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ortal.collab.admin.ch/sites/805-tech/Freigegebene Dokumente/Fachbereich Art. 5/Corporate Footprint Calculator/aktuelle Dokumente/"/>
    </mc:Choice>
  </mc:AlternateContent>
  <xr:revisionPtr revIDLastSave="0" documentId="13_ncr:20000001_{48C18BF0-9B2C-4187-B0BF-77D0098BE876}" xr6:coauthVersionLast="47" xr6:coauthVersionMax="47" xr10:uidLastSave="{00000000-0000-0000-0000-000000000000}"/>
  <bookViews>
    <workbookView xWindow="-28920" yWindow="-120" windowWidth="29040" windowHeight="15720" tabRatio="741" xr2:uid="{AC3B1FE1-F867-4451-99D9-0B9F5C340155}"/>
  </bookViews>
  <sheets>
    <sheet name="0 General Info" sheetId="12" r:id="rId1"/>
    <sheet name="1 General Inputs " sheetId="16" r:id="rId2"/>
    <sheet name="2 Data Inputs" sheetId="20" r:id="rId3"/>
    <sheet name="3 Calculation" sheetId="21" r:id="rId4"/>
    <sheet name="4 Dashboard" sheetId="23" r:id="rId5"/>
    <sheet name="5 BG Data" sheetId="19" r:id="rId6"/>
    <sheet name="Dashboard Leased Assets" sheetId="22" state="hidden" r:id="rId7"/>
    <sheet name="Lists" sheetId="13" state="hidden" r:id="rId8"/>
    <sheet name="Lists 3.1 Product Based" sheetId="14" state="hidden" r:id="rId9"/>
    <sheet name="Lists 3.2 Capital Goods" sheetId="15" state="hidden" r:id="rId10"/>
    <sheet name="Translation" sheetId="18" state="hidden" r:id="rId11"/>
  </sheets>
  <definedNames>
    <definedName name="_xlnm._FilterDatabase" localSheetId="2" hidden="1">'2 Data Inputs'!$C$108:$F$108</definedName>
    <definedName name="Calc_2_Electricity_Location">'3 Calculation'!$F$129</definedName>
    <definedName name="Calc_2_Electricity_Location_biog">'3 Calculation'!$G$129</definedName>
    <definedName name="Calc_2_Electricity_Location_UBP">'3 Calculation'!$H$129</definedName>
    <definedName name="Calc_2_Electricity_Market">'3 Calculation'!$F$122</definedName>
    <definedName name="Calc_2_Electricity_Market_biog">'3 Calculation'!$G$122</definedName>
    <definedName name="Calc_2_Electricity_Market_UBP">'3 Calculation'!$H$122</definedName>
    <definedName name="Calc_2_elFleet_Location">'3 Calculation'!$F$169</definedName>
    <definedName name="Calc_2_elFleet_Location_biog">'3 Calculation'!$G$169</definedName>
    <definedName name="Calc_2_elFleet_Location_UBP">'3 Calculation'!$H$169</definedName>
    <definedName name="Calc_2_elFleet_Market">'3 Calculation'!$F$164</definedName>
    <definedName name="Calc_2_elFleet_Market_biog">'3 Calculation'!$G$164</definedName>
    <definedName name="Calc_2_elFleet_Market_UBP">'3 Calculation'!$H$164</definedName>
    <definedName name="Calc_3.3_Electricity_Location">'3 Calculation'!$F$304</definedName>
    <definedName name="Calc_3.3_Electricity_Location_biog">'3 Calculation'!$G$304</definedName>
    <definedName name="Calc_3.3_Electricity_Location_UBP">'3 Calculation'!$H$304</definedName>
    <definedName name="Calc_3.3_Electricity_Market">'3 Calculation'!$F$297</definedName>
    <definedName name="Calc_3.3_Electricity_Market_biog">'3 Calculation'!$G$297</definedName>
    <definedName name="Calc_3.3_Electricity_Market_UBP">'3 Calculation'!$H$297</definedName>
    <definedName name="Calc_3.3_elFleet_Location">'3 Calculation'!$F$348</definedName>
    <definedName name="Calc_3.3_elFleet_Location_biog">'3 Calculation'!$G$348</definedName>
    <definedName name="Calc_3.3_elFleet_Location_UBP">'3 Calculation'!$H$348</definedName>
    <definedName name="Calc_3.3_elFleet_Market">'3 Calculation'!$F$343</definedName>
    <definedName name="Calc_3.3_elFleet_Market_biog">'3 Calculation'!$G$343</definedName>
    <definedName name="Calc_3.3_elFleet_Market_UBP">'3 Calculation'!$H$343</definedName>
    <definedName name="Calc_Electricity_Direct">Calc_Lessee_Electricity_Direct1[Source (no GO)]</definedName>
    <definedName name="Calc_Gem_elFlotte">'3 Calculation'!$F$730</definedName>
    <definedName name="Calc_Gem_elFlotte_biog">'3 Calculation'!$G$730</definedName>
    <definedName name="Calc_Gem_elFlotte_indr">'3 Calculation'!$F$756</definedName>
    <definedName name="Calc_Gem_elFlotte_indr_biog">'3 Calculation'!$G$756</definedName>
    <definedName name="Calc_Gem_elFlotte_indr_UBP">'3 Calculation'!$H$756</definedName>
    <definedName name="Calc_Gem_elFlotte_UBP">'3 Calculation'!$H$730</definedName>
    <definedName name="Calc_Gem_FernDampf">'3 Calculation'!$F$589</definedName>
    <definedName name="Calc_Gem_FernDampf_biog">'3 Calculation'!$G$589</definedName>
    <definedName name="Calc_Gem_FernDampf_indr">'3 Calculation'!$F$606</definedName>
    <definedName name="Calc_Gem_FernDampf_indr_biog">'3 Calculation'!$G$606</definedName>
    <definedName name="Calc_Gem_FernDampf_indr_UBP">'3 Calculation'!$H$606</definedName>
    <definedName name="Calc_Gem_FernDampf_UBP">'3 Calculation'!$H$589</definedName>
    <definedName name="Calc_Gem_Flotte1">'3 Calculation'!$F$669</definedName>
    <definedName name="Calc_Gem_Flotte1_biog">'3 Calculation'!$G$669</definedName>
    <definedName name="Calc_Gem_Flotte1_indr">'3 Calculation'!$F$694</definedName>
    <definedName name="Calc_Gem_Flotte1_indr_biog">'3 Calculation'!$G$694</definedName>
    <definedName name="Calc_Gem_Flotte1_indr_UBP">'3 Calculation'!$H$694</definedName>
    <definedName name="Calc_Gem_Flotte1_UBP">'3 Calculation'!$H$669</definedName>
    <definedName name="Calc_Gem_Flotte2">'3 Calculation'!$F$685</definedName>
    <definedName name="Calc_Gem_Flotte2_biog">'3 Calculation'!$G$685</definedName>
    <definedName name="Calc_Gem_Flotte2_indr">'3 Calculation'!$F$710</definedName>
    <definedName name="Calc_Gem_Flotte2_indr_biog">'3 Calculation'!$G$710</definedName>
    <definedName name="Calc_Gem_Flotte2_indr_UBP">'3 Calculation'!$H$710</definedName>
    <definedName name="Calc_Gem_Flotte2_UBP">'3 Calculation'!$H$685</definedName>
    <definedName name="Calc_Gem_StatVerb">'3 Calculation'!$F$555</definedName>
    <definedName name="Calc_Gem_StatVerb_biog">'3 Calculation'!$G$555</definedName>
    <definedName name="Calc_Gem_StatVerb_indr">'3 Calculation'!$F$572</definedName>
    <definedName name="Calc_Gem_StatVerb_indr_biog">'3 Calculation'!$G$572</definedName>
    <definedName name="Calc_Gem_StatVerb_indr_UBP">'3 Calculation'!$H$572</definedName>
    <definedName name="Calc_Gem_StatVerb_UBP">'3 Calculation'!$H$555</definedName>
    <definedName name="Calc_Gem_Strom1">'3 Calculation'!$F$613</definedName>
    <definedName name="Calc_Gem_Strom1_biog">Calc_Lessee_Electricity_Direct1[Result kg CO2 biogenic]</definedName>
    <definedName name="Calc_Gem_Strom1_indr">'3 Calculation'!$F$640</definedName>
    <definedName name="Calc_Gem_Strom1_indr_biog">Calc_Lessee_Electricity_Indirect1[Result kg CO2 biogenic]</definedName>
    <definedName name="Calc_Gem_Strom1_indr_UBP">Calc_Lessee_Electricity_Indirect1[Result UBP]</definedName>
    <definedName name="Calc_Gem_Strom1_UBP">Calc_Lessee_Electricity_Direct1[Result UBP]</definedName>
    <definedName name="Calc_Gem_Strom2">'3 Calculation'!$F$626</definedName>
    <definedName name="Calc_Gem_Strom2_biog">'3 Calculation'!$G$626</definedName>
    <definedName name="Calc_Gem_Strom2_indr">'3 Calculation'!$F$653</definedName>
    <definedName name="Calc_Gem_Strom2_indr_biog">'3 Calculation'!$G$653</definedName>
    <definedName name="Calc_Gem_Strom2_indr_UBP">'3 Calculation'!$H$653</definedName>
    <definedName name="Calc_Gem_Strom2_UBP">'3 Calculation'!$H$626</definedName>
    <definedName name="Calc_Gemietet_Vermietet">'3 Calculation'!#REF!</definedName>
    <definedName name="Calc_Hyperlink_Lessee">'3 Calculation'!$B$540</definedName>
    <definedName name="Calc_Hyperlink_Lessor">'3 Calculation'!$B$765</definedName>
    <definedName name="Calc_Hyperlink_S1">'3 Calculation'!$B$21</definedName>
    <definedName name="Calc_Hyperlink_S2">'3 Calculation'!$B$104</definedName>
    <definedName name="Calc_Hyperlink_S3">'3 Calculation'!$B$173</definedName>
    <definedName name="Calc_Lessee_Electricity_Direct_Location">'3 Calculation'!$F$633</definedName>
    <definedName name="Calc_Lessee_Electricity_Direct_Location_biog">'3 Calculation'!$G$633</definedName>
    <definedName name="Calc_Lessee_Electricity_Direct_Location_UBP">'3 Calculation'!$H$633</definedName>
    <definedName name="Calc_Lessee_Electricity_Indirect_Location">'3 Calculation'!$F$660</definedName>
    <definedName name="Calc_Lessee_Electricity_Indirect_Location_biog">'3 Calculation'!$G$660</definedName>
    <definedName name="Calc_Lessee_Electricity_Indirect_Location_UBP">'3 Calculation'!$H$660</definedName>
    <definedName name="Calc_Lessee_elFleet_Direct_Location">'3 Calculation'!$F$735</definedName>
    <definedName name="Calc_Lessee_elFleet_Direct_Location_biog">'3 Calculation'!$G$735</definedName>
    <definedName name="Calc_Lessee_elFleet_Direct_Location_UBP">'3 Calculation'!$H$735</definedName>
    <definedName name="Calc_Lessee_elFleet_Indirect_Location">'3 Calculation'!$F$761</definedName>
    <definedName name="Calc_Lessee_elFleet_Indirect_Location_biog">'3 Calculation'!$G$761</definedName>
    <definedName name="Calc_Lessee_elFleet_Indirect_Location_UBP">'3 Calculation'!$H$761</definedName>
    <definedName name="Calc_Lessor_Electricity_Direct_Location">'3 Calculation'!$F$858</definedName>
    <definedName name="Calc_Lessor_Electricity_Direct_Location_biog">'3 Calculation'!$G$858</definedName>
    <definedName name="Calc_Lessor_Electricity_Direct_Location_UBP">'3 Calculation'!$H$858</definedName>
    <definedName name="Calc_Lessor_Electricity_Indirect_Location">'3 Calculation'!$F$885</definedName>
    <definedName name="Calc_Lessor_Electricity_Indirect_Location_biog">'3 Calculation'!$G$885</definedName>
    <definedName name="Calc_Lessor_Electricity_Indirect_Location_UBP">'3 Calculation'!$H$885</definedName>
    <definedName name="Calc_Lessor_elFleet_Direct_Location">'3 Calculation'!$F$961</definedName>
    <definedName name="Calc_Lessor_elFleet_Direct_Location_biog">'3 Calculation'!$G$961</definedName>
    <definedName name="Calc_Lessor_elFleet_Direct_Location_UBP">'3 Calculation'!$H$961</definedName>
    <definedName name="Calc_Lessor_elFleet_Indirect_Location">'3 Calculation'!$F$986</definedName>
    <definedName name="Calc_Lessor_elFleet_Indirect_Location_biog">'3 Calculation'!$G$986</definedName>
    <definedName name="Calc_Lessor_elFleet_Indirect_Location_UBP">'3 Calculation'!$H$986</definedName>
    <definedName name="Calc_Ver_elFlotte">'3 Calculation'!$F$956</definedName>
    <definedName name="Calc_Ver_elFlotte_biog">'3 Calculation'!$G$956</definedName>
    <definedName name="Calc_Ver_elFlotte_indr">'3 Calculation'!$F$981</definedName>
    <definedName name="Calc_Ver_elFlotte_indr_biog">'3 Calculation'!$G$981</definedName>
    <definedName name="Calc_Ver_elFlotte_indr_UBP">'3 Calculation'!$H$981</definedName>
    <definedName name="Calc_Ver_elFlotte_UBP">'3 Calculation'!$H$956</definedName>
    <definedName name="Calc_Ver_FernDampf">'3 Calculation'!$F$814</definedName>
    <definedName name="Calc_Ver_FernDampf_biog">'3 Calculation'!$G$814</definedName>
    <definedName name="Calc_Ver_FernDampf_indr">'3 Calculation'!$F$831</definedName>
    <definedName name="Calc_Ver_FernDampf_indr_biog">'3 Calculation'!$G$831</definedName>
    <definedName name="Calc_Ver_FernDampf_indr_UBP">'3 Calculation'!$H$831</definedName>
    <definedName name="Calc_Ver_FernDampf_UBP">'3 Calculation'!$H$814</definedName>
    <definedName name="Calc_Ver_Flotte1">'3 Calculation'!$F$894</definedName>
    <definedName name="Calc_Ver_Flotte1_biog">'3 Calculation'!$G$894</definedName>
    <definedName name="Calc_Ver_Flotte1_indr">'3 Calculation'!$F$920</definedName>
    <definedName name="Calc_Ver_Flotte1_indr_biog">'3 Calculation'!$G$920</definedName>
    <definedName name="Calc_Ver_Flotte1_indr_UBP">'3 Calculation'!$H$920</definedName>
    <definedName name="Calc_Ver_Flotte1_UBP">'3 Calculation'!$H$894</definedName>
    <definedName name="Calc_Ver_Flotte2">'3 Calculation'!$F$910</definedName>
    <definedName name="Calc_Ver_Flotte2_biog">'3 Calculation'!$G$910</definedName>
    <definedName name="Calc_Ver_Flotte2_indr">'3 Calculation'!$F$936</definedName>
    <definedName name="Calc_Ver_Flotte2_indr_biog">'3 Calculation'!$G$936</definedName>
    <definedName name="Calc_Ver_Flotte2_indr_UBP">'3 Calculation'!$H$936</definedName>
    <definedName name="Calc_Ver_Flotte2_UBP">'3 Calculation'!$H$910</definedName>
    <definedName name="Calc_Ver_StatVerb">'3 Calculation'!$F$780</definedName>
    <definedName name="Calc_Ver_StatVerb_biog">'3 Calculation'!$G$780</definedName>
    <definedName name="Calc_Ver_StatVerb_indr">'3 Calculation'!$F$797</definedName>
    <definedName name="Calc_Ver_StatVerb_indr_biog">'3 Calculation'!$G$797</definedName>
    <definedName name="Calc_Ver_StatVerb_indr_UBP">'3 Calculation'!$H$797</definedName>
    <definedName name="Calc_Ver_StatVerb_UBP">'3 Calculation'!$H$780</definedName>
    <definedName name="Calc_Ver_Strom1">'3 Calculation'!$F$838</definedName>
    <definedName name="Calc_Ver_Strom1_biog">Calc_Lessor_Electricity_Direct1[Result kg CO2 biogenic]</definedName>
    <definedName name="Calc_Ver_Strom1_indr">'3 Calculation'!$F$865</definedName>
    <definedName name="Calc_Ver_Strom1_indr_biog">Calc_Lessor_Electricity_Indirect1[Result kg CO2 biogenic]</definedName>
    <definedName name="Calc_Ver_Strom1_indr_UBP">Calc_Lessor_Electricity_Indirect1[Result UBP]</definedName>
    <definedName name="Calc_Ver_Strom1_UBP">Calc_Lessor_Electricity_Direct1[Result UBP]</definedName>
    <definedName name="Calc_Ver_Strom2">'3 Calculation'!$F$851</definedName>
    <definedName name="Calc_Ver_Strom2_biog">'3 Calculation'!$G$851</definedName>
    <definedName name="Calc_Ver_Strom2_indr">'3 Calculation'!$F$878</definedName>
    <definedName name="Calc_Ver_Strom2_indr_biog">'3 Calculation'!$G$878</definedName>
    <definedName name="Calc_Ver_Strom2_indr_UBP">'3 Calculation'!$H$878</definedName>
    <definedName name="Calc_Ver_Strom2_UBP">'3 Calculation'!$H$851</definedName>
    <definedName name="DatInp_Hyperlink_10Transport">'2 Data Inputs'!$F$664</definedName>
    <definedName name="DatInp_Hyperlink_11Waste">'2 Data Inputs'!$F$772</definedName>
    <definedName name="DatInp_Hyperlink_12SoldProducts">'2 Data Inputs'!$F$806</definedName>
    <definedName name="DatInp_Hyperlink_13Franchise">'2 Data Inputs'!$F$911</definedName>
    <definedName name="DatInp_Hyperlink_14Investments">'2 Data Inputs'!$F$934</definedName>
    <definedName name="DatInp_Hyperlink_3Stationary">'2 Data Inputs'!$C$57</definedName>
    <definedName name="DatInp_Hyperlink_4Process">'2 Data Inputs'!$F$240</definedName>
    <definedName name="DatInp_Hyperlink_5Fugitive">'2 Data Inputs'!$C$289</definedName>
    <definedName name="DatInp_Hyperlink_6Fleet">'2 Data Inputs'!$F$321</definedName>
    <definedName name="DatInp_Hyperlink_7Electricity">'2 Data Inputs'!$F$437</definedName>
    <definedName name="DatInp_Hyperlink_8PurchasedGoods">'2 Data Inputs'!$C$539</definedName>
    <definedName name="DatInp_Hyperlink_9CapitalGoods">'2 Data Inputs'!$C$622</definedName>
    <definedName name="DatInp_PurchasedGoods_ProductBased_Line1_MatKat1">'2 Data Inputs'!$C$579</definedName>
    <definedName name="DatInp_PurchasedGoods_ProductBased_Line1_MatKat2">'2 Data Inputs'!$D$579</definedName>
    <definedName name="DatInp_PurchasedGoods_ProductBased_Line1_MatKat3">'2 Data Inputs'!$E$579</definedName>
    <definedName name="DatInp_PurchasedGoods_ProductBased_Line10_MatKat1">'2 Data Inputs'!$C$588</definedName>
    <definedName name="DatInp_PurchasedGoods_ProductBased_Line10_MatKat2">'2 Data Inputs'!$D$588</definedName>
    <definedName name="DatInp_PurchasedGoods_ProductBased_Line10_MatKat3">'2 Data Inputs'!$E$588</definedName>
    <definedName name="DatInp_PurchasedGoods_ProductBased_Line11_MatKat1">'2 Data Inputs'!$C$589</definedName>
    <definedName name="DatInp_PurchasedGoods_ProductBased_Line11_MatKat2">'2 Data Inputs'!$D$589</definedName>
    <definedName name="DatInp_PurchasedGoods_ProductBased_Line11_MatKat3">'2 Data Inputs'!$E$589</definedName>
    <definedName name="DatInp_PurchasedGoods_ProductBased_Line12_MatKat1">'2 Data Inputs'!$C$590</definedName>
    <definedName name="DatInp_PurchasedGoods_ProductBased_Line12_MatKat2">'2 Data Inputs'!$D$590</definedName>
    <definedName name="DatInp_PurchasedGoods_ProductBased_Line12_MatKat3">'2 Data Inputs'!$E$590</definedName>
    <definedName name="DatInp_PurchasedGoods_ProductBased_Line13_MatKat1">'2 Data Inputs'!$C$591</definedName>
    <definedName name="DatInp_PurchasedGoods_ProductBased_Line13_MatKat2">'2 Data Inputs'!$D$591</definedName>
    <definedName name="DatInp_PurchasedGoods_ProductBased_Line13_MatKat3">'2 Data Inputs'!$E$591</definedName>
    <definedName name="DatInp_PurchasedGoods_ProductBased_Line14_MatKat1">'2 Data Inputs'!$C$592</definedName>
    <definedName name="DatInp_PurchasedGoods_ProductBased_Line14_MatKat2">'2 Data Inputs'!$D$592</definedName>
    <definedName name="DatInp_PurchasedGoods_ProductBased_Line14_MatKat3">'2 Data Inputs'!$E$592</definedName>
    <definedName name="DatInp_PurchasedGoods_ProductBased_Line15_MatKat1">'2 Data Inputs'!$C$593</definedName>
    <definedName name="DatInp_PurchasedGoods_ProductBased_Line15_MatKat2">'2 Data Inputs'!$D$593</definedName>
    <definedName name="DatInp_PurchasedGoods_ProductBased_Line15_MatKat3">'2 Data Inputs'!$E$593</definedName>
    <definedName name="DatInp_PurchasedGoods_ProductBased_Line16_MatKat1">'2 Data Inputs'!$C$594</definedName>
    <definedName name="DatInp_PurchasedGoods_ProductBased_Line16_MatKat2">'2 Data Inputs'!$D$594</definedName>
    <definedName name="DatInp_PurchasedGoods_ProductBased_Line16_MatKat3">'2 Data Inputs'!$E$594</definedName>
    <definedName name="DatInp_PurchasedGoods_ProductBased_Line17_MatKat1">'2 Data Inputs'!$C$595</definedName>
    <definedName name="DatInp_PurchasedGoods_ProductBased_Line17_MatKat2">'2 Data Inputs'!$D$595</definedName>
    <definedName name="DatInp_PurchasedGoods_ProductBased_Line17_MatKat3">'2 Data Inputs'!$E$595</definedName>
    <definedName name="DatInp_PurchasedGoods_ProductBased_Line18_MatKat1">'2 Data Inputs'!$C$596</definedName>
    <definedName name="DatInp_PurchasedGoods_ProductBased_Line18_MatKat2">'2 Data Inputs'!$D$596</definedName>
    <definedName name="DatInp_PurchasedGoods_ProductBased_Line18_MatKat3">'2 Data Inputs'!$E$596</definedName>
    <definedName name="DatInp_PurchasedGoods_ProductBased_Line19_MatKat1">'2 Data Inputs'!$C$597</definedName>
    <definedName name="DatInp_PurchasedGoods_ProductBased_Line19_MatKat2">'2 Data Inputs'!$D$597</definedName>
    <definedName name="DatInp_PurchasedGoods_ProductBased_Line19_MatKat3">'2 Data Inputs'!$E$597</definedName>
    <definedName name="DatInp_PurchasedGoods_ProductBased_Line2_MatKat1">'2 Data Inputs'!$C$580</definedName>
    <definedName name="DatInp_PurchasedGoods_ProductBased_Line2_MatKat2">'2 Data Inputs'!$D$580</definedName>
    <definedName name="DatInp_PurchasedGoods_ProductBased_Line2_MatKat3">'2 Data Inputs'!$E$580</definedName>
    <definedName name="DatInp_PurchasedGoods_ProductBased_Line20_MatKat1">'2 Data Inputs'!$C$598</definedName>
    <definedName name="DatInp_PurchasedGoods_ProductBased_Line20_MatKat2">'2 Data Inputs'!$D$598</definedName>
    <definedName name="DatInp_PurchasedGoods_ProductBased_Line20_MatKat3">'2 Data Inputs'!$E$598</definedName>
    <definedName name="DatInp_PurchasedGoods_ProductBased_Line3_MatKat1">'2 Data Inputs'!$C$581</definedName>
    <definedName name="DatInp_PurchasedGoods_ProductBased_Line3_MatKat2">'2 Data Inputs'!$D$581</definedName>
    <definedName name="DatInp_PurchasedGoods_ProductBased_Line3_MatKat3">'2 Data Inputs'!$E$581</definedName>
    <definedName name="DatInp_PurchasedGoods_ProductBased_Line4_MatKat1">'2 Data Inputs'!$C$582</definedName>
    <definedName name="DatInp_PurchasedGoods_ProductBased_Line4_MatKat2">'2 Data Inputs'!$D$582</definedName>
    <definedName name="DatInp_PurchasedGoods_ProductBased_Line4_MatKat3">'2 Data Inputs'!$E$582</definedName>
    <definedName name="DatInp_PurchasedGoods_ProductBased_Line5_MatKat1">'2 Data Inputs'!$C$583</definedName>
    <definedName name="DatInp_PurchasedGoods_ProductBased_Line5_MatKat2">'2 Data Inputs'!$D$583</definedName>
    <definedName name="DatInp_PurchasedGoods_ProductBased_Line5_MatKat3">'2 Data Inputs'!$E$583</definedName>
    <definedName name="DatInp_PurchasedGoods_ProductBased_Line6_MatKat1">'2 Data Inputs'!$C$584</definedName>
    <definedName name="DatInp_PurchasedGoods_ProductBased_Line6_MatKat2">'2 Data Inputs'!$D$584</definedName>
    <definedName name="DatInp_PurchasedGoods_ProductBased_Line6_MatKat3">'2 Data Inputs'!$E$584</definedName>
    <definedName name="DatInp_PurchasedGoods_ProductBased_Line7_MatKat1">'2 Data Inputs'!$C$585</definedName>
    <definedName name="DatInp_PurchasedGoods_ProductBased_Line7_MatKat2">'2 Data Inputs'!$D$585</definedName>
    <definedName name="DatInp_PurchasedGoods_ProductBased_Line7_MatKat3">'2 Data Inputs'!$E$585</definedName>
    <definedName name="DatInp_PurchasedGoods_ProductBased_Line8_MatKat1">'2 Data Inputs'!$C$586</definedName>
    <definedName name="DatInp_PurchasedGoods_ProductBased_Line8_MatKat2">'2 Data Inputs'!$D$586</definedName>
    <definedName name="DatInp_PurchasedGoods_ProductBased_Line8_MatKat3">'2 Data Inputs'!$E$586</definedName>
    <definedName name="DatInp_PurchasedGoods_ProductBased_Line9_MatKat1">'2 Data Inputs'!$C$587</definedName>
    <definedName name="DatInp_PurchasedGoods_ProductBased_Line9_MatKat2">'2 Data Inputs'!$D$587</definedName>
    <definedName name="DatInp_PurchasedGoods_ProductBased_Line9_MatKat3">'2 Data Inputs'!$E$587</definedName>
    <definedName name="Description">Translation!$D$1</definedName>
    <definedName name="French">Translation!$F$1</definedName>
    <definedName name="GenInp_A1_ConsolAppr">'1 General Inputs '!$K$35</definedName>
    <definedName name="GenInp_A2_LeaseType">'1 General Inputs '!$K$38</definedName>
    <definedName name="GenInp_B1_Scope3">'1 General Inputs '!$K$46</definedName>
    <definedName name="GenInp_C1_Energy">'1 General Inputs '!$K$51</definedName>
    <definedName name="GenInp_C11_Energy_Lessee">'1 General Inputs '!$K$54</definedName>
    <definedName name="GenInp_C12_Energy_Lessor">'1 General Inputs '!$K$57</definedName>
    <definedName name="GenInp_C2_ProcessEm">'1 General Inputs '!$K$60</definedName>
    <definedName name="GenInp_C3_Fugitive">'1 General Inputs '!$K$63</definedName>
    <definedName name="GenInp_C4_Mobile">'1 General Inputs '!$K$66</definedName>
    <definedName name="GenInp_C41_Mobile_Lessee">'1 General Inputs '!$K$69</definedName>
    <definedName name="GenInp_C42_Mobile_Lessor">'1 General Inputs '!$K$72</definedName>
    <definedName name="GenInp_ConsolAppr">'1 General Inputs '!$K$35</definedName>
    <definedName name="GenInp_D1_S3.2">'1 General Inputs '!$K$77</definedName>
    <definedName name="GenInp_D2_S3.6">'1 General Inputs '!$K$80</definedName>
    <definedName name="GenInp_D3_S3.7">'1 General Inputs '!$K$83</definedName>
    <definedName name="GenInp_D4_SoldP">'1 General Inputs '!$K$86</definedName>
    <definedName name="GenInp_D5_Processing">'1 General Inputs '!$K$89</definedName>
    <definedName name="GenInp_D5_SoldP_Processing">'1 General Inputs '!$K$89</definedName>
    <definedName name="GenInp_D6_SoldP_Use">'1 General Inputs '!$K$92</definedName>
    <definedName name="GenInp_D7_Franchise">'1 General Inputs '!$K$95</definedName>
    <definedName name="GenInp_D8_Investments">'1 General Inputs '!$K$98</definedName>
    <definedName name="GenInp_E1">'1 General Inputs '!$K$103</definedName>
    <definedName name="GenInp_Hyperlink_LeaseType">'1 General Inputs '!$F$38</definedName>
    <definedName name="GenInp_HyperlinkA">'1 General Inputs '!$F$35</definedName>
    <definedName name="GenInp_HyperlinkB">'1 General Inputs '!$F$43</definedName>
    <definedName name="GenInp_HyperlinkC">'1 General Inputs '!$F$51</definedName>
    <definedName name="GenInp_HyperlinkD">'1 General Inputs '!$F$77</definedName>
    <definedName name="GenInp_HyperlinkE">'1 General Inputs '!$F$103</definedName>
    <definedName name="GenInp_LeaseType">'1 General Inputs '!$K$38</definedName>
    <definedName name="GenInp_titA">'1 General Inputs '!$F$35</definedName>
    <definedName name="GenInp_titB">'1 General Inputs '!$B$41</definedName>
    <definedName name="GenInp_titC1">'1 General Inputs '!$B$49</definedName>
    <definedName name="GenInp_titC2">'1 General Inputs '!$B$75</definedName>
    <definedName name="GenInp_titD">'1 General Inputs '!$B$75</definedName>
    <definedName name="GenInp_titE">'1 General Inputs '!$B$101</definedName>
    <definedName name="German">Translation!$E$1</definedName>
    <definedName name="graph_categories">OFFSET('4 Dashboard'!$V$16,0,0,graph_count,2)</definedName>
    <definedName name="graph_count">'4 Dashboard'!$S$16</definedName>
    <definedName name="graph_donut_category">OFFSET('4 Dashboard'!$S$31,0,0,COUNTA('4 Dashboard'!$B$18:$B$22),1)</definedName>
    <definedName name="graph_donut_results">OFFSET('4 Dashboard'!$T$31,0,0,COUNTA('4 Dashboard'!$B$18:$B$22),1)</definedName>
    <definedName name="graph_results">OFFSET('4 Dashboard'!$X$16,0,0,graph_count,1)</definedName>
    <definedName name="Italian">Translation!$G$1</definedName>
    <definedName name="Language">'0 General Info'!$E$2</definedName>
    <definedName name="n0Info_1Structure">Translation!$D$8</definedName>
    <definedName name="n0Info_1Structure_Text1">Translation!$D$9</definedName>
    <definedName name="n0Info_1Structure_Text10">Translation!$D$18</definedName>
    <definedName name="n0Info_1Structure_Text11">Translation!$D$19</definedName>
    <definedName name="n0Info_1Structure_Text2">Translation!$D$10</definedName>
    <definedName name="n0Info_1Structure_Text3">Translation!$D$11</definedName>
    <definedName name="n0Info_1Structure_Text4">Translation!$D$12</definedName>
    <definedName name="n0Info_1Structure_Text5">Translation!$D$13</definedName>
    <definedName name="n0Info_1Structure_Text6">Translation!$D$14</definedName>
    <definedName name="n0Info_1Structure_Text7">Translation!$D$15</definedName>
    <definedName name="n0Info_1Structure_Text8">Translation!$D$16</definedName>
    <definedName name="n0Info_1Structure_Text9">Translation!$D$17</definedName>
    <definedName name="n0Info_2FurtherInfo">Translation!$D$20</definedName>
    <definedName name="n0Info_2FurtherInfo_Text1">Translation!$D$21</definedName>
    <definedName name="n0Info_2FurtherInfo_Text11">Translation!$D$31</definedName>
    <definedName name="n0Info_2FurtherInfo_Text12">Translation!$D$32</definedName>
    <definedName name="n0Info_2FurtherInfo_Text13">Translation!$D$33</definedName>
    <definedName name="n0Info_2FurtherInfo_Text14">Translation!$D$34</definedName>
    <definedName name="n0Info_2FurtherInfo_Text2">Translation!$D$22</definedName>
    <definedName name="n0Info_2FurtherInfo_Text3">Translation!$D$23</definedName>
    <definedName name="n0Info_2FurtherInfo_Text4">Translation!$D$24</definedName>
    <definedName name="n0Info_2FurtherInfo_Text5">Translation!$D$25</definedName>
    <definedName name="n0Info_2FurtherInfo_Text6">Translation!$D$26</definedName>
    <definedName name="n0Info_2FurtherInfo_Text7">Translation!$D$27</definedName>
    <definedName name="n0Info_2FurtherInfo_Text8">Translation!$D$28</definedName>
    <definedName name="n0Info_2FurtherInfo_Text9">Translation!$D$29</definedName>
    <definedName name="n0Info_3Contact">Translation!$D$35</definedName>
    <definedName name="n0Info_3Contact_Text1">Translation!$D$36</definedName>
    <definedName name="n0Info_3Contact_Text2">Translation!$D$37</definedName>
    <definedName name="n0Info_3Contact_Text3">Translation!$D$38</definedName>
    <definedName name="n0Info_header1">Translation!$D$2</definedName>
    <definedName name="n0Info_header2">Translation!$D$3</definedName>
    <definedName name="n0Info_subtitle">Translation!$D$6</definedName>
    <definedName name="n0Info_Text1">Translation!$D$7</definedName>
    <definedName name="n0Info_title1">Translation!$D$4</definedName>
    <definedName name="n0Info_title2">Translation!$D$5</definedName>
    <definedName name="n1Inputs">Translation!$D$39</definedName>
    <definedName name="n1Inputs_1Instruction">Translation!$D$41</definedName>
    <definedName name="n1Inputs_1Instruction_Text1">Translation!$D$42</definedName>
    <definedName name="n1Inputs_1Instruction_Text2">Translation!$D$43</definedName>
    <definedName name="n1Inputs_1Instruction_Text3">Translation!$D$44</definedName>
    <definedName name="n1Inputs_2Info">Translation!$D$45</definedName>
    <definedName name="n1Inputs_2Info_Text1">Translation!$D$46</definedName>
    <definedName name="n1Inputs_2Info_Text2">Translation!$D$47</definedName>
    <definedName name="n1Inputs_2Info_Text3">Translation!$D$48</definedName>
    <definedName name="n1Inputs_3Index">Translation!$D$49</definedName>
    <definedName name="n1Inputs_4AConsolidation">Translation!$D$50</definedName>
    <definedName name="n1Inputs_4AConsolidation_Text1">Translation!$D$51</definedName>
    <definedName name="n1Inputs_5BScopes">Translation!$D$52</definedName>
    <definedName name="n1Inputs_5BScopes_Text1">Translation!$D$53</definedName>
    <definedName name="n1Inputs_5BScopes_Text2">Translation!$D$54</definedName>
    <definedName name="n1Inputs_6CDirectEmissions">Translation!$D$55</definedName>
    <definedName name="n1Inputs_6CDirectEmissions_Text1">Translation!$D$56</definedName>
    <definedName name="n1Inputs_6CDirectEmissions_Text101">Translation!$D$57</definedName>
    <definedName name="n1Inputs_6CDirectEmissions_Text102">Translation!$D$58</definedName>
    <definedName name="n1Inputs_6CDirectEmissions_Text2">Translation!$D$59</definedName>
    <definedName name="n1Inputs_6CDirectEmissions_Text3">Translation!$D$60</definedName>
    <definedName name="n1Inputs_6CDirectEmissions_Text4">Translation!$D$61</definedName>
    <definedName name="n1Inputs_6CDirectEmissions_Text401">Translation!$D$62</definedName>
    <definedName name="n1Inputs_6CDirectEmissions_Text402">Translation!$D$63</definedName>
    <definedName name="n1Inputs_7DIndirectEmissions">Translation!$D$64</definedName>
    <definedName name="n1Inputs_7DIndirectEmissions_Text1">Translation!$D$65</definedName>
    <definedName name="n1Inputs_7DIndirectEmissions_Text2">Translation!$D$66</definedName>
    <definedName name="n1Inputs_7DIndirectEmissions_Text3">Translation!$D$67</definedName>
    <definedName name="n1Inputs_7DIndirectEmissions_Text4">Translation!$D$68</definedName>
    <definedName name="n1Inputs_7DIndirectEmissions_Text5">Translation!$D$69</definedName>
    <definedName name="n1Inputs_7DIndirectEmissions_Text6">Translation!$D$70</definedName>
    <definedName name="n1Inputs_7DIndirectEmissions_Text7">Translation!$D$71</definedName>
    <definedName name="n1Inputs_7DIndirectEmissions_Text8">Translation!$D$72</definedName>
    <definedName name="n1Inputs_8EUBP">Translation!$D$73</definedName>
    <definedName name="n1Inputs_8EUBP_Text1">Translation!$D$74</definedName>
    <definedName name="n1Inputs_8EUBP_Text2">Translation!#REF!</definedName>
    <definedName name="n1Inputs_8EUBP_Text3">Translation!#REF!</definedName>
    <definedName name="n1Inputs_Text1">Translation!$D$40</definedName>
    <definedName name="n20nfo_2FurtherInfo_Text10">Translation!$D$30</definedName>
    <definedName name="n2Data">Translation!$D$75</definedName>
    <definedName name="n2Data_0General_Text1">Translation!$D$78</definedName>
    <definedName name="n2Data_0General_Text2">Translation!$D$79</definedName>
    <definedName name="n2Data_0General_Text3">Translation!$D$80</definedName>
    <definedName name="n2Data_0General_Text4_Input">Translation!$D$81</definedName>
    <definedName name="n2Data_0General_Text5_Unit">Translation!$D$82</definedName>
    <definedName name="n2Data_10Transport">Translation!$D$216</definedName>
    <definedName name="n2Data_10Transport_1Bussinesstrip">Translation!$D$217</definedName>
    <definedName name="n2Data_10Transport_1Bussinesstrip_Text1">Translation!$D$218</definedName>
    <definedName name="n2Data_10Transport_1Bussinesstrip_Text1.1">Translation!$D$219</definedName>
    <definedName name="n2Data_10Transport_1Bussinesstrip_Text2">Translation!$D$220</definedName>
    <definedName name="n2Data_10Transport_1Bussinesstrip_Text3">Translation!$D$221</definedName>
    <definedName name="n2Data_10Transport_1Bussinesstrip_Text4">Translation!$D$222</definedName>
    <definedName name="n2Data_10Transport_1Bussinesstrip_Text4.1">Translation!$D$223</definedName>
    <definedName name="n2Data_10Transport_1Bussinesstrip_Text4.2">Translation!$D$224</definedName>
    <definedName name="n2Data_10Transport_1Bussinesstrip_Text4.3">Translation!$D$225</definedName>
    <definedName name="n2Data_10Transport_1Bussinesstrip_Text4.4">Translation!$D$226</definedName>
    <definedName name="n2Data_10Transport_1Bussinesstrip_Text5">Translation!$D$227</definedName>
    <definedName name="n2Data_10Transport_1Bussinesstrip_Text6">Translation!$D$228</definedName>
    <definedName name="n2Data_10Transport_1Bussinesstrip_Text7">Translation!$D$229</definedName>
    <definedName name="n2Data_10Transport_2Commuting">Translation!$D$230</definedName>
    <definedName name="n2Data_10Transport_2Commuting_Text1">Translation!$D$231</definedName>
    <definedName name="n2Data_10Transport_2Commuting_Text10">Translation!$D$241</definedName>
    <definedName name="n2Data_10Transport_2Commuting_Text11">Translation!$D$242</definedName>
    <definedName name="n2Data_10Transport_2Commuting_Text2">Translation!$D$232</definedName>
    <definedName name="n2Data_10Transport_2Commuting_Text3">Translation!$D$233</definedName>
    <definedName name="n2Data_10Transport_2Commuting_Text4a">Translation!$D$234</definedName>
    <definedName name="n2Data_10Transport_2Commuting_Text4b">Translation!$D$235</definedName>
    <definedName name="n2Data_10Transport_2Commuting_Text5">Translation!$D$236</definedName>
    <definedName name="n2Data_10Transport_2Commuting_Text6">Translation!$D$237</definedName>
    <definedName name="n2Data_10Transport_2Commuting_Text7">Translation!$D$238</definedName>
    <definedName name="n2Data_10Transport_2Commuting_Text8">Translation!$D$239</definedName>
    <definedName name="n2Data_10Transport_2Commuting_Text9">Translation!$D$240</definedName>
    <definedName name="n2Data_10Transport_3Upstream">Translation!$D$243</definedName>
    <definedName name="n2Data_10Transport_3Upstream_Text1">Translation!$D$244</definedName>
    <definedName name="n2Data_10Transport_3Upstream_Text101">Translation!$D$245</definedName>
    <definedName name="n2Data_10Transport_3Upstream_Text2">Translation!$D$246</definedName>
    <definedName name="n2Data_10Transport_3Upstream_Text3">Translation!$D$247</definedName>
    <definedName name="n2Data_10Transport_3Upstream_Text4">Translation!$D$248</definedName>
    <definedName name="n2Data_10Transport_3Upstream_Text5">Translation!$D$249</definedName>
    <definedName name="n2Data_10Transport_3Upstream_Text6">Translation!$D$250</definedName>
    <definedName name="n2Data_10Transport_4Downstream">Translation!$D$251</definedName>
    <definedName name="n2Data_10Transport_4Downstream_Text1">Translation!$D$252</definedName>
    <definedName name="n2Data_10Transport_4Downstream_Text101">Translation!$D$253</definedName>
    <definedName name="n2Data_10Transport_4Downstream_Text2">Translation!$D$254</definedName>
    <definedName name="n2Data_10Transport_4Downstream_Text3">Translation!$D$255</definedName>
    <definedName name="n2Data_10Transport_4Downstream_Text4">Translation!$D$256</definedName>
    <definedName name="n2Data_10Transport_4Downstream_Text5">Translation!$D$257</definedName>
    <definedName name="n2Data_10Transport_4Downstream_Text6">Translation!$D$258</definedName>
    <definedName name="n2Data_11Waste">Translation!$D$259</definedName>
    <definedName name="n2Data_11Waste_Text1">Translation!$D$260</definedName>
    <definedName name="n2Data_11Waste_Text10">Translation!$D$270</definedName>
    <definedName name="n2Data_11Waste_Text101">Translation!$D$261</definedName>
    <definedName name="n2Data_11Waste_Text11">Translation!$D$271</definedName>
    <definedName name="n2Data_11Waste_Text12">Translation!$D$272</definedName>
    <definedName name="n2Data_11Waste_Text13">Translation!$D$273</definedName>
    <definedName name="n2Data_11Waste_Text14">Translation!$D$274</definedName>
    <definedName name="n2Data_11Waste_Text2">Translation!$D$262</definedName>
    <definedName name="n2Data_11Waste_Text3">Translation!$D$263</definedName>
    <definedName name="n2Data_11Waste_Text4">Translation!$D$264</definedName>
    <definedName name="n2Data_11Waste_Text5">Translation!$D$265</definedName>
    <definedName name="n2Data_11Waste_Text6">Translation!$D$266</definedName>
    <definedName name="n2Data_11Waste_Text7">Translation!$D$267</definedName>
    <definedName name="n2Data_11Waste_Text8">Translation!$D$268</definedName>
    <definedName name="n2Data_11Waste_Text9">Translation!$D$269</definedName>
    <definedName name="n2Data_12SoldProducts">Translation!$D$275</definedName>
    <definedName name="n2Data_12SoldProducts_1Processing">Translation!$D$276</definedName>
    <definedName name="n2Data_12SoldProducts_1Processing_Text1">Translation!$D$277</definedName>
    <definedName name="n2Data_12SoldProducts_1Processing_Text101">Translation!$D$278</definedName>
    <definedName name="n2Data_12SoldProducts_1Processing_Text2">Translation!$D$279</definedName>
    <definedName name="n2Data_12SoldProducts_1Processing_Text3">Translation!$D$280</definedName>
    <definedName name="n2Data_12SoldProducts_1Processing_Text4">Translation!$D$281</definedName>
    <definedName name="n2Data_12SoldProducts_1Processing_Text5">Translation!$D$282</definedName>
    <definedName name="n2Data_12SoldProducts_2Use">Translation!$D$283</definedName>
    <definedName name="n2Data_12SoldProducts_2Use_Text1">Translation!$D$284</definedName>
    <definedName name="n2Data_12SoldProducts_2Use_Text2">Translation!$D$285</definedName>
    <definedName name="n2Data_12SoldProducts_2Use_Text3">Translation!$D$286</definedName>
    <definedName name="n2Data_12SoldProducts_2Use_Text4">Translation!$D$287</definedName>
    <definedName name="n2Data_12SoldProducts_2Use_Text5">Translation!$D$288</definedName>
    <definedName name="n2Data_12SoldProducts_3EndOfLife">Translation!$D$289</definedName>
    <definedName name="n2Data_12SoldProducts_3EndOfLife_Text1">Translation!$D$290</definedName>
    <definedName name="n2Data_12SoldProducts_3EndOfLife_Text10">Translation!$D$300</definedName>
    <definedName name="n2Data_12SoldProducts_3EndOfLife_Text101">Translation!$D$291</definedName>
    <definedName name="n2Data_12SoldProducts_3EndOfLife_Text11">Translation!$D$301</definedName>
    <definedName name="n2Data_12SoldProducts_3EndOfLife_Text12">Translation!$D$302</definedName>
    <definedName name="n2Data_12SoldProducts_3EndOfLife_Text13">Translation!$D$303</definedName>
    <definedName name="n2Data_12SoldProducts_3EndOfLife_Text14">Translation!$D$304</definedName>
    <definedName name="n2Data_12SoldProducts_3EndOfLife_Text2">Translation!$D$292</definedName>
    <definedName name="n2Data_12SoldProducts_3EndOfLife_Text3">Translation!$D$293</definedName>
    <definedName name="n2Data_12SoldProducts_3EndOfLife_Text4">Translation!$D$294</definedName>
    <definedName name="n2Data_12SoldProducts_3EndOfLife_Text5">Translation!$D$295</definedName>
    <definedName name="n2Data_12SoldProducts_3EndOfLife_Text6">Translation!$D$296</definedName>
    <definedName name="n2Data_12SoldProducts_3EndOfLife_Text7">Translation!$D$297</definedName>
    <definedName name="n2Data_12SoldProducts_3EndOfLife_Text8">Translation!$D$298</definedName>
    <definedName name="n2Data_12SoldProducts_3EndOfLife_Text9">Translation!$D$299</definedName>
    <definedName name="n2Data_13Franchise">Translation!$D$305</definedName>
    <definedName name="n2Data_13Franchise_Text1">Translation!$D$306</definedName>
    <definedName name="n2Data_13Franchise_Text101">Translation!$D$307</definedName>
    <definedName name="n2Data_13Franchise_Text2">Translation!$D$308</definedName>
    <definedName name="n2Data_14Investments">Translation!$D$309</definedName>
    <definedName name="n2Data_14Investments_Text1">Translation!$D$310</definedName>
    <definedName name="n2Data_14Investments_Text101">Translation!$D$311</definedName>
    <definedName name="n2Data_14Investments_Text2">Translation!$D$312</definedName>
    <definedName name="n2Data_14Investments_Text3">Translation!$D$313</definedName>
    <definedName name="n2Data_14Investments_Text4a">Translation!$D$314</definedName>
    <definedName name="n2Data_14Investments_Text4c">Translation!$D$316</definedName>
    <definedName name="n2Data_14nvestments_Text4b">Translation!$D$315</definedName>
    <definedName name="n2Data_1Instruction">Translation!$D$77</definedName>
    <definedName name="n2Data_1Instruction_Text1">Translation!$D$83</definedName>
    <definedName name="n2Data_1Instruction_Text2">Translation!$D$84</definedName>
    <definedName name="n2Data_1Instruction_Text3">Translation!$D$85</definedName>
    <definedName name="n2Data_1Instruction_Text4">Translation!$D$86</definedName>
    <definedName name="n2Data_1Instruction_Text5">Translation!$D$87</definedName>
    <definedName name="n2Data_1Instruction_Text6">Translation!$D$88</definedName>
    <definedName name="n2Data_2Index">Translation!$D$89</definedName>
    <definedName name="n2Data_3StationalryComb">Translation!$D$90</definedName>
    <definedName name="n2Data_3Stationary_1Owned">Translation!$D$91</definedName>
    <definedName name="n2Data_3Stationary_1Owned_Text1">Translation!$D$92</definedName>
    <definedName name="n2Data_3Stationary_1Owned_Text2">Translation!$D$93</definedName>
    <definedName name="n2Data_3Stationary_1Owned_Text3">Translation!$D$94</definedName>
    <definedName name="n2Data_3Stationary_1Owned_Text6">Translation!$D$95</definedName>
    <definedName name="n2Data_3Stationary_2OwnedDistrict">Translation!$D$96</definedName>
    <definedName name="n2Data_3Stationary_2OwnedDistrict_Text1">Translation!$D$97</definedName>
    <definedName name="n2Data_3Stationary_2OwnedDistrict_Text2">Translation!$D$98</definedName>
    <definedName name="n2Data_3Stationary_2OwnedDistrict_Text6">Translation!$D$99</definedName>
    <definedName name="n2Data_3Stationary_3Lessee">Translation!$D$100</definedName>
    <definedName name="n2Data_3Stationary_3Lessee_Text1">Translation!$D$101</definedName>
    <definedName name="n2Data_3Stationary_3Lessee_Text2">Translation!$D$102</definedName>
    <definedName name="n2Data_3Stationary_3Lessee_Text3">Translation!$D$103</definedName>
    <definedName name="n2Data_3Stationary_3Lessee_Text6">Translation!$D$104</definedName>
    <definedName name="n2Data_3Stationary_4LesseeDistrict">Translation!$D$105</definedName>
    <definedName name="n2Data_3Stationary_4LesseeDistrict_Text1">Translation!$D$106</definedName>
    <definedName name="n2Data_3Stationary_4LesseeDistrict_Text2">Translation!$D$107</definedName>
    <definedName name="n2Data_3Stationary_4LesseeDistrict_Text6">Translation!$D$108</definedName>
    <definedName name="n2Data_3Stationary_5Lessor">Translation!$D$109</definedName>
    <definedName name="n2Data_3Stationary_5Lessor_Text1">Translation!$D$110</definedName>
    <definedName name="n2Data_3Stationary_5Lessor_Text2">Translation!$D$111</definedName>
    <definedName name="n2Data_3Stationary_5Lessor_Text3">Translation!$D$112</definedName>
    <definedName name="n2Data_3Stationary_5Lessor_Text6">Translation!$D$113</definedName>
    <definedName name="n2Data_3Stationary_6LessorDistrict">Translation!$D$114</definedName>
    <definedName name="n2Data_3Stationary_6LessorDistrict_Text1">Translation!$D$115</definedName>
    <definedName name="n2Data_3Stationary_6LessorDistrict_Text2">Translation!$D$116</definedName>
    <definedName name="n2Data_3Stationary_6LessorDistrict_Text6">Translation!$D$117</definedName>
    <definedName name="n2Data_4Processes">Translation!$D$118</definedName>
    <definedName name="n2Data_4Processes_1directGHGE">Translation!$D$119</definedName>
    <definedName name="n2Data_4Processes_1directGHGE_Text1">Translation!$D$120</definedName>
    <definedName name="n2Data_4Processes_1directGHGE_Text2">Translation!$D$121</definedName>
    <definedName name="n2Data_4Processes_1directGHGE_Text3">Translation!$D$122</definedName>
    <definedName name="n2Data_4Processes_1directGHGE_Text4">Translation!$D$123</definedName>
    <definedName name="n2Data_4Processes_1directGHGE_Text5">Translation!$D$124</definedName>
    <definedName name="n2Data_4Processes_1directGHGE_Text6">Translation!$D$125</definedName>
    <definedName name="n2Data_4Processes_1directGHGE_Text7">Translation!$D$126</definedName>
    <definedName name="n2Data_4Processes_1directGHGE_Text8">Translation!$D$127</definedName>
    <definedName name="n2Data_4Processes_1directGHGE_Text9">Translation!$D$128</definedName>
    <definedName name="n2Data_5Fugitive">Translation!$D$129</definedName>
    <definedName name="n2Data_5Fugitive_1directGHGE">Translation!$D$130</definedName>
    <definedName name="n2Data_5Fugitive_1directGHGE_Text1">Translation!$D$131</definedName>
    <definedName name="n2Data_5Fugitive_1directGHGE_Text2">Translation!$D$132</definedName>
    <definedName name="n2Data_5Fugitive_1directGHGE_Text3">Translation!$D$133</definedName>
    <definedName name="n2Data_6Fleet">Translation!$D$134</definedName>
    <definedName name="n2Data_6Fleet_1Owend">Translation!$D$135</definedName>
    <definedName name="n2Data_6Fleet_1Owend_Text1">Translation!$D$136</definedName>
    <definedName name="n2Data_6Fleet_1Owend_Text2">Translation!$D$137</definedName>
    <definedName name="n2Data_6Fleet_1Owend_Text3">Translation!$D$138</definedName>
    <definedName name="n2Data_6Fleet_1Owend_Text4">Translation!$D$139</definedName>
    <definedName name="n2Data_6Fleet_1Owend_Text5">Translation!$D$140</definedName>
    <definedName name="n2Data_6Fleet_1Owend_Text6">Translation!$D$141</definedName>
    <definedName name="n2Data_6Fleet_1Owend_Text7a">Translation!$D$142</definedName>
    <definedName name="n2Data_6Fleet_1Owend_Text7b">Translation!$D$143</definedName>
    <definedName name="n2Data_6Fleet_1Owend_Text7c">Translation!$D$144</definedName>
    <definedName name="n2Data_6Fleet_1Owend_Text7d">Translation!$D$145</definedName>
    <definedName name="n2Data_6Fleet_1Owend_Text7e">Translation!$D$146</definedName>
    <definedName name="n2Data_6Fleet_2Lessee">Translation!$D$147</definedName>
    <definedName name="n2Data_6Fleet_2Lessee_Text1">Translation!$D$148</definedName>
    <definedName name="n2Data_6Fleet_2Lessee_Text2">Translation!$D$149</definedName>
    <definedName name="n2Data_6Fleet_2Lessee_Text3">Translation!$D$150</definedName>
    <definedName name="n2Data_6Fleet_2Lessee_Text4">Translation!$D$151</definedName>
    <definedName name="n2Data_6Fleet_2Lessee_Text5">Translation!$D$152</definedName>
    <definedName name="n2Data_6Fleet_2Lessee_Text6">Translation!$D$153</definedName>
    <definedName name="n2Data_6Fleet_2Lessee_Text7a">Translation!$D$154</definedName>
    <definedName name="n2Data_6Fleet_2Lessee_Text7b">Translation!$D$155</definedName>
    <definedName name="n2Data_6Fleet_2Lessee_Text7c">Translation!$D$156</definedName>
    <definedName name="n2Data_6Fleet_2Lessee_Text7d">Translation!$D$157</definedName>
    <definedName name="n2Data_6Fleet_2Lessee_Text7e">Translation!$D$158</definedName>
    <definedName name="n2Data_6Fleet_3Lessor">Translation!$D$159</definedName>
    <definedName name="n2Data_6Fleet_3Lessor_Text1">Translation!$D$160</definedName>
    <definedName name="n2Data_6Fleet_3Lessor_Text2">Translation!$D$161</definedName>
    <definedName name="n2Data_6Fleet_3Lessor_Text3">Translation!$D$162</definedName>
    <definedName name="n2Data_6Fleet_3Lessor_Text4">Translation!$D$163</definedName>
    <definedName name="n2Data_6Fleet_3Lessor_Text5">Translation!$D$164</definedName>
    <definedName name="n2Data_6Fleet_3Lessor_Text6">Translation!$D$165</definedName>
    <definedName name="n2Data_6Fleet_3Lessor_Text7a">Translation!$D$166</definedName>
    <definedName name="n2Data_6Fleet_3Lessor_Text7b">Translation!$D$167</definedName>
    <definedName name="n2Data_6Fleet_3Lessor_Text7c">Translation!$D$168</definedName>
    <definedName name="n2Data_6Fleet_3Lessor_Text7d">Translation!$D$169</definedName>
    <definedName name="n2Data_6Fleet_3Lessor_Text7e">Translation!$D$170</definedName>
    <definedName name="n2Data_7Electricity">Translation!$D$171</definedName>
    <definedName name="n2Data_7Electricity_1Owend">Translation!$D$172</definedName>
    <definedName name="n2Data_7Electricity_1Owend_Text1">Translation!$D$173</definedName>
    <definedName name="n2Data_7Electricity_1Owend_Text2">Translation!$D$174</definedName>
    <definedName name="n2Data_7Electricity_1Owend_Text3">Translation!$D$175</definedName>
    <definedName name="n2Data_7Electricity_1Owend_Text4a">Translation!$D$176</definedName>
    <definedName name="n2Data_7Electricity_1Owend_Text4b">Translation!$D$177</definedName>
    <definedName name="n2Data_7Electricity_1Owend_Text4c">Translation!$D$178</definedName>
    <definedName name="n2Data_7Electricity_1Owend_Text5">Translation!$D$179</definedName>
    <definedName name="n2Data_7Electricity_1Owend_Text6">Translation!$D$180</definedName>
    <definedName name="n2Data_7Electricity_2Lessee">Translation!$D$181</definedName>
    <definedName name="n2Data_7Electricity_2Lessee_Text1">Translation!$D$182</definedName>
    <definedName name="n2Data_7Electricity_2Lessee_Text2">Translation!$D$183</definedName>
    <definedName name="n2Data_7Electricity_2Lessee_Text3">Translation!$D$184</definedName>
    <definedName name="n2Data_7Electricity_2Lessee_Text4a">Translation!$D$185</definedName>
    <definedName name="n2Data_7Electricity_2Lessee_Text4b">Translation!$D$186</definedName>
    <definedName name="n2Data_7Electricity_2Lessee_Text4c">Translation!$D$187</definedName>
    <definedName name="n2Data_7Electricity_2Lessee_Text5">Translation!$D$188</definedName>
    <definedName name="n2Data_7Electricity_2Lessee_Text6">Translation!$D$189</definedName>
    <definedName name="n2Data_7Electricity_3Lessor">Translation!$D$190</definedName>
    <definedName name="n2Data_7Electricity_3Lessor_Text1">Translation!$D$191</definedName>
    <definedName name="n2Data_7Electricity_3Lessor_Text2">Translation!$D$192</definedName>
    <definedName name="n2Data_7Electricity_3Lessor_Text3">Translation!$D$193</definedName>
    <definedName name="n2Data_7Electricity_3Lessor_Text4a">Translation!$D$194</definedName>
    <definedName name="n2Data_7Electricity_3Lessor_Text4b">Translation!$D$195</definedName>
    <definedName name="n2Data_7Electricity_3Lessor_Text4c">Translation!$D$196</definedName>
    <definedName name="n2Data_7Electricity_3Lessor_Text5">Translation!$D$197</definedName>
    <definedName name="n2Data_7Electricity_3Lessor_Text6">Translation!$D$198</definedName>
    <definedName name="n2Data_8PurchasedGoods">Translation!$D$199</definedName>
    <definedName name="n2Data_8PurchasedGoods_1Quantity">Translation!$D$204</definedName>
    <definedName name="n2Data_8PurchasedGoods_1Quantity_Text1">Translation!$D$205</definedName>
    <definedName name="n2Data_8PurchasedGoods_1Quantity_Text2">Translation!$D$206</definedName>
    <definedName name="n2Data_8PurchasedGoods_1Quantity_Text3a">Translation!$D$207</definedName>
    <definedName name="n2Data_8PurchasedGoods_1Quantity_Text3b">Translation!$D$208</definedName>
    <definedName name="n2Data_8PurchasedGoods_1Quantity_Text3c">Translation!$D$209</definedName>
    <definedName name="n2Data_8PurchasedGoods_1Spend">Translation!$D$200</definedName>
    <definedName name="n2Data_8PurchasedGoods_1Spend_Text1">Translation!$D$201</definedName>
    <definedName name="n2Data_8PurchasedGoods_1Spend_Text2">Translation!$D$202</definedName>
    <definedName name="n2Data_8PurchasedGoods_1Spend_Text3">Translation!$D$203</definedName>
    <definedName name="n2Data_9CapitalGoods">Translation!$D$210</definedName>
    <definedName name="n2Data_9CapitalGoods_Text1">Translation!$D$211</definedName>
    <definedName name="n2Data_9CapitalGoods_Text2">Translation!$D$212</definedName>
    <definedName name="n2Data_9CapitalGoods_Text3">Translation!$D$213</definedName>
    <definedName name="n2Data_9CapitalGoods_Text4a">Translation!$D$214</definedName>
    <definedName name="n2Data_9CapitalGoods_Text4b">Translation!$D$215</definedName>
    <definedName name="n2Data_Text1">Translation!$D$76</definedName>
    <definedName name="n3Calculation">Translation!$D$317</definedName>
    <definedName name="n3Calculation_10_S3.1_SpendBased">Translation!$D$331</definedName>
    <definedName name="n3Calculation_11_S3.1_ProductBased">Translation!$D$332</definedName>
    <definedName name="n3Calculation_12_S3.2_CapitalGoods">Translation!$D$333</definedName>
    <definedName name="n3Calculation_13_S3.3_StationaryCombustion">Translation!$D$334</definedName>
    <definedName name="n3Calculation_14_S3.3_District">Translation!$D$335</definedName>
    <definedName name="n3Calculation_15.1_S3.3_ElectricityMarket">Translation!$D$336</definedName>
    <definedName name="n3Calculation_15.2_S3.3_ElectricityLocation">Translation!$D$337</definedName>
    <definedName name="n3Calculation_16_S3.3_FossilFleet">Translation!$D$338</definedName>
    <definedName name="n3Calculation_17.1_S3.3_elFleetMarket">Translation!$D$339</definedName>
    <definedName name="n3Calculation_17.2_S3.3_elFleetLocation">Translation!$D$340</definedName>
    <definedName name="n3Calculation_18_S3.4_UpstreamTransport">Translation!$D$341</definedName>
    <definedName name="n3Calculation_19_S3.5_Waste">Translation!$D$342</definedName>
    <definedName name="n3Calculation_1Instruction">Translation!$D$319</definedName>
    <definedName name="n3Calculation_1Instruction_Text1">Translation!$D$320</definedName>
    <definedName name="n3Calculation_20_S3.6_BusinessTravel">Translation!$D$343</definedName>
    <definedName name="n3Calculation_21_S3.7_EmployeeCommuting">Translation!$D$344</definedName>
    <definedName name="n3Calculation_22_S3.9_DownstreanTransport">Translation!$D$345</definedName>
    <definedName name="n3Calculation_23_S3.10_Processing">Translation!$D$346</definedName>
    <definedName name="n3Calculation_24_S3.11_Use">Translation!$D$347</definedName>
    <definedName name="n3Calculation_25_S3.12_EndOFLife">Translation!$D$348</definedName>
    <definedName name="n3Calculation_26_S3.14_Franchises">Translation!$D$349</definedName>
    <definedName name="n3Calculation_27_S3.15_Investments">Translation!$D$350</definedName>
    <definedName name="n3Calculation_28Upstream_StationaryDirect">Translation!$D$351</definedName>
    <definedName name="n3Calculation_29Upstream_StationaryIndirect">Translation!$D$352</definedName>
    <definedName name="n3Calculation_2Index">Translation!$D$321</definedName>
    <definedName name="n3Calculation_30Upstream_DistrictDirect">Translation!$D$353</definedName>
    <definedName name="n3Calculation_31Upstream_DistrictIndirect">Translation!$D$354</definedName>
    <definedName name="n3Calculation_32.1Upstream_ElectricityDirectMarket">Translation!$D$355</definedName>
    <definedName name="n3Calculation_32.2Upstream_ElectricityDirectLocation">Translation!$D$356</definedName>
    <definedName name="n3Calculation_33.1Upstream_ElectricityIndirectMarket">Translation!$D$357</definedName>
    <definedName name="n3Calculation_33.2Upstream_ElectricityIndirectLocation">Translation!$D$358</definedName>
    <definedName name="n3Calculation_34Upstream_MobileCombustionDirect">Translation!$D$359</definedName>
    <definedName name="n3Calculation_35Upstream_MobileCombustionIndirect">Translation!$D$360</definedName>
    <definedName name="n3Calculation_36.1Upstream_elFleetDirectMarket">Translation!$D$361</definedName>
    <definedName name="n3Calculation_36.2Upstream_elFleetDirectLocation">Translation!$D$362</definedName>
    <definedName name="n3Calculation_37.1Upstream_elFleetIndirectMarket">Translation!$D$363</definedName>
    <definedName name="n3Calculation_37.2Upstream_elFleetIndirectLocation">Translation!$D$364</definedName>
    <definedName name="n3Calculation_38Downstream_StationaryDirect">Translation!$D$365</definedName>
    <definedName name="n3Calculation_39Downstream_StationaryIndirect">Translation!$D$366</definedName>
    <definedName name="n3Calculation_3S1_StationaryCombustion">Translation!$D$322</definedName>
    <definedName name="n3Calculation_40Downstream_DistrictDirect">Translation!$D$367</definedName>
    <definedName name="n3Calculation_41Downstream_DistrictIndirect">Translation!$D$368</definedName>
    <definedName name="n3Calculation_42.1Downstream_ElectricityDirectMarket">Translation!$D$369</definedName>
    <definedName name="n3Calculation_42.2Downstream_ElectricityDirectLocation">Translation!$D$370</definedName>
    <definedName name="n3Calculation_43.1Downstream_ElectricityIndirectMarket">Translation!$D$371</definedName>
    <definedName name="n3Calculation_43.2Downstream_ElectricityIndirectLocation">Translation!$D$372</definedName>
    <definedName name="n3Calculation_44Downstream_MobileCombustionDirect">Translation!$D$373</definedName>
    <definedName name="n3Calculation_45Downstream_MobileCombustionIndirect">Translation!$D$374</definedName>
    <definedName name="n3Calculation_46.1Downstream_elFleetDirectMarket">Translation!$D$375</definedName>
    <definedName name="n3Calculation_46.2Downstream_elFleetDirectLoation">Translation!$D$376</definedName>
    <definedName name="n3Calculation_47.1Downstream_elFleetIndirectMarket">Translation!$D$377</definedName>
    <definedName name="n3Calculation_47.2Downstream_elFleetIndirectLocation">Translation!$D$378</definedName>
    <definedName name="n3Calculation_4S1_FugitiveEmissions">Translation!$D$323</definedName>
    <definedName name="n3Calculation_5S1_MobileCombustion">Translation!$D$324</definedName>
    <definedName name="n3Calculation_6S1_ProcessEmissions">Translation!$D$325</definedName>
    <definedName name="n3Calculation_7.1_S2_ElectricityMarket">Translation!$D$326</definedName>
    <definedName name="n3Calculation_7.2_S2_ElectricityLocation">Translation!$D$327</definedName>
    <definedName name="n3Calculation_8S2_District">Translation!$D$328</definedName>
    <definedName name="n3Calculation_9.1_S2_FleetMarket">Translation!$D$329</definedName>
    <definedName name="n3Calculation_9.2_S2_FleetLocation">Translation!$D$330</definedName>
    <definedName name="n3Calculation_Text1">Translation!$D$318</definedName>
    <definedName name="n4Dashboard">Translation!$D$379</definedName>
    <definedName name="n4Dashboard_1Instruction">Translation!$D$381</definedName>
    <definedName name="n4Dashboard_1Instruction_Text1">Translation!$D$382</definedName>
    <definedName name="n4Dashboard_2TotalEmissions">Translation!$D$383</definedName>
    <definedName name="n4Dashboard_2TotalEmissions_location">Translation!$D$385</definedName>
    <definedName name="n4Dashboard_2TotalEmissions_market">Translation!$D$384</definedName>
    <definedName name="n4Dashboard_2TotalEmissions_metric1">Translation!$D$386</definedName>
    <definedName name="n4Dashboard_2TotalEmissions_metric2">Translation!$D$387</definedName>
    <definedName name="n4Dashboard_2TotalEmissions_metric3">Translation!$D$388</definedName>
    <definedName name="n4Dashboard_2TotalEmissions_Text1">Translation!$D$389</definedName>
    <definedName name="n4Dashboard_2TotalEmissions_Text10">Translation!$D$398</definedName>
    <definedName name="n4Dashboard_2TotalEmissions_Text11">Translation!$D$399</definedName>
    <definedName name="n4Dashboard_2TotalEmissions_Text12">Translation!$D$400</definedName>
    <definedName name="n4Dashboard_2TotalEmissions_Text13">Translation!$D$401</definedName>
    <definedName name="n4Dashboard_2TotalEmissions_Text14">Translation!$D$402</definedName>
    <definedName name="n4Dashboard_2TotalEmissions_Text15">Translation!$D$403</definedName>
    <definedName name="n4Dashboard_2TotalEmissions_Text16">Translation!$D$404</definedName>
    <definedName name="n4Dashboard_2TotalEmissions_Text17">Translation!$D$405</definedName>
    <definedName name="n4Dashboard_2TotalEmissions_Text18">Translation!$D$406</definedName>
    <definedName name="n4Dashboard_2TotalEmissions_Text19">Translation!$D$407</definedName>
    <definedName name="n4Dashboard_2TotalEmissions_Text2">Translation!$D$390</definedName>
    <definedName name="n4Dashboard_2TotalEmissions_Text20">Translation!$D$408</definedName>
    <definedName name="n4Dashboard_2TotalEmissions_Text21">Translation!$D$409</definedName>
    <definedName name="n4Dashboard_2TotalEmissions_Text22">Translation!$D$410</definedName>
    <definedName name="n4Dashboard_2TotalEmissions_Text3">Translation!$D$391</definedName>
    <definedName name="n4Dashboard_2TotalEmissions_Text4">Translation!$D$392</definedName>
    <definedName name="n4Dashboard_2TotalEmissions_Text5">Translation!$D$393</definedName>
    <definedName name="n4Dashboard_2TotalEmissions_Text6">Translation!$D$394</definedName>
    <definedName name="n4Dashboard_2TotalEmissions_Text7">Translation!$D$395</definedName>
    <definedName name="n4Dashboard_2TotalEmissions_Text8">Translation!$D$396</definedName>
    <definedName name="n4Dashboard_2TotalEmissions_Text9">Translation!$D$397</definedName>
    <definedName name="n4Dashboard_3Graphs">Translation!$D$411</definedName>
    <definedName name="n4Dashboard_3Graphs_Text1">Translation!$D$412</definedName>
    <definedName name="n4Dashboard_3Graphs_Text2">Translation!$D$413</definedName>
    <definedName name="n4Dashboard_3Graphs_Text3">Translation!$D$414</definedName>
    <definedName name="n4Dashboard_3Graphs_Text4">Translation!$D$415</definedName>
    <definedName name="n4Dashboard_3Graphs_Text5">Translation!$D$416</definedName>
    <definedName name="n4Dashboard_Text1">Translation!$D$380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9" l="1" a="1"/>
  <c r="F57" i="19" s="1"/>
  <c r="G57" i="19" a="1"/>
  <c r="G57" i="19" s="1"/>
  <c r="E57" i="19" a="1"/>
  <c r="E57" i="19" s="1"/>
  <c r="D693" i="21" l="1"/>
  <c r="D692" i="21"/>
  <c r="D668" i="21"/>
  <c r="D667" i="21"/>
  <c r="E507" i="20" a="1"/>
  <c r="E507" i="20" s="1"/>
  <c r="F57" i="20" l="1" a="1"/>
  <c r="F57" i="20" s="1"/>
  <c r="E357" i="21"/>
  <c r="D439" i="20" a="1"/>
  <c r="D439" i="20" s="1"/>
  <c r="E179" i="20" a="1"/>
  <c r="E179" i="20" s="1"/>
  <c r="E180" i="20" a="1"/>
  <c r="E180" i="20" s="1"/>
  <c r="E57" i="20" a="1"/>
  <c r="E57" i="20" s="1"/>
  <c r="E58" i="20" a="1"/>
  <c r="E58" i="20" s="1"/>
  <c r="E118" i="20" a="1"/>
  <c r="E118" i="20" s="1"/>
  <c r="G622" i="20" a="1"/>
  <c r="G622" i="20" s="1"/>
  <c r="D411" i="18" a="1"/>
  <c r="D411" i="18" s="1"/>
  <c r="B13" i="23" s="1"/>
  <c r="D412" i="18" a="1"/>
  <c r="D412" i="18" s="1"/>
  <c r="C16" i="23" s="1"/>
  <c r="D413" i="18" a="1"/>
  <c r="D413" i="18" s="1"/>
  <c r="C24" i="23" s="1"/>
  <c r="D414" i="18" a="1"/>
  <c r="D414" i="18" s="1"/>
  <c r="C28" i="23" s="1"/>
  <c r="D415" i="18" a="1"/>
  <c r="D415" i="18" s="1"/>
  <c r="K22" i="23" s="1"/>
  <c r="D416" i="18" a="1"/>
  <c r="D416" i="18" s="1"/>
  <c r="K35" i="23" s="1"/>
  <c r="D386" i="18" a="1"/>
  <c r="D386" i="18" s="1"/>
  <c r="D387" i="18" a="1"/>
  <c r="D387" i="18" s="1"/>
  <c r="D388" i="18" a="1"/>
  <c r="D388" i="18" s="1"/>
  <c r="S34" i="23"/>
  <c r="T165" i="23"/>
  <c r="T164" i="23"/>
  <c r="T163" i="23"/>
  <c r="T162" i="23"/>
  <c r="T161" i="23"/>
  <c r="T160" i="23"/>
  <c r="T159" i="23"/>
  <c r="T158" i="23"/>
  <c r="T157" i="23"/>
  <c r="T156" i="23"/>
  <c r="T155" i="23"/>
  <c r="T154" i="23"/>
  <c r="T153" i="23"/>
  <c r="T152" i="23"/>
  <c r="T151" i="23"/>
  <c r="T150" i="23"/>
  <c r="T149" i="23"/>
  <c r="T148" i="23"/>
  <c r="T147" i="23"/>
  <c r="T146" i="23"/>
  <c r="T145" i="23"/>
  <c r="T144" i="23"/>
  <c r="T143" i="23"/>
  <c r="T142" i="23"/>
  <c r="T141" i="23"/>
  <c r="T140" i="23"/>
  <c r="T139" i="23"/>
  <c r="T138" i="23"/>
  <c r="T137" i="23"/>
  <c r="T136" i="23"/>
  <c r="T135" i="23"/>
  <c r="T134" i="23"/>
  <c r="T133" i="23"/>
  <c r="T132" i="23"/>
  <c r="T131" i="23"/>
  <c r="T130" i="23"/>
  <c r="T129" i="23"/>
  <c r="T128" i="23"/>
  <c r="T127" i="23"/>
  <c r="T126" i="23"/>
  <c r="T125" i="23"/>
  <c r="T124" i="23"/>
  <c r="T123" i="23"/>
  <c r="T122" i="23"/>
  <c r="T121" i="23"/>
  <c r="T120" i="23"/>
  <c r="T119" i="23"/>
  <c r="T118" i="23"/>
  <c r="T117" i="23"/>
  <c r="T116" i="23"/>
  <c r="T115" i="23"/>
  <c r="T114" i="23"/>
  <c r="T113" i="23"/>
  <c r="T112" i="23"/>
  <c r="T111" i="23"/>
  <c r="T110" i="23"/>
  <c r="T109" i="23"/>
  <c r="T108" i="23"/>
  <c r="T107" i="23"/>
  <c r="T106" i="23"/>
  <c r="T105" i="23"/>
  <c r="T104" i="23"/>
  <c r="T103" i="23"/>
  <c r="T102" i="23"/>
  <c r="T101" i="23"/>
  <c r="T100" i="23"/>
  <c r="T99" i="23"/>
  <c r="T98" i="23"/>
  <c r="T97" i="23"/>
  <c r="T96" i="23"/>
  <c r="T95" i="23"/>
  <c r="T94" i="23"/>
  <c r="T93" i="23"/>
  <c r="T92" i="23"/>
  <c r="T91" i="23"/>
  <c r="T90" i="23"/>
  <c r="T89" i="23"/>
  <c r="T88" i="23"/>
  <c r="T87" i="23"/>
  <c r="T86" i="23"/>
  <c r="T85" i="23"/>
  <c r="T84" i="23"/>
  <c r="T83" i="23"/>
  <c r="T82" i="23"/>
  <c r="T81" i="23"/>
  <c r="T80" i="23"/>
  <c r="T79" i="23"/>
  <c r="T78" i="23"/>
  <c r="T77" i="23"/>
  <c r="T76" i="23"/>
  <c r="T75" i="23"/>
  <c r="T74" i="23"/>
  <c r="T73" i="23"/>
  <c r="T72" i="23"/>
  <c r="T71" i="23"/>
  <c r="T70" i="23"/>
  <c r="T69" i="23"/>
  <c r="T68" i="23"/>
  <c r="T67" i="23"/>
  <c r="T66" i="23"/>
  <c r="T65" i="23"/>
  <c r="T64" i="23"/>
  <c r="T63" i="23"/>
  <c r="T62" i="23"/>
  <c r="T61" i="23"/>
  <c r="T60" i="23"/>
  <c r="T59" i="23"/>
  <c r="T58" i="23"/>
  <c r="T57" i="23"/>
  <c r="T56" i="23"/>
  <c r="T55" i="23"/>
  <c r="T54" i="23"/>
  <c r="T53" i="23"/>
  <c r="T52" i="23"/>
  <c r="T51" i="23"/>
  <c r="T50" i="23"/>
  <c r="T49" i="23"/>
  <c r="T48" i="23"/>
  <c r="T47" i="23"/>
  <c r="T46" i="23"/>
  <c r="T45" i="23"/>
  <c r="T44" i="23"/>
  <c r="T43" i="23"/>
  <c r="T42" i="23"/>
  <c r="T41" i="23"/>
  <c r="T40" i="23"/>
  <c r="V165" i="23"/>
  <c r="V164" i="23"/>
  <c r="V163" i="23"/>
  <c r="V162" i="23"/>
  <c r="V161" i="23"/>
  <c r="V160" i="23"/>
  <c r="V159" i="23"/>
  <c r="V158" i="23"/>
  <c r="V157" i="23"/>
  <c r="V156" i="23"/>
  <c r="V155" i="23"/>
  <c r="V154" i="23"/>
  <c r="V153" i="23"/>
  <c r="V152" i="23"/>
  <c r="V151" i="23"/>
  <c r="V150" i="23"/>
  <c r="V149" i="23"/>
  <c r="V148" i="23"/>
  <c r="V147" i="23"/>
  <c r="V146" i="23"/>
  <c r="V145" i="23"/>
  <c r="V144" i="23"/>
  <c r="V143" i="23"/>
  <c r="V142" i="23"/>
  <c r="V141" i="23"/>
  <c r="V140" i="23"/>
  <c r="V139" i="23"/>
  <c r="V138" i="23"/>
  <c r="V137" i="23"/>
  <c r="V136" i="23"/>
  <c r="V135" i="23"/>
  <c r="V134" i="23"/>
  <c r="V133" i="23"/>
  <c r="V132" i="23"/>
  <c r="V131" i="23"/>
  <c r="V130" i="23"/>
  <c r="V129" i="23"/>
  <c r="V128" i="23"/>
  <c r="V127" i="23"/>
  <c r="V126" i="23"/>
  <c r="V125" i="23"/>
  <c r="V124" i="23"/>
  <c r="V123" i="23"/>
  <c r="V122" i="23"/>
  <c r="V121" i="23"/>
  <c r="V120" i="23"/>
  <c r="V119" i="23"/>
  <c r="V118" i="23"/>
  <c r="V117" i="23"/>
  <c r="V116" i="23"/>
  <c r="V115" i="23"/>
  <c r="V114" i="23"/>
  <c r="V113" i="23"/>
  <c r="V112" i="23"/>
  <c r="V111" i="23"/>
  <c r="V110" i="23"/>
  <c r="V109" i="23"/>
  <c r="V108" i="23"/>
  <c r="V107" i="23"/>
  <c r="V106" i="23"/>
  <c r="V105" i="23"/>
  <c r="V104" i="23"/>
  <c r="V103" i="23"/>
  <c r="V102" i="23"/>
  <c r="V101" i="23"/>
  <c r="V100" i="23"/>
  <c r="V99" i="23"/>
  <c r="V98" i="23"/>
  <c r="V97" i="23"/>
  <c r="V96" i="23"/>
  <c r="V95" i="23"/>
  <c r="V94" i="23"/>
  <c r="V93" i="23"/>
  <c r="V92" i="23"/>
  <c r="V91" i="23"/>
  <c r="V90" i="23"/>
  <c r="V89" i="23"/>
  <c r="V88" i="23"/>
  <c r="V87" i="23"/>
  <c r="V86" i="23"/>
  <c r="V85" i="23"/>
  <c r="V84" i="23"/>
  <c r="V83" i="23"/>
  <c r="V82" i="23"/>
  <c r="V81" i="23"/>
  <c r="V80" i="23"/>
  <c r="V79" i="23"/>
  <c r="V78" i="23"/>
  <c r="V77" i="23"/>
  <c r="V76" i="23"/>
  <c r="V75" i="23"/>
  <c r="V74" i="23"/>
  <c r="V73" i="23"/>
  <c r="V72" i="23"/>
  <c r="V71" i="23"/>
  <c r="V70" i="23"/>
  <c r="V69" i="23"/>
  <c r="V68" i="23"/>
  <c r="V67" i="23"/>
  <c r="V66" i="23"/>
  <c r="V65" i="23"/>
  <c r="V64" i="23"/>
  <c r="V63" i="23"/>
  <c r="V62" i="23"/>
  <c r="V61" i="23"/>
  <c r="V47" i="23"/>
  <c r="V48" i="23"/>
  <c r="V49" i="23"/>
  <c r="V50" i="23"/>
  <c r="V51" i="23"/>
  <c r="V52" i="23"/>
  <c r="V53" i="23"/>
  <c r="V54" i="23"/>
  <c r="V55" i="23"/>
  <c r="V56" i="23"/>
  <c r="V57" i="23"/>
  <c r="V58" i="23"/>
  <c r="V59" i="23"/>
  <c r="V60" i="23"/>
  <c r="V46" i="23"/>
  <c r="V45" i="23"/>
  <c r="V44" i="23"/>
  <c r="V41" i="23"/>
  <c r="V42" i="23"/>
  <c r="V43" i="23"/>
  <c r="V40" i="23"/>
  <c r="G77" i="23" l="1" a="1"/>
  <c r="G77" i="23" s="1"/>
  <c r="C30" i="23" s="1"/>
  <c r="D77" i="23" a="1"/>
  <c r="D77" i="23" s="1"/>
  <c r="H77" i="23"/>
  <c r="U65" i="23" s="1"/>
  <c r="E77" i="23"/>
  <c r="I77" i="23"/>
  <c r="U84" i="23" s="1"/>
  <c r="F77" i="23"/>
  <c r="K46" i="16" a="1"/>
  <c r="K46" i="16" s="1"/>
  <c r="C290" i="21" s="1"/>
  <c r="I290" i="21" s="1" a="1"/>
  <c r="I290" i="21" s="1"/>
  <c r="E290" i="21" s="1"/>
  <c r="C980" i="21"/>
  <c r="D980" i="21"/>
  <c r="H980" i="21" s="1"/>
  <c r="C955" i="21"/>
  <c r="D955" i="21"/>
  <c r="G955" i="21" s="1"/>
  <c r="C934" i="21"/>
  <c r="I934" i="21" s="1" a="1"/>
  <c r="I934" i="21" s="1"/>
  <c r="E934" i="21" s="1"/>
  <c r="D934" i="21"/>
  <c r="C935" i="21"/>
  <c r="I935" i="21" s="1" a="1"/>
  <c r="I935" i="21" s="1"/>
  <c r="E935" i="21" s="1"/>
  <c r="D935" i="21"/>
  <c r="C908" i="21"/>
  <c r="I908" i="21" s="1" a="1"/>
  <c r="I908" i="21" s="1"/>
  <c r="H908" i="21" s="1"/>
  <c r="D908" i="21"/>
  <c r="C909" i="21"/>
  <c r="I909" i="21" s="1" a="1"/>
  <c r="I909" i="21" s="1"/>
  <c r="D909" i="21"/>
  <c r="C755" i="21"/>
  <c r="D755" i="21"/>
  <c r="C729" i="21"/>
  <c r="D729" i="21"/>
  <c r="C708" i="21"/>
  <c r="I708" i="21" s="1" a="1"/>
  <c r="I708" i="21" s="1"/>
  <c r="D708" i="21"/>
  <c r="C709" i="21"/>
  <c r="I709" i="21" s="1" a="1"/>
  <c r="I709" i="21" s="1"/>
  <c r="D709" i="21"/>
  <c r="C683" i="21"/>
  <c r="I683" i="21" s="1" a="1"/>
  <c r="I683" i="21" s="1"/>
  <c r="E683" i="21" s="1"/>
  <c r="F683" i="21" s="1"/>
  <c r="D683" i="21"/>
  <c r="C684" i="21"/>
  <c r="I684" i="21" s="1" a="1"/>
  <c r="I684" i="21" s="1"/>
  <c r="E684" i="21" s="1"/>
  <c r="F684" i="21" s="1"/>
  <c r="D684" i="21"/>
  <c r="C325" i="21"/>
  <c r="I325" i="21" s="1" a="1"/>
  <c r="I325" i="21" s="1"/>
  <c r="D325" i="21"/>
  <c r="C326" i="21"/>
  <c r="I326" i="21" s="1" a="1"/>
  <c r="I326" i="21" s="1"/>
  <c r="D326" i="21"/>
  <c r="D868" i="21"/>
  <c r="D869" i="21"/>
  <c r="D870" i="21"/>
  <c r="D871" i="21"/>
  <c r="D872" i="21"/>
  <c r="D873" i="21"/>
  <c r="D874" i="21"/>
  <c r="D875" i="21"/>
  <c r="D876" i="21"/>
  <c r="D877" i="21"/>
  <c r="D841" i="21"/>
  <c r="D842" i="21"/>
  <c r="D843" i="21"/>
  <c r="D844" i="21"/>
  <c r="D845" i="21"/>
  <c r="D846" i="21"/>
  <c r="D847" i="21"/>
  <c r="D848" i="21"/>
  <c r="D849" i="21"/>
  <c r="D850" i="21"/>
  <c r="D821" i="21"/>
  <c r="D822" i="21"/>
  <c r="D823" i="21"/>
  <c r="D824" i="21"/>
  <c r="D825" i="21"/>
  <c r="D826" i="21"/>
  <c r="D827" i="21"/>
  <c r="D828" i="21"/>
  <c r="D829" i="21"/>
  <c r="D830" i="21"/>
  <c r="D643" i="21"/>
  <c r="D644" i="21"/>
  <c r="D645" i="21"/>
  <c r="D646" i="21"/>
  <c r="D647" i="21"/>
  <c r="D648" i="21"/>
  <c r="D649" i="21"/>
  <c r="D650" i="21"/>
  <c r="D651" i="21"/>
  <c r="D652" i="21"/>
  <c r="D596" i="21"/>
  <c r="D597" i="21"/>
  <c r="D598" i="21"/>
  <c r="D599" i="21"/>
  <c r="D600" i="21"/>
  <c r="D601" i="21"/>
  <c r="D602" i="21"/>
  <c r="D603" i="21"/>
  <c r="D604" i="21"/>
  <c r="D605" i="21"/>
  <c r="D112" i="21"/>
  <c r="D113" i="21"/>
  <c r="D114" i="21"/>
  <c r="D115" i="21"/>
  <c r="D116" i="21"/>
  <c r="D117" i="21"/>
  <c r="D118" i="21"/>
  <c r="D119" i="21"/>
  <c r="D120" i="21"/>
  <c r="D121" i="21"/>
  <c r="E986" i="21"/>
  <c r="E968" i="21"/>
  <c r="E969" i="21"/>
  <c r="E970" i="21"/>
  <c r="E971" i="21"/>
  <c r="E972" i="21"/>
  <c r="E973" i="21"/>
  <c r="E974" i="21"/>
  <c r="E975" i="21"/>
  <c r="E976" i="21"/>
  <c r="E977" i="21"/>
  <c r="E978" i="21"/>
  <c r="E979" i="21"/>
  <c r="E980" i="21"/>
  <c r="G980" i="21"/>
  <c r="D968" i="21"/>
  <c r="H968" i="21" s="1"/>
  <c r="E961" i="21"/>
  <c r="E943" i="21"/>
  <c r="E944" i="21"/>
  <c r="E945" i="21"/>
  <c r="E946" i="21"/>
  <c r="E947" i="21"/>
  <c r="E948" i="21"/>
  <c r="E949" i="21"/>
  <c r="E950" i="21"/>
  <c r="E951" i="21"/>
  <c r="E952" i="21"/>
  <c r="E953" i="21"/>
  <c r="E954" i="21"/>
  <c r="E955" i="21"/>
  <c r="H955" i="21"/>
  <c r="D943" i="21"/>
  <c r="H943" i="21" s="1"/>
  <c r="E918" i="21"/>
  <c r="E919" i="21"/>
  <c r="D919" i="21"/>
  <c r="D918" i="21"/>
  <c r="H918" i="21" s="1"/>
  <c r="E892" i="21"/>
  <c r="E893" i="21"/>
  <c r="E895" i="21"/>
  <c r="D893" i="21"/>
  <c r="G893" i="21" s="1"/>
  <c r="D892" i="21"/>
  <c r="H892" i="21" s="1"/>
  <c r="E883" i="21"/>
  <c r="E884" i="21"/>
  <c r="C868" i="21"/>
  <c r="I868" i="21" s="1"/>
  <c r="E868" i="21" s="1"/>
  <c r="C869" i="21"/>
  <c r="I869" i="21" s="1"/>
  <c r="E869" i="21" s="1"/>
  <c r="C870" i="21"/>
  <c r="I870" i="21" s="1"/>
  <c r="C871" i="21"/>
  <c r="I871" i="21" s="1"/>
  <c r="E871" i="21" s="1"/>
  <c r="C872" i="21"/>
  <c r="I872" i="21" s="1"/>
  <c r="C873" i="21"/>
  <c r="I873" i="21" s="1"/>
  <c r="E873" i="21" s="1"/>
  <c r="C874" i="21"/>
  <c r="I874" i="21" s="1"/>
  <c r="E874" i="21" s="1"/>
  <c r="C875" i="21"/>
  <c r="I875" i="21" s="1"/>
  <c r="E875" i="21" s="1"/>
  <c r="C876" i="21"/>
  <c r="I876" i="21" s="1"/>
  <c r="C877" i="21"/>
  <c r="I877" i="21" s="1"/>
  <c r="E877" i="21" s="1"/>
  <c r="D865" i="21"/>
  <c r="E856" i="21"/>
  <c r="E857" i="21"/>
  <c r="C841" i="21"/>
  <c r="I841" i="21" s="1"/>
  <c r="E841" i="21" s="1"/>
  <c r="C842" i="21"/>
  <c r="I842" i="21" s="1"/>
  <c r="E842" i="21" s="1"/>
  <c r="F842" i="21" s="1"/>
  <c r="C843" i="21"/>
  <c r="I843" i="21" s="1"/>
  <c r="C844" i="21"/>
  <c r="I844" i="21" s="1"/>
  <c r="E844" i="21" s="1"/>
  <c r="C845" i="21"/>
  <c r="I845" i="21" s="1"/>
  <c r="H845" i="21" s="1"/>
  <c r="C846" i="21"/>
  <c r="I846" i="21" s="1"/>
  <c r="E846" i="21" s="1"/>
  <c r="C847" i="21"/>
  <c r="I847" i="21" s="1"/>
  <c r="H847" i="21" s="1"/>
  <c r="C848" i="21"/>
  <c r="I848" i="21" s="1"/>
  <c r="E848" i="21" s="1"/>
  <c r="F848" i="21" s="1"/>
  <c r="C849" i="21"/>
  <c r="I849" i="21" s="1"/>
  <c r="G849" i="21" s="1"/>
  <c r="C850" i="21"/>
  <c r="I850" i="21" s="1"/>
  <c r="E850" i="21" s="1"/>
  <c r="D838" i="21"/>
  <c r="C821" i="21"/>
  <c r="I821" i="21" s="1" a="1"/>
  <c r="I821" i="21" s="1"/>
  <c r="C822" i="21"/>
  <c r="I822" i="21" s="1" a="1"/>
  <c r="I822" i="21" s="1"/>
  <c r="E822" i="21" s="1"/>
  <c r="F822" i="21" s="1"/>
  <c r="C823" i="21"/>
  <c r="I823" i="21" s="1" a="1"/>
  <c r="I823" i="21" s="1"/>
  <c r="C824" i="21"/>
  <c r="I824" i="21" s="1" a="1"/>
  <c r="I824" i="21" s="1"/>
  <c r="H824" i="21" s="1"/>
  <c r="C825" i="21"/>
  <c r="I825" i="21" s="1" a="1"/>
  <c r="I825" i="21" s="1"/>
  <c r="C826" i="21"/>
  <c r="I826" i="21" s="1" a="1"/>
  <c r="I826" i="21" s="1"/>
  <c r="E826" i="21" s="1"/>
  <c r="C827" i="21"/>
  <c r="I827" i="21" s="1" a="1"/>
  <c r="I827" i="21" s="1"/>
  <c r="E827" i="21" s="1"/>
  <c r="C828" i="21"/>
  <c r="I828" i="21" s="1" a="1"/>
  <c r="I828" i="21" s="1"/>
  <c r="E828" i="21" s="1"/>
  <c r="F828" i="21" s="1"/>
  <c r="C829" i="21"/>
  <c r="I829" i="21" s="1" a="1"/>
  <c r="I829" i="21" s="1"/>
  <c r="C830" i="21"/>
  <c r="I830" i="21" s="1" a="1"/>
  <c r="I830" i="21" s="1"/>
  <c r="E830" i="21" s="1"/>
  <c r="F830" i="21" s="1"/>
  <c r="C804" i="21"/>
  <c r="I804" i="21" s="1" a="1"/>
  <c r="I804" i="21" s="1"/>
  <c r="E804" i="21" s="1"/>
  <c r="C805" i="21"/>
  <c r="I805" i="21" s="1" a="1"/>
  <c r="I805" i="21" s="1"/>
  <c r="E805" i="21" s="1"/>
  <c r="C806" i="21"/>
  <c r="I806" i="21" s="1" a="1"/>
  <c r="I806" i="21" s="1"/>
  <c r="E806" i="21" s="1"/>
  <c r="C807" i="21"/>
  <c r="I807" i="21" s="1" a="1"/>
  <c r="I807" i="21" s="1"/>
  <c r="E807" i="21" s="1"/>
  <c r="C808" i="21"/>
  <c r="I808" i="21" s="1" a="1"/>
  <c r="I808" i="21" s="1"/>
  <c r="E808" i="21" s="1"/>
  <c r="C809" i="21"/>
  <c r="I809" i="21" s="1" a="1"/>
  <c r="I809" i="21" s="1"/>
  <c r="E809" i="21" s="1"/>
  <c r="C810" i="21"/>
  <c r="I810" i="21" s="1" a="1"/>
  <c r="I810" i="21" s="1"/>
  <c r="E810" i="21" s="1"/>
  <c r="C811" i="21"/>
  <c r="I811" i="21" s="1" a="1"/>
  <c r="I811" i="21" s="1"/>
  <c r="E811" i="21" s="1"/>
  <c r="C812" i="21"/>
  <c r="I812" i="21" s="1" a="1"/>
  <c r="I812" i="21" s="1"/>
  <c r="E812" i="21" s="1"/>
  <c r="C813" i="21"/>
  <c r="I813" i="21" s="1" a="1"/>
  <c r="I813" i="21" s="1"/>
  <c r="E813" i="21" s="1"/>
  <c r="D813" i="21"/>
  <c r="D812" i="21"/>
  <c r="D811" i="21"/>
  <c r="D810" i="21"/>
  <c r="D809" i="21"/>
  <c r="D808" i="21"/>
  <c r="D807" i="21"/>
  <c r="D806" i="21"/>
  <c r="D805" i="21"/>
  <c r="D804" i="21"/>
  <c r="C787" i="21"/>
  <c r="I787" i="21" s="1" a="1"/>
  <c r="I787" i="21" s="1"/>
  <c r="E787" i="21" s="1"/>
  <c r="C788" i="21"/>
  <c r="I788" i="21" s="1" a="1"/>
  <c r="I788" i="21" s="1"/>
  <c r="E788" i="21" s="1"/>
  <c r="C789" i="21"/>
  <c r="I789" i="21" s="1" a="1"/>
  <c r="I789" i="21" s="1"/>
  <c r="E789" i="21" s="1"/>
  <c r="C790" i="21"/>
  <c r="I790" i="21" s="1" a="1"/>
  <c r="I790" i="21" s="1"/>
  <c r="E790" i="21" s="1"/>
  <c r="C791" i="21"/>
  <c r="I791" i="21" s="1" a="1"/>
  <c r="I791" i="21" s="1"/>
  <c r="E791" i="21" s="1"/>
  <c r="C792" i="21"/>
  <c r="I792" i="21" s="1" a="1"/>
  <c r="I792" i="21" s="1"/>
  <c r="E792" i="21" s="1"/>
  <c r="C793" i="21"/>
  <c r="I793" i="21" s="1" a="1"/>
  <c r="I793" i="21" s="1"/>
  <c r="E793" i="21" s="1"/>
  <c r="C794" i="21"/>
  <c r="I794" i="21" s="1" a="1"/>
  <c r="I794" i="21" s="1"/>
  <c r="E794" i="21" s="1"/>
  <c r="C795" i="21"/>
  <c r="I795" i="21" s="1" a="1"/>
  <c r="I795" i="21" s="1"/>
  <c r="E795" i="21" s="1"/>
  <c r="C796" i="21"/>
  <c r="I796" i="21" s="1" a="1"/>
  <c r="I796" i="21" s="1"/>
  <c r="E796" i="21" s="1"/>
  <c r="C770" i="21"/>
  <c r="I770" i="21" s="1" a="1"/>
  <c r="I770" i="21" s="1"/>
  <c r="E770" i="21" s="1"/>
  <c r="C771" i="21"/>
  <c r="I771" i="21" s="1" a="1"/>
  <c r="I771" i="21" s="1"/>
  <c r="E771" i="21" s="1"/>
  <c r="C772" i="21"/>
  <c r="I772" i="21" s="1" a="1"/>
  <c r="I772" i="21" s="1"/>
  <c r="E772" i="21" s="1"/>
  <c r="C773" i="21"/>
  <c r="I773" i="21" s="1" a="1"/>
  <c r="I773" i="21" s="1"/>
  <c r="E773" i="21" s="1"/>
  <c r="C774" i="21"/>
  <c r="I774" i="21" s="1" a="1"/>
  <c r="I774" i="21" s="1"/>
  <c r="E774" i="21" s="1"/>
  <c r="C775" i="21"/>
  <c r="I775" i="21" s="1" a="1"/>
  <c r="I775" i="21" s="1"/>
  <c r="E775" i="21" s="1"/>
  <c r="C776" i="21"/>
  <c r="I776" i="21" s="1" a="1"/>
  <c r="I776" i="21" s="1"/>
  <c r="E776" i="21" s="1"/>
  <c r="C777" i="21"/>
  <c r="I777" i="21" s="1" a="1"/>
  <c r="I777" i="21" s="1"/>
  <c r="E777" i="21" s="1"/>
  <c r="C778" i="21"/>
  <c r="I778" i="21" s="1" a="1"/>
  <c r="I778" i="21" s="1"/>
  <c r="E778" i="21" s="1"/>
  <c r="C779" i="21"/>
  <c r="I779" i="21" s="1" a="1"/>
  <c r="I779" i="21" s="1"/>
  <c r="E779" i="21" s="1"/>
  <c r="E761" i="21"/>
  <c r="E743" i="21"/>
  <c r="E744" i="21"/>
  <c r="E745" i="21"/>
  <c r="E746" i="21"/>
  <c r="E747" i="21"/>
  <c r="E748" i="21"/>
  <c r="E749" i="21"/>
  <c r="E750" i="21"/>
  <c r="E751" i="21"/>
  <c r="E752" i="21"/>
  <c r="E753" i="21"/>
  <c r="E754" i="21"/>
  <c r="E755" i="21"/>
  <c r="F755" i="21" s="1"/>
  <c r="H755" i="21"/>
  <c r="G755" i="21"/>
  <c r="D743" i="21"/>
  <c r="E735" i="21"/>
  <c r="E717" i="21"/>
  <c r="E718" i="21"/>
  <c r="E719" i="21"/>
  <c r="E720" i="21"/>
  <c r="E721" i="21"/>
  <c r="E722" i="21"/>
  <c r="E723" i="21"/>
  <c r="E724" i="21"/>
  <c r="E725" i="21"/>
  <c r="E726" i="21"/>
  <c r="E727" i="21"/>
  <c r="E728" i="21"/>
  <c r="E729" i="21"/>
  <c r="F729" i="21" s="1"/>
  <c r="H729" i="21"/>
  <c r="G729" i="21"/>
  <c r="D717" i="21"/>
  <c r="G717" i="21" s="1"/>
  <c r="E709" i="21"/>
  <c r="G709" i="21"/>
  <c r="E692" i="21"/>
  <c r="E693" i="21"/>
  <c r="H693" i="21"/>
  <c r="G692" i="21"/>
  <c r="H684" i="21"/>
  <c r="E667" i="21"/>
  <c r="E668" i="21"/>
  <c r="G667" i="21"/>
  <c r="E658" i="21"/>
  <c r="E659" i="21"/>
  <c r="C643" i="21"/>
  <c r="I643" i="21" s="1"/>
  <c r="E643" i="21" s="1"/>
  <c r="F643" i="21" s="1"/>
  <c r="C644" i="21"/>
  <c r="I644" i="21" s="1"/>
  <c r="E644" i="21" s="1"/>
  <c r="F644" i="21" s="1"/>
  <c r="C645" i="21"/>
  <c r="I645" i="21" s="1"/>
  <c r="H645" i="21" s="1"/>
  <c r="C646" i="21"/>
  <c r="I646" i="21" s="1"/>
  <c r="E646" i="21" s="1"/>
  <c r="C647" i="21"/>
  <c r="I647" i="21" s="1"/>
  <c r="C648" i="21"/>
  <c r="I648" i="21" s="1"/>
  <c r="G648" i="21" s="1"/>
  <c r="C649" i="21"/>
  <c r="I649" i="21" s="1"/>
  <c r="E649" i="21" s="1"/>
  <c r="C650" i="21"/>
  <c r="I650" i="21" s="1"/>
  <c r="C651" i="21"/>
  <c r="I651" i="21" s="1"/>
  <c r="E651" i="21" s="1"/>
  <c r="C652" i="21"/>
  <c r="I652" i="21" s="1"/>
  <c r="H652" i="21" s="1"/>
  <c r="D640" i="21"/>
  <c r="E631" i="21"/>
  <c r="E632" i="21"/>
  <c r="C616" i="21"/>
  <c r="I616" i="21" s="1"/>
  <c r="E616" i="21" s="1"/>
  <c r="C617" i="21"/>
  <c r="I617" i="21" s="1"/>
  <c r="E617" i="21" s="1"/>
  <c r="C618" i="21"/>
  <c r="I618" i="21" s="1"/>
  <c r="E618" i="21" s="1"/>
  <c r="C619" i="21"/>
  <c r="I619" i="21" s="1"/>
  <c r="C620" i="21"/>
  <c r="I620" i="21" s="1"/>
  <c r="E620" i="21" s="1"/>
  <c r="C621" i="21"/>
  <c r="I621" i="21" s="1"/>
  <c r="E621" i="21" s="1"/>
  <c r="C622" i="21"/>
  <c r="I622" i="21" s="1"/>
  <c r="E622" i="21" s="1"/>
  <c r="C623" i="21"/>
  <c r="I623" i="21" s="1"/>
  <c r="E623" i="21" s="1"/>
  <c r="C624" i="21"/>
  <c r="I624" i="21" s="1"/>
  <c r="E624" i="21" s="1"/>
  <c r="C625" i="21"/>
  <c r="I625" i="21" s="1"/>
  <c r="D625" i="21"/>
  <c r="D624" i="21"/>
  <c r="D623" i="21"/>
  <c r="D622" i="21"/>
  <c r="D621" i="21"/>
  <c r="D620" i="21"/>
  <c r="D619" i="21"/>
  <c r="D618" i="21"/>
  <c r="D617" i="21"/>
  <c r="D616" i="21"/>
  <c r="D613" i="21"/>
  <c r="C596" i="21"/>
  <c r="I596" i="21" s="1" a="1"/>
  <c r="I596" i="21" s="1"/>
  <c r="H596" i="21" s="1"/>
  <c r="C597" i="21"/>
  <c r="I597" i="21" s="1" a="1"/>
  <c r="I597" i="21" s="1"/>
  <c r="E597" i="21" s="1"/>
  <c r="F597" i="21" s="1"/>
  <c r="C598" i="21"/>
  <c r="I598" i="21" s="1" a="1"/>
  <c r="I598" i="21" s="1"/>
  <c r="C599" i="21"/>
  <c r="I599" i="21" s="1" a="1"/>
  <c r="I599" i="21" s="1"/>
  <c r="C600" i="21"/>
  <c r="I600" i="21" s="1" a="1"/>
  <c r="I600" i="21" s="1"/>
  <c r="E600" i="21" s="1"/>
  <c r="C601" i="21"/>
  <c r="I601" i="21" s="1" a="1"/>
  <c r="I601" i="21" s="1"/>
  <c r="C602" i="21"/>
  <c r="I602" i="21" s="1" a="1"/>
  <c r="I602" i="21" s="1"/>
  <c r="H602" i="21" s="1"/>
  <c r="C603" i="21"/>
  <c r="I603" i="21" s="1" a="1"/>
  <c r="I603" i="21" s="1"/>
  <c r="C604" i="21"/>
  <c r="I604" i="21" s="1" a="1"/>
  <c r="I604" i="21" s="1"/>
  <c r="C605" i="21"/>
  <c r="I605" i="21" s="1" a="1"/>
  <c r="I605" i="21" s="1"/>
  <c r="E605" i="21" s="1"/>
  <c r="F605" i="21" s="1"/>
  <c r="C579" i="21"/>
  <c r="I579" i="21" s="1" a="1"/>
  <c r="I579" i="21" s="1"/>
  <c r="E579" i="21" s="1"/>
  <c r="C580" i="21"/>
  <c r="I580" i="21" s="1" a="1"/>
  <c r="I580" i="21" s="1"/>
  <c r="C581" i="21"/>
  <c r="I581" i="21" s="1" a="1"/>
  <c r="I581" i="21" s="1"/>
  <c r="E581" i="21" s="1"/>
  <c r="C582" i="21"/>
  <c r="I582" i="21" s="1" a="1"/>
  <c r="I582" i="21" s="1"/>
  <c r="E582" i="21" s="1"/>
  <c r="C583" i="21"/>
  <c r="I583" i="21" s="1" a="1"/>
  <c r="I583" i="21" s="1"/>
  <c r="E583" i="21" s="1"/>
  <c r="C584" i="21"/>
  <c r="I584" i="21" s="1" a="1"/>
  <c r="I584" i="21" s="1"/>
  <c r="E584" i="21" s="1"/>
  <c r="C585" i="21"/>
  <c r="I585" i="21" s="1" a="1"/>
  <c r="I585" i="21" s="1"/>
  <c r="E585" i="21" s="1"/>
  <c r="C586" i="21"/>
  <c r="I586" i="21" s="1" a="1"/>
  <c r="I586" i="21" s="1"/>
  <c r="E586" i="21" s="1"/>
  <c r="C587" i="21"/>
  <c r="I587" i="21" s="1" a="1"/>
  <c r="I587" i="21" s="1"/>
  <c r="E587" i="21" s="1"/>
  <c r="C588" i="21"/>
  <c r="I588" i="21" s="1" a="1"/>
  <c r="I588" i="21" s="1"/>
  <c r="E588" i="21" s="1"/>
  <c r="D588" i="21"/>
  <c r="D587" i="21"/>
  <c r="D586" i="21"/>
  <c r="D585" i="21"/>
  <c r="D584" i="21"/>
  <c r="D583" i="21"/>
  <c r="D582" i="21"/>
  <c r="D581" i="21"/>
  <c r="D580" i="21"/>
  <c r="D579" i="21"/>
  <c r="C562" i="21"/>
  <c r="I562" i="21" s="1" a="1"/>
  <c r="I562" i="21" s="1"/>
  <c r="E562" i="21" s="1"/>
  <c r="C563" i="21"/>
  <c r="I563" i="21" s="1" a="1"/>
  <c r="I563" i="21" s="1"/>
  <c r="E563" i="21" s="1"/>
  <c r="C564" i="21"/>
  <c r="I564" i="21" s="1" a="1"/>
  <c r="I564" i="21" s="1"/>
  <c r="E564" i="21" s="1"/>
  <c r="C565" i="21"/>
  <c r="I565" i="21" s="1" a="1"/>
  <c r="I565" i="21" s="1"/>
  <c r="E565" i="21" s="1"/>
  <c r="C566" i="21"/>
  <c r="I566" i="21" s="1" a="1"/>
  <c r="I566" i="21" s="1"/>
  <c r="E566" i="21" s="1"/>
  <c r="C567" i="21"/>
  <c r="I567" i="21" s="1" a="1"/>
  <c r="I567" i="21" s="1"/>
  <c r="E567" i="21" s="1"/>
  <c r="C568" i="21"/>
  <c r="I568" i="21" s="1" a="1"/>
  <c r="I568" i="21" s="1"/>
  <c r="E568" i="21" s="1"/>
  <c r="C569" i="21"/>
  <c r="I569" i="21" s="1" a="1"/>
  <c r="I569" i="21" s="1"/>
  <c r="E569" i="21" s="1"/>
  <c r="C570" i="21"/>
  <c r="I570" i="21" s="1" a="1"/>
  <c r="I570" i="21" s="1"/>
  <c r="E570" i="21" s="1"/>
  <c r="C571" i="21"/>
  <c r="I571" i="21" s="1" a="1"/>
  <c r="I571" i="21" s="1"/>
  <c r="E571" i="21" s="1"/>
  <c r="C545" i="21"/>
  <c r="I545" i="21" s="1" a="1"/>
  <c r="I545" i="21" s="1"/>
  <c r="E545" i="21" s="1"/>
  <c r="C546" i="21"/>
  <c r="I546" i="21" s="1" a="1"/>
  <c r="I546" i="21" s="1"/>
  <c r="E546" i="21" s="1"/>
  <c r="C547" i="21"/>
  <c r="I547" i="21" s="1" a="1"/>
  <c r="I547" i="21" s="1"/>
  <c r="E547" i="21" s="1"/>
  <c r="C548" i="21"/>
  <c r="I548" i="21" s="1" a="1"/>
  <c r="I548" i="21" s="1"/>
  <c r="E548" i="21" s="1"/>
  <c r="C549" i="21"/>
  <c r="I549" i="21" s="1" a="1"/>
  <c r="I549" i="21" s="1"/>
  <c r="E549" i="21" s="1"/>
  <c r="C550" i="21"/>
  <c r="I550" i="21" s="1" a="1"/>
  <c r="I550" i="21" s="1"/>
  <c r="E550" i="21" s="1"/>
  <c r="C551" i="21"/>
  <c r="I551" i="21" s="1" a="1"/>
  <c r="I551" i="21" s="1"/>
  <c r="E551" i="21" s="1"/>
  <c r="C552" i="21"/>
  <c r="I552" i="21" s="1" a="1"/>
  <c r="I552" i="21" s="1"/>
  <c r="E552" i="21" s="1"/>
  <c r="C553" i="21"/>
  <c r="I553" i="21" s="1" a="1"/>
  <c r="I553" i="21" s="1"/>
  <c r="E553" i="21" s="1"/>
  <c r="C554" i="21"/>
  <c r="I554" i="21" s="1" a="1"/>
  <c r="I554" i="21" s="1"/>
  <c r="E554" i="21" s="1"/>
  <c r="C515" i="21"/>
  <c r="I515" i="21" s="1" a="1"/>
  <c r="I515" i="21" s="1"/>
  <c r="E515" i="21" s="1"/>
  <c r="C516" i="21"/>
  <c r="I516" i="21" s="1" a="1"/>
  <c r="I516" i="21" s="1"/>
  <c r="E516" i="21" s="1"/>
  <c r="C517" i="21"/>
  <c r="I517" i="21" s="1" a="1"/>
  <c r="I517" i="21" s="1"/>
  <c r="E517" i="21" s="1"/>
  <c r="C518" i="21"/>
  <c r="I518" i="21" s="1" a="1"/>
  <c r="I518" i="21" s="1"/>
  <c r="E518" i="21" s="1"/>
  <c r="C519" i="21"/>
  <c r="I519" i="21" s="1" a="1"/>
  <c r="I519" i="21" s="1"/>
  <c r="E519" i="21" s="1"/>
  <c r="C520" i="21"/>
  <c r="I520" i="21" s="1" a="1"/>
  <c r="I520" i="21" s="1"/>
  <c r="E520" i="21" s="1"/>
  <c r="C521" i="21"/>
  <c r="I521" i="21" s="1" a="1"/>
  <c r="I521" i="21" s="1"/>
  <c r="E521" i="21" s="1"/>
  <c r="C522" i="21"/>
  <c r="I522" i="21" s="1" a="1"/>
  <c r="I522" i="21" s="1"/>
  <c r="E522" i="21" s="1"/>
  <c r="C523" i="21"/>
  <c r="I523" i="21" s="1" a="1"/>
  <c r="I523" i="21" s="1"/>
  <c r="E523" i="21" s="1"/>
  <c r="C524" i="21"/>
  <c r="I524" i="21" s="1" a="1"/>
  <c r="I524" i="21" s="1"/>
  <c r="E524" i="21" s="1"/>
  <c r="C525" i="21"/>
  <c r="I525" i="21" s="1" a="1"/>
  <c r="I525" i="21" s="1"/>
  <c r="E525" i="21" s="1"/>
  <c r="C526" i="21"/>
  <c r="I526" i="21" s="1" a="1"/>
  <c r="I526" i="21" s="1"/>
  <c r="E526" i="21" s="1"/>
  <c r="C527" i="21"/>
  <c r="I527" i="21" s="1" a="1"/>
  <c r="I527" i="21" s="1"/>
  <c r="E527" i="21" s="1"/>
  <c r="C528" i="21"/>
  <c r="I528" i="21" s="1" a="1"/>
  <c r="I528" i="21" s="1"/>
  <c r="E528" i="21" s="1"/>
  <c r="C529" i="21"/>
  <c r="I529" i="21" s="1" a="1"/>
  <c r="I529" i="21" s="1"/>
  <c r="E529" i="21" s="1"/>
  <c r="C530" i="21"/>
  <c r="I530" i="21" s="1" a="1"/>
  <c r="I530" i="21" s="1"/>
  <c r="E530" i="21" s="1"/>
  <c r="C531" i="21"/>
  <c r="I531" i="21" s="1" a="1"/>
  <c r="I531" i="21" s="1"/>
  <c r="E531" i="21" s="1"/>
  <c r="C532" i="21"/>
  <c r="I532" i="21" s="1" a="1"/>
  <c r="I532" i="21" s="1"/>
  <c r="E532" i="21" s="1"/>
  <c r="C533" i="21"/>
  <c r="I533" i="21" s="1" a="1"/>
  <c r="I533" i="21" s="1"/>
  <c r="E533" i="21" s="1"/>
  <c r="C534" i="21"/>
  <c r="I534" i="21" s="1" a="1"/>
  <c r="I534" i="21" s="1"/>
  <c r="E534" i="21" s="1"/>
  <c r="D534" i="21"/>
  <c r="D533" i="21"/>
  <c r="D532" i="21"/>
  <c r="D531" i="21"/>
  <c r="D530" i="21"/>
  <c r="D529" i="21"/>
  <c r="D528" i="21"/>
  <c r="D527" i="21"/>
  <c r="D526" i="21"/>
  <c r="D525" i="21"/>
  <c r="D524" i="21"/>
  <c r="D523" i="21"/>
  <c r="D522" i="21"/>
  <c r="D521" i="21"/>
  <c r="D520" i="21"/>
  <c r="D519" i="21"/>
  <c r="D518" i="21"/>
  <c r="D517" i="21"/>
  <c r="D516" i="21"/>
  <c r="D515" i="21"/>
  <c r="D512" i="21"/>
  <c r="E512" i="21"/>
  <c r="E502" i="21"/>
  <c r="E503" i="21"/>
  <c r="D503" i="21"/>
  <c r="G503" i="21" s="1"/>
  <c r="D502" i="21"/>
  <c r="G502" i="21" s="1"/>
  <c r="E482" i="21"/>
  <c r="E483" i="21"/>
  <c r="E484" i="21"/>
  <c r="E485" i="21"/>
  <c r="E486" i="21"/>
  <c r="E487" i="21"/>
  <c r="E488" i="21"/>
  <c r="E489" i="21"/>
  <c r="E490" i="21"/>
  <c r="E491" i="21"/>
  <c r="E492" i="21"/>
  <c r="E493" i="21"/>
  <c r="D493" i="21"/>
  <c r="H493" i="21" s="1"/>
  <c r="D492" i="21"/>
  <c r="G492" i="21" s="1"/>
  <c r="D491" i="21"/>
  <c r="D490" i="21"/>
  <c r="G490" i="21" s="1"/>
  <c r="D489" i="21"/>
  <c r="H489" i="21" s="1"/>
  <c r="D488" i="21"/>
  <c r="H488" i="21" s="1"/>
  <c r="D487" i="21"/>
  <c r="G487" i="21" s="1"/>
  <c r="D486" i="21"/>
  <c r="G486" i="21" s="1"/>
  <c r="D485" i="21"/>
  <c r="D484" i="21"/>
  <c r="G484" i="21" s="1"/>
  <c r="D483" i="21"/>
  <c r="H483" i="21" s="1"/>
  <c r="D482" i="21"/>
  <c r="H482" i="21" s="1"/>
  <c r="C463" i="21"/>
  <c r="I463" i="21" s="1" a="1"/>
  <c r="I463" i="21" s="1"/>
  <c r="E463" i="21" s="1"/>
  <c r="C464" i="21"/>
  <c r="I464" i="21" s="1" a="1"/>
  <c r="I464" i="21" s="1"/>
  <c r="E464" i="21" s="1"/>
  <c r="C465" i="21"/>
  <c r="I465" i="21" s="1" a="1"/>
  <c r="I465" i="21" s="1"/>
  <c r="E465" i="21" s="1"/>
  <c r="C466" i="21"/>
  <c r="I466" i="21" s="1" a="1"/>
  <c r="I466" i="21" s="1"/>
  <c r="E466" i="21" s="1"/>
  <c r="C467" i="21"/>
  <c r="I467" i="21" s="1" a="1"/>
  <c r="I467" i="21" s="1"/>
  <c r="E467" i="21" s="1"/>
  <c r="C468" i="21"/>
  <c r="I468" i="21" s="1" a="1"/>
  <c r="I468" i="21" s="1"/>
  <c r="E468" i="21" s="1"/>
  <c r="C469" i="21"/>
  <c r="I469" i="21" s="1" a="1"/>
  <c r="I469" i="21" s="1"/>
  <c r="E469" i="21" s="1"/>
  <c r="C470" i="21"/>
  <c r="I470" i="21" s="1" a="1"/>
  <c r="I470" i="21" s="1"/>
  <c r="E470" i="21" s="1"/>
  <c r="C471" i="21"/>
  <c r="I471" i="21" s="1" a="1"/>
  <c r="I471" i="21" s="1"/>
  <c r="E471" i="21" s="1"/>
  <c r="C472" i="21"/>
  <c r="I472" i="21" s="1" a="1"/>
  <c r="I472" i="21" s="1"/>
  <c r="E472" i="21" s="1"/>
  <c r="C473" i="21"/>
  <c r="I473" i="21" s="1" a="1"/>
  <c r="I473" i="21" s="1"/>
  <c r="E473" i="21" s="1"/>
  <c r="E458" i="21"/>
  <c r="E459" i="21"/>
  <c r="D459" i="21"/>
  <c r="G459" i="21" s="1"/>
  <c r="D458" i="21"/>
  <c r="H458" i="21" s="1"/>
  <c r="C439" i="21"/>
  <c r="I439" i="21" s="1" a="1"/>
  <c r="I439" i="21" s="1"/>
  <c r="E439" i="21" s="1"/>
  <c r="C440" i="21"/>
  <c r="I440" i="21" s="1" a="1"/>
  <c r="I440" i="21" s="1"/>
  <c r="E440" i="21" s="1"/>
  <c r="C441" i="21"/>
  <c r="I441" i="21" s="1" a="1"/>
  <c r="I441" i="21" s="1"/>
  <c r="E441" i="21" s="1"/>
  <c r="C442" i="21"/>
  <c r="I442" i="21" s="1" a="1"/>
  <c r="I442" i="21" s="1"/>
  <c r="E442" i="21" s="1"/>
  <c r="C443" i="21"/>
  <c r="I443" i="21" s="1" a="1"/>
  <c r="I443" i="21" s="1"/>
  <c r="E443" i="21" s="1"/>
  <c r="C444" i="21"/>
  <c r="I444" i="21" s="1" a="1"/>
  <c r="I444" i="21" s="1"/>
  <c r="E444" i="21" s="1"/>
  <c r="C445" i="21"/>
  <c r="I445" i="21" s="1" a="1"/>
  <c r="I445" i="21" s="1"/>
  <c r="E445" i="21" s="1"/>
  <c r="C446" i="21"/>
  <c r="I446" i="21" s="1" a="1"/>
  <c r="I446" i="21" s="1"/>
  <c r="E446" i="21" s="1"/>
  <c r="C447" i="21"/>
  <c r="I447" i="21" s="1" a="1"/>
  <c r="I447" i="21" s="1"/>
  <c r="E447" i="21" s="1"/>
  <c r="C448" i="21"/>
  <c r="I448" i="21" s="1" a="1"/>
  <c r="I448" i="21" s="1"/>
  <c r="E448" i="21" s="1"/>
  <c r="C449" i="21"/>
  <c r="I449" i="21" s="1" a="1"/>
  <c r="I449" i="21" s="1"/>
  <c r="E449" i="21" s="1"/>
  <c r="E434" i="21"/>
  <c r="E435" i="21"/>
  <c r="D435" i="21"/>
  <c r="H435" i="21" s="1"/>
  <c r="D434" i="21"/>
  <c r="G434" i="21" s="1"/>
  <c r="E422" i="21"/>
  <c r="E423" i="21"/>
  <c r="E424" i="21"/>
  <c r="E425" i="21"/>
  <c r="D425" i="21"/>
  <c r="G425" i="21" s="1"/>
  <c r="D424" i="21"/>
  <c r="D423" i="21"/>
  <c r="G423" i="21" s="1"/>
  <c r="D422" i="21"/>
  <c r="G422" i="21" s="1"/>
  <c r="E408" i="21"/>
  <c r="E409" i="21"/>
  <c r="E410" i="21"/>
  <c r="E411" i="21"/>
  <c r="E412" i="21"/>
  <c r="E413" i="21"/>
  <c r="D413" i="21"/>
  <c r="D412" i="21"/>
  <c r="D411" i="21"/>
  <c r="D410" i="21"/>
  <c r="H410" i="21" s="1"/>
  <c r="D409" i="21"/>
  <c r="D408" i="21"/>
  <c r="H408" i="21" s="1"/>
  <c r="D405" i="21"/>
  <c r="E405" i="21"/>
  <c r="E388" i="21"/>
  <c r="E389" i="21"/>
  <c r="E390" i="21"/>
  <c r="E391" i="21"/>
  <c r="E392" i="21"/>
  <c r="E393" i="21"/>
  <c r="E394" i="21"/>
  <c r="E395" i="21"/>
  <c r="E396" i="21"/>
  <c r="D396" i="21"/>
  <c r="D395" i="21"/>
  <c r="G395" i="21" s="1"/>
  <c r="D394" i="21"/>
  <c r="G394" i="21" s="1"/>
  <c r="D393" i="21"/>
  <c r="H393" i="21" s="1"/>
  <c r="D392" i="21"/>
  <c r="D391" i="21"/>
  <c r="H391" i="21" s="1"/>
  <c r="D390" i="21"/>
  <c r="D389" i="21"/>
  <c r="H389" i="21" s="1"/>
  <c r="D388" i="21"/>
  <c r="E368" i="21"/>
  <c r="E369" i="21"/>
  <c r="E370" i="21"/>
  <c r="E371" i="21"/>
  <c r="E372" i="21"/>
  <c r="E373" i="21"/>
  <c r="E374" i="21"/>
  <c r="E375" i="21"/>
  <c r="E376" i="21"/>
  <c r="E377" i="21"/>
  <c r="E378" i="21"/>
  <c r="E379" i="21"/>
  <c r="D379" i="21"/>
  <c r="D378" i="21"/>
  <c r="H378" i="21" s="1"/>
  <c r="D377" i="21"/>
  <c r="D376" i="21"/>
  <c r="H376" i="21" s="1"/>
  <c r="D375" i="21"/>
  <c r="D374" i="21"/>
  <c r="H374" i="21" s="1"/>
  <c r="D373" i="21"/>
  <c r="D372" i="21"/>
  <c r="G372" i="21" s="1"/>
  <c r="D371" i="21"/>
  <c r="D370" i="21"/>
  <c r="H370" i="21" s="1"/>
  <c r="D369" i="21"/>
  <c r="D368" i="21"/>
  <c r="H368" i="21" s="1"/>
  <c r="E356" i="21"/>
  <c r="E358" i="21"/>
  <c r="E359" i="21"/>
  <c r="D359" i="21"/>
  <c r="H359" i="21" s="1"/>
  <c r="D358" i="21"/>
  <c r="D357" i="21"/>
  <c r="H357" i="21" s="1"/>
  <c r="D356" i="21"/>
  <c r="E348" i="21"/>
  <c r="E332" i="21"/>
  <c r="E333" i="21"/>
  <c r="E334" i="21"/>
  <c r="E335" i="21"/>
  <c r="E336" i="21"/>
  <c r="E337" i="21"/>
  <c r="E338" i="21"/>
  <c r="E339" i="21"/>
  <c r="E340" i="21"/>
  <c r="E341" i="21"/>
  <c r="E342" i="21"/>
  <c r="D332" i="21"/>
  <c r="E325" i="21"/>
  <c r="F325" i="21" s="1"/>
  <c r="E326" i="21"/>
  <c r="F326" i="21" s="1"/>
  <c r="H326" i="21"/>
  <c r="G326" i="21"/>
  <c r="E309" i="21"/>
  <c r="E310" i="21"/>
  <c r="E302" i="21"/>
  <c r="E303" i="21"/>
  <c r="C136" i="21"/>
  <c r="C137" i="21"/>
  <c r="C138" i="21"/>
  <c r="C139" i="21"/>
  <c r="C140" i="21"/>
  <c r="C141" i="21"/>
  <c r="C142" i="21"/>
  <c r="C143" i="21"/>
  <c r="C144" i="21"/>
  <c r="C145" i="21"/>
  <c r="C234" i="21"/>
  <c r="I234" i="21" s="1" a="1"/>
  <c r="I234" i="21" s="1"/>
  <c r="E234" i="21" s="1"/>
  <c r="C235" i="21"/>
  <c r="I235" i="21" s="1" a="1"/>
  <c r="I235" i="21" s="1"/>
  <c r="E235" i="21" s="1"/>
  <c r="C236" i="21"/>
  <c r="I236" i="21" s="1" a="1"/>
  <c r="I236" i="21" s="1"/>
  <c r="E236" i="21" s="1"/>
  <c r="C237" i="21"/>
  <c r="I237" i="21" s="1" a="1"/>
  <c r="I237" i="21" s="1"/>
  <c r="E237" i="21" s="1"/>
  <c r="C238" i="21"/>
  <c r="I238" i="21" s="1" a="1"/>
  <c r="I238" i="21" s="1"/>
  <c r="E238" i="21" s="1"/>
  <c r="C239" i="21"/>
  <c r="I239" i="21" s="1" a="1"/>
  <c r="I239" i="21" s="1"/>
  <c r="E239" i="21" s="1"/>
  <c r="C240" i="21"/>
  <c r="I240" i="21" s="1" a="1"/>
  <c r="I240" i="21" s="1"/>
  <c r="E240" i="21" s="1"/>
  <c r="C241" i="21"/>
  <c r="I241" i="21" s="1" a="1"/>
  <c r="I241" i="21" s="1"/>
  <c r="E241" i="21" s="1"/>
  <c r="C242" i="21"/>
  <c r="I242" i="21" s="1" a="1"/>
  <c r="I242" i="21" s="1"/>
  <c r="E242" i="21" s="1"/>
  <c r="C243" i="21"/>
  <c r="I243" i="21" s="1" a="1"/>
  <c r="I243" i="21" s="1"/>
  <c r="E243" i="21" s="1"/>
  <c r="C244" i="21"/>
  <c r="I244" i="21" s="1" a="1"/>
  <c r="I244" i="21" s="1"/>
  <c r="E244" i="21" s="1"/>
  <c r="D244" i="21"/>
  <c r="D243" i="21"/>
  <c r="D242" i="21"/>
  <c r="D241" i="21"/>
  <c r="D240" i="21"/>
  <c r="D239" i="21"/>
  <c r="D238" i="21"/>
  <c r="D237" i="21"/>
  <c r="D236" i="21"/>
  <c r="D235" i="21"/>
  <c r="D234" i="21"/>
  <c r="C206" i="21"/>
  <c r="I206" i="21" s="1"/>
  <c r="C207" i="21"/>
  <c r="I207" i="21" s="1"/>
  <c r="E207" i="21" s="1"/>
  <c r="C208" i="21"/>
  <c r="I208" i="21" s="1"/>
  <c r="E208" i="21" s="1"/>
  <c r="C209" i="21"/>
  <c r="I209" i="21" s="1"/>
  <c r="E209" i="21" s="1"/>
  <c r="C210" i="21"/>
  <c r="I210" i="21" s="1"/>
  <c r="E210" i="21" s="1"/>
  <c r="C211" i="21"/>
  <c r="I211" i="21" s="1"/>
  <c r="E211" i="21" s="1"/>
  <c r="C212" i="21"/>
  <c r="I212" i="21" s="1"/>
  <c r="E212" i="21" s="1"/>
  <c r="C213" i="21"/>
  <c r="I213" i="21" s="1"/>
  <c r="E213" i="21" s="1"/>
  <c r="C214" i="21"/>
  <c r="I214" i="21" s="1"/>
  <c r="E214" i="21" s="1"/>
  <c r="C215" i="21"/>
  <c r="I215" i="21" s="1"/>
  <c r="C216" i="21"/>
  <c r="I216" i="21" s="1"/>
  <c r="E216" i="21" s="1"/>
  <c r="C217" i="21"/>
  <c r="I217" i="21" s="1"/>
  <c r="E217" i="21" s="1"/>
  <c r="C218" i="21"/>
  <c r="I218" i="21" s="1"/>
  <c r="E218" i="21" s="1"/>
  <c r="C219" i="21"/>
  <c r="I219" i="21" s="1"/>
  <c r="E219" i="21" s="1"/>
  <c r="C220" i="21"/>
  <c r="I220" i="21" s="1"/>
  <c r="E220" i="21" s="1"/>
  <c r="C221" i="21"/>
  <c r="I221" i="21" s="1"/>
  <c r="E221" i="21" s="1"/>
  <c r="C222" i="21"/>
  <c r="I222" i="21" s="1"/>
  <c r="E222" i="21" s="1"/>
  <c r="C223" i="21"/>
  <c r="I223" i="21" s="1"/>
  <c r="E223" i="21" s="1"/>
  <c r="C224" i="21"/>
  <c r="I224" i="21" s="1"/>
  <c r="E224" i="21" s="1"/>
  <c r="C225" i="21"/>
  <c r="I225" i="21" s="1"/>
  <c r="E225" i="21" s="1"/>
  <c r="D225" i="21"/>
  <c r="D224" i="21"/>
  <c r="D223" i="21"/>
  <c r="D222" i="21"/>
  <c r="D221" i="21"/>
  <c r="D220" i="21"/>
  <c r="D219" i="21"/>
  <c r="D218" i="21"/>
  <c r="D217" i="21"/>
  <c r="D216" i="21"/>
  <c r="D215" i="21"/>
  <c r="D214" i="21"/>
  <c r="D213" i="21"/>
  <c r="D212" i="21"/>
  <c r="D211" i="21"/>
  <c r="D210" i="21"/>
  <c r="D209" i="21"/>
  <c r="D208" i="21"/>
  <c r="D207" i="21"/>
  <c r="D206" i="21"/>
  <c r="C179" i="21"/>
  <c r="I179" i="21" s="1" a="1"/>
  <c r="I179" i="21" s="1"/>
  <c r="E179" i="21" s="1"/>
  <c r="C180" i="21"/>
  <c r="I180" i="21" s="1" a="1"/>
  <c r="I180" i="21" s="1"/>
  <c r="E180" i="21" s="1"/>
  <c r="C181" i="21"/>
  <c r="I181" i="21" s="1" a="1"/>
  <c r="I181" i="21" s="1"/>
  <c r="E181" i="21" s="1"/>
  <c r="C182" i="21"/>
  <c r="I182" i="21" s="1" a="1"/>
  <c r="I182" i="21" s="1"/>
  <c r="E182" i="21" s="1"/>
  <c r="C183" i="21"/>
  <c r="I183" i="21" s="1" a="1"/>
  <c r="I183" i="21" s="1"/>
  <c r="E183" i="21" s="1"/>
  <c r="C184" i="21"/>
  <c r="I184" i="21" s="1" a="1"/>
  <c r="I184" i="21" s="1"/>
  <c r="E184" i="21" s="1"/>
  <c r="C185" i="21"/>
  <c r="I185" i="21" s="1" a="1"/>
  <c r="I185" i="21" s="1"/>
  <c r="E185" i="21" s="1"/>
  <c r="C186" i="21"/>
  <c r="I186" i="21" s="1" a="1"/>
  <c r="I186" i="21" s="1"/>
  <c r="E186" i="21" s="1"/>
  <c r="C187" i="21"/>
  <c r="I187" i="21" s="1" a="1"/>
  <c r="I187" i="21" s="1"/>
  <c r="E187" i="21" s="1"/>
  <c r="C188" i="21"/>
  <c r="I188" i="21" s="1" a="1"/>
  <c r="I188" i="21" s="1"/>
  <c r="E188" i="21" s="1"/>
  <c r="C189" i="21"/>
  <c r="I189" i="21" s="1" a="1"/>
  <c r="I189" i="21" s="1"/>
  <c r="E189" i="21" s="1"/>
  <c r="C190" i="21"/>
  <c r="I190" i="21" s="1" a="1"/>
  <c r="I190" i="21" s="1"/>
  <c r="E190" i="21" s="1"/>
  <c r="C191" i="21"/>
  <c r="I191" i="21" s="1" a="1"/>
  <c r="I191" i="21" s="1"/>
  <c r="E191" i="21" s="1"/>
  <c r="C192" i="21"/>
  <c r="I192" i="21" s="1" a="1"/>
  <c r="I192" i="21" s="1"/>
  <c r="E192" i="21" s="1"/>
  <c r="C193" i="21"/>
  <c r="I193" i="21" s="1" a="1"/>
  <c r="I193" i="21" s="1"/>
  <c r="E193" i="21" s="1"/>
  <c r="C194" i="21"/>
  <c r="I194" i="21" s="1" a="1"/>
  <c r="I194" i="21" s="1"/>
  <c r="E194" i="21" s="1"/>
  <c r="C195" i="21"/>
  <c r="I195" i="21" s="1" a="1"/>
  <c r="I195" i="21" s="1"/>
  <c r="E195" i="21" s="1"/>
  <c r="C196" i="21"/>
  <c r="I196" i="21" s="1" a="1"/>
  <c r="I196" i="21" s="1"/>
  <c r="E196" i="21" s="1"/>
  <c r="C197" i="21"/>
  <c r="I197" i="21" s="1" a="1"/>
  <c r="I197" i="21" s="1"/>
  <c r="E197" i="21" s="1"/>
  <c r="C198" i="21"/>
  <c r="I198" i="21" s="1" a="1"/>
  <c r="I198" i="21" s="1"/>
  <c r="E198" i="21" s="1"/>
  <c r="D198" i="21"/>
  <c r="D197" i="21"/>
  <c r="D196" i="21"/>
  <c r="D195" i="21"/>
  <c r="D194" i="21"/>
  <c r="D193" i="21"/>
  <c r="D192" i="21"/>
  <c r="D191" i="21"/>
  <c r="D190" i="21"/>
  <c r="D189" i="21"/>
  <c r="D188" i="21"/>
  <c r="D187" i="21"/>
  <c r="D186" i="21"/>
  <c r="D185" i="21"/>
  <c r="D184" i="21"/>
  <c r="D183" i="21"/>
  <c r="D182" i="21"/>
  <c r="D181" i="21"/>
  <c r="D180" i="21"/>
  <c r="D179" i="21"/>
  <c r="E169" i="21"/>
  <c r="E153" i="21"/>
  <c r="E154" i="21"/>
  <c r="E155" i="21"/>
  <c r="E156" i="21"/>
  <c r="E157" i="21"/>
  <c r="E158" i="21"/>
  <c r="E159" i="21"/>
  <c r="E160" i="21"/>
  <c r="E161" i="21"/>
  <c r="E162" i="21"/>
  <c r="E163" i="21"/>
  <c r="D153" i="21"/>
  <c r="G153" i="21" s="1"/>
  <c r="D145" i="21"/>
  <c r="D144" i="21"/>
  <c r="D143" i="21"/>
  <c r="D142" i="21"/>
  <c r="D141" i="21"/>
  <c r="D140" i="21"/>
  <c r="D139" i="21"/>
  <c r="D138" i="21"/>
  <c r="D137" i="21"/>
  <c r="D136" i="21"/>
  <c r="E127" i="21"/>
  <c r="E128" i="21"/>
  <c r="C112" i="21"/>
  <c r="C113" i="21"/>
  <c r="I113" i="21" s="1" a="1"/>
  <c r="I113" i="21" s="1"/>
  <c r="H113" i="21" s="1"/>
  <c r="C114" i="21"/>
  <c r="I114" i="21" s="1" a="1"/>
  <c r="I114" i="21" s="1"/>
  <c r="C115" i="21"/>
  <c r="I115" i="21" s="1" a="1"/>
  <c r="I115" i="21" s="1"/>
  <c r="E115" i="21" s="1"/>
  <c r="F115" i="21" s="1"/>
  <c r="C116" i="21"/>
  <c r="I116" i="21" s="1" a="1"/>
  <c r="I116" i="21" s="1"/>
  <c r="E116" i="21" s="1"/>
  <c r="F116" i="21" s="1"/>
  <c r="C117" i="21"/>
  <c r="I117" i="21" s="1" a="1"/>
  <c r="I117" i="21" s="1"/>
  <c r="E117" i="21" s="1"/>
  <c r="F117" i="21" s="1"/>
  <c r="C118" i="21"/>
  <c r="I118" i="21" s="1" a="1"/>
  <c r="I118" i="21" s="1"/>
  <c r="G118" i="21" s="1"/>
  <c r="C119" i="21"/>
  <c r="I119" i="21" s="1" a="1"/>
  <c r="I119" i="21" s="1"/>
  <c r="E119" i="21" s="1"/>
  <c r="F119" i="21" s="1"/>
  <c r="C120" i="21"/>
  <c r="I120" i="21" s="1" a="1"/>
  <c r="I120" i="21" s="1"/>
  <c r="E120" i="21" s="1"/>
  <c r="F120" i="21" s="1"/>
  <c r="C121" i="21"/>
  <c r="I121" i="21" s="1" a="1"/>
  <c r="I121" i="21" s="1"/>
  <c r="E121" i="21" s="1"/>
  <c r="F121" i="21" s="1"/>
  <c r="D109" i="21"/>
  <c r="C95" i="21"/>
  <c r="I95" i="21" s="1" a="1"/>
  <c r="I95" i="21" s="1"/>
  <c r="E95" i="21" s="1"/>
  <c r="C96" i="21"/>
  <c r="I96" i="21" s="1" a="1"/>
  <c r="I96" i="21" s="1"/>
  <c r="E96" i="21" s="1"/>
  <c r="C97" i="21"/>
  <c r="I97" i="21" s="1" a="1"/>
  <c r="I97" i="21" s="1"/>
  <c r="E97" i="21" s="1"/>
  <c r="C98" i="21"/>
  <c r="I98" i="21" s="1" a="1"/>
  <c r="I98" i="21" s="1"/>
  <c r="E98" i="21" s="1"/>
  <c r="C99" i="21"/>
  <c r="I99" i="21" s="1" a="1"/>
  <c r="I99" i="21" s="1"/>
  <c r="E99" i="21" s="1"/>
  <c r="D99" i="21"/>
  <c r="D98" i="21"/>
  <c r="D97" i="21"/>
  <c r="D96" i="21"/>
  <c r="D95" i="21"/>
  <c r="D91" i="21"/>
  <c r="D90" i="21"/>
  <c r="D89" i="21"/>
  <c r="D88" i="21"/>
  <c r="D87" i="21"/>
  <c r="D86" i="21"/>
  <c r="D83" i="21"/>
  <c r="H83" i="21" s="1"/>
  <c r="E83" i="21"/>
  <c r="E61" i="21"/>
  <c r="E62" i="21"/>
  <c r="D62" i="21"/>
  <c r="H62" i="21" s="1"/>
  <c r="D61" i="21"/>
  <c r="G61" i="21" s="1"/>
  <c r="C44" i="21"/>
  <c r="I44" i="21" s="1" a="1"/>
  <c r="I44" i="21" s="1"/>
  <c r="C45" i="21"/>
  <c r="I45" i="21" s="1" a="1"/>
  <c r="I45" i="21" s="1"/>
  <c r="E45" i="21" s="1"/>
  <c r="C46" i="21"/>
  <c r="I46" i="21" s="1" a="1"/>
  <c r="I46" i="21" s="1"/>
  <c r="E46" i="21" s="1"/>
  <c r="C47" i="21"/>
  <c r="I47" i="21" s="1" a="1"/>
  <c r="I47" i="21" s="1"/>
  <c r="E47" i="21" s="1"/>
  <c r="C48" i="21"/>
  <c r="I48" i="21" s="1" a="1"/>
  <c r="I48" i="21" s="1"/>
  <c r="E48" i="21" s="1"/>
  <c r="C49" i="21"/>
  <c r="I49" i="21" s="1" a="1"/>
  <c r="I49" i="21" s="1"/>
  <c r="C50" i="21"/>
  <c r="I50" i="21" s="1" a="1"/>
  <c r="I50" i="21" s="1"/>
  <c r="E50" i="21" s="1"/>
  <c r="C51" i="21"/>
  <c r="I51" i="21" s="1" a="1"/>
  <c r="I51" i="21" s="1"/>
  <c r="E51" i="21" s="1"/>
  <c r="C52" i="21"/>
  <c r="I52" i="21" s="1" a="1"/>
  <c r="I52" i="21" s="1"/>
  <c r="E52" i="21" s="1"/>
  <c r="C53" i="21"/>
  <c r="I53" i="21" s="1" a="1"/>
  <c r="I53" i="21" s="1"/>
  <c r="E53" i="21" s="1"/>
  <c r="D53" i="21"/>
  <c r="D52" i="21"/>
  <c r="D51" i="21"/>
  <c r="D50" i="21"/>
  <c r="D49" i="21"/>
  <c r="D48" i="21"/>
  <c r="D47" i="21"/>
  <c r="D46" i="21"/>
  <c r="D45" i="21"/>
  <c r="D44" i="21"/>
  <c r="C36" i="21"/>
  <c r="I36" i="21" s="1" a="1"/>
  <c r="I36" i="21" s="1"/>
  <c r="E36" i="21" s="1"/>
  <c r="C35" i="21"/>
  <c r="I35" i="21" s="1" a="1"/>
  <c r="I35" i="21" s="1"/>
  <c r="E35" i="21" s="1"/>
  <c r="C34" i="21"/>
  <c r="I34" i="21" s="1" a="1"/>
  <c r="I34" i="21" s="1"/>
  <c r="E34" i="21" s="1"/>
  <c r="C33" i="21"/>
  <c r="I33" i="21" s="1" a="1"/>
  <c r="I33" i="21" s="1"/>
  <c r="E33" i="21" s="1"/>
  <c r="C32" i="21"/>
  <c r="I32" i="21" s="1" a="1"/>
  <c r="I32" i="21" s="1"/>
  <c r="E32" i="21" s="1"/>
  <c r="C31" i="21"/>
  <c r="I31" i="21" s="1" a="1"/>
  <c r="I31" i="21" s="1"/>
  <c r="E31" i="21" s="1"/>
  <c r="C30" i="21"/>
  <c r="I30" i="21" s="1" a="1"/>
  <c r="I30" i="21" s="1"/>
  <c r="E30" i="21" s="1"/>
  <c r="C29" i="21"/>
  <c r="I29" i="21" s="1" a="1"/>
  <c r="I29" i="21" s="1"/>
  <c r="E29" i="21" s="1"/>
  <c r="C28" i="21"/>
  <c r="I28" i="21" s="1" a="1"/>
  <c r="I28" i="21" s="1"/>
  <c r="E28" i="21" s="1"/>
  <c r="C27" i="21"/>
  <c r="I27" i="21" s="1" a="1"/>
  <c r="I27" i="21" s="1"/>
  <c r="E27" i="21" s="1"/>
  <c r="C26" i="21"/>
  <c r="I26" i="21" s="1" a="1"/>
  <c r="I26" i="21" s="1"/>
  <c r="E26" i="21" s="1"/>
  <c r="F58" i="20" a="1"/>
  <c r="F58" i="20" s="1"/>
  <c r="F59" i="20" a="1"/>
  <c r="F59" i="20" s="1"/>
  <c r="F60" i="20" a="1"/>
  <c r="F60" i="20" s="1"/>
  <c r="F61" i="20" a="1"/>
  <c r="F61" i="20" s="1"/>
  <c r="F62" i="20" a="1"/>
  <c r="F62" i="20" s="1"/>
  <c r="F63" i="20" a="1"/>
  <c r="F63" i="20" s="1"/>
  <c r="F64" i="20" a="1"/>
  <c r="F64" i="20" s="1"/>
  <c r="F65" i="20" a="1"/>
  <c r="F65" i="20" s="1"/>
  <c r="F66" i="20" a="1"/>
  <c r="F66" i="20" s="1"/>
  <c r="F67" i="20" a="1"/>
  <c r="F67" i="20" s="1"/>
  <c r="F179" i="20" a="1"/>
  <c r="F179" i="20" s="1"/>
  <c r="F180" i="20" a="1"/>
  <c r="F180" i="20" s="1"/>
  <c r="F181" i="20" a="1"/>
  <c r="F181" i="20" s="1"/>
  <c r="F182" i="20" a="1"/>
  <c r="F182" i="20" s="1"/>
  <c r="F183" i="20" a="1"/>
  <c r="F183" i="20" s="1"/>
  <c r="F184" i="20" a="1"/>
  <c r="F184" i="20" s="1"/>
  <c r="F185" i="20" a="1"/>
  <c r="F185" i="20" s="1"/>
  <c r="F186" i="20" a="1"/>
  <c r="F186" i="20" s="1"/>
  <c r="F187" i="20" a="1"/>
  <c r="F187" i="20" s="1"/>
  <c r="F188" i="20" a="1"/>
  <c r="F188" i="20" s="1"/>
  <c r="J507" i="20"/>
  <c r="E508" i="20" a="1"/>
  <c r="E508" i="20" s="1"/>
  <c r="J508" i="20" s="1"/>
  <c r="E509" i="20" a="1"/>
  <c r="E509" i="20" s="1"/>
  <c r="J509" i="20" s="1"/>
  <c r="E510" i="20" a="1"/>
  <c r="E510" i="20" s="1"/>
  <c r="J510" i="20" s="1"/>
  <c r="E511" i="20" a="1"/>
  <c r="E511" i="20" s="1"/>
  <c r="J511" i="20" s="1"/>
  <c r="E512" i="20" a="1"/>
  <c r="E512" i="20" s="1"/>
  <c r="J512" i="20" s="1"/>
  <c r="E513" i="20" a="1"/>
  <c r="E513" i="20" s="1"/>
  <c r="J513" i="20" s="1"/>
  <c r="E514" i="20" a="1"/>
  <c r="E514" i="20" s="1"/>
  <c r="J514" i="20" s="1"/>
  <c r="E515" i="20" a="1"/>
  <c r="E515" i="20" s="1"/>
  <c r="J515" i="20" s="1"/>
  <c r="E516" i="20" a="1"/>
  <c r="E516" i="20" s="1"/>
  <c r="J516" i="20" s="1"/>
  <c r="E439" i="20" a="1"/>
  <c r="E439" i="20" s="1"/>
  <c r="J439" i="20" s="1"/>
  <c r="E440" i="20" a="1"/>
  <c r="E440" i="20" s="1"/>
  <c r="J440" i="20" s="1"/>
  <c r="E441" i="20" a="1"/>
  <c r="E441" i="20" s="1"/>
  <c r="J441" i="20" s="1"/>
  <c r="E442" i="20" a="1"/>
  <c r="E442" i="20" s="1"/>
  <c r="J442" i="20" s="1"/>
  <c r="E443" i="20" a="1"/>
  <c r="E443" i="20" s="1"/>
  <c r="J443" i="20" s="1"/>
  <c r="E444" i="20" a="1"/>
  <c r="E444" i="20" s="1"/>
  <c r="J444" i="20" s="1"/>
  <c r="E445" i="20" a="1"/>
  <c r="E445" i="20" s="1"/>
  <c r="J445" i="20" s="1"/>
  <c r="E446" i="20" a="1"/>
  <c r="E446" i="20" s="1"/>
  <c r="J446" i="20" s="1"/>
  <c r="E447" i="20" a="1"/>
  <c r="E447" i="20" s="1"/>
  <c r="J447" i="20" s="1"/>
  <c r="E448" i="20" a="1"/>
  <c r="E448" i="20" s="1"/>
  <c r="J448" i="20" s="1"/>
  <c r="G328" i="20" a="1"/>
  <c r="G328" i="20" s="1"/>
  <c r="G329" i="20" a="1"/>
  <c r="G329" i="20" s="1"/>
  <c r="G330" i="20" a="1"/>
  <c r="G330" i="20" s="1"/>
  <c r="G331" i="20" a="1"/>
  <c r="G331" i="20" s="1"/>
  <c r="G332" i="20" a="1"/>
  <c r="G332" i="20" s="1"/>
  <c r="G333" i="20" a="1"/>
  <c r="G333" i="20" s="1"/>
  <c r="G334" i="20" a="1"/>
  <c r="G334" i="20" s="1"/>
  <c r="G335" i="20" a="1"/>
  <c r="G335" i="20" s="1"/>
  <c r="G336" i="20" a="1"/>
  <c r="G336" i="20" s="1"/>
  <c r="G337" i="20" a="1"/>
  <c r="G337" i="20" s="1"/>
  <c r="F328" i="20" a="1"/>
  <c r="F328" i="20" s="1"/>
  <c r="F329" i="20" a="1"/>
  <c r="F329" i="20" s="1"/>
  <c r="F330" i="20" a="1"/>
  <c r="F330" i="20" s="1"/>
  <c r="F331" i="20" a="1"/>
  <c r="F331" i="20" s="1"/>
  <c r="F332" i="20" a="1"/>
  <c r="F332" i="20" s="1"/>
  <c r="F333" i="20" a="1"/>
  <c r="F333" i="20" s="1"/>
  <c r="F334" i="20" a="1"/>
  <c r="F334" i="20" s="1"/>
  <c r="F335" i="20" a="1"/>
  <c r="F335" i="20" s="1"/>
  <c r="F336" i="20" a="1"/>
  <c r="F336" i="20" s="1"/>
  <c r="F337" i="20" a="1"/>
  <c r="F337" i="20" s="1"/>
  <c r="E474" i="20" a="1"/>
  <c r="E474" i="20" s="1"/>
  <c r="J474" i="20" s="1"/>
  <c r="E475" i="20" a="1"/>
  <c r="E475" i="20" s="1"/>
  <c r="J475" i="20" s="1"/>
  <c r="E476" i="20" a="1"/>
  <c r="E476" i="20" s="1"/>
  <c r="J476" i="20" s="1"/>
  <c r="E477" i="20" a="1"/>
  <c r="E477" i="20" s="1"/>
  <c r="J477" i="20" s="1"/>
  <c r="E478" i="20" a="1"/>
  <c r="E478" i="20" s="1"/>
  <c r="J478" i="20" s="1"/>
  <c r="E479" i="20" a="1"/>
  <c r="E479" i="20" s="1"/>
  <c r="J479" i="20" s="1"/>
  <c r="E480" i="20" a="1"/>
  <c r="E480" i="20" s="1"/>
  <c r="J480" i="20" s="1"/>
  <c r="E481" i="20" a="1"/>
  <c r="E481" i="20" s="1"/>
  <c r="J481" i="20" s="1"/>
  <c r="E482" i="20" a="1"/>
  <c r="E482" i="20" s="1"/>
  <c r="J482" i="20" s="1"/>
  <c r="E473" i="20" a="1"/>
  <c r="E473" i="20" s="1"/>
  <c r="J473" i="20" s="1"/>
  <c r="D440" i="20" a="1"/>
  <c r="D440" i="20" s="1"/>
  <c r="I440" i="20" a="1"/>
  <c r="I440" i="20" s="1"/>
  <c r="D385" i="18" a="1"/>
  <c r="D385" i="18" s="1"/>
  <c r="D384" i="18" a="1"/>
  <c r="D384" i="18" s="1"/>
  <c r="D34" i="18" a="1"/>
  <c r="D34" i="18" s="1"/>
  <c r="B54" i="12" s="1"/>
  <c r="D261" i="18" a="1"/>
  <c r="D261" i="18" s="1"/>
  <c r="C760" i="20" s="1"/>
  <c r="D260" i="18" a="1"/>
  <c r="D260" i="18" s="1"/>
  <c r="C758" i="20" s="1"/>
  <c r="E517" i="20" a="1"/>
  <c r="E517" i="20" s="1"/>
  <c r="E483" i="20" a="1"/>
  <c r="E483" i="20" s="1"/>
  <c r="E449" i="20" a="1"/>
  <c r="E449" i="20" s="1"/>
  <c r="H76" i="13" a="1"/>
  <c r="H76" i="13" s="1"/>
  <c r="H66" i="13" a="1"/>
  <c r="H66" i="13" s="1"/>
  <c r="H67" i="13" a="1"/>
  <c r="H67" i="13" s="1"/>
  <c r="H68" i="13" a="1"/>
  <c r="H68" i="13" s="1"/>
  <c r="H69" i="13" a="1"/>
  <c r="H69" i="13" s="1"/>
  <c r="H70" i="13" a="1"/>
  <c r="H70" i="13" s="1"/>
  <c r="H71" i="13" a="1"/>
  <c r="H71" i="13" s="1"/>
  <c r="H72" i="13" a="1"/>
  <c r="H72" i="13" s="1"/>
  <c r="H73" i="13" a="1"/>
  <c r="H73" i="13" s="1"/>
  <c r="H74" i="13" a="1"/>
  <c r="H74" i="13" s="1"/>
  <c r="H75" i="13" a="1"/>
  <c r="H75" i="13" s="1"/>
  <c r="H77" i="13" a="1"/>
  <c r="H77" i="13" s="1"/>
  <c r="H78" i="13" a="1"/>
  <c r="H78" i="13" s="1"/>
  <c r="H79" i="13" a="1"/>
  <c r="H79" i="13" s="1"/>
  <c r="H80" i="13" a="1"/>
  <c r="H80" i="13" s="1"/>
  <c r="H81" i="13" a="1"/>
  <c r="H81" i="13" s="1"/>
  <c r="H82" i="13" a="1"/>
  <c r="H82" i="13" s="1"/>
  <c r="H65" i="13" a="1"/>
  <c r="H65" i="13" s="1"/>
  <c r="H48" i="13" a="1"/>
  <c r="H48" i="13" s="1"/>
  <c r="H49" i="13" a="1"/>
  <c r="H49" i="13" s="1"/>
  <c r="H50" i="13" a="1"/>
  <c r="H50" i="13" s="1"/>
  <c r="H51" i="13" a="1"/>
  <c r="H51" i="13" s="1"/>
  <c r="H52" i="13" a="1"/>
  <c r="H52" i="13" s="1"/>
  <c r="H53" i="13" a="1"/>
  <c r="H53" i="13" s="1"/>
  <c r="H54" i="13" a="1"/>
  <c r="H54" i="13" s="1"/>
  <c r="H55" i="13" a="1"/>
  <c r="H55" i="13" s="1"/>
  <c r="H56" i="13" a="1"/>
  <c r="H56" i="13" s="1"/>
  <c r="H57" i="13" a="1"/>
  <c r="H57" i="13" s="1"/>
  <c r="H58" i="13" a="1"/>
  <c r="H58" i="13" s="1"/>
  <c r="H59" i="13" a="1"/>
  <c r="H59" i="13" s="1"/>
  <c r="H60" i="13" a="1"/>
  <c r="H60" i="13" s="1"/>
  <c r="H61" i="13" a="1"/>
  <c r="H61" i="13" s="1"/>
  <c r="H62" i="13" a="1"/>
  <c r="H62" i="13" s="1"/>
  <c r="H63" i="13" a="1"/>
  <c r="H63" i="13" s="1"/>
  <c r="H64" i="13" a="1"/>
  <c r="H64" i="13" s="1"/>
  <c r="H47" i="13" a="1"/>
  <c r="H47" i="13" s="1"/>
  <c r="E505" i="20" s="1"/>
  <c r="B299" i="13" a="1"/>
  <c r="B299" i="13" s="1"/>
  <c r="B300" i="13" a="1"/>
  <c r="B300" i="13" s="1"/>
  <c r="B301" i="13" a="1"/>
  <c r="B301" i="13" s="1"/>
  <c r="B302" i="13" a="1"/>
  <c r="B302" i="13" s="1"/>
  <c r="B303" i="13" a="1"/>
  <c r="B303" i="13" s="1"/>
  <c r="B304" i="13" a="1"/>
  <c r="B304" i="13" s="1"/>
  <c r="B305" i="13" a="1"/>
  <c r="B305" i="13" s="1"/>
  <c r="B306" i="13" a="1"/>
  <c r="B306" i="13" s="1"/>
  <c r="B307" i="13" a="1"/>
  <c r="B307" i="13" s="1"/>
  <c r="B308" i="13" a="1"/>
  <c r="B308" i="13" s="1"/>
  <c r="B309" i="13" a="1"/>
  <c r="B309" i="13" s="1"/>
  <c r="B310" i="13" a="1"/>
  <c r="B310" i="13" s="1"/>
  <c r="D128" i="18" a="1"/>
  <c r="D128" i="18" s="1"/>
  <c r="C260" i="20" s="1"/>
  <c r="F118" i="20" a="1"/>
  <c r="F118" i="20" s="1"/>
  <c r="F119" i="20" a="1"/>
  <c r="F119" i="20" s="1"/>
  <c r="F120" i="20" a="1"/>
  <c r="F120" i="20" s="1"/>
  <c r="F121" i="20" a="1"/>
  <c r="F121" i="20" s="1"/>
  <c r="F122" i="20" a="1"/>
  <c r="F122" i="20" s="1"/>
  <c r="F123" i="20" a="1"/>
  <c r="F123" i="20" s="1"/>
  <c r="F124" i="20" a="1"/>
  <c r="F124" i="20" s="1"/>
  <c r="F125" i="20" a="1"/>
  <c r="F125" i="20" s="1"/>
  <c r="F126" i="20" a="1"/>
  <c r="F126" i="20" s="1"/>
  <c r="F127" i="20" a="1"/>
  <c r="F127" i="20" s="1"/>
  <c r="D163" i="18" a="1"/>
  <c r="D163" i="18" s="1"/>
  <c r="C396" i="20" s="1"/>
  <c r="C892" i="21" s="1"/>
  <c r="D164" i="18" a="1"/>
  <c r="D164" i="18" s="1"/>
  <c r="C397" i="20" s="1"/>
  <c r="G403" i="20" a="1"/>
  <c r="G403" i="20" s="1"/>
  <c r="G404" i="20" a="1"/>
  <c r="G404" i="20" s="1"/>
  <c r="G405" i="20" a="1"/>
  <c r="G405" i="20" s="1"/>
  <c r="G406" i="20" a="1"/>
  <c r="G406" i="20" s="1"/>
  <c r="G407" i="20" a="1"/>
  <c r="G407" i="20" s="1"/>
  <c r="G408" i="20" a="1"/>
  <c r="G408" i="20" s="1"/>
  <c r="G409" i="20" a="1"/>
  <c r="G409" i="20" s="1"/>
  <c r="G410" i="20" a="1"/>
  <c r="G410" i="20" s="1"/>
  <c r="G411" i="20" a="1"/>
  <c r="G411" i="20" s="1"/>
  <c r="G412" i="20" a="1"/>
  <c r="G412" i="20" s="1"/>
  <c r="G413" i="20" a="1"/>
  <c r="G413" i="20" s="1"/>
  <c r="G366" i="20" a="1"/>
  <c r="G366" i="20" s="1"/>
  <c r="G367" i="20" a="1"/>
  <c r="G367" i="20" s="1"/>
  <c r="G368" i="20" a="1"/>
  <c r="G368" i="20" s="1"/>
  <c r="G369" i="20" a="1"/>
  <c r="G369" i="20" s="1"/>
  <c r="G370" i="20" a="1"/>
  <c r="G370" i="20" s="1"/>
  <c r="G371" i="20" a="1"/>
  <c r="G371" i="20" s="1"/>
  <c r="G372" i="20" a="1"/>
  <c r="G372" i="20" s="1"/>
  <c r="G373" i="20" a="1"/>
  <c r="G373" i="20" s="1"/>
  <c r="G374" i="20" a="1"/>
  <c r="G374" i="20" s="1"/>
  <c r="G375" i="20" a="1"/>
  <c r="G375" i="20" s="1"/>
  <c r="F366" i="20" a="1"/>
  <c r="F366" i="20" s="1"/>
  <c r="F367" i="20" a="1"/>
  <c r="F367" i="20" s="1"/>
  <c r="F368" i="20" a="1"/>
  <c r="F368" i="20" s="1"/>
  <c r="F369" i="20" a="1"/>
  <c r="F369" i="20" s="1"/>
  <c r="F370" i="20" a="1"/>
  <c r="F370" i="20" s="1"/>
  <c r="F371" i="20" a="1"/>
  <c r="F371" i="20" s="1"/>
  <c r="F372" i="20" a="1"/>
  <c r="F372" i="20" s="1"/>
  <c r="F373" i="20" a="1"/>
  <c r="F373" i="20" s="1"/>
  <c r="F374" i="20" a="1"/>
  <c r="F374" i="20" s="1"/>
  <c r="F375" i="20" a="1"/>
  <c r="F375" i="20" s="1"/>
  <c r="G376" i="20" a="1"/>
  <c r="G376" i="20" s="1"/>
  <c r="F858" i="20" a="1"/>
  <c r="F858" i="20" s="1"/>
  <c r="D473" i="21" s="1"/>
  <c r="F857" i="20" a="1"/>
  <c r="F857" i="20" s="1"/>
  <c r="D472" i="21" s="1"/>
  <c r="F856" i="20" a="1"/>
  <c r="F856" i="20" s="1"/>
  <c r="D471" i="21" s="1"/>
  <c r="F855" i="20" a="1"/>
  <c r="F855" i="20" s="1"/>
  <c r="D470" i="21" s="1"/>
  <c r="F854" i="20" a="1"/>
  <c r="F854" i="20" s="1"/>
  <c r="D469" i="21" s="1"/>
  <c r="F853" i="20" a="1"/>
  <c r="F853" i="20" s="1"/>
  <c r="D468" i="21" s="1"/>
  <c r="F852" i="20" a="1"/>
  <c r="F852" i="20" s="1"/>
  <c r="D467" i="21" s="1"/>
  <c r="F851" i="20" a="1"/>
  <c r="F851" i="20" s="1"/>
  <c r="D466" i="21" s="1"/>
  <c r="F850" i="20" a="1"/>
  <c r="F850" i="20" s="1"/>
  <c r="D465" i="21" s="1"/>
  <c r="F849" i="20" a="1"/>
  <c r="F849" i="20" s="1"/>
  <c r="D464" i="21" s="1"/>
  <c r="F848" i="20" a="1"/>
  <c r="F848" i="20" s="1"/>
  <c r="D463" i="21" s="1"/>
  <c r="F822" i="20" a="1"/>
  <c r="F822" i="20" s="1"/>
  <c r="D449" i="21" s="1"/>
  <c r="F821" i="20" a="1"/>
  <c r="F821" i="20" s="1"/>
  <c r="D448" i="21" s="1"/>
  <c r="F820" i="20" a="1"/>
  <c r="F820" i="20" s="1"/>
  <c r="D447" i="21" s="1"/>
  <c r="F819" i="20" a="1"/>
  <c r="F819" i="20" s="1"/>
  <c r="D446" i="21" s="1"/>
  <c r="F818" i="20" a="1"/>
  <c r="F818" i="20" s="1"/>
  <c r="D445" i="21" s="1"/>
  <c r="F817" i="20" a="1"/>
  <c r="F817" i="20" s="1"/>
  <c r="D444" i="21" s="1"/>
  <c r="F816" i="20" a="1"/>
  <c r="F816" i="20" s="1"/>
  <c r="D443" i="21" s="1"/>
  <c r="F815" i="20" a="1"/>
  <c r="F815" i="20" s="1"/>
  <c r="D442" i="21" s="1"/>
  <c r="F814" i="20" a="1"/>
  <c r="F814" i="20" s="1"/>
  <c r="D441" i="21" s="1"/>
  <c r="F813" i="20" a="1"/>
  <c r="F813" i="20" s="1"/>
  <c r="D440" i="21" s="1"/>
  <c r="F812" i="20" a="1"/>
  <c r="F812" i="20" s="1"/>
  <c r="D439" i="21" s="1"/>
  <c r="G338" i="20" a="1"/>
  <c r="G338" i="20" s="1"/>
  <c r="D152" i="18" a="1"/>
  <c r="D152" i="18" s="1"/>
  <c r="C360" i="20" s="1"/>
  <c r="D151" i="18" a="1"/>
  <c r="D151" i="18" s="1"/>
  <c r="C359" i="20" s="1"/>
  <c r="C692" i="21" s="1"/>
  <c r="D477" i="20" a="1"/>
  <c r="D477" i="20" s="1"/>
  <c r="I477" i="20" a="1"/>
  <c r="I477" i="20" s="1"/>
  <c r="D475" i="20" a="1"/>
  <c r="D475" i="20" s="1"/>
  <c r="I475" i="20" a="1"/>
  <c r="I475" i="20" s="1"/>
  <c r="D140" i="18" a="1"/>
  <c r="D140" i="18" s="1"/>
  <c r="C322" i="20" s="1"/>
  <c r="D139" i="18" a="1"/>
  <c r="D139" i="18" s="1"/>
  <c r="C321" i="20" s="1"/>
  <c r="C61" i="21" s="1"/>
  <c r="D123" i="18" a="1"/>
  <c r="D123" i="18" s="1"/>
  <c r="C240" i="20" s="1"/>
  <c r="C83" i="21" s="1"/>
  <c r="K35" i="16" a="1"/>
  <c r="K35" i="16" s="1"/>
  <c r="L35" i="16" s="1"/>
  <c r="B85" i="13" a="1"/>
  <c r="B85" i="13" s="1"/>
  <c r="C86" i="21" s="1"/>
  <c r="I86" i="21" s="1" a="1"/>
  <c r="I86" i="21" s="1"/>
  <c r="B87" i="13" a="1"/>
  <c r="B87" i="13" s="1"/>
  <c r="C87" i="21" s="1"/>
  <c r="I87" i="21" s="1" a="1"/>
  <c r="I87" i="21" s="1"/>
  <c r="E87" i="21" s="1"/>
  <c r="B86" i="13" a="1"/>
  <c r="B86" i="13" s="1"/>
  <c r="C88" i="21" s="1"/>
  <c r="I88" i="21" s="1" a="1"/>
  <c r="I88" i="21" s="1"/>
  <c r="B88" i="13" a="1"/>
  <c r="B88" i="13" s="1"/>
  <c r="C89" i="21" s="1"/>
  <c r="I89" i="21" s="1" a="1"/>
  <c r="I89" i="21" s="1"/>
  <c r="E89" i="21" s="1"/>
  <c r="B89" i="13" a="1"/>
  <c r="B89" i="13" s="1"/>
  <c r="C90" i="21" s="1"/>
  <c r="I90" i="21" s="1" a="1"/>
  <c r="I90" i="21" s="1"/>
  <c r="B90" i="13" a="1"/>
  <c r="B90" i="13" s="1"/>
  <c r="C91" i="21" s="1"/>
  <c r="I91" i="21" s="1" a="1"/>
  <c r="I91" i="21" s="1"/>
  <c r="K51" i="16" a="1"/>
  <c r="K51" i="16" s="1"/>
  <c r="K66" i="16" a="1"/>
  <c r="K66" i="16" s="1"/>
  <c r="L66" i="16" s="1"/>
  <c r="D19" i="18" a="1"/>
  <c r="D19" i="18" s="1"/>
  <c r="C32" i="12" s="1"/>
  <c r="I924" i="20"/>
  <c r="I901" i="20"/>
  <c r="I868" i="20"/>
  <c r="I832" i="20"/>
  <c r="I796" i="20"/>
  <c r="I762" i="20"/>
  <c r="I737" i="20"/>
  <c r="I713" i="20"/>
  <c r="I683" i="20"/>
  <c r="I654" i="20"/>
  <c r="I612" i="20"/>
  <c r="I569" i="20"/>
  <c r="I529" i="20"/>
  <c r="I495" i="20"/>
  <c r="I461" i="20"/>
  <c r="I427" i="20"/>
  <c r="I386" i="20"/>
  <c r="I348" i="20"/>
  <c r="I311" i="20"/>
  <c r="I279" i="20"/>
  <c r="I230" i="20"/>
  <c r="I198" i="20"/>
  <c r="I169" i="20"/>
  <c r="I137" i="20"/>
  <c r="I108" i="20"/>
  <c r="I76" i="20"/>
  <c r="I47" i="20"/>
  <c r="D79" i="18" a="1"/>
  <c r="D79" i="18" s="1"/>
  <c r="C685" i="20" s="1"/>
  <c r="K103" i="16" a="1"/>
  <c r="K103" i="16" s="1"/>
  <c r="K77" i="16" a="1"/>
  <c r="K77" i="16" s="1"/>
  <c r="K80" i="16" a="1"/>
  <c r="K80" i="16" s="1"/>
  <c r="L80" i="16" s="1"/>
  <c r="K83" i="16" a="1"/>
  <c r="K83" i="16" s="1"/>
  <c r="K86" i="16" a="1"/>
  <c r="K86" i="16" s="1"/>
  <c r="K89" i="16" a="1"/>
  <c r="K89" i="16" s="1"/>
  <c r="K92" i="16" a="1"/>
  <c r="K92" i="16" s="1"/>
  <c r="K95" i="16" a="1"/>
  <c r="K95" i="16" s="1"/>
  <c r="K98" i="16" a="1"/>
  <c r="K98" i="16" s="1"/>
  <c r="K60" i="16" a="1"/>
  <c r="K60" i="16" s="1"/>
  <c r="I223" i="20" s="1"/>
  <c r="I233" i="20" s="1"/>
  <c r="I24" i="20" s="1"/>
  <c r="B24" i="20" s="1"/>
  <c r="K63" i="16" a="1"/>
  <c r="K63" i="16" s="1"/>
  <c r="I272" i="20" s="1"/>
  <c r="I282" i="20" s="1"/>
  <c r="I25" i="20" s="1"/>
  <c r="B25" i="20" s="1"/>
  <c r="L46" i="16"/>
  <c r="L41" i="16" s="1"/>
  <c r="H27" i="16" s="1"/>
  <c r="B27" i="16" s="1"/>
  <c r="D378" i="18" a="1"/>
  <c r="D378" i="18" s="1"/>
  <c r="C983" i="21" s="1"/>
  <c r="D377" i="18" a="1"/>
  <c r="D377" i="18" s="1"/>
  <c r="C965" i="21" s="1"/>
  <c r="D376" i="18" a="1"/>
  <c r="D376" i="18" s="1"/>
  <c r="C958" i="21" s="1"/>
  <c r="D375" i="18" a="1"/>
  <c r="D375" i="18" s="1"/>
  <c r="C940" i="21" s="1"/>
  <c r="D374" i="18" a="1"/>
  <c r="D374" i="18" s="1"/>
  <c r="C915" i="21" s="1"/>
  <c r="D373" i="18" a="1"/>
  <c r="D373" i="18" s="1"/>
  <c r="C889" i="21" s="1"/>
  <c r="D372" i="18" a="1"/>
  <c r="D372" i="18" s="1"/>
  <c r="C880" i="21" s="1"/>
  <c r="D371" i="18" a="1"/>
  <c r="D371" i="18" s="1"/>
  <c r="C862" i="21" s="1"/>
  <c r="D370" i="18" a="1"/>
  <c r="D370" i="18" s="1"/>
  <c r="C853" i="21" s="1"/>
  <c r="D369" i="18" a="1"/>
  <c r="D369" i="18" s="1"/>
  <c r="C835" i="21" s="1"/>
  <c r="D368" i="18" a="1"/>
  <c r="D368" i="18" s="1"/>
  <c r="C818" i="21" s="1"/>
  <c r="D367" i="18" a="1"/>
  <c r="D367" i="18" s="1"/>
  <c r="C801" i="21" s="1"/>
  <c r="D366" i="18" a="1"/>
  <c r="D366" i="18" s="1"/>
  <c r="C784" i="21" s="1"/>
  <c r="D365" i="18" a="1"/>
  <c r="D365" i="18" s="1"/>
  <c r="C767" i="21" s="1"/>
  <c r="D364" i="18" a="1"/>
  <c r="D364" i="18" s="1"/>
  <c r="C758" i="21" s="1"/>
  <c r="D363" i="18" a="1"/>
  <c r="D363" i="18" s="1"/>
  <c r="C740" i="21" s="1"/>
  <c r="D362" i="18" a="1"/>
  <c r="D362" i="18" s="1"/>
  <c r="C732" i="21" s="1"/>
  <c r="D361" i="18" a="1"/>
  <c r="D361" i="18" s="1"/>
  <c r="C714" i="21" s="1"/>
  <c r="D360" i="18" a="1"/>
  <c r="D360" i="18" s="1"/>
  <c r="C689" i="21" s="1"/>
  <c r="D359" i="18" a="1"/>
  <c r="D359" i="18" s="1"/>
  <c r="C664" i="21" s="1"/>
  <c r="D358" i="18" a="1"/>
  <c r="D358" i="18" s="1"/>
  <c r="C655" i="21" s="1"/>
  <c r="D357" i="18" a="1"/>
  <c r="D357" i="18" s="1"/>
  <c r="C637" i="21" s="1"/>
  <c r="D356" i="18" a="1"/>
  <c r="D356" i="18" s="1"/>
  <c r="C628" i="21" s="1"/>
  <c r="D355" i="18" a="1"/>
  <c r="D355" i="18" s="1"/>
  <c r="C610" i="21" s="1"/>
  <c r="D354" i="18" a="1"/>
  <c r="D354" i="18" s="1"/>
  <c r="C593" i="21" s="1"/>
  <c r="D353" i="18" a="1"/>
  <c r="D353" i="18" s="1"/>
  <c r="C576" i="21" s="1"/>
  <c r="D352" i="18" a="1"/>
  <c r="D352" i="18" s="1"/>
  <c r="C559" i="21" s="1"/>
  <c r="D351" i="18" a="1"/>
  <c r="D351" i="18" s="1"/>
  <c r="C542" i="21" s="1"/>
  <c r="D350" i="18" a="1"/>
  <c r="D350" i="18" s="1"/>
  <c r="C509" i="21" s="1"/>
  <c r="D349" i="18" a="1"/>
  <c r="D349" i="18" s="1"/>
  <c r="C499" i="21" s="1"/>
  <c r="D348" i="18" a="1"/>
  <c r="D348" i="18" s="1"/>
  <c r="C479" i="21" s="1"/>
  <c r="D347" i="18" a="1"/>
  <c r="D347" i="18" s="1"/>
  <c r="C455" i="21" s="1"/>
  <c r="D346" i="18" a="1"/>
  <c r="D346" i="18" s="1"/>
  <c r="C431" i="21" s="1"/>
  <c r="D345" i="18" a="1"/>
  <c r="D345" i="18" s="1"/>
  <c r="C419" i="21" s="1"/>
  <c r="D344" i="18" a="1"/>
  <c r="D344" i="18" s="1"/>
  <c r="C402" i="21" s="1"/>
  <c r="D343" i="18" a="1"/>
  <c r="D343" i="18" s="1"/>
  <c r="C385" i="21" s="1"/>
  <c r="D342" i="18" a="1"/>
  <c r="D342" i="18" s="1"/>
  <c r="C365" i="21" s="1"/>
  <c r="D341" i="18" a="1"/>
  <c r="D341" i="18" s="1"/>
  <c r="C353" i="21" s="1"/>
  <c r="D340" i="18" a="1"/>
  <c r="D340" i="18" s="1"/>
  <c r="C345" i="21" s="1"/>
  <c r="D339" i="18" a="1"/>
  <c r="D339" i="18" s="1"/>
  <c r="C329" i="21" s="1"/>
  <c r="D338" i="18" a="1"/>
  <c r="D338" i="18" s="1"/>
  <c r="C306" i="21" s="1"/>
  <c r="D337" i="18" a="1"/>
  <c r="D337" i="18" s="1"/>
  <c r="C299" i="21" s="1"/>
  <c r="D336" i="18" a="1"/>
  <c r="D336" i="18" s="1"/>
  <c r="C281" i="21" s="1"/>
  <c r="D335" i="18" a="1"/>
  <c r="D335" i="18" s="1"/>
  <c r="C266" i="21" s="1"/>
  <c r="D334" i="18" a="1"/>
  <c r="D334" i="18" s="1"/>
  <c r="C250" i="21" s="1"/>
  <c r="D333" i="18" a="1"/>
  <c r="D333" i="18" s="1"/>
  <c r="C231" i="21" s="1"/>
  <c r="D332" i="18" a="1"/>
  <c r="D332" i="18" s="1"/>
  <c r="C203" i="21" s="1"/>
  <c r="D331" i="18" a="1"/>
  <c r="D331" i="18" s="1"/>
  <c r="C176" i="21" s="1"/>
  <c r="D330" i="18" a="1"/>
  <c r="D330" i="18" s="1"/>
  <c r="C166" i="21" s="1"/>
  <c r="D329" i="18" a="1"/>
  <c r="D329" i="18" s="1"/>
  <c r="C150" i="21" s="1"/>
  <c r="D328" i="18" a="1"/>
  <c r="D328" i="18" s="1"/>
  <c r="C133" i="21" s="1"/>
  <c r="D327" i="18" a="1"/>
  <c r="D327" i="18" s="1"/>
  <c r="C124" i="21" s="1"/>
  <c r="D326" i="18" a="1"/>
  <c r="D326" i="18" s="1"/>
  <c r="C106" i="21" s="1"/>
  <c r="D325" i="18" a="1"/>
  <c r="D325" i="18" s="1"/>
  <c r="C80" i="21" s="1"/>
  <c r="D324" i="18" a="1"/>
  <c r="D324" i="18" s="1"/>
  <c r="C58" i="21" s="1"/>
  <c r="D323" i="18" a="1"/>
  <c r="D323" i="18" s="1"/>
  <c r="C41" i="21" s="1"/>
  <c r="D322" i="18" a="1"/>
  <c r="D322" i="18" s="1"/>
  <c r="C23" i="21" s="1"/>
  <c r="D321" i="18" a="1"/>
  <c r="D321" i="18" s="1"/>
  <c r="B12" i="21" s="1"/>
  <c r="D441" i="20" a="1"/>
  <c r="D441" i="20" s="1"/>
  <c r="D442" i="20" a="1"/>
  <c r="D442" i="20" s="1"/>
  <c r="D443" i="20" a="1"/>
  <c r="D443" i="20" s="1"/>
  <c r="D444" i="20" a="1"/>
  <c r="D444" i="20" s="1"/>
  <c r="D445" i="20" a="1"/>
  <c r="D445" i="20" s="1"/>
  <c r="D446" i="20" a="1"/>
  <c r="D446" i="20" s="1"/>
  <c r="D447" i="20" a="1"/>
  <c r="D447" i="20" s="1"/>
  <c r="F408" i="20" a="1"/>
  <c r="F408" i="20" s="1"/>
  <c r="F189" i="20" a="1"/>
  <c r="F189" i="20" s="1"/>
  <c r="D227" i="18" a="1"/>
  <c r="D227" i="18" s="1"/>
  <c r="C670" i="20" s="1"/>
  <c r="C394" i="21" s="1"/>
  <c r="D222" i="18" a="1"/>
  <c r="D222" i="18" s="1"/>
  <c r="C665" i="20" s="1"/>
  <c r="C389" i="21" s="1"/>
  <c r="D223" i="18" a="1"/>
  <c r="D223" i="18" s="1"/>
  <c r="C666" i="20" s="1"/>
  <c r="C390" i="21" s="1"/>
  <c r="D224" i="18" a="1"/>
  <c r="D224" i="18" s="1"/>
  <c r="C667" i="20" s="1"/>
  <c r="C391" i="21" s="1"/>
  <c r="D225" i="18" a="1"/>
  <c r="D225" i="18" s="1"/>
  <c r="C668" i="20" s="1"/>
  <c r="C392" i="21" s="1"/>
  <c r="D226" i="18" a="1"/>
  <c r="D226" i="18" s="1"/>
  <c r="C669" i="20" s="1"/>
  <c r="C393" i="21" s="1"/>
  <c r="D32" i="18" a="1"/>
  <c r="D32" i="18" s="1"/>
  <c r="B56" i="12" s="1"/>
  <c r="D33" i="18" a="1"/>
  <c r="D33" i="18" s="1"/>
  <c r="B57" i="12" s="1"/>
  <c r="E1025" i="14"/>
  <c r="E1026" i="14"/>
  <c r="E1027" i="14"/>
  <c r="E1028" i="14"/>
  <c r="E1029" i="14"/>
  <c r="E1030" i="14"/>
  <c r="E1031" i="14"/>
  <c r="E1032" i="14"/>
  <c r="E1033" i="14"/>
  <c r="E1034" i="14"/>
  <c r="E1035" i="14"/>
  <c r="E1036" i="14"/>
  <c r="E1037" i="14"/>
  <c r="E1038" i="14"/>
  <c r="E1039" i="14"/>
  <c r="E1040" i="14"/>
  <c r="E1041" i="14"/>
  <c r="E1042" i="14"/>
  <c r="E1043" i="14"/>
  <c r="E1044" i="14"/>
  <c r="E1045" i="14"/>
  <c r="E1046" i="14"/>
  <c r="E1047" i="14"/>
  <c r="E1048" i="14"/>
  <c r="E1049" i="14"/>
  <c r="E1050" i="14"/>
  <c r="E1051" i="14"/>
  <c r="E1052" i="14"/>
  <c r="E1053" i="14"/>
  <c r="E1054" i="14"/>
  <c r="E1055" i="14"/>
  <c r="E1056" i="14"/>
  <c r="E1057" i="14"/>
  <c r="E1058" i="14"/>
  <c r="E1059" i="14"/>
  <c r="E1060" i="14"/>
  <c r="E1061" i="14"/>
  <c r="E1062" i="14"/>
  <c r="E1063" i="14"/>
  <c r="E1064" i="14"/>
  <c r="E1065" i="14"/>
  <c r="E1066" i="14"/>
  <c r="E1067" i="14"/>
  <c r="E1068" i="14"/>
  <c r="E1069" i="14"/>
  <c r="E1070" i="14"/>
  <c r="E1071" i="14"/>
  <c r="E1072" i="14"/>
  <c r="E1073" i="14"/>
  <c r="E1074" i="14"/>
  <c r="E1075" i="14"/>
  <c r="E1076" i="14"/>
  <c r="E1077" i="14"/>
  <c r="E1078" i="14"/>
  <c r="E1079" i="14"/>
  <c r="E1080" i="14"/>
  <c r="E1081" i="14"/>
  <c r="E1082" i="14"/>
  <c r="E1083" i="14"/>
  <c r="E1084" i="14"/>
  <c r="E1085" i="14"/>
  <c r="E1086" i="14"/>
  <c r="E1087" i="14"/>
  <c r="E1088" i="14"/>
  <c r="E1089" i="14"/>
  <c r="E1090" i="14"/>
  <c r="E1091" i="14"/>
  <c r="E1092" i="14"/>
  <c r="E1093" i="14"/>
  <c r="E1094" i="14"/>
  <c r="E1095" i="14"/>
  <c r="E1096" i="14"/>
  <c r="E1097" i="14"/>
  <c r="E1098" i="14"/>
  <c r="E1099" i="14"/>
  <c r="E1100" i="14"/>
  <c r="E1101" i="14"/>
  <c r="E1102" i="14"/>
  <c r="E1103" i="14"/>
  <c r="E1104" i="14"/>
  <c r="E1105" i="14"/>
  <c r="E1106" i="14"/>
  <c r="E1107" i="14"/>
  <c r="E1108" i="14"/>
  <c r="E1109" i="14"/>
  <c r="E1110" i="14"/>
  <c r="E1111" i="14"/>
  <c r="E1112" i="14"/>
  <c r="E1113" i="14"/>
  <c r="E1114" i="14"/>
  <c r="E1115" i="14"/>
  <c r="E1116" i="14"/>
  <c r="E1117" i="14"/>
  <c r="E1118" i="14"/>
  <c r="E1119" i="14"/>
  <c r="E1120" i="14"/>
  <c r="E1121" i="14"/>
  <c r="E1122" i="14"/>
  <c r="E1123" i="14"/>
  <c r="E1124" i="14"/>
  <c r="E1125" i="14"/>
  <c r="E1126" i="14"/>
  <c r="E1127" i="14"/>
  <c r="E1128" i="14"/>
  <c r="E1129" i="14"/>
  <c r="E1130" i="14"/>
  <c r="E1131" i="14"/>
  <c r="E1132" i="14"/>
  <c r="E1133" i="14"/>
  <c r="E1134" i="14"/>
  <c r="E1135" i="14"/>
  <c r="E1136" i="14"/>
  <c r="E1137" i="14"/>
  <c r="E1138" i="14"/>
  <c r="E1139" i="14"/>
  <c r="E1140" i="14"/>
  <c r="E1141" i="14"/>
  <c r="E1142" i="14"/>
  <c r="E1143" i="14"/>
  <c r="E1144" i="14"/>
  <c r="E1145" i="14"/>
  <c r="E1146" i="14"/>
  <c r="E1147" i="14"/>
  <c r="E1148" i="14"/>
  <c r="E1149" i="14"/>
  <c r="E1150" i="14"/>
  <c r="E1151" i="14"/>
  <c r="E1152" i="14"/>
  <c r="E1153" i="14"/>
  <c r="E1154" i="14"/>
  <c r="E1155" i="14"/>
  <c r="E1156" i="14"/>
  <c r="E1157" i="14"/>
  <c r="E1158" i="14"/>
  <c r="E1159" i="14"/>
  <c r="E1160" i="14"/>
  <c r="E1161" i="14"/>
  <c r="E1162" i="14"/>
  <c r="E1163" i="14"/>
  <c r="E1164" i="14"/>
  <c r="E1165" i="14"/>
  <c r="E1166" i="14"/>
  <c r="E1167" i="14"/>
  <c r="E1168" i="14"/>
  <c r="E1169" i="14"/>
  <c r="E1170" i="14"/>
  <c r="E1171" i="14"/>
  <c r="E1172" i="14"/>
  <c r="E1173" i="14"/>
  <c r="E1174" i="14"/>
  <c r="E1175" i="14"/>
  <c r="E1176" i="14"/>
  <c r="E1177" i="14"/>
  <c r="E1178" i="14"/>
  <c r="E1179" i="14"/>
  <c r="E1180" i="14"/>
  <c r="E1181" i="14"/>
  <c r="E1182" i="14"/>
  <c r="E1183" i="14"/>
  <c r="E1184" i="14"/>
  <c r="E1185" i="14"/>
  <c r="E1186" i="14"/>
  <c r="E1187" i="14"/>
  <c r="E1188" i="14"/>
  <c r="E1189" i="14"/>
  <c r="E1190" i="14"/>
  <c r="E1191" i="14"/>
  <c r="E1192" i="14"/>
  <c r="E1193" i="14"/>
  <c r="E1194" i="14"/>
  <c r="E1195" i="14"/>
  <c r="E1196" i="14"/>
  <c r="E1197" i="14"/>
  <c r="E1198" i="14"/>
  <c r="E1199" i="14"/>
  <c r="E1200" i="14"/>
  <c r="E1201" i="14"/>
  <c r="E1202" i="14"/>
  <c r="E1203" i="14"/>
  <c r="E1204" i="14"/>
  <c r="E1205" i="14"/>
  <c r="E1206" i="14"/>
  <c r="E1207" i="14"/>
  <c r="E1208" i="14"/>
  <c r="E1209" i="14"/>
  <c r="E1210" i="14"/>
  <c r="E1211" i="14"/>
  <c r="E1212" i="14"/>
  <c r="E1213" i="14"/>
  <c r="E1214" i="14"/>
  <c r="E1215" i="14"/>
  <c r="E1216" i="14"/>
  <c r="E1217" i="14"/>
  <c r="E1218" i="14"/>
  <c r="E1219" i="14"/>
  <c r="E1220" i="14"/>
  <c r="E1221" i="14"/>
  <c r="E1222" i="14"/>
  <c r="E1223" i="14"/>
  <c r="E1224" i="14"/>
  <c r="E1225" i="14"/>
  <c r="E1226" i="14"/>
  <c r="E1227" i="14"/>
  <c r="E1228" i="14"/>
  <c r="E1229" i="14"/>
  <c r="E1230" i="14"/>
  <c r="E1231" i="14"/>
  <c r="E1232" i="14"/>
  <c r="E1233" i="14"/>
  <c r="E1234" i="14"/>
  <c r="E1235" i="14"/>
  <c r="E1236" i="14"/>
  <c r="E1237" i="14"/>
  <c r="E1238" i="14"/>
  <c r="E1239" i="14"/>
  <c r="E1240" i="14"/>
  <c r="E1241" i="14"/>
  <c r="E1242" i="14"/>
  <c r="E1243" i="14"/>
  <c r="E1244" i="14"/>
  <c r="E1245" i="14"/>
  <c r="E1246" i="14"/>
  <c r="E1247" i="14"/>
  <c r="E1248" i="14"/>
  <c r="E1249" i="14"/>
  <c r="E1250" i="14"/>
  <c r="E1251" i="14"/>
  <c r="E1252" i="14"/>
  <c r="E1253" i="14"/>
  <c r="E1254" i="14"/>
  <c r="E1255" i="14"/>
  <c r="E1256" i="14"/>
  <c r="E1257" i="14"/>
  <c r="E1258" i="14"/>
  <c r="E1259" i="14"/>
  <c r="E1260" i="14"/>
  <c r="E1261" i="14"/>
  <c r="E1262" i="14"/>
  <c r="E1263" i="14"/>
  <c r="E1264" i="14"/>
  <c r="E1265" i="14"/>
  <c r="E1266" i="14"/>
  <c r="E1267" i="14"/>
  <c r="E1268" i="14"/>
  <c r="E1269" i="14"/>
  <c r="E1270" i="14"/>
  <c r="E1271" i="14"/>
  <c r="E1024" i="14"/>
  <c r="F508" i="14"/>
  <c r="F757" i="14"/>
  <c r="F1006" i="14"/>
  <c r="D507" i="20" a="1"/>
  <c r="D507" i="20" s="1"/>
  <c r="I508" i="20" a="1"/>
  <c r="I508" i="20" s="1"/>
  <c r="I509" i="20" a="1"/>
  <c r="I509" i="20" s="1"/>
  <c r="I510" i="20" a="1"/>
  <c r="I510" i="20" s="1"/>
  <c r="I511" i="20" a="1"/>
  <c r="I511" i="20" s="1"/>
  <c r="I513" i="20" a="1"/>
  <c r="I513" i="20" s="1"/>
  <c r="I514" i="20" a="1"/>
  <c r="I514" i="20" s="1"/>
  <c r="I515" i="20" a="1"/>
  <c r="I515" i="20" s="1"/>
  <c r="I516" i="20" a="1"/>
  <c r="I516" i="20" s="1"/>
  <c r="I474" i="20" a="1"/>
  <c r="I474" i="20" s="1"/>
  <c r="I476" i="20" a="1"/>
  <c r="I476" i="20" s="1"/>
  <c r="I478" i="20" a="1"/>
  <c r="I478" i="20" s="1"/>
  <c r="I479" i="20" a="1"/>
  <c r="I479" i="20" s="1"/>
  <c r="I480" i="20" a="1"/>
  <c r="I480" i="20" s="1"/>
  <c r="I481" i="20" a="1"/>
  <c r="I481" i="20" s="1"/>
  <c r="I482" i="20" a="1"/>
  <c r="I482" i="20" s="1"/>
  <c r="I473" i="20" a="1"/>
  <c r="I473" i="20" s="1"/>
  <c r="D71" i="18" a="1"/>
  <c r="D71" i="18" s="1"/>
  <c r="B95" i="16" s="1"/>
  <c r="I442" i="20" a="1"/>
  <c r="I442" i="20" s="1"/>
  <c r="I444" i="20" a="1"/>
  <c r="I444" i="20" s="1"/>
  <c r="I446" i="20" a="1"/>
  <c r="I446" i="20" s="1"/>
  <c r="I447" i="20" a="1"/>
  <c r="I447" i="20" s="1"/>
  <c r="I448" i="20" a="1"/>
  <c r="I448" i="20" s="1"/>
  <c r="D517" i="20" a="1"/>
  <c r="D517" i="20" s="1"/>
  <c r="D516" i="20" a="1"/>
  <c r="D516" i="20" s="1"/>
  <c r="D515" i="20" a="1"/>
  <c r="D515" i="20" s="1"/>
  <c r="D514" i="20" a="1"/>
  <c r="D514" i="20" s="1"/>
  <c r="D513" i="20" a="1"/>
  <c r="D513" i="20" s="1"/>
  <c r="D512" i="20" a="1"/>
  <c r="D512" i="20" s="1"/>
  <c r="I512" i="20" a="1"/>
  <c r="I512" i="20" s="1"/>
  <c r="D511" i="20" a="1"/>
  <c r="D511" i="20" s="1"/>
  <c r="D510" i="20" a="1"/>
  <c r="D510" i="20" s="1"/>
  <c r="D509" i="20" a="1"/>
  <c r="D509" i="20" s="1"/>
  <c r="D508" i="20" a="1"/>
  <c r="D508" i="20" s="1"/>
  <c r="I507" i="20" a="1"/>
  <c r="I507" i="20" s="1"/>
  <c r="D483" i="20" a="1"/>
  <c r="D483" i="20" s="1"/>
  <c r="D482" i="20" a="1"/>
  <c r="D482" i="20" s="1"/>
  <c r="D481" i="20" a="1"/>
  <c r="D481" i="20" s="1"/>
  <c r="D480" i="20" a="1"/>
  <c r="D480" i="20" s="1"/>
  <c r="D479" i="20" a="1"/>
  <c r="D479" i="20" s="1"/>
  <c r="D478" i="20" a="1"/>
  <c r="D478" i="20" s="1"/>
  <c r="D476" i="20" a="1"/>
  <c r="D476" i="20" s="1"/>
  <c r="D474" i="20" a="1"/>
  <c r="D474" i="20" s="1"/>
  <c r="D473" i="20" a="1"/>
  <c r="D473" i="20" s="1"/>
  <c r="D449" i="20" a="1"/>
  <c r="D449" i="20" s="1"/>
  <c r="D448" i="20" a="1"/>
  <c r="D448" i="20" s="1"/>
  <c r="I445" i="20" a="1"/>
  <c r="I445" i="20" s="1"/>
  <c r="I443" i="20" a="1"/>
  <c r="I443" i="20" s="1"/>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4" i="15"/>
  <c r="K35" i="15"/>
  <c r="M36" i="15" s="1"/>
  <c r="K34" i="15"/>
  <c r="M35" i="15" s="1"/>
  <c r="K33" i="15"/>
  <c r="M34" i="15" s="1"/>
  <c r="K32" i="15"/>
  <c r="M33" i="15" s="1"/>
  <c r="K31" i="15"/>
  <c r="M32" i="15" s="1"/>
  <c r="K30" i="15"/>
  <c r="M31" i="15" s="1"/>
  <c r="K29" i="15"/>
  <c r="M30" i="15" s="1"/>
  <c r="K28" i="15"/>
  <c r="M29" i="15" s="1"/>
  <c r="K27" i="15"/>
  <c r="M28" i="15" s="1"/>
  <c r="K26" i="15"/>
  <c r="M27" i="15" s="1"/>
  <c r="K25" i="15"/>
  <c r="M26" i="15" s="1"/>
  <c r="K24" i="15"/>
  <c r="M25" i="15" s="1"/>
  <c r="K23" i="15"/>
  <c r="M24" i="15" s="1"/>
  <c r="K22" i="15"/>
  <c r="M23" i="15" s="1"/>
  <c r="K21" i="15"/>
  <c r="M22" i="15" s="1"/>
  <c r="K20" i="15"/>
  <c r="M21" i="15" s="1"/>
  <c r="K19" i="15"/>
  <c r="M20" i="15" s="1"/>
  <c r="K18" i="15"/>
  <c r="M19" i="15" s="1"/>
  <c r="K17" i="15"/>
  <c r="M18" i="15" s="1"/>
  <c r="K16" i="15"/>
  <c r="M17" i="15" s="1"/>
  <c r="K15" i="15"/>
  <c r="M16" i="15" s="1"/>
  <c r="K14" i="15"/>
  <c r="M15" i="15" s="1"/>
  <c r="K13" i="15"/>
  <c r="M14" i="15" s="1"/>
  <c r="K12" i="15"/>
  <c r="M13" i="15" s="1"/>
  <c r="K11" i="15"/>
  <c r="M12" i="15" s="1"/>
  <c r="K10" i="15"/>
  <c r="M11" i="15" s="1"/>
  <c r="K9" i="15"/>
  <c r="K8" i="15"/>
  <c r="M9" i="15" s="1"/>
  <c r="K7" i="15"/>
  <c r="M8" i="15" s="1"/>
  <c r="K6" i="15"/>
  <c r="M7" i="15" s="1"/>
  <c r="K5" i="15"/>
  <c r="M6" i="15" s="1"/>
  <c r="K4" i="15"/>
  <c r="M5" i="15" s="1"/>
  <c r="B43" i="13" a="1"/>
  <c r="B43" i="13" s="1"/>
  <c r="D379" i="18" a="1"/>
  <c r="D379" i="18" s="1"/>
  <c r="B6" i="23" s="1"/>
  <c r="D380" i="18" a="1"/>
  <c r="D380" i="18" s="1"/>
  <c r="B7" i="23" s="1"/>
  <c r="D381" i="18" a="1"/>
  <c r="D381" i="18" s="1"/>
  <c r="B9" i="23" s="1"/>
  <c r="D382" i="18" a="1"/>
  <c r="D382" i="18" s="1"/>
  <c r="B10" i="23" s="1"/>
  <c r="D383" i="18" a="1"/>
  <c r="D383" i="18" s="1"/>
  <c r="B72" i="23" s="1"/>
  <c r="D389" i="18" a="1"/>
  <c r="D389" i="18" s="1"/>
  <c r="D390" i="18" a="1"/>
  <c r="D390" i="18" s="1"/>
  <c r="D391" i="18" a="1"/>
  <c r="D391" i="18" s="1"/>
  <c r="D392" i="18" a="1"/>
  <c r="D392" i="18" s="1"/>
  <c r="D393" i="18" a="1"/>
  <c r="D393" i="18" s="1"/>
  <c r="D394" i="18" a="1"/>
  <c r="D394" i="18" s="1"/>
  <c r="D395" i="18" a="1"/>
  <c r="D395" i="18" s="1"/>
  <c r="D396" i="18" a="1"/>
  <c r="D396" i="18" s="1"/>
  <c r="D397" i="18" a="1"/>
  <c r="D397" i="18" s="1"/>
  <c r="D398" i="18" a="1"/>
  <c r="D398" i="18" s="1"/>
  <c r="D399" i="18" a="1"/>
  <c r="D399" i="18" s="1"/>
  <c r="D400" i="18" a="1"/>
  <c r="D400" i="18" s="1"/>
  <c r="D401" i="18" a="1"/>
  <c r="D401" i="18" s="1"/>
  <c r="D402" i="18" a="1"/>
  <c r="D402" i="18" s="1"/>
  <c r="D403" i="18" a="1"/>
  <c r="D403" i="18" s="1"/>
  <c r="D404" i="18" a="1"/>
  <c r="D404" i="18" s="1"/>
  <c r="D405" i="18" a="1"/>
  <c r="D405" i="18" s="1"/>
  <c r="D406" i="18" a="1"/>
  <c r="D406" i="18" s="1"/>
  <c r="D407" i="18" a="1"/>
  <c r="D407" i="18" s="1"/>
  <c r="D408" i="18" a="1"/>
  <c r="D408" i="18" s="1"/>
  <c r="D409" i="18" a="1"/>
  <c r="D409" i="18" s="1"/>
  <c r="D410" i="18" a="1"/>
  <c r="D410" i="18" s="1"/>
  <c r="E849" i="20" a="1"/>
  <c r="E849" i="20" s="1"/>
  <c r="E850" i="20" a="1"/>
  <c r="E850" i="20" s="1"/>
  <c r="E851" i="20" a="1"/>
  <c r="E851" i="20" s="1"/>
  <c r="E852" i="20" a="1"/>
  <c r="E852" i="20" s="1"/>
  <c r="E853" i="20" a="1"/>
  <c r="E853" i="20" s="1"/>
  <c r="E854" i="20" a="1"/>
  <c r="E854" i="20" s="1"/>
  <c r="E855" i="20" a="1"/>
  <c r="E855" i="20" s="1"/>
  <c r="E856" i="20" a="1"/>
  <c r="E856" i="20" s="1"/>
  <c r="E857" i="20" a="1"/>
  <c r="E857" i="20" s="1"/>
  <c r="E848" i="20" a="1"/>
  <c r="E848" i="20" s="1"/>
  <c r="E813" i="20" a="1"/>
  <c r="E813" i="20" s="1"/>
  <c r="E814" i="20" a="1"/>
  <c r="E814" i="20" s="1"/>
  <c r="E815" i="20" a="1"/>
  <c r="E815" i="20" s="1"/>
  <c r="E816" i="20" a="1"/>
  <c r="E816" i="20" s="1"/>
  <c r="E817" i="20" a="1"/>
  <c r="E817" i="20" s="1"/>
  <c r="E818" i="20" a="1"/>
  <c r="E818" i="20" s="1"/>
  <c r="E819" i="20" a="1"/>
  <c r="E819" i="20" s="1"/>
  <c r="E820" i="20" a="1"/>
  <c r="E820" i="20" s="1"/>
  <c r="E821" i="20" a="1"/>
  <c r="E821" i="20" s="1"/>
  <c r="E812" i="20" a="1"/>
  <c r="E812" i="20" s="1"/>
  <c r="G623" i="20" a="1"/>
  <c r="G623" i="20" s="1"/>
  <c r="G624" i="20" a="1"/>
  <c r="G624" i="20" s="1"/>
  <c r="G625" i="20" a="1"/>
  <c r="G625" i="20" s="1"/>
  <c r="G626" i="20" a="1"/>
  <c r="G626" i="20" s="1"/>
  <c r="G627" i="20" a="1"/>
  <c r="G627" i="20" s="1"/>
  <c r="G628" i="20" a="1"/>
  <c r="G628" i="20" s="1"/>
  <c r="G629" i="20" a="1"/>
  <c r="G629" i="20" s="1"/>
  <c r="G630" i="20" a="1"/>
  <c r="G630" i="20" s="1"/>
  <c r="G631" i="20" a="1"/>
  <c r="G631" i="20" s="1"/>
  <c r="G632" i="20" a="1"/>
  <c r="G632" i="20" s="1"/>
  <c r="G633" i="20" a="1"/>
  <c r="G633" i="20" s="1"/>
  <c r="G634" i="20" a="1"/>
  <c r="G634" i="20" s="1"/>
  <c r="G635" i="20" a="1"/>
  <c r="G635" i="20" s="1"/>
  <c r="G636" i="20" a="1"/>
  <c r="G636" i="20" s="1"/>
  <c r="G637" i="20" a="1"/>
  <c r="G637" i="20" s="1"/>
  <c r="G638" i="20" a="1"/>
  <c r="G638" i="20" s="1"/>
  <c r="G639" i="20" a="1"/>
  <c r="G639" i="20" s="1"/>
  <c r="G640" i="20" a="1"/>
  <c r="G640" i="20" s="1"/>
  <c r="G641" i="20" a="1"/>
  <c r="G641" i="20" s="1"/>
  <c r="G598" i="20"/>
  <c r="G597" i="20"/>
  <c r="G596" i="20"/>
  <c r="G595" i="20"/>
  <c r="G594" i="20"/>
  <c r="G593" i="20"/>
  <c r="G592" i="20"/>
  <c r="G591" i="20"/>
  <c r="G590" i="20"/>
  <c r="G589" i="20"/>
  <c r="G588" i="20"/>
  <c r="G587" i="20"/>
  <c r="G586" i="20"/>
  <c r="G585" i="20"/>
  <c r="G584" i="20"/>
  <c r="G583" i="20"/>
  <c r="G582" i="20"/>
  <c r="G581" i="20"/>
  <c r="G580" i="20"/>
  <c r="G579" i="20"/>
  <c r="D105" i="18" a="1"/>
  <c r="D105" i="18" s="1"/>
  <c r="C132" i="20" s="1"/>
  <c r="D62" i="18" a="1"/>
  <c r="D62" i="18" s="1"/>
  <c r="D63" i="18" a="1"/>
  <c r="D63" i="18" s="1"/>
  <c r="D57" i="18" a="1"/>
  <c r="D57" i="18" s="1"/>
  <c r="B54" i="16" s="1"/>
  <c r="D58" i="18" a="1"/>
  <c r="D58" i="18" s="1"/>
  <c r="B57" i="16" s="1"/>
  <c r="K964" i="21"/>
  <c r="K939" i="21"/>
  <c r="K914" i="21"/>
  <c r="K888" i="21"/>
  <c r="K861" i="21"/>
  <c r="K834" i="21"/>
  <c r="K817" i="21"/>
  <c r="K800" i="21"/>
  <c r="K783" i="21"/>
  <c r="K766" i="21"/>
  <c r="K739" i="21"/>
  <c r="K713" i="21"/>
  <c r="K688" i="21"/>
  <c r="K663" i="21"/>
  <c r="K636" i="21"/>
  <c r="K609" i="21"/>
  <c r="K592" i="21"/>
  <c r="K575" i="21"/>
  <c r="K558" i="21"/>
  <c r="K541" i="21"/>
  <c r="K508" i="21"/>
  <c r="K498" i="21"/>
  <c r="K478" i="21"/>
  <c r="K454" i="21"/>
  <c r="K430" i="21"/>
  <c r="K418" i="21"/>
  <c r="K401" i="21"/>
  <c r="K384" i="21"/>
  <c r="K364" i="21"/>
  <c r="K352" i="21"/>
  <c r="K249" i="21"/>
  <c r="K230" i="21"/>
  <c r="K202" i="21"/>
  <c r="K175" i="21"/>
  <c r="K149" i="21"/>
  <c r="K132" i="21"/>
  <c r="K105" i="21"/>
  <c r="K79" i="21"/>
  <c r="K57" i="21"/>
  <c r="K40" i="21"/>
  <c r="K22" i="21"/>
  <c r="B130" i="13" a="1"/>
  <c r="B130" i="13" s="1"/>
  <c r="B131" i="13" a="1"/>
  <c r="B131" i="13" s="1"/>
  <c r="B132" i="13" a="1"/>
  <c r="B132" i="13" s="1"/>
  <c r="B133" i="13" a="1"/>
  <c r="B133" i="13" s="1"/>
  <c r="B134" i="13" a="1"/>
  <c r="B134" i="13" s="1"/>
  <c r="B135" i="13" a="1"/>
  <c r="B135" i="13" s="1"/>
  <c r="B136" i="13" a="1"/>
  <c r="B136" i="13" s="1"/>
  <c r="B137" i="13" a="1"/>
  <c r="B137" i="13" s="1"/>
  <c r="B138" i="13" a="1"/>
  <c r="B138" i="13" s="1"/>
  <c r="B139" i="13" a="1"/>
  <c r="B139" i="13" s="1"/>
  <c r="B140" i="13" a="1"/>
  <c r="B140" i="13" s="1"/>
  <c r="B141" i="13" a="1"/>
  <c r="B141" i="13" s="1"/>
  <c r="H157" i="13" a="1"/>
  <c r="H157" i="13" s="1"/>
  <c r="H158" i="13" a="1"/>
  <c r="H158" i="13" s="1"/>
  <c r="H159" i="13" a="1"/>
  <c r="H159" i="13" s="1"/>
  <c r="H160" i="13" a="1"/>
  <c r="H160" i="13" s="1"/>
  <c r="H161" i="13" a="1"/>
  <c r="H161" i="13" s="1"/>
  <c r="H162" i="13" a="1"/>
  <c r="H162" i="13" s="1"/>
  <c r="H163" i="13" a="1"/>
  <c r="H163" i="13" s="1"/>
  <c r="H164" i="13" a="1"/>
  <c r="H164" i="13" s="1"/>
  <c r="H165" i="13" a="1"/>
  <c r="H165" i="13" s="1"/>
  <c r="H166" i="13" a="1"/>
  <c r="H166" i="13" s="1"/>
  <c r="H167" i="13" a="1"/>
  <c r="H167" i="13" s="1"/>
  <c r="H168" i="13" a="1"/>
  <c r="H168" i="13" s="1"/>
  <c r="H169" i="13" a="1"/>
  <c r="H169" i="13" s="1"/>
  <c r="H170" i="13" a="1"/>
  <c r="H170" i="13" s="1"/>
  <c r="H171" i="13" a="1"/>
  <c r="H171" i="13" s="1"/>
  <c r="H172" i="13" a="1"/>
  <c r="H172" i="13" s="1"/>
  <c r="H173" i="13" a="1"/>
  <c r="H173" i="13" s="1"/>
  <c r="H174" i="13" a="1"/>
  <c r="H174" i="13" s="1"/>
  <c r="H175" i="13" a="1"/>
  <c r="H175" i="13" s="1"/>
  <c r="H176" i="13" a="1"/>
  <c r="H176" i="13" s="1"/>
  <c r="H177" i="13" a="1"/>
  <c r="H177" i="13" s="1"/>
  <c r="H178" i="13" a="1"/>
  <c r="H178" i="13" s="1"/>
  <c r="H179" i="13" a="1"/>
  <c r="H179" i="13" s="1"/>
  <c r="H180" i="13" a="1"/>
  <c r="H180" i="13" s="1"/>
  <c r="H181" i="13" a="1"/>
  <c r="H181" i="13" s="1"/>
  <c r="H182" i="13" a="1"/>
  <c r="H182" i="13" s="1"/>
  <c r="H183" i="13" a="1"/>
  <c r="H183" i="13" s="1"/>
  <c r="H184" i="13" a="1"/>
  <c r="H184" i="13" s="1"/>
  <c r="H185" i="13" a="1"/>
  <c r="H185" i="13" s="1"/>
  <c r="H186" i="13" a="1"/>
  <c r="H186" i="13" s="1"/>
  <c r="H187" i="13" a="1"/>
  <c r="H187" i="13" s="1"/>
  <c r="H188" i="13" a="1"/>
  <c r="H188" i="13" s="1"/>
  <c r="H189" i="13" a="1"/>
  <c r="H189" i="13" s="1"/>
  <c r="H190" i="13" a="1"/>
  <c r="H190" i="13" s="1"/>
  <c r="H191" i="13" a="1"/>
  <c r="H191" i="13" s="1"/>
  <c r="H192" i="13" a="1"/>
  <c r="H192" i="13" s="1"/>
  <c r="H193" i="13" a="1"/>
  <c r="H193" i="13" s="1"/>
  <c r="H194" i="13" a="1"/>
  <c r="H194" i="13" s="1"/>
  <c r="H195" i="13" a="1"/>
  <c r="H195" i="13" s="1"/>
  <c r="H196" i="13" a="1"/>
  <c r="H196" i="13" s="1"/>
  <c r="H197" i="13" a="1"/>
  <c r="H197" i="13" s="1"/>
  <c r="H198" i="13" a="1"/>
  <c r="H198" i="13" s="1"/>
  <c r="H199" i="13" a="1"/>
  <c r="H199" i="13" s="1"/>
  <c r="H200" i="13" a="1"/>
  <c r="H200" i="13" s="1"/>
  <c r="H201" i="13" a="1"/>
  <c r="H201" i="13" s="1"/>
  <c r="H202" i="13" a="1"/>
  <c r="H202" i="13" s="1"/>
  <c r="H203" i="13" a="1"/>
  <c r="H203" i="13" s="1"/>
  <c r="H204" i="13" a="1"/>
  <c r="H204" i="13" s="1"/>
  <c r="H156" i="13" a="1"/>
  <c r="H156" i="13" s="1"/>
  <c r="D894" i="21"/>
  <c r="D305" i="18" a="1"/>
  <c r="D305" i="18" s="1"/>
  <c r="H895" i="20" s="1"/>
  <c r="D306" i="18" a="1"/>
  <c r="D306" i="18" s="1"/>
  <c r="C897" i="20" s="1"/>
  <c r="D307" i="18" a="1"/>
  <c r="D307" i="18" s="1"/>
  <c r="C899" i="20" s="1"/>
  <c r="D308" i="18" a="1"/>
  <c r="D308" i="18" s="1"/>
  <c r="C909" i="20" s="1"/>
  <c r="D309" i="18" a="1"/>
  <c r="D309" i="18" s="1"/>
  <c r="C34" i="20" s="1"/>
  <c r="D310" i="18" a="1"/>
  <c r="D310" i="18" s="1"/>
  <c r="C920" i="20" s="1"/>
  <c r="D311" i="18" a="1"/>
  <c r="D311" i="18" s="1"/>
  <c r="C922" i="20" s="1"/>
  <c r="D312" i="18" a="1"/>
  <c r="D312" i="18" s="1"/>
  <c r="C932" i="20" s="1"/>
  <c r="D313" i="18" a="1"/>
  <c r="D313" i="18" s="1"/>
  <c r="C934" i="20" s="1"/>
  <c r="D314" i="18" a="1"/>
  <c r="D314" i="18" s="1"/>
  <c r="C937" i="20" s="1"/>
  <c r="D315" i="18" a="1"/>
  <c r="D315" i="18" s="1"/>
  <c r="E937" i="20" s="1"/>
  <c r="D316" i="18" a="1"/>
  <c r="D316" i="18" s="1"/>
  <c r="F937" i="20" s="1"/>
  <c r="D291" i="18" a="1"/>
  <c r="D291" i="18" s="1"/>
  <c r="C866" i="20" s="1"/>
  <c r="D278" i="18" a="1"/>
  <c r="D278" i="18" s="1"/>
  <c r="D274" i="18" a="1"/>
  <c r="D274" i="18" s="1"/>
  <c r="C783" i="20" s="1"/>
  <c r="C379" i="21" s="1"/>
  <c r="D253" i="18" a="1"/>
  <c r="D253" i="18" s="1"/>
  <c r="C735" i="20" s="1"/>
  <c r="D245" i="18" a="1"/>
  <c r="D245" i="18" s="1"/>
  <c r="C711" i="20" s="1" a="1"/>
  <c r="C711" i="20" s="1"/>
  <c r="D219" i="18" a="1"/>
  <c r="D219" i="18" s="1"/>
  <c r="C652" i="20" s="1"/>
  <c r="I82" i="13" a="1"/>
  <c r="I82" i="13" s="1"/>
  <c r="I81" i="13" a="1"/>
  <c r="I81" i="13" s="1"/>
  <c r="I80" i="13" a="1"/>
  <c r="I80" i="13" s="1"/>
  <c r="I79" i="13" a="1"/>
  <c r="I79" i="13" s="1"/>
  <c r="I78" i="13" a="1"/>
  <c r="I78" i="13" s="1"/>
  <c r="I77" i="13" a="1"/>
  <c r="I77" i="13" s="1"/>
  <c r="I76" i="13" a="1"/>
  <c r="I76" i="13" s="1"/>
  <c r="I75" i="13" a="1"/>
  <c r="I75" i="13" s="1"/>
  <c r="I74" i="13" a="1"/>
  <c r="I74" i="13" s="1"/>
  <c r="I57" i="13" a="1"/>
  <c r="I57" i="13" s="1"/>
  <c r="I58" i="13" a="1"/>
  <c r="I58" i="13" s="1"/>
  <c r="I59" i="13" a="1"/>
  <c r="I59" i="13" s="1"/>
  <c r="I60" i="13" a="1"/>
  <c r="I60" i="13" s="1"/>
  <c r="I61" i="13" a="1"/>
  <c r="I61" i="13" s="1"/>
  <c r="I62" i="13" a="1"/>
  <c r="I62" i="13" s="1"/>
  <c r="I63" i="13" a="1"/>
  <c r="I63" i="13" s="1"/>
  <c r="I64" i="13" a="1"/>
  <c r="I64" i="13" s="1"/>
  <c r="I56" i="13" a="1"/>
  <c r="I56" i="13" s="1"/>
  <c r="I73" i="13" a="1"/>
  <c r="I73" i="13" s="1"/>
  <c r="I72" i="13" a="1"/>
  <c r="I72" i="13" s="1"/>
  <c r="I71" i="13" a="1"/>
  <c r="I71" i="13" s="1"/>
  <c r="I70" i="13" a="1"/>
  <c r="I70" i="13" s="1"/>
  <c r="I69" i="13" a="1"/>
  <c r="I69" i="13" s="1"/>
  <c r="I68" i="13" a="1"/>
  <c r="I68" i="13" s="1"/>
  <c r="I67" i="13" a="1"/>
  <c r="I67" i="13" s="1"/>
  <c r="I66" i="13" a="1"/>
  <c r="I66" i="13" s="1"/>
  <c r="I65" i="13" a="1"/>
  <c r="I65" i="13" s="1"/>
  <c r="I48" i="13" a="1"/>
  <c r="I48" i="13" s="1"/>
  <c r="I49" i="13" a="1"/>
  <c r="I49" i="13" s="1"/>
  <c r="I50" i="13" a="1"/>
  <c r="I50" i="13" s="1"/>
  <c r="I51" i="13" a="1"/>
  <c r="I51" i="13" s="1"/>
  <c r="I52" i="13" a="1"/>
  <c r="I52" i="13" s="1"/>
  <c r="I53" i="13" a="1"/>
  <c r="I53" i="13" s="1"/>
  <c r="I54" i="13" a="1"/>
  <c r="I54" i="13" s="1"/>
  <c r="I55" i="13" a="1"/>
  <c r="I55" i="13" s="1"/>
  <c r="I47" i="13" a="1"/>
  <c r="I47" i="13" s="1"/>
  <c r="E412" i="20" a="1"/>
  <c r="E412" i="20" s="1"/>
  <c r="F411" i="20" a="1"/>
  <c r="F411" i="20" s="1"/>
  <c r="E411" i="20" a="1"/>
  <c r="E411" i="20" s="1"/>
  <c r="F410" i="20" a="1"/>
  <c r="F410" i="20" s="1"/>
  <c r="E410" i="20" a="1"/>
  <c r="E410" i="20" s="1"/>
  <c r="F409" i="20" a="1"/>
  <c r="F409" i="20" s="1"/>
  <c r="E409" i="20" a="1"/>
  <c r="E409" i="20" s="1"/>
  <c r="E408" i="20" a="1"/>
  <c r="E408" i="20" s="1"/>
  <c r="F407" i="20" a="1"/>
  <c r="F407" i="20" s="1"/>
  <c r="E407" i="20" a="1"/>
  <c r="E407" i="20" s="1"/>
  <c r="E406" i="20" a="1"/>
  <c r="E406" i="20" s="1"/>
  <c r="F405" i="20" a="1"/>
  <c r="F405" i="20" s="1"/>
  <c r="E405" i="20" a="1"/>
  <c r="E405" i="20" s="1"/>
  <c r="F404" i="20" a="1"/>
  <c r="F404" i="20" s="1"/>
  <c r="E404" i="20" a="1"/>
  <c r="E404" i="20" s="1"/>
  <c r="E403" i="20" a="1"/>
  <c r="E403" i="20" s="1"/>
  <c r="E375" i="20" a="1"/>
  <c r="E375" i="20" s="1"/>
  <c r="E374" i="20" a="1"/>
  <c r="E374" i="20" s="1"/>
  <c r="E373" i="20" a="1"/>
  <c r="E373" i="20" s="1"/>
  <c r="E372" i="20" a="1"/>
  <c r="E372" i="20" s="1"/>
  <c r="E371" i="20" a="1"/>
  <c r="E371" i="20" s="1"/>
  <c r="E370" i="20" a="1"/>
  <c r="E370" i="20" s="1"/>
  <c r="E369" i="20" a="1"/>
  <c r="E369" i="20" s="1"/>
  <c r="E368" i="20" a="1"/>
  <c r="E368" i="20" s="1"/>
  <c r="E367" i="20" a="1"/>
  <c r="E367" i="20" s="1"/>
  <c r="E366" i="20" a="1"/>
  <c r="E366" i="20" s="1"/>
  <c r="E338" i="20" a="1"/>
  <c r="E338" i="20" s="1"/>
  <c r="E337" i="20" a="1"/>
  <c r="E337" i="20" s="1"/>
  <c r="E336" i="20" a="1"/>
  <c r="E336" i="20" s="1"/>
  <c r="E335" i="20" a="1"/>
  <c r="E335" i="20" s="1"/>
  <c r="E334" i="20" a="1"/>
  <c r="E334" i="20" s="1"/>
  <c r="E333" i="20" a="1"/>
  <c r="E333" i="20" s="1"/>
  <c r="E332" i="20" a="1"/>
  <c r="E332" i="20" s="1"/>
  <c r="E331" i="20" a="1"/>
  <c r="E331" i="20" s="1"/>
  <c r="E330" i="20" a="1"/>
  <c r="E330" i="20" s="1"/>
  <c r="E329" i="20" a="1"/>
  <c r="E329" i="20" s="1"/>
  <c r="E328" i="20" a="1"/>
  <c r="E328" i="20" s="1"/>
  <c r="F190" i="20" a="1"/>
  <c r="F190" i="20" s="1"/>
  <c r="E190" i="20" a="1"/>
  <c r="E190" i="20" s="1"/>
  <c r="E189" i="20" a="1"/>
  <c r="E189" i="20" s="1"/>
  <c r="E188" i="20" a="1"/>
  <c r="E188" i="20" s="1"/>
  <c r="E187" i="20" a="1"/>
  <c r="E187" i="20" s="1"/>
  <c r="E186" i="20" a="1"/>
  <c r="E186" i="20" s="1"/>
  <c r="E185" i="20" a="1"/>
  <c r="E185" i="20" s="1"/>
  <c r="E184" i="20" a="1"/>
  <c r="E184" i="20" s="1"/>
  <c r="E183" i="20" a="1"/>
  <c r="E183" i="20" s="1"/>
  <c r="E182" i="20" a="1"/>
  <c r="E182" i="20" s="1"/>
  <c r="E181" i="20" a="1"/>
  <c r="E181" i="20" s="1"/>
  <c r="F129" i="20" a="1"/>
  <c r="F129" i="20" s="1"/>
  <c r="E129" i="20" a="1"/>
  <c r="E129" i="20" s="1"/>
  <c r="F128" i="20" a="1"/>
  <c r="F128" i="20" s="1"/>
  <c r="E128" i="20" a="1"/>
  <c r="E128" i="20" s="1"/>
  <c r="E127" i="20" a="1"/>
  <c r="E127" i="20" s="1"/>
  <c r="E126" i="20" a="1"/>
  <c r="E126" i="20" s="1"/>
  <c r="E125" i="20" a="1"/>
  <c r="E125" i="20" s="1"/>
  <c r="E124" i="20" a="1"/>
  <c r="E124" i="20" s="1"/>
  <c r="E123" i="20" a="1"/>
  <c r="E123" i="20" s="1"/>
  <c r="E122" i="20" a="1"/>
  <c r="E122" i="20" s="1"/>
  <c r="E121" i="20" a="1"/>
  <c r="E121" i="20" s="1"/>
  <c r="E120" i="20" a="1"/>
  <c r="E120" i="20" s="1"/>
  <c r="E119" i="20" a="1"/>
  <c r="E119" i="20" s="1"/>
  <c r="F68" i="20" a="1"/>
  <c r="F68" i="20" s="1"/>
  <c r="E68" i="20" a="1"/>
  <c r="E68" i="20" s="1"/>
  <c r="E67" i="20" a="1"/>
  <c r="E67" i="20" s="1"/>
  <c r="E66" i="20" a="1"/>
  <c r="E66" i="20" s="1"/>
  <c r="E65" i="20" a="1"/>
  <c r="E65" i="20" s="1"/>
  <c r="E64" i="20" a="1"/>
  <c r="E64" i="20" s="1"/>
  <c r="E63" i="20" a="1"/>
  <c r="E63" i="20" s="1"/>
  <c r="E62" i="20" a="1"/>
  <c r="E62" i="20" s="1"/>
  <c r="E61" i="20" a="1"/>
  <c r="E61" i="20" s="1"/>
  <c r="E60" i="20" a="1"/>
  <c r="E60" i="20" s="1"/>
  <c r="E59" i="20" a="1"/>
  <c r="E59" i="20" s="1"/>
  <c r="F338" i="20"/>
  <c r="E413" i="20"/>
  <c r="D413" i="20"/>
  <c r="F413" i="20" s="1" a="1"/>
  <c r="F413" i="20" s="1"/>
  <c r="E376" i="20"/>
  <c r="F376" i="20" a="1"/>
  <c r="F376" i="20" s="1"/>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96" i="14"/>
  <c r="F797" i="14"/>
  <c r="F798" i="14"/>
  <c r="F799"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896" i="14"/>
  <c r="F897" i="14"/>
  <c r="F898" i="14"/>
  <c r="F899" i="14"/>
  <c r="F900" i="14"/>
  <c r="F901" i="14"/>
  <c r="F902" i="14"/>
  <c r="F903" i="14"/>
  <c r="F904" i="14"/>
  <c r="F905" i="14"/>
  <c r="F906" i="14"/>
  <c r="F907" i="14"/>
  <c r="F908" i="14"/>
  <c r="F909" i="14"/>
  <c r="F910" i="14"/>
  <c r="F911" i="14"/>
  <c r="F912" i="14"/>
  <c r="F913" i="14"/>
  <c r="F914" i="14"/>
  <c r="F915" i="14"/>
  <c r="F916" i="14"/>
  <c r="F917" i="14"/>
  <c r="F918" i="14"/>
  <c r="F919" i="14"/>
  <c r="F920" i="14"/>
  <c r="F921" i="14"/>
  <c r="F922" i="14"/>
  <c r="F923" i="14"/>
  <c r="F924" i="14"/>
  <c r="F925"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759"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591" i="14"/>
  <c r="F592" i="14"/>
  <c r="F593" i="14"/>
  <c r="F594"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638" i="14"/>
  <c r="F639" i="14"/>
  <c r="F640" i="14"/>
  <c r="F641" i="14"/>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705" i="14"/>
  <c r="F706" i="14"/>
  <c r="F707" i="14"/>
  <c r="F708"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48" i="14"/>
  <c r="F749" i="14"/>
  <c r="F750" i="14"/>
  <c r="F751" i="14"/>
  <c r="F752" i="14"/>
  <c r="F753" i="14"/>
  <c r="F754" i="14"/>
  <c r="F755" i="14"/>
  <c r="F756" i="14"/>
  <c r="F510"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261" i="14"/>
  <c r="B321" i="13" a="1"/>
  <c r="B321" i="13" s="1"/>
  <c r="B322" i="13" a="1"/>
  <c r="B322" i="13" s="1"/>
  <c r="B323" i="13" a="1"/>
  <c r="B323" i="13" s="1"/>
  <c r="B324" i="13" a="1"/>
  <c r="B324" i="13" s="1"/>
  <c r="B325" i="13" a="1"/>
  <c r="B325" i="13" s="1"/>
  <c r="B326" i="13" a="1"/>
  <c r="B326" i="13" s="1"/>
  <c r="B327" i="13" a="1"/>
  <c r="B327" i="13" s="1"/>
  <c r="B328" i="13" a="1"/>
  <c r="B328" i="13" s="1"/>
  <c r="B329" i="13" a="1"/>
  <c r="B329" i="13" s="1"/>
  <c r="B330" i="13" a="1"/>
  <c r="B330" i="13" s="1"/>
  <c r="B331" i="13" a="1"/>
  <c r="B331" i="13" s="1"/>
  <c r="B332" i="13" a="1"/>
  <c r="B332" i="13" s="1"/>
  <c r="B333" i="13" a="1"/>
  <c r="B333" i="13" s="1"/>
  <c r="B320" i="13" a="1"/>
  <c r="B320" i="13" s="1"/>
  <c r="B246" i="13" a="1"/>
  <c r="B246" i="13" s="1"/>
  <c r="B247" i="13" a="1"/>
  <c r="B247" i="13" s="1"/>
  <c r="B248" i="13" a="1"/>
  <c r="B248" i="13" s="1"/>
  <c r="B249" i="13" a="1"/>
  <c r="B249" i="13" s="1"/>
  <c r="B250" i="13" a="1"/>
  <c r="B250" i="13" s="1"/>
  <c r="B251" i="13" a="1"/>
  <c r="B251" i="13" s="1"/>
  <c r="B252" i="13" a="1"/>
  <c r="B252" i="13" s="1"/>
  <c r="B253" i="13" a="1"/>
  <c r="B253" i="13" s="1"/>
  <c r="B254" i="13" a="1"/>
  <c r="B254" i="13" s="1"/>
  <c r="B255" i="13" a="1"/>
  <c r="B255" i="13" s="1"/>
  <c r="B256" i="13" a="1"/>
  <c r="B256" i="13" s="1"/>
  <c r="B257" i="13" a="1"/>
  <c r="B257" i="13" s="1"/>
  <c r="B258" i="13" a="1"/>
  <c r="B258" i="13" s="1"/>
  <c r="B259" i="13" a="1"/>
  <c r="B259" i="13" s="1"/>
  <c r="B260" i="13" a="1"/>
  <c r="B260" i="13" s="1"/>
  <c r="B261" i="13" a="1"/>
  <c r="B261" i="13" s="1"/>
  <c r="B262" i="13" a="1"/>
  <c r="B262" i="13" s="1"/>
  <c r="B263" i="13" a="1"/>
  <c r="B263" i="13" s="1"/>
  <c r="B264" i="13" a="1"/>
  <c r="B264" i="13" s="1"/>
  <c r="B265" i="13" a="1"/>
  <c r="B265" i="13" s="1"/>
  <c r="B266" i="13" a="1"/>
  <c r="B266" i="13" s="1"/>
  <c r="B267" i="13" a="1"/>
  <c r="B267" i="13" s="1"/>
  <c r="B268" i="13" a="1"/>
  <c r="B268" i="13" s="1"/>
  <c r="B269" i="13" a="1"/>
  <c r="B269" i="13" s="1"/>
  <c r="B270" i="13" a="1"/>
  <c r="B270" i="13" s="1"/>
  <c r="B271" i="13" a="1"/>
  <c r="B271" i="13" s="1"/>
  <c r="B272" i="13" a="1"/>
  <c r="B272" i="13" s="1"/>
  <c r="B273" i="13" a="1"/>
  <c r="B273" i="13" s="1"/>
  <c r="B274" i="13" a="1"/>
  <c r="B274" i="13" s="1"/>
  <c r="B275" i="13" a="1"/>
  <c r="B275" i="13" s="1"/>
  <c r="B276" i="13" a="1"/>
  <c r="B276" i="13" s="1"/>
  <c r="B277" i="13" a="1"/>
  <c r="B277" i="13" s="1"/>
  <c r="B278" i="13" a="1"/>
  <c r="B278" i="13" s="1"/>
  <c r="B279" i="13" a="1"/>
  <c r="B279" i="13" s="1"/>
  <c r="B280" i="13" a="1"/>
  <c r="B280" i="13" s="1"/>
  <c r="B281" i="13" a="1"/>
  <c r="B281" i="13" s="1"/>
  <c r="B282" i="13" a="1"/>
  <c r="B282" i="13" s="1"/>
  <c r="B283" i="13" a="1"/>
  <c r="B283" i="13" s="1"/>
  <c r="B284" i="13" a="1"/>
  <c r="B284" i="13" s="1"/>
  <c r="B285" i="13" a="1"/>
  <c r="B285" i="13" s="1"/>
  <c r="B286" i="13" a="1"/>
  <c r="B286" i="13" s="1"/>
  <c r="B287" i="13" a="1"/>
  <c r="B287" i="13" s="1"/>
  <c r="B288" i="13" a="1"/>
  <c r="B288" i="13" s="1"/>
  <c r="B289" i="13" a="1"/>
  <c r="B289" i="13" s="1"/>
  <c r="B290" i="13" a="1"/>
  <c r="B290" i="13" s="1"/>
  <c r="B291" i="13" a="1"/>
  <c r="B291" i="13" s="1"/>
  <c r="B292" i="13" a="1"/>
  <c r="B292" i="13" s="1"/>
  <c r="B293" i="13" a="1"/>
  <c r="B293" i="13" s="1"/>
  <c r="B294" i="13" a="1"/>
  <c r="B294" i="13" s="1"/>
  <c r="B295" i="13" a="1"/>
  <c r="B295" i="13" s="1"/>
  <c r="B296" i="13" a="1"/>
  <c r="B296" i="13" s="1"/>
  <c r="B297" i="13" a="1"/>
  <c r="B297" i="13" s="1"/>
  <c r="B298" i="13" a="1"/>
  <c r="B298" i="13" s="1"/>
  <c r="B245" i="13" a="1"/>
  <c r="B245" i="13" s="1"/>
  <c r="B210" i="13" a="1"/>
  <c r="B210" i="13" s="1"/>
  <c r="B211" i="13" a="1"/>
  <c r="B211" i="13" s="1"/>
  <c r="B212" i="13" a="1"/>
  <c r="B212" i="13" s="1"/>
  <c r="B213" i="13" a="1"/>
  <c r="B213" i="13" s="1"/>
  <c r="B214" i="13" a="1"/>
  <c r="B214" i="13" s="1"/>
  <c r="B215" i="13" a="1"/>
  <c r="B215" i="13" s="1"/>
  <c r="B216" i="13" a="1"/>
  <c r="B216" i="13" s="1"/>
  <c r="B217" i="13" a="1"/>
  <c r="B217" i="13" s="1"/>
  <c r="B218" i="13" a="1"/>
  <c r="B218" i="13" s="1"/>
  <c r="B219" i="13" a="1"/>
  <c r="B219" i="13" s="1"/>
  <c r="B220" i="13" a="1"/>
  <c r="B220" i="13" s="1"/>
  <c r="B221" i="13" a="1"/>
  <c r="B221" i="13" s="1"/>
  <c r="B222" i="13" a="1"/>
  <c r="B222" i="13" s="1"/>
  <c r="B223" i="13" a="1"/>
  <c r="B223" i="13" s="1"/>
  <c r="B224" i="13" a="1"/>
  <c r="B224" i="13" s="1"/>
  <c r="B225" i="13" a="1"/>
  <c r="B225" i="13" s="1"/>
  <c r="B226" i="13" a="1"/>
  <c r="B226" i="13" s="1"/>
  <c r="B227" i="13" a="1"/>
  <c r="B227" i="13" s="1"/>
  <c r="B228" i="13" a="1"/>
  <c r="B228" i="13" s="1"/>
  <c r="B229" i="13" a="1"/>
  <c r="B229" i="13" s="1"/>
  <c r="B230" i="13" a="1"/>
  <c r="B230" i="13" s="1"/>
  <c r="B231" i="13" a="1"/>
  <c r="B231" i="13" s="1"/>
  <c r="B232" i="13" a="1"/>
  <c r="B232" i="13" s="1"/>
  <c r="B233" i="13" a="1"/>
  <c r="B233" i="13" s="1"/>
  <c r="B234" i="13" a="1"/>
  <c r="B234" i="13" s="1"/>
  <c r="B235" i="13" a="1"/>
  <c r="B235" i="13" s="1"/>
  <c r="B236" i="13" a="1"/>
  <c r="B236" i="13" s="1"/>
  <c r="B237" i="13" a="1"/>
  <c r="B237" i="13" s="1"/>
  <c r="B238" i="13" a="1"/>
  <c r="B238" i="13" s="1"/>
  <c r="B239" i="13" a="1"/>
  <c r="B239" i="13" s="1"/>
  <c r="B240" i="13" a="1"/>
  <c r="B240" i="13" s="1"/>
  <c r="B209" i="13" a="1"/>
  <c r="B209" i="13" s="1"/>
  <c r="B157" i="13" a="1"/>
  <c r="B157" i="13" s="1"/>
  <c r="B158" i="13" a="1"/>
  <c r="B158" i="13" s="1"/>
  <c r="B159" i="13" a="1"/>
  <c r="B159" i="13" s="1"/>
  <c r="B160" i="13" a="1"/>
  <c r="B160" i="13" s="1"/>
  <c r="B161" i="13" a="1"/>
  <c r="B161" i="13" s="1"/>
  <c r="B162" i="13" a="1"/>
  <c r="B162" i="13" s="1"/>
  <c r="B163" i="13" a="1"/>
  <c r="B163" i="13" s="1"/>
  <c r="B164" i="13" a="1"/>
  <c r="B164" i="13" s="1"/>
  <c r="B165" i="13" a="1"/>
  <c r="B165" i="13" s="1"/>
  <c r="B166" i="13" a="1"/>
  <c r="B166" i="13" s="1"/>
  <c r="B167" i="13" a="1"/>
  <c r="B167" i="13" s="1"/>
  <c r="B168" i="13" a="1"/>
  <c r="B168" i="13" s="1"/>
  <c r="B169" i="13" a="1"/>
  <c r="B169" i="13" s="1"/>
  <c r="B170" i="13" a="1"/>
  <c r="B170" i="13" s="1"/>
  <c r="B171" i="13" a="1"/>
  <c r="B171" i="13" s="1"/>
  <c r="B172" i="13" a="1"/>
  <c r="B172" i="13" s="1"/>
  <c r="B173" i="13" a="1"/>
  <c r="B173" i="13" s="1"/>
  <c r="B174" i="13" a="1"/>
  <c r="B174" i="13" s="1"/>
  <c r="B175" i="13" a="1"/>
  <c r="B175" i="13" s="1"/>
  <c r="B176" i="13" a="1"/>
  <c r="B176" i="13" s="1"/>
  <c r="B177" i="13" a="1"/>
  <c r="B177" i="13" s="1"/>
  <c r="B178" i="13" a="1"/>
  <c r="B178" i="13" s="1"/>
  <c r="B179" i="13" a="1"/>
  <c r="B179" i="13" s="1"/>
  <c r="B180" i="13" a="1"/>
  <c r="B180" i="13" s="1"/>
  <c r="B181" i="13" a="1"/>
  <c r="B181" i="13" s="1"/>
  <c r="B182" i="13" a="1"/>
  <c r="B182" i="13" s="1"/>
  <c r="B183" i="13" a="1"/>
  <c r="B183" i="13" s="1"/>
  <c r="B184" i="13" a="1"/>
  <c r="B184" i="13" s="1"/>
  <c r="B185" i="13" a="1"/>
  <c r="B185" i="13" s="1"/>
  <c r="B186" i="13" a="1"/>
  <c r="B186" i="13" s="1"/>
  <c r="B187" i="13" a="1"/>
  <c r="B187" i="13" s="1"/>
  <c r="B188" i="13" a="1"/>
  <c r="B188" i="13" s="1"/>
  <c r="B189" i="13" a="1"/>
  <c r="B189" i="13" s="1"/>
  <c r="B190" i="13" a="1"/>
  <c r="B190" i="13" s="1"/>
  <c r="B191" i="13" a="1"/>
  <c r="B191" i="13" s="1"/>
  <c r="B192" i="13" a="1"/>
  <c r="B192" i="13" s="1"/>
  <c r="B193" i="13" a="1"/>
  <c r="B193" i="13" s="1"/>
  <c r="B194" i="13" a="1"/>
  <c r="B194" i="13" s="1"/>
  <c r="B195" i="13" a="1"/>
  <c r="B195" i="13" s="1"/>
  <c r="B196" i="13" a="1"/>
  <c r="B196" i="13" s="1"/>
  <c r="B197" i="13" a="1"/>
  <c r="B197" i="13" s="1"/>
  <c r="B198" i="13" a="1"/>
  <c r="B198" i="13" s="1"/>
  <c r="B199" i="13" a="1"/>
  <c r="B199" i="13" s="1"/>
  <c r="B200" i="13" a="1"/>
  <c r="B200" i="13" s="1"/>
  <c r="B201" i="13" a="1"/>
  <c r="B201" i="13" s="1"/>
  <c r="B202" i="13" a="1"/>
  <c r="B202" i="13" s="1"/>
  <c r="B203" i="13" a="1"/>
  <c r="B203" i="13" s="1"/>
  <c r="B204" i="13" a="1"/>
  <c r="B204" i="13" s="1"/>
  <c r="B156" i="13" a="1"/>
  <c r="B156" i="13" s="1"/>
  <c r="B128" i="13" a="1"/>
  <c r="B128" i="13" s="1"/>
  <c r="B129" i="13" a="1"/>
  <c r="B129" i="13" s="1"/>
  <c r="B142" i="13" a="1"/>
  <c r="B142" i="13" s="1"/>
  <c r="B143" i="13" a="1"/>
  <c r="B143" i="13" s="1"/>
  <c r="B144" i="13" a="1"/>
  <c r="B144" i="13" s="1"/>
  <c r="B145" i="13" a="1"/>
  <c r="B145" i="13" s="1"/>
  <c r="B146" i="13" a="1"/>
  <c r="B146" i="13" s="1"/>
  <c r="B147" i="13" a="1"/>
  <c r="B147" i="13" s="1"/>
  <c r="B148" i="13" a="1"/>
  <c r="B148" i="13" s="1"/>
  <c r="B149" i="13" a="1"/>
  <c r="B149" i="13" s="1"/>
  <c r="B150" i="13" a="1"/>
  <c r="B150" i="13" s="1"/>
  <c r="B151" i="13" a="1"/>
  <c r="B151" i="13" s="1"/>
  <c r="B152" i="13" a="1"/>
  <c r="B152" i="13" s="1"/>
  <c r="B153" i="13" a="1"/>
  <c r="B153" i="13" s="1"/>
  <c r="B127" i="13" a="1"/>
  <c r="B127" i="13" s="1"/>
  <c r="B91" i="13" a="1"/>
  <c r="B91" i="13" s="1"/>
  <c r="B92" i="13" a="1"/>
  <c r="B92" i="13" s="1"/>
  <c r="B93" i="13" a="1"/>
  <c r="B93" i="13" s="1"/>
  <c r="B94" i="13" a="1"/>
  <c r="B94" i="13" s="1"/>
  <c r="B95" i="13" a="1"/>
  <c r="B95" i="13" s="1"/>
  <c r="B96" i="13" a="1"/>
  <c r="B96" i="13" s="1"/>
  <c r="B97" i="13" a="1"/>
  <c r="B97" i="13" s="1"/>
  <c r="B98" i="13" a="1"/>
  <c r="B98" i="13" s="1"/>
  <c r="B99" i="13" a="1"/>
  <c r="B99" i="13" s="1"/>
  <c r="B100" i="13" a="1"/>
  <c r="B100" i="13" s="1"/>
  <c r="B101" i="13" a="1"/>
  <c r="B101" i="13" s="1"/>
  <c r="B102" i="13" a="1"/>
  <c r="B102" i="13" s="1"/>
  <c r="B103" i="13" a="1"/>
  <c r="B103" i="13" s="1"/>
  <c r="B104" i="13" a="1"/>
  <c r="B104" i="13" s="1"/>
  <c r="B105" i="13" a="1"/>
  <c r="B105" i="13" s="1"/>
  <c r="B106" i="13" a="1"/>
  <c r="B106" i="13" s="1"/>
  <c r="B107" i="13" a="1"/>
  <c r="B107" i="13" s="1"/>
  <c r="B108" i="13" a="1"/>
  <c r="B108" i="13" s="1"/>
  <c r="B109" i="13" a="1"/>
  <c r="B109" i="13" s="1"/>
  <c r="B110" i="13" a="1"/>
  <c r="B110" i="13" s="1"/>
  <c r="B111" i="13" a="1"/>
  <c r="B111" i="13" s="1"/>
  <c r="B112" i="13" a="1"/>
  <c r="B112" i="13" s="1"/>
  <c r="B113" i="13" a="1"/>
  <c r="B113" i="13" s="1"/>
  <c r="B114" i="13" a="1"/>
  <c r="B114" i="13" s="1"/>
  <c r="B115" i="13" a="1"/>
  <c r="B115" i="13" s="1"/>
  <c r="B116" i="13" a="1"/>
  <c r="B116" i="13" s="1"/>
  <c r="B117" i="13" a="1"/>
  <c r="B117" i="13" s="1"/>
  <c r="B118" i="13" a="1"/>
  <c r="B118" i="13" s="1"/>
  <c r="B119" i="13" a="1"/>
  <c r="B119" i="13" s="1"/>
  <c r="B120" i="13" a="1"/>
  <c r="B120" i="13" s="1"/>
  <c r="B121" i="13" a="1"/>
  <c r="B121" i="13" s="1"/>
  <c r="B122" i="13" a="1"/>
  <c r="B122" i="13" s="1"/>
  <c r="B123" i="13" a="1"/>
  <c r="B123" i="13" s="1"/>
  <c r="B124" i="13" a="1"/>
  <c r="B124" i="13" s="1"/>
  <c r="B48" i="13" a="1"/>
  <c r="B48" i="13" s="1"/>
  <c r="B49" i="13" a="1"/>
  <c r="B49" i="13" s="1"/>
  <c r="B50" i="13" a="1"/>
  <c r="B50" i="13" s="1"/>
  <c r="B51" i="13" a="1"/>
  <c r="B51" i="13" s="1"/>
  <c r="B52" i="13" a="1"/>
  <c r="B52" i="13" s="1"/>
  <c r="B53" i="13" a="1"/>
  <c r="B53" i="13" s="1"/>
  <c r="B54" i="13" a="1"/>
  <c r="B54" i="13" s="1"/>
  <c r="B55" i="13" a="1"/>
  <c r="B55" i="13" s="1"/>
  <c r="B56" i="13" a="1"/>
  <c r="B56" i="13" s="1"/>
  <c r="B57" i="13" a="1"/>
  <c r="B57" i="13" s="1"/>
  <c r="B58" i="13" a="1"/>
  <c r="B58" i="13" s="1"/>
  <c r="B59" i="13" a="1"/>
  <c r="B59" i="13" s="1"/>
  <c r="B60" i="13" a="1"/>
  <c r="B60" i="13" s="1"/>
  <c r="B61" i="13" a="1"/>
  <c r="B61" i="13" s="1"/>
  <c r="B62" i="13" a="1"/>
  <c r="B62" i="13" s="1"/>
  <c r="B63" i="13" a="1"/>
  <c r="B63" i="13" s="1"/>
  <c r="B64" i="13" a="1"/>
  <c r="B64" i="13" s="1"/>
  <c r="B65" i="13" a="1"/>
  <c r="B65" i="13" s="1"/>
  <c r="B66" i="13" a="1"/>
  <c r="B66" i="13" s="1"/>
  <c r="B67" i="13" a="1"/>
  <c r="B67" i="13" s="1"/>
  <c r="B68" i="13" a="1"/>
  <c r="B68" i="13" s="1"/>
  <c r="B69" i="13" a="1"/>
  <c r="B69" i="13" s="1"/>
  <c r="B70" i="13" a="1"/>
  <c r="B70" i="13" s="1"/>
  <c r="B71" i="13" a="1"/>
  <c r="B71" i="13" s="1"/>
  <c r="B72" i="13" a="1"/>
  <c r="B72" i="13" s="1"/>
  <c r="B73" i="13" a="1"/>
  <c r="B73" i="13" s="1"/>
  <c r="B74" i="13" a="1"/>
  <c r="B74" i="13" s="1"/>
  <c r="B75" i="13" a="1"/>
  <c r="B75" i="13" s="1"/>
  <c r="B76" i="13" a="1"/>
  <c r="B76" i="13" s="1"/>
  <c r="B77" i="13" a="1"/>
  <c r="B77" i="13" s="1"/>
  <c r="B78" i="13" a="1"/>
  <c r="B78" i="13" s="1"/>
  <c r="B79" i="13" a="1"/>
  <c r="B79" i="13" s="1"/>
  <c r="B80" i="13" a="1"/>
  <c r="B80" i="13" s="1"/>
  <c r="B81" i="13" a="1"/>
  <c r="B81" i="13" s="1"/>
  <c r="B82" i="13" a="1"/>
  <c r="B82" i="13" s="1"/>
  <c r="B47" i="13" a="1"/>
  <c r="B47" i="13" s="1"/>
  <c r="B31" i="13" a="1"/>
  <c r="B31" i="13" s="1"/>
  <c r="B32" i="13" a="1"/>
  <c r="B32" i="13" s="1"/>
  <c r="B33" i="13" a="1"/>
  <c r="B33" i="13" s="1"/>
  <c r="B34" i="13" a="1"/>
  <c r="B34" i="13" s="1"/>
  <c r="B35" i="13" a="1"/>
  <c r="B35" i="13" s="1"/>
  <c r="B36" i="13" a="1"/>
  <c r="B36" i="13" s="1"/>
  <c r="B37" i="13" a="1"/>
  <c r="B37" i="13" s="1"/>
  <c r="B38" i="13" a="1"/>
  <c r="B38" i="13" s="1"/>
  <c r="B39" i="13" a="1"/>
  <c r="B39" i="13" s="1"/>
  <c r="B40" i="13" a="1"/>
  <c r="B40" i="13" s="1"/>
  <c r="B41" i="13" a="1"/>
  <c r="B41" i="13" s="1"/>
  <c r="B42" i="13" a="1"/>
  <c r="B42" i="13" s="1"/>
  <c r="B44" i="13" a="1"/>
  <c r="B44" i="13" s="1"/>
  <c r="B30" i="13" a="1"/>
  <c r="B30" i="13" s="1"/>
  <c r="B4" i="13" a="1"/>
  <c r="B4" i="13" s="1"/>
  <c r="B5" i="13" a="1"/>
  <c r="B5" i="13" s="1"/>
  <c r="B6" i="13" a="1"/>
  <c r="B6" i="13" s="1"/>
  <c r="B7" i="13" a="1"/>
  <c r="B7" i="13" s="1"/>
  <c r="B8" i="13" a="1"/>
  <c r="B8" i="13" s="1"/>
  <c r="B9" i="13" a="1"/>
  <c r="B9" i="13" s="1"/>
  <c r="B10" i="13" a="1"/>
  <c r="B10" i="13" s="1"/>
  <c r="B11" i="13" a="1"/>
  <c r="B11" i="13" s="1"/>
  <c r="B12" i="13" a="1"/>
  <c r="B12" i="13" s="1"/>
  <c r="B13" i="13" a="1"/>
  <c r="B13" i="13" s="1"/>
  <c r="B14" i="13" a="1"/>
  <c r="B14" i="13" s="1"/>
  <c r="B15" i="13" a="1"/>
  <c r="B15" i="13" s="1"/>
  <c r="B16" i="13" a="1"/>
  <c r="B16" i="13" s="1"/>
  <c r="B17" i="13" a="1"/>
  <c r="B17" i="13" s="1"/>
  <c r="B18" i="13" a="1"/>
  <c r="B18" i="13" s="1"/>
  <c r="B19" i="13" a="1"/>
  <c r="B19" i="13" s="1"/>
  <c r="B20" i="13" a="1"/>
  <c r="B20" i="13" s="1"/>
  <c r="B21" i="13" a="1"/>
  <c r="B21" i="13" s="1"/>
  <c r="B22" i="13" a="1"/>
  <c r="B22" i="13" s="1"/>
  <c r="B23" i="13" a="1"/>
  <c r="B23" i="13" s="1"/>
  <c r="B24" i="13" a="1"/>
  <c r="B24" i="13" s="1"/>
  <c r="B25" i="13" a="1"/>
  <c r="B25" i="13" s="1"/>
  <c r="B26" i="13" a="1"/>
  <c r="B26" i="13" s="1"/>
  <c r="B27" i="13" a="1"/>
  <c r="B27" i="13" s="1"/>
  <c r="B3" i="13" a="1"/>
  <c r="B3" i="13" s="1"/>
  <c r="D3" i="18" a="1"/>
  <c r="D3" i="18" s="1"/>
  <c r="H7" i="12" s="1"/>
  <c r="D4" i="18" a="1"/>
  <c r="D4" i="18" s="1"/>
  <c r="B9" i="12" s="1"/>
  <c r="D5" i="18" a="1"/>
  <c r="D5" i="18" s="1"/>
  <c r="B10" i="12" s="1"/>
  <c r="D6" i="18" a="1"/>
  <c r="D6" i="18" s="1"/>
  <c r="B11" i="12" s="1"/>
  <c r="D7" i="18" a="1"/>
  <c r="D7" i="18" s="1"/>
  <c r="B13" i="12" s="1"/>
  <c r="D8" i="18" a="1"/>
  <c r="D8" i="18" s="1"/>
  <c r="C16" i="12" s="1"/>
  <c r="D9" i="18" a="1"/>
  <c r="D9" i="18" s="1"/>
  <c r="C17" i="12" s="1"/>
  <c r="D10" i="18" a="1"/>
  <c r="D10" i="18" s="1"/>
  <c r="D11" i="18" a="1"/>
  <c r="D11" i="18" s="1"/>
  <c r="C20" i="12" s="1"/>
  <c r="D12" i="18" a="1"/>
  <c r="D12" i="18" s="1"/>
  <c r="D13" i="18" a="1"/>
  <c r="D13" i="18" s="1"/>
  <c r="C23" i="12" s="1"/>
  <c r="D14" i="18" a="1"/>
  <c r="D14" i="18" s="1"/>
  <c r="D15" i="18" a="1"/>
  <c r="D15" i="18" s="1"/>
  <c r="C26" i="12" s="1"/>
  <c r="D16" i="18" a="1"/>
  <c r="D16" i="18" s="1"/>
  <c r="D17" i="18" a="1"/>
  <c r="D17" i="18" s="1"/>
  <c r="C29" i="12" s="1"/>
  <c r="D18" i="18" a="1"/>
  <c r="D18" i="18" s="1"/>
  <c r="D20" i="18" a="1"/>
  <c r="D20" i="18" s="1"/>
  <c r="B35" i="12" s="1"/>
  <c r="D21" i="18" a="1"/>
  <c r="D21" i="18" s="1"/>
  <c r="B36" i="12" s="1"/>
  <c r="D22" i="18" a="1"/>
  <c r="D22" i="18" s="1"/>
  <c r="B37" i="12" s="1"/>
  <c r="D23" i="18" a="1"/>
  <c r="D23" i="18" s="1"/>
  <c r="B39" i="12" s="1"/>
  <c r="D24" i="18" a="1"/>
  <c r="D24" i="18" s="1"/>
  <c r="D25" i="18" a="1"/>
  <c r="D25" i="18" s="1"/>
  <c r="B42" i="12" s="1"/>
  <c r="D26" i="18" a="1"/>
  <c r="D26" i="18" s="1"/>
  <c r="D27" i="18" a="1"/>
  <c r="D27" i="18" s="1"/>
  <c r="B45" i="12" s="1"/>
  <c r="D28" i="18" a="1"/>
  <c r="D28" i="18" s="1"/>
  <c r="D29" i="18" a="1"/>
  <c r="D29" i="18" s="1"/>
  <c r="B48" i="12" s="1"/>
  <c r="D30" i="18" a="1"/>
  <c r="D30" i="18" s="1"/>
  <c r="D31" i="18" a="1"/>
  <c r="D31" i="18" s="1"/>
  <c r="B51" i="12" s="1"/>
  <c r="D35" i="18" a="1"/>
  <c r="D35" i="18" s="1"/>
  <c r="B59" i="12" s="1"/>
  <c r="D36" i="18" a="1"/>
  <c r="D36" i="18" s="1"/>
  <c r="B60" i="12" s="1"/>
  <c r="D37" i="18" a="1"/>
  <c r="D37" i="18" s="1"/>
  <c r="B62" i="12" s="1"/>
  <c r="D38" i="18" a="1"/>
  <c r="D38" i="18" s="1"/>
  <c r="B66" i="12" s="1"/>
  <c r="D39" i="18" a="1"/>
  <c r="D39" i="18" s="1"/>
  <c r="B6" i="16" s="1"/>
  <c r="D40" i="18" a="1"/>
  <c r="D40" i="18" s="1"/>
  <c r="B8" i="16" s="1"/>
  <c r="D41" i="18" a="1"/>
  <c r="D41" i="18" s="1"/>
  <c r="B10" i="16" s="1"/>
  <c r="D42" i="18" a="1"/>
  <c r="D42" i="18" s="1"/>
  <c r="B11" i="16" s="1"/>
  <c r="D43" i="18" a="1"/>
  <c r="D43" i="18" s="1"/>
  <c r="C13" i="16" s="1"/>
  <c r="D44" i="18" a="1"/>
  <c r="D44" i="18" s="1"/>
  <c r="C15" i="16" s="1"/>
  <c r="D45" i="18" a="1"/>
  <c r="D45" i="18" s="1"/>
  <c r="B17" i="16" s="1"/>
  <c r="D46" i="18" a="1"/>
  <c r="D46" i="18" s="1"/>
  <c r="B18" i="16" s="1"/>
  <c r="D47" i="18" a="1"/>
  <c r="D47" i="18" s="1"/>
  <c r="B20" i="16" s="1"/>
  <c r="D48" i="18" a="1"/>
  <c r="D48" i="18" s="1"/>
  <c r="B22" i="16" s="1"/>
  <c r="D49" i="18" a="1"/>
  <c r="D49" i="18" s="1"/>
  <c r="B25" i="16" s="1"/>
  <c r="D50" i="18" a="1"/>
  <c r="D50" i="18" s="1"/>
  <c r="C26" i="16" s="1"/>
  <c r="D51" i="18" a="1"/>
  <c r="D51" i="18" s="1"/>
  <c r="B35" i="16" s="1"/>
  <c r="D52" i="18" a="1"/>
  <c r="D52" i="18" s="1"/>
  <c r="B41" i="16" s="1"/>
  <c r="D53" i="18" a="1"/>
  <c r="D53" i="18" s="1"/>
  <c r="B43" i="16" s="1"/>
  <c r="D54" i="18" a="1"/>
  <c r="D54" i="18" s="1"/>
  <c r="B46" i="16" s="1"/>
  <c r="D55" i="18" a="1"/>
  <c r="D55" i="18" s="1"/>
  <c r="C28" i="16" s="1"/>
  <c r="D56" i="18" a="1"/>
  <c r="D56" i="18" s="1"/>
  <c r="B51" i="16" s="1"/>
  <c r="D59" i="18" a="1"/>
  <c r="D59" i="18" s="1"/>
  <c r="B60" i="16" s="1"/>
  <c r="D60" i="18" a="1"/>
  <c r="D60" i="18" s="1"/>
  <c r="B63" i="16" s="1"/>
  <c r="D61" i="18" a="1"/>
  <c r="D61" i="18" s="1"/>
  <c r="B66" i="16" s="1"/>
  <c r="D64" i="18" a="1"/>
  <c r="D64" i="18" s="1"/>
  <c r="B75" i="16" s="1"/>
  <c r="D65" i="18" a="1"/>
  <c r="D65" i="18" s="1"/>
  <c r="B77" i="16" s="1"/>
  <c r="D66" i="18" a="1"/>
  <c r="D66" i="18" s="1"/>
  <c r="B80" i="16" s="1"/>
  <c r="D67" i="18" a="1"/>
  <c r="D67" i="18" s="1"/>
  <c r="B83" i="16" s="1"/>
  <c r="D68" i="18" a="1"/>
  <c r="D68" i="18" s="1"/>
  <c r="B86" i="16" s="1"/>
  <c r="D69" i="18" a="1"/>
  <c r="D69" i="18" s="1"/>
  <c r="B89" i="16" s="1"/>
  <c r="D70" i="18" a="1"/>
  <c r="D70" i="18" s="1"/>
  <c r="B92" i="16" s="1"/>
  <c r="D72" i="18" a="1"/>
  <c r="D72" i="18" s="1"/>
  <c r="B98" i="16" s="1"/>
  <c r="D73" i="18" a="1"/>
  <c r="D73" i="18" s="1"/>
  <c r="B101" i="16" s="1"/>
  <c r="C30" i="16" s="1" a="1"/>
  <c r="C30" i="16" s="1"/>
  <c r="D74" i="18" a="1"/>
  <c r="D74" i="18" s="1"/>
  <c r="B103" i="16" s="1"/>
  <c r="D75" i="18" a="1"/>
  <c r="D75" i="18" s="1"/>
  <c r="B6" i="20" s="1"/>
  <c r="D76" i="18" a="1"/>
  <c r="D76" i="18" s="1"/>
  <c r="B8" i="20" s="1"/>
  <c r="D77" i="18" a="1"/>
  <c r="D77" i="18" s="1"/>
  <c r="B10" i="20" s="1"/>
  <c r="D78" i="18" a="1"/>
  <c r="D78" i="18" s="1"/>
  <c r="D80" i="18" a="1"/>
  <c r="D80" i="18" s="1"/>
  <c r="C616" i="20" s="1"/>
  <c r="D81" i="18" a="1"/>
  <c r="D81" i="18" s="1"/>
  <c r="D177" i="20" s="1"/>
  <c r="D82" i="18" a="1"/>
  <c r="D82" i="18" s="1"/>
  <c r="D83" i="18" a="1"/>
  <c r="D83" i="18" s="1"/>
  <c r="B11" i="20" s="1"/>
  <c r="D84" i="18" a="1"/>
  <c r="D84" i="18" s="1"/>
  <c r="C12" i="20" s="1"/>
  <c r="D85" i="18" a="1"/>
  <c r="D85" i="18" s="1"/>
  <c r="C14" i="20" s="1"/>
  <c r="D86" i="18" a="1"/>
  <c r="D86" i="18" s="1"/>
  <c r="C16" i="20" s="1"/>
  <c r="D87" i="18" a="1"/>
  <c r="D87" i="18" s="1"/>
  <c r="C18" i="20" s="1"/>
  <c r="D88" i="18" a="1"/>
  <c r="D88" i="18" s="1"/>
  <c r="B20" i="20" s="1"/>
  <c r="D89" i="18" a="1"/>
  <c r="D89" i="18" s="1"/>
  <c r="B22" i="20" s="1"/>
  <c r="D90" i="18" a="1"/>
  <c r="D90" i="18" s="1"/>
  <c r="H38" i="20" s="1"/>
  <c r="D91" i="18" a="1"/>
  <c r="D91" i="18" s="1"/>
  <c r="C40" i="20" s="1"/>
  <c r="D92" i="18" a="1"/>
  <c r="D92" i="18" s="1"/>
  <c r="C41" i="20" s="1"/>
  <c r="D93" i="18" a="1"/>
  <c r="D93" i="18" s="1"/>
  <c r="C43" i="20" s="1"/>
  <c r="D94" i="18" a="1"/>
  <c r="D94" i="18" s="1"/>
  <c r="C45" i="20" s="1"/>
  <c r="D95" i="18" a="1"/>
  <c r="D95" i="18" s="1"/>
  <c r="C55" i="20" s="1"/>
  <c r="D96" i="18" a="1"/>
  <c r="D96" i="18" s="1"/>
  <c r="C71" i="20" s="1"/>
  <c r="D97" i="18" a="1"/>
  <c r="D97" i="18" s="1"/>
  <c r="C72" i="20" s="1"/>
  <c r="D98" i="18" a="1"/>
  <c r="D98" i="18" s="1"/>
  <c r="C74" i="20" s="1"/>
  <c r="D99" i="18" a="1"/>
  <c r="D99" i="18" s="1"/>
  <c r="C84" i="20" s="1"/>
  <c r="D100" i="18" a="1"/>
  <c r="D100" i="18" s="1"/>
  <c r="C101" i="20" s="1"/>
  <c r="D101" i="18" a="1"/>
  <c r="D101" i="18" s="1"/>
  <c r="C102" i="20" s="1"/>
  <c r="D102" i="18" a="1"/>
  <c r="D102" i="18" s="1"/>
  <c r="C104" i="20" s="1"/>
  <c r="D103" i="18" a="1"/>
  <c r="D103" i="18" s="1"/>
  <c r="C106" i="20" s="1"/>
  <c r="D104" i="18" a="1"/>
  <c r="D104" i="18" s="1"/>
  <c r="C116" i="20" s="1"/>
  <c r="D106" i="18" a="1"/>
  <c r="D106" i="18" s="1"/>
  <c r="C133" i="20" s="1"/>
  <c r="D107" i="18" a="1"/>
  <c r="D107" i="18" s="1"/>
  <c r="C135" i="20" s="1"/>
  <c r="D108" i="18" a="1"/>
  <c r="D108" i="18" s="1"/>
  <c r="C145" i="20" s="1"/>
  <c r="D109" i="18" a="1"/>
  <c r="D109" i="18" s="1"/>
  <c r="C162" i="20" s="1"/>
  <c r="D110" i="18" a="1"/>
  <c r="D110" i="18" s="1"/>
  <c r="C163" i="20" s="1"/>
  <c r="D111" i="18" a="1"/>
  <c r="D111" i="18" s="1"/>
  <c r="C165" i="20" s="1"/>
  <c r="D112" i="18" a="1"/>
  <c r="D112" i="18" s="1"/>
  <c r="C167" i="20" s="1"/>
  <c r="D113" i="18" a="1"/>
  <c r="D113" i="18" s="1"/>
  <c r="C177" i="20" s="1"/>
  <c r="D114" i="18" a="1"/>
  <c r="D114" i="18" s="1"/>
  <c r="C193" i="20" s="1"/>
  <c r="D115" i="18" a="1"/>
  <c r="D115" i="18" s="1"/>
  <c r="C194" i="20" s="1"/>
  <c r="D116" i="18" a="1"/>
  <c r="D116" i="18" s="1"/>
  <c r="C196" i="20" s="1"/>
  <c r="D117" i="18" a="1"/>
  <c r="D117" i="18" s="1"/>
  <c r="D118" i="18" a="1"/>
  <c r="D118" i="18" s="1"/>
  <c r="C24" i="20" s="1"/>
  <c r="D119" i="18" a="1"/>
  <c r="D119" i="18" s="1"/>
  <c r="C225" i="20" s="1"/>
  <c r="D120" i="18" a="1"/>
  <c r="D120" i="18" s="1"/>
  <c r="C226" i="20" s="1"/>
  <c r="D121" i="18" a="1"/>
  <c r="D121" i="18" s="1"/>
  <c r="C228" i="20" s="1"/>
  <c r="D122" i="18" a="1"/>
  <c r="D122" i="18" s="1"/>
  <c r="C238" i="20" s="1"/>
  <c r="D124" i="18" a="1"/>
  <c r="D124" i="18" s="1"/>
  <c r="C241" i="20" s="1"/>
  <c r="D125" i="18" a="1"/>
  <c r="D125" i="18" s="1"/>
  <c r="C243" i="20" s="1"/>
  <c r="D126" i="18" a="1"/>
  <c r="D126" i="18" s="1"/>
  <c r="C244" i="20" s="1"/>
  <c r="D127" i="18" a="1"/>
  <c r="D127" i="18" s="1"/>
  <c r="C258" i="20" s="1"/>
  <c r="D129" i="18" a="1"/>
  <c r="D129" i="18" s="1"/>
  <c r="C25" i="20" s="1"/>
  <c r="D130" i="18" a="1"/>
  <c r="D130" i="18" s="1"/>
  <c r="C274" i="20" s="1"/>
  <c r="D131" i="18" a="1"/>
  <c r="D131" i="18" s="1"/>
  <c r="C275" i="20" s="1"/>
  <c r="D132" i="18" a="1"/>
  <c r="D132" i="18" s="1"/>
  <c r="C277" i="20" s="1"/>
  <c r="D133" i="18" a="1"/>
  <c r="D133" i="18" s="1"/>
  <c r="C287" i="20" s="1"/>
  <c r="D134" i="18" a="1"/>
  <c r="D134" i="18" s="1"/>
  <c r="D135" i="18" a="1"/>
  <c r="D135" i="18" s="1"/>
  <c r="C306" i="20" s="1"/>
  <c r="D136" i="18" a="1"/>
  <c r="D136" i="18" s="1"/>
  <c r="C307" i="20" s="1"/>
  <c r="D137" i="18" a="1"/>
  <c r="D137" i="18" s="1"/>
  <c r="C309" i="20" s="1"/>
  <c r="D138" i="18" a="1"/>
  <c r="D138" i="18" s="1"/>
  <c r="C319" i="20" s="1"/>
  <c r="D141" i="18" a="1"/>
  <c r="D141" i="18" s="1"/>
  <c r="C323" i="20" s="1"/>
  <c r="D142" i="18" a="1"/>
  <c r="D142" i="18" s="1"/>
  <c r="C326" i="20" s="1"/>
  <c r="D143" i="18" a="1"/>
  <c r="D143" i="18" s="1"/>
  <c r="D326" i="20" s="1"/>
  <c r="D144" i="18" a="1"/>
  <c r="D144" i="18" s="1"/>
  <c r="E326" i="20" s="1"/>
  <c r="D145" i="18" a="1"/>
  <c r="D145" i="18" s="1"/>
  <c r="F326" i="20" s="1"/>
  <c r="D146" i="18" a="1"/>
  <c r="D146" i="18" s="1"/>
  <c r="G326" i="20" s="1"/>
  <c r="D147" i="18" a="1"/>
  <c r="D147" i="18" s="1"/>
  <c r="C343" i="20" s="1"/>
  <c r="D148" i="18" a="1"/>
  <c r="D148" i="18" s="1"/>
  <c r="C344" i="20" s="1"/>
  <c r="D149" i="18" a="1"/>
  <c r="D149" i="18" s="1"/>
  <c r="C346" i="20" s="1"/>
  <c r="D150" i="18" a="1"/>
  <c r="D150" i="18" s="1"/>
  <c r="C357" i="20" s="1"/>
  <c r="D153" i="18" a="1"/>
  <c r="D153" i="18" s="1"/>
  <c r="C361" i="20" s="1"/>
  <c r="D154" i="18" a="1"/>
  <c r="D154" i="18" s="1"/>
  <c r="C364" i="20" s="1"/>
  <c r="D155" i="18" a="1"/>
  <c r="D155" i="18" s="1"/>
  <c r="D364" i="20" s="1"/>
  <c r="D156" i="18" a="1"/>
  <c r="D156" i="18" s="1"/>
  <c r="E364" i="20" s="1"/>
  <c r="D157" i="18" a="1"/>
  <c r="D157" i="18" s="1"/>
  <c r="F364" i="20" s="1"/>
  <c r="D158" i="18" a="1"/>
  <c r="D158" i="18" s="1"/>
  <c r="G364" i="20" s="1"/>
  <c r="D159" i="18" a="1"/>
  <c r="D159" i="18" s="1"/>
  <c r="C381" i="20" s="1"/>
  <c r="D160" i="18" a="1"/>
  <c r="D160" i="18" s="1"/>
  <c r="C382" i="20" s="1"/>
  <c r="D161" i="18" a="1"/>
  <c r="D161" i="18" s="1"/>
  <c r="C384" i="20" s="1"/>
  <c r="D162" i="18" a="1"/>
  <c r="D162" i="18" s="1"/>
  <c r="C394" i="20" s="1"/>
  <c r="D165" i="18" a="1"/>
  <c r="D165" i="18" s="1"/>
  <c r="C398" i="20" s="1"/>
  <c r="D166" i="18" a="1"/>
  <c r="D166" i="18" s="1"/>
  <c r="C401" i="20" s="1"/>
  <c r="D167" i="18" a="1"/>
  <c r="D167" i="18" s="1"/>
  <c r="D401" i="20" s="1"/>
  <c r="D168" i="18" a="1"/>
  <c r="D168" i="18" s="1"/>
  <c r="E401" i="20" s="1"/>
  <c r="D169" i="18" a="1"/>
  <c r="D169" i="18" s="1"/>
  <c r="F401" i="20" s="1"/>
  <c r="D170" i="18" a="1"/>
  <c r="D170" i="18" s="1"/>
  <c r="G401" i="20" s="1"/>
  <c r="D171" i="18" a="1"/>
  <c r="D171" i="18" s="1"/>
  <c r="C27" i="20" s="1"/>
  <c r="D172" i="18" a="1"/>
  <c r="D172" i="18" s="1"/>
  <c r="C420" i="20" s="1"/>
  <c r="D173" i="18" a="1"/>
  <c r="D173" i="18" s="1"/>
  <c r="C421" i="20" s="1"/>
  <c r="D174" i="18" a="1"/>
  <c r="D174" i="18" s="1"/>
  <c r="C423" i="20" s="1"/>
  <c r="D175" i="18" a="1"/>
  <c r="D175" i="18" s="1"/>
  <c r="C425" i="20" s="1"/>
  <c r="D176" i="18" a="1"/>
  <c r="D176" i="18" s="1"/>
  <c r="C435" i="20" s="1"/>
  <c r="D177" i="18" a="1"/>
  <c r="D177" i="18" s="1"/>
  <c r="D435" i="20" s="1"/>
  <c r="D178" i="18" a="1"/>
  <c r="D178" i="18" s="1"/>
  <c r="E435" i="20" s="1"/>
  <c r="D179" i="18" a="1"/>
  <c r="D179" i="18" s="1"/>
  <c r="C437" i="20" s="1"/>
  <c r="C109" i="21" s="1"/>
  <c r="D180" i="18" a="1"/>
  <c r="D180" i="18" s="1"/>
  <c r="C438" i="20" s="1"/>
  <c r="D181" i="18" a="1"/>
  <c r="D181" i="18" s="1"/>
  <c r="C454" i="20" s="1"/>
  <c r="D182" i="18" a="1"/>
  <c r="D182" i="18" s="1"/>
  <c r="C455" i="20" s="1"/>
  <c r="D183" i="18" a="1"/>
  <c r="D183" i="18" s="1"/>
  <c r="C457" i="20" s="1"/>
  <c r="D184" i="18" a="1"/>
  <c r="D184" i="18" s="1"/>
  <c r="C459" i="20" s="1"/>
  <c r="D185" i="18" a="1"/>
  <c r="D185" i="18" s="1"/>
  <c r="C469" i="20" s="1"/>
  <c r="D186" i="18" a="1"/>
  <c r="D186" i="18" s="1"/>
  <c r="D469" i="20" s="1"/>
  <c r="D187" i="18" a="1"/>
  <c r="D187" i="18" s="1"/>
  <c r="E469" i="20" s="1"/>
  <c r="D188" i="18" a="1"/>
  <c r="D188" i="18" s="1"/>
  <c r="C471" i="20" s="1"/>
  <c r="C640" i="21" s="1"/>
  <c r="D189" i="18" a="1"/>
  <c r="D189" i="18" s="1"/>
  <c r="C472" i="20" s="1"/>
  <c r="D190" i="18" a="1"/>
  <c r="D190" i="18" s="1"/>
  <c r="C488" i="20" s="1"/>
  <c r="D191" i="18" a="1"/>
  <c r="D191" i="18" s="1"/>
  <c r="C489" i="20" s="1"/>
  <c r="D192" i="18" a="1"/>
  <c r="D192" i="18" s="1"/>
  <c r="C491" i="20" s="1"/>
  <c r="D193" i="18" a="1"/>
  <c r="D193" i="18" s="1"/>
  <c r="C493" i="20" s="1"/>
  <c r="D194" i="18" a="1"/>
  <c r="D194" i="18" s="1"/>
  <c r="C503" i="20" s="1"/>
  <c r="D195" i="18" a="1"/>
  <c r="D195" i="18" s="1"/>
  <c r="D503" i="20" s="1"/>
  <c r="D196" i="18" a="1"/>
  <c r="D196" i="18" s="1"/>
  <c r="E503" i="20" s="1"/>
  <c r="D197" i="18" a="1"/>
  <c r="D197" i="18" s="1"/>
  <c r="C505" i="20" s="1"/>
  <c r="C838" i="21" s="1"/>
  <c r="D198" i="18" a="1"/>
  <c r="D198" i="18" s="1"/>
  <c r="C506" i="20" s="1"/>
  <c r="D199" i="18" a="1"/>
  <c r="D199" i="18" s="1"/>
  <c r="H522" i="20" s="1"/>
  <c r="D200" i="18" a="1"/>
  <c r="D200" i="18" s="1"/>
  <c r="C524" i="20" s="1"/>
  <c r="D201" i="18" a="1"/>
  <c r="D201" i="18" s="1"/>
  <c r="C525" i="20" s="1"/>
  <c r="D202" i="18" a="1"/>
  <c r="D202" i="18" s="1"/>
  <c r="C527" i="20" s="1"/>
  <c r="D203" i="18" a="1"/>
  <c r="D203" i="18" s="1"/>
  <c r="C537" i="20" s="1"/>
  <c r="D204" i="18" a="1"/>
  <c r="D204" i="18" s="1"/>
  <c r="C564" i="20" s="1"/>
  <c r="D205" i="18" a="1"/>
  <c r="D205" i="18" s="1"/>
  <c r="C565" i="20" s="1"/>
  <c r="D206" i="18" a="1"/>
  <c r="D206" i="18" s="1"/>
  <c r="C567" i="20" s="1"/>
  <c r="D207" i="18" a="1"/>
  <c r="D207" i="18" s="1"/>
  <c r="C577" i="20" s="1"/>
  <c r="D208" i="18" a="1"/>
  <c r="D208" i="18" s="1"/>
  <c r="D577" i="20" s="1"/>
  <c r="D209" i="18" a="1"/>
  <c r="D209" i="18" s="1"/>
  <c r="E577" i="20" s="1"/>
  <c r="D210" i="18" a="1"/>
  <c r="D210" i="18" s="1"/>
  <c r="B603" i="20" s="1"/>
  <c r="D211" i="18" a="1"/>
  <c r="D211" i="18" s="1"/>
  <c r="C606" i="20" s="1"/>
  <c r="D212" i="18" a="1"/>
  <c r="D212" i="18" s="1"/>
  <c r="C608" i="20" s="1"/>
  <c r="D213" i="18" a="1"/>
  <c r="D213" i="18" s="1"/>
  <c r="C610" i="20" s="1"/>
  <c r="D214" i="18" a="1"/>
  <c r="D214" i="18" s="1"/>
  <c r="C620" i="20" s="1"/>
  <c r="D215" i="18" a="1"/>
  <c r="D215" i="18" s="1"/>
  <c r="D620" i="20" s="1"/>
  <c r="D216" i="18" a="1"/>
  <c r="D216" i="18" s="1"/>
  <c r="B646" i="20" s="1"/>
  <c r="D217" i="18" a="1"/>
  <c r="D217" i="18" s="1"/>
  <c r="C649" i="20" s="1"/>
  <c r="D218" i="18" a="1"/>
  <c r="D218" i="18" s="1"/>
  <c r="C650" i="20" s="1"/>
  <c r="D220" i="18" a="1"/>
  <c r="D220" i="18" s="1"/>
  <c r="C662" i="20" s="1"/>
  <c r="D221" i="18" a="1"/>
  <c r="D221" i="18" s="1"/>
  <c r="C664" i="20" s="1"/>
  <c r="C388" i="21" s="1"/>
  <c r="D228" i="18" a="1"/>
  <c r="D228" i="18" s="1"/>
  <c r="C671" i="20" s="1"/>
  <c r="C395" i="21" s="1"/>
  <c r="D229" i="18" a="1"/>
  <c r="D229" i="18" s="1"/>
  <c r="C672" i="20" s="1"/>
  <c r="C396" i="21" s="1"/>
  <c r="D230" i="18" a="1"/>
  <c r="D230" i="18" s="1"/>
  <c r="C678" i="20" s="1"/>
  <c r="D231" i="18" a="1"/>
  <c r="D231" i="18" s="1"/>
  <c r="C679" i="20" s="1"/>
  <c r="D232" i="18" a="1"/>
  <c r="D232" i="18" s="1"/>
  <c r="C681" i="20" s="1"/>
  <c r="D233" i="18" a="1"/>
  <c r="D233" i="18" s="1"/>
  <c r="C691" i="20" s="1"/>
  <c r="D234" i="18" a="1"/>
  <c r="D234" i="18" s="1"/>
  <c r="C693" i="20" s="1"/>
  <c r="C405" i="21" s="1"/>
  <c r="D235" i="18" a="1"/>
  <c r="D235" i="18" s="1"/>
  <c r="D693" i="20" s="1"/>
  <c r="D236" i="18" a="1"/>
  <c r="D236" i="18" s="1"/>
  <c r="C696" i="20" s="1"/>
  <c r="D237" i="18" a="1"/>
  <c r="D237" i="18" s="1"/>
  <c r="C697" i="20" s="1"/>
  <c r="C408" i="21" s="1"/>
  <c r="D238" i="18" a="1"/>
  <c r="D238" i="18" s="1"/>
  <c r="C698" i="20" s="1"/>
  <c r="C409" i="21" s="1"/>
  <c r="D239" i="18" a="1"/>
  <c r="D239" i="18" s="1"/>
  <c r="C699" i="20" s="1"/>
  <c r="C410" i="21" s="1"/>
  <c r="D240" i="18" a="1"/>
  <c r="D240" i="18" s="1"/>
  <c r="C700" i="20" s="1"/>
  <c r="C411" i="21" s="1"/>
  <c r="D241" i="18" a="1"/>
  <c r="D241" i="18" s="1"/>
  <c r="C701" i="20" s="1"/>
  <c r="C412" i="21" s="1"/>
  <c r="D242" i="18" a="1"/>
  <c r="D242" i="18" s="1"/>
  <c r="C702" i="20" s="1"/>
  <c r="C413" i="21" s="1"/>
  <c r="D243" i="18" a="1"/>
  <c r="D243" i="18" s="1"/>
  <c r="C708" i="20" s="1"/>
  <c r="D244" i="18" a="1"/>
  <c r="D244" i="18" s="1"/>
  <c r="C709" i="20" s="1"/>
  <c r="D246" i="18" a="1"/>
  <c r="D246" i="18" s="1"/>
  <c r="C721" i="20" s="1"/>
  <c r="D247" i="18" a="1"/>
  <c r="D247" i="18" s="1"/>
  <c r="C723" i="20" s="1"/>
  <c r="C356" i="21" s="1"/>
  <c r="D248" i="18" a="1"/>
  <c r="D248" i="18" s="1"/>
  <c r="C724" i="20" s="1"/>
  <c r="C357" i="21" s="1"/>
  <c r="D249" i="18" a="1"/>
  <c r="D249" i="18" s="1"/>
  <c r="C725" i="20" s="1"/>
  <c r="C358" i="21" s="1"/>
  <c r="D250" i="18" a="1"/>
  <c r="D250" i="18" s="1"/>
  <c r="C726" i="20" s="1"/>
  <c r="C359" i="21" s="1"/>
  <c r="D251" i="18" a="1"/>
  <c r="D251" i="18" s="1"/>
  <c r="C732" i="20" s="1"/>
  <c r="D252" i="18" a="1"/>
  <c r="D252" i="18" s="1"/>
  <c r="C733" i="20" s="1"/>
  <c r="D254" i="18" a="1"/>
  <c r="D254" i="18" s="1"/>
  <c r="C745" i="20" s="1"/>
  <c r="D255" i="18" a="1"/>
  <c r="D255" i="18" s="1"/>
  <c r="C747" i="20" s="1"/>
  <c r="C422" i="21" s="1"/>
  <c r="D256" i="18" a="1"/>
  <c r="D256" i="18" s="1"/>
  <c r="C748" i="20" s="1"/>
  <c r="C423" i="21" s="1"/>
  <c r="D257" i="18" a="1"/>
  <c r="D257" i="18" s="1"/>
  <c r="C749" i="20" s="1"/>
  <c r="C424" i="21" s="1"/>
  <c r="D258" i="18" a="1"/>
  <c r="D258" i="18" s="1"/>
  <c r="C750" i="20" s="1"/>
  <c r="C425" i="21" s="1"/>
  <c r="D259" i="18" a="1"/>
  <c r="D259" i="18" s="1"/>
  <c r="H756" i="20" s="1"/>
  <c r="D262" i="18" a="1"/>
  <c r="D262" i="18" s="1"/>
  <c r="C770" i="20" s="1"/>
  <c r="D263" i="18" a="1"/>
  <c r="D263" i="18" s="1"/>
  <c r="C772" i="20" s="1"/>
  <c r="C368" i="21" s="1"/>
  <c r="D264" i="18" a="1"/>
  <c r="D264" i="18" s="1"/>
  <c r="C773" i="20" s="1"/>
  <c r="C369" i="21" s="1"/>
  <c r="D265" i="18" a="1"/>
  <c r="D265" i="18" s="1"/>
  <c r="C774" i="20" s="1"/>
  <c r="C370" i="21" s="1"/>
  <c r="D266" i="18" a="1"/>
  <c r="D266" i="18" s="1"/>
  <c r="C775" i="20" s="1"/>
  <c r="C371" i="21" s="1"/>
  <c r="D267" i="18" a="1"/>
  <c r="D267" i="18" s="1"/>
  <c r="C776" i="20" s="1"/>
  <c r="C372" i="21" s="1"/>
  <c r="D268" i="18" a="1"/>
  <c r="D268" i="18" s="1"/>
  <c r="C777" i="20" s="1"/>
  <c r="C373" i="21" s="1"/>
  <c r="D269" i="18" a="1"/>
  <c r="D269" i="18" s="1"/>
  <c r="C778" i="20" s="1"/>
  <c r="C374" i="21" s="1"/>
  <c r="D270" i="18" a="1"/>
  <c r="D270" i="18" s="1"/>
  <c r="C779" i="20" s="1"/>
  <c r="C375" i="21" s="1"/>
  <c r="D271" i="18" a="1"/>
  <c r="D271" i="18" s="1"/>
  <c r="C780" i="20" s="1"/>
  <c r="C376" i="21" s="1"/>
  <c r="D272" i="18" a="1"/>
  <c r="D272" i="18" s="1"/>
  <c r="C781" i="20" s="1"/>
  <c r="C377" i="21" s="1"/>
  <c r="D273" i="18" a="1"/>
  <c r="D273" i="18" s="1"/>
  <c r="C782" i="20" s="1"/>
  <c r="C378" i="21" s="1"/>
  <c r="D275" i="18" a="1"/>
  <c r="D275" i="18" s="1"/>
  <c r="H861" i="20" s="1"/>
  <c r="D276" i="18" a="1"/>
  <c r="D276" i="18" s="1"/>
  <c r="C791" i="20" s="1"/>
  <c r="D277" i="18" a="1"/>
  <c r="D277" i="18" s="1"/>
  <c r="C792" i="20" s="1"/>
  <c r="D279" i="18" a="1"/>
  <c r="D279" i="18" s="1"/>
  <c r="C804" i="20" s="1"/>
  <c r="D280" i="18" a="1"/>
  <c r="D280" i="18" s="1"/>
  <c r="C806" i="20" s="1"/>
  <c r="C434" i="21" s="1"/>
  <c r="D281" i="18" a="1"/>
  <c r="D281" i="18" s="1"/>
  <c r="C807" i="20" s="1"/>
  <c r="C435" i="21" s="1"/>
  <c r="D282" i="18" a="1"/>
  <c r="D282" i="18" s="1"/>
  <c r="C810" i="20" s="1"/>
  <c r="D283" i="18" a="1"/>
  <c r="D283" i="18" s="1"/>
  <c r="C827" i="20" s="1"/>
  <c r="D284" i="18" a="1"/>
  <c r="D284" i="18" s="1"/>
  <c r="C828" i="20" s="1"/>
  <c r="D285" i="18" a="1"/>
  <c r="D285" i="18" s="1"/>
  <c r="C840" i="20" s="1"/>
  <c r="D286" i="18" a="1"/>
  <c r="D286" i="18" s="1"/>
  <c r="C842" i="20" s="1"/>
  <c r="C458" i="21" s="1"/>
  <c r="D287" i="18" a="1"/>
  <c r="D287" i="18" s="1"/>
  <c r="C843" i="20" s="1"/>
  <c r="C459" i="21" s="1"/>
  <c r="D288" i="18" a="1"/>
  <c r="D288" i="18" s="1"/>
  <c r="C846" i="20" s="1"/>
  <c r="D289" i="18" a="1"/>
  <c r="D289" i="18" s="1"/>
  <c r="C863" i="20" s="1"/>
  <c r="D290" i="18" a="1"/>
  <c r="D290" i="18" s="1"/>
  <c r="C864" i="20" s="1"/>
  <c r="D292" i="18" a="1"/>
  <c r="D292" i="18" s="1"/>
  <c r="C876" i="20" s="1"/>
  <c r="D293" i="18" a="1"/>
  <c r="D293" i="18" s="1"/>
  <c r="C878" i="20" s="1"/>
  <c r="C482" i="21" s="1"/>
  <c r="D294" i="18" a="1"/>
  <c r="D294" i="18" s="1"/>
  <c r="C879" i="20" s="1"/>
  <c r="C483" i="21" s="1"/>
  <c r="D295" i="18" a="1"/>
  <c r="D295" i="18" s="1"/>
  <c r="C880" i="20" s="1"/>
  <c r="C484" i="21" s="1"/>
  <c r="D296" i="18" a="1"/>
  <c r="D296" i="18" s="1"/>
  <c r="C881" i="20" s="1"/>
  <c r="C485" i="21" s="1"/>
  <c r="D297" i="18" a="1"/>
  <c r="D297" i="18" s="1"/>
  <c r="C882" i="20" s="1"/>
  <c r="C486" i="21" s="1"/>
  <c r="D298" i="18" a="1"/>
  <c r="D298" i="18" s="1"/>
  <c r="C883" i="20" s="1"/>
  <c r="C487" i="21" s="1"/>
  <c r="D299" i="18" a="1"/>
  <c r="D299" i="18" s="1"/>
  <c r="C884" i="20" s="1"/>
  <c r="C488" i="21" s="1"/>
  <c r="D300" i="18" a="1"/>
  <c r="D300" i="18" s="1"/>
  <c r="C885" i="20" s="1"/>
  <c r="C489" i="21" s="1"/>
  <c r="D301" i="18" a="1"/>
  <c r="D301" i="18" s="1"/>
  <c r="C886" i="20" s="1"/>
  <c r="C490" i="21" s="1"/>
  <c r="D302" i="18" a="1"/>
  <c r="D302" i="18" s="1"/>
  <c r="C887" i="20" s="1"/>
  <c r="C491" i="21" s="1"/>
  <c r="D303" i="18" a="1"/>
  <c r="D303" i="18" s="1"/>
  <c r="C888" i="20" s="1"/>
  <c r="C492" i="21" s="1"/>
  <c r="D304" i="18" a="1"/>
  <c r="D304" i="18" s="1"/>
  <c r="C889" i="20" s="1"/>
  <c r="C493" i="21" s="1"/>
  <c r="D317" i="18" a="1"/>
  <c r="D317" i="18" s="1"/>
  <c r="B6" i="21" s="1"/>
  <c r="D318" i="18" a="1"/>
  <c r="D318" i="18" s="1"/>
  <c r="B7" i="21" s="1"/>
  <c r="D319" i="18" a="1"/>
  <c r="D319" i="18" s="1"/>
  <c r="B9" i="21" s="1"/>
  <c r="D320" i="18" a="1"/>
  <c r="D320" i="18" s="1"/>
  <c r="B10" i="21" s="1"/>
  <c r="D2" i="18" a="1"/>
  <c r="D2" i="18" s="1"/>
  <c r="H6" i="12" s="1"/>
  <c r="F406" i="20" a="1"/>
  <c r="F406" i="20" s="1"/>
  <c r="F412" i="20" a="1"/>
  <c r="F412" i="20" s="1"/>
  <c r="F403" i="20" a="1"/>
  <c r="F403" i="20" s="1"/>
  <c r="D920" i="21"/>
  <c r="I441" i="20" a="1"/>
  <c r="I441" i="20" s="1"/>
  <c r="C206" i="20" a="1"/>
  <c r="F955" i="21" l="1"/>
  <c r="H708" i="21"/>
  <c r="H325" i="21"/>
  <c r="G909" i="21"/>
  <c r="F841" i="21"/>
  <c r="H709" i="21"/>
  <c r="F651" i="21"/>
  <c r="F934" i="21"/>
  <c r="F709" i="21"/>
  <c r="F980" i="21"/>
  <c r="G683" i="21"/>
  <c r="F850" i="21"/>
  <c r="H683" i="21"/>
  <c r="G684" i="21"/>
  <c r="H647" i="21"/>
  <c r="F846" i="21"/>
  <c r="F646" i="21"/>
  <c r="F827" i="21"/>
  <c r="K57" i="16" a="1"/>
  <c r="K57" i="16" s="1"/>
  <c r="L57" i="16" s="1"/>
  <c r="I706" i="20"/>
  <c r="I716" i="20" s="1"/>
  <c r="G827" i="21"/>
  <c r="G876" i="21"/>
  <c r="F868" i="21"/>
  <c r="G237" i="21"/>
  <c r="G114" i="21"/>
  <c r="G325" i="21"/>
  <c r="D669" i="21"/>
  <c r="H825" i="21"/>
  <c r="D460" i="21"/>
  <c r="H821" i="21"/>
  <c r="G908" i="21"/>
  <c r="E708" i="21"/>
  <c r="F708" i="21" s="1"/>
  <c r="E908" i="21"/>
  <c r="F908" i="21" s="1"/>
  <c r="F874" i="21"/>
  <c r="G708" i="21"/>
  <c r="F811" i="21"/>
  <c r="H822" i="21"/>
  <c r="E824" i="21"/>
  <c r="F824" i="21" s="1"/>
  <c r="G872" i="21"/>
  <c r="F600" i="21"/>
  <c r="F649" i="21"/>
  <c r="G823" i="21"/>
  <c r="K69" i="16" a="1"/>
  <c r="K69" i="16" s="1"/>
  <c r="L69" i="16" s="1"/>
  <c r="I676" i="20"/>
  <c r="I686" i="20" s="1"/>
  <c r="D261" i="21"/>
  <c r="D253" i="21"/>
  <c r="D272" i="21"/>
  <c r="H830" i="21"/>
  <c r="F871" i="21"/>
  <c r="D814" i="21"/>
  <c r="G934" i="21"/>
  <c r="F875" i="21"/>
  <c r="J505" i="20"/>
  <c r="E471" i="20"/>
  <c r="J471" i="20" s="1"/>
  <c r="E437" i="20"/>
  <c r="J437" i="20" s="1"/>
  <c r="G376" i="21"/>
  <c r="H95" i="21"/>
  <c r="F826" i="21"/>
  <c r="H935" i="21"/>
  <c r="D626" i="21"/>
  <c r="D694" i="21"/>
  <c r="D426" i="21"/>
  <c r="F243" i="21"/>
  <c r="F877" i="21"/>
  <c r="F869" i="21"/>
  <c r="F502" i="21"/>
  <c r="L60" i="16"/>
  <c r="H46" i="21"/>
  <c r="F198" i="21"/>
  <c r="F935" i="21"/>
  <c r="H239" i="21"/>
  <c r="D397" i="21"/>
  <c r="D100" i="21"/>
  <c r="B72" i="16"/>
  <c r="H805" i="21"/>
  <c r="H871" i="21"/>
  <c r="H870" i="21"/>
  <c r="C252" i="14" a="1"/>
  <c r="C252" i="14" s="1"/>
  <c r="D436" i="21"/>
  <c r="D504" i="21"/>
  <c r="H519" i="21"/>
  <c r="H527" i="21"/>
  <c r="G830" i="21"/>
  <c r="G222" i="21"/>
  <c r="H490" i="21"/>
  <c r="H515" i="21"/>
  <c r="L63" i="16"/>
  <c r="D245" i="14" a="1"/>
  <c r="D245" i="14" s="1"/>
  <c r="G209" i="21"/>
  <c r="H217" i="21"/>
  <c r="H585" i="21"/>
  <c r="F693" i="21"/>
  <c r="G806" i="21"/>
  <c r="H50" i="21"/>
  <c r="E136" i="14" a="1"/>
  <c r="E136" i="14" s="1"/>
  <c r="D92" i="21"/>
  <c r="D360" i="21"/>
  <c r="G586" i="21"/>
  <c r="H187" i="21"/>
  <c r="H579" i="21"/>
  <c r="F359" i="21"/>
  <c r="D414" i="21"/>
  <c r="G45" i="21"/>
  <c r="H52" i="21"/>
  <c r="D199" i="21"/>
  <c r="H238" i="21"/>
  <c r="F236" i="21"/>
  <c r="F743" i="21"/>
  <c r="L51" i="16"/>
  <c r="G216" i="21"/>
  <c r="G224" i="21"/>
  <c r="F409" i="21"/>
  <c r="F493" i="21"/>
  <c r="H934" i="21"/>
  <c r="E27" i="14" a="1"/>
  <c r="E27" i="14" s="1"/>
  <c r="D68" i="14" a="1"/>
  <c r="D68" i="14" s="1"/>
  <c r="F408" i="21"/>
  <c r="F809" i="21"/>
  <c r="G935" i="21"/>
  <c r="E179" i="14" a="1"/>
  <c r="E179" i="14" s="1"/>
  <c r="G458" i="21"/>
  <c r="G460" i="21" s="1"/>
  <c r="G193" i="21"/>
  <c r="F188" i="21"/>
  <c r="D54" i="21"/>
  <c r="G49" i="21"/>
  <c r="F621" i="21"/>
  <c r="U73" i="23"/>
  <c r="G488" i="21"/>
  <c r="H492" i="21"/>
  <c r="F458" i="21"/>
  <c r="G374" i="21"/>
  <c r="F378" i="21"/>
  <c r="G391" i="21"/>
  <c r="I439" i="20" a="1"/>
  <c r="I439" i="20" s="1"/>
  <c r="I112" i="21" s="1" a="1"/>
  <c r="I112" i="21" s="1"/>
  <c r="G821" i="21"/>
  <c r="D146" i="21"/>
  <c r="U77" i="23"/>
  <c r="U67" i="23"/>
  <c r="U80" i="23"/>
  <c r="U66" i="23"/>
  <c r="U76" i="23"/>
  <c r="C766" i="20"/>
  <c r="G846" i="21"/>
  <c r="H918" i="20"/>
  <c r="C800" i="20"/>
  <c r="C27" i="16"/>
  <c r="C573" i="20"/>
  <c r="U100" i="23"/>
  <c r="U72" i="23"/>
  <c r="U85" i="23"/>
  <c r="C497" i="20"/>
  <c r="S27" i="23"/>
  <c r="S23" i="23" s="1"/>
  <c r="U101" i="23"/>
  <c r="U56" i="23"/>
  <c r="U78" i="23"/>
  <c r="D116" i="20"/>
  <c r="U81" i="23"/>
  <c r="U75" i="23"/>
  <c r="U79" i="23"/>
  <c r="U71" i="23"/>
  <c r="U64" i="23"/>
  <c r="U68" i="23"/>
  <c r="U74" i="23"/>
  <c r="U62" i="23"/>
  <c r="U60" i="23"/>
  <c r="C465" i="20"/>
  <c r="C836" i="20"/>
  <c r="C741" i="20"/>
  <c r="F389" i="21"/>
  <c r="D535" i="21"/>
  <c r="E602" i="21"/>
  <c r="F602" i="21" s="1"/>
  <c r="G623" i="21"/>
  <c r="G843" i="21"/>
  <c r="D98" i="14" a="1"/>
  <c r="D98" i="14" s="1"/>
  <c r="H235" i="21"/>
  <c r="C687" i="20"/>
  <c r="G182" i="21"/>
  <c r="G196" i="21"/>
  <c r="F413" i="21"/>
  <c r="F692" i="21"/>
  <c r="C173" i="20"/>
  <c r="C141" i="20"/>
  <c r="C390" i="20"/>
  <c r="H44" i="21"/>
  <c r="H182" i="21"/>
  <c r="H189" i="21"/>
  <c r="G220" i="21"/>
  <c r="F223" i="21"/>
  <c r="G483" i="21"/>
  <c r="C533" i="20"/>
  <c r="C230" i="14" a="1"/>
  <c r="C230" i="14" s="1"/>
  <c r="G195" i="21"/>
  <c r="D494" i="21"/>
  <c r="B33" i="16"/>
  <c r="H647" i="20"/>
  <c r="C112" i="20"/>
  <c r="D589" i="21"/>
  <c r="C90" i="14" a="1"/>
  <c r="C90" i="14" s="1"/>
  <c r="B69" i="16"/>
  <c r="G48" i="21"/>
  <c r="F194" i="21"/>
  <c r="G236" i="21"/>
  <c r="G243" i="21"/>
  <c r="C11" i="14" a="1"/>
  <c r="C11" i="14" s="1"/>
  <c r="C29" i="16"/>
  <c r="C658" i="20"/>
  <c r="C928" i="20"/>
  <c r="C315" i="20"/>
  <c r="C189" i="14" a="1"/>
  <c r="C189" i="14" s="1"/>
  <c r="F50" i="21"/>
  <c r="H61" i="21"/>
  <c r="H63" i="21" s="1"/>
  <c r="G214" i="21"/>
  <c r="H221" i="21"/>
  <c r="F244" i="21"/>
  <c r="F237" i="21"/>
  <c r="G389" i="21"/>
  <c r="G493" i="21"/>
  <c r="F488" i="21"/>
  <c r="H503" i="21"/>
  <c r="G602" i="21"/>
  <c r="G808" i="21"/>
  <c r="F812" i="21"/>
  <c r="F804" i="21"/>
  <c r="H829" i="21"/>
  <c r="D274" i="21"/>
  <c r="G99" i="21"/>
  <c r="H394" i="21"/>
  <c r="H809" i="21"/>
  <c r="H872" i="21"/>
  <c r="H209" i="21"/>
  <c r="F622" i="21"/>
  <c r="H692" i="21"/>
  <c r="H694" i="21" s="1"/>
  <c r="D122" i="21"/>
  <c r="U70" i="23"/>
  <c r="U93" i="23"/>
  <c r="U61" i="23"/>
  <c r="U69" i="23"/>
  <c r="U63" i="23"/>
  <c r="U43" i="23"/>
  <c r="C232" i="20"/>
  <c r="C429" i="20"/>
  <c r="U59" i="23"/>
  <c r="C499" i="20"/>
  <c r="C739" i="20"/>
  <c r="G868" i="21"/>
  <c r="C202" i="20"/>
  <c r="C905" i="20"/>
  <c r="C234" i="20"/>
  <c r="H868" i="21"/>
  <c r="U53" i="23"/>
  <c r="C350" i="20"/>
  <c r="C798" i="20"/>
  <c r="F357" i="20"/>
  <c r="U91" i="23"/>
  <c r="U40" i="23"/>
  <c r="U45" i="23"/>
  <c r="U51" i="23"/>
  <c r="F319" i="20"/>
  <c r="C870" i="20"/>
  <c r="U42" i="23"/>
  <c r="F696" i="20"/>
  <c r="C110" i="20"/>
  <c r="U41" i="23"/>
  <c r="U50" i="23"/>
  <c r="U86" i="23"/>
  <c r="U49" i="23"/>
  <c r="U58" i="23"/>
  <c r="U102" i="23"/>
  <c r="U57" i="23"/>
  <c r="U44" i="23"/>
  <c r="F662" i="20"/>
  <c r="C29" i="20"/>
  <c r="G616" i="21"/>
  <c r="U96" i="23"/>
  <c r="U55" i="23"/>
  <c r="U48" i="23"/>
  <c r="U52" i="23"/>
  <c r="F691" i="20"/>
  <c r="E858" i="20"/>
  <c r="O5" i="15" a="1"/>
  <c r="O5" i="15" s="1"/>
  <c r="U94" i="23"/>
  <c r="U83" i="23"/>
  <c r="U89" i="23"/>
  <c r="U152" i="23"/>
  <c r="U160" i="23"/>
  <c r="U164" i="23"/>
  <c r="U153" i="23"/>
  <c r="U161" i="23"/>
  <c r="U146" i="23"/>
  <c r="U154" i="23"/>
  <c r="U162" i="23"/>
  <c r="U156" i="23"/>
  <c r="U147" i="23"/>
  <c r="U155" i="23"/>
  <c r="U163" i="23"/>
  <c r="U148" i="23"/>
  <c r="U159" i="23"/>
  <c r="U149" i="23"/>
  <c r="U157" i="23"/>
  <c r="U165" i="23"/>
  <c r="U150" i="23"/>
  <c r="U158" i="23"/>
  <c r="U145" i="23"/>
  <c r="U151" i="23"/>
  <c r="B894" i="20"/>
  <c r="H789" i="20"/>
  <c r="B788" i="20"/>
  <c r="B222" i="20"/>
  <c r="H223" i="20"/>
  <c r="U87" i="23"/>
  <c r="U99" i="23"/>
  <c r="U126" i="23"/>
  <c r="U134" i="23"/>
  <c r="U142" i="23"/>
  <c r="U127" i="23"/>
  <c r="U135" i="23"/>
  <c r="U143" i="23"/>
  <c r="U128" i="23"/>
  <c r="U136" i="23"/>
  <c r="U144" i="23"/>
  <c r="U133" i="23"/>
  <c r="U129" i="23"/>
  <c r="U137" i="23"/>
  <c r="U124" i="23"/>
  <c r="U130" i="23"/>
  <c r="U138" i="23"/>
  <c r="U131" i="23"/>
  <c r="U139" i="23"/>
  <c r="U132" i="23"/>
  <c r="U140" i="23"/>
  <c r="U125" i="23"/>
  <c r="U141" i="23"/>
  <c r="U95" i="23"/>
  <c r="U90" i="23"/>
  <c r="B49" i="16"/>
  <c r="C33" i="20"/>
  <c r="H562" i="20"/>
  <c r="B271" i="20"/>
  <c r="D55" i="20"/>
  <c r="B521" i="20"/>
  <c r="U82" i="23"/>
  <c r="U97" i="23"/>
  <c r="U108" i="23"/>
  <c r="U116" i="23"/>
  <c r="U103" i="23"/>
  <c r="U109" i="23"/>
  <c r="U117" i="23"/>
  <c r="U110" i="23"/>
  <c r="U118" i="23"/>
  <c r="U120" i="23"/>
  <c r="U111" i="23"/>
  <c r="U119" i="23"/>
  <c r="U104" i="23"/>
  <c r="U112" i="23"/>
  <c r="U107" i="23"/>
  <c r="U105" i="23"/>
  <c r="U113" i="23"/>
  <c r="U121" i="23"/>
  <c r="U106" i="23"/>
  <c r="U114" i="23"/>
  <c r="U122" i="23"/>
  <c r="U115" i="23"/>
  <c r="U123" i="23"/>
  <c r="U92" i="23"/>
  <c r="U88" i="23"/>
  <c r="U98" i="23"/>
  <c r="U47" i="23"/>
  <c r="U46" i="23"/>
  <c r="U54" i="23"/>
  <c r="C49" i="20"/>
  <c r="C78" i="20"/>
  <c r="C613" i="21"/>
  <c r="D810" i="20"/>
  <c r="C614" i="20"/>
  <c r="C764" i="20"/>
  <c r="C865" i="21"/>
  <c r="C531" i="20"/>
  <c r="F394" i="20"/>
  <c r="H676" i="20"/>
  <c r="C571" i="20"/>
  <c r="B755" i="20"/>
  <c r="D846" i="20"/>
  <c r="B917" i="20"/>
  <c r="G649" i="21"/>
  <c r="H272" i="20"/>
  <c r="N5" i="15" a="1"/>
  <c r="N5" i="15" s="1"/>
  <c r="C281" i="20"/>
  <c r="C834" i="20"/>
  <c r="B417" i="20"/>
  <c r="C30" i="20"/>
  <c r="C431" i="20"/>
  <c r="C352" i="20"/>
  <c r="C313" i="20"/>
  <c r="C283" i="20"/>
  <c r="H452" i="20"/>
  <c r="H418" i="20"/>
  <c r="C284" i="21"/>
  <c r="H486" i="20"/>
  <c r="H706" i="20"/>
  <c r="C51" i="20"/>
  <c r="C388" i="20"/>
  <c r="H730" i="20"/>
  <c r="C926" i="20"/>
  <c r="C80" i="20"/>
  <c r="C717" i="20"/>
  <c r="C872" i="20"/>
  <c r="P5" i="15" a="1"/>
  <c r="P5" i="15" s="1"/>
  <c r="D44" i="14" a="1"/>
  <c r="D44" i="14" s="1"/>
  <c r="Q5" i="15" a="1"/>
  <c r="Q5" i="15" s="1"/>
  <c r="C171" i="20"/>
  <c r="Z5" i="15" a="1"/>
  <c r="Z5" i="15" s="1"/>
  <c r="H825" i="20"/>
  <c r="Y5" i="15" a="1"/>
  <c r="Y5" i="15" s="1"/>
  <c r="F620" i="20"/>
  <c r="F577" i="20"/>
  <c r="C463" i="20"/>
  <c r="C200" i="20"/>
  <c r="C32" i="20"/>
  <c r="E243" i="14" a="1"/>
  <c r="E243" i="14" s="1"/>
  <c r="E97" i="14" a="1"/>
  <c r="E97" i="14" s="1"/>
  <c r="H604" i="20"/>
  <c r="E822" i="20"/>
  <c r="D135" i="14" a="1"/>
  <c r="D135" i="14" s="1"/>
  <c r="C903" i="20"/>
  <c r="C31" i="20"/>
  <c r="AA5" i="15" a="1"/>
  <c r="AA5" i="15" s="1"/>
  <c r="C28" i="20"/>
  <c r="C139" i="20"/>
  <c r="E224" i="14" a="1"/>
  <c r="E224" i="14" s="1"/>
  <c r="H160" i="20"/>
  <c r="D246" i="14" a="1"/>
  <c r="D246" i="14" s="1"/>
  <c r="W5" i="15" a="1"/>
  <c r="W5" i="15" s="1"/>
  <c r="T5" i="15" a="1"/>
  <c r="T5" i="15" s="1"/>
  <c r="D120" i="14" a="1"/>
  <c r="D120" i="14" s="1"/>
  <c r="C17" i="14" a="1"/>
  <c r="C17" i="14" s="1"/>
  <c r="D18" i="14" a="1"/>
  <c r="D18" i="14" s="1"/>
  <c r="C16" i="14" a="1"/>
  <c r="C16" i="14" s="1"/>
  <c r="D158" i="14" a="1"/>
  <c r="D158" i="14" s="1"/>
  <c r="E22" i="14" a="1"/>
  <c r="E22" i="14" s="1"/>
  <c r="C53" i="14" a="1"/>
  <c r="C53" i="14" s="1"/>
  <c r="E41" i="14" a="1"/>
  <c r="E41" i="14" s="1"/>
  <c r="C237" i="14" a="1"/>
  <c r="C237" i="14" s="1"/>
  <c r="C69" i="14" a="1"/>
  <c r="C69" i="14" s="1"/>
  <c r="D233" i="14" a="1"/>
  <c r="D233" i="14" s="1"/>
  <c r="E165" i="14" a="1"/>
  <c r="E165" i="14" s="1"/>
  <c r="C43" i="14" a="1"/>
  <c r="C43" i="14" s="1"/>
  <c r="C228" i="14" a="1"/>
  <c r="C228" i="14" s="1"/>
  <c r="E10" i="14" a="1"/>
  <c r="E10" i="14" s="1"/>
  <c r="E186" i="14" a="1"/>
  <c r="E186" i="14" s="1"/>
  <c r="D105" i="14" a="1"/>
  <c r="D105" i="14" s="1"/>
  <c r="C84" i="14" a="1"/>
  <c r="C84" i="14" s="1"/>
  <c r="E33" i="14" a="1"/>
  <c r="E33" i="14" s="1"/>
  <c r="E209" i="14" a="1"/>
  <c r="E209" i="14" s="1"/>
  <c r="E34" i="14" a="1"/>
  <c r="E34" i="14" s="1"/>
  <c r="E210" i="14" a="1"/>
  <c r="E210" i="14" s="1"/>
  <c r="D168" i="14" a="1"/>
  <c r="D168" i="14" s="1"/>
  <c r="C86" i="14" a="1"/>
  <c r="C86" i="14" s="1"/>
  <c r="E13" i="14" a="1"/>
  <c r="E13" i="14" s="1"/>
  <c r="E189" i="14" a="1"/>
  <c r="E189" i="14" s="1"/>
  <c r="D108" i="14" a="1"/>
  <c r="D108" i="14" s="1"/>
  <c r="C47" i="14" a="1"/>
  <c r="C47" i="14" s="1"/>
  <c r="C232" i="14" a="1"/>
  <c r="C232" i="14" s="1"/>
  <c r="C129" i="14" a="1"/>
  <c r="C129" i="14" s="1"/>
  <c r="C85" i="14" a="1"/>
  <c r="C85" i="14" s="1"/>
  <c r="E168" i="14" a="1"/>
  <c r="E168" i="14" s="1"/>
  <c r="D109" i="14" a="1"/>
  <c r="D109" i="14" s="1"/>
  <c r="C68" i="14" a="1"/>
  <c r="C68" i="14" s="1"/>
  <c r="C233" i="14" a="1"/>
  <c r="C233" i="14" s="1"/>
  <c r="C234" i="14" a="1"/>
  <c r="C234" i="14" s="1"/>
  <c r="E37" i="14" a="1"/>
  <c r="E37" i="14" s="1"/>
  <c r="E213" i="14" a="1"/>
  <c r="E213" i="14" s="1"/>
  <c r="C171" i="14" a="1"/>
  <c r="C171" i="14" s="1"/>
  <c r="E104" i="14" a="1"/>
  <c r="E104" i="14" s="1"/>
  <c r="D30" i="14" a="1"/>
  <c r="D30" i="14" s="1"/>
  <c r="D214" i="14" a="1"/>
  <c r="D214" i="14" s="1"/>
  <c r="C130" i="14" a="1"/>
  <c r="C130" i="14" s="1"/>
  <c r="C208" i="14" a="1"/>
  <c r="C208" i="14" s="1"/>
  <c r="E171" i="14" a="1"/>
  <c r="E171" i="14" s="1"/>
  <c r="D92" i="14" a="1"/>
  <c r="D92" i="14" s="1"/>
  <c r="C10" i="14" a="1"/>
  <c r="C10" i="14" s="1"/>
  <c r="E18" i="14" a="1"/>
  <c r="E18" i="14" s="1"/>
  <c r="E194" i="14" a="1"/>
  <c r="E194" i="14" s="1"/>
  <c r="D133" i="14" a="1"/>
  <c r="D133" i="14" s="1"/>
  <c r="C51" i="14" a="1"/>
  <c r="C51" i="14" s="1"/>
  <c r="E85" i="14" a="1"/>
  <c r="E85" i="14" s="1"/>
  <c r="D13" i="14" a="1"/>
  <c r="D13" i="14" s="1"/>
  <c r="D174" i="14" a="1"/>
  <c r="D174" i="14" s="1"/>
  <c r="C113" i="14" a="1"/>
  <c r="C113" i="14" s="1"/>
  <c r="C223" i="14" a="1"/>
  <c r="C223" i="14" s="1"/>
  <c r="E64" i="14" a="1"/>
  <c r="E64" i="14" s="1"/>
  <c r="E240" i="14" a="1"/>
  <c r="E240" i="14" s="1"/>
  <c r="D175" i="14" a="1"/>
  <c r="D175" i="14" s="1"/>
  <c r="C93" i="14" a="1"/>
  <c r="C93" i="14" s="1"/>
  <c r="C155" i="14" a="1"/>
  <c r="C155" i="14" s="1"/>
  <c r="C180" i="14" a="1"/>
  <c r="C180" i="14" s="1"/>
  <c r="E43" i="14" a="1"/>
  <c r="E43" i="14" s="1"/>
  <c r="E219" i="14" a="1"/>
  <c r="E219" i="14" s="1"/>
  <c r="D136" i="14" a="1"/>
  <c r="D136" i="14" s="1"/>
  <c r="C54" i="14" a="1"/>
  <c r="C54" i="14" s="1"/>
  <c r="C18" i="14" a="1"/>
  <c r="C18" i="14" s="1"/>
  <c r="E66" i="14" a="1"/>
  <c r="E66" i="14" s="1"/>
  <c r="E242" i="14" a="1"/>
  <c r="E242" i="14" s="1"/>
  <c r="D198" i="14" a="1"/>
  <c r="D198" i="14" s="1"/>
  <c r="C115" i="14" a="1"/>
  <c r="C115" i="14" s="1"/>
  <c r="C199" i="14" a="1"/>
  <c r="C199" i="14" s="1"/>
  <c r="E247" i="14" a="1"/>
  <c r="E247" i="14" s="1"/>
  <c r="E111" i="14" a="1"/>
  <c r="E111" i="14" s="1"/>
  <c r="D37" i="14" a="1"/>
  <c r="D37" i="14" s="1"/>
  <c r="D199" i="14" a="1"/>
  <c r="D199" i="14" s="1"/>
  <c r="C157" i="14" a="1"/>
  <c r="C157" i="14" s="1"/>
  <c r="D224" i="14" a="1"/>
  <c r="D224" i="14" s="1"/>
  <c r="E24" i="14" a="1"/>
  <c r="E24" i="14" s="1"/>
  <c r="E200" i="14" a="1"/>
  <c r="E200" i="14" s="1"/>
  <c r="D138" i="14" a="1"/>
  <c r="D138" i="14" s="1"/>
  <c r="C77" i="14" a="1"/>
  <c r="C77" i="14" s="1"/>
  <c r="D202" i="14" a="1"/>
  <c r="D202" i="14" s="1"/>
  <c r="E47" i="14" a="1"/>
  <c r="E47" i="14" s="1"/>
  <c r="E223" i="14" a="1"/>
  <c r="E223" i="14" s="1"/>
  <c r="D139" i="14" a="1"/>
  <c r="D139" i="14" s="1"/>
  <c r="C78" i="14" a="1"/>
  <c r="C78" i="14" s="1"/>
  <c r="E32" i="14" a="1"/>
  <c r="E32" i="14" s="1"/>
  <c r="E208" i="14" a="1"/>
  <c r="E208" i="14" s="1"/>
  <c r="D146" i="14" a="1"/>
  <c r="D146" i="14" s="1"/>
  <c r="C104" i="14" a="1"/>
  <c r="C104" i="14" s="1"/>
  <c r="E55" i="14" a="1"/>
  <c r="E55" i="14" s="1"/>
  <c r="E231" i="14" a="1"/>
  <c r="E231" i="14" s="1"/>
  <c r="E56" i="14" a="1"/>
  <c r="E56" i="14" s="1"/>
  <c r="E232" i="14" a="1"/>
  <c r="E232" i="14" s="1"/>
  <c r="D188" i="14" a="1"/>
  <c r="D188" i="14" s="1"/>
  <c r="C106" i="14" a="1"/>
  <c r="C106" i="14" s="1"/>
  <c r="E35" i="14" a="1"/>
  <c r="E35" i="14" s="1"/>
  <c r="E211" i="14" a="1"/>
  <c r="E211" i="14" s="1"/>
  <c r="D128" i="14" a="1"/>
  <c r="D128" i="14" s="1"/>
  <c r="C67" i="14" a="1"/>
  <c r="C67" i="14" s="1"/>
  <c r="E235" i="14" a="1"/>
  <c r="E235" i="14" s="1"/>
  <c r="C212" i="14" a="1"/>
  <c r="C212" i="14" s="1"/>
  <c r="E14" i="14" a="1"/>
  <c r="E14" i="14" s="1"/>
  <c r="E190" i="14" a="1"/>
  <c r="E190" i="14" s="1"/>
  <c r="D129" i="14" a="1"/>
  <c r="D129" i="14" s="1"/>
  <c r="C88" i="14" a="1"/>
  <c r="C88" i="14" s="1"/>
  <c r="D9" i="14" a="1"/>
  <c r="D9" i="14" s="1"/>
  <c r="C235" i="14" a="1"/>
  <c r="C235" i="14" s="1"/>
  <c r="E59" i="14" a="1"/>
  <c r="E59" i="14" s="1"/>
  <c r="D49" i="14" a="1"/>
  <c r="D49" i="14" s="1"/>
  <c r="C172" i="14" a="1"/>
  <c r="C172" i="14" s="1"/>
  <c r="E126" i="14" a="1"/>
  <c r="E126" i="14" s="1"/>
  <c r="D50" i="14" a="1"/>
  <c r="D50" i="14" s="1"/>
  <c r="D236" i="14" a="1"/>
  <c r="D236" i="14" s="1"/>
  <c r="C150" i="14" a="1"/>
  <c r="C150" i="14" s="1"/>
  <c r="E17" i="14" a="1"/>
  <c r="E17" i="14" s="1"/>
  <c r="E193" i="14" a="1"/>
  <c r="E193" i="14" s="1"/>
  <c r="D112" i="14" a="1"/>
  <c r="D112" i="14" s="1"/>
  <c r="C50" i="14" a="1"/>
  <c r="C50" i="14" s="1"/>
  <c r="E40" i="14" a="1"/>
  <c r="E40" i="14" s="1"/>
  <c r="E216" i="14" a="1"/>
  <c r="E216" i="14" s="1"/>
  <c r="D153" i="14" a="1"/>
  <c r="D153" i="14" s="1"/>
  <c r="C71" i="14" a="1"/>
  <c r="C71" i="14" s="1"/>
  <c r="E107" i="14" a="1"/>
  <c r="E107" i="14" s="1"/>
  <c r="D33" i="14" a="1"/>
  <c r="D33" i="14" s="1"/>
  <c r="D195" i="14" a="1"/>
  <c r="D195" i="14" s="1"/>
  <c r="C133" i="14" a="1"/>
  <c r="C133" i="14" s="1"/>
  <c r="E159" i="14" a="1"/>
  <c r="E159" i="14" s="1"/>
  <c r="E86" i="14" a="1"/>
  <c r="E86" i="14" s="1"/>
  <c r="D14" i="14" a="1"/>
  <c r="D14" i="14" s="1"/>
  <c r="D196" i="14" a="1"/>
  <c r="D196" i="14" s="1"/>
  <c r="C114" i="14" a="1"/>
  <c r="C114" i="14" s="1"/>
  <c r="C175" i="14" a="1"/>
  <c r="C175" i="14" s="1"/>
  <c r="E71" i="14" a="1"/>
  <c r="E71" i="14" s="1"/>
  <c r="E65" i="14" a="1"/>
  <c r="E65" i="14" s="1"/>
  <c r="E241" i="14" a="1"/>
  <c r="E241" i="14" s="1"/>
  <c r="D156" i="14" a="1"/>
  <c r="D156" i="14" s="1"/>
  <c r="C74" i="14" a="1"/>
  <c r="C74" i="14" s="1"/>
  <c r="C159" i="14" a="1"/>
  <c r="C159" i="14" s="1"/>
  <c r="E88" i="14" a="1"/>
  <c r="E88" i="14" s="1"/>
  <c r="D36" i="14" a="1"/>
  <c r="D36" i="14" s="1"/>
  <c r="D220" i="14" a="1"/>
  <c r="D220" i="14" s="1"/>
  <c r="C136" i="14" a="1"/>
  <c r="C136" i="14" s="1"/>
  <c r="E48" i="14" a="1"/>
  <c r="E48" i="14" s="1"/>
  <c r="D141" i="14" a="1"/>
  <c r="D141" i="14" s="1"/>
  <c r="E133" i="14" a="1"/>
  <c r="E133" i="14" s="1"/>
  <c r="D57" i="14" a="1"/>
  <c r="D57" i="14" s="1"/>
  <c r="D221" i="14" a="1"/>
  <c r="D221" i="14" s="1"/>
  <c r="C177" i="14" a="1"/>
  <c r="C177" i="14" s="1"/>
  <c r="C99" i="14" a="1"/>
  <c r="C99" i="14" s="1"/>
  <c r="E46" i="14" a="1"/>
  <c r="E46" i="14" s="1"/>
  <c r="E222" i="14" a="1"/>
  <c r="E222" i="14" s="1"/>
  <c r="D179" i="14" a="1"/>
  <c r="D179" i="14" s="1"/>
  <c r="C97" i="14" a="1"/>
  <c r="C97" i="14" s="1"/>
  <c r="C119" i="14" a="1"/>
  <c r="C119" i="14" s="1"/>
  <c r="E69" i="14" a="1"/>
  <c r="E69" i="14" s="1"/>
  <c r="E245" i="14" a="1"/>
  <c r="E245" i="14" s="1"/>
  <c r="D159" i="14" a="1"/>
  <c r="D159" i="14" s="1"/>
  <c r="C98" i="14" a="1"/>
  <c r="C98" i="14" s="1"/>
  <c r="E70" i="14" a="1"/>
  <c r="E70" i="14" s="1"/>
  <c r="C19" i="14" a="1"/>
  <c r="C19" i="14" s="1"/>
  <c r="D46" i="14" a="1"/>
  <c r="D46" i="14" s="1"/>
  <c r="E207" i="14" a="1"/>
  <c r="E207" i="14" s="1"/>
  <c r="D145" i="14" a="1"/>
  <c r="D145" i="14" s="1"/>
  <c r="C83" i="14" a="1"/>
  <c r="C83" i="14" s="1"/>
  <c r="D252" i="14" a="1"/>
  <c r="D252" i="14" s="1"/>
  <c r="E54" i="14" a="1"/>
  <c r="E54" i="14" s="1"/>
  <c r="E230" i="14" a="1"/>
  <c r="E230" i="14" s="1"/>
  <c r="D166" i="14" a="1"/>
  <c r="D166" i="14" s="1"/>
  <c r="C145" i="14" a="1"/>
  <c r="C145" i="14" s="1"/>
  <c r="E77" i="14" a="1"/>
  <c r="E77" i="14" s="1"/>
  <c r="E253" i="14" a="1"/>
  <c r="E253" i="14" s="1"/>
  <c r="E78" i="14" a="1"/>
  <c r="E78" i="14" s="1"/>
  <c r="D6" i="14" a="1"/>
  <c r="D6" i="14" s="1"/>
  <c r="D210" i="14" a="1"/>
  <c r="D210" i="14" s="1"/>
  <c r="C126" i="14" a="1"/>
  <c r="C126" i="14" s="1"/>
  <c r="E57" i="14" a="1"/>
  <c r="E57" i="14" s="1"/>
  <c r="E233" i="14" a="1"/>
  <c r="E233" i="14" s="1"/>
  <c r="D148" i="14" a="1"/>
  <c r="D148" i="14" s="1"/>
  <c r="C87" i="14" a="1"/>
  <c r="C87" i="14" s="1"/>
  <c r="D29" i="14" a="1"/>
  <c r="D29" i="14" s="1"/>
  <c r="C213" i="14" a="1"/>
  <c r="C213" i="14" s="1"/>
  <c r="E36" i="14" a="1"/>
  <c r="E36" i="14" s="1"/>
  <c r="E212" i="14" a="1"/>
  <c r="E212" i="14" s="1"/>
  <c r="D149" i="14" a="1"/>
  <c r="D149" i="14" s="1"/>
  <c r="C108" i="14" a="1"/>
  <c r="C108" i="14" s="1"/>
  <c r="D70" i="14" a="1"/>
  <c r="D70" i="14" s="1"/>
  <c r="C131" i="14" a="1"/>
  <c r="C131" i="14" s="1"/>
  <c r="E81" i="14" a="1"/>
  <c r="E81" i="14" s="1"/>
  <c r="D110" i="14" a="1"/>
  <c r="D110" i="14" s="1"/>
  <c r="C100" i="14" a="1"/>
  <c r="C100" i="14" s="1"/>
  <c r="E148" i="14" a="1"/>
  <c r="E148" i="14" s="1"/>
  <c r="D91" i="14" a="1"/>
  <c r="D91" i="14" s="1"/>
  <c r="C9" i="14" a="1"/>
  <c r="C9" i="14" s="1"/>
  <c r="C170" i="14" a="1"/>
  <c r="C170" i="14" s="1"/>
  <c r="E39" i="14" a="1"/>
  <c r="E39" i="14" s="1"/>
  <c r="E215" i="14" a="1"/>
  <c r="E215" i="14" s="1"/>
  <c r="D132" i="14" a="1"/>
  <c r="D132" i="14" s="1"/>
  <c r="C151" i="14" a="1"/>
  <c r="C151" i="14" s="1"/>
  <c r="E62" i="14" a="1"/>
  <c r="E62" i="14" s="1"/>
  <c r="E238" i="14" a="1"/>
  <c r="E238" i="14" s="1"/>
  <c r="D173" i="14" a="1"/>
  <c r="D173" i="14" s="1"/>
  <c r="C92" i="14" a="1"/>
  <c r="C92" i="14" s="1"/>
  <c r="E129" i="14" a="1"/>
  <c r="E129" i="14" s="1"/>
  <c r="D53" i="14" a="1"/>
  <c r="D53" i="14" s="1"/>
  <c r="D217" i="14" a="1"/>
  <c r="D217" i="14" s="1"/>
  <c r="C153" i="14" a="1"/>
  <c r="C153" i="14" s="1"/>
  <c r="D60" i="14" a="1"/>
  <c r="D60" i="14" s="1"/>
  <c r="E108" i="14" a="1"/>
  <c r="E108" i="14" s="1"/>
  <c r="D34" i="14" a="1"/>
  <c r="D34" i="14" s="1"/>
  <c r="D218" i="14" a="1"/>
  <c r="D218" i="14" s="1"/>
  <c r="C134" i="14" a="1"/>
  <c r="C134" i="14" s="1"/>
  <c r="C218" i="14" a="1"/>
  <c r="C218" i="14" s="1"/>
  <c r="E203" i="14" a="1"/>
  <c r="E203" i="14" s="1"/>
  <c r="E87" i="14" a="1"/>
  <c r="E87" i="14" s="1"/>
  <c r="D15" i="14" a="1"/>
  <c r="D15" i="14" s="1"/>
  <c r="D176" i="14" a="1"/>
  <c r="D176" i="14" s="1"/>
  <c r="C94" i="14" a="1"/>
  <c r="C94" i="14" s="1"/>
  <c r="E93" i="14" a="1"/>
  <c r="E93" i="14" s="1"/>
  <c r="E110" i="14" a="1"/>
  <c r="E110" i="14" s="1"/>
  <c r="D56" i="14" a="1"/>
  <c r="D56" i="14" s="1"/>
  <c r="D242" i="14" a="1"/>
  <c r="D242" i="14" s="1"/>
  <c r="C156" i="14" a="1"/>
  <c r="C156" i="14" s="1"/>
  <c r="E180" i="14" a="1"/>
  <c r="E180" i="14" s="1"/>
  <c r="C140" i="14" a="1"/>
  <c r="C140" i="14" s="1"/>
  <c r="E155" i="14" a="1"/>
  <c r="E155" i="14" s="1"/>
  <c r="D77" i="14" a="1"/>
  <c r="D77" i="14" s="1"/>
  <c r="D243" i="14" a="1"/>
  <c r="D243" i="14" s="1"/>
  <c r="C198" i="14" a="1"/>
  <c r="C198" i="14" s="1"/>
  <c r="C245" i="14" a="1"/>
  <c r="C245" i="14" s="1"/>
  <c r="E68" i="14" a="1"/>
  <c r="E68" i="14" s="1"/>
  <c r="E244" i="14" a="1"/>
  <c r="E244" i="14" s="1"/>
  <c r="D200" i="14" a="1"/>
  <c r="D200" i="14" s="1"/>
  <c r="C117" i="14" a="1"/>
  <c r="C117" i="14" s="1"/>
  <c r="E49" i="14" a="1"/>
  <c r="E49" i="14" s="1"/>
  <c r="E91" i="14" a="1"/>
  <c r="E91" i="14" s="1"/>
  <c r="C22" i="14" a="1"/>
  <c r="C22" i="14" s="1"/>
  <c r="C105" i="14" a="1"/>
  <c r="C105" i="14" s="1"/>
  <c r="E229" i="14" a="1"/>
  <c r="E229" i="14" s="1"/>
  <c r="D165" i="14" a="1"/>
  <c r="D165" i="14" s="1"/>
  <c r="C124" i="14" a="1"/>
  <c r="C124" i="14" s="1"/>
  <c r="C64" i="14" a="1"/>
  <c r="C64" i="14" s="1"/>
  <c r="E76" i="14" a="1"/>
  <c r="E76" i="14" s="1"/>
  <c r="E252" i="14" a="1"/>
  <c r="E252" i="14" s="1"/>
  <c r="D186" i="14" a="1"/>
  <c r="D186" i="14" s="1"/>
  <c r="C185" i="14" a="1"/>
  <c r="C185" i="14" s="1"/>
  <c r="E99" i="14" a="1"/>
  <c r="E99" i="14" s="1"/>
  <c r="D26" i="14" a="1"/>
  <c r="D26" i="14" s="1"/>
  <c r="E100" i="14" a="1"/>
  <c r="E100" i="14" s="1"/>
  <c r="D47" i="14" a="1"/>
  <c r="D47" i="14" s="1"/>
  <c r="D232" i="14" a="1"/>
  <c r="D232" i="14" s="1"/>
  <c r="C147" i="14" a="1"/>
  <c r="C147" i="14" s="1"/>
  <c r="E79" i="14" a="1"/>
  <c r="E79" i="14" s="1"/>
  <c r="D7" i="14" a="1"/>
  <c r="D7" i="14" s="1"/>
  <c r="D169" i="14" a="1"/>
  <c r="D169" i="14" s="1"/>
  <c r="C107" i="14" a="1"/>
  <c r="C107" i="14" s="1"/>
  <c r="D90" i="14" a="1"/>
  <c r="D90" i="14" s="1"/>
  <c r="C91" i="14" a="1"/>
  <c r="C91" i="14" s="1"/>
  <c r="E58" i="14" a="1"/>
  <c r="E58" i="14" s="1"/>
  <c r="E234" i="14" a="1"/>
  <c r="E234" i="14" s="1"/>
  <c r="D190" i="14" a="1"/>
  <c r="D190" i="14" s="1"/>
  <c r="C128" i="14" a="1"/>
  <c r="C128" i="14" s="1"/>
  <c r="D130" i="14" a="1"/>
  <c r="D130" i="14" s="1"/>
  <c r="C236" i="14" a="1"/>
  <c r="C236" i="14" s="1"/>
  <c r="E103" i="14" a="1"/>
  <c r="E103" i="14" s="1"/>
  <c r="D191" i="14" a="1"/>
  <c r="D191" i="14" s="1"/>
  <c r="C45" i="14" a="1"/>
  <c r="C45" i="14" s="1"/>
  <c r="E170" i="14" a="1"/>
  <c r="E170" i="14" s="1"/>
  <c r="D111" i="14" a="1"/>
  <c r="D111" i="14" s="1"/>
  <c r="C29" i="14" a="1"/>
  <c r="C29" i="14" s="1"/>
  <c r="C191" i="14" a="1"/>
  <c r="C191" i="14" s="1"/>
  <c r="E61" i="14" a="1"/>
  <c r="E61" i="14" s="1"/>
  <c r="E237" i="14" a="1"/>
  <c r="E237" i="14" s="1"/>
  <c r="D152" i="14" a="1"/>
  <c r="D152" i="14" s="1"/>
  <c r="C112" i="14" a="1"/>
  <c r="C112" i="14" s="1"/>
  <c r="E84" i="14" a="1"/>
  <c r="E84" i="14" s="1"/>
  <c r="D12" i="14" a="1"/>
  <c r="D12" i="14" s="1"/>
  <c r="D194" i="14" a="1"/>
  <c r="D194" i="14" s="1"/>
  <c r="C152" i="14" a="1"/>
  <c r="C152" i="14" s="1"/>
  <c r="E151" i="14" a="1"/>
  <c r="E151" i="14" s="1"/>
  <c r="D73" i="14" a="1"/>
  <c r="D73" i="14" s="1"/>
  <c r="D239" i="14" a="1"/>
  <c r="D239" i="14" s="1"/>
  <c r="C173" i="14" a="1"/>
  <c r="C173" i="14" s="1"/>
  <c r="D181" i="14" a="1"/>
  <c r="D181" i="14" s="1"/>
  <c r="E130" i="14" a="1"/>
  <c r="E130" i="14" s="1"/>
  <c r="D54" i="14" a="1"/>
  <c r="D54" i="14" s="1"/>
  <c r="D240" i="14" a="1"/>
  <c r="D240" i="14" s="1"/>
  <c r="C154" i="14" a="1"/>
  <c r="C154" i="14" s="1"/>
  <c r="E92" i="14" a="1"/>
  <c r="E92" i="14" s="1"/>
  <c r="D81" i="14" a="1"/>
  <c r="D81" i="14" s="1"/>
  <c r="E109" i="14" a="1"/>
  <c r="E109" i="14" s="1"/>
  <c r="D35" i="14" a="1"/>
  <c r="D35" i="14" s="1"/>
  <c r="D197" i="14" a="1"/>
  <c r="D197" i="14" s="1"/>
  <c r="C135" i="14" a="1"/>
  <c r="C135" i="14" s="1"/>
  <c r="D20" i="14" a="1"/>
  <c r="D20" i="14" s="1"/>
  <c r="E132" i="14" a="1"/>
  <c r="E132" i="14" s="1"/>
  <c r="D76" i="14" a="1"/>
  <c r="D76" i="14" s="1"/>
  <c r="C15" i="14" a="1"/>
  <c r="C15" i="14" s="1"/>
  <c r="C176" i="14" a="1"/>
  <c r="C176" i="14" s="1"/>
  <c r="D19" i="14" a="1"/>
  <c r="D19" i="14" s="1"/>
  <c r="D231" i="14" a="1"/>
  <c r="D231" i="14" s="1"/>
  <c r="E177" i="14" a="1"/>
  <c r="E177" i="14" s="1"/>
  <c r="D97" i="14" a="1"/>
  <c r="D97" i="14" s="1"/>
  <c r="C36" i="14" a="1"/>
  <c r="C36" i="14" s="1"/>
  <c r="C220" i="14" a="1"/>
  <c r="C220" i="14" s="1"/>
  <c r="E137" i="14" a="1"/>
  <c r="E137" i="14" s="1"/>
  <c r="E90" i="14" a="1"/>
  <c r="E90" i="14" s="1"/>
  <c r="D17" i="14" a="1"/>
  <c r="D17" i="14" s="1"/>
  <c r="D222" i="14" a="1"/>
  <c r="D222" i="14" s="1"/>
  <c r="C137" i="14" a="1"/>
  <c r="C137" i="14" s="1"/>
  <c r="E225" i="14" a="1"/>
  <c r="E225" i="14" s="1"/>
  <c r="E113" i="14" a="1"/>
  <c r="E113" i="14" s="1"/>
  <c r="E251" i="14" a="1"/>
  <c r="E251" i="14" s="1"/>
  <c r="D185" i="14" a="1"/>
  <c r="D185" i="14" s="1"/>
  <c r="C144" i="14" a="1"/>
  <c r="C144" i="14" s="1"/>
  <c r="C125" i="14" a="1"/>
  <c r="C125" i="14" s="1"/>
  <c r="E98" i="14" a="1"/>
  <c r="E98" i="14" s="1"/>
  <c r="D25" i="14" a="1"/>
  <c r="D25" i="14" s="1"/>
  <c r="D208" i="14" a="1"/>
  <c r="D208" i="14" s="1"/>
  <c r="C251" i="14" a="1"/>
  <c r="C251" i="14" s="1"/>
  <c r="E121" i="14" a="1"/>
  <c r="E121" i="14" s="1"/>
  <c r="D66" i="14" a="1"/>
  <c r="D66" i="14" s="1"/>
  <c r="E122" i="14" a="1"/>
  <c r="E122" i="14" s="1"/>
  <c r="D67" i="14" a="1"/>
  <c r="D67" i="14" s="1"/>
  <c r="C6" i="14" a="1"/>
  <c r="C6" i="14" s="1"/>
  <c r="C167" i="14" a="1"/>
  <c r="C167" i="14" s="1"/>
  <c r="E101" i="14" a="1"/>
  <c r="E101" i="14" s="1"/>
  <c r="D27" i="14" a="1"/>
  <c r="D27" i="14" s="1"/>
  <c r="D189" i="14" a="1"/>
  <c r="D189" i="14" s="1"/>
  <c r="C127" i="14" a="1"/>
  <c r="C127" i="14" s="1"/>
  <c r="D150" i="14" a="1"/>
  <c r="D150" i="14" s="1"/>
  <c r="C192" i="14" a="1"/>
  <c r="C192" i="14" s="1"/>
  <c r="E80" i="14" a="1"/>
  <c r="E80" i="14" s="1"/>
  <c r="D8" i="14" a="1"/>
  <c r="D8" i="14" s="1"/>
  <c r="D212" i="14" a="1"/>
  <c r="D212" i="14" s="1"/>
  <c r="C148" i="14" a="1"/>
  <c r="C148" i="14" s="1"/>
  <c r="D170" i="14" a="1"/>
  <c r="D170" i="14" s="1"/>
  <c r="C215" i="14" a="1"/>
  <c r="C215" i="14" s="1"/>
  <c r="E125" i="14" a="1"/>
  <c r="E125" i="14" s="1"/>
  <c r="C28" i="14" a="1"/>
  <c r="C28" i="14" s="1"/>
  <c r="E16" i="14" a="1"/>
  <c r="E16" i="14" s="1"/>
  <c r="E192" i="14" a="1"/>
  <c r="E192" i="14" s="1"/>
  <c r="D131" i="14" a="1"/>
  <c r="D131" i="14" s="1"/>
  <c r="C49" i="14" a="1"/>
  <c r="C49" i="14" s="1"/>
  <c r="C111" i="14" a="1"/>
  <c r="C111" i="14" s="1"/>
  <c r="E83" i="14" a="1"/>
  <c r="E83" i="14" s="1"/>
  <c r="D11" i="14" a="1"/>
  <c r="D11" i="14" s="1"/>
  <c r="D172" i="14" a="1"/>
  <c r="D172" i="14" s="1"/>
  <c r="C193" i="14" a="1"/>
  <c r="C193" i="14" s="1"/>
  <c r="E106" i="14" a="1"/>
  <c r="E106" i="14" s="1"/>
  <c r="D32" i="14" a="1"/>
  <c r="D32" i="14" s="1"/>
  <c r="D216" i="14" a="1"/>
  <c r="D216" i="14" s="1"/>
  <c r="C160" i="14" a="1"/>
  <c r="C160" i="14" s="1"/>
  <c r="E173" i="14" a="1"/>
  <c r="E173" i="14" s="1"/>
  <c r="D93" i="14" a="1"/>
  <c r="D93" i="14" s="1"/>
  <c r="C12" i="14" a="1"/>
  <c r="C12" i="14" s="1"/>
  <c r="C194" i="14" a="1"/>
  <c r="C194" i="14" s="1"/>
  <c r="C225" i="14" a="1"/>
  <c r="C225" i="14" s="1"/>
  <c r="E152" i="14" a="1"/>
  <c r="E152" i="14" s="1"/>
  <c r="D74" i="14" a="1"/>
  <c r="D74" i="14" s="1"/>
  <c r="C13" i="14" a="1"/>
  <c r="C13" i="14" s="1"/>
  <c r="C174" i="14" a="1"/>
  <c r="C174" i="14" s="1"/>
  <c r="E202" i="14" a="1"/>
  <c r="E202" i="14" s="1"/>
  <c r="D225" i="14" a="1"/>
  <c r="D225" i="14" s="1"/>
  <c r="E131" i="14" a="1"/>
  <c r="E131" i="14" s="1"/>
  <c r="D55" i="14" a="1"/>
  <c r="D55" i="14" s="1"/>
  <c r="D219" i="14" a="1"/>
  <c r="D219" i="14" s="1"/>
  <c r="C196" i="14" a="1"/>
  <c r="C196" i="14" s="1"/>
  <c r="D247" i="14" a="1"/>
  <c r="D247" i="14" s="1"/>
  <c r="E154" i="14" a="1"/>
  <c r="E154" i="14" s="1"/>
  <c r="D96" i="14" a="1"/>
  <c r="D96" i="14" s="1"/>
  <c r="C35" i="14" a="1"/>
  <c r="C35" i="14" s="1"/>
  <c r="C197" i="14" a="1"/>
  <c r="C197" i="14" s="1"/>
  <c r="D160" i="14" a="1"/>
  <c r="D160" i="14" s="1"/>
  <c r="E23" i="14" a="1"/>
  <c r="E23" i="14" s="1"/>
  <c r="E199" i="14" a="1"/>
  <c r="E199" i="14" s="1"/>
  <c r="D117" i="14" a="1"/>
  <c r="D117" i="14" s="1"/>
  <c r="C56" i="14" a="1"/>
  <c r="C56" i="14" s="1"/>
  <c r="C178" i="14" a="1"/>
  <c r="C178" i="14" s="1"/>
  <c r="D40" i="14" a="1"/>
  <c r="D40" i="14" s="1"/>
  <c r="E112" i="14" a="1"/>
  <c r="E112" i="14" s="1"/>
  <c r="D58" i="14" a="1"/>
  <c r="D58" i="14" s="1"/>
  <c r="D244" i="14" a="1"/>
  <c r="D244" i="14" s="1"/>
  <c r="C158" i="14" a="1"/>
  <c r="C158" i="14" s="1"/>
  <c r="D121" i="14" a="1"/>
  <c r="D121" i="14" s="1"/>
  <c r="E135" i="14" a="1"/>
  <c r="E135" i="14" s="1"/>
  <c r="D59" i="14" a="1"/>
  <c r="D59" i="14" s="1"/>
  <c r="E161" i="14" a="1"/>
  <c r="E161" i="14" s="1"/>
  <c r="C103" i="14" a="1"/>
  <c r="C103" i="14" s="1"/>
  <c r="E75" i="14" a="1"/>
  <c r="E75" i="14" s="1"/>
  <c r="D24" i="14" a="1"/>
  <c r="D24" i="14" s="1"/>
  <c r="D207" i="14" a="1"/>
  <c r="D207" i="14" s="1"/>
  <c r="C164" i="14" a="1"/>
  <c r="C164" i="14" s="1"/>
  <c r="C165" i="14" a="1"/>
  <c r="C165" i="14" s="1"/>
  <c r="E120" i="14" a="1"/>
  <c r="E120" i="14" s="1"/>
  <c r="D45" i="14" a="1"/>
  <c r="D45" i="14" s="1"/>
  <c r="D230" i="14" a="1"/>
  <c r="D230" i="14" s="1"/>
  <c r="D106" i="14" a="1"/>
  <c r="D106" i="14" s="1"/>
  <c r="E143" i="14" a="1"/>
  <c r="E143" i="14" s="1"/>
  <c r="D253" i="14" a="1"/>
  <c r="D253" i="14" s="1"/>
  <c r="E144" i="14" a="1"/>
  <c r="E144" i="14" s="1"/>
  <c r="D87" i="14" a="1"/>
  <c r="D87" i="14" s="1"/>
  <c r="C26" i="14" a="1"/>
  <c r="C26" i="14" s="1"/>
  <c r="C187" i="14" a="1"/>
  <c r="C187" i="14" s="1"/>
  <c r="E123" i="14" a="1"/>
  <c r="E123" i="14" s="1"/>
  <c r="D48" i="14" a="1"/>
  <c r="D48" i="14" s="1"/>
  <c r="D211" i="14" a="1"/>
  <c r="D211" i="14" s="1"/>
  <c r="C168" i="14" a="1"/>
  <c r="C168" i="14" s="1"/>
  <c r="D213" i="14" a="1"/>
  <c r="D213" i="14" s="1"/>
  <c r="C132" i="14" a="1"/>
  <c r="C132" i="14" s="1"/>
  <c r="E102" i="14" a="1"/>
  <c r="E102" i="14" s="1"/>
  <c r="D28" i="14" a="1"/>
  <c r="D28" i="14" s="1"/>
  <c r="D234" i="14" a="1"/>
  <c r="D234" i="14" s="1"/>
  <c r="C169" i="14" a="1"/>
  <c r="C169" i="14" s="1"/>
  <c r="D235" i="14" a="1"/>
  <c r="D235" i="14" s="1"/>
  <c r="C80" i="14" a="1"/>
  <c r="C80" i="14" s="1"/>
  <c r="E147" i="14" a="1"/>
  <c r="E147" i="14" s="1"/>
  <c r="C109" i="14" a="1"/>
  <c r="C109" i="14" s="1"/>
  <c r="E38" i="14" a="1"/>
  <c r="E38" i="14" s="1"/>
  <c r="E214" i="14" a="1"/>
  <c r="E214" i="14" s="1"/>
  <c r="D151" i="14" a="1"/>
  <c r="D151" i="14" s="1"/>
  <c r="C70" i="14" a="1"/>
  <c r="C70" i="14" s="1"/>
  <c r="C214" i="14" a="1"/>
  <c r="C214" i="14" s="1"/>
  <c r="E105" i="14" a="1"/>
  <c r="E105" i="14" s="1"/>
  <c r="D31" i="14" a="1"/>
  <c r="D31" i="14" s="1"/>
  <c r="D193" i="14" a="1"/>
  <c r="D193" i="14" s="1"/>
  <c r="C39" i="14" a="1"/>
  <c r="C39" i="14" s="1"/>
  <c r="E128" i="14" a="1"/>
  <c r="E128" i="14" s="1"/>
  <c r="D52" i="14" a="1"/>
  <c r="D52" i="14" s="1"/>
  <c r="D238" i="14" a="1"/>
  <c r="D238" i="14" s="1"/>
  <c r="E19" i="14" a="1"/>
  <c r="E19" i="14" s="1"/>
  <c r="E195" i="14" a="1"/>
  <c r="E195" i="14" s="1"/>
  <c r="D114" i="14" a="1"/>
  <c r="D114" i="14" s="1"/>
  <c r="C32" i="14" a="1"/>
  <c r="C32" i="14" s="1"/>
  <c r="C216" i="14" a="1"/>
  <c r="C216" i="14" s="1"/>
  <c r="C186" i="14" a="1"/>
  <c r="C186" i="14" s="1"/>
  <c r="E174" i="14" a="1"/>
  <c r="E174" i="14" s="1"/>
  <c r="D94" i="14" a="1"/>
  <c r="D94" i="14" s="1"/>
  <c r="C33" i="14" a="1"/>
  <c r="C33" i="14" s="1"/>
  <c r="C195" i="14" a="1"/>
  <c r="C195" i="14" s="1"/>
  <c r="D80" i="14" a="1"/>
  <c r="D80" i="14" s="1"/>
  <c r="C246" i="14" a="1"/>
  <c r="C246" i="14" s="1"/>
  <c r="E153" i="14" a="1"/>
  <c r="E153" i="14" s="1"/>
  <c r="D75" i="14" a="1"/>
  <c r="D75" i="14" s="1"/>
  <c r="D241" i="14" a="1"/>
  <c r="D241" i="14" s="1"/>
  <c r="C240" i="14" a="1"/>
  <c r="C240" i="14" s="1"/>
  <c r="D147" i="14" a="1"/>
  <c r="D147" i="14" s="1"/>
  <c r="E176" i="14" a="1"/>
  <c r="E176" i="14" s="1"/>
  <c r="D116" i="14" a="1"/>
  <c r="D116" i="14" s="1"/>
  <c r="C55" i="14" a="1"/>
  <c r="C55" i="14" s="1"/>
  <c r="C219" i="14" a="1"/>
  <c r="C219" i="14" s="1"/>
  <c r="C59" i="14" a="1"/>
  <c r="C59" i="14" s="1"/>
  <c r="E45" i="14" a="1"/>
  <c r="E45" i="14" s="1"/>
  <c r="E221" i="14" a="1"/>
  <c r="E221" i="14" s="1"/>
  <c r="D137" i="14" a="1"/>
  <c r="D137" i="14" s="1"/>
  <c r="C76" i="14" a="1"/>
  <c r="C76" i="14" s="1"/>
  <c r="C243" i="14" a="1"/>
  <c r="C243" i="14" s="1"/>
  <c r="D161" i="14" a="1"/>
  <c r="D161" i="14" s="1"/>
  <c r="C226" i="14" a="1"/>
  <c r="C226" i="14" s="1"/>
  <c r="C205" i="14" a="1"/>
  <c r="C205" i="14" s="1"/>
  <c r="E119" i="14" a="1"/>
  <c r="E119" i="14" s="1"/>
  <c r="D64" i="14" a="1"/>
  <c r="D64" i="14" s="1"/>
  <c r="D251" i="14" a="1"/>
  <c r="D251" i="14" s="1"/>
  <c r="C206" i="14" a="1"/>
  <c r="C206" i="14" s="1"/>
  <c r="D209" i="14" a="1"/>
  <c r="D209" i="14" s="1"/>
  <c r="E164" i="14" a="1"/>
  <c r="E164" i="14" s="1"/>
  <c r="D85" i="14" a="1"/>
  <c r="D85" i="14" s="1"/>
  <c r="C44" i="14" a="1"/>
  <c r="C44" i="14" s="1"/>
  <c r="E11" i="14" a="1"/>
  <c r="E11" i="14" s="1"/>
  <c r="E187" i="14" a="1"/>
  <c r="E187" i="14" s="1"/>
  <c r="E12" i="14" a="1"/>
  <c r="E12" i="14" s="1"/>
  <c r="E188" i="14" a="1"/>
  <c r="E188" i="14" s="1"/>
  <c r="D127" i="14" a="1"/>
  <c r="D127" i="14" s="1"/>
  <c r="C66" i="14" a="1"/>
  <c r="C66" i="14" s="1"/>
  <c r="C231" i="14" a="1"/>
  <c r="C231" i="14" s="1"/>
  <c r="E167" i="14" a="1"/>
  <c r="E167" i="14" s="1"/>
  <c r="D88" i="14" a="1"/>
  <c r="D88" i="14" s="1"/>
  <c r="C7" i="14" a="1"/>
  <c r="C7" i="14" s="1"/>
  <c r="C210" i="14" a="1"/>
  <c r="C210" i="14" s="1"/>
  <c r="C89" i="14" a="1"/>
  <c r="C89" i="14" s="1"/>
  <c r="C202" i="14" a="1"/>
  <c r="C202" i="14" s="1"/>
  <c r="E146" i="14" a="1"/>
  <c r="E146" i="14" s="1"/>
  <c r="D89" i="14" a="1"/>
  <c r="D89" i="14" s="1"/>
  <c r="C48" i="14" a="1"/>
  <c r="C48" i="14" s="1"/>
  <c r="C211" i="14" a="1"/>
  <c r="C211" i="14" s="1"/>
  <c r="C149" i="14" a="1"/>
  <c r="C149" i="14" s="1"/>
  <c r="E15" i="14" a="1"/>
  <c r="E15" i="14" s="1"/>
  <c r="E191" i="14" a="1"/>
  <c r="E191" i="14" s="1"/>
  <c r="C30" i="14" a="1"/>
  <c r="C30" i="14" s="1"/>
  <c r="E82" i="14" a="1"/>
  <c r="E82" i="14" s="1"/>
  <c r="D10" i="14" a="1"/>
  <c r="D10" i="14" s="1"/>
  <c r="D192" i="14" a="1"/>
  <c r="D192" i="14" s="1"/>
  <c r="C110" i="14" a="1"/>
  <c r="C110" i="14" s="1"/>
  <c r="C224" i="14" a="1"/>
  <c r="C224" i="14" s="1"/>
  <c r="E149" i="14" a="1"/>
  <c r="E149" i="14" s="1"/>
  <c r="D71" i="14" a="1"/>
  <c r="D71" i="14" s="1"/>
  <c r="D237" i="14" a="1"/>
  <c r="D237" i="14" s="1"/>
  <c r="C146" i="14" a="1"/>
  <c r="C146" i="14" s="1"/>
  <c r="E172" i="14" a="1"/>
  <c r="E172" i="14" s="1"/>
  <c r="D113" i="14" a="1"/>
  <c r="D113" i="14" s="1"/>
  <c r="C31" i="14" a="1"/>
  <c r="C31" i="14" s="1"/>
  <c r="E63" i="14" a="1"/>
  <c r="E63" i="14" s="1"/>
  <c r="E239" i="14" a="1"/>
  <c r="E239" i="14" s="1"/>
  <c r="D154" i="14" a="1"/>
  <c r="D154" i="14" s="1"/>
  <c r="C72" i="14" a="1"/>
  <c r="C72" i="14" s="1"/>
  <c r="C79" i="14" a="1"/>
  <c r="C79" i="14" s="1"/>
  <c r="E42" i="14" a="1"/>
  <c r="E42" i="14" s="1"/>
  <c r="E218" i="14" a="1"/>
  <c r="E218" i="14" s="1"/>
  <c r="D155" i="14" a="1"/>
  <c r="D155" i="14" s="1"/>
  <c r="C73" i="14" a="1"/>
  <c r="C73" i="14" s="1"/>
  <c r="C239" i="14" a="1"/>
  <c r="C239" i="14" s="1"/>
  <c r="C38" i="14" a="1"/>
  <c r="C38" i="14" s="1"/>
  <c r="E21" i="14" a="1"/>
  <c r="E21" i="14" s="1"/>
  <c r="E197" i="14" a="1"/>
  <c r="E197" i="14" s="1"/>
  <c r="D115" i="14" a="1"/>
  <c r="D115" i="14" s="1"/>
  <c r="C34" i="14" a="1"/>
  <c r="C34" i="14" s="1"/>
  <c r="D100" i="14" a="1"/>
  <c r="D100" i="14" s="1"/>
  <c r="E44" i="14" a="1"/>
  <c r="E44" i="14" s="1"/>
  <c r="E220" i="14" a="1"/>
  <c r="E220" i="14" s="1"/>
  <c r="D177" i="14" a="1"/>
  <c r="D177" i="14" s="1"/>
  <c r="C95" i="14" a="1"/>
  <c r="C95" i="14" s="1"/>
  <c r="C242" i="14" a="1"/>
  <c r="C242" i="14" s="1"/>
  <c r="E115" i="14" a="1"/>
  <c r="E115" i="14" s="1"/>
  <c r="E89" i="14" a="1"/>
  <c r="E89" i="14" s="1"/>
  <c r="D16" i="14" a="1"/>
  <c r="D16" i="14" s="1"/>
  <c r="D178" i="14" a="1"/>
  <c r="D178" i="14" s="1"/>
  <c r="C116" i="14" a="1"/>
  <c r="C116" i="14" s="1"/>
  <c r="D39" i="14" a="1"/>
  <c r="D39" i="14" s="1"/>
  <c r="C166" i="14" a="1"/>
  <c r="C166" i="14" s="1"/>
  <c r="E178" i="14" a="1"/>
  <c r="E178" i="14" s="1"/>
  <c r="D118" i="14" a="1"/>
  <c r="D118" i="14" s="1"/>
  <c r="C57" i="14" a="1"/>
  <c r="C57" i="14" s="1"/>
  <c r="E246" i="14" a="1"/>
  <c r="E246" i="14" s="1"/>
  <c r="E25" i="14" a="1"/>
  <c r="E25" i="14" s="1"/>
  <c r="E201" i="14" a="1"/>
  <c r="E201" i="14" s="1"/>
  <c r="D119" i="14" a="1"/>
  <c r="D119" i="14" s="1"/>
  <c r="C58" i="14" a="1"/>
  <c r="C58" i="14" s="1"/>
  <c r="C244" i="14" a="1"/>
  <c r="C244" i="14" s="1"/>
  <c r="M10" i="15"/>
  <c r="AB5" i="15" a="1"/>
  <c r="AB5" i="15" s="1"/>
  <c r="AD5" i="15" a="1"/>
  <c r="AD5" i="15" s="1"/>
  <c r="X5" i="15" a="1"/>
  <c r="X5" i="15" s="1"/>
  <c r="AG5" i="15" a="1"/>
  <c r="AG5" i="15" s="1"/>
  <c r="AF5" i="15" a="1"/>
  <c r="AF5" i="15" s="1"/>
  <c r="D126" i="14" a="1"/>
  <c r="D126" i="14" s="1"/>
  <c r="E26" i="14" a="1"/>
  <c r="E26" i="14" s="1"/>
  <c r="D223" i="14" a="1"/>
  <c r="D223" i="14" s="1"/>
  <c r="E157" i="14" a="1"/>
  <c r="E157" i="14" s="1"/>
  <c r="D78" i="14" a="1"/>
  <c r="D78" i="14" s="1"/>
  <c r="E67" i="14" a="1"/>
  <c r="E67" i="14" s="1"/>
  <c r="C14" i="14" a="1"/>
  <c r="C14" i="14" s="1"/>
  <c r="E196" i="14" a="1"/>
  <c r="E196" i="14" s="1"/>
  <c r="D72" i="14" a="1"/>
  <c r="D72" i="14" s="1"/>
  <c r="D171" i="14" a="1"/>
  <c r="D171" i="14" s="1"/>
  <c r="C27" i="14" a="1"/>
  <c r="C27" i="14" s="1"/>
  <c r="E145" i="14" a="1"/>
  <c r="E145" i="14" s="1"/>
  <c r="C24" i="14" a="1"/>
  <c r="C24" i="14" s="1"/>
  <c r="C183" i="14" a="1"/>
  <c r="C183" i="14" s="1"/>
  <c r="D101" i="14" a="1"/>
  <c r="D101" i="14" s="1"/>
  <c r="C222" i="14" a="1"/>
  <c r="C222" i="14" s="1"/>
  <c r="D201" i="14" a="1"/>
  <c r="D201" i="14" s="1"/>
  <c r="C25" i="14" a="1"/>
  <c r="C25" i="14" s="1"/>
  <c r="E156" i="14" a="1"/>
  <c r="E156" i="14" s="1"/>
  <c r="C201" i="14" a="1"/>
  <c r="C201" i="14" s="1"/>
  <c r="D95" i="14" a="1"/>
  <c r="D95" i="14" s="1"/>
  <c r="E20" i="14" a="1"/>
  <c r="E20" i="14" s="1"/>
  <c r="E150" i="14" a="1"/>
  <c r="E150" i="14" s="1"/>
  <c r="E236" i="14" a="1"/>
  <c r="E236" i="14" s="1"/>
  <c r="D69" i="14" a="1"/>
  <c r="D69" i="14" s="1"/>
  <c r="C209" i="14" a="1"/>
  <c r="C209" i="14" s="1"/>
  <c r="D65" i="14" a="1"/>
  <c r="D65" i="14" s="1"/>
  <c r="C204" i="14" a="1"/>
  <c r="C204" i="14" s="1"/>
  <c r="AE5" i="15" a="1"/>
  <c r="AE5" i="15" s="1"/>
  <c r="S5" i="15" a="1"/>
  <c r="S5" i="15" s="1"/>
  <c r="AC5" i="15" a="1"/>
  <c r="AC5" i="15" s="1"/>
  <c r="E181" i="14" a="1"/>
  <c r="E181" i="14" s="1"/>
  <c r="C200" i="14" a="1"/>
  <c r="C200" i="14" s="1"/>
  <c r="D180" i="14" a="1"/>
  <c r="D180" i="14" s="1"/>
  <c r="C120" i="14" a="1"/>
  <c r="C120" i="14" s="1"/>
  <c r="E134" i="14" a="1"/>
  <c r="E134" i="14" s="1"/>
  <c r="C241" i="14" a="1"/>
  <c r="C241" i="14" s="1"/>
  <c r="E175" i="14" a="1"/>
  <c r="E175" i="14" s="1"/>
  <c r="C238" i="14" a="1"/>
  <c r="C238" i="14" s="1"/>
  <c r="D86" i="14" a="1"/>
  <c r="D86" i="14" s="1"/>
  <c r="E60" i="14" a="1"/>
  <c r="E60" i="14" s="1"/>
  <c r="E124" i="14" a="1"/>
  <c r="E124" i="14" s="1"/>
  <c r="C46" i="14" a="1"/>
  <c r="C46" i="14" s="1"/>
  <c r="E142" i="14" a="1"/>
  <c r="E142" i="14" s="1"/>
  <c r="C179" i="14" a="1"/>
  <c r="C179" i="14" s="1"/>
  <c r="E114" i="14" a="1"/>
  <c r="E114" i="14" s="1"/>
  <c r="C75" i="14" a="1"/>
  <c r="C75" i="14" s="1"/>
  <c r="C65" i="14" a="1"/>
  <c r="C65" i="14" s="1"/>
  <c r="C52" i="14" a="1"/>
  <c r="C52" i="14" s="1"/>
  <c r="D215" i="14" a="1"/>
  <c r="D215" i="14" s="1"/>
  <c r="C190" i="14" a="1"/>
  <c r="C190" i="14" s="1"/>
  <c r="D203" i="14" a="1"/>
  <c r="D203" i="14" s="1"/>
  <c r="D107" i="14" a="1"/>
  <c r="D107" i="14" s="1"/>
  <c r="C229" i="14" a="1"/>
  <c r="C229" i="14" s="1"/>
  <c r="C23" i="20"/>
  <c r="H99" i="20"/>
  <c r="D99" i="14" a="1"/>
  <c r="D99" i="14" s="1"/>
  <c r="C247" i="14" a="1"/>
  <c r="C247" i="14" s="1"/>
  <c r="R5" i="15" a="1"/>
  <c r="R5" i="15" s="1"/>
  <c r="U5" i="15" a="1"/>
  <c r="U5" i="15" s="1"/>
  <c r="B37" i="20"/>
  <c r="C139" i="14" a="1"/>
  <c r="C139" i="14" s="1"/>
  <c r="C138" i="14" a="1"/>
  <c r="C138" i="14" s="1"/>
  <c r="D79" i="14" a="1"/>
  <c r="D79" i="14" s="1"/>
  <c r="C221" i="14" a="1"/>
  <c r="C221" i="14" s="1"/>
  <c r="E158" i="14" a="1"/>
  <c r="E158" i="14" s="1"/>
  <c r="D157" i="14" a="1"/>
  <c r="D157" i="14" s="1"/>
  <c r="D140" i="14" a="1"/>
  <c r="D140" i="14" s="1"/>
  <c r="D134" i="14" a="1"/>
  <c r="D134" i="14" s="1"/>
  <c r="D51" i="14" a="1"/>
  <c r="D51" i="14" s="1"/>
  <c r="E169" i="14" a="1"/>
  <c r="E169" i="14" s="1"/>
  <c r="C8" i="14" a="1"/>
  <c r="C8" i="14" s="1"/>
  <c r="E166" i="14" a="1"/>
  <c r="E166" i="14" s="1"/>
  <c r="C184" i="14" a="1"/>
  <c r="C184" i="14" s="1"/>
  <c r="V5" i="15" a="1"/>
  <c r="V5" i="15" s="1"/>
  <c r="C118" i="14" a="1"/>
  <c r="C118" i="14" s="1"/>
  <c r="D38" i="14" a="1"/>
  <c r="D38" i="14" s="1"/>
  <c r="C37" i="14" a="1"/>
  <c r="C37" i="14" s="1"/>
  <c r="C96" i="14" a="1"/>
  <c r="C96" i="14" s="1"/>
  <c r="E198" i="14" a="1"/>
  <c r="E198" i="14" s="1"/>
  <c r="C217" i="14" a="1"/>
  <c r="C217" i="14" s="1"/>
  <c r="E217" i="14" a="1"/>
  <c r="E217" i="14" s="1"/>
  <c r="E127" i="14" a="1"/>
  <c r="E127" i="14" s="1"/>
  <c r="D167" i="14" a="1"/>
  <c r="D167" i="14" s="1"/>
  <c r="C188" i="14" a="1"/>
  <c r="C188" i="14" s="1"/>
  <c r="C253" i="14" a="1"/>
  <c r="C253" i="14" s="1"/>
  <c r="D229" i="14" a="1"/>
  <c r="D229" i="14" s="1"/>
  <c r="D249" i="14" a="1"/>
  <c r="D249" i="14" s="1"/>
  <c r="E53" i="14" a="1"/>
  <c r="E53" i="14" s="1"/>
  <c r="C42" i="14" a="1"/>
  <c r="C42" i="14" s="1"/>
  <c r="D43" i="14" a="1"/>
  <c r="D43" i="14" s="1"/>
  <c r="H618" i="21"/>
  <c r="D82" i="14" a="1"/>
  <c r="D82" i="14" s="1"/>
  <c r="D228" i="14" a="1"/>
  <c r="D228" i="14" s="1"/>
  <c r="D103" i="14" a="1"/>
  <c r="D103" i="14" s="1"/>
  <c r="C250" i="14" a="1"/>
  <c r="C250" i="14" s="1"/>
  <c r="C63" i="14" a="1"/>
  <c r="C63" i="14" s="1"/>
  <c r="D125" i="14" a="1"/>
  <c r="D125" i="14" s="1"/>
  <c r="E163" i="14" a="1"/>
  <c r="E163" i="14" s="1"/>
  <c r="C207" i="14" a="1"/>
  <c r="C207" i="14" s="1"/>
  <c r="D23" i="14" a="1"/>
  <c r="D23" i="14" s="1"/>
  <c r="D84" i="14" a="1"/>
  <c r="D84" i="14" s="1"/>
  <c r="E141" i="14" a="1"/>
  <c r="E141" i="14" s="1"/>
  <c r="C227" i="14" a="1"/>
  <c r="C227" i="14" s="1"/>
  <c r="E250" i="14" a="1"/>
  <c r="E250" i="14" s="1"/>
  <c r="D163" i="14" a="1"/>
  <c r="D163" i="14" s="1"/>
  <c r="E204" i="14" a="1"/>
  <c r="E204" i="14" s="1"/>
  <c r="C99" i="23"/>
  <c r="C91" i="23"/>
  <c r="C81" i="23"/>
  <c r="C203" i="14" a="1"/>
  <c r="C203" i="14" s="1"/>
  <c r="C98" i="23"/>
  <c r="C90" i="23"/>
  <c r="C80" i="23"/>
  <c r="E184" i="14" a="1"/>
  <c r="E184" i="14" s="1"/>
  <c r="C182" i="14" a="1"/>
  <c r="C182" i="14" s="1"/>
  <c r="C40" i="14" a="1"/>
  <c r="C40" i="14" s="1"/>
  <c r="C97" i="23"/>
  <c r="C89" i="23"/>
  <c r="D206" i="14" a="1"/>
  <c r="D206" i="14" s="1"/>
  <c r="E162" i="14" a="1"/>
  <c r="E162" i="14" s="1"/>
  <c r="C102" i="14" a="1"/>
  <c r="C102" i="14" s="1"/>
  <c r="D122" i="14" a="1"/>
  <c r="D122" i="14" s="1"/>
  <c r="C96" i="23"/>
  <c r="C88" i="23"/>
  <c r="E31" i="14" a="1"/>
  <c r="E31" i="14" s="1"/>
  <c r="C163" i="14" a="1"/>
  <c r="C163" i="14" s="1"/>
  <c r="D184" i="14" a="1"/>
  <c r="D184" i="14" s="1"/>
  <c r="E118" i="14" a="1"/>
  <c r="E118" i="14" s="1"/>
  <c r="C21" i="14" a="1"/>
  <c r="C21" i="14" s="1"/>
  <c r="E182" i="14" a="1"/>
  <c r="E182" i="14" s="1"/>
  <c r="C95" i="23"/>
  <c r="C86" i="23"/>
  <c r="C23" i="14" a="1"/>
  <c r="C23" i="14" s="1"/>
  <c r="D104" i="14" a="1"/>
  <c r="D104" i="14" s="1"/>
  <c r="E185" i="14" a="1"/>
  <c r="E185" i="14" s="1"/>
  <c r="E9" i="14" a="1"/>
  <c r="E9" i="14" s="1"/>
  <c r="C143" i="14" a="1"/>
  <c r="C143" i="14" s="1"/>
  <c r="D124" i="14" a="1"/>
  <c r="D124" i="14" s="1"/>
  <c r="E96" i="14" a="1"/>
  <c r="E96" i="14" s="1"/>
  <c r="C102" i="23"/>
  <c r="C94" i="23"/>
  <c r="C85" i="23"/>
  <c r="C123" i="14" a="1"/>
  <c r="C123" i="14" s="1"/>
  <c r="D83" i="14" a="1"/>
  <c r="D83" i="14" s="1"/>
  <c r="E74" i="14" a="1"/>
  <c r="E74" i="14" s="1"/>
  <c r="C101" i="23"/>
  <c r="C93" i="23"/>
  <c r="C83" i="23"/>
  <c r="G75" i="23"/>
  <c r="H643" i="21"/>
  <c r="D187" i="14" a="1"/>
  <c r="D187" i="14" s="1"/>
  <c r="E72" i="14" a="1"/>
  <c r="E72" i="14" s="1"/>
  <c r="C100" i="23"/>
  <c r="C92" i="23"/>
  <c r="C82" i="23"/>
  <c r="D75" i="23"/>
  <c r="C77" i="23"/>
  <c r="F405" i="21"/>
  <c r="H179" i="21"/>
  <c r="C169" i="20"/>
  <c r="C198" i="20"/>
  <c r="C683" i="20"/>
  <c r="C427" i="20"/>
  <c r="C386" i="20"/>
  <c r="C654" i="20"/>
  <c r="C529" i="20"/>
  <c r="C713" i="20"/>
  <c r="C612" i="20"/>
  <c r="C924" i="20"/>
  <c r="C230" i="20"/>
  <c r="C868" i="20"/>
  <c r="C311" i="20"/>
  <c r="C796" i="20"/>
  <c r="C737" i="20"/>
  <c r="C137" i="20"/>
  <c r="C762" i="20"/>
  <c r="C832" i="20"/>
  <c r="C279" i="20"/>
  <c r="C495" i="20"/>
  <c r="C108" i="20"/>
  <c r="C461" i="20"/>
  <c r="C348" i="20"/>
  <c r="C569" i="20"/>
  <c r="C47" i="20"/>
  <c r="C901" i="20"/>
  <c r="C76" i="20"/>
  <c r="G117" i="21"/>
  <c r="B303" i="20"/>
  <c r="H304" i="20"/>
  <c r="H379" i="20"/>
  <c r="C26" i="20"/>
  <c r="H341" i="20"/>
  <c r="H846" i="21"/>
  <c r="E118" i="21"/>
  <c r="F118" i="21" s="1"/>
  <c r="G871" i="21"/>
  <c r="G113" i="21"/>
  <c r="H622" i="21"/>
  <c r="H118" i="21"/>
  <c r="H120" i="21"/>
  <c r="H617" i="21"/>
  <c r="H649" i="21"/>
  <c r="H115" i="21"/>
  <c r="H619" i="21"/>
  <c r="G874" i="21"/>
  <c r="H116" i="21"/>
  <c r="G842" i="21"/>
  <c r="H874" i="21"/>
  <c r="H842" i="21"/>
  <c r="H877" i="21"/>
  <c r="E113" i="21"/>
  <c r="F113" i="21" s="1"/>
  <c r="D288" i="21"/>
  <c r="I756" i="20"/>
  <c r="I765" i="20" s="1"/>
  <c r="I31" i="20" s="1"/>
  <c r="B31" i="20" s="1"/>
  <c r="D292" i="21"/>
  <c r="I730" i="20"/>
  <c r="I740" i="20" s="1"/>
  <c r="I647" i="20"/>
  <c r="I657" i="20" s="1"/>
  <c r="I562" i="20"/>
  <c r="I572" i="20" s="1"/>
  <c r="D256" i="21"/>
  <c r="I35" i="20"/>
  <c r="I522" i="20"/>
  <c r="I532" i="20" s="1"/>
  <c r="D273" i="21"/>
  <c r="D290" i="21"/>
  <c r="C269" i="21"/>
  <c r="D271" i="21"/>
  <c r="D310" i="21"/>
  <c r="F310" i="21" s="1"/>
  <c r="D257" i="21"/>
  <c r="D278" i="21"/>
  <c r="D270" i="21"/>
  <c r="D277" i="21"/>
  <c r="D284" i="21"/>
  <c r="D276" i="21"/>
  <c r="D296" i="21"/>
  <c r="D262" i="21"/>
  <c r="D275" i="21"/>
  <c r="D294" i="21"/>
  <c r="B38" i="16"/>
  <c r="C794" i="20" a="1"/>
  <c r="C794" i="20" s="1"/>
  <c r="C830" i="20"/>
  <c r="L83" i="16"/>
  <c r="I696" i="20"/>
  <c r="E177" i="20"/>
  <c r="D696" i="20"/>
  <c r="E319" i="20"/>
  <c r="G620" i="20"/>
  <c r="E116" i="20"/>
  <c r="D662" i="20"/>
  <c r="E55" i="20"/>
  <c r="E394" i="20"/>
  <c r="G577" i="20"/>
  <c r="E810" i="20"/>
  <c r="E846" i="20"/>
  <c r="E357" i="20"/>
  <c r="D691" i="20"/>
  <c r="D250" i="14" a="1"/>
  <c r="D250" i="14" s="1"/>
  <c r="D63" i="14" a="1"/>
  <c r="D63" i="14" s="1"/>
  <c r="E140" i="14" a="1"/>
  <c r="E140" i="14" s="1"/>
  <c r="C248" i="14" a="1"/>
  <c r="C248" i="14" s="1"/>
  <c r="C61" i="14" a="1"/>
  <c r="C61" i="14" s="1"/>
  <c r="D143" i="14" a="1"/>
  <c r="D143" i="14" s="1"/>
  <c r="E227" i="14" a="1"/>
  <c r="E227" i="14" s="1"/>
  <c r="E51" i="14" a="1"/>
  <c r="E51" i="14" s="1"/>
  <c r="C101" i="14" a="1"/>
  <c r="C101" i="14" s="1"/>
  <c r="D182" i="14" a="1"/>
  <c r="D182" i="14" s="1"/>
  <c r="E248" i="14" a="1"/>
  <c r="E248" i="14" s="1"/>
  <c r="E50" i="14" a="1"/>
  <c r="E50" i="14" s="1"/>
  <c r="G46" i="21"/>
  <c r="H114" i="21"/>
  <c r="G184" i="21"/>
  <c r="H191" i="21"/>
  <c r="F193" i="21"/>
  <c r="H212" i="21"/>
  <c r="H218" i="21"/>
  <c r="G239" i="21"/>
  <c r="G359" i="21"/>
  <c r="F411" i="21"/>
  <c r="H425" i="21"/>
  <c r="G435" i="21"/>
  <c r="G436" i="21" s="1"/>
  <c r="G482" i="21"/>
  <c r="F486" i="21"/>
  <c r="F582" i="21"/>
  <c r="G617" i="21"/>
  <c r="G652" i="21"/>
  <c r="F808" i="21"/>
  <c r="G826" i="21"/>
  <c r="H849" i="21"/>
  <c r="F844" i="21"/>
  <c r="G877" i="21"/>
  <c r="E909" i="21"/>
  <c r="F909" i="21" s="1"/>
  <c r="C41" i="14" a="1"/>
  <c r="C41" i="14" s="1"/>
  <c r="D123" i="14" a="1"/>
  <c r="D123" i="14" s="1"/>
  <c r="E205" i="14" a="1"/>
  <c r="E205" i="14" s="1"/>
  <c r="E29" i="14" a="1"/>
  <c r="E29" i="14" s="1"/>
  <c r="C81" i="14" a="1"/>
  <c r="C81" i="14" s="1"/>
  <c r="D162" i="14" a="1"/>
  <c r="D162" i="14" s="1"/>
  <c r="E226" i="14" a="1"/>
  <c r="E226" i="14" s="1"/>
  <c r="E6" i="14" a="1"/>
  <c r="E6" i="14" s="1"/>
  <c r="H47" i="21"/>
  <c r="G52" i="21"/>
  <c r="E44" i="21"/>
  <c r="F44" i="21" s="1"/>
  <c r="E114" i="21"/>
  <c r="F114" i="21" s="1"/>
  <c r="H185" i="21"/>
  <c r="F186" i="21"/>
  <c r="G370" i="21"/>
  <c r="G410" i="21"/>
  <c r="F410" i="21"/>
  <c r="G491" i="21"/>
  <c r="E652" i="21"/>
  <c r="F652" i="21" s="1"/>
  <c r="E183" i="14" a="1"/>
  <c r="E183" i="14" s="1"/>
  <c r="E7" i="14" a="1"/>
  <c r="E7" i="14" s="1"/>
  <c r="C60" i="14" a="1"/>
  <c r="C60" i="14" s="1"/>
  <c r="D142" i="14" a="1"/>
  <c r="D142" i="14" s="1"/>
  <c r="H48" i="21"/>
  <c r="H153" i="21"/>
  <c r="H491" i="21"/>
  <c r="G619" i="21"/>
  <c r="E645" i="21"/>
  <c r="F645" i="21" s="1"/>
  <c r="F813" i="21"/>
  <c r="G841" i="21"/>
  <c r="E849" i="21"/>
  <c r="F849" i="21" s="1"/>
  <c r="E94" i="14" a="1"/>
  <c r="E94" i="14" s="1"/>
  <c r="F491" i="21"/>
  <c r="C249" i="14" a="1"/>
  <c r="C249" i="14" s="1"/>
  <c r="C82" i="14" a="1"/>
  <c r="C82" i="14" s="1"/>
  <c r="D164" i="14" a="1"/>
  <c r="D164" i="14" s="1"/>
  <c r="E228" i="14" a="1"/>
  <c r="E228" i="14" s="1"/>
  <c r="E52" i="14" a="1"/>
  <c r="E52" i="14" s="1"/>
  <c r="C162" i="14" a="1"/>
  <c r="C162" i="14" s="1"/>
  <c r="D227" i="14" a="1"/>
  <c r="D227" i="14" s="1"/>
  <c r="D62" i="14" a="1"/>
  <c r="D62" i="14" s="1"/>
  <c r="E139" i="14" a="1"/>
  <c r="E139" i="14" s="1"/>
  <c r="C181" i="14" a="1"/>
  <c r="C181" i="14" s="1"/>
  <c r="C20" i="14" a="1"/>
  <c r="C20" i="14" s="1"/>
  <c r="D102" i="14" a="1"/>
  <c r="D102" i="14" s="1"/>
  <c r="E160" i="14" a="1"/>
  <c r="E160" i="14" s="1"/>
  <c r="D380" i="21"/>
  <c r="G53" i="21"/>
  <c r="H117" i="21"/>
  <c r="H236" i="21"/>
  <c r="F357" i="21"/>
  <c r="F434" i="21"/>
  <c r="F490" i="21"/>
  <c r="F482" i="21"/>
  <c r="G597" i="21"/>
  <c r="G645" i="21"/>
  <c r="H873" i="21"/>
  <c r="C62" i="14" a="1"/>
  <c r="C62" i="14" s="1"/>
  <c r="D144" i="14" a="1"/>
  <c r="D144" i="14" s="1"/>
  <c r="E206" i="14" a="1"/>
  <c r="E206" i="14" s="1"/>
  <c r="E30" i="14" a="1"/>
  <c r="E30" i="14" s="1"/>
  <c r="C142" i="14" a="1"/>
  <c r="C142" i="14" s="1"/>
  <c r="D205" i="14" a="1"/>
  <c r="D205" i="14" s="1"/>
  <c r="D42" i="14" a="1"/>
  <c r="D42" i="14" s="1"/>
  <c r="E117" i="14" a="1"/>
  <c r="E117" i="14" s="1"/>
  <c r="C161" i="14" a="1"/>
  <c r="C161" i="14" s="1"/>
  <c r="D248" i="14" a="1"/>
  <c r="D248" i="14" s="1"/>
  <c r="D61" i="14" a="1"/>
  <c r="D61" i="14" s="1"/>
  <c r="E138" i="14" a="1"/>
  <c r="E138" i="14" s="1"/>
  <c r="G44" i="21"/>
  <c r="G50" i="21"/>
  <c r="G189" i="21"/>
  <c r="F182" i="21"/>
  <c r="H223" i="21"/>
  <c r="F216" i="21"/>
  <c r="H242" i="21"/>
  <c r="F241" i="21"/>
  <c r="H459" i="21"/>
  <c r="H460" i="21" s="1"/>
  <c r="F489" i="21"/>
  <c r="H502" i="21"/>
  <c r="G600" i="21"/>
  <c r="H648" i="21"/>
  <c r="G845" i="21"/>
  <c r="G873" i="21"/>
  <c r="F918" i="21"/>
  <c r="E8" i="14" a="1"/>
  <c r="E8" i="14" s="1"/>
  <c r="C122" i="14" a="1"/>
  <c r="C122" i="14" s="1"/>
  <c r="D183" i="14" a="1"/>
  <c r="D183" i="14" s="1"/>
  <c r="D22" i="14" a="1"/>
  <c r="D22" i="14" s="1"/>
  <c r="E95" i="14" a="1"/>
  <c r="E95" i="14" s="1"/>
  <c r="C141" i="14" a="1"/>
  <c r="C141" i="14" s="1"/>
  <c r="D226" i="14" a="1"/>
  <c r="D226" i="14" s="1"/>
  <c r="D41" i="14" a="1"/>
  <c r="D41" i="14" s="1"/>
  <c r="E116" i="14" a="1"/>
  <c r="E116" i="14" s="1"/>
  <c r="F153" i="21"/>
  <c r="G215" i="21"/>
  <c r="G368" i="21"/>
  <c r="G378" i="21"/>
  <c r="F393" i="21"/>
  <c r="G408" i="21"/>
  <c r="H434" i="21"/>
  <c r="H436" i="21" s="1"/>
  <c r="G579" i="21"/>
  <c r="F584" i="21"/>
  <c r="H600" i="21"/>
  <c r="H616" i="21"/>
  <c r="G622" i="21"/>
  <c r="H717" i="21"/>
  <c r="F717" i="21"/>
  <c r="H804" i="21"/>
  <c r="G822" i="21"/>
  <c r="E249" i="14" a="1"/>
  <c r="E249" i="14" s="1"/>
  <c r="E73" i="14" a="1"/>
  <c r="E73" i="14" s="1"/>
  <c r="C121" i="14" a="1"/>
  <c r="C121" i="14" s="1"/>
  <c r="D204" i="14" a="1"/>
  <c r="D204" i="14" s="1"/>
  <c r="D21" i="14" a="1"/>
  <c r="D21" i="14" s="1"/>
  <c r="F52" i="21"/>
  <c r="H89" i="21"/>
  <c r="H184" i="21"/>
  <c r="H211" i="21"/>
  <c r="F207" i="21"/>
  <c r="H243" i="21"/>
  <c r="F239" i="21"/>
  <c r="H517" i="21"/>
  <c r="H525" i="21"/>
  <c r="H533" i="21"/>
  <c r="H587" i="21"/>
  <c r="H909" i="21"/>
  <c r="D450" i="21"/>
  <c r="D474" i="21"/>
  <c r="G504" i="21"/>
  <c r="E59" i="22" s="1"/>
  <c r="H101" i="23" s="1"/>
  <c r="X80" i="23" s="1"/>
  <c r="F180" i="21"/>
  <c r="F512" i="21"/>
  <c r="F919" i="21"/>
  <c r="F374" i="21"/>
  <c r="F485" i="21"/>
  <c r="L103" i="16"/>
  <c r="L101" i="16" s="1"/>
  <c r="H30" i="16" s="1"/>
  <c r="B30" i="16" s="1"/>
  <c r="I260" i="20"/>
  <c r="L89" i="16"/>
  <c r="I789" i="20"/>
  <c r="I799" i="20" s="1"/>
  <c r="D260" i="21"/>
  <c r="D33" i="21"/>
  <c r="G33" i="21" s="1"/>
  <c r="C918" i="21"/>
  <c r="H51" i="21"/>
  <c r="G51" i="21"/>
  <c r="H97" i="21"/>
  <c r="G180" i="21"/>
  <c r="H186" i="21"/>
  <c r="F183" i="21"/>
  <c r="H208" i="21"/>
  <c r="G208" i="21"/>
  <c r="H213" i="21"/>
  <c r="F213" i="21"/>
  <c r="F222" i="21"/>
  <c r="F209" i="21"/>
  <c r="F372" i="21"/>
  <c r="F395" i="21"/>
  <c r="F422" i="21"/>
  <c r="F484" i="21"/>
  <c r="F492" i="21"/>
  <c r="H584" i="21"/>
  <c r="E601" i="21"/>
  <c r="F601" i="21" s="1"/>
  <c r="G601" i="21"/>
  <c r="G621" i="21"/>
  <c r="G651" i="21"/>
  <c r="D29" i="21"/>
  <c r="H29" i="21" s="1"/>
  <c r="F62" i="21"/>
  <c r="G97" i="21"/>
  <c r="G115" i="21"/>
  <c r="G120" i="21"/>
  <c r="H180" i="21"/>
  <c r="F184" i="21"/>
  <c r="F214" i="21"/>
  <c r="F217" i="21"/>
  <c r="F238" i="21"/>
  <c r="F368" i="21"/>
  <c r="H372" i="21"/>
  <c r="F376" i="21"/>
  <c r="H423" i="21"/>
  <c r="F423" i="21"/>
  <c r="H484" i="21"/>
  <c r="H487" i="21"/>
  <c r="F483" i="21"/>
  <c r="H601" i="21"/>
  <c r="H621" i="21"/>
  <c r="H651" i="21"/>
  <c r="H810" i="21"/>
  <c r="G810" i="21"/>
  <c r="F810" i="21"/>
  <c r="E28" i="14" a="1"/>
  <c r="E28" i="14" s="1"/>
  <c r="F46" i="21"/>
  <c r="F48" i="21"/>
  <c r="H181" i="21"/>
  <c r="F181" i="21"/>
  <c r="G188" i="21"/>
  <c r="H198" i="21"/>
  <c r="F187" i="21"/>
  <c r="G485" i="21"/>
  <c r="F623" i="21"/>
  <c r="F617" i="21"/>
  <c r="C309" i="21"/>
  <c r="C667" i="21"/>
  <c r="D35" i="21"/>
  <c r="F35" i="21" s="1"/>
  <c r="E49" i="21"/>
  <c r="F49" i="21" s="1"/>
  <c r="F185" i="21"/>
  <c r="G198" i="21"/>
  <c r="F179" i="21"/>
  <c r="F225" i="21"/>
  <c r="H234" i="21"/>
  <c r="F234" i="21"/>
  <c r="G238" i="21"/>
  <c r="H395" i="21"/>
  <c r="F391" i="21"/>
  <c r="H485" i="21"/>
  <c r="G582" i="21"/>
  <c r="F587" i="21"/>
  <c r="H597" i="21"/>
  <c r="E598" i="21"/>
  <c r="F598" i="21" s="1"/>
  <c r="H598" i="21"/>
  <c r="H812" i="21"/>
  <c r="G812" i="21"/>
  <c r="L95" i="16"/>
  <c r="I895" i="20"/>
  <c r="I904" i="20" s="1"/>
  <c r="I33" i="20" s="1"/>
  <c r="B33" i="20" s="1"/>
  <c r="H121" i="21"/>
  <c r="G121" i="21"/>
  <c r="H194" i="21"/>
  <c r="F211" i="21"/>
  <c r="H412" i="21"/>
  <c r="G412" i="21"/>
  <c r="F487" i="21"/>
  <c r="H583" i="21"/>
  <c r="E603" i="21"/>
  <c r="F603" i="21" s="1"/>
  <c r="G603" i="21"/>
  <c r="H623" i="21"/>
  <c r="H207" i="21"/>
  <c r="G207" i="21"/>
  <c r="F396" i="21"/>
  <c r="G396" i="21"/>
  <c r="G650" i="21"/>
  <c r="E650" i="21"/>
  <c r="F650" i="21" s="1"/>
  <c r="H650" i="21"/>
  <c r="G47" i="21"/>
  <c r="G62" i="21"/>
  <c r="G63" i="21" s="1"/>
  <c r="H96" i="21"/>
  <c r="G186" i="21"/>
  <c r="H190" i="21"/>
  <c r="F208" i="21"/>
  <c r="G213" i="21"/>
  <c r="G217" i="21"/>
  <c r="G223" i="21"/>
  <c r="G357" i="21"/>
  <c r="F370" i="21"/>
  <c r="G393" i="21"/>
  <c r="H422" i="21"/>
  <c r="F425" i="21"/>
  <c r="H486" i="21"/>
  <c r="G489" i="21"/>
  <c r="F503" i="21"/>
  <c r="H624" i="21"/>
  <c r="F624" i="21"/>
  <c r="F620" i="21"/>
  <c r="H644" i="21"/>
  <c r="G644" i="21"/>
  <c r="H813" i="21"/>
  <c r="E821" i="21"/>
  <c r="F821" i="21" s="1"/>
  <c r="H844" i="21"/>
  <c r="H850" i="21"/>
  <c r="H876" i="21"/>
  <c r="F873" i="21"/>
  <c r="G918" i="21"/>
  <c r="D851" i="21"/>
  <c r="C277" i="21"/>
  <c r="C273" i="21"/>
  <c r="D287" i="21"/>
  <c r="D289" i="21"/>
  <c r="C253" i="21"/>
  <c r="I253" i="21" s="1" a="1"/>
  <c r="I253" i="21" s="1"/>
  <c r="E253" i="21" s="1"/>
  <c r="F253" i="21" s="1"/>
  <c r="F220" i="21"/>
  <c r="G244" i="21"/>
  <c r="F412" i="21"/>
  <c r="F435" i="21"/>
  <c r="F579" i="21"/>
  <c r="E872" i="21"/>
  <c r="F872" i="21" s="1"/>
  <c r="C261" i="21"/>
  <c r="I261" i="21" s="1" a="1"/>
  <c r="I261" i="21" s="1"/>
  <c r="E261" i="21" s="1"/>
  <c r="F261" i="21" s="1"/>
  <c r="D606" i="21"/>
  <c r="D831" i="21"/>
  <c r="C276" i="21"/>
  <c r="C272" i="21"/>
  <c r="D295" i="21"/>
  <c r="D309" i="21"/>
  <c r="H309" i="21" s="1"/>
  <c r="C258" i="21"/>
  <c r="I258" i="21" s="1" a="1"/>
  <c r="I258" i="21" s="1"/>
  <c r="E258" i="21" s="1"/>
  <c r="F806" i="21"/>
  <c r="H823" i="21"/>
  <c r="C255" i="21"/>
  <c r="I255" i="21" s="1" a="1"/>
  <c r="I255" i="21" s="1"/>
  <c r="E255" i="21" s="1"/>
  <c r="D30" i="21"/>
  <c r="G30" i="21" s="1"/>
  <c r="G95" i="21"/>
  <c r="H196" i="21"/>
  <c r="F195" i="21"/>
  <c r="F224" i="21"/>
  <c r="H237" i="21"/>
  <c r="H241" i="21"/>
  <c r="F332" i="21"/>
  <c r="F424" i="21"/>
  <c r="F459" i="21"/>
  <c r="H521" i="21"/>
  <c r="G583" i="21"/>
  <c r="G804" i="21"/>
  <c r="H811" i="21"/>
  <c r="G869" i="21"/>
  <c r="E876" i="21"/>
  <c r="F876" i="21" s="1"/>
  <c r="H893" i="21"/>
  <c r="H894" i="21" s="1"/>
  <c r="D653" i="21"/>
  <c r="D269" i="21"/>
  <c r="C275" i="21"/>
  <c r="C271" i="21"/>
  <c r="D293" i="21"/>
  <c r="C293" i="21"/>
  <c r="I293" i="21" s="1" a="1"/>
  <c r="I293" i="21" s="1"/>
  <c r="E293" i="21" s="1"/>
  <c r="H808" i="21"/>
  <c r="G825" i="21"/>
  <c r="E823" i="21"/>
  <c r="F823" i="21" s="1"/>
  <c r="E847" i="21"/>
  <c r="F847" i="21" s="1"/>
  <c r="H869" i="21"/>
  <c r="G968" i="21"/>
  <c r="C278" i="21"/>
  <c r="C274" i="21"/>
  <c r="C270" i="21"/>
  <c r="D291" i="21"/>
  <c r="G813" i="21"/>
  <c r="H826" i="21"/>
  <c r="G844" i="21"/>
  <c r="G850" i="21"/>
  <c r="D878" i="21"/>
  <c r="D63" i="21"/>
  <c r="F61" i="21"/>
  <c r="C206" i="20"/>
  <c r="D255" i="21"/>
  <c r="D28" i="21"/>
  <c r="H371" i="21"/>
  <c r="G371" i="21"/>
  <c r="F371" i="21"/>
  <c r="H388" i="21"/>
  <c r="G388" i="21"/>
  <c r="F388" i="21"/>
  <c r="E90" i="21"/>
  <c r="F90" i="21" s="1"/>
  <c r="H90" i="21"/>
  <c r="C974" i="21"/>
  <c r="C949" i="21"/>
  <c r="C928" i="21"/>
  <c r="I928" i="21" s="1" a="1"/>
  <c r="I928" i="21" s="1"/>
  <c r="E928" i="21" s="1"/>
  <c r="D902" i="21"/>
  <c r="D928" i="21"/>
  <c r="C902" i="21"/>
  <c r="I902" i="21" s="1" a="1"/>
  <c r="I902" i="21" s="1"/>
  <c r="E902" i="21" s="1"/>
  <c r="D974" i="21"/>
  <c r="D949" i="21"/>
  <c r="C310" i="21"/>
  <c r="C62" i="21"/>
  <c r="C919" i="21"/>
  <c r="C893" i="21"/>
  <c r="D567" i="21"/>
  <c r="D550" i="21"/>
  <c r="K54" i="16" a="1"/>
  <c r="K54" i="16" s="1"/>
  <c r="I38" i="20"/>
  <c r="I418" i="20"/>
  <c r="I430" i="20" s="1"/>
  <c r="D793" i="21"/>
  <c r="D776" i="21"/>
  <c r="D787" i="21"/>
  <c r="D770" i="21"/>
  <c r="D258" i="21"/>
  <c r="D31" i="21"/>
  <c r="E88" i="21"/>
  <c r="F88" i="21" s="1"/>
  <c r="H88" i="21"/>
  <c r="C324" i="21"/>
  <c r="I324" i="21" s="1" a="1"/>
  <c r="I324" i="21" s="1"/>
  <c r="E324" i="21" s="1"/>
  <c r="D324" i="21"/>
  <c r="H445" i="21"/>
  <c r="G445" i="21"/>
  <c r="F445" i="21"/>
  <c r="H464" i="21"/>
  <c r="G464" i="21"/>
  <c r="F464" i="21"/>
  <c r="D745" i="21"/>
  <c r="D719" i="21"/>
  <c r="D698" i="21"/>
  <c r="C673" i="21"/>
  <c r="I673" i="21" s="1" a="1"/>
  <c r="I673" i="21" s="1"/>
  <c r="E673" i="21" s="1"/>
  <c r="D673" i="21"/>
  <c r="C745" i="21"/>
  <c r="C719" i="21"/>
  <c r="C698" i="21"/>
  <c r="I698" i="21" s="1" a="1"/>
  <c r="I698" i="21" s="1"/>
  <c r="E698" i="21" s="1"/>
  <c r="D554" i="21"/>
  <c r="D571" i="21"/>
  <c r="D565" i="21"/>
  <c r="D548" i="21"/>
  <c r="I825" i="20"/>
  <c r="I835" i="20" s="1"/>
  <c r="L92" i="16"/>
  <c r="E86" i="21"/>
  <c r="F86" i="21" s="1"/>
  <c r="H86" i="21"/>
  <c r="C976" i="21"/>
  <c r="D976" i="21"/>
  <c r="C930" i="21"/>
  <c r="I930" i="21" s="1" a="1"/>
  <c r="I930" i="21" s="1"/>
  <c r="E930" i="21" s="1"/>
  <c r="D930" i="21"/>
  <c r="C904" i="21"/>
  <c r="I904" i="21" s="1" a="1"/>
  <c r="I904" i="21" s="1"/>
  <c r="E904" i="21" s="1"/>
  <c r="D904" i="21"/>
  <c r="C951" i="21"/>
  <c r="D951" i="21"/>
  <c r="C970" i="21"/>
  <c r="C945" i="21"/>
  <c r="C924" i="21"/>
  <c r="I924" i="21" s="1" a="1"/>
  <c r="I924" i="21" s="1"/>
  <c r="E924" i="21" s="1"/>
  <c r="D898" i="21"/>
  <c r="D970" i="21"/>
  <c r="D945" i="21"/>
  <c r="C898" i="21"/>
  <c r="I898" i="21" s="1" a="1"/>
  <c r="I898" i="21" s="1"/>
  <c r="E898" i="21" s="1"/>
  <c r="D924" i="21"/>
  <c r="H441" i="21"/>
  <c r="G441" i="21"/>
  <c r="F441" i="21"/>
  <c r="H447" i="21"/>
  <c r="G447" i="21"/>
  <c r="F447" i="21"/>
  <c r="H473" i="21"/>
  <c r="G473" i="21"/>
  <c r="F473" i="21"/>
  <c r="D680" i="21"/>
  <c r="C752" i="21"/>
  <c r="C726" i="21"/>
  <c r="C705" i="21"/>
  <c r="I705" i="21" s="1" a="1"/>
  <c r="I705" i="21" s="1"/>
  <c r="E705" i="21" s="1"/>
  <c r="D752" i="21"/>
  <c r="D726" i="21"/>
  <c r="D705" i="21"/>
  <c r="C680" i="21"/>
  <c r="I680" i="21" s="1" a="1"/>
  <c r="I680" i="21" s="1"/>
  <c r="E680" i="21" s="1"/>
  <c r="I861" i="20"/>
  <c r="I871" i="20" s="1"/>
  <c r="K38" i="16" a="1"/>
  <c r="K38" i="16" s="1"/>
  <c r="H439" i="21"/>
  <c r="G439" i="21"/>
  <c r="F439" i="21"/>
  <c r="H465" i="21"/>
  <c r="G465" i="21"/>
  <c r="F465" i="21"/>
  <c r="H471" i="21"/>
  <c r="G471" i="21"/>
  <c r="F471" i="21"/>
  <c r="C697" i="21"/>
  <c r="I697" i="21" s="1" a="1"/>
  <c r="I697" i="21" s="1"/>
  <c r="E697" i="21" s="1"/>
  <c r="D672" i="21"/>
  <c r="C672" i="21"/>
  <c r="I672" i="21" s="1" a="1"/>
  <c r="I672" i="21" s="1"/>
  <c r="E672" i="21" s="1"/>
  <c r="D744" i="21"/>
  <c r="D718" i="21"/>
  <c r="C744" i="21"/>
  <c r="C718" i="21"/>
  <c r="D697" i="21"/>
  <c r="D735" i="21"/>
  <c r="D761" i="21"/>
  <c r="D969" i="21"/>
  <c r="D944" i="21"/>
  <c r="C969" i="21"/>
  <c r="C944" i="21"/>
  <c r="D923" i="21"/>
  <c r="C897" i="21"/>
  <c r="I897" i="21" s="1" a="1"/>
  <c r="I897" i="21" s="1"/>
  <c r="E897" i="21" s="1"/>
  <c r="C923" i="21"/>
  <c r="I923" i="21" s="1" a="1"/>
  <c r="I923" i="21" s="1"/>
  <c r="E923" i="21" s="1"/>
  <c r="D986" i="21"/>
  <c r="D897" i="21"/>
  <c r="D961" i="21"/>
  <c r="D549" i="21"/>
  <c r="D566" i="21"/>
  <c r="D156" i="21"/>
  <c r="C316" i="21"/>
  <c r="I316" i="21" s="1" a="1"/>
  <c r="I316" i="21" s="1"/>
  <c r="E316" i="21" s="1"/>
  <c r="D316" i="21"/>
  <c r="C68" i="21"/>
  <c r="I68" i="21" s="1" a="1"/>
  <c r="I68" i="21" s="1"/>
  <c r="E68" i="21" s="1"/>
  <c r="D68" i="21"/>
  <c r="C335" i="21"/>
  <c r="D335" i="21"/>
  <c r="C156" i="21"/>
  <c r="D794" i="21"/>
  <c r="D777" i="21"/>
  <c r="H87" i="21"/>
  <c r="L77" i="16"/>
  <c r="I604" i="20"/>
  <c r="I615" i="20" s="1"/>
  <c r="I29" i="20" s="1"/>
  <c r="B29" i="20" s="1"/>
  <c r="E91" i="21"/>
  <c r="F91" i="21" s="1"/>
  <c r="H91" i="21"/>
  <c r="H440" i="21"/>
  <c r="G440" i="21"/>
  <c r="F440" i="21"/>
  <c r="H446" i="21"/>
  <c r="G446" i="21"/>
  <c r="F446" i="21"/>
  <c r="H466" i="21"/>
  <c r="G466" i="21"/>
  <c r="F466" i="21"/>
  <c r="H472" i="21"/>
  <c r="G472" i="21"/>
  <c r="F472" i="21"/>
  <c r="C751" i="21"/>
  <c r="C725" i="21"/>
  <c r="C704" i="21"/>
  <c r="I704" i="21" s="1" a="1"/>
  <c r="I704" i="21" s="1"/>
  <c r="E704" i="21" s="1"/>
  <c r="D751" i="21"/>
  <c r="D725" i="21"/>
  <c r="D704" i="21"/>
  <c r="C679" i="21"/>
  <c r="I679" i="21" s="1" a="1"/>
  <c r="I679" i="21" s="1"/>
  <c r="E679" i="21" s="1"/>
  <c r="D679" i="21"/>
  <c r="D975" i="21"/>
  <c r="D950" i="21"/>
  <c r="D929" i="21"/>
  <c r="C929" i="21"/>
  <c r="I929" i="21" s="1" a="1"/>
  <c r="I929" i="21" s="1"/>
  <c r="E929" i="21" s="1"/>
  <c r="C903" i="21"/>
  <c r="I903" i="21" s="1" a="1"/>
  <c r="I903" i="21" s="1"/>
  <c r="E903" i="21" s="1"/>
  <c r="C975" i="21"/>
  <c r="D903" i="21"/>
  <c r="C950" i="21"/>
  <c r="D788" i="21"/>
  <c r="D771" i="21"/>
  <c r="D259" i="21"/>
  <c r="D32" i="21"/>
  <c r="D254" i="21"/>
  <c r="D27" i="21"/>
  <c r="G88" i="21"/>
  <c r="L86" i="16"/>
  <c r="H448" i="21"/>
  <c r="G448" i="21"/>
  <c r="F448" i="21"/>
  <c r="H467" i="21"/>
  <c r="G467" i="21"/>
  <c r="F467" i="21"/>
  <c r="C754" i="21"/>
  <c r="C728" i="21"/>
  <c r="C707" i="21"/>
  <c r="I707" i="21" s="1" a="1"/>
  <c r="I707" i="21" s="1"/>
  <c r="E707" i="21" s="1"/>
  <c r="D754" i="21"/>
  <c r="D728" i="21"/>
  <c r="D707" i="21"/>
  <c r="C682" i="21"/>
  <c r="I682" i="21" s="1" a="1"/>
  <c r="I682" i="21" s="1"/>
  <c r="E682" i="21" s="1"/>
  <c r="D682" i="21"/>
  <c r="C973" i="21"/>
  <c r="C948" i="21"/>
  <c r="C927" i="21"/>
  <c r="I927" i="21" s="1" a="1"/>
  <c r="I927" i="21" s="1"/>
  <c r="E927" i="21" s="1"/>
  <c r="D973" i="21"/>
  <c r="D948" i="21"/>
  <c r="D927" i="21"/>
  <c r="C901" i="21"/>
  <c r="I901" i="21" s="1" a="1"/>
  <c r="I901" i="21" s="1"/>
  <c r="E901" i="21" s="1"/>
  <c r="D901" i="21"/>
  <c r="D553" i="21"/>
  <c r="D570" i="21"/>
  <c r="D547" i="21"/>
  <c r="D564" i="21"/>
  <c r="D340" i="21"/>
  <c r="C161" i="21"/>
  <c r="D161" i="21"/>
  <c r="C321" i="21"/>
  <c r="I321" i="21" s="1" a="1"/>
  <c r="I321" i="21" s="1"/>
  <c r="E321" i="21" s="1"/>
  <c r="D321" i="21"/>
  <c r="C73" i="21"/>
  <c r="I73" i="21" s="1" a="1"/>
  <c r="I73" i="21" s="1"/>
  <c r="E73" i="21" s="1"/>
  <c r="D73" i="21"/>
  <c r="C340" i="21"/>
  <c r="C314" i="21"/>
  <c r="I314" i="21" s="1" a="1"/>
  <c r="I314" i="21" s="1"/>
  <c r="E314" i="21" s="1"/>
  <c r="C154" i="21"/>
  <c r="D66" i="21"/>
  <c r="C66" i="21"/>
  <c r="I66" i="21" s="1" a="1"/>
  <c r="I66" i="21" s="1"/>
  <c r="E66" i="21" s="1"/>
  <c r="C333" i="21"/>
  <c r="D333" i="21"/>
  <c r="D314" i="21"/>
  <c r="D154" i="21"/>
  <c r="D169" i="21"/>
  <c r="D348" i="21"/>
  <c r="D792" i="21"/>
  <c r="D775" i="21"/>
  <c r="D263" i="21"/>
  <c r="D36" i="21"/>
  <c r="G90" i="21"/>
  <c r="I918" i="20"/>
  <c r="I927" i="20" s="1"/>
  <c r="I34" i="20" s="1"/>
  <c r="B34" i="20" s="1"/>
  <c r="L98" i="16"/>
  <c r="H442" i="21"/>
  <c r="G442" i="21"/>
  <c r="F442" i="21"/>
  <c r="H449" i="21"/>
  <c r="G449" i="21"/>
  <c r="F449" i="21"/>
  <c r="H468" i="21"/>
  <c r="G468" i="21"/>
  <c r="F468" i="21"/>
  <c r="D749" i="21"/>
  <c r="D723" i="21"/>
  <c r="D702" i="21"/>
  <c r="C677" i="21"/>
  <c r="I677" i="21" s="1" a="1"/>
  <c r="I677" i="21" s="1"/>
  <c r="E677" i="21" s="1"/>
  <c r="D677" i="21"/>
  <c r="C749" i="21"/>
  <c r="C723" i="21"/>
  <c r="C702" i="21"/>
  <c r="I702" i="21" s="1" a="1"/>
  <c r="I702" i="21" s="1"/>
  <c r="E702" i="21" s="1"/>
  <c r="D676" i="21"/>
  <c r="C748" i="21"/>
  <c r="C722" i="21"/>
  <c r="C701" i="21"/>
  <c r="I701" i="21" s="1" a="1"/>
  <c r="I701" i="21" s="1"/>
  <c r="E701" i="21" s="1"/>
  <c r="D748" i="21"/>
  <c r="D722" i="21"/>
  <c r="D701" i="21"/>
  <c r="C676" i="21"/>
  <c r="I676" i="21" s="1" a="1"/>
  <c r="I676" i="21" s="1"/>
  <c r="E676" i="21" s="1"/>
  <c r="D979" i="21"/>
  <c r="D954" i="21"/>
  <c r="D933" i="21"/>
  <c r="C907" i="21"/>
  <c r="I907" i="21" s="1" a="1"/>
  <c r="I907" i="21" s="1"/>
  <c r="E907" i="21" s="1"/>
  <c r="C954" i="21"/>
  <c r="D907" i="21"/>
  <c r="C979" i="21"/>
  <c r="C933" i="21"/>
  <c r="I933" i="21" s="1" a="1"/>
  <c r="I933" i="21" s="1"/>
  <c r="E933" i="21" s="1"/>
  <c r="C972" i="21"/>
  <c r="D972" i="21"/>
  <c r="C947" i="21"/>
  <c r="D947" i="21"/>
  <c r="C926" i="21"/>
  <c r="I926" i="21" s="1" a="1"/>
  <c r="I926" i="21" s="1"/>
  <c r="E926" i="21" s="1"/>
  <c r="C900" i="21"/>
  <c r="I900" i="21" s="1" a="1"/>
  <c r="I900" i="21" s="1"/>
  <c r="E900" i="21" s="1"/>
  <c r="D926" i="21"/>
  <c r="D900" i="21"/>
  <c r="D546" i="21"/>
  <c r="D563" i="21"/>
  <c r="D631" i="21"/>
  <c r="D632" i="21"/>
  <c r="D658" i="21"/>
  <c r="I640" i="21"/>
  <c r="H640" i="21" s="1"/>
  <c r="I613" i="21"/>
  <c r="D659" i="21"/>
  <c r="D74" i="21"/>
  <c r="C341" i="21"/>
  <c r="D341" i="21"/>
  <c r="C162" i="21"/>
  <c r="D162" i="21"/>
  <c r="C322" i="21"/>
  <c r="I322" i="21" s="1" a="1"/>
  <c r="I322" i="21" s="1"/>
  <c r="E322" i="21" s="1"/>
  <c r="D322" i="21"/>
  <c r="C74" i="21"/>
  <c r="I74" i="21" s="1" a="1"/>
  <c r="I74" i="21" s="1"/>
  <c r="E74" i="21" s="1"/>
  <c r="D160" i="21"/>
  <c r="C320" i="21"/>
  <c r="I320" i="21" s="1" a="1"/>
  <c r="I320" i="21" s="1"/>
  <c r="E320" i="21" s="1"/>
  <c r="D320" i="21"/>
  <c r="C72" i="21"/>
  <c r="I72" i="21" s="1" a="1"/>
  <c r="I72" i="21" s="1"/>
  <c r="E72" i="21" s="1"/>
  <c r="D72" i="21"/>
  <c r="C339" i="21"/>
  <c r="D339" i="21"/>
  <c r="C160" i="21"/>
  <c r="G98" i="21"/>
  <c r="F98" i="21"/>
  <c r="H98" i="21"/>
  <c r="C656" i="20"/>
  <c r="C715" i="20"/>
  <c r="I304" i="20"/>
  <c r="I314" i="20" s="1"/>
  <c r="K72" i="16" a="1"/>
  <c r="K72" i="16" s="1"/>
  <c r="I379" i="20" s="1"/>
  <c r="I389" i="20" s="1"/>
  <c r="C668" i="21"/>
  <c r="C693" i="21"/>
  <c r="H443" i="21"/>
  <c r="G443" i="21"/>
  <c r="F443" i="21"/>
  <c r="H469" i="21"/>
  <c r="G469" i="21"/>
  <c r="F469" i="21"/>
  <c r="C747" i="21"/>
  <c r="C721" i="21"/>
  <c r="C700" i="21"/>
  <c r="I700" i="21" s="1" a="1"/>
  <c r="I700" i="21" s="1"/>
  <c r="E700" i="21" s="1"/>
  <c r="D747" i="21"/>
  <c r="D721" i="21"/>
  <c r="D700" i="21"/>
  <c r="C675" i="21"/>
  <c r="I675" i="21" s="1" a="1"/>
  <c r="I675" i="21" s="1"/>
  <c r="E675" i="21" s="1"/>
  <c r="D675" i="21"/>
  <c r="C978" i="21"/>
  <c r="C953" i="21"/>
  <c r="C932" i="21"/>
  <c r="I932" i="21" s="1" a="1"/>
  <c r="I932" i="21" s="1"/>
  <c r="E932" i="21" s="1"/>
  <c r="D906" i="21"/>
  <c r="D953" i="21"/>
  <c r="D978" i="21"/>
  <c r="D932" i="21"/>
  <c r="C906" i="21"/>
  <c r="I906" i="21" s="1" a="1"/>
  <c r="I906" i="21" s="1"/>
  <c r="E906" i="21" s="1"/>
  <c r="D569" i="21"/>
  <c r="D552" i="21"/>
  <c r="D562" i="21"/>
  <c r="D545" i="21"/>
  <c r="D319" i="21"/>
  <c r="C71" i="21"/>
  <c r="I71" i="21" s="1" a="1"/>
  <c r="I71" i="21" s="1"/>
  <c r="E71" i="21" s="1"/>
  <c r="D71" i="21"/>
  <c r="C338" i="21"/>
  <c r="D338" i="21"/>
  <c r="C159" i="21"/>
  <c r="D159" i="21"/>
  <c r="C319" i="21"/>
  <c r="I319" i="21" s="1" a="1"/>
  <c r="I319" i="21" s="1"/>
  <c r="E319" i="21" s="1"/>
  <c r="D856" i="21"/>
  <c r="D857" i="21"/>
  <c r="D883" i="21"/>
  <c r="D884" i="21"/>
  <c r="I865" i="21"/>
  <c r="I838" i="21"/>
  <c r="D796" i="21"/>
  <c r="D779" i="21"/>
  <c r="H192" i="21"/>
  <c r="G192" i="21"/>
  <c r="F192" i="21"/>
  <c r="H444" i="21"/>
  <c r="G444" i="21"/>
  <c r="F444" i="21"/>
  <c r="H463" i="21"/>
  <c r="G463" i="21"/>
  <c r="F463" i="21"/>
  <c r="H470" i="21"/>
  <c r="G470" i="21"/>
  <c r="F470" i="21"/>
  <c r="C746" i="21"/>
  <c r="C720" i="21"/>
  <c r="C699" i="21"/>
  <c r="I699" i="21" s="1" a="1"/>
  <c r="I699" i="21" s="1"/>
  <c r="E699" i="21" s="1"/>
  <c r="D746" i="21"/>
  <c r="D720" i="21"/>
  <c r="D699" i="21"/>
  <c r="C674" i="21"/>
  <c r="I674" i="21" s="1" a="1"/>
  <c r="I674" i="21" s="1"/>
  <c r="E674" i="21" s="1"/>
  <c r="D674" i="21"/>
  <c r="C977" i="21"/>
  <c r="C952" i="21"/>
  <c r="C931" i="21"/>
  <c r="I931" i="21" s="1" a="1"/>
  <c r="I931" i="21" s="1"/>
  <c r="E931" i="21" s="1"/>
  <c r="D977" i="21"/>
  <c r="D952" i="21"/>
  <c r="D931" i="21"/>
  <c r="C905" i="21"/>
  <c r="I905" i="21" s="1" a="1"/>
  <c r="I905" i="21" s="1"/>
  <c r="E905" i="21" s="1"/>
  <c r="D905" i="21"/>
  <c r="D971" i="21"/>
  <c r="D946" i="21"/>
  <c r="D925" i="21"/>
  <c r="C971" i="21"/>
  <c r="C946" i="21"/>
  <c r="C899" i="21"/>
  <c r="I899" i="21" s="1" a="1"/>
  <c r="I899" i="21" s="1"/>
  <c r="E899" i="21" s="1"/>
  <c r="C925" i="21"/>
  <c r="I925" i="21" s="1" a="1"/>
  <c r="I925" i="21" s="1"/>
  <c r="E925" i="21" s="1"/>
  <c r="D899" i="21"/>
  <c r="D551" i="21"/>
  <c r="D568" i="21"/>
  <c r="D336" i="21"/>
  <c r="C157" i="21"/>
  <c r="D157" i="21"/>
  <c r="C317" i="21"/>
  <c r="I317" i="21" s="1" a="1"/>
  <c r="I317" i="21" s="1"/>
  <c r="E317" i="21" s="1"/>
  <c r="D317" i="21"/>
  <c r="C69" i="21"/>
  <c r="I69" i="21" s="1" a="1"/>
  <c r="I69" i="21" s="1"/>
  <c r="E69" i="21" s="1"/>
  <c r="D69" i="21"/>
  <c r="C336" i="21"/>
  <c r="H197" i="21"/>
  <c r="F197" i="21"/>
  <c r="G197" i="21"/>
  <c r="D791" i="21"/>
  <c r="D774" i="21"/>
  <c r="D26" i="21"/>
  <c r="H45" i="21"/>
  <c r="H53" i="21"/>
  <c r="H188" i="21"/>
  <c r="H210" i="21"/>
  <c r="F210" i="21"/>
  <c r="G210" i="21"/>
  <c r="C750" i="21"/>
  <c r="C724" i="21"/>
  <c r="C703" i="21"/>
  <c r="I703" i="21" s="1" a="1"/>
  <c r="I703" i="21" s="1"/>
  <c r="E703" i="21" s="1"/>
  <c r="D750" i="21"/>
  <c r="D724" i="21"/>
  <c r="D703" i="21"/>
  <c r="C678" i="21"/>
  <c r="I678" i="21" s="1" a="1"/>
  <c r="I678" i="21" s="1"/>
  <c r="E678" i="21" s="1"/>
  <c r="D678" i="21"/>
  <c r="D323" i="21"/>
  <c r="C75" i="21"/>
  <c r="I75" i="21" s="1" a="1"/>
  <c r="I75" i="21" s="1"/>
  <c r="E75" i="21" s="1"/>
  <c r="D75" i="21"/>
  <c r="C342" i="21"/>
  <c r="D342" i="21"/>
  <c r="C163" i="21"/>
  <c r="D163" i="21"/>
  <c r="C323" i="21"/>
  <c r="I323" i="21" s="1" a="1"/>
  <c r="I323" i="21" s="1"/>
  <c r="E323" i="21" s="1"/>
  <c r="D795" i="21"/>
  <c r="D778" i="21"/>
  <c r="D790" i="21"/>
  <c r="D773" i="21"/>
  <c r="G89" i="21"/>
  <c r="F89" i="21"/>
  <c r="G219" i="21"/>
  <c r="F219" i="21"/>
  <c r="H219" i="21"/>
  <c r="H215" i="21"/>
  <c r="E215" i="21"/>
  <c r="F215" i="21" s="1"/>
  <c r="D315" i="21"/>
  <c r="C67" i="21"/>
  <c r="I67" i="21" s="1" a="1"/>
  <c r="I67" i="21" s="1"/>
  <c r="E67" i="21" s="1"/>
  <c r="D67" i="21"/>
  <c r="C334" i="21"/>
  <c r="D334" i="21"/>
  <c r="C155" i="21"/>
  <c r="D155" i="21"/>
  <c r="C315" i="21"/>
  <c r="I315" i="21" s="1" a="1"/>
  <c r="I315" i="21" s="1"/>
  <c r="E315" i="21" s="1"/>
  <c r="D789" i="21"/>
  <c r="D772" i="21"/>
  <c r="D34" i="21"/>
  <c r="G83" i="21"/>
  <c r="F83" i="21"/>
  <c r="H183" i="21"/>
  <c r="H240" i="21"/>
  <c r="F240" i="21"/>
  <c r="G240" i="21"/>
  <c r="H49" i="21"/>
  <c r="G86" i="21"/>
  <c r="G91" i="21"/>
  <c r="G206" i="21"/>
  <c r="E206" i="21"/>
  <c r="F206" i="21" s="1"/>
  <c r="G190" i="21"/>
  <c r="F190" i="21"/>
  <c r="D753" i="21"/>
  <c r="D727" i="21"/>
  <c r="D706" i="21"/>
  <c r="C681" i="21"/>
  <c r="I681" i="21" s="1" a="1"/>
  <c r="I681" i="21" s="1"/>
  <c r="E681" i="21" s="1"/>
  <c r="D681" i="21"/>
  <c r="C753" i="21"/>
  <c r="C727" i="21"/>
  <c r="C706" i="21"/>
  <c r="I706" i="21" s="1" a="1"/>
  <c r="I706" i="21" s="1"/>
  <c r="E706" i="21" s="1"/>
  <c r="D70" i="21"/>
  <c r="C337" i="21"/>
  <c r="D337" i="21"/>
  <c r="C158" i="21"/>
  <c r="D158" i="21"/>
  <c r="C318" i="21"/>
  <c r="I318" i="21" s="1" a="1"/>
  <c r="I318" i="21" s="1"/>
  <c r="E318" i="21" s="1"/>
  <c r="D318" i="21"/>
  <c r="C70" i="21"/>
  <c r="I70" i="21" s="1" a="1"/>
  <c r="I70" i="21" s="1"/>
  <c r="E70" i="21" s="1"/>
  <c r="G87" i="21"/>
  <c r="F87" i="21"/>
  <c r="G96" i="21"/>
  <c r="F96" i="21"/>
  <c r="H119" i="21"/>
  <c r="G119" i="21"/>
  <c r="F95" i="21"/>
  <c r="F97" i="21"/>
  <c r="F99" i="21"/>
  <c r="F191" i="21"/>
  <c r="H195" i="21"/>
  <c r="H224" i="21"/>
  <c r="H356" i="21"/>
  <c r="G356" i="21"/>
  <c r="F356" i="21"/>
  <c r="H375" i="21"/>
  <c r="G375" i="21"/>
  <c r="F375" i="21"/>
  <c r="H392" i="21"/>
  <c r="G392" i="21"/>
  <c r="F392" i="21"/>
  <c r="F45" i="21"/>
  <c r="F47" i="21"/>
  <c r="F51" i="21"/>
  <c r="F53" i="21"/>
  <c r="G116" i="21"/>
  <c r="F189" i="21"/>
  <c r="G191" i="21"/>
  <c r="H193" i="21"/>
  <c r="F196" i="21"/>
  <c r="H206" i="21"/>
  <c r="G211" i="21"/>
  <c r="F218" i="21"/>
  <c r="H222" i="21"/>
  <c r="G234" i="21"/>
  <c r="G241" i="21"/>
  <c r="H99" i="21"/>
  <c r="G218" i="21"/>
  <c r="H220" i="21"/>
  <c r="G225" i="21"/>
  <c r="I136" i="21" a="1"/>
  <c r="I136" i="21" s="1"/>
  <c r="I269" i="21" a="1"/>
  <c r="I269" i="21" s="1"/>
  <c r="G332" i="21"/>
  <c r="H332" i="21"/>
  <c r="H369" i="21"/>
  <c r="G369" i="21"/>
  <c r="F369" i="21"/>
  <c r="H379" i="21"/>
  <c r="G379" i="21"/>
  <c r="F379" i="21"/>
  <c r="G529" i="21"/>
  <c r="F529" i="21"/>
  <c r="H529" i="21"/>
  <c r="G179" i="21"/>
  <c r="G181" i="21"/>
  <c r="G183" i="21"/>
  <c r="G185" i="21"/>
  <c r="G187" i="21"/>
  <c r="G194" i="21"/>
  <c r="F221" i="21"/>
  <c r="H225" i="21"/>
  <c r="F235" i="21"/>
  <c r="I273" i="21" a="1"/>
  <c r="I273" i="21" s="1"/>
  <c r="I140" i="21" a="1"/>
  <c r="I140" i="21" s="1"/>
  <c r="H373" i="21"/>
  <c r="G373" i="21"/>
  <c r="F373" i="21"/>
  <c r="H411" i="21"/>
  <c r="G411" i="21"/>
  <c r="F212" i="21"/>
  <c r="H216" i="21"/>
  <c r="G221" i="21"/>
  <c r="G235" i="21"/>
  <c r="F242" i="21"/>
  <c r="I144" i="21" a="1"/>
  <c r="I144" i="21" s="1"/>
  <c r="I277" i="21" a="1"/>
  <c r="I277" i="21" s="1"/>
  <c r="H390" i="21"/>
  <c r="G390" i="21"/>
  <c r="F390" i="21"/>
  <c r="H524" i="21"/>
  <c r="G524" i="21"/>
  <c r="F524" i="21"/>
  <c r="G212" i="21"/>
  <c r="H214" i="21"/>
  <c r="G242" i="21"/>
  <c r="H244" i="21"/>
  <c r="H358" i="21"/>
  <c r="G358" i="21"/>
  <c r="F358" i="21"/>
  <c r="H377" i="21"/>
  <c r="G377" i="21"/>
  <c r="F377" i="21"/>
  <c r="H518" i="21"/>
  <c r="G518" i="21"/>
  <c r="F518" i="21"/>
  <c r="G523" i="21"/>
  <c r="F523" i="21"/>
  <c r="H534" i="21"/>
  <c r="G534" i="21"/>
  <c r="F534" i="21"/>
  <c r="H581" i="21"/>
  <c r="G581" i="21"/>
  <c r="F581" i="21"/>
  <c r="E580" i="21"/>
  <c r="F580" i="21" s="1"/>
  <c r="G580" i="21"/>
  <c r="H604" i="21"/>
  <c r="E604" i="21"/>
  <c r="F604" i="21" s="1"/>
  <c r="G604" i="21"/>
  <c r="I276" i="21" a="1"/>
  <c r="I276" i="21" s="1"/>
  <c r="I143" i="21" a="1"/>
  <c r="I143" i="21" s="1"/>
  <c r="E143" i="21" s="1"/>
  <c r="F143" i="21" s="1"/>
  <c r="I272" i="21" a="1"/>
  <c r="I272" i="21" s="1"/>
  <c r="I139" i="21" a="1"/>
  <c r="I139" i="21" s="1"/>
  <c r="E139" i="21" s="1"/>
  <c r="F139" i="21" s="1"/>
  <c r="H396" i="21"/>
  <c r="H512" i="21"/>
  <c r="G512" i="21"/>
  <c r="G519" i="21"/>
  <c r="F519" i="21"/>
  <c r="H530" i="21"/>
  <c r="G530" i="21"/>
  <c r="F530" i="21"/>
  <c r="E625" i="21"/>
  <c r="F625" i="21" s="1"/>
  <c r="H625" i="21"/>
  <c r="G625" i="21"/>
  <c r="G424" i="21"/>
  <c r="G426" i="21" s="1"/>
  <c r="H520" i="21"/>
  <c r="G520" i="21"/>
  <c r="F520" i="21"/>
  <c r="G525" i="21"/>
  <c r="F525" i="21"/>
  <c r="H531" i="21"/>
  <c r="I142" i="21" a="1"/>
  <c r="I142" i="21" s="1"/>
  <c r="I275" i="21" a="1"/>
  <c r="I275" i="21" s="1"/>
  <c r="I138" i="21" a="1"/>
  <c r="I138" i="21" s="1"/>
  <c r="I271" i="21" a="1"/>
  <c r="I271" i="21" s="1"/>
  <c r="F394" i="21"/>
  <c r="H409" i="21"/>
  <c r="G409" i="21"/>
  <c r="H424" i="21"/>
  <c r="G515" i="21"/>
  <c r="F515" i="21"/>
  <c r="H526" i="21"/>
  <c r="G526" i="21"/>
  <c r="F526" i="21"/>
  <c r="G531" i="21"/>
  <c r="F531" i="21"/>
  <c r="H588" i="21"/>
  <c r="G588" i="21"/>
  <c r="F588" i="21"/>
  <c r="H516" i="21"/>
  <c r="G516" i="21"/>
  <c r="F516" i="21"/>
  <c r="G521" i="21"/>
  <c r="F521" i="21"/>
  <c r="H532" i="21"/>
  <c r="G532" i="21"/>
  <c r="F532" i="21"/>
  <c r="G620" i="21"/>
  <c r="I278" i="21" a="1"/>
  <c r="I278" i="21" s="1"/>
  <c r="I145" i="21" a="1"/>
  <c r="I145" i="21" s="1"/>
  <c r="E145" i="21" s="1"/>
  <c r="F145" i="21" s="1"/>
  <c r="I274" i="21" a="1"/>
  <c r="I274" i="21" s="1"/>
  <c r="I141" i="21" a="1"/>
  <c r="I141" i="21" s="1"/>
  <c r="E141" i="21" s="1"/>
  <c r="F141" i="21" s="1"/>
  <c r="I137" i="21" a="1"/>
  <c r="I137" i="21" s="1"/>
  <c r="E137" i="21" s="1"/>
  <c r="F137" i="21" s="1"/>
  <c r="I270" i="21" a="1"/>
  <c r="I270" i="21" s="1"/>
  <c r="H413" i="21"/>
  <c r="G413" i="21"/>
  <c r="H522" i="21"/>
  <c r="G522" i="21"/>
  <c r="F522" i="21"/>
  <c r="G527" i="21"/>
  <c r="F527" i="21"/>
  <c r="F668" i="21"/>
  <c r="H668" i="21"/>
  <c r="G668" i="21"/>
  <c r="G669" i="21" s="1"/>
  <c r="H405" i="21"/>
  <c r="G405" i="21"/>
  <c r="G517" i="21"/>
  <c r="F517" i="21"/>
  <c r="H523" i="21"/>
  <c r="H528" i="21"/>
  <c r="G528" i="21"/>
  <c r="F528" i="21"/>
  <c r="G533" i="21"/>
  <c r="F533" i="21"/>
  <c r="E599" i="21"/>
  <c r="F599" i="21" s="1"/>
  <c r="G599" i="21"/>
  <c r="H599" i="21"/>
  <c r="G584" i="21"/>
  <c r="H586" i="21"/>
  <c r="G598" i="21"/>
  <c r="G624" i="21"/>
  <c r="E619" i="21"/>
  <c r="F619" i="21" s="1"/>
  <c r="E648" i="21"/>
  <c r="F648" i="21" s="1"/>
  <c r="G693" i="21"/>
  <c r="G694" i="21" s="1"/>
  <c r="H743" i="21"/>
  <c r="G743" i="21"/>
  <c r="F807" i="21"/>
  <c r="H807" i="21"/>
  <c r="G807" i="21"/>
  <c r="H582" i="21"/>
  <c r="F585" i="21"/>
  <c r="G587" i="21"/>
  <c r="G605" i="21"/>
  <c r="F618" i="21"/>
  <c r="G646" i="21"/>
  <c r="E647" i="21"/>
  <c r="F647" i="21" s="1"/>
  <c r="G647" i="21"/>
  <c r="F667" i="21"/>
  <c r="H580" i="21"/>
  <c r="F583" i="21"/>
  <c r="G585" i="21"/>
  <c r="G596" i="21"/>
  <c r="H605" i="21"/>
  <c r="F616" i="21"/>
  <c r="G618" i="21"/>
  <c r="H620" i="21"/>
  <c r="G643" i="21"/>
  <c r="H646" i="21"/>
  <c r="H667" i="21"/>
  <c r="E596" i="21"/>
  <c r="F596" i="21" s="1"/>
  <c r="F586" i="21"/>
  <c r="H603" i="21"/>
  <c r="G805" i="21"/>
  <c r="F805" i="21"/>
  <c r="G892" i="21"/>
  <c r="G894" i="21" s="1"/>
  <c r="G824" i="21"/>
  <c r="H827" i="21"/>
  <c r="E825" i="21"/>
  <c r="F825" i="21" s="1"/>
  <c r="H841" i="21"/>
  <c r="E829" i="21"/>
  <c r="F829" i="21" s="1"/>
  <c r="H848" i="21"/>
  <c r="G848" i="21"/>
  <c r="E843" i="21"/>
  <c r="F843" i="21" s="1"/>
  <c r="G829" i="21"/>
  <c r="H828" i="21"/>
  <c r="G828" i="21"/>
  <c r="H843" i="21"/>
  <c r="H806" i="21"/>
  <c r="G811" i="21"/>
  <c r="G847" i="21"/>
  <c r="E870" i="21"/>
  <c r="F870" i="21" s="1"/>
  <c r="G870" i="21"/>
  <c r="G809" i="21"/>
  <c r="E845" i="21"/>
  <c r="F845" i="21" s="1"/>
  <c r="H875" i="21"/>
  <c r="G875" i="21"/>
  <c r="F892" i="21"/>
  <c r="F893" i="21"/>
  <c r="G919" i="21"/>
  <c r="H919" i="21"/>
  <c r="H920" i="21" s="1"/>
  <c r="F943" i="21"/>
  <c r="G943" i="21"/>
  <c r="F968" i="21"/>
  <c r="C294" i="21"/>
  <c r="I294" i="21" s="1" a="1"/>
  <c r="I294" i="21" s="1"/>
  <c r="C254" i="21"/>
  <c r="I254" i="21" s="1" a="1"/>
  <c r="I254" i="21" s="1"/>
  <c r="E254" i="21" s="1"/>
  <c r="C262" i="21"/>
  <c r="I262" i="21" s="1" a="1"/>
  <c r="I262" i="21" s="1"/>
  <c r="C288" i="21"/>
  <c r="I288" i="21" s="1" a="1"/>
  <c r="I288" i="21" s="1"/>
  <c r="C291" i="21"/>
  <c r="I291" i="21" s="1" a="1"/>
  <c r="I291" i="21" s="1"/>
  <c r="C256" i="21"/>
  <c r="I256" i="21" s="1" a="1"/>
  <c r="I256" i="21" s="1"/>
  <c r="E256" i="21" s="1"/>
  <c r="C259" i="21"/>
  <c r="I259" i="21" s="1" a="1"/>
  <c r="I259" i="21" s="1"/>
  <c r="E259" i="21" s="1"/>
  <c r="C289" i="21"/>
  <c r="I289" i="21" s="1" a="1"/>
  <c r="I289" i="21" s="1"/>
  <c r="C292" i="21"/>
  <c r="I292" i="21" s="1" a="1"/>
  <c r="I292" i="21" s="1"/>
  <c r="C295" i="21"/>
  <c r="I295" i="21" s="1" a="1"/>
  <c r="I295" i="21" s="1"/>
  <c r="C257" i="21"/>
  <c r="I257" i="21" s="1" a="1"/>
  <c r="I257" i="21" s="1"/>
  <c r="E257" i="21" s="1"/>
  <c r="C260" i="21"/>
  <c r="I260" i="21" s="1" a="1"/>
  <c r="I260" i="21" s="1"/>
  <c r="E260" i="21" s="1"/>
  <c r="C263" i="21"/>
  <c r="I263" i="21" s="1" a="1"/>
  <c r="I263" i="21" s="1"/>
  <c r="E263" i="21" s="1"/>
  <c r="C287" i="21"/>
  <c r="C296" i="21"/>
  <c r="I296" i="21" s="1" a="1"/>
  <c r="I296" i="21" s="1"/>
  <c r="I160" i="20" l="1"/>
  <c r="F694" i="21"/>
  <c r="I486" i="20"/>
  <c r="I498" i="20" s="1"/>
  <c r="F504" i="21"/>
  <c r="I32" i="22" s="1"/>
  <c r="D101" i="23" s="1"/>
  <c r="X122" i="23" s="1"/>
  <c r="F494" i="21"/>
  <c r="F380" i="21"/>
  <c r="L54" i="16"/>
  <c r="I452" i="20"/>
  <c r="I464" i="20" s="1"/>
  <c r="D128" i="21"/>
  <c r="H128" i="21" s="1"/>
  <c r="D127" i="21"/>
  <c r="F127" i="21" s="1"/>
  <c r="I284" i="21"/>
  <c r="H284" i="21" s="1"/>
  <c r="I109" i="21"/>
  <c r="H109" i="21" s="1"/>
  <c r="D303" i="21"/>
  <c r="H303" i="21" s="1"/>
  <c r="D302" i="21"/>
  <c r="D304" i="21" s="1"/>
  <c r="I341" i="20"/>
  <c r="I351" i="20" s="1"/>
  <c r="I26" i="20" s="1"/>
  <c r="B26" i="20" s="1"/>
  <c r="F257" i="21"/>
  <c r="W48" i="23"/>
  <c r="W24" i="23"/>
  <c r="W119" i="23"/>
  <c r="W32" i="23"/>
  <c r="W149" i="23"/>
  <c r="W20" i="23"/>
  <c r="W68" i="23"/>
  <c r="W23" i="23"/>
  <c r="W73" i="23"/>
  <c r="W28" i="23"/>
  <c r="W160" i="23"/>
  <c r="W31" i="23"/>
  <c r="W146" i="23"/>
  <c r="W17" i="23"/>
  <c r="W106" i="23"/>
  <c r="W19" i="23"/>
  <c r="W144" i="23"/>
  <c r="W36" i="23"/>
  <c r="W150" i="23"/>
  <c r="W21" i="23"/>
  <c r="W130" i="23"/>
  <c r="W22" i="23"/>
  <c r="W91" i="23"/>
  <c r="W25" i="23"/>
  <c r="W84" i="23"/>
  <c r="W18" i="23"/>
  <c r="W156" i="23"/>
  <c r="W27" i="23"/>
  <c r="W158" i="23"/>
  <c r="W29" i="23"/>
  <c r="W54" i="23"/>
  <c r="W30" i="23"/>
  <c r="W141" i="23"/>
  <c r="W33" i="23"/>
  <c r="W113" i="23"/>
  <c r="W26" i="23"/>
  <c r="W80" i="23"/>
  <c r="W35" i="23"/>
  <c r="W58" i="23"/>
  <c r="W34" i="23"/>
  <c r="W145" i="23"/>
  <c r="W16" i="23"/>
  <c r="I287" i="21" a="1"/>
  <c r="I287" i="21" s="1"/>
  <c r="G287" i="21" s="1"/>
  <c r="U16" i="23" a="1"/>
  <c r="I30" i="20"/>
  <c r="B30" i="20" s="1"/>
  <c r="H504" i="21"/>
  <c r="E86" i="22" s="1"/>
  <c r="I101" i="23" s="1"/>
  <c r="X101" i="23" s="1"/>
  <c r="F436" i="21"/>
  <c r="F260" i="21"/>
  <c r="F414" i="21"/>
  <c r="E25" i="22" s="1"/>
  <c r="W96" i="23"/>
  <c r="W78" i="23"/>
  <c r="G309" i="21"/>
  <c r="H261" i="21"/>
  <c r="W99" i="23"/>
  <c r="W159" i="23"/>
  <c r="F460" i="21"/>
  <c r="E112" i="21"/>
  <c r="F112" i="21" s="1"/>
  <c r="F122" i="21" s="1"/>
  <c r="G112" i="21"/>
  <c r="G122" i="21" s="1"/>
  <c r="H112" i="21"/>
  <c r="H122" i="21" s="1"/>
  <c r="D311" i="21"/>
  <c r="W116" i="23"/>
  <c r="W74" i="23"/>
  <c r="W47" i="23"/>
  <c r="W41" i="23"/>
  <c r="F256" i="21"/>
  <c r="W164" i="23"/>
  <c r="H95" i="23"/>
  <c r="X74" i="23" s="1"/>
  <c r="E95" i="23"/>
  <c r="X137" i="23" s="1"/>
  <c r="G95" i="23"/>
  <c r="X53" i="23" s="1"/>
  <c r="F95" i="23"/>
  <c r="X158" i="23" s="1"/>
  <c r="D95" i="23"/>
  <c r="X116" i="23" s="1"/>
  <c r="I95" i="23"/>
  <c r="X95" i="23" s="1"/>
  <c r="W154" i="23"/>
  <c r="W70" i="23"/>
  <c r="G137" i="21"/>
  <c r="F920" i="21"/>
  <c r="W55" i="23"/>
  <c r="W143" i="23"/>
  <c r="W76" i="23"/>
  <c r="W51" i="23"/>
  <c r="W138" i="23"/>
  <c r="W72" i="23"/>
  <c r="W57" i="23"/>
  <c r="W118" i="23"/>
  <c r="W97" i="23"/>
  <c r="W104" i="23"/>
  <c r="W40" i="23"/>
  <c r="W128" i="23"/>
  <c r="W75" i="23"/>
  <c r="W108" i="23"/>
  <c r="W67" i="23"/>
  <c r="W49" i="23"/>
  <c r="W137" i="23"/>
  <c r="W131" i="23"/>
  <c r="W89" i="23"/>
  <c r="W109" i="23"/>
  <c r="W133" i="23"/>
  <c r="W95" i="23"/>
  <c r="W125" i="23"/>
  <c r="W151" i="23"/>
  <c r="W112" i="23"/>
  <c r="W43" i="23"/>
  <c r="W53" i="23"/>
  <c r="W92" i="23"/>
  <c r="W155" i="23"/>
  <c r="W153" i="23"/>
  <c r="W64" i="23"/>
  <c r="W46" i="23"/>
  <c r="W148" i="23"/>
  <c r="W110" i="23"/>
  <c r="W88" i="23"/>
  <c r="W127" i="23"/>
  <c r="W152" i="23"/>
  <c r="W135" i="23"/>
  <c r="W117" i="23"/>
  <c r="W139" i="23"/>
  <c r="W93" i="23"/>
  <c r="W114" i="23"/>
  <c r="W100" i="23"/>
  <c r="W120" i="23"/>
  <c r="W85" i="23"/>
  <c r="W86" i="23"/>
  <c r="W132" i="23"/>
  <c r="W81" i="23"/>
  <c r="W111" i="23"/>
  <c r="W69" i="23"/>
  <c r="W163" i="23"/>
  <c r="W90" i="23"/>
  <c r="W87" i="23"/>
  <c r="W101" i="23"/>
  <c r="W62" i="23"/>
  <c r="W162" i="23"/>
  <c r="W124" i="23"/>
  <c r="W83" i="23"/>
  <c r="W107" i="23"/>
  <c r="W129" i="23"/>
  <c r="W103" i="23"/>
  <c r="W121" i="23"/>
  <c r="W71" i="23"/>
  <c r="W136" i="23"/>
  <c r="W50" i="23"/>
  <c r="W56" i="23"/>
  <c r="W44" i="23"/>
  <c r="W98" i="23"/>
  <c r="W126" i="23"/>
  <c r="W161" i="23"/>
  <c r="W61" i="23"/>
  <c r="W134" i="23"/>
  <c r="W105" i="23"/>
  <c r="W140" i="23"/>
  <c r="W65" i="23"/>
  <c r="W82" i="23"/>
  <c r="W142" i="23"/>
  <c r="W59" i="23"/>
  <c r="W52" i="23"/>
  <c r="W122" i="23"/>
  <c r="W115" i="23"/>
  <c r="W94" i="23"/>
  <c r="W157" i="23"/>
  <c r="W79" i="23"/>
  <c r="W66" i="23"/>
  <c r="W63" i="23"/>
  <c r="W123" i="23"/>
  <c r="W147" i="23"/>
  <c r="W60" i="23"/>
  <c r="W45" i="23"/>
  <c r="W77" i="23"/>
  <c r="W42" i="23"/>
  <c r="W165" i="23"/>
  <c r="W102" i="23"/>
  <c r="U8" i="14" a="1"/>
  <c r="U8" i="14" s="1"/>
  <c r="AR7" i="14" a="1"/>
  <c r="AR7" i="14" s="1"/>
  <c r="AD7" i="14" a="1"/>
  <c r="AD7" i="14" s="1"/>
  <c r="M8" i="14" a="1"/>
  <c r="M8" i="14" s="1"/>
  <c r="AF7" i="14" a="1"/>
  <c r="AF7" i="14" s="1"/>
  <c r="AS8" i="14" a="1"/>
  <c r="AS8" i="14" s="1"/>
  <c r="N7" i="14" a="1"/>
  <c r="N7" i="14" s="1"/>
  <c r="J7" i="14" a="1"/>
  <c r="J7" i="14" s="1"/>
  <c r="AJ7" i="14" a="1"/>
  <c r="AJ7" i="14" s="1"/>
  <c r="AH7" i="14" a="1"/>
  <c r="AH7" i="14" s="1"/>
  <c r="T7" i="14" a="1"/>
  <c r="T7" i="14" s="1"/>
  <c r="AT7" i="14" a="1"/>
  <c r="AT7" i="14" s="1"/>
  <c r="K8" i="14" a="1"/>
  <c r="K8" i="14" s="1"/>
  <c r="AN7" i="14" a="1"/>
  <c r="AN7" i="14" s="1"/>
  <c r="AW8" i="14" a="1"/>
  <c r="AW8" i="14" s="1"/>
  <c r="AL7" i="14" a="1"/>
  <c r="AL7" i="14" s="1"/>
  <c r="F309" i="21"/>
  <c r="F311" i="21" s="1"/>
  <c r="I28" i="20"/>
  <c r="B28" i="20" s="1"/>
  <c r="I32" i="20"/>
  <c r="B32" i="20" s="1"/>
  <c r="D297" i="21"/>
  <c r="G261" i="21"/>
  <c r="G310" i="21"/>
  <c r="H310" i="21"/>
  <c r="H311" i="21" s="1"/>
  <c r="H290" i="21"/>
  <c r="G290" i="21"/>
  <c r="D279" i="21"/>
  <c r="F290" i="21"/>
  <c r="AM8" i="14" a="1"/>
  <c r="AM8" i="14" s="1"/>
  <c r="W8" i="14" a="1"/>
  <c r="W8" i="14" s="1"/>
  <c r="AP7" i="14" a="1"/>
  <c r="AP7" i="14" s="1"/>
  <c r="L7" i="14" a="1"/>
  <c r="L7" i="14" s="1"/>
  <c r="R7" i="14" a="1"/>
  <c r="R7" i="14" s="1"/>
  <c r="AK8" i="14" a="1"/>
  <c r="AK8" i="14" s="1"/>
  <c r="I99" i="20"/>
  <c r="I111" i="20" s="1"/>
  <c r="V7" i="14" a="1"/>
  <c r="V7" i="14" s="1"/>
  <c r="AB7" i="14" a="1"/>
  <c r="AB7" i="14" s="1"/>
  <c r="Z7" i="14" a="1"/>
  <c r="Z7" i="14" s="1"/>
  <c r="Y8" i="14" a="1"/>
  <c r="Y8" i="14" s="1"/>
  <c r="P7" i="14" a="1"/>
  <c r="P7" i="14" s="1"/>
  <c r="S8" i="14" a="1"/>
  <c r="S8" i="14" s="1"/>
  <c r="O8" i="14" a="1"/>
  <c r="O8" i="14" s="1"/>
  <c r="AO8" i="14" a="1"/>
  <c r="AO8" i="14" s="1"/>
  <c r="AA8" i="14" a="1"/>
  <c r="AA8" i="14" s="1"/>
  <c r="AE8" i="14" a="1"/>
  <c r="AE8" i="14" s="1"/>
  <c r="AQ8" i="14" a="1"/>
  <c r="AQ8" i="14" s="1"/>
  <c r="H145" i="21"/>
  <c r="I6" i="14" a="1"/>
  <c r="I6" i="14" s="1"/>
  <c r="X7" i="14" a="1"/>
  <c r="X7" i="14" s="1"/>
  <c r="AG8" i="14" a="1"/>
  <c r="AG8" i="14" s="1"/>
  <c r="Q8" i="14" a="1"/>
  <c r="Q8" i="14" s="1"/>
  <c r="AV7" i="14" a="1"/>
  <c r="AV7" i="14" s="1"/>
  <c r="AI8" i="14" a="1"/>
  <c r="AI8" i="14" s="1"/>
  <c r="AU8" i="14" a="1"/>
  <c r="AU8" i="14" s="1"/>
  <c r="AC8" i="14" a="1"/>
  <c r="AC8" i="14" s="1"/>
  <c r="H426" i="21"/>
  <c r="E81" i="22" s="1"/>
  <c r="I96" i="23" s="1"/>
  <c r="X96" i="23" s="1"/>
  <c r="G920" i="21"/>
  <c r="I59" i="22"/>
  <c r="E101" i="23" s="1"/>
  <c r="X143" i="23" s="1"/>
  <c r="F669" i="21"/>
  <c r="H878" i="21"/>
  <c r="F63" i="21"/>
  <c r="F878" i="21"/>
  <c r="F851" i="21"/>
  <c r="G414" i="21"/>
  <c r="I52" i="22" s="1"/>
  <c r="G54" i="21"/>
  <c r="E41" i="22" s="1"/>
  <c r="H81" i="23" s="1"/>
  <c r="X62" i="23" s="1"/>
  <c r="H589" i="21"/>
  <c r="H626" i="21"/>
  <c r="F426" i="21"/>
  <c r="E27" i="22" s="1"/>
  <c r="G96" i="23" s="1"/>
  <c r="X54" i="23" s="1"/>
  <c r="H30" i="21"/>
  <c r="F30" i="21"/>
  <c r="G35" i="21"/>
  <c r="H35" i="21"/>
  <c r="H33" i="21"/>
  <c r="G29" i="21"/>
  <c r="F33" i="21"/>
  <c r="F29" i="21"/>
  <c r="G253" i="21"/>
  <c r="H253" i="21"/>
  <c r="H653" i="21"/>
  <c r="F199" i="21"/>
  <c r="F92" i="21"/>
  <c r="I16" i="22" s="1"/>
  <c r="D83" i="23" s="1"/>
  <c r="X106" i="23" s="1"/>
  <c r="F245" i="21"/>
  <c r="E20" i="22" s="1"/>
  <c r="G89" i="23" s="1"/>
  <c r="X47" i="23" s="1"/>
  <c r="G100" i="21"/>
  <c r="G494" i="21"/>
  <c r="E57" i="22" s="1"/>
  <c r="H99" i="23" s="1"/>
  <c r="X78" i="23" s="1"/>
  <c r="F100" i="21"/>
  <c r="F831" i="21"/>
  <c r="F606" i="21"/>
  <c r="F474" i="21"/>
  <c r="H494" i="21"/>
  <c r="I84" i="22" s="1"/>
  <c r="F99" i="23" s="1"/>
  <c r="X162" i="23" s="1"/>
  <c r="G474" i="21"/>
  <c r="I56" i="22" s="1"/>
  <c r="E98" i="23" s="1"/>
  <c r="X140" i="23" s="1"/>
  <c r="H669" i="21"/>
  <c r="G380" i="21"/>
  <c r="E50" i="22" s="1"/>
  <c r="G878" i="21"/>
  <c r="F293" i="21"/>
  <c r="G293" i="21"/>
  <c r="H293" i="21"/>
  <c r="H199" i="21"/>
  <c r="H474" i="21"/>
  <c r="I83" i="22" s="1"/>
  <c r="F98" i="23" s="1"/>
  <c r="X161" i="23" s="1"/>
  <c r="E32" i="22"/>
  <c r="G101" i="23" s="1"/>
  <c r="X59" i="23" s="1"/>
  <c r="F814" i="21"/>
  <c r="H100" i="21"/>
  <c r="F653" i="21"/>
  <c r="G139" i="21"/>
  <c r="G640" i="21"/>
  <c r="E640" i="21"/>
  <c r="F640" i="21" s="1"/>
  <c r="G292" i="21"/>
  <c r="H292" i="21"/>
  <c r="E292" i="21"/>
  <c r="F292" i="21" s="1"/>
  <c r="E294" i="21"/>
  <c r="F294" i="21" s="1"/>
  <c r="G294" i="21"/>
  <c r="H294" i="21"/>
  <c r="H814" i="21"/>
  <c r="F626" i="21"/>
  <c r="H272" i="21"/>
  <c r="E272" i="21"/>
  <c r="F272" i="21" s="1"/>
  <c r="G272" i="21"/>
  <c r="G273" i="21"/>
  <c r="E273" i="21"/>
  <c r="F273" i="21" s="1"/>
  <c r="H273" i="21"/>
  <c r="H360" i="21"/>
  <c r="H260" i="21"/>
  <c r="H70" i="21"/>
  <c r="G70" i="21"/>
  <c r="F70" i="21"/>
  <c r="G753" i="21"/>
  <c r="H753" i="21"/>
  <c r="F753" i="21"/>
  <c r="H257" i="21"/>
  <c r="F773" i="21"/>
  <c r="H773" i="21"/>
  <c r="G773" i="21"/>
  <c r="G750" i="21"/>
  <c r="H750" i="21"/>
  <c r="F750" i="21"/>
  <c r="F69" i="21"/>
  <c r="H69" i="21"/>
  <c r="G69" i="21"/>
  <c r="H551" i="21"/>
  <c r="G551" i="21"/>
  <c r="F551" i="21"/>
  <c r="H971" i="21"/>
  <c r="G971" i="21"/>
  <c r="F971" i="21"/>
  <c r="E865" i="21"/>
  <c r="F865" i="21" s="1"/>
  <c r="H865" i="21"/>
  <c r="G865" i="21"/>
  <c r="G338" i="21"/>
  <c r="H338" i="21"/>
  <c r="F338" i="21"/>
  <c r="H569" i="21"/>
  <c r="G569" i="21"/>
  <c r="F569" i="21"/>
  <c r="F632" i="21"/>
  <c r="H632" i="21"/>
  <c r="G632" i="21"/>
  <c r="G947" i="21"/>
  <c r="F947" i="21"/>
  <c r="H947" i="21"/>
  <c r="G154" i="21"/>
  <c r="F154" i="21"/>
  <c r="H154" i="21"/>
  <c r="D164" i="21"/>
  <c r="H564" i="21"/>
  <c r="G564" i="21"/>
  <c r="F564" i="21"/>
  <c r="H973" i="21"/>
  <c r="G973" i="21"/>
  <c r="F973" i="21"/>
  <c r="F754" i="21"/>
  <c r="H754" i="21"/>
  <c r="G754" i="21"/>
  <c r="G259" i="21"/>
  <c r="H259" i="21"/>
  <c r="F259" i="21"/>
  <c r="F929" i="21"/>
  <c r="H929" i="21"/>
  <c r="G929" i="21"/>
  <c r="H566" i="21"/>
  <c r="G566" i="21"/>
  <c r="F566" i="21"/>
  <c r="H680" i="21"/>
  <c r="G680" i="21"/>
  <c r="F680" i="21"/>
  <c r="H976" i="21"/>
  <c r="G976" i="21"/>
  <c r="F976" i="21"/>
  <c r="H745" i="21"/>
  <c r="G745" i="21"/>
  <c r="F745" i="21"/>
  <c r="G776" i="21"/>
  <c r="F776" i="21"/>
  <c r="H776" i="21"/>
  <c r="H550" i="21"/>
  <c r="F550" i="21"/>
  <c r="G550" i="21"/>
  <c r="F397" i="21"/>
  <c r="E262" i="21"/>
  <c r="F262" i="21" s="1"/>
  <c r="G262" i="21"/>
  <c r="H925" i="21"/>
  <c r="G925" i="21"/>
  <c r="F925" i="21"/>
  <c r="H851" i="21"/>
  <c r="H278" i="21"/>
  <c r="G278" i="21"/>
  <c r="E278" i="21"/>
  <c r="F278" i="21" s="1"/>
  <c r="G271" i="21"/>
  <c r="E271" i="21"/>
  <c r="F271" i="21" s="1"/>
  <c r="H271" i="21"/>
  <c r="G199" i="21"/>
  <c r="G245" i="21"/>
  <c r="F226" i="21"/>
  <c r="H155" i="21"/>
  <c r="G155" i="21"/>
  <c r="F155" i="21"/>
  <c r="H790" i="21"/>
  <c r="F790" i="21"/>
  <c r="G790" i="21"/>
  <c r="H75" i="21"/>
  <c r="G75" i="21"/>
  <c r="F75" i="21"/>
  <c r="H54" i="21"/>
  <c r="G899" i="21"/>
  <c r="H899" i="21"/>
  <c r="F899" i="21"/>
  <c r="H905" i="21"/>
  <c r="G905" i="21"/>
  <c r="F905" i="21"/>
  <c r="G674" i="21"/>
  <c r="H674" i="21"/>
  <c r="F674" i="21"/>
  <c r="H884" i="21"/>
  <c r="G884" i="21"/>
  <c r="F884" i="21"/>
  <c r="G675" i="21"/>
  <c r="H675" i="21"/>
  <c r="F675" i="21"/>
  <c r="F320" i="21"/>
  <c r="H320" i="21"/>
  <c r="G320" i="21"/>
  <c r="G341" i="21"/>
  <c r="F341" i="21"/>
  <c r="H341" i="21"/>
  <c r="D633" i="21"/>
  <c r="H631" i="21"/>
  <c r="G631" i="21"/>
  <c r="F631" i="21"/>
  <c r="H933" i="21"/>
  <c r="G933" i="21"/>
  <c r="F933" i="21"/>
  <c r="H702" i="21"/>
  <c r="G702" i="21"/>
  <c r="F702" i="21"/>
  <c r="D327" i="21"/>
  <c r="F314" i="21"/>
  <c r="H314" i="21"/>
  <c r="G314" i="21"/>
  <c r="H73" i="21"/>
  <c r="G73" i="21"/>
  <c r="F73" i="21"/>
  <c r="H547" i="21"/>
  <c r="G547" i="21"/>
  <c r="F547" i="21"/>
  <c r="G771" i="21"/>
  <c r="H771" i="21"/>
  <c r="F771" i="21"/>
  <c r="F950" i="21"/>
  <c r="H950" i="21"/>
  <c r="G950" i="21"/>
  <c r="G335" i="21"/>
  <c r="F335" i="21"/>
  <c r="H335" i="21"/>
  <c r="H549" i="21"/>
  <c r="G549" i="21"/>
  <c r="F549" i="21"/>
  <c r="F718" i="21"/>
  <c r="G718" i="21"/>
  <c r="H718" i="21"/>
  <c r="D730" i="21"/>
  <c r="H548" i="21"/>
  <c r="G548" i="21"/>
  <c r="F548" i="21"/>
  <c r="H793" i="21"/>
  <c r="G793" i="21"/>
  <c r="F793" i="21"/>
  <c r="H567" i="21"/>
  <c r="G567" i="21"/>
  <c r="F567" i="21"/>
  <c r="H928" i="21"/>
  <c r="G928" i="21"/>
  <c r="F928" i="21"/>
  <c r="G397" i="21"/>
  <c r="F360" i="21"/>
  <c r="H703" i="21"/>
  <c r="G703" i="21"/>
  <c r="F703" i="21"/>
  <c r="G606" i="21"/>
  <c r="H535" i="21"/>
  <c r="E138" i="21"/>
  <c r="F138" i="21" s="1"/>
  <c r="H138" i="21"/>
  <c r="G138" i="21"/>
  <c r="H276" i="21"/>
  <c r="E276" i="21"/>
  <c r="F276" i="21" s="1"/>
  <c r="G276" i="21"/>
  <c r="G145" i="21"/>
  <c r="H269" i="21"/>
  <c r="G269" i="21"/>
  <c r="E269" i="21"/>
  <c r="F269" i="21" s="1"/>
  <c r="H143" i="21"/>
  <c r="G318" i="21"/>
  <c r="H318" i="21"/>
  <c r="F318" i="21"/>
  <c r="G226" i="21"/>
  <c r="G778" i="21"/>
  <c r="F778" i="21"/>
  <c r="H778" i="21"/>
  <c r="H26" i="21"/>
  <c r="F26" i="21"/>
  <c r="G26" i="21"/>
  <c r="D37" i="21"/>
  <c r="F317" i="21"/>
  <c r="H317" i="21"/>
  <c r="G317" i="21"/>
  <c r="H883" i="21"/>
  <c r="D885" i="21"/>
  <c r="G883" i="21"/>
  <c r="F883" i="21"/>
  <c r="H71" i="21"/>
  <c r="G71" i="21"/>
  <c r="F71" i="21"/>
  <c r="H932" i="21"/>
  <c r="G932" i="21"/>
  <c r="F932" i="21"/>
  <c r="L72" i="16"/>
  <c r="H563" i="21"/>
  <c r="G563" i="21"/>
  <c r="F563" i="21"/>
  <c r="H972" i="21"/>
  <c r="G972" i="21"/>
  <c r="F972" i="21"/>
  <c r="H954" i="21"/>
  <c r="G954" i="21"/>
  <c r="F954" i="21"/>
  <c r="G723" i="21"/>
  <c r="F723" i="21"/>
  <c r="H723" i="21"/>
  <c r="G36" i="21"/>
  <c r="H36" i="21"/>
  <c r="F36" i="21"/>
  <c r="H333" i="21"/>
  <c r="G333" i="21"/>
  <c r="F333" i="21"/>
  <c r="D343" i="21"/>
  <c r="H570" i="21"/>
  <c r="G570" i="21"/>
  <c r="F570" i="21"/>
  <c r="H788" i="21"/>
  <c r="G788" i="21"/>
  <c r="F788" i="21"/>
  <c r="H975" i="21"/>
  <c r="G975" i="21"/>
  <c r="F975" i="21"/>
  <c r="G961" i="21"/>
  <c r="F961" i="21"/>
  <c r="H961" i="21"/>
  <c r="H944" i="21"/>
  <c r="G944" i="21"/>
  <c r="F944" i="21"/>
  <c r="D956" i="21"/>
  <c r="G744" i="21"/>
  <c r="H744" i="21"/>
  <c r="F744" i="21"/>
  <c r="D756" i="21"/>
  <c r="G705" i="21"/>
  <c r="F705" i="21"/>
  <c r="H705" i="21"/>
  <c r="H924" i="21"/>
  <c r="G924" i="21"/>
  <c r="F924" i="21"/>
  <c r="H951" i="21"/>
  <c r="G951" i="21"/>
  <c r="F951" i="21"/>
  <c r="H92" i="21"/>
  <c r="H565" i="21"/>
  <c r="G565" i="21"/>
  <c r="F565" i="21"/>
  <c r="I172" i="20"/>
  <c r="I201" i="20"/>
  <c r="F902" i="21"/>
  <c r="H902" i="21"/>
  <c r="G902" i="21"/>
  <c r="H397" i="21"/>
  <c r="G851" i="21"/>
  <c r="G589" i="21"/>
  <c r="G337" i="21"/>
  <c r="H337" i="21"/>
  <c r="F337" i="21"/>
  <c r="G706" i="21"/>
  <c r="H706" i="21"/>
  <c r="F706" i="21"/>
  <c r="G772" i="21"/>
  <c r="F772" i="21"/>
  <c r="H772" i="21"/>
  <c r="H336" i="21"/>
  <c r="G336" i="21"/>
  <c r="F336" i="21"/>
  <c r="H289" i="21"/>
  <c r="E289" i="21"/>
  <c r="F289" i="21" s="1"/>
  <c r="G289" i="21"/>
  <c r="E296" i="21"/>
  <c r="F296" i="21" s="1"/>
  <c r="H296" i="21"/>
  <c r="G296" i="21"/>
  <c r="H831" i="21"/>
  <c r="F535" i="21"/>
  <c r="E275" i="21"/>
  <c r="F275" i="21" s="1"/>
  <c r="H275" i="21"/>
  <c r="G275" i="21"/>
  <c r="E54" i="22"/>
  <c r="H96" i="23" s="1"/>
  <c r="X75" i="23" s="1"/>
  <c r="I54" i="22"/>
  <c r="E96" i="23" s="1"/>
  <c r="X138" i="23" s="1"/>
  <c r="E277" i="21"/>
  <c r="F277" i="21" s="1"/>
  <c r="H277" i="21"/>
  <c r="G277" i="21"/>
  <c r="G143" i="21"/>
  <c r="H136" i="21"/>
  <c r="E136" i="21"/>
  <c r="F136" i="21" s="1"/>
  <c r="G136" i="21"/>
  <c r="H139" i="21"/>
  <c r="G256" i="21"/>
  <c r="H245" i="21"/>
  <c r="H334" i="21"/>
  <c r="G334" i="21"/>
  <c r="F334" i="21"/>
  <c r="H795" i="21"/>
  <c r="G795" i="21"/>
  <c r="F795" i="21"/>
  <c r="H323" i="21"/>
  <c r="F323" i="21"/>
  <c r="G323" i="21"/>
  <c r="G774" i="21"/>
  <c r="F774" i="21"/>
  <c r="H774" i="21"/>
  <c r="H931" i="21"/>
  <c r="G931" i="21"/>
  <c r="F931" i="21"/>
  <c r="H699" i="21"/>
  <c r="G699" i="21"/>
  <c r="F699" i="21"/>
  <c r="H857" i="21"/>
  <c r="G857" i="21"/>
  <c r="F857" i="21"/>
  <c r="H978" i="21"/>
  <c r="G978" i="21"/>
  <c r="F978" i="21"/>
  <c r="F700" i="21"/>
  <c r="H700" i="21"/>
  <c r="G700" i="21"/>
  <c r="H160" i="21"/>
  <c r="F160" i="21"/>
  <c r="G160" i="21"/>
  <c r="G74" i="21"/>
  <c r="F74" i="21"/>
  <c r="H74" i="21"/>
  <c r="H546" i="21"/>
  <c r="G546" i="21"/>
  <c r="F546" i="21"/>
  <c r="H979" i="21"/>
  <c r="G979" i="21"/>
  <c r="F979" i="21"/>
  <c r="H676" i="21"/>
  <c r="G676" i="21"/>
  <c r="F676" i="21"/>
  <c r="G749" i="21"/>
  <c r="H749" i="21"/>
  <c r="F749" i="21"/>
  <c r="H263" i="21"/>
  <c r="G263" i="21"/>
  <c r="F263" i="21"/>
  <c r="F321" i="21"/>
  <c r="H321" i="21"/>
  <c r="G321" i="21"/>
  <c r="H553" i="21"/>
  <c r="G553" i="21"/>
  <c r="F553" i="21"/>
  <c r="H141" i="21"/>
  <c r="H679" i="21"/>
  <c r="G679" i="21"/>
  <c r="F679" i="21"/>
  <c r="L75" i="16"/>
  <c r="H29" i="16" s="1"/>
  <c r="B29" i="16" s="1"/>
  <c r="H68" i="21"/>
  <c r="G68" i="21"/>
  <c r="F68" i="21"/>
  <c r="H897" i="21"/>
  <c r="G897" i="21"/>
  <c r="F897" i="21"/>
  <c r="D910" i="21"/>
  <c r="F969" i="21"/>
  <c r="H969" i="21"/>
  <c r="G969" i="21"/>
  <c r="D981" i="21"/>
  <c r="F726" i="21"/>
  <c r="G726" i="21"/>
  <c r="H726" i="21"/>
  <c r="H571" i="21"/>
  <c r="G571" i="21"/>
  <c r="F571" i="21"/>
  <c r="G831" i="21"/>
  <c r="H270" i="21"/>
  <c r="G270" i="21"/>
  <c r="E270" i="21"/>
  <c r="F270" i="21" s="1"/>
  <c r="G535" i="21"/>
  <c r="E60" i="22" s="1"/>
  <c r="H102" i="23" s="1"/>
  <c r="X81" i="23" s="1"/>
  <c r="E142" i="21"/>
  <c r="F142" i="21" s="1"/>
  <c r="H142" i="21"/>
  <c r="G142" i="21"/>
  <c r="H144" i="21"/>
  <c r="E144" i="21"/>
  <c r="F144" i="21" s="1"/>
  <c r="G144" i="21"/>
  <c r="G141" i="21"/>
  <c r="H158" i="21"/>
  <c r="G158" i="21"/>
  <c r="F158" i="21"/>
  <c r="F681" i="21"/>
  <c r="H681" i="21"/>
  <c r="G681" i="21"/>
  <c r="H262" i="21"/>
  <c r="F678" i="21"/>
  <c r="H678" i="21"/>
  <c r="G678" i="21"/>
  <c r="G791" i="21"/>
  <c r="F791" i="21"/>
  <c r="H791" i="21"/>
  <c r="F157" i="21"/>
  <c r="H157" i="21"/>
  <c r="G157" i="21"/>
  <c r="H952" i="21"/>
  <c r="G952" i="21"/>
  <c r="F952" i="21"/>
  <c r="H720" i="21"/>
  <c r="F720" i="21"/>
  <c r="G720" i="21"/>
  <c r="D858" i="21"/>
  <c r="H856" i="21"/>
  <c r="G856" i="21"/>
  <c r="F856" i="21"/>
  <c r="G319" i="21"/>
  <c r="F319" i="21"/>
  <c r="H319" i="21"/>
  <c r="H953" i="21"/>
  <c r="G953" i="21"/>
  <c r="F953" i="21"/>
  <c r="H721" i="21"/>
  <c r="G721" i="21"/>
  <c r="F721" i="21"/>
  <c r="H659" i="21"/>
  <c r="G659" i="21"/>
  <c r="F659" i="21"/>
  <c r="G900" i="21"/>
  <c r="F900" i="21"/>
  <c r="H900" i="21"/>
  <c r="H775" i="21"/>
  <c r="F775" i="21"/>
  <c r="G775" i="21"/>
  <c r="F901" i="21"/>
  <c r="H901" i="21"/>
  <c r="G901" i="21"/>
  <c r="G682" i="21"/>
  <c r="H682" i="21"/>
  <c r="F682" i="21"/>
  <c r="H903" i="21"/>
  <c r="F903" i="21"/>
  <c r="G903" i="21"/>
  <c r="H986" i="21"/>
  <c r="G986" i="21"/>
  <c r="F986" i="21"/>
  <c r="G761" i="21"/>
  <c r="H761" i="21"/>
  <c r="F761" i="21"/>
  <c r="H672" i="21"/>
  <c r="G672" i="21"/>
  <c r="F672" i="21"/>
  <c r="D685" i="21"/>
  <c r="F450" i="21"/>
  <c r="G752" i="21"/>
  <c r="H752" i="21"/>
  <c r="F752" i="21"/>
  <c r="H945" i="21"/>
  <c r="G945" i="21"/>
  <c r="F945" i="21"/>
  <c r="H904" i="21"/>
  <c r="G904" i="21"/>
  <c r="F904" i="21"/>
  <c r="H554" i="21"/>
  <c r="G554" i="21"/>
  <c r="F554" i="21"/>
  <c r="H673" i="21"/>
  <c r="G673" i="21"/>
  <c r="F673" i="21"/>
  <c r="H31" i="21"/>
  <c r="G31" i="21"/>
  <c r="F31" i="21"/>
  <c r="L49" i="16" a="1"/>
  <c r="L49" i="16" s="1"/>
  <c r="H28" i="16" s="1"/>
  <c r="B28" i="16" s="1"/>
  <c r="H291" i="21"/>
  <c r="G291" i="21"/>
  <c r="E291" i="21"/>
  <c r="F291" i="21" s="1"/>
  <c r="E288" i="21"/>
  <c r="F288" i="21" s="1"/>
  <c r="H288" i="21"/>
  <c r="G288" i="21"/>
  <c r="G653" i="21"/>
  <c r="H606" i="21"/>
  <c r="H226" i="21"/>
  <c r="H256" i="21"/>
  <c r="G92" i="21"/>
  <c r="H67" i="21"/>
  <c r="G67" i="21"/>
  <c r="F67" i="21"/>
  <c r="H163" i="21"/>
  <c r="G163" i="21"/>
  <c r="F163" i="21"/>
  <c r="F977" i="21"/>
  <c r="H977" i="21"/>
  <c r="G977" i="21"/>
  <c r="F746" i="21"/>
  <c r="G746" i="21"/>
  <c r="H746" i="21"/>
  <c r="G779" i="21"/>
  <c r="H779" i="21"/>
  <c r="F779" i="21"/>
  <c r="H545" i="21"/>
  <c r="G545" i="21"/>
  <c r="F545" i="21"/>
  <c r="D555" i="21"/>
  <c r="G906" i="21"/>
  <c r="H906" i="21"/>
  <c r="F906" i="21"/>
  <c r="G747" i="21"/>
  <c r="H747" i="21"/>
  <c r="F747" i="21"/>
  <c r="H339" i="21"/>
  <c r="G339" i="21"/>
  <c r="F339" i="21"/>
  <c r="G322" i="21"/>
  <c r="F322" i="21"/>
  <c r="H322" i="21"/>
  <c r="E613" i="21"/>
  <c r="F613" i="21" s="1"/>
  <c r="H613" i="21"/>
  <c r="G613" i="21"/>
  <c r="G926" i="21"/>
  <c r="F926" i="21"/>
  <c r="H926" i="21"/>
  <c r="F701" i="21"/>
  <c r="H701" i="21"/>
  <c r="G701" i="21"/>
  <c r="G792" i="21"/>
  <c r="H792" i="21"/>
  <c r="F792" i="21"/>
  <c r="G66" i="21"/>
  <c r="F66" i="21"/>
  <c r="H66" i="21"/>
  <c r="D76" i="21"/>
  <c r="H161" i="21"/>
  <c r="G161" i="21"/>
  <c r="F161" i="21"/>
  <c r="H27" i="21"/>
  <c r="F27" i="21"/>
  <c r="G27" i="21"/>
  <c r="H704" i="21"/>
  <c r="G704" i="21"/>
  <c r="F704" i="21"/>
  <c r="G316" i="21"/>
  <c r="F316" i="21"/>
  <c r="H316" i="21"/>
  <c r="G735" i="21"/>
  <c r="H735" i="21"/>
  <c r="F735" i="21"/>
  <c r="G450" i="21"/>
  <c r="H970" i="21"/>
  <c r="G970" i="21"/>
  <c r="F970" i="21"/>
  <c r="H258" i="21"/>
  <c r="G258" i="21"/>
  <c r="F258" i="21"/>
  <c r="G348" i="21"/>
  <c r="H348" i="21"/>
  <c r="F348" i="21"/>
  <c r="H927" i="21"/>
  <c r="G927" i="21"/>
  <c r="F927" i="21"/>
  <c r="H707" i="21"/>
  <c r="G707" i="21"/>
  <c r="F707" i="21"/>
  <c r="F254" i="21"/>
  <c r="H254" i="21"/>
  <c r="G254" i="21"/>
  <c r="D264" i="21"/>
  <c r="F725" i="21"/>
  <c r="H725" i="21"/>
  <c r="G725" i="21"/>
  <c r="H777" i="21"/>
  <c r="G777" i="21"/>
  <c r="F777" i="21"/>
  <c r="G697" i="21"/>
  <c r="H697" i="21"/>
  <c r="F697" i="21"/>
  <c r="D710" i="21"/>
  <c r="H450" i="21"/>
  <c r="G898" i="21"/>
  <c r="H898" i="21"/>
  <c r="F898" i="21"/>
  <c r="H930" i="21"/>
  <c r="G930" i="21"/>
  <c r="F930" i="21"/>
  <c r="G698" i="21"/>
  <c r="F698" i="21"/>
  <c r="H698" i="21"/>
  <c r="F770" i="21"/>
  <c r="H770" i="21"/>
  <c r="G770" i="21"/>
  <c r="D780" i="21"/>
  <c r="I50" i="20"/>
  <c r="I79" i="20"/>
  <c r="H949" i="21"/>
  <c r="G949" i="21"/>
  <c r="F949" i="21"/>
  <c r="G28" i="21"/>
  <c r="F28" i="21"/>
  <c r="H28" i="21"/>
  <c r="H796" i="21"/>
  <c r="G796" i="21"/>
  <c r="F796" i="21"/>
  <c r="H159" i="21"/>
  <c r="G159" i="21"/>
  <c r="F159" i="21"/>
  <c r="H562" i="21"/>
  <c r="G562" i="21"/>
  <c r="F562" i="21"/>
  <c r="G907" i="21"/>
  <c r="H907" i="21"/>
  <c r="F907" i="21"/>
  <c r="F722" i="21"/>
  <c r="G722" i="21"/>
  <c r="H722" i="21"/>
  <c r="E295" i="21"/>
  <c r="F295" i="21" s="1"/>
  <c r="H295" i="21"/>
  <c r="G295" i="21"/>
  <c r="F894" i="21"/>
  <c r="G814" i="21"/>
  <c r="G626" i="21"/>
  <c r="H274" i="21"/>
  <c r="G274" i="21"/>
  <c r="E274" i="21"/>
  <c r="F274" i="21" s="1"/>
  <c r="H414" i="21"/>
  <c r="F589" i="21"/>
  <c r="E140" i="21"/>
  <c r="F140" i="21" s="1"/>
  <c r="H140" i="21"/>
  <c r="G140" i="21"/>
  <c r="H380" i="21"/>
  <c r="F54" i="21"/>
  <c r="G360" i="21"/>
  <c r="G260" i="21"/>
  <c r="H727" i="21"/>
  <c r="G727" i="21"/>
  <c r="F727" i="21"/>
  <c r="G257" i="21"/>
  <c r="F34" i="21"/>
  <c r="H34" i="21"/>
  <c r="G34" i="21"/>
  <c r="F789" i="21"/>
  <c r="H789" i="21"/>
  <c r="G789" i="21"/>
  <c r="H315" i="21"/>
  <c r="G315" i="21"/>
  <c r="F315" i="21"/>
  <c r="H342" i="21"/>
  <c r="G342" i="21"/>
  <c r="F342" i="21"/>
  <c r="H724" i="21"/>
  <c r="G724" i="21"/>
  <c r="F724" i="21"/>
  <c r="F128" i="21"/>
  <c r="H568" i="21"/>
  <c r="F568" i="21"/>
  <c r="G568" i="21"/>
  <c r="H946" i="21"/>
  <c r="G946" i="21"/>
  <c r="F946" i="21"/>
  <c r="H838" i="21"/>
  <c r="G838" i="21"/>
  <c r="E838" i="21"/>
  <c r="F838" i="21" s="1"/>
  <c r="H552" i="21"/>
  <c r="G552" i="21"/>
  <c r="F552" i="21"/>
  <c r="H137" i="21"/>
  <c r="G72" i="21"/>
  <c r="F72" i="21"/>
  <c r="H72" i="21"/>
  <c r="G162" i="21"/>
  <c r="F162" i="21"/>
  <c r="H162" i="21"/>
  <c r="H658" i="21"/>
  <c r="G658" i="21"/>
  <c r="F658" i="21"/>
  <c r="D660" i="21"/>
  <c r="H748" i="21"/>
  <c r="G748" i="21"/>
  <c r="F748" i="21"/>
  <c r="F677" i="21"/>
  <c r="G677" i="21"/>
  <c r="H677" i="21"/>
  <c r="F169" i="21"/>
  <c r="H169" i="21"/>
  <c r="G169" i="21"/>
  <c r="F340" i="21"/>
  <c r="H340" i="21"/>
  <c r="G340" i="21"/>
  <c r="H948" i="21"/>
  <c r="G948" i="21"/>
  <c r="F948" i="21"/>
  <c r="H728" i="21"/>
  <c r="F728" i="21"/>
  <c r="G728" i="21"/>
  <c r="G32" i="21"/>
  <c r="F32" i="21"/>
  <c r="H32" i="21"/>
  <c r="G751" i="21"/>
  <c r="H751" i="21"/>
  <c r="F751" i="21"/>
  <c r="F794" i="21"/>
  <c r="H794" i="21"/>
  <c r="G794" i="21"/>
  <c r="H156" i="21"/>
  <c r="G156" i="21"/>
  <c r="F156" i="21"/>
  <c r="H923" i="21"/>
  <c r="G923" i="21"/>
  <c r="F923" i="21"/>
  <c r="D936" i="21"/>
  <c r="L38" i="16"/>
  <c r="L33" i="16" s="1"/>
  <c r="H26" i="16" s="1"/>
  <c r="B26" i="16" s="1"/>
  <c r="D889" i="21"/>
  <c r="D940" i="21"/>
  <c r="D593" i="21"/>
  <c r="D542" i="21"/>
  <c r="D965" i="21"/>
  <c r="D689" i="21"/>
  <c r="D862" i="21"/>
  <c r="D801" i="21"/>
  <c r="D784" i="21"/>
  <c r="D610" i="21"/>
  <c r="D637" i="21"/>
  <c r="D664" i="21"/>
  <c r="D818" i="21"/>
  <c r="D767" i="21"/>
  <c r="D740" i="21"/>
  <c r="D576" i="21"/>
  <c r="D559" i="21"/>
  <c r="D915" i="21"/>
  <c r="D835" i="21"/>
  <c r="D714" i="21"/>
  <c r="F719" i="21"/>
  <c r="H719" i="21"/>
  <c r="G719" i="21"/>
  <c r="H324" i="21"/>
  <c r="G324" i="21"/>
  <c r="F324" i="21"/>
  <c r="D797" i="21"/>
  <c r="G787" i="21"/>
  <c r="H787" i="21"/>
  <c r="F787" i="21"/>
  <c r="G974" i="21"/>
  <c r="F974" i="21"/>
  <c r="H974" i="21"/>
  <c r="H255" i="21"/>
  <c r="G255" i="21"/>
  <c r="F255" i="21"/>
  <c r="G109" i="21" l="1"/>
  <c r="E284" i="21"/>
  <c r="F284" i="21" s="1"/>
  <c r="G284" i="21"/>
  <c r="G302" i="21"/>
  <c r="H302" i="21"/>
  <c r="F302" i="21"/>
  <c r="F303" i="21"/>
  <c r="F304" i="21" s="1"/>
  <c r="G303" i="21"/>
  <c r="G128" i="21"/>
  <c r="G127" i="21"/>
  <c r="G129" i="21" s="1"/>
  <c r="I44" i="22" s="1"/>
  <c r="E109" i="21"/>
  <c r="F109" i="21" s="1"/>
  <c r="X29" i="23"/>
  <c r="X35" i="23"/>
  <c r="H127" i="21"/>
  <c r="H129" i="21" s="1"/>
  <c r="I71" i="22" s="1"/>
  <c r="D129" i="21"/>
  <c r="I140" i="20"/>
  <c r="I23" i="20" s="1"/>
  <c r="B23" i="20" s="1"/>
  <c r="H287" i="21"/>
  <c r="H297" i="21" s="1"/>
  <c r="E287" i="21"/>
  <c r="F287" i="21" s="1"/>
  <c r="F297" i="21" s="1"/>
  <c r="I27" i="20"/>
  <c r="B27" i="20" s="1"/>
  <c r="U16" i="23"/>
  <c r="X19" i="23"/>
  <c r="I25" i="22"/>
  <c r="D94" i="23" s="1"/>
  <c r="X115" i="23" s="1"/>
  <c r="X28" i="23" s="1"/>
  <c r="E52" i="22"/>
  <c r="H94" i="23" s="1"/>
  <c r="X73" i="23" s="1"/>
  <c r="I81" i="22"/>
  <c r="F96" i="23" s="1"/>
  <c r="X159" i="23" s="1"/>
  <c r="I86" i="22"/>
  <c r="F101" i="23" s="1"/>
  <c r="X164" i="23" s="1"/>
  <c r="E29" i="22"/>
  <c r="G98" i="23" s="1"/>
  <c r="X56" i="23" s="1"/>
  <c r="G304" i="21"/>
  <c r="G311" i="21"/>
  <c r="G94" i="23"/>
  <c r="X52" i="23" s="1"/>
  <c r="H92" i="23"/>
  <c r="X71" i="23" s="1"/>
  <c r="E94" i="23"/>
  <c r="X136" i="23" s="1"/>
  <c r="E19" i="22"/>
  <c r="H304" i="21"/>
  <c r="E83" i="22"/>
  <c r="I98" i="23" s="1"/>
  <c r="X98" i="23" s="1"/>
  <c r="E56" i="22"/>
  <c r="H98" i="23" s="1"/>
  <c r="X77" i="23" s="1"/>
  <c r="I20" i="22"/>
  <c r="D89" i="23" s="1"/>
  <c r="X110" i="23" s="1"/>
  <c r="X23" i="23" s="1"/>
  <c r="I27" i="22"/>
  <c r="D96" i="23" s="1"/>
  <c r="X117" i="23" s="1"/>
  <c r="X30" i="23" s="1"/>
  <c r="G633" i="21"/>
  <c r="I41" i="22"/>
  <c r="E81" i="23" s="1"/>
  <c r="X125" i="23" s="1"/>
  <c r="E84" i="22"/>
  <c r="I99" i="23" s="1"/>
  <c r="X99" i="23" s="1"/>
  <c r="E16" i="22"/>
  <c r="G83" i="23" s="1"/>
  <c r="X43" i="23" s="1"/>
  <c r="I73" i="22"/>
  <c r="I29" i="22"/>
  <c r="D98" i="23" s="1"/>
  <c r="X119" i="23" s="1"/>
  <c r="X32" i="23" s="1"/>
  <c r="F885" i="21"/>
  <c r="F858" i="21"/>
  <c r="F660" i="21"/>
  <c r="I57" i="22"/>
  <c r="E99" i="23" s="1"/>
  <c r="X141" i="23" s="1"/>
  <c r="H660" i="21"/>
  <c r="I50" i="22"/>
  <c r="G858" i="21"/>
  <c r="H756" i="21"/>
  <c r="H633" i="21"/>
  <c r="H572" i="21"/>
  <c r="H264" i="21"/>
  <c r="G956" i="21"/>
  <c r="F146" i="21"/>
  <c r="I18" i="22" s="1"/>
  <c r="H343" i="21"/>
  <c r="F936" i="21"/>
  <c r="F981" i="21"/>
  <c r="G936" i="21"/>
  <c r="I60" i="22"/>
  <c r="E102" i="23" s="1"/>
  <c r="X144" i="23" s="1"/>
  <c r="G756" i="21"/>
  <c r="E30" i="22"/>
  <c r="G99" i="23" s="1"/>
  <c r="X57" i="23" s="1"/>
  <c r="I30" i="22"/>
  <c r="D99" i="23" s="1"/>
  <c r="X120" i="23" s="1"/>
  <c r="X33" i="23" s="1"/>
  <c r="F264" i="21"/>
  <c r="G797" i="21"/>
  <c r="H858" i="21"/>
  <c r="G780" i="21"/>
  <c r="G264" i="21"/>
  <c r="F956" i="21"/>
  <c r="G343" i="21"/>
  <c r="G910" i="21"/>
  <c r="G710" i="21"/>
  <c r="H327" i="21"/>
  <c r="F164" i="21"/>
  <c r="H936" i="21"/>
  <c r="H780" i="21"/>
  <c r="F555" i="21"/>
  <c r="H685" i="21"/>
  <c r="E73" i="22"/>
  <c r="H910" i="21"/>
  <c r="E74" i="22"/>
  <c r="I89" i="23" s="1"/>
  <c r="X89" i="23" s="1"/>
  <c r="I74" i="22"/>
  <c r="F89" i="23" s="1"/>
  <c r="X152" i="23" s="1"/>
  <c r="I78" i="22"/>
  <c r="E78" i="22"/>
  <c r="F343" i="21"/>
  <c r="H37" i="21"/>
  <c r="F327" i="21"/>
  <c r="F633" i="21"/>
  <c r="G164" i="21"/>
  <c r="E44" i="22" s="1"/>
  <c r="I77" i="22"/>
  <c r="E77" i="22"/>
  <c r="E23" i="22"/>
  <c r="I23" i="22"/>
  <c r="G685" i="21"/>
  <c r="F37" i="21"/>
  <c r="G660" i="21"/>
  <c r="F780" i="21"/>
  <c r="G555" i="21"/>
  <c r="E70" i="22"/>
  <c r="I83" i="23" s="1"/>
  <c r="X85" i="23" s="1"/>
  <c r="I70" i="22"/>
  <c r="F83" i="23" s="1"/>
  <c r="X148" i="23" s="1"/>
  <c r="H730" i="21"/>
  <c r="F129" i="21"/>
  <c r="I17" i="22" s="1"/>
  <c r="F797" i="21"/>
  <c r="E55" i="22"/>
  <c r="I55" i="22"/>
  <c r="H555" i="21"/>
  <c r="G981" i="21"/>
  <c r="H956" i="21"/>
  <c r="E22" i="22"/>
  <c r="I22" i="22"/>
  <c r="G730" i="21"/>
  <c r="E47" i="22"/>
  <c r="H89" i="23" s="1"/>
  <c r="X68" i="23" s="1"/>
  <c r="I47" i="22"/>
  <c r="E89" i="23" s="1"/>
  <c r="X131" i="23" s="1"/>
  <c r="E33" i="22"/>
  <c r="G102" i="23" s="1"/>
  <c r="X60" i="23" s="1"/>
  <c r="I33" i="22"/>
  <c r="D102" i="23" s="1"/>
  <c r="X123" i="23" s="1"/>
  <c r="X36" i="23" s="1"/>
  <c r="H797" i="21"/>
  <c r="I82" i="22"/>
  <c r="E82" i="22"/>
  <c r="H76" i="21"/>
  <c r="H981" i="21"/>
  <c r="G146" i="21"/>
  <c r="G885" i="21"/>
  <c r="F279" i="21"/>
  <c r="E51" i="22"/>
  <c r="I51" i="22"/>
  <c r="F730" i="21"/>
  <c r="E24" i="22"/>
  <c r="I24" i="22"/>
  <c r="E76" i="22"/>
  <c r="I76" i="22"/>
  <c r="I79" i="22"/>
  <c r="E79" i="22"/>
  <c r="G297" i="21"/>
  <c r="F572" i="21"/>
  <c r="F76" i="21"/>
  <c r="E43" i="22"/>
  <c r="H83" i="23" s="1"/>
  <c r="X64" i="23" s="1"/>
  <c r="I43" i="22"/>
  <c r="E83" i="23" s="1"/>
  <c r="X127" i="23" s="1"/>
  <c r="F756" i="21"/>
  <c r="G279" i="21"/>
  <c r="E68" i="22"/>
  <c r="I81" i="23" s="1"/>
  <c r="X83" i="23" s="1"/>
  <c r="I68" i="22"/>
  <c r="F81" i="23" s="1"/>
  <c r="X146" i="23" s="1"/>
  <c r="E46" i="22"/>
  <c r="I46" i="22"/>
  <c r="E49" i="22"/>
  <c r="I49" i="22"/>
  <c r="G572" i="21"/>
  <c r="F710" i="21"/>
  <c r="G76" i="21"/>
  <c r="H146" i="21"/>
  <c r="H885" i="21"/>
  <c r="H279" i="21"/>
  <c r="I87" i="22"/>
  <c r="F102" i="23" s="1"/>
  <c r="X165" i="23" s="1"/>
  <c r="E87" i="22"/>
  <c r="I102" i="23" s="1"/>
  <c r="X102" i="23" s="1"/>
  <c r="I19" i="22"/>
  <c r="E28" i="22"/>
  <c r="I28" i="22"/>
  <c r="E14" i="22"/>
  <c r="G81" i="23" s="1"/>
  <c r="X41" i="23" s="1"/>
  <c r="I14" i="22"/>
  <c r="D81" i="23" s="1"/>
  <c r="X104" i="23" s="1"/>
  <c r="X17" i="23" s="1"/>
  <c r="H710" i="21"/>
  <c r="F685" i="21"/>
  <c r="F910" i="21"/>
  <c r="G37" i="21"/>
  <c r="G327" i="21"/>
  <c r="H164" i="21"/>
  <c r="E71" i="22" s="1"/>
  <c r="E17" i="22" l="1"/>
  <c r="E18" i="22"/>
  <c r="H18" i="22" s="1"/>
  <c r="E88" i="23"/>
  <c r="X130" i="23" s="1"/>
  <c r="G92" i="23"/>
  <c r="X50" i="23" s="1"/>
  <c r="I94" i="23"/>
  <c r="X94" i="23" s="1"/>
  <c r="I93" i="23"/>
  <c r="X93" i="23" s="1"/>
  <c r="G88" i="23"/>
  <c r="X46" i="23" s="1"/>
  <c r="F92" i="23"/>
  <c r="X155" i="23" s="1"/>
  <c r="D93" i="23"/>
  <c r="X114" i="23" s="1"/>
  <c r="X27" i="23" s="1"/>
  <c r="F94" i="23"/>
  <c r="X157" i="23" s="1"/>
  <c r="F93" i="23"/>
  <c r="X156" i="23" s="1"/>
  <c r="D97" i="23"/>
  <c r="X118" i="23" s="1"/>
  <c r="X31" i="23" s="1"/>
  <c r="G93" i="23"/>
  <c r="X51" i="23" s="1"/>
  <c r="H88" i="23"/>
  <c r="X67" i="23" s="1"/>
  <c r="E93" i="23"/>
  <c r="X135" i="23" s="1"/>
  <c r="I97" i="23"/>
  <c r="X97" i="23" s="1"/>
  <c r="H97" i="23"/>
  <c r="X76" i="23" s="1"/>
  <c r="F88" i="23"/>
  <c r="X151" i="23" s="1"/>
  <c r="H93" i="23"/>
  <c r="X72" i="23" s="1"/>
  <c r="F97" i="23"/>
  <c r="X160" i="23" s="1"/>
  <c r="D91" i="23"/>
  <c r="X112" i="23" s="1"/>
  <c r="X25" i="23" s="1"/>
  <c r="I88" i="23"/>
  <c r="X88" i="23" s="1"/>
  <c r="E92" i="23"/>
  <c r="X134" i="23" s="1"/>
  <c r="G97" i="23"/>
  <c r="X55" i="23" s="1"/>
  <c r="E91" i="23"/>
  <c r="X133" i="23" s="1"/>
  <c r="F91" i="23"/>
  <c r="X154" i="23" s="1"/>
  <c r="G91" i="23"/>
  <c r="X49" i="23" s="1"/>
  <c r="I92" i="23"/>
  <c r="X92" i="23" s="1"/>
  <c r="E97" i="23"/>
  <c r="X139" i="23" s="1"/>
  <c r="D88" i="23"/>
  <c r="X109" i="23" s="1"/>
  <c r="X22" i="23" s="1"/>
  <c r="H91" i="23"/>
  <c r="X70" i="23" s="1"/>
  <c r="I91" i="23"/>
  <c r="X91" i="23" s="1"/>
  <c r="D92" i="23"/>
  <c r="X113" i="23" s="1"/>
  <c r="X26" i="23" s="1"/>
  <c r="S16" i="23"/>
  <c r="K44" i="22"/>
  <c r="H71" i="22"/>
  <c r="H58" i="22"/>
  <c r="G17" i="22"/>
  <c r="G44" i="22"/>
  <c r="K17" i="22"/>
  <c r="E75" i="22"/>
  <c r="H75" i="22" s="1"/>
  <c r="E21" i="22"/>
  <c r="F21" i="22" s="1"/>
  <c r="G90" i="23" s="1"/>
  <c r="J58" i="22"/>
  <c r="E100" i="23" s="1"/>
  <c r="X142" i="23" s="1"/>
  <c r="L71" i="22"/>
  <c r="H44" i="22"/>
  <c r="I21" i="22"/>
  <c r="K21" i="22" s="1"/>
  <c r="G71" i="22"/>
  <c r="F71" i="22"/>
  <c r="I85" i="23" s="1"/>
  <c r="I48" i="22"/>
  <c r="K48" i="22" s="1"/>
  <c r="H17" i="22"/>
  <c r="H85" i="22"/>
  <c r="F85" i="22"/>
  <c r="I100" i="23" s="1"/>
  <c r="X100" i="23" s="1"/>
  <c r="J85" i="22"/>
  <c r="F100" i="23" s="1"/>
  <c r="X163" i="23" s="1"/>
  <c r="L85" i="22"/>
  <c r="F31" i="22"/>
  <c r="G100" i="23" s="1"/>
  <c r="X58" i="23" s="1"/>
  <c r="H31" i="22"/>
  <c r="L31" i="22"/>
  <c r="J31" i="22"/>
  <c r="D100" i="23" s="1"/>
  <c r="X121" i="23" s="1"/>
  <c r="X34" i="23" s="1"/>
  <c r="L58" i="22"/>
  <c r="F44" i="22"/>
  <c r="H85" i="23" s="1"/>
  <c r="E48" i="22"/>
  <c r="G48" i="22" s="1"/>
  <c r="G80" i="22"/>
  <c r="K80" i="22"/>
  <c r="F17" i="22"/>
  <c r="G85" i="23" s="1"/>
  <c r="J44" i="22"/>
  <c r="E85" i="23" s="1"/>
  <c r="J17" i="22"/>
  <c r="D85" i="23" s="1"/>
  <c r="L17" i="22"/>
  <c r="E69" i="22"/>
  <c r="K69" i="22" s="1"/>
  <c r="I69" i="22"/>
  <c r="K53" i="22"/>
  <c r="G53" i="22"/>
  <c r="E40" i="22"/>
  <c r="I40" i="22"/>
  <c r="J40" i="22" s="1"/>
  <c r="E80" i="23" s="1"/>
  <c r="L44" i="22"/>
  <c r="F58" i="22"/>
  <c r="H100" i="23" s="1"/>
  <c r="X79" i="23" s="1"/>
  <c r="I72" i="22"/>
  <c r="E72" i="22"/>
  <c r="K71" i="22"/>
  <c r="E45" i="22"/>
  <c r="I45" i="22"/>
  <c r="J71" i="22"/>
  <c r="F85" i="23" s="1"/>
  <c r="E13" i="22"/>
  <c r="K13" i="22" s="1"/>
  <c r="I13" i="22"/>
  <c r="E67" i="22"/>
  <c r="L67" i="22" s="1"/>
  <c r="I67" i="22"/>
  <c r="E15" i="22"/>
  <c r="G15" i="22" s="1"/>
  <c r="I15" i="22"/>
  <c r="G26" i="22"/>
  <c r="K26" i="22"/>
  <c r="I75" i="22"/>
  <c r="J75" i="22" s="1"/>
  <c r="F90" i="23" s="1"/>
  <c r="E42" i="22"/>
  <c r="H42" i="22" s="1"/>
  <c r="I42" i="22"/>
  <c r="F18" i="22" l="1"/>
  <c r="G86" i="23" s="1"/>
  <c r="X45" i="23" s="1"/>
  <c r="L18" i="22"/>
  <c r="G18" i="22"/>
  <c r="J18" i="22"/>
  <c r="D86" i="23" s="1"/>
  <c r="X108" i="23" s="1"/>
  <c r="X21" i="23" s="1"/>
  <c r="K18" i="22"/>
  <c r="X86" i="23"/>
  <c r="X65" i="23"/>
  <c r="X149" i="23"/>
  <c r="X107" i="23"/>
  <c r="X20" i="23" s="1"/>
  <c r="X44" i="23"/>
  <c r="X128" i="23"/>
  <c r="X153" i="23"/>
  <c r="F87" i="23"/>
  <c r="X48" i="23"/>
  <c r="G87" i="23"/>
  <c r="X124" i="23"/>
  <c r="L13" i="22"/>
  <c r="F69" i="22"/>
  <c r="I82" i="23" s="1"/>
  <c r="X84" i="23" s="1"/>
  <c r="G21" i="22"/>
  <c r="G75" i="22"/>
  <c r="J13" i="22"/>
  <c r="D80" i="23" s="1"/>
  <c r="L48" i="22"/>
  <c r="J21" i="22"/>
  <c r="D90" i="23" s="1"/>
  <c r="H21" i="22"/>
  <c r="F75" i="22"/>
  <c r="I90" i="23" s="1"/>
  <c r="J48" i="22"/>
  <c r="E90" i="23" s="1"/>
  <c r="L69" i="22"/>
  <c r="L21" i="22"/>
  <c r="H13" i="22"/>
  <c r="F48" i="22"/>
  <c r="H90" i="23" s="1"/>
  <c r="K75" i="22"/>
  <c r="F13" i="22"/>
  <c r="G80" i="23" s="1"/>
  <c r="H48" i="22"/>
  <c r="H15" i="22"/>
  <c r="L15" i="22"/>
  <c r="L42" i="22"/>
  <c r="G42" i="22"/>
  <c r="K42" i="22"/>
  <c r="J42" i="22"/>
  <c r="E82" i="23" s="1"/>
  <c r="X126" i="23" s="1"/>
  <c r="J69" i="22"/>
  <c r="F82" i="23" s="1"/>
  <c r="X147" i="23" s="1"/>
  <c r="J15" i="22"/>
  <c r="D82" i="23" s="1"/>
  <c r="X105" i="23" s="1"/>
  <c r="X18" i="23" s="1"/>
  <c r="F67" i="22"/>
  <c r="I80" i="23" s="1"/>
  <c r="G13" i="22"/>
  <c r="K40" i="22"/>
  <c r="G40" i="22"/>
  <c r="F40" i="22"/>
  <c r="H80" i="23" s="1"/>
  <c r="G69" i="22"/>
  <c r="F42" i="22"/>
  <c r="H82" i="23" s="1"/>
  <c r="X63" i="23" s="1"/>
  <c r="H69" i="22"/>
  <c r="J45" i="22"/>
  <c r="E86" i="23" s="1"/>
  <c r="X129" i="23" s="1"/>
  <c r="H45" i="22"/>
  <c r="F45" i="22"/>
  <c r="H86" i="23" s="1"/>
  <c r="X66" i="23" s="1"/>
  <c r="G45" i="22"/>
  <c r="L45" i="22"/>
  <c r="K45" i="22"/>
  <c r="H40" i="22"/>
  <c r="F15" i="22"/>
  <c r="G82" i="23" s="1"/>
  <c r="X42" i="23" s="1"/>
  <c r="H67" i="22"/>
  <c r="G67" i="22"/>
  <c r="K15" i="22"/>
  <c r="J67" i="22"/>
  <c r="F80" i="23" s="1"/>
  <c r="K67" i="22"/>
  <c r="L75" i="22"/>
  <c r="J72" i="22"/>
  <c r="F86" i="23" s="1"/>
  <c r="X150" i="23" s="1"/>
  <c r="F72" i="22"/>
  <c r="I86" i="23" s="1"/>
  <c r="X87" i="23" s="1"/>
  <c r="L72" i="22"/>
  <c r="H72" i="22"/>
  <c r="K72" i="22"/>
  <c r="G72" i="22"/>
  <c r="L40" i="22"/>
  <c r="G84" i="23" l="1"/>
  <c r="D84" i="23"/>
  <c r="F84" i="23"/>
  <c r="E84" i="23"/>
  <c r="H84" i="23"/>
  <c r="I84" i="23"/>
  <c r="E79" i="23"/>
  <c r="X40" i="23"/>
  <c r="G79" i="23"/>
  <c r="D87" i="23"/>
  <c r="X111" i="23"/>
  <c r="X24" i="23" s="1"/>
  <c r="I87" i="23"/>
  <c r="X90" i="23"/>
  <c r="X145" i="23"/>
  <c r="F79" i="23"/>
  <c r="X103" i="23"/>
  <c r="D79" i="23"/>
  <c r="H79" i="23"/>
  <c r="X61" i="23"/>
  <c r="X69" i="23"/>
  <c r="H87" i="23"/>
  <c r="I79" i="23"/>
  <c r="X82" i="23"/>
  <c r="X132" i="23"/>
  <c r="E87" i="23"/>
  <c r="X16" i="23" l="1"/>
  <c r="T31" i="23" s="1"/>
  <c r="D18" i="23" s="1"/>
  <c r="G104" i="23"/>
  <c r="F104" i="23"/>
  <c r="T33" i="23"/>
  <c r="D22" i="23" s="1"/>
  <c r="I104" i="23"/>
  <c r="T32" i="23"/>
  <c r="D20" i="23" s="1"/>
  <c r="H104" i="23"/>
  <c r="D104" i="23"/>
  <c r="E104" i="23"/>
  <c r="T35" i="2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<sst xmlns="http://schemas.openxmlformats.org/spreadsheetml/2006/main" count="122685" uniqueCount="29020">
  <si>
    <t>Language</t>
  </si>
  <si>
    <t>Deutsch</t>
  </si>
  <si>
    <t>Bundesamt für Energie BFE</t>
  </si>
  <si>
    <t>n0Info_header1</t>
  </si>
  <si>
    <t>Bundesamt für Umwelt BAFU</t>
  </si>
  <si>
    <t>n0Info_header2</t>
  </si>
  <si>
    <t>Allgemeine Informationen</t>
  </si>
  <si>
    <t>n0Info_title1</t>
  </si>
  <si>
    <t>Corporate Footprint Calculator</t>
  </si>
  <si>
    <t>n0Info_title2</t>
  </si>
  <si>
    <t>n0Info_subtitle</t>
  </si>
  <si>
    <t>n0Info_Text1</t>
  </si>
  <si>
    <t>Aufbau des Tools</t>
  </si>
  <si>
    <t>n0Info_1Structure</t>
  </si>
  <si>
    <t>Die nachfolgenden fünf Tabellenblätter sind in Folge zu bearbeiten (links nach rechts):</t>
  </si>
  <si>
    <t>n0Info_1Structure_Text1</t>
  </si>
  <si>
    <t>1. General Inputs</t>
  </si>
  <si>
    <t>n0Info_1Structure_Text2</t>
  </si>
  <si>
    <t>Definieren Sie hier zuerst die zu bilanzierende Unternehmenseinheit (z.B. ganzes Unternehmen oder einzelne Standorte/Einheiten), den Bilanzierungszeitraum und die Bilanzierungsgrenzen. Hiermit werden in den nachfolgenden Eingabefeldern automatisch Bereiche ausgegraut, die für Ihr Unternehmen nicht relevant sind.</t>
  </si>
  <si>
    <t>n0Info_1Structure_Text3</t>
  </si>
  <si>
    <t>2. Data Inputs</t>
  </si>
  <si>
    <t>n0Info_1Structure_Text4</t>
  </si>
  <si>
    <t>Für alle verbleibenden Bereiche tragen Sie nun Ihre Unternehmensdaten ein. Alle Daten sollten für die zuvor definierte Unternehmenseinheit zusammengezogen werden. Die Datensammlung kann mit einem gewissem Aufwand verbunden sein. Die Qualität dieser Daten entscheidet über die Qualität Ihrer Resultate.
Das "User Manual" gibt nützliche Tipps für das Ausfüllen, das "Developer Manual" erklärt, wie die Eingabefelder und anschliessenden Berechnungen modifiziert werden können (vgl. unten).</t>
  </si>
  <si>
    <t>n0Info_1Structure_Text5</t>
  </si>
  <si>
    <t>3. Calculation</t>
  </si>
  <si>
    <t>n0Info_1Structure_Text6</t>
  </si>
  <si>
    <t>n0Info_1Structure_Text7</t>
  </si>
  <si>
    <t>4. Dashboard</t>
  </si>
  <si>
    <t>n0Info_1Structure_Text8</t>
  </si>
  <si>
    <t>Zuletzt werden die Resultate der Bilanz für die definierte Unternehmenseinheit aus dem vorherigen Tabellenblatt zusammengefasst dargestellt. Sie brauchen hier nichts auszufüllen.</t>
  </si>
  <si>
    <t>n0Info_1Structure_Text9</t>
  </si>
  <si>
    <t>5. BG Data</t>
  </si>
  <si>
    <t>n0Info_1Structure_Text10</t>
  </si>
  <si>
    <t>n0Info_1Structure_Text11</t>
  </si>
  <si>
    <t>Weitere Informationen</t>
  </si>
  <si>
    <t>n0Info_2FurtherInfo</t>
  </si>
  <si>
    <t>Hier finden Sie stets die aktuellste Version des Tools und der Begleitdokumente:</t>
  </si>
  <si>
    <t>n0Info_2FurtherInfo_Text1</t>
  </si>
  <si>
    <t>BFE-Webseite</t>
  </si>
  <si>
    <t>n0Info_2FurtherInfo_Text2</t>
  </si>
  <si>
    <t>Der Download beinhaltet folgende Elemente:</t>
  </si>
  <si>
    <t>n0Info_2FurtherInfo_Text3</t>
  </si>
  <si>
    <t>User Manual</t>
  </si>
  <si>
    <t>n0Info_2FurtherInfo_Text4</t>
  </si>
  <si>
    <t>n0Info_2FurtherInfo_Text5</t>
  </si>
  <si>
    <t>Developer Manual</t>
  </si>
  <si>
    <t>n0Info_2FurtherInfo_Text6</t>
  </si>
  <si>
    <t>n0Info_2FurtherInfo_Text7</t>
  </si>
  <si>
    <t>Methodology Report</t>
  </si>
  <si>
    <t>n0Info_2FurtherInfo_Text8</t>
  </si>
  <si>
    <t>n0Info_2FurtherInfo_Text9</t>
  </si>
  <si>
    <t>Energy Splits</t>
  </si>
  <si>
    <t>In einem separaten Excel-Dokument sind Zusatzberechnungen zu Energie- und Transportdatensätzen dokumentiert (Split nach Scope 1, 2, 3).</t>
  </si>
  <si>
    <t>n0Info_2FurtherInfo_Text11</t>
  </si>
  <si>
    <t>Kontakt</t>
  </si>
  <si>
    <t>n0Info_3Contact</t>
  </si>
  <si>
    <t>n0Info_3Contact_Text1</t>
  </si>
  <si>
    <t>Feedback an:</t>
  </si>
  <si>
    <t>n0Info_3Contact_Text2</t>
  </si>
  <si>
    <t>lca@bafu.admin.ch</t>
  </si>
  <si>
    <t>n0Info_3Contact_Text3</t>
  </si>
  <si>
    <t>Scope 1 Stationary Combustion</t>
  </si>
  <si>
    <t>Current Language Name</t>
  </si>
  <si>
    <t>DE Name</t>
  </si>
  <si>
    <t>FR Name</t>
  </si>
  <si>
    <t>IT Name</t>
  </si>
  <si>
    <t>BG Data</t>
  </si>
  <si>
    <t>Functional unit</t>
  </si>
  <si>
    <t>Input Unit</t>
  </si>
  <si>
    <t>Heizöl extraleicht, 100kW-Brennwertkessel, nicht modulierend</t>
  </si>
  <si>
    <t>Mazout extra-léger, chaudière à condensation 100 kW, non modulante</t>
  </si>
  <si>
    <t>Olio combustibile extra-leggero, caldaia a condensazione 100 kW, non modulante</t>
  </si>
  <si>
    <t>Light fuel oil, burned in boiler 100kW condensing, non-modulating {CH} MJ</t>
  </si>
  <si>
    <t>MJ</t>
  </si>
  <si>
    <t>l</t>
  </si>
  <si>
    <t>Heizöl schwer, 1MW-Industrieofen, nicht modulierend</t>
  </si>
  <si>
    <t>Mazout lourd, four industriel 1 MW, non modulant</t>
  </si>
  <si>
    <t>Olio combustibile pesante, forno industriale 1 MW, non modulante</t>
  </si>
  <si>
    <t>Heavy fuel oil, burned in industrial furnace 1MW, non-modulating {CH} MJ</t>
  </si>
  <si>
    <t>Propan/Butan verflüssigt, 50kW-Brennwertkessel, modulierend</t>
  </si>
  <si>
    <t>Propane/butane liquéfié, chaudière à condensation 50 kW, modulante</t>
  </si>
  <si>
    <t>Propano/butano liquefatto, caldaia a condensazione 50 kW, modulante</t>
  </si>
  <si>
    <t>Propane,butane, burned in boiler condensing modulating 50kW {CH} MJ</t>
  </si>
  <si>
    <t>m3</t>
  </si>
  <si>
    <t>Petrolkoks, Raffinerieofen</t>
  </si>
  <si>
    <t>Coke de pétrole, four de raffinerie</t>
  </si>
  <si>
    <t>Coke di petrolio, forno di raffineria</t>
  </si>
  <si>
    <t>Petroleum coke, burned in refinery furnace {RER} MJ</t>
  </si>
  <si>
    <t>kg</t>
  </si>
  <si>
    <t>Steinkohlekoks, 5-15kW-Ofen</t>
  </si>
  <si>
    <t>Coke de houille, poêle 5-15 kW</t>
  </si>
  <si>
    <t>Coke di carbone, stufa 5-15 kW</t>
  </si>
  <si>
    <t>Hard coal coke, burned in stove 5-15kW {RER} MJ</t>
  </si>
  <si>
    <t>Steinkohlebriketts, 5-15kW-Ofen</t>
  </si>
  <si>
    <t>Briquettes de houille, poêle 5-15 kW</t>
  </si>
  <si>
    <t>Mattonelle di carbone, stufa 5-15 kW</t>
  </si>
  <si>
    <t>Hard coal briquette, burned in stove 5-15kW {RER} MJ</t>
  </si>
  <si>
    <t>Braunkohlebrikett, 5-15kW-Ofen</t>
  </si>
  <si>
    <t>Briquettes de lignite, poêle 5-15 kW</t>
  </si>
  <si>
    <t>Mattonelle di lignite, stufa 5-15 kW</t>
  </si>
  <si>
    <t>Lignite briquette, burned in stove 5-15kW {RER} MJ</t>
  </si>
  <si>
    <t>Erdgas, 50kW-Brennwertkessel, modulierend</t>
  </si>
  <si>
    <t>Gaz naturel, chaudière à condensation 50 kW, modulante</t>
  </si>
  <si>
    <t>Gas naturale, caldaia a condensazione 50 kW, modulante</t>
  </si>
  <si>
    <t>Natural gas, burned in boiler condensing modulating 50kW {CH} MJ</t>
  </si>
  <si>
    <t>Biomethan, 50kW-Brennwertkessel, modulierend</t>
  </si>
  <si>
    <t>Biométhane, chaudière à condensation 50 kW, modulante</t>
  </si>
  <si>
    <t>Biometano, caldaia a condensazione 50 kW, modulante</t>
  </si>
  <si>
    <t>Biomethane, burned in boiler condensing modulating 50kW {CH} MJ</t>
  </si>
  <si>
    <t>Scheitholz, gemischt, 50kW-Ofen</t>
  </si>
  <si>
    <t>Bois bûches, mélange, poêle 50 kW</t>
  </si>
  <si>
    <t>Legna da ardere, miscela, stufa 50 kW</t>
  </si>
  <si>
    <t>Logs, mixed, burned in furnace 50kW {CH} MJ</t>
  </si>
  <si>
    <t>Holzschnitzel, Hartholz aus Wald, 50kW-Ofen</t>
  </si>
  <si>
    <t>Plaquettes de bois, bois dur forestier, poêle 50 kW</t>
  </si>
  <si>
    <t>Cippato di legno, legno duro da bosco, stufa 50 kW</t>
  </si>
  <si>
    <t>Wood chips, from forest, hardwood, burned in furnace 50kW {CH} MJ</t>
  </si>
  <si>
    <t>Pellets, gemischt, 50kW-Ofen</t>
  </si>
  <si>
    <t>Pellets de bois, mélange, poêle 50 kW</t>
  </si>
  <si>
    <t>Pellet di legno, miscela, stufa 50 kW</t>
  </si>
  <si>
    <t>Pellets, mixed, burned in furnace 50kW {CH} MJ</t>
  </si>
  <si>
    <t>Diesel, Stromaggregat Diesel-elektrisch</t>
  </si>
  <si>
    <t>Diesel, groupe électrogène diesel-électrique</t>
  </si>
  <si>
    <t>Diesel, gruppo elettrogeno diesel-elettrico</t>
  </si>
  <si>
    <t>Diesel, burned in diesel-electric generating set {GLO} MJ</t>
  </si>
  <si>
    <t>Wasserstoff, Versorgung über Pipeline (Elektrolyse, CH-Mix)</t>
  </si>
  <si>
    <t>Hydrogène, distribution par pipeline (électrolyse, mix suisse)</t>
  </si>
  <si>
    <t>Heat, residential, by combustion of hydrogen using boiler, distributed by pipeline, produced by Electrolysis, AEC using electricity from grid {CH} MJ</t>
  </si>
  <si>
    <t>Abfälle in KVA, verbrannt</t>
  </si>
  <si>
    <t>Déchets en UIOM, incinérés</t>
  </si>
  <si>
    <t>Altöl, verbrannt</t>
  </si>
  <si>
    <t>Huiles usagées, incinérées</t>
  </si>
  <si>
    <t>Oli usati, inceneriti</t>
  </si>
  <si>
    <t>Kunststoffe, verbrannt</t>
  </si>
  <si>
    <t>Matières plastiques, incinérées</t>
  </si>
  <si>
    <t>Materie plastiche, incenerite</t>
  </si>
  <si>
    <t>Altpneu, verbrannt</t>
  </si>
  <si>
    <t>Pneus usagés, incinérés</t>
  </si>
  <si>
    <t>Pneumatici usati, inceneriti</t>
  </si>
  <si>
    <t>Sägemehl, verbrannt</t>
  </si>
  <si>
    <t>Sciure, incinérée</t>
  </si>
  <si>
    <t>Segatura, incenerita</t>
  </si>
  <si>
    <t>Tiermehl, verbrannt</t>
  </si>
  <si>
    <t>Farine animale, incinérée</t>
  </si>
  <si>
    <t>Farine animali, incenerite</t>
  </si>
  <si>
    <t>Methan, verbrannt</t>
  </si>
  <si>
    <t>Méthane, brûlé</t>
  </si>
  <si>
    <t>Metano, bruciato</t>
  </si>
  <si>
    <t>Ethan, verbrannt</t>
  </si>
  <si>
    <t>Éthane, brûlé</t>
  </si>
  <si>
    <t>Etano, bruciato</t>
  </si>
  <si>
    <t>Propan verflüssigt, verbrannt</t>
  </si>
  <si>
    <t>Propane liquéfié, brûlé</t>
  </si>
  <si>
    <t>Propano liquefatto, bruciato</t>
  </si>
  <si>
    <t>Butan verflüssigt, verbrannt</t>
  </si>
  <si>
    <t>Butane liquéfié, brûlé</t>
  </si>
  <si>
    <t>Butano liquefatto, bruciato</t>
  </si>
  <si>
    <t>Ethanol, verbrannt</t>
  </si>
  <si>
    <t>Éthanol, brûlé</t>
  </si>
  <si>
    <t>Etanolo, bruciato</t>
  </si>
  <si>
    <t>Methanol, verbrannt</t>
  </si>
  <si>
    <t>Méthanol, brûlé</t>
  </si>
  <si>
    <t>Metanolo, bruciato</t>
  </si>
  <si>
    <t>Scope 2 District Heat</t>
  </si>
  <si>
    <t>Fernwärme, beim Verbraucher, Schweizer Durchschnitt</t>
  </si>
  <si>
    <t>Chauffage à distance, chez le consommateur, moyenne suisse</t>
  </si>
  <si>
    <t>Teleriscaldamento, presso il consumatore, media svizzera</t>
  </si>
  <si>
    <t>District heat, at consumer, swiss average, allocation exergy {CH} MJ</t>
  </si>
  <si>
    <t>Fernwärme, beim Verbraucher, AKW-Abwärme</t>
  </si>
  <si>
    <t>Chauffage à distance, chez le consommateur, chaleur résiduelle de centrale nucléaire</t>
  </si>
  <si>
    <t>Teleriscaldamento, presso il consumatore, calore residuo da centrale nucleare</t>
  </si>
  <si>
    <t>District heat, at consumer, heat from nuclear power plant, allocation exergy {CH} MJ</t>
  </si>
  <si>
    <t>Fernwärme, beim Verbraucher, Heizöl extraleicht, 1MW-Industrieofen</t>
  </si>
  <si>
    <t>Chauffage à distance, chez le consommateur, mazout extra-léger, four industriel 1 MW</t>
  </si>
  <si>
    <t>Teleriscaldamento, presso il consumatore, olio combustibile extra-leggero, forno industriale 1 MW</t>
  </si>
  <si>
    <t>District heat, at consumer, light fuel oil in industrial furnace 1MW {CH} MJ</t>
  </si>
  <si>
    <t>Fernwärme, beim Verbraucher, Erdgas, 1MW-Industrieofen</t>
  </si>
  <si>
    <t>Chauffage à distance, chez le consommateur, gaz naturel, four industriel 1 MW</t>
  </si>
  <si>
    <t>Teleriscaldamento, presso il consumatore, gas naturale, forno industriale 1 MW</t>
  </si>
  <si>
    <t>District heat, at consumer, natural gas in industrial furnace 1MW {CH} MJ</t>
  </si>
  <si>
    <t>Fernwärme, beim Verbraucher, Holzschnitzel, 1MW-Industrieofen</t>
  </si>
  <si>
    <t>Chauffage à distance, chez le consommateur, plaquettes de bois, four industriel 1 MW</t>
  </si>
  <si>
    <t>Teleriscaldamento, presso il consumatore, cippato di legno, forno industriale 1 MW</t>
  </si>
  <si>
    <t>District heat, at consumer, wood chips in industrial furnace 1MW {CH} MJ</t>
  </si>
  <si>
    <t>Fernwärme, beim Verbraucher, Holzschnitzel, Blockheizkraftwerk 1MW thermische Leistung</t>
  </si>
  <si>
    <t>Chauffage à distance, chez le consommateur, plaquettes de bois, centrale de cogénération 1 MW thermique</t>
  </si>
  <si>
    <t>Teleriscaldamento, presso il consumatore, cippato di legno, impianto di cogenerazione 1 MW termico</t>
  </si>
  <si>
    <t>District heat, at consumer, wood chips cogen 1MWth, allocation exergy {CH} MJ</t>
  </si>
  <si>
    <t>Fernwärme, Abwasser-Wärmetauscher</t>
  </si>
  <si>
    <t>District heat, from sewage heat exchanger {CH} MJ</t>
  </si>
  <si>
    <t>Fernwärme, Wärmepumpe, Grundwasser, 50kW</t>
  </si>
  <si>
    <t>Teleriscaldamento, pompa di calore, falda acquifera, 50 kW</t>
  </si>
  <si>
    <t>District heat, at consumer, ground water heat pump 50kW {CH} MJ</t>
  </si>
  <si>
    <t>Fernwärme, Wärmepumpe, Erdsonde, 50kW</t>
  </si>
  <si>
    <t>Chauffage à distance, pompe à chaleur, sonde géothermique, 50 kW</t>
  </si>
  <si>
    <t>Teleriscaldamento, pompa di calore, sonda geotermica, 50 kW</t>
  </si>
  <si>
    <t>District heat, at consumer, borehole heat pump 50kW {CH} MJ</t>
  </si>
  <si>
    <t>Fernwärme, beim Verbraucher, Kehrichtverwertungsanlage KVA</t>
  </si>
  <si>
    <t>District heat, at consumer, waste from municipal waste incineration {CH} MJ</t>
  </si>
  <si>
    <t>Fernwärme, beim Verbraucher, Diesel, Blockheizkraftwerk 1MW thermische Leistung</t>
  </si>
  <si>
    <t>Chauffage à distance, chez le consommateur, diesel, centrale de cogénération 1 MW thermique</t>
  </si>
  <si>
    <t>Teleriscaldamento, presso il consumatore, diesel, impianto di cogenerazione 1 MW termico</t>
  </si>
  <si>
    <t>District heat, at consumer, diesel cogen 1MWth, allocation exergy {CH} MJ</t>
  </si>
  <si>
    <t>Fernwärme, beim Verbraucher, Erdgas, Blockheizkraftwerk 1MW thermische Leistung</t>
  </si>
  <si>
    <t>Chauffage à distance, chez le consommateur, gaz naturel, centrale de cogénération 1 MW thermique</t>
  </si>
  <si>
    <t>Teleriscaldamento, presso il consumatore, gas naturale, impianto di cogenerazione 1 MW termico</t>
  </si>
  <si>
    <t>District heat, at consumer, natural gas cogen 1MWth, allocation exergy {CH} MJ</t>
  </si>
  <si>
    <t>Fernwärme, beim Verbraucher, Biomethan, Blockheizkraftwerk 1MW thermische Leistung</t>
  </si>
  <si>
    <t>Chauffage à distance, chez le consommateur, biométhane, centrale de cogénération 1 MW thermique</t>
  </si>
  <si>
    <t>Teleriscaldamento, presso il consumatore, biometano, impianto di cogenerazione 1 MW termico</t>
  </si>
  <si>
    <t>District heat, at consumer, biomethane cogen 1MWth, allocation exergy {CH} MJ</t>
  </si>
  <si>
    <t>Dampf, in der Anlage, chemische Prozesse</t>
  </si>
  <si>
    <t>Vapeur, dans l’installation, procédés chimiques</t>
  </si>
  <si>
    <t>Vapore, nell’impianto, processi chimici</t>
  </si>
  <si>
    <t>Steam, for chemical processes, at plant {RER} MJ</t>
  </si>
  <si>
    <t>Scope 2 Electricity</t>
  </si>
  <si>
    <t>Functional Unit</t>
  </si>
  <si>
    <t>Spannung</t>
  </si>
  <si>
    <t xml:space="preserve"> Verluste durch HKN gedeckt</t>
  </si>
  <si>
    <t>Category DE</t>
  </si>
  <si>
    <t>Category FR</t>
  </si>
  <si>
    <t>Category IT</t>
  </si>
  <si>
    <t>Energia idroelettrica</t>
  </si>
  <si>
    <t>Electricity, Hydropower, low voltage, losses covered by GOs kWh</t>
  </si>
  <si>
    <t>kWh</t>
  </si>
  <si>
    <t>Énergie solaire</t>
  </si>
  <si>
    <t>Energia solare</t>
  </si>
  <si>
    <t>Electricity, Solar, low voltage, losses covered by GOs kWh</t>
  </si>
  <si>
    <t>Énergie éolienne</t>
  </si>
  <si>
    <t>Energia eolica</t>
  </si>
  <si>
    <t>Electricity, Wind, low voltage, losses covered by GOs kWh</t>
  </si>
  <si>
    <t>Biomasse</t>
  </si>
  <si>
    <t>Biomassa</t>
  </si>
  <si>
    <t>Electricity, Biomass, low voltage, losses covered by GOs kWh</t>
  </si>
  <si>
    <t>Énergie géothermique</t>
  </si>
  <si>
    <t>Energia geotermica</t>
  </si>
  <si>
    <t>Electricity, Geothermal (proxied by wind), low voltage, losses covered by GOs kWh</t>
  </si>
  <si>
    <t>Nucléaire</t>
  </si>
  <si>
    <t>Nucleare</t>
  </si>
  <si>
    <t>Electricity, Nuclear, low voltage, losses covered by GOs kWh</t>
  </si>
  <si>
    <t>Pétrole</t>
  </si>
  <si>
    <t>Petrolio</t>
  </si>
  <si>
    <t>Electricity, Oil, low voltage, losses covered by GOs kWh</t>
  </si>
  <si>
    <t>Gaz naturel</t>
  </si>
  <si>
    <t>Gas naturale</t>
  </si>
  <si>
    <t>Electricity, Natural gas, low voltage, losses covered by GOs kWh</t>
  </si>
  <si>
    <t>Déchets</t>
  </si>
  <si>
    <t>Electricity, Waste, low voltage, losses covered by GOs kWh</t>
  </si>
  <si>
    <t>Electricity, Hydropower, low voltage, losses not covered by GOs kWh</t>
  </si>
  <si>
    <t>Electricity, Solar, low voltage, losses not covered by GOs kWh</t>
  </si>
  <si>
    <t>Electricity, Wind, low voltage, losses not covered by GOs kWh</t>
  </si>
  <si>
    <t>Electricity, Biomass, low voltage, losses not covered by GOs kWh</t>
  </si>
  <si>
    <t>Electricity, Geothermal (proxied by wind), low voltage, losses not covered by GOs kWh</t>
  </si>
  <si>
    <t>Electricity, Nuclear, low voltage, losses not covered by GOs kWh</t>
  </si>
  <si>
    <t>Electricity, Oil, low voltage, losses not covered by GOs kWh</t>
  </si>
  <si>
    <t>Electricity, Natural gas, low voltage, losses not covered by GOs kWh</t>
  </si>
  <si>
    <t>Electricity, Waste, low voltage, losses not covered by GOs kWh</t>
  </si>
  <si>
    <t>Electricity, Hydropower, medium voltage, losses covered by GOs kWh</t>
  </si>
  <si>
    <t>Electricity, Solar, medium voltage, losses covered by GOs kWh</t>
  </si>
  <si>
    <t>Electricity, Wind, medium voltage, losses covered by GOs kWh</t>
  </si>
  <si>
    <t>Electricity, Biomass, medium voltage, losses covered by GOs kWh</t>
  </si>
  <si>
    <t>Electricity, Geothermal (proxied by wind), medium voltage, losses covered by GOs kWh</t>
  </si>
  <si>
    <t>Electricity, Nuclear, medium voltage, losses covered by GOs kWh</t>
  </si>
  <si>
    <t>Electricity, Oil, medium voltage, losses covered by GOs kWh</t>
  </si>
  <si>
    <t>Electricity, Natural gas, medium voltage, losses covered by GOs kWh</t>
  </si>
  <si>
    <t>Electricity, Waste, medium voltage, losses covered by GOs kWh</t>
  </si>
  <si>
    <t>Electricity, Hydropower, medium voltage, losses not covered by GOs kWh</t>
  </si>
  <si>
    <t>Electricity, Solar, medium voltage, losses not covered by GOs kWh</t>
  </si>
  <si>
    <t>Electricity, Wind, medium voltage, losses not covered by GOs kWh</t>
  </si>
  <si>
    <t>Electricity, Biomass, medium voltage, losses not covered by GOs kWh</t>
  </si>
  <si>
    <t>Electricity, Geothermal (proxied by wind), medium voltage, losses not covered by GOs kWh</t>
  </si>
  <si>
    <t>Electricity, Nuclear, medium voltage, losses not covered by GOs kWh</t>
  </si>
  <si>
    <t>Electricity, Oil, medium voltage, losses not covered by GOs kWh</t>
  </si>
  <si>
    <t>Electricity, Natural gas, medium voltage, losses not covered by GOs kWh</t>
  </si>
  <si>
    <t>Electricity, Waste, medium voltage, losses not covered by GOs kWh</t>
  </si>
  <si>
    <t>Scope 1 Fugitive Emissions</t>
  </si>
  <si>
    <t>Unit</t>
  </si>
  <si>
    <t>Carbon dioxide (CO2)</t>
  </si>
  <si>
    <t>Carbon dioxide, gas, direct emission</t>
  </si>
  <si>
    <t xml:space="preserve">Methane non-fossil (CH4) </t>
  </si>
  <si>
    <t>Methane non-fossil, gas, direct emission</t>
  </si>
  <si>
    <t>Methane fossil (CH4)</t>
  </si>
  <si>
    <t>Methane fossil, gas, direct emission</t>
  </si>
  <si>
    <t>Nitrous oxide (N2O)</t>
  </si>
  <si>
    <t>Nitrous oxide, gas, direct emission</t>
  </si>
  <si>
    <t>Nitrogen Trifluoride (NF3)</t>
  </si>
  <si>
    <t>Nitrogen trifluoride, gas, direct emission</t>
  </si>
  <si>
    <t>Hexafluoride (SF6)</t>
  </si>
  <si>
    <t>Sulfur hexafluoride, gas, direct emission</t>
  </si>
  <si>
    <t xml:space="preserve">HFC-23 </t>
  </si>
  <si>
    <t>HFC-23</t>
  </si>
  <si>
    <t>HFC-23 , gas, direct emission</t>
  </si>
  <si>
    <t xml:space="preserve">HFC-32 </t>
  </si>
  <si>
    <t>HFC-32</t>
  </si>
  <si>
    <t>HFC-32 , gas, direct emission</t>
  </si>
  <si>
    <t xml:space="preserve">HFC-41 </t>
  </si>
  <si>
    <t>HFC-41</t>
  </si>
  <si>
    <t>HFC-41 , gas, direct emission</t>
  </si>
  <si>
    <t xml:space="preserve">HFC-43-10mee </t>
  </si>
  <si>
    <t>HFC-43-10MEE</t>
  </si>
  <si>
    <t>HFC-43-10mee</t>
  </si>
  <si>
    <t>HFC-43-10mee , gas, direct emission</t>
  </si>
  <si>
    <t xml:space="preserve">HFC-125 </t>
  </si>
  <si>
    <t>HFC-125</t>
  </si>
  <si>
    <t>HFC-125 , gas, direct emission</t>
  </si>
  <si>
    <t xml:space="preserve">HFC-134 </t>
  </si>
  <si>
    <t>HFC-134</t>
  </si>
  <si>
    <t>HFC-134 , gas, direct emission</t>
  </si>
  <si>
    <t xml:space="preserve">HFC-134a </t>
  </si>
  <si>
    <t>HFC-134A</t>
  </si>
  <si>
    <t>HFC-134a , gas, direct emission</t>
  </si>
  <si>
    <t xml:space="preserve">HFC-143 </t>
  </si>
  <si>
    <t>HFC-143</t>
  </si>
  <si>
    <t>HFC-143 , gas, direct emission</t>
  </si>
  <si>
    <t xml:space="preserve">HFC-143a </t>
  </si>
  <si>
    <t>HFC-143a</t>
  </si>
  <si>
    <t>HFC-143A</t>
  </si>
  <si>
    <t>HFC-143a , gas, direct emission</t>
  </si>
  <si>
    <t xml:space="preserve">HFC-152 </t>
  </si>
  <si>
    <t>HFC-152</t>
  </si>
  <si>
    <t>HFC-152 , gas, direct emission</t>
  </si>
  <si>
    <t xml:space="preserve">HFC-152a </t>
  </si>
  <si>
    <t>HFC-152a</t>
  </si>
  <si>
    <t>HFC-152a , gas, direct emission</t>
  </si>
  <si>
    <t>HFC-161</t>
  </si>
  <si>
    <t>HFC-161, gas, direct emission</t>
  </si>
  <si>
    <t xml:space="preserve">HFC-227ca </t>
  </si>
  <si>
    <t>HFC-227CA</t>
  </si>
  <si>
    <t>HFC-227ca , gas, direct emission</t>
  </si>
  <si>
    <t xml:space="preserve">HFC-227ea </t>
  </si>
  <si>
    <t>HFC-227ea</t>
  </si>
  <si>
    <t>HFC-227EA</t>
  </si>
  <si>
    <t>HFC-227ea , gas, direct emission</t>
  </si>
  <si>
    <t xml:space="preserve">HFC-236cb </t>
  </si>
  <si>
    <t>HFC-236cb</t>
  </si>
  <si>
    <t>HFC-236cb , gas, direct emission</t>
  </si>
  <si>
    <t xml:space="preserve">HFC-236ea </t>
  </si>
  <si>
    <t>HFC-236ea</t>
  </si>
  <si>
    <t>HFC-236ea , gas, direct emission</t>
  </si>
  <si>
    <t xml:space="preserve">HFC-236fa </t>
  </si>
  <si>
    <t>HFC-236FA</t>
  </si>
  <si>
    <t>HFC-236fa , gas, direct emission</t>
  </si>
  <si>
    <t xml:space="preserve">HFC-245ca </t>
  </si>
  <si>
    <t>HFC-245ca</t>
  </si>
  <si>
    <t>HFC-245ca , gas, direct emission</t>
  </si>
  <si>
    <t xml:space="preserve">HFC-245cb </t>
  </si>
  <si>
    <t>HFC-245cb</t>
  </si>
  <si>
    <t>HFC-245cb , gas, direct emission</t>
  </si>
  <si>
    <t xml:space="preserve">HFC-245ea </t>
  </si>
  <si>
    <t>HFC-245ea</t>
  </si>
  <si>
    <t>HFC-245EA</t>
  </si>
  <si>
    <t>HFC-245ea , gas, direct emission</t>
  </si>
  <si>
    <t xml:space="preserve">HFC-245eb </t>
  </si>
  <si>
    <t>HFC-245eb</t>
  </si>
  <si>
    <t>HFC-245eb , gas, direct emission</t>
  </si>
  <si>
    <t>HFC-245fa</t>
  </si>
  <si>
    <t>HFC-245FA</t>
  </si>
  <si>
    <t>HFC-245fa, gas, direct emission</t>
  </si>
  <si>
    <t xml:space="preserve">HFC-263fb </t>
  </si>
  <si>
    <t>HFC-263fb</t>
  </si>
  <si>
    <t>HFC-263fb , gas, direct emission</t>
  </si>
  <si>
    <t xml:space="preserve">HFC-272ca </t>
  </si>
  <si>
    <t>HFC-272ca</t>
  </si>
  <si>
    <t>HFC-272CA</t>
  </si>
  <si>
    <t>HFC-272ca , gas, direct emission</t>
  </si>
  <si>
    <t xml:space="preserve">HFC-329p </t>
  </si>
  <si>
    <t>HFC-329p</t>
  </si>
  <si>
    <t>HFC-329p , gas, direct emission</t>
  </si>
  <si>
    <t>HFC-365mfc</t>
  </si>
  <si>
    <t>HFC-365mfc, gas, direct emission</t>
  </si>
  <si>
    <t>PFC-14</t>
  </si>
  <si>
    <t>PFC-14, gas, direct emission</t>
  </si>
  <si>
    <t>PFC-116</t>
  </si>
  <si>
    <t>PFC-116, gas, direct emission</t>
  </si>
  <si>
    <t>PFC-218</t>
  </si>
  <si>
    <t>PFC-218, gas, direct emission</t>
  </si>
  <si>
    <t>PFC-318</t>
  </si>
  <si>
    <t>PFC-318, gas, direct emission</t>
  </si>
  <si>
    <t>PFC-31-10</t>
  </si>
  <si>
    <t>PFC-31-10, gas, direct emission</t>
  </si>
  <si>
    <t>PFC-41-12</t>
  </si>
  <si>
    <t>PFC-41-12, gas, direct emission</t>
  </si>
  <si>
    <t>PFC-51-14</t>
  </si>
  <si>
    <t>PFC-51-14, gas, direct emission</t>
  </si>
  <si>
    <t>PFC-91-18</t>
  </si>
  <si>
    <t>PFC-91-18, gas, direct emission</t>
  </si>
  <si>
    <t>Scope 1 Fleet</t>
  </si>
  <si>
    <t>Functional unit a)</t>
  </si>
  <si>
    <t>Functional unit b)</t>
  </si>
  <si>
    <t>Conversion Factor a) to b)</t>
  </si>
  <si>
    <t>Transport, Personenwagen, Diesel, Flottendurchschnitt</t>
  </si>
  <si>
    <t>Transport, voiture particulière, diesel, moyenne de la flotte</t>
  </si>
  <si>
    <t>vkm</t>
  </si>
  <si>
    <t>Transport, Personenwagen, Benzin, Flottendurchschnitt</t>
  </si>
  <si>
    <t>Transport, Personenwagen, batterieelektrisch, Flottendurchschnitt</t>
  </si>
  <si>
    <t>Transport, passenger car, battery electric, fleet average {CH} kWh</t>
  </si>
  <si>
    <t>Transport, 7.5t- Lastwagen, Fracht, Diesel, Flottendurchschnitt, Regionale Lieferung</t>
  </si>
  <si>
    <t>tkm</t>
  </si>
  <si>
    <t>Transport, 18t- Lastwagen, Fracht, Diesel, Flottendurchschnitt, Regionale Lieferung</t>
  </si>
  <si>
    <t>Transport, 26t- Lastwagen, Fracht, Diesel, Flottendurchschnitt, Regionale Lieferung</t>
  </si>
  <si>
    <t>Transport, 32t- Lastwagen, Fracht, Diesel, Flottendurchschnitt, Regionale Lieferung</t>
  </si>
  <si>
    <t>Transport, 40t- Lastwagen, Fracht, Diesel, Flottendurchschnitt, Regionale Lieferung</t>
  </si>
  <si>
    <t>Transport, freight, lorry, battery electric, LFP battery, 7.5t gross weight, 2020, regional delivery {CH} kWh</t>
  </si>
  <si>
    <t>Transport, freight, lorry, battery electric, LFP battery, 18t gross weight, 2020, regional delivery {CH} kWh</t>
  </si>
  <si>
    <t>Transport, freight, lorry, battery electric, LFP battery, 26t gross weight, 2020, regional delivery {CH} kWh</t>
  </si>
  <si>
    <t>Transport, freight, lorry, battery electric, LFP battery, 32t gross weight, 2020, regional delivery {CH} kWh</t>
  </si>
  <si>
    <t>Transport, freight, lorry, battery electric, LFP battery, 40t gross weight, 2020, regional delivery {CH} kWh</t>
  </si>
  <si>
    <t>Transport, Frachtflugzeug</t>
  </si>
  <si>
    <t>Transport, avion cargo</t>
  </si>
  <si>
    <t>Scope 3.1 SpendBased</t>
  </si>
  <si>
    <t>Category</t>
  </si>
  <si>
    <t>Erzeugnisse der Landwirtschaft</t>
  </si>
  <si>
    <t>Produits agricoles</t>
  </si>
  <si>
    <t>Prodotti agricoli</t>
  </si>
  <si>
    <t>CHF</t>
  </si>
  <si>
    <t>Nahrungsmittel</t>
  </si>
  <si>
    <t>Erzeugnisse der Forstwirtschaft</t>
  </si>
  <si>
    <t>Produits forestiers</t>
  </si>
  <si>
    <t>Prodotti forestali</t>
  </si>
  <si>
    <t>Konsumgüter</t>
  </si>
  <si>
    <t>Erzeugnisse der Fischerei</t>
  </si>
  <si>
    <t>Produits de la pêche</t>
  </si>
  <si>
    <t>Prodotti ittici</t>
  </si>
  <si>
    <t>Bergbauerzeugnisse</t>
  </si>
  <si>
    <t>Produits miniers</t>
  </si>
  <si>
    <t>Prodotti minerari</t>
  </si>
  <si>
    <t>Nahrungs- und Genussmittel</t>
  </si>
  <si>
    <t>Alimentation et boissons</t>
  </si>
  <si>
    <t>Cibo e bevande</t>
  </si>
  <si>
    <t>Textilien, Bekleidung, Schuhe</t>
  </si>
  <si>
    <t>Textiles, vêtements, chaussures</t>
  </si>
  <si>
    <t>Tessuti, abbigliamento, scarpe</t>
  </si>
  <si>
    <t>Textilien</t>
  </si>
  <si>
    <t>Holz, Holzerzeugnisse</t>
  </si>
  <si>
    <t>Bois, produits en bois</t>
  </si>
  <si>
    <t>Legno, prodotti in legno</t>
  </si>
  <si>
    <t>Papier, Papierwaren</t>
  </si>
  <si>
    <t>Papier, papeterie</t>
  </si>
  <si>
    <t>Carta, cancelleria</t>
  </si>
  <si>
    <t>Druckerzeugnisse</t>
  </si>
  <si>
    <t>Produits imprimés</t>
  </si>
  <si>
    <t>Prodotti stampati</t>
  </si>
  <si>
    <t>Mineralölerzeugnisse, chemische Erzeugnisse</t>
  </si>
  <si>
    <t>Produits pétroliers, produits chimiques</t>
  </si>
  <si>
    <t>Prodotti petroliferi, prodotti chimici</t>
  </si>
  <si>
    <t>Erdölprodukte, Chemie</t>
  </si>
  <si>
    <t>Pharmaerzeugnisse</t>
  </si>
  <si>
    <t>Produits pharmaceutiques</t>
  </si>
  <si>
    <t>Prodotti farmaceutici</t>
  </si>
  <si>
    <t>Gummi- und Kunststoffwaren</t>
  </si>
  <si>
    <t>Produits en caoutchouc et plastique</t>
  </si>
  <si>
    <t>Prodotti in gomma e plastica</t>
  </si>
  <si>
    <t>Glas, Keramik, Steine und Erden</t>
  </si>
  <si>
    <t>Verre, céramique, pierres et sols</t>
  </si>
  <si>
    <t>Metalle</t>
  </si>
  <si>
    <t>Métaux</t>
  </si>
  <si>
    <t>Metalli</t>
  </si>
  <si>
    <t>Metallerzeugnisse</t>
  </si>
  <si>
    <t>Produits métalliques</t>
  </si>
  <si>
    <t>Prodotti metallici</t>
  </si>
  <si>
    <t>Elektronik, EDV-Geräte, Optik, Uhren</t>
  </si>
  <si>
    <t>Électronique, équipements informatiques, optique, montres</t>
  </si>
  <si>
    <t>Elettronica, apparecchiature informatiche, ottiche, orologi</t>
  </si>
  <si>
    <t>Maschinen, Elektro</t>
  </si>
  <si>
    <t>Elektrische Ausrüstungen</t>
  </si>
  <si>
    <t>Équipements électriques</t>
  </si>
  <si>
    <t>Apparecchiature elettriche</t>
  </si>
  <si>
    <t>Erzeugnisse des Maschinenbaus</t>
  </si>
  <si>
    <t>Strassenfahrzeuge</t>
  </si>
  <si>
    <t>Véhicules routiers</t>
  </si>
  <si>
    <t>Veicoli stradali</t>
  </si>
  <si>
    <t>Fahrzeuge</t>
  </si>
  <si>
    <t>Sonstige Fahrzeuge</t>
  </si>
  <si>
    <t>Autres véhicules</t>
  </si>
  <si>
    <t>Altri veicoli</t>
  </si>
  <si>
    <t>Möbel, Sonstige Güter</t>
  </si>
  <si>
    <t>Meubles, autres biens</t>
  </si>
  <si>
    <t>Mobili, Altri Beni</t>
  </si>
  <si>
    <t>Reparatur und Installation von Maschinen und Ausrüstungen</t>
  </si>
  <si>
    <t>Riparazione e installazione di macchinari e attrezzature</t>
  </si>
  <si>
    <t>Gas</t>
  </si>
  <si>
    <t>Gaz</t>
  </si>
  <si>
    <t>Energie (Gas)</t>
  </si>
  <si>
    <t>Elektrizität, Fernwärme</t>
  </si>
  <si>
    <t>Électricité, chauffage urbain</t>
  </si>
  <si>
    <t>Elettricità, riscaldamento distrettuale</t>
  </si>
  <si>
    <t>Energie (sonstige)</t>
  </si>
  <si>
    <t>Wasser, Abfall, Abwasser</t>
  </si>
  <si>
    <t>Eau, déchets, eaux usées</t>
  </si>
  <si>
    <t>Acqua, rifiuti, acque reflue</t>
  </si>
  <si>
    <t>Wasser, Entsorgung</t>
  </si>
  <si>
    <t>Bauleistungen</t>
  </si>
  <si>
    <t>Services de construction</t>
  </si>
  <si>
    <t>Servizi di costruzione</t>
  </si>
  <si>
    <t>Handelsleistungen</t>
  </si>
  <si>
    <t>Services de négoce</t>
  </si>
  <si>
    <t>Servizi di scambio</t>
  </si>
  <si>
    <t>Handel</t>
  </si>
  <si>
    <t>Verkehrsdienstleistungen (ohne Luftverkehr)</t>
  </si>
  <si>
    <t>Services de transport (hors transport aérien)</t>
  </si>
  <si>
    <t>Servizi di trasporto (escluso il trasporto aereo)</t>
  </si>
  <si>
    <t>Verkehrs-DL</t>
  </si>
  <si>
    <t>Luftverkehrsdienstleistungen</t>
  </si>
  <si>
    <t>Services de transport aérien</t>
  </si>
  <si>
    <t>Servizi di trasporto aereo</t>
  </si>
  <si>
    <t>Luftverkehr</t>
  </si>
  <si>
    <t>Lagerei, Dienstleistungen für den Verkehr</t>
  </si>
  <si>
    <t>Post-, Kurier- und Expressdienste</t>
  </si>
  <si>
    <t>Servizi postali, corrieri ed espressi</t>
  </si>
  <si>
    <t>Erzeugnisse/Dienstleistungen der Beherbergung</t>
  </si>
  <si>
    <t>Prodotti/servizi di alloggio</t>
  </si>
  <si>
    <t>Beherbergung</t>
  </si>
  <si>
    <t>Erzeugnisse/Dienstleistungen der Gastronomie</t>
  </si>
  <si>
    <t>Prodotti/servizi dell'industria della ristorazione</t>
  </si>
  <si>
    <t>Gastronomie</t>
  </si>
  <si>
    <t>Erzeugnisse/Dienstleistungen des Verlagswesens, der audiovisuellen Medien und des Rundfunks</t>
  </si>
  <si>
    <t>Prodotti/servizi di editoria, audiovisivi e radiodiffusione</t>
  </si>
  <si>
    <t>Übrige DL</t>
  </si>
  <si>
    <t>Dienstleistungen der Telekommunikation</t>
  </si>
  <si>
    <t>Services de télécommunications</t>
  </si>
  <si>
    <t>Servizi di telecomunicazioni</t>
  </si>
  <si>
    <t>Informationstechnologische und Informationsdienstleistungen</t>
  </si>
  <si>
    <t>Tecnologia dell'informazione e servizi informativi</t>
  </si>
  <si>
    <t>Finanzdienstleistungen</t>
  </si>
  <si>
    <t>Services financiers</t>
  </si>
  <si>
    <t>Servizi finanziari</t>
  </si>
  <si>
    <t>Dienstleistungen der Versicherungen</t>
  </si>
  <si>
    <t>Services d’assurance</t>
  </si>
  <si>
    <t>Servizi assicurativi</t>
  </si>
  <si>
    <t>Dienstleistungen des Grundstücks- und Wohnungswesens</t>
  </si>
  <si>
    <t>Servizi immobiliari e abitativi</t>
  </si>
  <si>
    <t>Freiberufliche und technische Dienstleistungen</t>
  </si>
  <si>
    <t>Servizi professionali e tecnici</t>
  </si>
  <si>
    <t>Dienstleistungen von Forschung und Entwicklung</t>
  </si>
  <si>
    <t>Services de recherche et développement</t>
  </si>
  <si>
    <t>Dienstleistungen von sonstigen freiberuflichen, wissenschaftlichen und technischen Tätigkeiten</t>
  </si>
  <si>
    <t>Servizi di altre attività professionali, scientifiche e tecniche</t>
  </si>
  <si>
    <t>Sonstige wirtschaftliche Dienstleistungen</t>
  </si>
  <si>
    <t>Autres services économiques</t>
  </si>
  <si>
    <t>Altri servizi economici</t>
  </si>
  <si>
    <t>Dienstleistungen der öffentlichen Verwaltung</t>
  </si>
  <si>
    <t>Services de l’administration publique</t>
  </si>
  <si>
    <t>Servizi di amministrazione pubblica</t>
  </si>
  <si>
    <t>Verwaltung, Bildung</t>
  </si>
  <si>
    <t>Dienstleistungen im Bereich Erziehung und Unterricht</t>
  </si>
  <si>
    <t>Dienstleistungen des Gesundheitswesens</t>
  </si>
  <si>
    <t>Services de santé</t>
  </si>
  <si>
    <t>Servizi sanitari</t>
  </si>
  <si>
    <t>Gesundheit, Soziales</t>
  </si>
  <si>
    <t>Dienstleistungen von Heimen und Sozialwesen</t>
  </si>
  <si>
    <t>Servizi delle abitazioni e servizi sociali</t>
  </si>
  <si>
    <t>Dienstleistungen von Kunst, Unterhaltung und Erholung</t>
  </si>
  <si>
    <t>Servizi di arte, intrattenimento e ricreazione</t>
  </si>
  <si>
    <t>Sonstige Dienstleistungen</t>
  </si>
  <si>
    <t>Autres services</t>
  </si>
  <si>
    <t>Altri servizi</t>
  </si>
  <si>
    <t>Scope 3.2 Capital Goods</t>
  </si>
  <si>
    <t>Functional Unit2</t>
  </si>
  <si>
    <t>Office building pro m3</t>
  </si>
  <si>
    <t>Building, multi-storey {RER}</t>
  </si>
  <si>
    <t>Gebäude</t>
  </si>
  <si>
    <t>Production hall / Warehouse pro m2</t>
  </si>
  <si>
    <t>Building, hall {CH}</t>
  </si>
  <si>
    <t>m2</t>
  </si>
  <si>
    <t>Photovoltaic installation, 3kWp (17m2)</t>
  </si>
  <si>
    <t>Installation photovoltaïque, 3 kWp (17 m2)</t>
  </si>
  <si>
    <t>Impianto fotovoltaico, 3kWp (17m2)</t>
  </si>
  <si>
    <t>Oil Boiler 10kW</t>
  </si>
  <si>
    <t>Chaudière à mazout 10 kW</t>
  </si>
  <si>
    <t>Caldaia a olio 10kW</t>
  </si>
  <si>
    <t>Oil boiler 10kW {CH}</t>
  </si>
  <si>
    <t>Oil Boiler 100kW</t>
  </si>
  <si>
    <t>Caldaia a olio 100kW</t>
  </si>
  <si>
    <t>Oil boiler 100kW {CH}</t>
  </si>
  <si>
    <t>Gas Boiler 15kW</t>
  </si>
  <si>
    <t>Caldaia a gas 15kW</t>
  </si>
  <si>
    <t>Gas boiler 15kW {RER}</t>
  </si>
  <si>
    <t>Gas Boiler 50kW</t>
  </si>
  <si>
    <t>Caldaia a gas 50kW</t>
  </si>
  <si>
    <t>Gas boiler 50kW {RER}</t>
  </si>
  <si>
    <t>Heat pump, air-water, 15kW</t>
  </si>
  <si>
    <t>Pompe à chaleur, air-eau, 15 kW</t>
  </si>
  <si>
    <t>Pompa di calore, aria-acqua, 15kW</t>
  </si>
  <si>
    <t>Heat pump, air-water, 15kW {RER}</t>
  </si>
  <si>
    <t>Heat pump, air-water, 50kW</t>
  </si>
  <si>
    <t>Pompa di calore, aria-acqua, 50kW</t>
  </si>
  <si>
    <t>Heat pump, air-water, 50kW {RER}</t>
  </si>
  <si>
    <t>Heat pump, brine-water, 15kW</t>
  </si>
  <si>
    <t>Heat pump, brine-water, 15kW {RER}</t>
  </si>
  <si>
    <t>Heat pump, brine-water 50kW</t>
  </si>
  <si>
    <t>Heat pump, brine-water, 50kW {RER}</t>
  </si>
  <si>
    <t>Road / Parking spaces per m2</t>
  </si>
  <si>
    <t>Roads, company, internal {CH}</t>
  </si>
  <si>
    <t>m2a</t>
  </si>
  <si>
    <t>Passenger car electric</t>
  </si>
  <si>
    <t>Voiture particulière électrique</t>
  </si>
  <si>
    <t>Auto elettriche</t>
  </si>
  <si>
    <t>Passenger car, battery electric, LFP battery, Medium, 2021 {RER}</t>
  </si>
  <si>
    <t>Passenger car petrol/diesel</t>
  </si>
  <si>
    <t>Voiture particulière essence/diesel</t>
  </si>
  <si>
    <t>Auto passeggeri benzina/diesel</t>
  </si>
  <si>
    <t>Passenger car, diesel, Medium, 2021, EURO-6d {RER}</t>
  </si>
  <si>
    <t>Truck 3.5t</t>
  </si>
  <si>
    <t>Light duty truck, diesel, 3.5t gross weight, 2020, EURO-VI, regional delivery {RER}</t>
  </si>
  <si>
    <t>Truck 7.5t</t>
  </si>
  <si>
    <t>Light duty truck, diesel, 7.5t gross weight, 2020, EURO-VI, regional delivery {RER}</t>
  </si>
  <si>
    <t>Truck 18t</t>
  </si>
  <si>
    <t>Medium duty truck, diesel hybrid, 18t gross weight, 2020, EURO-VI, regional delivery {RER}</t>
  </si>
  <si>
    <t>Truck 26t</t>
  </si>
  <si>
    <t>Medium duty truck, diesel hybrid, 26t gross weight, 2020, EURO-VI, regional delivery {RER}</t>
  </si>
  <si>
    <t>Truck 32t</t>
  </si>
  <si>
    <t>Heavy duty truck, diesel hybrid, 32t gross weight, 2020, EURO-VI, regional delivery {RER}</t>
  </si>
  <si>
    <t>Truck 40t</t>
  </si>
  <si>
    <t>Heavy duty truck, diesel hybrid, 40t gross weight, 2020, EURO-VI, regional delivery {RER}</t>
  </si>
  <si>
    <t>Truck 3.5t, electric</t>
  </si>
  <si>
    <t>Light duty truck, battery electric, LFP battery, 3.5t gross weight, 2020, regional delivery {RER}</t>
  </si>
  <si>
    <t>Truck 7.5t, electric</t>
  </si>
  <si>
    <t>Camion 7.5t, elettrico</t>
  </si>
  <si>
    <t>Light duty truck, battery electric, LFP battery, 7.5t gross weight, 2020, regional delivery {RER}</t>
  </si>
  <si>
    <t>Truck 18t, electric</t>
  </si>
  <si>
    <t>Camion 18t, électrique</t>
  </si>
  <si>
    <t>Camion 18t, elettrico</t>
  </si>
  <si>
    <t>Medium duty truck, battery electric, LFP battery, 18t gross weight, 2020, regional delivery {RER}</t>
  </si>
  <si>
    <t>Truck 26t, electric</t>
  </si>
  <si>
    <t>Camion 26t, électrique</t>
  </si>
  <si>
    <t>Camion 26t, elettrico</t>
  </si>
  <si>
    <t>Medium duty truck, battery electric, LFP battery, 26t gross weight, 2020, regional delivery {RER}</t>
  </si>
  <si>
    <t>Truck 32t, electric</t>
  </si>
  <si>
    <t>Camion 32t, électrique</t>
  </si>
  <si>
    <t>Camion 32t, elettrico</t>
  </si>
  <si>
    <t>Heavy duty truck, battery electric, LFP battery, 32t gross weight, 2020, regional delivery {RER}</t>
  </si>
  <si>
    <t>Truck 40t, electric</t>
  </si>
  <si>
    <t>Camion 40t, électrique</t>
  </si>
  <si>
    <t>Camion 40t, elettrico</t>
  </si>
  <si>
    <t>Heavy duty truck, battery electric, LFP battery, 40t gross weight, 2020, regional delivery {RER}</t>
  </si>
  <si>
    <t>Passenger Bus 9m</t>
  </si>
  <si>
    <t>Autobus passeggeri 9m</t>
  </si>
  <si>
    <t>Passenger bus, diesel, 9m midibus, 2020, EURO-VI {CH}</t>
  </si>
  <si>
    <t>Passenger Bus 13m</t>
  </si>
  <si>
    <t>Autobus passeggeri 13m</t>
  </si>
  <si>
    <t>Passenger bus, diesel, 13m single deck urban bus, 2020, EURO-VI {CH}</t>
  </si>
  <si>
    <t>Building machine</t>
  </si>
  <si>
    <t>Machine de construction</t>
  </si>
  <si>
    <t>Macchina da costruzione</t>
  </si>
  <si>
    <t>Building machine {RER}</t>
  </si>
  <si>
    <t>Metal working machine, unspecified, at plant {RER}</t>
  </si>
  <si>
    <t>Maschinen</t>
  </si>
  <si>
    <t>Maschinen, high-tech, pro kg</t>
  </si>
  <si>
    <t>Electronic component machinery, unspecified {GLO}</t>
  </si>
  <si>
    <t>Maschinen, Haushalt, pro kg</t>
  </si>
  <si>
    <t>Production, washing machine, V-ZUG</t>
  </si>
  <si>
    <t>Haushalts- / Betriebskehricht gemischt, KVA</t>
  </si>
  <si>
    <t>Disposal, municipal solid waste, 22.9% water, to municipal incineration {CH}</t>
  </si>
  <si>
    <t>Sonderabfall, KVA</t>
  </si>
  <si>
    <t>Disposal, hazardous waste, 25% water, to hazardous waste incineration {CH}</t>
  </si>
  <si>
    <t>Sonderabfall, Deponie</t>
  </si>
  <si>
    <t>Déchets dangereux, décharge</t>
  </si>
  <si>
    <t>Rifiuti pericolosi, discarica</t>
  </si>
  <si>
    <t>Disposal, hazardous waste, 0% water, to underground deposit {DE}</t>
  </si>
  <si>
    <t>Plastik, KVA</t>
  </si>
  <si>
    <t>Disposal, plastics, mixture, 15.3% water, to municipal incineration {CH}</t>
  </si>
  <si>
    <t>Plastik, Recycling</t>
  </si>
  <si>
    <t>Plastique, recyclage</t>
  </si>
  <si>
    <t>Disposal, recycling, cut-off</t>
  </si>
  <si>
    <t>Metall, Recycling</t>
  </si>
  <si>
    <t>Métaux, recyclage</t>
  </si>
  <si>
    <t>Elektroschrott, Recycling</t>
  </si>
  <si>
    <t>Déchets électroniques, recyclage</t>
  </si>
  <si>
    <t>Rifiuti elettronici, riciclo</t>
  </si>
  <si>
    <t>Disposal, electronics for control units {RER}</t>
  </si>
  <si>
    <t>Bioabfall, KVA</t>
  </si>
  <si>
    <t>Disposal, biowaste, 60% H2O, to municipal incineration, allocation price {CH}</t>
  </si>
  <si>
    <t>Bioabfall, Biogasproduktion</t>
  </si>
  <si>
    <t>Biodéchets, production de biogaz</t>
  </si>
  <si>
    <t>Biorifiuti, produzione di biogas</t>
  </si>
  <si>
    <t>Disposal, biowaste, to anaerobic digestion {CH}</t>
  </si>
  <si>
    <t>Inertstoff / Bauschutt, Deponie</t>
  </si>
  <si>
    <t>Matériaux inertes / déchets de construction, décharge</t>
  </si>
  <si>
    <t>Materiale inerte / rifiuti da costruzione, discarica</t>
  </si>
  <si>
    <t>Disposal, inert waste, 5% water, to construction waste landfill {CH}</t>
  </si>
  <si>
    <t>Inertstoff / Bauschutt, Recycling</t>
  </si>
  <si>
    <t>Matériaux inertes / déchets de construction, recyclage</t>
  </si>
  <si>
    <t>Materiali inerti / rifiuti da costruzione, riciclo</t>
  </si>
  <si>
    <t>Scope 1 Non-GHG Emissions</t>
  </si>
  <si>
    <t>1,2-Dichlorethan, in der Luft</t>
  </si>
  <si>
    <t>1,2-dichloroéthane, dans l’air</t>
  </si>
  <si>
    <t>1,2-dicloroetano, nell'aria</t>
  </si>
  <si>
    <t>1,2-Dichlorethan im Wasser</t>
  </si>
  <si>
    <t>1,2-dichloroéthane, dans l’eau</t>
  </si>
  <si>
    <t>1,2-dicloroetano, in acqua</t>
  </si>
  <si>
    <t>Ammoniak, in der Luft</t>
  </si>
  <si>
    <t>Ammoniac, dans l’air</t>
  </si>
  <si>
    <t>Ammoniaca, nell'aria</t>
  </si>
  <si>
    <t>Anthracen, im Wasser</t>
  </si>
  <si>
    <t>Anthracène, dans l’eau</t>
  </si>
  <si>
    <t>Antracene, in acqua</t>
  </si>
  <si>
    <t>Arsen, im Wasser</t>
  </si>
  <si>
    <t>Arsenic, dans l’eau</t>
  </si>
  <si>
    <t>Arsenico, in acqua</t>
  </si>
  <si>
    <t>Benzol, in der Luft</t>
  </si>
  <si>
    <t>Benzène, dans l’air</t>
  </si>
  <si>
    <t>Benzene, in aria</t>
  </si>
  <si>
    <t>Benzol (als BTEX), im Wasser</t>
  </si>
  <si>
    <t>Benzène (sous forme de BTEX), dans l’eau</t>
  </si>
  <si>
    <t>Benzene (come BTEX), in acqua</t>
  </si>
  <si>
    <t>Blei, in der Luft</t>
  </si>
  <si>
    <t>Piombo, in aria</t>
  </si>
  <si>
    <t>Blei, im Wasser</t>
  </si>
  <si>
    <t>Plomb, dans l’eau</t>
  </si>
  <si>
    <t>Piombo, nell'acqua</t>
  </si>
  <si>
    <t>Kadmium, in der Luft</t>
  </si>
  <si>
    <t>Cadmium, dans l’air</t>
  </si>
  <si>
    <t>Cadmio, in aria</t>
  </si>
  <si>
    <t>Cadmium im Wasser</t>
  </si>
  <si>
    <t>Cadmium, dans l’eau</t>
  </si>
  <si>
    <t>Cadmio, in acqua</t>
  </si>
  <si>
    <t>Wasserstoffchlorid in der Luft</t>
  </si>
  <si>
    <t>Chlorure d’hydrogène, dans l’air</t>
  </si>
  <si>
    <t>Cloruro di idrogeno, nell'aria</t>
  </si>
  <si>
    <t>Chrom, in der Luft</t>
  </si>
  <si>
    <t>Cromo, nell'aria</t>
  </si>
  <si>
    <t>Chrom im Wasser</t>
  </si>
  <si>
    <t>Cromo, in acqua</t>
  </si>
  <si>
    <t>Dichloromethan (HCC-3ND), in der Luft</t>
  </si>
  <si>
    <t>Dichlorométhane (HCC-3ND), dans l’air</t>
  </si>
  <si>
    <t>Diclorometano (HCC-3ND), nell'aria</t>
  </si>
  <si>
    <t>Dichloromethan (HCC-3ND) im Wasser</t>
  </si>
  <si>
    <t>Dichlorométhane (HCC-3ND), dans l’eau</t>
  </si>
  <si>
    <t>Diclorometano (HCC-3ND), in acqua</t>
  </si>
  <si>
    <t>Diuron, im Wasser</t>
  </si>
  <si>
    <t>Diuron, dans l’eau</t>
  </si>
  <si>
    <t>Diuron, in acqua</t>
  </si>
  <si>
    <t>Ethylbenzol in Wasser</t>
  </si>
  <si>
    <t>Éthylbenzène, dans l’eau</t>
  </si>
  <si>
    <t>Etilbenzene, in acqua</t>
  </si>
  <si>
    <t>Ethylenoxid im Wasser</t>
  </si>
  <si>
    <t>Oxyde d’éthylène, dans l’eau</t>
  </si>
  <si>
    <t>Ossido di etilene, in acqua</t>
  </si>
  <si>
    <t>Ethylenoxid in der Luft</t>
  </si>
  <si>
    <t>Oxyde d’éthylène, dans l’air</t>
  </si>
  <si>
    <t>Ossido di etilene, nell'aria</t>
  </si>
  <si>
    <t>Partikel in der Luft</t>
  </si>
  <si>
    <t>Particules, dans l’air</t>
  </si>
  <si>
    <t>NMVOC (nicht-methanflüchtige organische Verbindungen), in der Luft</t>
  </si>
  <si>
    <t>NMVOC (composés organiques volatils non méthaniques), dans l’air</t>
  </si>
  <si>
    <t>NMVOC (Composti Organici Volatili Non Metano), nell'aria</t>
  </si>
  <si>
    <t>Wasserstofffluorid in der Luft</t>
  </si>
  <si>
    <t>Fluorure d’hydrogène, dans l’air</t>
  </si>
  <si>
    <t>Fluoruro di idrogeno, nell'aria</t>
  </si>
  <si>
    <t>TOC (Carbonio Organico Totale), nelle acque sotterranee</t>
  </si>
  <si>
    <t>Fosforo, nell'acqua</t>
  </si>
  <si>
    <t>Azoto, nell'acqua</t>
  </si>
  <si>
    <t>AOX (halogène organique adsorbable, sous forme de Cl), dans l’eau</t>
  </si>
  <si>
    <t>AOX (Alogeno Organico Adsorbitabile, come Cl), in acqua</t>
  </si>
  <si>
    <t>Halon 1211 (Bromochlordifluoromethan), in der Luft</t>
  </si>
  <si>
    <t>Halon 1211 (bromochlorodifluorométhane), dans l’air</t>
  </si>
  <si>
    <t>Halon 1211 (bromoclorodifluorometano), nell'aria</t>
  </si>
  <si>
    <t>Halon 13ND1 (Bromotrifluormethan), in der Luft</t>
  </si>
  <si>
    <t>Halon 13ND1 (Bromotrifluorométhane), dans l’air</t>
  </si>
  <si>
    <t>Halon 13ND1 (Bromotrifluorometano), nell'aria</t>
  </si>
  <si>
    <t>Kohlenmonoxid, fossil, in der Luft</t>
  </si>
  <si>
    <t>Monoxyde de carbone, fossile, dans l’air</t>
  </si>
  <si>
    <t>Monossido di carbonio, fossile, nell'aria</t>
  </si>
  <si>
    <t>Kupfer, in der Luft</t>
  </si>
  <si>
    <t>Cuivre, dans l’air</t>
  </si>
  <si>
    <t>Rame, in aria</t>
  </si>
  <si>
    <t>Kupfer, im Wasser</t>
  </si>
  <si>
    <t>Cuivre, dans l’eau</t>
  </si>
  <si>
    <t>Rame, in acqua</t>
  </si>
  <si>
    <t>Acenaphthen, in der Luft</t>
  </si>
  <si>
    <t>Acénaphtène, dans l’air</t>
  </si>
  <si>
    <t>Acenaftene, in aria</t>
  </si>
  <si>
    <t>Naphtalène, dans l’eau</t>
  </si>
  <si>
    <t>Naftalene, in acqua</t>
  </si>
  <si>
    <t>Nickel, in der Luft</t>
  </si>
  <si>
    <t>Nickel, dans l’air</t>
  </si>
  <si>
    <t>Nichel, nell'aria</t>
  </si>
  <si>
    <t>Nickel, in Wasser</t>
  </si>
  <si>
    <t>Nickel, dans l’eau</t>
  </si>
  <si>
    <t>Nichel, in acqua</t>
  </si>
  <si>
    <t>Nonylphenol, in Wasser</t>
  </si>
  <si>
    <t>Nonylphénol, dans l’eau</t>
  </si>
  <si>
    <t>Nonilfenolo, in acqua</t>
  </si>
  <si>
    <t>2,3,7,8 Tetrachlorodibenzo-p-Dioxin, in der Luft</t>
  </si>
  <si>
    <t>2,3,7,8 Tétrachlorodibenzo-p-dioxine, dans l’air</t>
  </si>
  <si>
    <t>2,3,7,8 tetraclorodibenzo-p-diossina, nell'aria</t>
  </si>
  <si>
    <t>2,3,7,8 Tetrachlordibenzo-p-Dioxin, im Wasser</t>
  </si>
  <si>
    <t>2,3,7,8 Tétrachlorodibenzo-p-dioxine, dans l’eau</t>
  </si>
  <si>
    <t>2,3,7,8 tetraclorodibenzo-p-diossina, in acqua</t>
  </si>
  <si>
    <t>Polychlorierte Biphenyle in der Luft</t>
  </si>
  <si>
    <t>Biphényles polychlorés, dans l’air</t>
  </si>
  <si>
    <t>Bifenili policlorati, nell'aria</t>
  </si>
  <si>
    <t>PAH (polyzyklische aromatische Kohlenwasserstoffe), in der Luft</t>
  </si>
  <si>
    <t>PAH (hydrocarbures aromatiques polycycliques), dans l’air</t>
  </si>
  <si>
    <t>PAH (idrocarburi aromatici policiclici), nell'aria</t>
  </si>
  <si>
    <t>PAH (hydrocarbures aromatiques polycycliques), dans l’eau</t>
  </si>
  <si>
    <t>PAH (Idrocarburi Aromatici Policiclici), in acqua</t>
  </si>
  <si>
    <t>Merkur, in der Luft</t>
  </si>
  <si>
    <t>Mercure, dans l’air</t>
  </si>
  <si>
    <t>Mercurio, in aria</t>
  </si>
  <si>
    <t>Quecksilber im Wasser</t>
  </si>
  <si>
    <t>Mercure, dans l’eau</t>
  </si>
  <si>
    <t>Mercurio, in acqua</t>
  </si>
  <si>
    <t>Schwefeldioxid in der Luft</t>
  </si>
  <si>
    <t>Dioxyde de soufre, dans l’air</t>
  </si>
  <si>
    <t>Biossido di zolfo, nell'aria</t>
  </si>
  <si>
    <t>Stickoxide in der Luft</t>
  </si>
  <si>
    <t>Oxydes d’azote, dans l’air</t>
  </si>
  <si>
    <t>Ossidi di azoto, nell'aria</t>
  </si>
  <si>
    <t>Tetrachloreten, in der Luft</t>
  </si>
  <si>
    <t>Tétrachloroéthène, dans l’air</t>
  </si>
  <si>
    <t>Tetracloroetene, nell'aria</t>
  </si>
  <si>
    <t>Toluol, im Wasser</t>
  </si>
  <si>
    <t>Toluène, dans l’eau</t>
  </si>
  <si>
    <t>Toluene, in acqua</t>
  </si>
  <si>
    <t>Tributyltinverbindungen im Wasser</t>
  </si>
  <si>
    <t>Composés de tributyltine, dans l’eau</t>
  </si>
  <si>
    <t>Composti di tributariltino, in acqua</t>
  </si>
  <si>
    <t>Trichlorothen, in der Luft</t>
  </si>
  <si>
    <t>Trichlorothène, dans l’air</t>
  </si>
  <si>
    <t>Triclorotene, nell'aria</t>
  </si>
  <si>
    <t>Chloroform, in der Luft</t>
  </si>
  <si>
    <t>Chloroforme, dans l’air</t>
  </si>
  <si>
    <t>Cloroformio, nell'aria</t>
  </si>
  <si>
    <t>Xylen, im Wasser</t>
  </si>
  <si>
    <t>Xylène, dans l’eau</t>
  </si>
  <si>
    <t>Xilene, in acqua</t>
  </si>
  <si>
    <t>Zink, in der Luft</t>
  </si>
  <si>
    <t>Zinco, nell'aria</t>
  </si>
  <si>
    <t>Zinc, dans l’eau</t>
  </si>
  <si>
    <t>Zinco, in acqua</t>
  </si>
  <si>
    <t>DropDowns for General Inputs</t>
  </si>
  <si>
    <t>Cells in table must not be "0" or "".</t>
  </si>
  <si>
    <t>Current Language</t>
  </si>
  <si>
    <t>EN Name</t>
  </si>
  <si>
    <t>CONTROL</t>
  </si>
  <si>
    <t>Operative Kontrolle</t>
  </si>
  <si>
    <t>Contrôle opérationnel</t>
  </si>
  <si>
    <t>Controllo operativo</t>
  </si>
  <si>
    <t>Operational Control</t>
  </si>
  <si>
    <t>Finanzielle Kontrolle</t>
  </si>
  <si>
    <t>Contrôle financier</t>
  </si>
  <si>
    <t>Controllo finanziario</t>
  </si>
  <si>
    <t>Financial Control</t>
  </si>
  <si>
    <t>Eigenkapitalanteil</t>
  </si>
  <si>
    <t>Quota di partecipazione</t>
  </si>
  <si>
    <t>Equity Share</t>
  </si>
  <si>
    <t>YES/NO</t>
  </si>
  <si>
    <t>Ja</t>
  </si>
  <si>
    <t>Oui</t>
  </si>
  <si>
    <t>Si</t>
  </si>
  <si>
    <t>Yes</t>
  </si>
  <si>
    <t>Nein</t>
  </si>
  <si>
    <t>Non</t>
  </si>
  <si>
    <t>No</t>
  </si>
  <si>
    <t>LEASE TYPE</t>
  </si>
  <si>
    <t>Operating-Leasing</t>
  </si>
  <si>
    <t>Leasing operativo</t>
  </si>
  <si>
    <t>Operating Lease</t>
  </si>
  <si>
    <t>Kapitalleasing</t>
  </si>
  <si>
    <t>Leasing finanziario</t>
  </si>
  <si>
    <t>Capital Lease</t>
  </si>
  <si>
    <t>Die Art des Leasings ist in diesem Fall nicht relevant.</t>
  </si>
  <si>
    <t>La tipologia del leasing non è rilevante in questo caso.</t>
  </si>
  <si>
    <t>The leasing type is not relevant in this case.</t>
  </si>
  <si>
    <t>Handelt es sich bei Ihren vermieteten und gemieteten Objekten mehrheitlich um operatives Leasing "Operating Lease" or Finanzierungsleasing "Capital Lease"?
(Hilfestellung im User Handbook)</t>
  </si>
  <si>
    <t>END</t>
  </si>
  <si>
    <t>Scope 3.1 Product Based</t>
  </si>
  <si>
    <t>Shortlist</t>
  </si>
  <si>
    <t>Dataset</t>
  </si>
  <si>
    <t>Mat. Cat. 1</t>
  </si>
  <si>
    <t>Mat.Cat.  2</t>
  </si>
  <si>
    <t>Mat. Cat.  3</t>
  </si>
  <si>
    <t>Bedingte Drop-Downs 1</t>
  </si>
  <si>
    <t>Bitumen adhesive compound, hot, at plant {RER}</t>
  </si>
  <si>
    <t>DropDown1.1</t>
  </si>
  <si>
    <t>DropDown2.1</t>
  </si>
  <si>
    <t>DropDown3.1</t>
  </si>
  <si>
    <t>DropDown4.1</t>
  </si>
  <si>
    <t>DropDown5.1</t>
  </si>
  <si>
    <t>DropDown6.1</t>
  </si>
  <si>
    <t>DropDown7.1</t>
  </si>
  <si>
    <t>DropDown8.1</t>
  </si>
  <si>
    <t>DropDown9.1</t>
  </si>
  <si>
    <t>DropDown10.1</t>
  </si>
  <si>
    <t>DropDown11.1</t>
  </si>
  <si>
    <t>DropDown12.1</t>
  </si>
  <si>
    <t>DropDown13.1</t>
  </si>
  <si>
    <t>DropDown14.1</t>
  </si>
  <si>
    <t>DropDown15.1</t>
  </si>
  <si>
    <t>DropDown16.1</t>
  </si>
  <si>
    <t>DropDown17.1</t>
  </si>
  <si>
    <t>DropDown18.1</t>
  </si>
  <si>
    <t>DropDown19.1</t>
  </si>
  <si>
    <t>DropDown20.1</t>
  </si>
  <si>
    <t>Brick, at plant {RER}</t>
  </si>
  <si>
    <t>DropDown1.2</t>
  </si>
  <si>
    <t>DropDown2.2</t>
  </si>
  <si>
    <t>DropDown3.2</t>
  </si>
  <si>
    <t>DropDown4.2</t>
  </si>
  <si>
    <t>DropDown5.2</t>
  </si>
  <si>
    <t>DropDown6.2</t>
  </si>
  <si>
    <t>DropDown7.2</t>
  </si>
  <si>
    <t>DropDown8.2</t>
  </si>
  <si>
    <t>DropDown9.2</t>
  </si>
  <si>
    <t>DropDown10.2</t>
  </si>
  <si>
    <t>DropDown11.2</t>
  </si>
  <si>
    <t>DropDown12.2</t>
  </si>
  <si>
    <t>DropDown13.2</t>
  </si>
  <si>
    <t>DropDown14.2</t>
  </si>
  <si>
    <t>DropDown15.2</t>
  </si>
  <si>
    <t>DropDown16.2</t>
  </si>
  <si>
    <t>DropDown17.2</t>
  </si>
  <si>
    <t>DropDown18.2</t>
  </si>
  <si>
    <t>DropDown19.2</t>
  </si>
  <si>
    <t>DropDown20.2</t>
  </si>
  <si>
    <t>Sand-lime brick, at plant {DE}</t>
  </si>
  <si>
    <t>Light clay brick, at plant {DE}</t>
  </si>
  <si>
    <t>Cladding, crossbar-pole, aluminium, at plant {RER}</t>
  </si>
  <si>
    <t>Concrete, normal, at plant {CH}</t>
  </si>
  <si>
    <t>Lean concrete, unspecific, at plant {CH}</t>
  </si>
  <si>
    <t>Lightweight concrete block, expanded clay, at plant {CH}</t>
  </si>
  <si>
    <t>xx Lightweight concrete block, polystyrene, at plant {CH}</t>
  </si>
  <si>
    <t>Acrylic filler, at plant {RER}</t>
  </si>
  <si>
    <t>Clay plaster, at plant {CH}</t>
  </si>
  <si>
    <t>Alkyd paint, white, 60% in H2O, at plant {RER}</t>
  </si>
  <si>
    <t>Glass wool mat, at plant {CH}</t>
  </si>
  <si>
    <t>Cellulose fibres (injected), at regional storage {CH}</t>
  </si>
  <si>
    <t>Foam glass, at regional storage {CH}</t>
  </si>
  <si>
    <t>Polystyrene foam slab, market mix, at regional storage {CH}</t>
  </si>
  <si>
    <t>Rock wool, at plant {CH}</t>
  </si>
  <si>
    <t>Natural stone plate, polished, market mix, at regional storage {CH}</t>
  </si>
  <si>
    <t>Chemicals inorganic, at plant {GLO}</t>
  </si>
  <si>
    <t>Phosphate rock, as P2O5, beneficiated, dry, at plant {MA}</t>
  </si>
  <si>
    <t>Sodium hydroxide, 50% in H2O, diaphragm cell, at plant {RER}</t>
  </si>
  <si>
    <t>Aluminium hydroxide, at plant {RER}</t>
  </si>
  <si>
    <t>Aluminium oxide, at plant {RER}</t>
  </si>
  <si>
    <t>Ammonia, liquid, at regional storehouse {RER}</t>
  </si>
  <si>
    <t>Calcium chloride, CaCl2, at regional storage {CH}</t>
  </si>
  <si>
    <t>Graphite, at plant {RER}</t>
  </si>
  <si>
    <t>Hydrogen peroxide, 50% in H2O, at plant {RER}</t>
  </si>
  <si>
    <t>Silica sand, at plant {DE}</t>
  </si>
  <si>
    <t>Sodium hypochlorite, 15% in H2O, at plant {RER}</t>
  </si>
  <si>
    <t>Sulphite, at plant {RER}</t>
  </si>
  <si>
    <t>Secondary sulphur, at refinery {CH}</t>
  </si>
  <si>
    <t>Titanium dioxide, production mix, at plant {RER}</t>
  </si>
  <si>
    <t>Sulphuric acid, liquid, at plant {RER}</t>
  </si>
  <si>
    <t>Phosphoric acid, fertiliser grade, 70% in H2O, at plant {GLO}</t>
  </si>
  <si>
    <t>Phosphoric acid, industrial grade, 85% in H2O, at plant {RER}</t>
  </si>
  <si>
    <t>Hydrochloric acid, 30% in H2O, at plant {RER}</t>
  </si>
  <si>
    <t>Nitric acid, 50% in H2O, at plant {RER}</t>
  </si>
  <si>
    <t>Fluosilicic acid, 22% in H2O, at plant {MA}</t>
  </si>
  <si>
    <t>Carbon dioxide liquid, at plant {RER}</t>
  </si>
  <si>
    <t>Argon, liquid, at plant {RER}</t>
  </si>
  <si>
    <t>Hydrogen, liquid, at plant {RER}</t>
  </si>
  <si>
    <t>Ozone, liquid, at plant {RER}</t>
  </si>
  <si>
    <t>Oxygen, liquid, at plant {RER}</t>
  </si>
  <si>
    <t>Helium, at plant {GLO}</t>
  </si>
  <si>
    <t>Hydrogen sulphide, H2S, at plant {RER}</t>
  </si>
  <si>
    <t>Nitrogen, liquid, at plant {RER}</t>
  </si>
  <si>
    <t>Sulphur dioxide, liquid, at plant {RER}</t>
  </si>
  <si>
    <t>Chemicals organic, at plant {GLO}</t>
  </si>
  <si>
    <t>Acetone, liquid, at plant {RER}</t>
  </si>
  <si>
    <t>Benzene, at refinery {CH}</t>
  </si>
  <si>
    <t>Propane, butane, at refinery {CH}</t>
  </si>
  <si>
    <t>Epoxy resin, liquid, disaggregated data, at plant {RER}</t>
  </si>
  <si>
    <t>Isopropanol, at plant {RER}</t>
  </si>
  <si>
    <t>Phenolic resin, at plant {RER}</t>
  </si>
  <si>
    <t>Propylene glycol, liquid, at plant {RER}</t>
  </si>
  <si>
    <t>Toluene, liquid, at plant {RER}</t>
  </si>
  <si>
    <t>White spirit, at plant {RER}</t>
  </si>
  <si>
    <t>Xylene, at plant {RER}</t>
  </si>
  <si>
    <t>Acetic acid, 98% in H2O, at plant {RER}</t>
  </si>
  <si>
    <t>Acrylic acid, at plant {RER}</t>
  </si>
  <si>
    <t>xx Benzoic-compounds, at regional storehouse {CH}</t>
  </si>
  <si>
    <t>Formic acid, at plant {RER}</t>
  </si>
  <si>
    <t>Ethoxylated alcohols (AE3), petrochemical, at plant {RER}</t>
  </si>
  <si>
    <t>Fatty alcohol sulfate, mix, at plant {RER}</t>
  </si>
  <si>
    <t>Soap, at plant {RER}</t>
  </si>
  <si>
    <t>Adhesive for metals, at plant {DE}</t>
  </si>
  <si>
    <t>Lubricating oil, at plant {RER}</t>
  </si>
  <si>
    <t>Silicone product, at plant {RER}</t>
  </si>
  <si>
    <t>Battery, Li-ion, NMC111, rechargeable, prismatic {GLO}</t>
  </si>
  <si>
    <t>Battery cell, LFP {GLO}</t>
  </si>
  <si>
    <t>Battery cell, NMC-111 {GLO}</t>
  </si>
  <si>
    <t>Printing colour, offset, 47.5% solvent, at plant {RER}</t>
  </si>
  <si>
    <t>Printing colour, rotogravure, 55% toluene, at plant {RER}</t>
  </si>
  <si>
    <t>Toner, colour, powder, at plant {GLO}</t>
  </si>
  <si>
    <t>Laptop computer, at plant {GLO}</t>
  </si>
  <si>
    <t>unit</t>
  </si>
  <si>
    <t>All-in-one printer (WiFi), at plant {GLO}</t>
  </si>
  <si>
    <t>Router, IP network, at server {GLO}</t>
  </si>
  <si>
    <t>Desktop computer, without screen, at plant {GLO}</t>
  </si>
  <si>
    <t>LED screen 23 inches, at plant {GLO}</t>
  </si>
  <si>
    <t>OLED screen 43 inches, at plant {GLO}</t>
  </si>
  <si>
    <t>LCD module, at plant {GLO}</t>
  </si>
  <si>
    <t>Electronic component, active, unspecified, at plant {GLO}</t>
  </si>
  <si>
    <t>Electronic component, passive, unspecified, at plant {GLO}</t>
  </si>
  <si>
    <t>Printed wiring board, through-hole mounted, unspec., Pb containing, at plant {GLO}</t>
  </si>
  <si>
    <t>Flat glass, coated, at plant {RER}</t>
  </si>
  <si>
    <t>xx Packaging glass, white, at regional storage {CH}</t>
  </si>
  <si>
    <t>Wood chips, softwood, wet, measured as dry mass, at sawmill {CH}</t>
  </si>
  <si>
    <t>Cork, raw, at forest road {PT}</t>
  </si>
  <si>
    <t>Fibreboard, hard, at regional storage {CH}</t>
  </si>
  <si>
    <t>Glued laminated timber, MUF adhesive, at plant {CH}</t>
  </si>
  <si>
    <t>Sawnwood, hardwood, raw, dried (u=10%), at regional storage, with resource correction {CH}</t>
  </si>
  <si>
    <t>Sawnwood, softwood, raw, dried (u=10%), at regional storage {CH}</t>
  </si>
  <si>
    <t>Plywood, indoor use, at regional storage {CH}</t>
  </si>
  <si>
    <t>Plywood, outdoor use, at regional storage {CH}</t>
  </si>
  <si>
    <t>Sanitary ceramics, at regional storage {CH}</t>
  </si>
  <si>
    <t>Polylactide, granulate, at plant {GLO}</t>
  </si>
  <si>
    <t>Acrylonitrile-butadiene-styrene copolymer, ABS, at plant {RER}</t>
  </si>
  <si>
    <t>Polybutadiene, at plant {RER}</t>
  </si>
  <si>
    <t>Styrene-acrylonitrile copolymer, SAN, at plant {RER}</t>
  </si>
  <si>
    <t>Synthetic rubber, at plant {RER}</t>
  </si>
  <si>
    <t>Polyethylene terephthalate, granulate, amorphous, at plant {RER}</t>
  </si>
  <si>
    <t>Ethylene vinyl acetate copolymer, at plant {RER}</t>
  </si>
  <si>
    <t>Ethylvinylacetate, foil, at plant {RER}</t>
  </si>
  <si>
    <t>Glass fibre reinforced plastic, polyamide, injection moulding, at plant {RER}</t>
  </si>
  <si>
    <t>Fleece, polyethylene, at plant {RER}</t>
  </si>
  <si>
    <t>Nylon 6, at plant {RER}</t>
  </si>
  <si>
    <t>Packaging film, LDPE, at plant {RER}</t>
  </si>
  <si>
    <t>Polycarbonate, at plant {RER}</t>
  </si>
  <si>
    <t>Polyethylene, HDPE, granulate, at plant {RER}</t>
  </si>
  <si>
    <t>Polyethylene, LDPE, granulate, at plant {RER}</t>
  </si>
  <si>
    <t>Polymethyl methacrylate, beads, at plant {RER}</t>
  </si>
  <si>
    <t>Polymethyl methacrylate, sheet, at plant {RER}</t>
  </si>
  <si>
    <t>Polyester resin, unsaturated, at plant {RER}</t>
  </si>
  <si>
    <t>Polyphenylene sulfide, at plant {GLO}</t>
  </si>
  <si>
    <t>Polypropylene, granulate, at plant {RER}</t>
  </si>
  <si>
    <t>Polystyrene, general purpose, GPPS, at plant {RER}</t>
  </si>
  <si>
    <t>Polystyrene, expandable, at plant {RER}</t>
  </si>
  <si>
    <t>Polystyrene, extruded (XPS), market mix, at regional storage {CH}</t>
  </si>
  <si>
    <t>Polyvinylchloride, at regional storage {RER}</t>
  </si>
  <si>
    <t>Polyvinylidenchloride, granulate, at plant {RER}</t>
  </si>
  <si>
    <t>Polyvinylfluoride film, at plant {US}</t>
  </si>
  <si>
    <t>Tetrafluoroethylene, at plant {RER}</t>
  </si>
  <si>
    <t>Polyurethane, flexible foam, at plant {RER}</t>
  </si>
  <si>
    <t>Polyurethane, rigid foam, market mix, at regional storage {CH}</t>
  </si>
  <si>
    <t>Ammonium nitrate, as N, at regional storehouse {RER}</t>
  </si>
  <si>
    <t>Ammonium sulphate, as N, at regional storehouse {RER}</t>
  </si>
  <si>
    <t>Urea, as N, at regional storehouse {RER}</t>
  </si>
  <si>
    <t>xx Monoammonium phosphate, as N, at regional storehouse {RER}</t>
  </si>
  <si>
    <t>Diammonium phosphate, as N, at regional storehouse {RER}</t>
  </si>
  <si>
    <t>Diammonium phosphate, as P2O5, at regional storehouse {RER}</t>
  </si>
  <si>
    <t>Potassium chloride, as K2O, at regional storehouse {RER}</t>
  </si>
  <si>
    <t>Triple superphosphate, as P2O5, at regional storehouse {RER}</t>
  </si>
  <si>
    <t>Calcium nitrate, as N, at regional storehouse {RER}</t>
  </si>
  <si>
    <t>Potassium nitrate, as K2O, at regional storehouse {RER}</t>
  </si>
  <si>
    <t>xx Horn meal, at regional storehouse {CH}</t>
  </si>
  <si>
    <t>xx Compost, at plant {CH}</t>
  </si>
  <si>
    <t>Green manure IP, until February {CH}</t>
  </si>
  <si>
    <t>ha</t>
  </si>
  <si>
    <t>xx Captan, at regional storage {RER}</t>
  </si>
  <si>
    <t>xx Folpet, at regional storage {RER}</t>
  </si>
  <si>
    <t>xx Mancozeb, at regional storage {RER}</t>
  </si>
  <si>
    <t>Glyphosate, at regional storehouse {CH}</t>
  </si>
  <si>
    <t>xx Metamitron, at regional storage {RER}</t>
  </si>
  <si>
    <t>Kaolin, at plant {RER}</t>
  </si>
  <si>
    <t>Soybean meal, at oil mill {BR}</t>
  </si>
  <si>
    <t>Barley grains extensive, at farm {CH}</t>
  </si>
  <si>
    <t>Grain maize IP, at farm {CH}</t>
  </si>
  <si>
    <t>Wheat grains IP, at farm {CH}</t>
  </si>
  <si>
    <t>Soybeans, at farm {BR}</t>
  </si>
  <si>
    <t>Fava beans IP, at farm {CH}</t>
  </si>
  <si>
    <t>Rape oil, at regional storage {CH}</t>
  </si>
  <si>
    <t>Palm oil, at oil mill {MY}</t>
  </si>
  <si>
    <t>Soybean oil, at oil mill {BR}</t>
  </si>
  <si>
    <t>xx Sugar, from sugar beet, at sugar refinery {CH}</t>
  </si>
  <si>
    <t>Sugar, from sugarcane, at sugar refinery {BR}</t>
  </si>
  <si>
    <t>Aluminium, production mix, cast alloy, at plant {RER}</t>
  </si>
  <si>
    <t>Aluminium alloy, AlMg3, at plant {RER}</t>
  </si>
  <si>
    <t>Aluminium, secondary, from new scrap, at plant {RER}</t>
  </si>
  <si>
    <t>Iron-nickel-chromium alloy, at plant {RER}</t>
  </si>
  <si>
    <t>Magnesium-alloy, AZ91, at plant {RER}</t>
  </si>
  <si>
    <t>Ferrochromium, high-carbon, 68% Cr, at regional storage {RER}</t>
  </si>
  <si>
    <t>Ferromanganese, high-coal, 74.5% Mn, at regional storage {RER}</t>
  </si>
  <si>
    <t>Ferronickel, 25% Ni, at plant {GLO}</t>
  </si>
  <si>
    <t>Steel, electric, chromium steel 18/8, at plant {RER}</t>
  </si>
  <si>
    <t>Cast iron, at plant {RER}</t>
  </si>
  <si>
    <t>Pig iron, at plant {RER}</t>
  </si>
  <si>
    <t>Reinforcing steel, at regional storage {CH}</t>
  </si>
  <si>
    <t>Reinforcing steel, at plant {RER}</t>
  </si>
  <si>
    <t>Reinforcing steel, at plant {CH}</t>
  </si>
  <si>
    <t>Chromium steel 18/8, at plant {RER}</t>
  </si>
  <si>
    <t>Chromium steel 18/8, recycling share 2000 (37% Rec.) {CH}</t>
  </si>
  <si>
    <t>Steel, low-alloyed, at plant {RER}</t>
  </si>
  <si>
    <t>Steel, low alloyed, secondary production (100% Rec.) {CH}</t>
  </si>
  <si>
    <t>Aluminium, primary, at plant {RER}</t>
  </si>
  <si>
    <t>Antimony, at refinery {CN}</t>
  </si>
  <si>
    <t>Brass, at plant {CH}</t>
  </si>
  <si>
    <t>Bronze, at plant {CH}</t>
  </si>
  <si>
    <t>Cadmium, semiconductor-grade, at plant {US}</t>
  </si>
  <si>
    <t>Chromium, at regional storage {RER}</t>
  </si>
  <si>
    <t>Cobalt, at plant {GLO}</t>
  </si>
  <si>
    <t>xx Cathode, copper, primary copper production {GLO}</t>
  </si>
  <si>
    <t>Gallium, semiconductor-grade, at regional storage {RER}</t>
  </si>
  <si>
    <t>Gold, at regional storage {RER}</t>
  </si>
  <si>
    <t>Indium, at regional storage {RER}</t>
  </si>
  <si>
    <t>Lead, at regional storage {RER}</t>
  </si>
  <si>
    <t>Lithium, at plant {GLO}</t>
  </si>
  <si>
    <t>Magnesium, at plant {RER}</t>
  </si>
  <si>
    <t>Manganese, at regional storage {RER}</t>
  </si>
  <si>
    <t>Mercury, liquid, at plant {GLO}</t>
  </si>
  <si>
    <t>Molybdenum, at regional storage {RER}</t>
  </si>
  <si>
    <t>Nickel, 99.5%, at plant {GLO}</t>
  </si>
  <si>
    <t>Palladium, at regional storage {RER}</t>
  </si>
  <si>
    <t>Platinum, at regional storage {RER}</t>
  </si>
  <si>
    <t>Silver, at regional storage {RER}</t>
  </si>
  <si>
    <t>Tantalum, powder, capacitor-grade, at regional storage {GLO}</t>
  </si>
  <si>
    <t>Tin, at regional storage {RER}</t>
  </si>
  <si>
    <t>Titanium zinc plate, without pre-weathering, at plant {DE}</t>
  </si>
  <si>
    <t>Zinc, primary, at regional storage {RER}</t>
  </si>
  <si>
    <t>Limestone, crushed, washed {CH}</t>
  </si>
  <si>
    <t>Lime, hydrated, packed, at plant {CH}</t>
  </si>
  <si>
    <t>Asbestos, crysotile type, at plant {GLO}</t>
  </si>
  <si>
    <t>Clay, at mine {CH}</t>
  </si>
  <si>
    <t>Gravel, crushed, market mix, at regional storage {CH}</t>
  </si>
  <si>
    <t>Sand, market mix, at regional storage {CH}</t>
  </si>
  <si>
    <t>Solid bleached board, SBB, at plant {RER}</t>
  </si>
  <si>
    <t>Core board, at plant {RER}</t>
  </si>
  <si>
    <t>Liquid packaging board, at plant {RER}</t>
  </si>
  <si>
    <t>Solid unbleached board, SUB, at plant {RER}</t>
  </si>
  <si>
    <t>Packaging, corrugated board, mixed fibre, single wall, at plant {RER}</t>
  </si>
  <si>
    <t>Corrugated board base paper, semichemical fluting, at plant {RER}</t>
  </si>
  <si>
    <t>Corrugated board base paper, kraftliner, at plant {RER}</t>
  </si>
  <si>
    <t>Paper, woodfree, uncoated, at regional storage {RER}</t>
  </si>
  <si>
    <t>Paper, recycling, average, at plant {RER}</t>
  </si>
  <si>
    <t>Kraft paper, unbleached, at plant {RER}</t>
  </si>
  <si>
    <t>Kraft paper, bleached, at plant {RER}</t>
  </si>
  <si>
    <t>Sulphate pulp, unbleached, at plant {RER}</t>
  </si>
  <si>
    <t>Sulphate pulp, ECF bleached, at plant {RER}</t>
  </si>
  <si>
    <t>Textile, woven cotton, at plant {GLO}</t>
  </si>
  <si>
    <t>xx Textile, jute, at plant {IN}</t>
  </si>
  <si>
    <t>Viscose fibres, at plant {GLO}</t>
  </si>
  <si>
    <t>Tap water, at user {CH}</t>
  </si>
  <si>
    <t>Water, deionised, at plant {CH}</t>
  </si>
  <si>
    <t>no</t>
  </si>
  <si>
    <t>WFLDB</t>
  </si>
  <si>
    <t>Pork, fresh meat</t>
  </si>
  <si>
    <t>Longlist</t>
  </si>
  <si>
    <t>Mat. Cat 1</t>
  </si>
  <si>
    <t>Mat. Cat. 2</t>
  </si>
  <si>
    <t>Mat. Cat. 3</t>
  </si>
  <si>
    <t>Bau</t>
  </si>
  <si>
    <t>Bitumen</t>
  </si>
  <si>
    <t>Backstein</t>
  </si>
  <si>
    <t>Ziegelstein</t>
  </si>
  <si>
    <t>Kalksandstein</t>
  </si>
  <si>
    <t>Ziegelstein (leicht)</t>
  </si>
  <si>
    <t>Verkleidung</t>
  </si>
  <si>
    <t>Beton</t>
  </si>
  <si>
    <t>Normal Beton</t>
  </si>
  <si>
    <t>Magerbeton</t>
  </si>
  <si>
    <t>Leichtbeton / Blähton</t>
  </si>
  <si>
    <t>Leichtbeton mit integriertem Polystyrol</t>
  </si>
  <si>
    <t>Verputz</t>
  </si>
  <si>
    <t>Acrylspachtelmasse</t>
  </si>
  <si>
    <t>Lehmputz</t>
  </si>
  <si>
    <t xml:space="preserve">Farbe </t>
  </si>
  <si>
    <t>Isolierung</t>
  </si>
  <si>
    <t>Cellulosefasern</t>
  </si>
  <si>
    <t>Schaumglass</t>
  </si>
  <si>
    <t>Polystyrolschaum</t>
  </si>
  <si>
    <t>Steinwolle</t>
  </si>
  <si>
    <t>Glasswolle</t>
  </si>
  <si>
    <t>Naturstein</t>
  </si>
  <si>
    <t>Chemikalien</t>
  </si>
  <si>
    <t>Anorganische Chemikalien</t>
  </si>
  <si>
    <t>Natronlauge</t>
  </si>
  <si>
    <t xml:space="preserve">Aluminiumhydroxid </t>
  </si>
  <si>
    <t>Aluminiumoxid</t>
  </si>
  <si>
    <t>Salmiakgeist  (flüssig)</t>
  </si>
  <si>
    <t>Calciumchlorid</t>
  </si>
  <si>
    <t>Graphit</t>
  </si>
  <si>
    <t>Wasserstoffperoxid</t>
  </si>
  <si>
    <t xml:space="preserve">Quarzsand </t>
  </si>
  <si>
    <t>Natriumhypochlorit</t>
  </si>
  <si>
    <t>Sulfit</t>
  </si>
  <si>
    <t>Schwefel</t>
  </si>
  <si>
    <t>Titandioxid</t>
  </si>
  <si>
    <t>Anorganische Säuren</t>
  </si>
  <si>
    <t>Amidosulfonsäure</t>
  </si>
  <si>
    <t>Phosphorsäure (Düngerherstellung)</t>
  </si>
  <si>
    <t>Phosphorsäure (industrielle Anwendungen)</t>
  </si>
  <si>
    <t>Salzsäure</t>
  </si>
  <si>
    <t>Salpetersäure</t>
  </si>
  <si>
    <t>Schwefelsäure</t>
  </si>
  <si>
    <t>Fluorkieselsäure</t>
  </si>
  <si>
    <t>Argon (flüssig)</t>
  </si>
  <si>
    <t>Wasserstoff (flüssig)</t>
  </si>
  <si>
    <t>Ozon (flüssig)</t>
  </si>
  <si>
    <t>Sauerstoff (flüssig)</t>
  </si>
  <si>
    <t>Kohlendioxid (flüssig)</t>
  </si>
  <si>
    <t>Helium</t>
  </si>
  <si>
    <t>Schwefelwasserstof</t>
  </si>
  <si>
    <t>Stickstoff (flüssig)</t>
  </si>
  <si>
    <t>Schwefeldioxid (flüssig)</t>
  </si>
  <si>
    <t>Organische Chemikalien</t>
  </si>
  <si>
    <t>Aceton (flüssig)</t>
  </si>
  <si>
    <t>Benzol</t>
  </si>
  <si>
    <t>Butangas</t>
  </si>
  <si>
    <t>Epoxidharz</t>
  </si>
  <si>
    <t>Isopropanol</t>
  </si>
  <si>
    <t>Phenolharz</t>
  </si>
  <si>
    <t>Propylenglykol (flüssig)</t>
  </si>
  <si>
    <t>Toluol (flüssig)</t>
  </si>
  <si>
    <t>White spirit</t>
  </si>
  <si>
    <t>Xylol</t>
  </si>
  <si>
    <t>Organische Säuren</t>
  </si>
  <si>
    <t>Essigsäure</t>
  </si>
  <si>
    <t>Acrylsäure</t>
  </si>
  <si>
    <t>Benzoesäure</t>
  </si>
  <si>
    <t>Ameisensäure</t>
  </si>
  <si>
    <t>Waschmittel</t>
  </si>
  <si>
    <t>Ethoxylierte Alkohol</t>
  </si>
  <si>
    <t>Fettalkoholsulfat</t>
  </si>
  <si>
    <t>Seife</t>
  </si>
  <si>
    <t>Weitere</t>
  </si>
  <si>
    <t>Klebstoff</t>
  </si>
  <si>
    <t>Schmieröl</t>
  </si>
  <si>
    <t>Silikonprodukt</t>
  </si>
  <si>
    <t>Elektronik</t>
  </si>
  <si>
    <t>Batterie</t>
  </si>
  <si>
    <t>Lithium-Batterie (Zelle)</t>
  </si>
  <si>
    <t>Druckerfarbe</t>
  </si>
  <si>
    <t>Offsetdruckfarbe (ohne Lösemittel)</t>
  </si>
  <si>
    <t>Tiefdruckfarbe (ohne Lösemittel)</t>
  </si>
  <si>
    <t>Tonerfarbe (Pulver)</t>
  </si>
  <si>
    <t>Geräte</t>
  </si>
  <si>
    <t>Laptop</t>
  </si>
  <si>
    <t>Drucker</t>
  </si>
  <si>
    <t>Internet-Router</t>
  </si>
  <si>
    <t>Desktopcomputer / Server (ohne Bildschirm)</t>
  </si>
  <si>
    <t>Bildschirm LED</t>
  </si>
  <si>
    <t>Bildschirm OLED</t>
  </si>
  <si>
    <t>Bildschirm LCD</t>
  </si>
  <si>
    <t>Elektronisches Bauteil (aktiv)</t>
  </si>
  <si>
    <t>Elektronisches Bauteil (passiv)</t>
  </si>
  <si>
    <t>Gedruckte Leiterplatte</t>
  </si>
  <si>
    <t>Glas</t>
  </si>
  <si>
    <t>Flachglas (oberflächengeschützt)</t>
  </si>
  <si>
    <t>Verpackungsglas</t>
  </si>
  <si>
    <t>Holz</t>
  </si>
  <si>
    <t>Kork</t>
  </si>
  <si>
    <t>Holzfaserplatte</t>
  </si>
  <si>
    <t>Schichtholz</t>
  </si>
  <si>
    <t>Holzbrett (Laubholz)</t>
  </si>
  <si>
    <t>Holzbrett (Nadelholz)</t>
  </si>
  <si>
    <t>Sperrholz (für den Innenbereich)</t>
  </si>
  <si>
    <t>Sperrholz (für den Außeneinsatz)</t>
  </si>
  <si>
    <t>Keramik</t>
  </si>
  <si>
    <t>Kunststoff</t>
  </si>
  <si>
    <t>Biokunststoff</t>
  </si>
  <si>
    <t>Gummi</t>
  </si>
  <si>
    <t>Acryloniriles Butadien-Styrol (ABS)</t>
  </si>
  <si>
    <t>Polybutadien</t>
  </si>
  <si>
    <t>Acrylnitril-Styrol</t>
  </si>
  <si>
    <t>Synthetischer Gummi</t>
  </si>
  <si>
    <t>Thermoplast</t>
  </si>
  <si>
    <t>Ethylen Vynil Acetat</t>
  </si>
  <si>
    <t>Ethylen Vynil Acetat (Blatt)</t>
  </si>
  <si>
    <t>Fiberglas (Polyamidverstärkung)</t>
  </si>
  <si>
    <t>Vlies, Polyethylen</t>
  </si>
  <si>
    <t>Nylon 6</t>
  </si>
  <si>
    <t>Verpackungsfolie</t>
  </si>
  <si>
    <t>Polycarbonat</t>
  </si>
  <si>
    <t>HDPE (Granulat)</t>
  </si>
  <si>
    <t>LDPE (Granulat)</t>
  </si>
  <si>
    <t>PMMA (Granulat)</t>
  </si>
  <si>
    <t>PMMA (Platten)</t>
  </si>
  <si>
    <t>Polyester</t>
  </si>
  <si>
    <t>Polyphenylensulfid</t>
  </si>
  <si>
    <t>PP (Granulat)</t>
  </si>
  <si>
    <t>PS (klassischer Einsatz)</t>
  </si>
  <si>
    <t>PS (erweitert)</t>
  </si>
  <si>
    <t>PS (extrudiert)</t>
  </si>
  <si>
    <t>PVC</t>
  </si>
  <si>
    <t>Polyvinylidenchlorid</t>
  </si>
  <si>
    <t>Polyvinylfluorid</t>
  </si>
  <si>
    <t>Tetrafluorethylen</t>
  </si>
  <si>
    <t>Duroplast</t>
  </si>
  <si>
    <t>Polyurethan (Weichschaumstoff)</t>
  </si>
  <si>
    <t>Polyurethan (Hartschaumstoff)</t>
  </si>
  <si>
    <t>Landwirtschaftliche Produktion</t>
  </si>
  <si>
    <t>Mineraldünger</t>
  </si>
  <si>
    <t>Ammoniumnitrat (N)</t>
  </si>
  <si>
    <t>Ammoniumsulfat (N)</t>
  </si>
  <si>
    <t>Harnstoff (N)</t>
  </si>
  <si>
    <t>Monoammoniumphosphat (N)</t>
  </si>
  <si>
    <t>Diammoniumphosphat (N)</t>
  </si>
  <si>
    <t>Kaliumdünger (K2O)</t>
  </si>
  <si>
    <t>Kaliumchlorid (K2O)</t>
  </si>
  <si>
    <t>Kalziumnitrat</t>
  </si>
  <si>
    <t>Kaliumnitrat</t>
  </si>
  <si>
    <t>Organischer Dünger</t>
  </si>
  <si>
    <t>Kompost</t>
  </si>
  <si>
    <t>Hornmehl</t>
  </si>
  <si>
    <t>Fungizid</t>
  </si>
  <si>
    <t>Folpet</t>
  </si>
  <si>
    <t>Mancozeb</t>
  </si>
  <si>
    <t>Captan</t>
  </si>
  <si>
    <t>Herbizid</t>
  </si>
  <si>
    <t>Glyphosat</t>
  </si>
  <si>
    <t>Metamitron</t>
  </si>
  <si>
    <t>Insektizid</t>
  </si>
  <si>
    <t>Kaolin</t>
  </si>
  <si>
    <t>Tierfutter</t>
  </si>
  <si>
    <t>Gerstenkorn</t>
  </si>
  <si>
    <t>Sojabohnen</t>
  </si>
  <si>
    <t>Getreide</t>
  </si>
  <si>
    <t>Weizenkorn, IP-Suisse</t>
  </si>
  <si>
    <t>Leguminosen</t>
  </si>
  <si>
    <t>Öle</t>
  </si>
  <si>
    <t>Palmöl</t>
  </si>
  <si>
    <t>Sojaöl</t>
  </si>
  <si>
    <t>Rapsöl</t>
  </si>
  <si>
    <t>Zucker</t>
  </si>
  <si>
    <t>Zucker (aus Zuckerrohr)</t>
  </si>
  <si>
    <t>Zucker (aus Zuckerrübe)</t>
  </si>
  <si>
    <t>Legierungen</t>
  </si>
  <si>
    <t>Aluminiumlegierung</t>
  </si>
  <si>
    <t xml:space="preserve">Aluminiumbarren, Gusslegierung  </t>
  </si>
  <si>
    <t>Ferronickel-Chrom-Legierung</t>
  </si>
  <si>
    <t>Magnesiumlegierung</t>
  </si>
  <si>
    <t>Ferrochrom</t>
  </si>
  <si>
    <t>Ferromangan</t>
  </si>
  <si>
    <t>Ferronickel</t>
  </si>
  <si>
    <t>Eisen</t>
  </si>
  <si>
    <t>Gusseisen</t>
  </si>
  <si>
    <t>Roheisen</t>
  </si>
  <si>
    <t>Betonstahl (primär)</t>
  </si>
  <si>
    <t>Betonstahl EU-Mix (gerollt)</t>
  </si>
  <si>
    <t>Edelstahl</t>
  </si>
  <si>
    <t>Niedriglegierter Stahl (primär)</t>
  </si>
  <si>
    <t>Nicht-Eisen</t>
  </si>
  <si>
    <t>Aluminiumbarren (primär)</t>
  </si>
  <si>
    <t>Antimon</t>
  </si>
  <si>
    <t>Messing</t>
  </si>
  <si>
    <t>Bronze</t>
  </si>
  <si>
    <t>Cadmium</t>
  </si>
  <si>
    <t>Chrom</t>
  </si>
  <si>
    <t>Kobalt</t>
  </si>
  <si>
    <t>Kupfer</t>
  </si>
  <si>
    <t>Gallium</t>
  </si>
  <si>
    <t>Gold</t>
  </si>
  <si>
    <t>Indium</t>
  </si>
  <si>
    <t>Blei</t>
  </si>
  <si>
    <t>Lithium</t>
  </si>
  <si>
    <t>Magnesium</t>
  </si>
  <si>
    <t>Mangan</t>
  </si>
  <si>
    <t>Mekury</t>
  </si>
  <si>
    <t>Molybdän</t>
  </si>
  <si>
    <t>Nickel</t>
  </si>
  <si>
    <t>Palladium</t>
  </si>
  <si>
    <t>Platin</t>
  </si>
  <si>
    <t>Silber</t>
  </si>
  <si>
    <t>Tantal</t>
  </si>
  <si>
    <t>Zinn</t>
  </si>
  <si>
    <t>Titan</t>
  </si>
  <si>
    <t>Zink</t>
  </si>
  <si>
    <t>Mineralien</t>
  </si>
  <si>
    <t>Kalkstein</t>
  </si>
  <si>
    <t>Kalk</t>
  </si>
  <si>
    <t>Asbest (Krysolith)</t>
  </si>
  <si>
    <t>Ton</t>
  </si>
  <si>
    <t>Kies</t>
  </si>
  <si>
    <t>Sand</t>
  </si>
  <si>
    <t>Papier und Karton</t>
  </si>
  <si>
    <t>Karton</t>
  </si>
  <si>
    <t>Kartonverpackung für Flüssigkeiten</t>
  </si>
  <si>
    <t xml:space="preserve">Vollkarton (gebleicht) </t>
  </si>
  <si>
    <t xml:space="preserve">Vollkarton (ungebleicht) </t>
  </si>
  <si>
    <t>Wellkarton</t>
  </si>
  <si>
    <t>gemischte Fasern</t>
  </si>
  <si>
    <t>gewellte Papierbahn</t>
  </si>
  <si>
    <t>glatte Papierbahn</t>
  </si>
  <si>
    <t>Papier</t>
  </si>
  <si>
    <t>Unbeschichtetes Papier</t>
  </si>
  <si>
    <t>Verpackungspapier</t>
  </si>
  <si>
    <t>Zellstoff</t>
  </si>
  <si>
    <t>Textil (aus Baumwolle)</t>
  </si>
  <si>
    <t>Textil (aus Jute)</t>
  </si>
  <si>
    <t>Viskosefaser</t>
  </si>
  <si>
    <t>Wasser</t>
  </si>
  <si>
    <t>Leitungswasser</t>
  </si>
  <si>
    <t>Deionisiertes Wasser</t>
  </si>
  <si>
    <t>MatStufe1 (FR)</t>
  </si>
  <si>
    <t>MatStufe2 (FR)</t>
  </si>
  <si>
    <t>MatStufe3 (FR)</t>
  </si>
  <si>
    <t>Construction</t>
  </si>
  <si>
    <t>Bitume</t>
  </si>
  <si>
    <t/>
  </si>
  <si>
    <t>Brique</t>
  </si>
  <si>
    <t>Briques de chaux de sable</t>
  </si>
  <si>
    <t>Brique (lumière)</t>
  </si>
  <si>
    <t>Enduit</t>
  </si>
  <si>
    <t>Béton</t>
  </si>
  <si>
    <t>Béton normal</t>
  </si>
  <si>
    <t>Béton pauvre</t>
  </si>
  <si>
    <t>Béton léger / argile expansée</t>
  </si>
  <si>
    <t>Béton léger avec polystyrène intégré</t>
  </si>
  <si>
    <t>Remplissage acrylique</t>
  </si>
  <si>
    <t>Enduit d’argile</t>
  </si>
  <si>
    <t>Isolation</t>
  </si>
  <si>
    <t>Fibres de cellulose</t>
  </si>
  <si>
    <t>Mousse de polystyrène</t>
  </si>
  <si>
    <t>Laine de roche</t>
  </si>
  <si>
    <t>Laine de verre</t>
  </si>
  <si>
    <t>Pierre naturelle</t>
  </si>
  <si>
    <t>Produits chimiques</t>
  </si>
  <si>
    <t>Produits chimiques inorganiques</t>
  </si>
  <si>
    <t>Phosphates de roche (P205)</t>
  </si>
  <si>
    <t>Englische Version</t>
  </si>
  <si>
    <t>Hydroxyde d’aluminium</t>
  </si>
  <si>
    <t>Bitumen compound</t>
  </si>
  <si>
    <t>Bricks</t>
  </si>
  <si>
    <t>Clay brick</t>
  </si>
  <si>
    <t>Chlorure de calcium</t>
  </si>
  <si>
    <t>Sand-lime brick</t>
  </si>
  <si>
    <t>Graphite</t>
  </si>
  <si>
    <t>Clay brick (light)</t>
  </si>
  <si>
    <t>Peroxyde d’hydrogène</t>
  </si>
  <si>
    <t>Cladding</t>
  </si>
  <si>
    <t>Hypochlorite de sodium</t>
  </si>
  <si>
    <t>Concrete (normal)</t>
  </si>
  <si>
    <t>Sulfite</t>
  </si>
  <si>
    <t>Concrete (lean)</t>
  </si>
  <si>
    <t>Soufre</t>
  </si>
  <si>
    <t>Concrete, expanded clay (lightweight)</t>
  </si>
  <si>
    <t>Dioxyde de titane</t>
  </si>
  <si>
    <t>Concrete, polystyrene integrated (lightweight)</t>
  </si>
  <si>
    <t>Acides inorganiques</t>
  </si>
  <si>
    <t>Coverings</t>
  </si>
  <si>
    <t>Acrylic filler</t>
  </si>
  <si>
    <t>Clay plaster</t>
  </si>
  <si>
    <t>Acide phosphorique (production d’engrais)</t>
  </si>
  <si>
    <t>Paint (acryl)</t>
  </si>
  <si>
    <t>Acide phosphorique (applications industrielles)</t>
  </si>
  <si>
    <t>Insulation</t>
  </si>
  <si>
    <t>Acide chlorhydrique</t>
  </si>
  <si>
    <t>Cellulose fibre</t>
  </si>
  <si>
    <t>Acide nitrique</t>
  </si>
  <si>
    <t>Foam glass</t>
  </si>
  <si>
    <t>Acide sulfurique</t>
  </si>
  <si>
    <t>Polystyrene foam</t>
  </si>
  <si>
    <t>Acide fluorosilicique</t>
  </si>
  <si>
    <t>Stone wool</t>
  </si>
  <si>
    <t>Glass wool</t>
  </si>
  <si>
    <t>Argon (liquide)</t>
  </si>
  <si>
    <t>Natural stone</t>
  </si>
  <si>
    <t>Hydrogène (liquide)</t>
  </si>
  <si>
    <t>Chemicals</t>
  </si>
  <si>
    <t>Inorganic chemicals</t>
  </si>
  <si>
    <t>Ozone (liquide)</t>
  </si>
  <si>
    <t>Phosphate rock (P2O5)</t>
  </si>
  <si>
    <t>Oxygène (liquide)</t>
  </si>
  <si>
    <t>Sodium Hydroxide</t>
  </si>
  <si>
    <t>Dioxyde de carbone (liquide)</t>
  </si>
  <si>
    <t>Aluminium Hydroxide</t>
  </si>
  <si>
    <t>Hélium</t>
  </si>
  <si>
    <t>Aluminium Oxide</t>
  </si>
  <si>
    <t>Ammonia (liquid)</t>
  </si>
  <si>
    <t>Azote (liquide)</t>
  </si>
  <si>
    <t>Calcium Chloride</t>
  </si>
  <si>
    <t>Dioxyde de soufre (liquide)</t>
  </si>
  <si>
    <t>Produits chimiques organiques</t>
  </si>
  <si>
    <t>Hydrogen peroxide</t>
  </si>
  <si>
    <t>Acétone (liquide)</t>
  </si>
  <si>
    <t>Silica Sand</t>
  </si>
  <si>
    <t>Benzène</t>
  </si>
  <si>
    <t>Sodium Hypochlorite</t>
  </si>
  <si>
    <t>Gaz butane</t>
  </si>
  <si>
    <t>Résine époxy</t>
  </si>
  <si>
    <t>Titanium dioxide</t>
  </si>
  <si>
    <t>Résine phénolique</t>
  </si>
  <si>
    <t>Acids, inorganic</t>
  </si>
  <si>
    <t>Propylène glycol (liquide)</t>
  </si>
  <si>
    <t>Sulfamic acid</t>
  </si>
  <si>
    <t>Toluène (liquide)</t>
  </si>
  <si>
    <t>Phosphoric acid (fertiliser grade)</t>
  </si>
  <si>
    <t>Phosphoric acid (industrial grade)</t>
  </si>
  <si>
    <t>Xylène</t>
  </si>
  <si>
    <t>Hydrochloric acid</t>
  </si>
  <si>
    <t>Acides organiques</t>
  </si>
  <si>
    <t>Nitric acid</t>
  </si>
  <si>
    <t>Acide acétique</t>
  </si>
  <si>
    <t>Sulfuric acid</t>
  </si>
  <si>
    <t>Acide acrylique</t>
  </si>
  <si>
    <t>Fluosilicic acid</t>
  </si>
  <si>
    <t>Gases</t>
  </si>
  <si>
    <t>Acide formique</t>
  </si>
  <si>
    <t>Argon (liquid)</t>
  </si>
  <si>
    <t>Détergent</t>
  </si>
  <si>
    <t>Hydrogen (liquid)</t>
  </si>
  <si>
    <t>Alcool éthoxylé</t>
  </si>
  <si>
    <t>Ozone (liquid)</t>
  </si>
  <si>
    <t>Sulfate d’alcool gras</t>
  </si>
  <si>
    <t>Oxygen (liquid)</t>
  </si>
  <si>
    <t>Soap</t>
  </si>
  <si>
    <t>Carbon dioxide (liquid)</t>
  </si>
  <si>
    <t>Adhésif</t>
  </si>
  <si>
    <t>Huile lubrifiante</t>
  </si>
  <si>
    <t>Hydrogen sulfide</t>
  </si>
  <si>
    <t>Produit en silicone</t>
  </si>
  <si>
    <t>Nitrogen (liquid)</t>
  </si>
  <si>
    <t>Électronique</t>
  </si>
  <si>
    <t>Sulfur dioxide (liquid)</t>
  </si>
  <si>
    <t>Batterie lithium (cellule)</t>
  </si>
  <si>
    <t>Chemical, organic</t>
  </si>
  <si>
    <t>Acetone (liquid)</t>
  </si>
  <si>
    <t>Benzene</t>
  </si>
  <si>
    <t>Couleur d’imprimante</t>
  </si>
  <si>
    <t>Encre d’impression offset (sans solvants)</t>
  </si>
  <si>
    <t>Butane</t>
  </si>
  <si>
    <t>Encre d’impression à gravure (sans solvant)</t>
  </si>
  <si>
    <t>Epoxy resin</t>
  </si>
  <si>
    <t>Encre toner (poudre)</t>
  </si>
  <si>
    <t>Ordinateur portable</t>
  </si>
  <si>
    <t>Phenolic resin</t>
  </si>
  <si>
    <t>Propylene glycol (liquid)</t>
  </si>
  <si>
    <t>Toluene (liquid)</t>
  </si>
  <si>
    <t>Xylene</t>
  </si>
  <si>
    <t>Écran OLED</t>
  </si>
  <si>
    <t>Acids, organic</t>
  </si>
  <si>
    <t>Écran LCD</t>
  </si>
  <si>
    <t>Acetic acid</t>
  </si>
  <si>
    <t>Acrylic acid</t>
  </si>
  <si>
    <t>Benzoic acid</t>
  </si>
  <si>
    <t>Formic acid</t>
  </si>
  <si>
    <t>Circuit imprimé</t>
  </si>
  <si>
    <t>Washing agents</t>
  </si>
  <si>
    <t>Verre</t>
  </si>
  <si>
    <t>Ethoxylated alcohol</t>
  </si>
  <si>
    <t>Fatty alcohol sulfate</t>
  </si>
  <si>
    <t>Bois</t>
  </si>
  <si>
    <t>Liège</t>
  </si>
  <si>
    <t>Others</t>
  </si>
  <si>
    <t>Adhesive</t>
  </si>
  <si>
    <t>Lubricating oil</t>
  </si>
  <si>
    <t>Contreplaqué</t>
  </si>
  <si>
    <t>Silicone product</t>
  </si>
  <si>
    <t>Planche en bois (bois dur)</t>
  </si>
  <si>
    <t>Electronics</t>
  </si>
  <si>
    <t>Battery</t>
  </si>
  <si>
    <t>Planche en bois (bois tendre)</t>
  </si>
  <si>
    <t>Battery cell, LFP</t>
  </si>
  <si>
    <t>Contreplaqué (pour usage intérieur)</t>
  </si>
  <si>
    <t>Battery cell, Li-ion (rechargeable)</t>
  </si>
  <si>
    <t>Contreplaqué (pour usage extérieur)</t>
  </si>
  <si>
    <t>Battery cell, NMC-111</t>
  </si>
  <si>
    <t>Céramique</t>
  </si>
  <si>
    <t>Component</t>
  </si>
  <si>
    <t>Printing ink, offset (without solvent)</t>
  </si>
  <si>
    <t>Plastique</t>
  </si>
  <si>
    <t>Printing ink, rotogravure (without solvent)</t>
  </si>
  <si>
    <t>Caoutchouc</t>
  </si>
  <si>
    <t>Acrylonile butadiène styrène (ABS)</t>
  </si>
  <si>
    <t>Toner, colour (powder)</t>
  </si>
  <si>
    <t>Polybutadiène</t>
  </si>
  <si>
    <t>Devices</t>
  </si>
  <si>
    <t>Computer, laptop</t>
  </si>
  <si>
    <t>Styrène acrylonitrile</t>
  </si>
  <si>
    <t>Printer</t>
  </si>
  <si>
    <t>Caoutchouc synthétique</t>
  </si>
  <si>
    <t>Router, internet</t>
  </si>
  <si>
    <t>Thermoplastique</t>
  </si>
  <si>
    <t>Desktop computer / Server (whitout screen)</t>
  </si>
  <si>
    <t>LED-Screen 23 Zoll</t>
  </si>
  <si>
    <t>Battery, NiMH, rechargeable, prismatic, at plant {GLO}</t>
  </si>
  <si>
    <t>OLED-Screen 43 Zoll</t>
  </si>
  <si>
    <t>Fibre de verre (renforcement en polyamide)</t>
  </si>
  <si>
    <t>Polyéthylène non tissé</t>
  </si>
  <si>
    <t>Electronic component (active)</t>
  </si>
  <si>
    <t>Film d’emballage</t>
  </si>
  <si>
    <t>Electronic component (passive)</t>
  </si>
  <si>
    <t>Polycarbonate</t>
  </si>
  <si>
    <t>Printed wiring board</t>
  </si>
  <si>
    <t>Glass</t>
  </si>
  <si>
    <t>Flat glass (coated)</t>
  </si>
  <si>
    <t>Printer, laser jet, colour, at plant {GLO}</t>
  </si>
  <si>
    <t>Packaging glass</t>
  </si>
  <si>
    <t>Wood</t>
  </si>
  <si>
    <t>Wood chips CH (dry)</t>
  </si>
  <si>
    <t>Cork</t>
  </si>
  <si>
    <t>Fireboard</t>
  </si>
  <si>
    <t>Glued laminated timber</t>
  </si>
  <si>
    <t>Sawnwood (hard)</t>
  </si>
  <si>
    <t>Sulfure de polyphénylène</t>
  </si>
  <si>
    <t>Sawnwood (soft)</t>
  </si>
  <si>
    <t>Plywood (indoor use)</t>
  </si>
  <si>
    <t>Plywood (outdoor use)</t>
  </si>
  <si>
    <t>Ceramics</t>
  </si>
  <si>
    <t>PS (extrudé)</t>
  </si>
  <si>
    <t>Plastics</t>
  </si>
  <si>
    <t>Biopolymers</t>
  </si>
  <si>
    <t>Rubbers</t>
  </si>
  <si>
    <t>Acrylonitrile butadiene styrene (ABS)</t>
  </si>
  <si>
    <t>Polybutadiene</t>
  </si>
  <si>
    <t>Polyfluorure de vinyle</t>
  </si>
  <si>
    <t>Styrene acrylonitrile</t>
  </si>
  <si>
    <t>Tétrafluoroéthylène</t>
  </si>
  <si>
    <t>Synthetic rubber</t>
  </si>
  <si>
    <t>Thermodurcissage</t>
  </si>
  <si>
    <t>Thermoplastics</t>
  </si>
  <si>
    <t>Polyuréthane (mousse flexible)</t>
  </si>
  <si>
    <t>Ethylene Vynil Acetate</t>
  </si>
  <si>
    <t>Polyuréthane (mousse rigide)</t>
  </si>
  <si>
    <t>Ethylene Vynil Acetate (foil)</t>
  </si>
  <si>
    <t>Production agricole</t>
  </si>
  <si>
    <t>Engrais minéraux</t>
  </si>
  <si>
    <t>Nitrate d’ammonium (N)</t>
  </si>
  <si>
    <t>Glass fibre, reinforced polyamide</t>
  </si>
  <si>
    <t>Sulfate d’ammonium (N)</t>
  </si>
  <si>
    <t>Fleece, polyethylene</t>
  </si>
  <si>
    <t>Urée (N)</t>
  </si>
  <si>
    <t>Packaging film</t>
  </si>
  <si>
    <t>Engrais phosphaté (P205)</t>
  </si>
  <si>
    <t>Engrais potassique (K2O)</t>
  </si>
  <si>
    <t>PET (granulate)</t>
  </si>
  <si>
    <t>Triple superphosphate (P205)</t>
  </si>
  <si>
    <t>HDPE (granulate)</t>
  </si>
  <si>
    <t>LDPE (granulate)</t>
  </si>
  <si>
    <t>Chlorure de potassium (K2O)</t>
  </si>
  <si>
    <t>PMMA (granulate)</t>
  </si>
  <si>
    <t>PMMA (feuilles)</t>
  </si>
  <si>
    <t>Nitrate de calcium</t>
  </si>
  <si>
    <t>Nitrate de potassium</t>
  </si>
  <si>
    <t>Polyphenylene sulfide</t>
  </si>
  <si>
    <t>Engrais organique</t>
  </si>
  <si>
    <t>PP (granulate)</t>
  </si>
  <si>
    <t>Compost</t>
  </si>
  <si>
    <t>PS (general purpose)</t>
  </si>
  <si>
    <t>Polyethylene terephthalate, granulate, bottle grade, at plant {RER}</t>
  </si>
  <si>
    <t>PS, expandable</t>
  </si>
  <si>
    <t>Farine de cornes</t>
  </si>
  <si>
    <t>PS, extruded</t>
  </si>
  <si>
    <t>Fongicide</t>
  </si>
  <si>
    <t>Polyvinylidenchloride</t>
  </si>
  <si>
    <t>Polyvinylfluoride, film</t>
  </si>
  <si>
    <t>Tetrafluoroethylene</t>
  </si>
  <si>
    <t>Herbicide</t>
  </si>
  <si>
    <t>Thermosets</t>
  </si>
  <si>
    <t>Glyphosate</t>
  </si>
  <si>
    <t>Polyurethane (flexible foam)</t>
  </si>
  <si>
    <t>Polyurethane (rigid foam)</t>
  </si>
  <si>
    <t>Insecticide</t>
  </si>
  <si>
    <t>Agricultural production</t>
  </si>
  <si>
    <t>Fertilisers inorganic</t>
  </si>
  <si>
    <t>Ammonium nitrate (N)</t>
  </si>
  <si>
    <t>Alimentation animale</t>
  </si>
  <si>
    <t>Ammonium sulfate  (N)</t>
  </si>
  <si>
    <t>Stye</t>
  </si>
  <si>
    <t>Urea (N)</t>
  </si>
  <si>
    <t>Monoammonium phosphate (N)</t>
  </si>
  <si>
    <t>Diammonium phosphate (N)</t>
  </si>
  <si>
    <t>Nourriture</t>
  </si>
  <si>
    <t>Céréales</t>
  </si>
  <si>
    <t>Phosphate fertiliser (P205)</t>
  </si>
  <si>
    <t>Potassium fertiliser (K2O)</t>
  </si>
  <si>
    <t>Légumineuses</t>
  </si>
  <si>
    <t>Potassium chloride (K2O)</t>
  </si>
  <si>
    <t>Huiles</t>
  </si>
  <si>
    <t>Huile de palme</t>
  </si>
  <si>
    <t>Calcium nitrate</t>
  </si>
  <si>
    <t>Huile de soja</t>
  </si>
  <si>
    <t>Potassium nitrate</t>
  </si>
  <si>
    <t>Huile de colza</t>
  </si>
  <si>
    <t>Fertlisers organic</t>
  </si>
  <si>
    <t>Sucre</t>
  </si>
  <si>
    <t>Polyvinylchloride, suspension polymerised, at plant {RER}</t>
  </si>
  <si>
    <t>Sucre (issu de la canne à sucre)</t>
  </si>
  <si>
    <t>Green manure</t>
  </si>
  <si>
    <t>Le sucre (issu de la betterave sucrière)</t>
  </si>
  <si>
    <t>Horn meal</t>
  </si>
  <si>
    <t>Alliages</t>
  </si>
  <si>
    <t>Fungicides</t>
  </si>
  <si>
    <t>Alliage d’aluminium</t>
  </si>
  <si>
    <t>Alliage de magnésium</t>
  </si>
  <si>
    <t>Ferrochrome</t>
  </si>
  <si>
    <t>Ferromanganèse</t>
  </si>
  <si>
    <t>Animal feed</t>
  </si>
  <si>
    <t>Fer</t>
  </si>
  <si>
    <t>Barley grain</t>
  </si>
  <si>
    <t>Fonte</t>
  </si>
  <si>
    <t>Maize grain</t>
  </si>
  <si>
    <t>Fonte brute</t>
  </si>
  <si>
    <t>Soybean</t>
  </si>
  <si>
    <t>Acier d’armature (primaire)</t>
  </si>
  <si>
    <t>Food</t>
  </si>
  <si>
    <t>Cereals</t>
  </si>
  <si>
    <t>Acier d’armement EU-Mix (laminé)</t>
  </si>
  <si>
    <t>Wheat grain, Swiss production</t>
  </si>
  <si>
    <t>Legumes</t>
  </si>
  <si>
    <t>Acier inoxydable</t>
  </si>
  <si>
    <t>Fava bean`</t>
  </si>
  <si>
    <t>Acier à faible alliage (primaire)</t>
  </si>
  <si>
    <t>Plant oils</t>
  </si>
  <si>
    <t>Palm oil</t>
  </si>
  <si>
    <t>Non ferreux</t>
  </si>
  <si>
    <t>Soybean oil</t>
  </si>
  <si>
    <t>Rapeseed oil</t>
  </si>
  <si>
    <t>Antimoine</t>
  </si>
  <si>
    <t>Sugar</t>
  </si>
  <si>
    <t>Sugar (from sugarcane)</t>
  </si>
  <si>
    <t>Sugar (from sugarbeet)</t>
  </si>
  <si>
    <t>Metals</t>
  </si>
  <si>
    <t>Alloys</t>
  </si>
  <si>
    <t>Chrome</t>
  </si>
  <si>
    <t>Alluminium alloy</t>
  </si>
  <si>
    <t>Cobalt</t>
  </si>
  <si>
    <t>Alluminium cast alloy, ingot</t>
  </si>
  <si>
    <t>Cuivre</t>
  </si>
  <si>
    <t>Aluminium cast alloy (recycled)</t>
  </si>
  <si>
    <t>Iron-Nickel-Chromium alloy</t>
  </si>
  <si>
    <t>Or</t>
  </si>
  <si>
    <t>Magnesium alloy</t>
  </si>
  <si>
    <t>Ferrochromium</t>
  </si>
  <si>
    <t>Plomb</t>
  </si>
  <si>
    <t>Ferromanganese</t>
  </si>
  <si>
    <t>Magnésium</t>
  </si>
  <si>
    <t>Ferro</t>
  </si>
  <si>
    <t>Manganèse</t>
  </si>
  <si>
    <t>Cast iron</t>
  </si>
  <si>
    <t>Pig Iron</t>
  </si>
  <si>
    <t>Molybdène</t>
  </si>
  <si>
    <t>Reinforcing steel CH-Mix</t>
  </si>
  <si>
    <t>Reinforcing steel EU-Mix (hot rolled)</t>
  </si>
  <si>
    <t>Reinforcing steel CH (100% RC; hot rolled)</t>
  </si>
  <si>
    <t>Platine</t>
  </si>
  <si>
    <t>Chromium steel 18/8 EU-Mix</t>
  </si>
  <si>
    <t>Argent</t>
  </si>
  <si>
    <t>Chromium steel 18/8 CH-Recycling 37%</t>
  </si>
  <si>
    <t>Tantalum</t>
  </si>
  <si>
    <t>Low-alloyed steel EU-Mix</t>
  </si>
  <si>
    <t>Tin</t>
  </si>
  <si>
    <t>Low-alloyed steel CH-Recycling</t>
  </si>
  <si>
    <t>Non ferro</t>
  </si>
  <si>
    <t>Aluminium (primär)</t>
  </si>
  <si>
    <t>Zinc</t>
  </si>
  <si>
    <t>Aluminium (recycled)</t>
  </si>
  <si>
    <t>Minéraux</t>
  </si>
  <si>
    <t>Calcaire</t>
  </si>
  <si>
    <t>Antimony</t>
  </si>
  <si>
    <t>Lime</t>
  </si>
  <si>
    <t>Brass</t>
  </si>
  <si>
    <t>Gravier</t>
  </si>
  <si>
    <t>Chromium</t>
  </si>
  <si>
    <t>Sable</t>
  </si>
  <si>
    <t>Papier et carton</t>
  </si>
  <si>
    <t>Copper</t>
  </si>
  <si>
    <t>Carton solide (blanchi)</t>
  </si>
  <si>
    <t>Lead</t>
  </si>
  <si>
    <t>Carton ondulé</t>
  </si>
  <si>
    <t>Manganese</t>
  </si>
  <si>
    <t>Mecury</t>
  </si>
  <si>
    <t>Molybdenum</t>
  </si>
  <si>
    <t>Papier d’emballage</t>
  </si>
  <si>
    <t>Platinum</t>
  </si>
  <si>
    <t>Pulp</t>
  </si>
  <si>
    <t>Silver</t>
  </si>
  <si>
    <t>Textiles</t>
  </si>
  <si>
    <t>Titanium zinc plate</t>
  </si>
  <si>
    <t>Fibre de viscose</t>
  </si>
  <si>
    <t>Minerals</t>
  </si>
  <si>
    <t>Limestone</t>
  </si>
  <si>
    <t>Eau</t>
  </si>
  <si>
    <t>Eau du robinet</t>
  </si>
  <si>
    <t>Eau déionisée</t>
  </si>
  <si>
    <t>Asbestos (crysolite)</t>
  </si>
  <si>
    <t>MatStufe1 (IT)</t>
  </si>
  <si>
    <t>MatStufe2 (IT)</t>
  </si>
  <si>
    <t>MatStufe3 (IT)</t>
  </si>
  <si>
    <t>Clay</t>
  </si>
  <si>
    <t>Costruzione</t>
  </si>
  <si>
    <t>Italiano</t>
  </si>
  <si>
    <t>Gravel</t>
  </si>
  <si>
    <t>Mattone</t>
  </si>
  <si>
    <t>Paper &amp; Board</t>
  </si>
  <si>
    <t>Board</t>
  </si>
  <si>
    <t>Mattoni sabbia-calce</t>
  </si>
  <si>
    <t>Core board</t>
  </si>
  <si>
    <t>Mattone (luce)</t>
  </si>
  <si>
    <t>Liquid packaging board</t>
  </si>
  <si>
    <t>Rivestimento</t>
  </si>
  <si>
    <t>Solid bleached board</t>
  </si>
  <si>
    <t>Cemento</t>
  </si>
  <si>
    <t>Solid unbleached board</t>
  </si>
  <si>
    <t>Calcestruzzo normale</t>
  </si>
  <si>
    <t>Corrugated board box</t>
  </si>
  <si>
    <t>Containerboard, mixed fibre</t>
  </si>
  <si>
    <t>Calcestruzzo magro</t>
  </si>
  <si>
    <t>Containerboard, fluting medium</t>
  </si>
  <si>
    <t>Calcestruzzo leggero / argilla espansa</t>
  </si>
  <si>
    <t>Containerboard, linerboard</t>
  </si>
  <si>
    <t>Calcestruzzo leggero con polistirene integrato</t>
  </si>
  <si>
    <t>Paper</t>
  </si>
  <si>
    <t>Uncoated paper</t>
  </si>
  <si>
    <t>Intonacatura</t>
  </si>
  <si>
    <t>Riempitivo acrilico</t>
  </si>
  <si>
    <t>Uncoated paper (recycling)</t>
  </si>
  <si>
    <t>Intonaco di argilla</t>
  </si>
  <si>
    <t>Packaging paper</t>
  </si>
  <si>
    <t>Colore</t>
  </si>
  <si>
    <t>Kraft paper (bleached)</t>
  </si>
  <si>
    <t>Isolamento</t>
  </si>
  <si>
    <t>Kraft paper (unbleached)</t>
  </si>
  <si>
    <t>Fibre di cellulosa</t>
  </si>
  <si>
    <t>Vetro in schiuma</t>
  </si>
  <si>
    <t>sulfate pulp (bleached)</t>
  </si>
  <si>
    <t>Schiuma di polistirene</t>
  </si>
  <si>
    <t>sulfate pulp (unbleached)</t>
  </si>
  <si>
    <t>Lana di roccia</t>
  </si>
  <si>
    <t>Textile (cotton based)</t>
  </si>
  <si>
    <t>Lana di vetro</t>
  </si>
  <si>
    <t>Textile (jute based)</t>
  </si>
  <si>
    <t>Pietra naturale</t>
  </si>
  <si>
    <t>Viscose fibre</t>
  </si>
  <si>
    <t>Sostanze chimiche</t>
  </si>
  <si>
    <t>Sostanze chimiche inorganiche</t>
  </si>
  <si>
    <t>Water</t>
  </si>
  <si>
    <t>Tap water</t>
  </si>
  <si>
    <t>Fosfati di roccia (P205)</t>
  </si>
  <si>
    <t>Dionised water</t>
  </si>
  <si>
    <t>Soda caustica</t>
  </si>
  <si>
    <t>Idrossido di alluminio</t>
  </si>
  <si>
    <t>Allumina</t>
  </si>
  <si>
    <t>Spirito di ammoniaca (liquido)</t>
  </si>
  <si>
    <t>Cloruro di calcio</t>
  </si>
  <si>
    <t>Grafite</t>
  </si>
  <si>
    <t>Perossido di idrogeno</t>
  </si>
  <si>
    <t>Sabbia di quarzo</t>
  </si>
  <si>
    <t>Ipoclorito di sodio</t>
  </si>
  <si>
    <t>Solfiti</t>
  </si>
  <si>
    <t>Zolfo</t>
  </si>
  <si>
    <t>Biossido di titanio</t>
  </si>
  <si>
    <t>Acidi inorganici</t>
  </si>
  <si>
    <t>Acido amidoulfonico</t>
  </si>
  <si>
    <t>Acido fosforico (produzione di fertilizzanti)</t>
  </si>
  <si>
    <t>Acido fosforico (applicazioni industriali)</t>
  </si>
  <si>
    <t>Acido cloridrico</t>
  </si>
  <si>
    <t>Acido nitrico</t>
  </si>
  <si>
    <t>Acido solforico</t>
  </si>
  <si>
    <t>Acido fluorosilicico</t>
  </si>
  <si>
    <t>Argon (liquido)</t>
  </si>
  <si>
    <t>Idrogeno (liquido)</t>
  </si>
  <si>
    <t>Ozono (liquido)</t>
  </si>
  <si>
    <t>Ossigeno (liquido)</t>
  </si>
  <si>
    <t>Anidride carbonica (liquido)</t>
  </si>
  <si>
    <t>Elio</t>
  </si>
  <si>
    <t>Solfuro d'acqua</t>
  </si>
  <si>
    <t>Azoto (liquido)</t>
  </si>
  <si>
    <t>Anidride zolfrica (liquido)</t>
  </si>
  <si>
    <t>Sostanze chimiche organiche</t>
  </si>
  <si>
    <t>Acetone (liquido)</t>
  </si>
  <si>
    <t>Gas butano</t>
  </si>
  <si>
    <t>Resina epossidica</t>
  </si>
  <si>
    <t>Isopropanolo</t>
  </si>
  <si>
    <t>Resina fenolica</t>
  </si>
  <si>
    <t>Glicole propilenico (liquido)</t>
  </si>
  <si>
    <t>Toluene (liquido)</t>
  </si>
  <si>
    <t>Distillato bianco</t>
  </si>
  <si>
    <t>Acidi organici</t>
  </si>
  <si>
    <t>Acido acetico</t>
  </si>
  <si>
    <t>Acido acrilico</t>
  </si>
  <si>
    <t>Acido benzoico</t>
  </si>
  <si>
    <t>Acido formico</t>
  </si>
  <si>
    <t>Detergente</t>
  </si>
  <si>
    <t>Alcol etossilato</t>
  </si>
  <si>
    <t>Solfato di alcol grasso</t>
  </si>
  <si>
    <t>Altro</t>
  </si>
  <si>
    <t>Adesivo</t>
  </si>
  <si>
    <t>Olio lubrificante</t>
  </si>
  <si>
    <t>Prodotto in silicone</t>
  </si>
  <si>
    <t>Elettronica</t>
  </si>
  <si>
    <t>Batteria</t>
  </si>
  <si>
    <t>Batteria al litio (cella)</t>
  </si>
  <si>
    <t>Colore della stampante</t>
  </si>
  <si>
    <t>Inchiostro per stampa offset (senza solventi)</t>
  </si>
  <si>
    <t>Inchiostro per stampa a cacaforte (senza solventi)</t>
  </si>
  <si>
    <t>Inchiostro toner (polvere)</t>
  </si>
  <si>
    <t>Dispositivi</t>
  </si>
  <si>
    <t>Tipografie</t>
  </si>
  <si>
    <t>Router Internet</t>
  </si>
  <si>
    <t>Computer desktop / server (senza schermo)</t>
  </si>
  <si>
    <t>LED dello schermo</t>
  </si>
  <si>
    <t>Schermo OLED</t>
  </si>
  <si>
    <t>Schermo LCD</t>
  </si>
  <si>
    <t>Componente elettronica (attiva)</t>
  </si>
  <si>
    <t>Componente elettronico (passivo)</t>
  </si>
  <si>
    <t>Scheda a circuito stampato</t>
  </si>
  <si>
    <t>Vetro</t>
  </si>
  <si>
    <t>Vetro piatto (protetto dalla superficie)</t>
  </si>
  <si>
    <t>Barattolo di confezione</t>
  </si>
  <si>
    <t>Legno</t>
  </si>
  <si>
    <t>Sughero</t>
  </si>
  <si>
    <t>Fibreboard</t>
  </si>
  <si>
    <t>Compensato</t>
  </si>
  <si>
    <t>Tavola di legno (parquet)</t>
  </si>
  <si>
    <t>Tavola di legno (legno tenero)</t>
  </si>
  <si>
    <t>Compensato (per uso interno)</t>
  </si>
  <si>
    <t>Compensato (per uso all'aperto)</t>
  </si>
  <si>
    <t>Ceramica</t>
  </si>
  <si>
    <t>Plastica</t>
  </si>
  <si>
    <t>Bioplastiche</t>
  </si>
  <si>
    <t>Gomma</t>
  </si>
  <si>
    <t>Acrilolina butadiene stirene (ABS)</t>
  </si>
  <si>
    <t>Polibutadiene</t>
  </si>
  <si>
    <t>Stirene di Acrilonitrile</t>
  </si>
  <si>
    <t>Gomma sintetica</t>
  </si>
  <si>
    <t>Termoplastica</t>
  </si>
  <si>
    <t>Acetato di etilene vinil</t>
  </si>
  <si>
    <t>Acetato di vinil di etilene (foglio)</t>
  </si>
  <si>
    <t>Fibra di vetro (rinforzo in poliammide)</t>
  </si>
  <si>
    <t>Non tessuto, polietilene</t>
  </si>
  <si>
    <t>Film per imballaggio</t>
  </si>
  <si>
    <t>Policarbonato</t>
  </si>
  <si>
    <t>HDPE (granuli)</t>
  </si>
  <si>
    <t>LDPE (granuli)</t>
  </si>
  <si>
    <t>PMMA (granuli)</t>
  </si>
  <si>
    <t>PMMA (Piastre)</t>
  </si>
  <si>
    <t>Poliestere</t>
  </si>
  <si>
    <t>Solfuro di polifenilene</t>
  </si>
  <si>
    <t>PP (granuli)</t>
  </si>
  <si>
    <t>PS (inserto classico)</t>
  </si>
  <si>
    <t>PS (esteso)</t>
  </si>
  <si>
    <t>PS (estruso)</t>
  </si>
  <si>
    <t>Cloruro di polivinilidene</t>
  </si>
  <si>
    <t>Polifluoruro di polivinile</t>
  </si>
  <si>
    <t>Tetrafluoroetilene</t>
  </si>
  <si>
    <t>Termoindurente</t>
  </si>
  <si>
    <t>Poliuretano (schiuma flessibile)</t>
  </si>
  <si>
    <t>Poliuretano (schiuma rigida)</t>
  </si>
  <si>
    <t>Produzione agricola</t>
  </si>
  <si>
    <t>Fertilizzanti minerali</t>
  </si>
  <si>
    <t>Nitrato di ammonio (N)</t>
  </si>
  <si>
    <t>Solfato di ammonio (N)</t>
  </si>
  <si>
    <t>Fosfato di monoammonio (N)</t>
  </si>
  <si>
    <t>Fosfato di diammonio (N)</t>
  </si>
  <si>
    <t>Fertilizzante fosfatico (P205)</t>
  </si>
  <si>
    <t>Fertilizzante al potassio (K2O)</t>
  </si>
  <si>
    <t>Triplo Superfosfato (P205)</t>
  </si>
  <si>
    <t>Cloruro di potassio (K2O)</t>
  </si>
  <si>
    <t>Nitrato di calcio</t>
  </si>
  <si>
    <t>Nitrato di potassio</t>
  </si>
  <si>
    <t>Fertilizzante organico</t>
  </si>
  <si>
    <t>Farina di corna</t>
  </si>
  <si>
    <t>Fungicida</t>
  </si>
  <si>
    <t>Erbicida</t>
  </si>
  <si>
    <t>Glifosato</t>
  </si>
  <si>
    <t>Insetticida</t>
  </si>
  <si>
    <t>Mangime per animali</t>
  </si>
  <si>
    <t>Soia</t>
  </si>
  <si>
    <t>Cibo</t>
  </si>
  <si>
    <t>Cereali</t>
  </si>
  <si>
    <t>Legumi</t>
  </si>
  <si>
    <t>Oli</t>
  </si>
  <si>
    <t>Olio di palma</t>
  </si>
  <si>
    <t>Olio di soia</t>
  </si>
  <si>
    <t>Olio di semi di colza</t>
  </si>
  <si>
    <t>Zucchero</t>
  </si>
  <si>
    <t>Zucchero (dalla canna da zucchero)</t>
  </si>
  <si>
    <t>Zucchero (dalla barbabietola da zucchero)</t>
  </si>
  <si>
    <t>Leghe</t>
  </si>
  <si>
    <t>Lega di alluminio</t>
  </si>
  <si>
    <t>Lingotti di alluminio, lega fusa</t>
  </si>
  <si>
    <t>Lingotti di alluminio, lega fusa (riciclo)</t>
  </si>
  <si>
    <t>Lega ferronichel-cromo</t>
  </si>
  <si>
    <t>Lega di magnesio</t>
  </si>
  <si>
    <t>Ferrocromo</t>
  </si>
  <si>
    <t>Ferronichel</t>
  </si>
  <si>
    <t>Ghisa</t>
  </si>
  <si>
    <t>Acciaio armato (primario)</t>
  </si>
  <si>
    <t>Acciaio da rinforzo EU-Mix (laminato)</t>
  </si>
  <si>
    <t>Acciaio armato CH (100% RC, laminato)</t>
  </si>
  <si>
    <t>Acciaio inox</t>
  </si>
  <si>
    <t>Acciaio inossidabile (secondario / riciclato)</t>
  </si>
  <si>
    <t>Acciaio a bassa lega (primario)</t>
  </si>
  <si>
    <t>Acciaio a bassa lega (riciclo)</t>
  </si>
  <si>
    <t>Non ferrosi</t>
  </si>
  <si>
    <t>Lingotti di alluminio (secondari / riciclati)</t>
  </si>
  <si>
    <t>Lingotti di alluminio (Principale)</t>
  </si>
  <si>
    <t>Antimonio</t>
  </si>
  <si>
    <t>Ottone</t>
  </si>
  <si>
    <t>Bronzo</t>
  </si>
  <si>
    <t>Cadmio</t>
  </si>
  <si>
    <t>Cobalto</t>
  </si>
  <si>
    <t>Rame</t>
  </si>
  <si>
    <t>Gallio</t>
  </si>
  <si>
    <t>Oro</t>
  </si>
  <si>
    <t>Indio</t>
  </si>
  <si>
    <t>Piombo</t>
  </si>
  <si>
    <t>Litio</t>
  </si>
  <si>
    <t>Magnesio</t>
  </si>
  <si>
    <t>Molibdeno</t>
  </si>
  <si>
    <t>Palladio</t>
  </si>
  <si>
    <t>Platino</t>
  </si>
  <si>
    <t>Argento</t>
  </si>
  <si>
    <t>Tantalio</t>
  </si>
  <si>
    <t>Latta</t>
  </si>
  <si>
    <t>Titanio</t>
  </si>
  <si>
    <t>Zinco</t>
  </si>
  <si>
    <t>Minerali</t>
  </si>
  <si>
    <t>Calcare</t>
  </si>
  <si>
    <t>Limone</t>
  </si>
  <si>
    <t>Amianto (crisolite)</t>
  </si>
  <si>
    <t>Audio</t>
  </si>
  <si>
    <t>Ghiaia</t>
  </si>
  <si>
    <t>Sabbia</t>
  </si>
  <si>
    <t>Carta e cartone</t>
  </si>
  <si>
    <t>Scatola</t>
  </si>
  <si>
    <t>Imballaggio in cartone per liquidi</t>
  </si>
  <si>
    <t>Cartone solido (sbiancato)</t>
  </si>
  <si>
    <t>Cartone solido (non sbiancato)</t>
  </si>
  <si>
    <t>Cartone ondulato</t>
  </si>
  <si>
    <t>Fibre miste</t>
  </si>
  <si>
    <t>Rete di carta ondulata</t>
  </si>
  <si>
    <t>Rete di carta liscia</t>
  </si>
  <si>
    <t>Carta</t>
  </si>
  <si>
    <t>Carta non rivestita</t>
  </si>
  <si>
    <t>Carta non rivestita (riciclata)</t>
  </si>
  <si>
    <t>Carta da imballaggio</t>
  </si>
  <si>
    <t>Tessuti</t>
  </si>
  <si>
    <t>Tessile (in cotone)</t>
  </si>
  <si>
    <t>Tessile (realizzati in juta)</t>
  </si>
  <si>
    <t>Fibra viscosa</t>
  </si>
  <si>
    <t>Acqua</t>
  </si>
  <si>
    <t>Acqua del rubinetto</t>
  </si>
  <si>
    <t>Acqua deionizzata</t>
  </si>
  <si>
    <t>Conditional Dropdown</t>
  </si>
  <si>
    <t>Einheit</t>
  </si>
  <si>
    <t>dataset</t>
  </si>
  <si>
    <t>Produkt</t>
  </si>
  <si>
    <t>Gruppe</t>
  </si>
  <si>
    <t>Stufe 1</t>
  </si>
  <si>
    <t>Stufe 2</t>
  </si>
  <si>
    <t>3kWp flat roof installation, multi-Si, on roof {CH}</t>
  </si>
  <si>
    <t>Building machine {RER} per kg</t>
  </si>
  <si>
    <t>Maschinen, generisch, Herstellung pro kg</t>
  </si>
  <si>
    <t>Electronic component machinery, unspecified {GLO} per kg</t>
  </si>
  <si>
    <t>Washing machine, at retailer {CH} per kg</t>
  </si>
  <si>
    <t>ICT / IT-Infrastruktur / Büroeinrichtung</t>
  </si>
  <si>
    <t>&gt;&gt; Unter 3.1 erfassen oder Spend-Based</t>
  </si>
  <si>
    <t>Allgemeine Angaben</t>
  </si>
  <si>
    <t xml:space="preserve">Anweisungen </t>
  </si>
  <si>
    <t>Bitte füllen Sie alle Fragen der Reihe nach aus. Aufgrund Ihrer Antworten werden spätere Fragen und Dateneingaben ausgeblendet, die für Ihr Unternehmen nicht relevant sind.</t>
  </si>
  <si>
    <t>Gelbe Felder müssen ausgefüllt werden.</t>
  </si>
  <si>
    <t>Grüne Felder wurden bereits ausgefüllt und können jederzeit angepasst werden.</t>
  </si>
  <si>
    <t>Angaben zum Unternehmen</t>
  </si>
  <si>
    <t>Firmenname / Organisationseinheit:</t>
  </si>
  <si>
    <t>Berichtsjahr:</t>
  </si>
  <si>
    <t>Inhaltsverzeichnis</t>
  </si>
  <si>
    <t>Index</t>
  </si>
  <si>
    <t>A Organisatorische Abgrenzung (Konsolidierungsansatz)</t>
  </si>
  <si>
    <t>Control Approach</t>
  </si>
  <si>
    <t>B Bilanzierungsumfang (Scopes)</t>
  </si>
  <si>
    <t>Scope 1 &amp; 2</t>
  </si>
  <si>
    <t>wenn nein, trotzdem belassen, da gewisse scope 3 emissioneen auch mit den boxen hier berechnet werden</t>
  </si>
  <si>
    <t>Scope 1&amp;2 ein/ausblenden</t>
  </si>
  <si>
    <t>Scope 3</t>
  </si>
  <si>
    <t>Scope 3 ein/ausblenden</t>
  </si>
  <si>
    <t>Relevant Scopes</t>
  </si>
  <si>
    <t>Methodological Comments</t>
  </si>
  <si>
    <t>Nutzt oder besitzt Ihr Unternehmen Gebäude oder Anlagen (Bezug von Strom oder Wärme, bzw. Generieren von Energie)?</t>
  </si>
  <si>
    <t>Buildings</t>
  </si>
  <si>
    <t>S1/2</t>
  </si>
  <si>
    <t>Buildings leasee</t>
  </si>
  <si>
    <t>Building lessor</t>
  </si>
  <si>
    <t>Vermietet Ihr Unternehmen Fahrzeuge an externe Dritte?</t>
  </si>
  <si>
    <t>Enstehen in Ihrem Unternehmen direkte Treibhausgasemissionen (z.B. CO2, CH4, N2O, NF3, SF6) aus Industrieprozessen (z.B. Kalk- und Zementkalzinierung, Düngerproduktion, Metallverhüttung, Glas-/Keramikprozesse, Fermentation)?</t>
  </si>
  <si>
    <t>Process Emissions</t>
  </si>
  <si>
    <t>S1</t>
  </si>
  <si>
    <t>Entstehen bei Ihren Unternehmenstätigkeiten flüchtige Emissionen durch Leckagen (z.B. Kältemittel, VOC, SF6, Methanleckagen)?</t>
  </si>
  <si>
    <t>Refrigerants</t>
  </si>
  <si>
    <t>Betreibt Ihr Unternehmen Fahrzeuge oder mobile Maschinen (Treibstoffverbrauch)?</t>
  </si>
  <si>
    <t>Fleet operation</t>
  </si>
  <si>
    <t>S1, 3.3 -&gt; ist das nicht nur S1?</t>
  </si>
  <si>
    <t>Fleet leasee</t>
  </si>
  <si>
    <t>Fleet leased</t>
  </si>
  <si>
    <t>Frage nur bei Financial Control/Equity Share relevant</t>
  </si>
  <si>
    <t>D Betriebliche Emissionsquellen - Indirekte Emissionen</t>
  </si>
  <si>
    <t>Hat Ihr Unternehmen im Bilanzjahr wesentliche Investitionen in Kapitalgüter getätigt (z. B. Gebäude, Fahrzeuge, Maschinen)?</t>
  </si>
  <si>
    <t>Capital Goods</t>
  </si>
  <si>
    <t>S3.2</t>
  </si>
  <si>
    <t>Nutzen Mitarbeitende öffentliche oder private Verkehrsmittel für Geschäftsreisen (z.B. Privatauto, Flugzeug, Zug)?</t>
  </si>
  <si>
    <t>bussines travel</t>
  </si>
  <si>
    <t>S3.6</t>
  </si>
  <si>
    <t>Sammelt die Firma Informationen zum Pendelverkehr der Mitarbeitenden (z.B. Umfragen zu Verkehrsmittel und Distanz)?</t>
  </si>
  <si>
    <t>Commuting</t>
  </si>
  <si>
    <t>S3.7</t>
  </si>
  <si>
    <t>Verkauft Ihr Unternehmen physische Produkte oder Zwischenprodukte?</t>
  </si>
  <si>
    <t>End-of-life treatment of sold products</t>
  </si>
  <si>
    <t>S3.12</t>
  </si>
  <si>
    <t>Verkauft Ihr Unternehmen Zwischenprodukte, welche von anderen weiterverarbeitet werden?</t>
  </si>
  <si>
    <t>Processing of sold products</t>
  </si>
  <si>
    <t>S3.10</t>
  </si>
  <si>
    <t>Verkauft Ihr Unternehmen Produkte, deren Nutzung durch Kunden Energie benötigt oder Emissionen verursacht (z.B. Strombezug, Treibstoffverbrauch)?</t>
  </si>
  <si>
    <t>Use of sold products</t>
  </si>
  <si>
    <t>S3.11</t>
  </si>
  <si>
    <t>Franchises</t>
  </si>
  <si>
    <t>S3.14</t>
  </si>
  <si>
    <t>Hält Ihr Unternehmen Beteiligungen oder Finanzinstrumente (Equity- oder Debt-Investments) in anderen Unternehmen oder Projekten?</t>
  </si>
  <si>
    <t>Investments</t>
  </si>
  <si>
    <t>S3.15</t>
  </si>
  <si>
    <t>E Weitere Umweltemissionen</t>
  </si>
  <si>
    <t>UBP-Relevanz</t>
  </si>
  <si>
    <t>0 General Info</t>
  </si>
  <si>
    <t>Informations générales</t>
  </si>
  <si>
    <t>Informazioni generali</t>
  </si>
  <si>
    <t>Section 1</t>
  </si>
  <si>
    <t>Structure de l’outil</t>
  </si>
  <si>
    <t>Struttura dello strumento</t>
  </si>
  <si>
    <t>I seguenti cinque fogli di calcolo devono essere lavorati in sequenza (da sinistra a destra):</t>
  </si>
  <si>
    <t>Section 2</t>
  </si>
  <si>
    <t>Pour en savoir plus</t>
  </si>
  <si>
    <t>Ulteriori informazioni</t>
  </si>
  <si>
    <t>Le téléchargement comprend les éléments suivants :</t>
  </si>
  <si>
    <t>Il download include i seguenti elementi:</t>
  </si>
  <si>
    <t>Le guide de l’utilisateur vous guide étape par étape dans l’outil et donne des conseils pratiques sur la collecte de données et la manière de remplir l’outil.</t>
  </si>
  <si>
    <t>Section 3</t>
  </si>
  <si>
    <t>Feedback a:</t>
  </si>
  <si>
    <t>1 General Inputs</t>
  </si>
  <si>
    <t>n1Inputs</t>
  </si>
  <si>
    <t>n1Inputs_Text1</t>
  </si>
  <si>
    <t>n1Inputs_1Instruction</t>
  </si>
  <si>
    <t>Instructions</t>
  </si>
  <si>
    <t>Istruzioni</t>
  </si>
  <si>
    <t>n1Inputs_1Instruction_Text1</t>
  </si>
  <si>
    <t>Veuillez remplir toutes les questions dans l’ordre. D’après vos réponses, les questions ultérieures et les données qui ne sont pas pertinentes pour votre entreprise seront cachées.</t>
  </si>
  <si>
    <t>n1Inputs_1Instruction_Text2</t>
  </si>
  <si>
    <t>Les champs jaunes doivent être remplis.</t>
  </si>
  <si>
    <t>I campi gialli devono essere riempiti.</t>
  </si>
  <si>
    <t>n1Inputs_1Instruction_Text3</t>
  </si>
  <si>
    <t>I campi verdi sono già stati riempiti e possono essere adattati in qualsiasi momento.</t>
  </si>
  <si>
    <t>n1Inputs_2Info</t>
  </si>
  <si>
    <t>Détails de l’entreprise</t>
  </si>
  <si>
    <t>Dettagli aziendali</t>
  </si>
  <si>
    <t>n1Inputs_2Info_Text1</t>
  </si>
  <si>
    <t>Nom de l’entreprise / unité organisationnelle :</t>
  </si>
  <si>
    <t>Nome dell'azienda / unità organizzativa:</t>
  </si>
  <si>
    <t>n1Inputs_2Info_Text2</t>
  </si>
  <si>
    <t>Année de rapport :</t>
  </si>
  <si>
    <t>Anno di riferimento:</t>
  </si>
  <si>
    <t>n1Inputs_2Info_Text3</t>
  </si>
  <si>
    <t>n1Inputs_3Index</t>
  </si>
  <si>
    <t>Table des matières</t>
  </si>
  <si>
    <t>Indice</t>
  </si>
  <si>
    <t>Section 4</t>
  </si>
  <si>
    <t>n1Inputs_4AConsolidation</t>
  </si>
  <si>
    <t>n1Inputs_4AConsolidation_Text1</t>
  </si>
  <si>
    <t>Section 5</t>
  </si>
  <si>
    <t>n1Inputs_5BScopes</t>
  </si>
  <si>
    <t>n1Inputs_5BScopes_Text1</t>
  </si>
  <si>
    <t>n1Inputs_5BScopes_Text2</t>
  </si>
  <si>
    <t>Section 6</t>
  </si>
  <si>
    <t>n1Inputs_6CDirectEmissions</t>
  </si>
  <si>
    <t>C Sources d’émissions opérationnelles - Émissions directes</t>
  </si>
  <si>
    <t>C Fonti di Emissioni Operative - Emissioni Dirette</t>
  </si>
  <si>
    <t>n1Inputs_6CDirectEmissions_Text1</t>
  </si>
  <si>
    <t>Votre entreprise utilise-t-elle ou possède-t-elle des bâtiments ou des installations (achat d’électricité ou de chauffage, ou production d’énergie) ?</t>
  </si>
  <si>
    <t>n1Inputs_6CDirectEmissions_Text2</t>
  </si>
  <si>
    <t>Votre entreprise produit-elle des émissions directes de gaz à effet de serre (par exemple CO2, CH4, N2O, NF3, SF6) issues de procédés industriels (par exemple, calcination de chaux et de ciment, production d’engrais, fusion des métaux, procédés verre/céramique, fermentation) ?</t>
  </si>
  <si>
    <t>n1Inputs_6CDirectEmissions_Text3</t>
  </si>
  <si>
    <t>Vos activités professionnelles génèrent-elles des émissions fugitives (par exemple, réfrigérant, COV, SF6, fuites de méthane) ?</t>
  </si>
  <si>
    <t>Le attività aziendali generano emissioni fuggitive da perdite (ad esempio refrigerante, VOC, SF6, perdite di metano)?</t>
  </si>
  <si>
    <t>n1Inputs_6CDirectEmissions_Text4</t>
  </si>
  <si>
    <t>Votre entreprise utilise-t-elle des véhicules ou des machines mobiles (consommation de carburant) ?</t>
  </si>
  <si>
    <t>Section 7</t>
  </si>
  <si>
    <t>n1Inputs_7DIndirectEmissions</t>
  </si>
  <si>
    <t>D Sources d’émissions opérationnelles - Émissions indirectes</t>
  </si>
  <si>
    <t>D Fonti di Emissioni Operative - Emissioni Indirette</t>
  </si>
  <si>
    <t>n1Inputs_7DIndirectEmissions_Text1</t>
  </si>
  <si>
    <t>n1Inputs_7DIndirectEmissions_Text2</t>
  </si>
  <si>
    <t>Les employés utilisent-ils les transports publics ou privés pour leurs déplacements professionnels (par exemple, voiture privée, avion, train) ?</t>
  </si>
  <si>
    <t>I dipendenti usano il trasporto pubblico o privato per viaggi di lavoro (ad esempio auto privata, aereo, treno)?</t>
  </si>
  <si>
    <t>n1Inputs_7DIndirectEmissions_Text3</t>
  </si>
  <si>
    <t>L’entreprise collecte-t-elle des informations sur les trajets domicile-travail des employés (par exemple, des enquêtes sur les transports et la distance) ?</t>
  </si>
  <si>
    <t>L'azienda raccoglie informazioni sul pendolarismo dei dipendenti (ad esempio sondaggi su trasporti e distanza)?</t>
  </si>
  <si>
    <t>n1Inputs_7DIndirectEmissions_Text4</t>
  </si>
  <si>
    <t>Votre entreprise vend-elle des produits physiques ou des produits intermédiaires ?</t>
  </si>
  <si>
    <t>n1Inputs_7DIndirectEmissions_Text5</t>
  </si>
  <si>
    <t>Votre entreprise vend-elle des produits intermédiaires qui sont ensuite transformés par d’autres ?</t>
  </si>
  <si>
    <t>n1Inputs_7DIndirectEmissions_Text6</t>
  </si>
  <si>
    <t>Votre entreprise vend-elle des produits dont l’utilisation par les clients nécessite de l’énergie ou provoque des émissions (par exemple, consommation d’électricité, consommation de carburant) ?</t>
  </si>
  <si>
    <t>n1Inputs_7DIndirectEmissions_Text7</t>
  </si>
  <si>
    <t>Votre entreprise accorde-t-elle des licences de franchise à des tiers qui exploitent leurs propres sites ?</t>
  </si>
  <si>
    <t>n1Inputs_7DIndirectEmissions_Text8</t>
  </si>
  <si>
    <t>Votre entreprise détient-elle des actions ou des instruments financiers (investissements en actions ou en dette) dans d’autres sociétés ou projets ?</t>
  </si>
  <si>
    <t>Section 8</t>
  </si>
  <si>
    <t>n1Inputs_8EUBP</t>
  </si>
  <si>
    <t>E Autres émissions environnementales</t>
  </si>
  <si>
    <t>E Altre emissioni ambientali</t>
  </si>
  <si>
    <t>n1Inputs_8EUBP_Text1</t>
  </si>
  <si>
    <t>2 Data Inputs</t>
  </si>
  <si>
    <t>n2Data</t>
  </si>
  <si>
    <t>Eingaben Unternehmensdaten</t>
  </si>
  <si>
    <t>Saisie des données de l’entreprise</t>
  </si>
  <si>
    <t>Input dei dati aziendali</t>
  </si>
  <si>
    <t>n2Data_Text1</t>
  </si>
  <si>
    <t>Hier erfassen Sie alle Unternehmensdaten für das Bilanzjahr der festgelegten Unternehmenseinheit. Diese "Aktivitätsdaten" sind das Herzstück der Bilanz. Basierend auf Ihren Eingaben werden im nächsten Tabellenblatt "3 Calculation" automatisch die Emissionen berechnet und unter "4 Dashboard" zusammengefasst.</t>
  </si>
  <si>
    <t>n2Data_1Instruction</t>
  </si>
  <si>
    <t>Anweisungen</t>
  </si>
  <si>
    <t>Section 0</t>
  </si>
  <si>
    <t>n2Data_0General_Text1</t>
  </si>
  <si>
    <t>n2Data_0General_Text2</t>
  </si>
  <si>
    <t>Aktivieren Sie die Checkbox, wenn Sie die Tabelle vollständig ausgefüllt haben.</t>
  </si>
  <si>
    <t>Cochez la case une fois le tableau terminé.</t>
  </si>
  <si>
    <t>n2Data_0General_Text3</t>
  </si>
  <si>
    <t>Notizen:</t>
  </si>
  <si>
    <t>Notes :</t>
  </si>
  <si>
    <t>Note:</t>
  </si>
  <si>
    <t>n2Data_0General_Text4_Input</t>
  </si>
  <si>
    <t>Eingabe</t>
  </si>
  <si>
    <t>Input</t>
  </si>
  <si>
    <t>n2Data_0General_Text5_Unit</t>
  </si>
  <si>
    <t>Unité</t>
  </si>
  <si>
    <t>Unità</t>
  </si>
  <si>
    <t>n2Data_1Instruction_Text1</t>
  </si>
  <si>
    <t>Die Eingabe Ihrer Unternehmensdaten ist in thematische Boxen gegliedert (nicht nach Scopes). Befolgen Sie die Anweisungen in den Boxen und füllen Sie die relevanten Felder mithilfe der folgenden Farbcodes aus:</t>
  </si>
  <si>
    <t>n2Data_1Instruction_Text2</t>
  </si>
  <si>
    <t>Gelbe Felder können ausgefüllt werden (Drop-Down Listen oder Zahleneingaben).</t>
  </si>
  <si>
    <t>I campi gialli possono essere compilati (elenchi a tendina o voci numeriche).</t>
  </si>
  <si>
    <t>n2Data_1Instruction_Text3</t>
  </si>
  <si>
    <t>n2Data_1Instruction_Text4</t>
  </si>
  <si>
    <t>Boxen mit grauem Text müssen nicht beachtet werden (Ausgeblendet aufgrund Ihrer Eingaben unter 1 General Inputs).</t>
  </si>
  <si>
    <t>n2Data_1Instruction_Text5</t>
  </si>
  <si>
    <t>Wenn Sie alle Unternehmensdaten in einer Box eingetragen haben, markieren Sie diese als erledigt (alles wird automatisch grün).</t>
  </si>
  <si>
    <t>n2Data_1Instruction_Text6</t>
  </si>
  <si>
    <t>Im Inhaltsverezichnis wird Ihnen Ihr aktueller Bearbeitungsfortschritt angezeigt.</t>
  </si>
  <si>
    <t>n2Data_2Index</t>
  </si>
  <si>
    <t>n2Data_3StationalryComb</t>
  </si>
  <si>
    <t>n2Data_3Stationary_1Owned</t>
  </si>
  <si>
    <t>n2Data_3Stationary_1Owned_Text1</t>
  </si>
  <si>
    <t>Erfassen Sie Brennstoffe, die Ihr Unternehmen vor Ort in fest installierten Anlagen zur Energieerzeugung verbrennt (z. B. Heizkessel, Boiler, Blockheizkraftwerke, Öfen, stationäre Generatoren; fossil oder biogen). Erfassen Sie hier nur Anlagen in Ihrem Besitz, die Sie selbst nutzen.</t>
  </si>
  <si>
    <t>n2Data_3Stationary_1Owned_Text2</t>
  </si>
  <si>
    <t>n2Data_3Stationary_1Owned_Text3</t>
  </si>
  <si>
    <t>n2Data_3Stationary_1Owned_Text6</t>
  </si>
  <si>
    <t>Brennstoff</t>
  </si>
  <si>
    <t>Carburant</t>
  </si>
  <si>
    <t>Carburante</t>
  </si>
  <si>
    <t>n2Data_3Stationary_2OwnedDistrict</t>
  </si>
  <si>
    <t>n2Data_3Stationary_2OwnedDistrict_Text1</t>
  </si>
  <si>
    <t>Erfassen Sie den Bezug von Fernwärme oder Dampf für den eigenen Verbrauch in Gebäuden oder Anlagen im Besitz Ihres Unternehmens.</t>
  </si>
  <si>
    <t>n2Data_3Stationary_2OwnedDistrict_Text2</t>
  </si>
  <si>
    <t>n2Data_3Stationary_2OwnedDistrict_Text6</t>
  </si>
  <si>
    <t>Energiequelle</t>
  </si>
  <si>
    <t>n2Data_3Stationary_3Lessee</t>
  </si>
  <si>
    <t>n2Data_3Stationary_3Lessee_Text1</t>
  </si>
  <si>
    <t>Erfassen Sie Brennstoffe, die Ihr Unternehmen vor Ort in gemieteten, fest installierten Anlagen zur Energieerzeugung verbrennt (z. B. Heizkessel, Boiler, Blockheizkraftwerke, Öfen, stationäre Generatoren; fossil oder biogen). Erfassen Sie hier nur Anlagen, die Ihr Unternehmen mietet.</t>
  </si>
  <si>
    <t>n2Data_3Stationary_3Lessee_Text2</t>
  </si>
  <si>
    <t>n2Data_3Stationary_3Lessee_Text3</t>
  </si>
  <si>
    <t>n2Data_3Stationary_3Lessee_Text6</t>
  </si>
  <si>
    <t>n2Data_3Stationary_4LesseeDistrict</t>
  </si>
  <si>
    <t>n2Data_3Stationary_4LesseeDistrict_Text1</t>
  </si>
  <si>
    <t>Erfassen Sie den Bezug von Fernwärme oder Dampf für gemietete Gebäude oder Anlagen.</t>
  </si>
  <si>
    <t>n2Data_3Stationary_4LesseeDistrict_Text2</t>
  </si>
  <si>
    <t>n2Data_3Stationary_4LesseeDistrict_Text6</t>
  </si>
  <si>
    <t>n2Data_3Stationary_5Lessor</t>
  </si>
  <si>
    <t>n2Data_3Stationary_5Lessor_Text1</t>
  </si>
  <si>
    <t>Erfassen Sie Brennstoffe, die Ihr Unternehmen vor Ort in vermieteten, fest installierten Anlagen zur Energieerzeugung verbrennt (z. B. Heizkessel, Boiler, Blockheizkraftwerke, Öfen, stationäre Generatoren; fossil oder biogen). Erfassen Sie hier nur Anlagen, die Ihr Unternehmen vermietet.</t>
  </si>
  <si>
    <t>n2Data_3Stationary_5Lessor_Text2</t>
  </si>
  <si>
    <t>n2Data_3Stationary_5Lessor_Text3</t>
  </si>
  <si>
    <t>n2Data_3Stationary_5Lessor_Text6</t>
  </si>
  <si>
    <t>n2Data_3Stationary_6LessorDistrict</t>
  </si>
  <si>
    <t>n2Data_3Stationary_6LessorDistrict_Text1</t>
  </si>
  <si>
    <t>Bezug von Fernwärme oder Dampf für vermietete Gebäude oder Anlagen.</t>
  </si>
  <si>
    <t>n2Data_3Stationary_6LessorDistrict_Text2</t>
  </si>
  <si>
    <t>n2Data_3Stationary_6LessorDistrict_Text6</t>
  </si>
  <si>
    <t>n2Data_4Processes</t>
  </si>
  <si>
    <t>n2Data_4Processes_1directGHGE</t>
  </si>
  <si>
    <t>Direkte Treibhausgas Emissionen aus Prozessen und Landnutzung</t>
  </si>
  <si>
    <t>Émissions directes de gaz à effet de serre issues des procédés et de l’utilisation des terres</t>
  </si>
  <si>
    <t>Emissioni dirette di gas serra derivanti da processi e uso del suolo</t>
  </si>
  <si>
    <t>n2Data_4Processes_1directGHGE_Text1</t>
  </si>
  <si>
    <t>Erfassen Sie direkte Treibhausgasemissionen aus Prozessen oder Landnutzung, die nicht aus der Verbrennung von Brennstoffen stammen.
Dazu gehören z. B. chemische Reaktionen, Gärungsprozesse, Abwasserbehandlung, Kompostierung oder andere stoffliche Umwandlungen.</t>
  </si>
  <si>
    <t>Catturare le emissioni dirette di gas serra da processi o usi del suolo che non derivano dalla combustione del combustibile.
Questi includono, ad esempio, reazioni chimiche, processi di fermentazione, trattamento delle acque reflue, compostaggio o altre trasformazioni di materiali.</t>
  </si>
  <si>
    <t>n2Data_4Processes_1directGHGE_Text2</t>
  </si>
  <si>
    <t>Geben Sie die jährlichen Treibhausgasemissionen direkt in Kilogramm (kg) an.</t>
  </si>
  <si>
    <t>Indiquez directement les émissions annuelles de gaz à effet de serre en kilogrammes (kg).</t>
  </si>
  <si>
    <t>n2Data_4Processes_1directGHGE_Text3</t>
  </si>
  <si>
    <t>Treibhausgase</t>
  </si>
  <si>
    <t>Gaz à effet de serre</t>
  </si>
  <si>
    <t>Gas serra</t>
  </si>
  <si>
    <t>n2Data_4Processes_1directGHGE_Text4</t>
  </si>
  <si>
    <r>
      <t>CO</t>
    </r>
    <r>
      <rPr>
        <vertAlign val="subscript"/>
        <sz val="11"/>
        <color theme="1"/>
        <rFont val="Arial"/>
        <family val="2"/>
      </rPr>
      <t>2</t>
    </r>
    <r>
      <rPr>
        <sz val="11"/>
        <color theme="1"/>
        <rFont val="Arial"/>
        <family val="2"/>
      </rPr>
      <t>-Äquivalente (bei zusammengesetzer Emissionsangaben)</t>
    </r>
  </si>
  <si>
    <t>n2Data_4Processes_1directGHGE_Text5</t>
  </si>
  <si>
    <t>Treibhausgase separat</t>
  </si>
  <si>
    <t>Gaz à effet de serre séparément</t>
  </si>
  <si>
    <t>Gas serra separatamente</t>
  </si>
  <si>
    <t>n2Data_4Processes_1directGHGE_Text6</t>
  </si>
  <si>
    <r>
      <t>CH</t>
    </r>
    <r>
      <rPr>
        <vertAlign val="subscript"/>
        <sz val="11"/>
        <color theme="1"/>
        <rFont val="Arial"/>
        <family val="2"/>
      </rPr>
      <t>4</t>
    </r>
    <r>
      <rPr>
        <sz val="11"/>
        <color theme="1"/>
        <rFont val="Arial"/>
        <family val="2"/>
      </rPr>
      <t xml:space="preserve"> (fossil)</t>
    </r>
  </si>
  <si>
    <t>CH4 (fossile)</t>
  </si>
  <si>
    <t>n2Data_4Processes_1directGHGE_Text7</t>
  </si>
  <si>
    <r>
      <t>CH</t>
    </r>
    <r>
      <rPr>
        <vertAlign val="subscript"/>
        <sz val="11"/>
        <color theme="1"/>
        <rFont val="Arial"/>
        <family val="2"/>
      </rPr>
      <t>4</t>
    </r>
    <r>
      <rPr>
        <sz val="11"/>
        <color theme="1"/>
        <rFont val="Arial"/>
        <family val="2"/>
      </rPr>
      <t xml:space="preserve"> nicht fossil</t>
    </r>
  </si>
  <si>
    <t>CH4 non fossile</t>
  </si>
  <si>
    <t>n2Data_4Processes_1directGHGE_Text8</t>
  </si>
  <si>
    <t>n2Data_4Processes_1directGHGE_Text9</t>
  </si>
  <si>
    <t>n2Data_5Fugitive</t>
  </si>
  <si>
    <t>Flüchtige Emissionen</t>
  </si>
  <si>
    <t>Émissions fugitives</t>
  </si>
  <si>
    <t>n2Data_5Fugitive_1directGHGE</t>
  </si>
  <si>
    <t>Direkte Treibhausgas Emissionen aus Leckagen</t>
  </si>
  <si>
    <t>Émissions directes de gaz à effet de serre issues des fuites</t>
  </si>
  <si>
    <t>n2Data_5Fugitive_1directGHGE_Text1</t>
  </si>
  <si>
    <t>Erfassen Sie direkte Treibhausgasemissionen, die durch das ungewollte Austreten von Gasen aus Anlagen Ihres Unternehmens entstehen.
Dazu gehören z. B. Kältemittelverluste aus Kühl- und Klimaanlagen, Methanemissionen aus Gasleitungen oder Leckagen aus technischen Anlagen.</t>
  </si>
  <si>
    <t>n2Data_5Fugitive_1directGHGE_Text2</t>
  </si>
  <si>
    <t>n2Data_5Fugitive_1directGHGE_Text3</t>
  </si>
  <si>
    <t>n2Data_6Fleet</t>
  </si>
  <si>
    <t>Flotte</t>
  </si>
  <si>
    <t>Flotta</t>
  </si>
  <si>
    <t>n2Data_6Fleet_1Owend</t>
  </si>
  <si>
    <t>n2Data_6Fleet_1Owend_Text1</t>
  </si>
  <si>
    <t>Erfassen Sie Emissionen aus dem Treibstoff- oder Stromverbrauch von Fahrzeugen und mobilen Maschinen im Besitz Ihres Unternehmens, die Sie selbst nutzen.
Dazu gehören z.B. Personenwagen, Lastwagen, Gabelstapler, Baumaschinen, Gartenmaschinen.</t>
  </si>
  <si>
    <t>n2Data_6Fleet_1Owend_Text2</t>
  </si>
  <si>
    <t>n2Data_6Fleet_1Owend_Text3</t>
  </si>
  <si>
    <t>Treibstoffverbrauch (vereinfacht)</t>
  </si>
  <si>
    <t>Consommation de carburant (simplifiée)</t>
  </si>
  <si>
    <t>Consumo di carburante (semplificato)</t>
  </si>
  <si>
    <t>n2Data_6Fleet_1Owend_Text4</t>
  </si>
  <si>
    <t>Diesel</t>
  </si>
  <si>
    <t>n2Data_6Fleet_1Owend_Text5</t>
  </si>
  <si>
    <t>Benzin</t>
  </si>
  <si>
    <t>Essence</t>
  </si>
  <si>
    <t>Benzina</t>
  </si>
  <si>
    <t>n2Data_6Fleet_1Owend_Text6</t>
  </si>
  <si>
    <t>Strom</t>
  </si>
  <si>
    <t>n2Data_6Fleet_1Owend_Text7a</t>
  </si>
  <si>
    <t>Fahrzeug</t>
  </si>
  <si>
    <t>Véhicule</t>
  </si>
  <si>
    <t>Veicolo</t>
  </si>
  <si>
    <t>n2Data_6Fleet_1Owend_Text7b</t>
  </si>
  <si>
    <t>a) Kilometer</t>
  </si>
  <si>
    <t>n2Data_6Fleet_1Owend_Text7c</t>
  </si>
  <si>
    <t>Einheit a)</t>
  </si>
  <si>
    <t>Unité a)</t>
  </si>
  <si>
    <t>Unità a)</t>
  </si>
  <si>
    <t>n2Data_6Fleet_1Owend_Text7d</t>
  </si>
  <si>
    <t>b) Treibstoff</t>
  </si>
  <si>
    <t>b) Carburant</t>
  </si>
  <si>
    <t>b) Carburante</t>
  </si>
  <si>
    <t>n2Data_6Fleet_1Owend_Text7e</t>
  </si>
  <si>
    <t>Einheit b)</t>
  </si>
  <si>
    <t>n2Data_6Fleet_2Lessee</t>
  </si>
  <si>
    <t>n2Data_6Fleet_2Lessee_Text1</t>
  </si>
  <si>
    <t>Erfassen Sie Emissionen aus dem Treibstoff- oder Stromverbrauch von gemieteten Fahrzeugen und mobilen Maschinen.
Dazu gehören z.B. Personenwagen, Lastwagen, Gabelstapler, Baumaschinen, Gartenmaschinen.</t>
  </si>
  <si>
    <t>n2Data_6Fleet_2Lessee_Text2</t>
  </si>
  <si>
    <t>n2Data_6Fleet_2Lessee_Text3</t>
  </si>
  <si>
    <t>n2Data_6Fleet_2Lessee_Text4</t>
  </si>
  <si>
    <t>n2Data_6Fleet_2Lessee_Text5</t>
  </si>
  <si>
    <t>n2Data_6Fleet_2Lessee_Text6</t>
  </si>
  <si>
    <t>n2Data_6Fleet_2Lessee_Text7a</t>
  </si>
  <si>
    <t>n2Data_6Fleet_2Lessee_Text7b</t>
  </si>
  <si>
    <t>n2Data_6Fleet_2Lessee_Text7c</t>
  </si>
  <si>
    <t>n2Data_6Fleet_2Lessee_Text7d</t>
  </si>
  <si>
    <t>n2Data_6Fleet_2Lessee_Text7e</t>
  </si>
  <si>
    <t>n2Data_6Fleet_3Lessor</t>
  </si>
  <si>
    <t>n2Data_6Fleet_3Lessor_Text1</t>
  </si>
  <si>
    <t>Erfassen Sie Emissionen aus dem Treibstoff- oder Stromverbrauch von Fahrzeugen und mobilen Maschinen im Besitz Ihres Unternehmens, die Sie vermieten.
Dazu gehören z.B. Personenwagen, Lastwagen, Gabelstapler, Baumaschinen, Gartenmaschinen.</t>
  </si>
  <si>
    <t>n2Data_6Fleet_3Lessor_Text2</t>
  </si>
  <si>
    <t>n2Data_6Fleet_3Lessor_Text3</t>
  </si>
  <si>
    <t>n2Data_6Fleet_3Lessor_Text4</t>
  </si>
  <si>
    <t>n2Data_6Fleet_3Lessor_Text5</t>
  </si>
  <si>
    <t>n2Data_6Fleet_3Lessor_Text6</t>
  </si>
  <si>
    <t>n2Data_6Fleet_3Lessor_Text7a</t>
  </si>
  <si>
    <t>n2Data_6Fleet_3Lessor_Text7b</t>
  </si>
  <si>
    <t>n2Data_6Fleet_3Lessor_Text7c</t>
  </si>
  <si>
    <t>n2Data_6Fleet_3Lessor_Text7d</t>
  </si>
  <si>
    <t>n2Data_6Fleet_3Lessor_Text7e</t>
  </si>
  <si>
    <t>n2Data_7Electricity</t>
  </si>
  <si>
    <t>n2Data_7Electricity_1Owend</t>
  </si>
  <si>
    <t>n2Data_7Electricity_1Owend_Text1</t>
  </si>
  <si>
    <t>Erfassen Sie den Stromverbrauch aller Gebäude, Anlagen und Prozesse im Besitz Ihres Unternehmens, die Sie selbst nutzen.
Der Stromverbrauch wird nach Strom ohne Herkunftsnachweis (HKN) und Strom mit HKN unterschieden.</t>
  </si>
  <si>
    <t>n2Data_7Electricity_1Owend_Text2</t>
  </si>
  <si>
    <t>n2Data_7Electricity_1Owend_Text3</t>
  </si>
  <si>
    <t>n2Data_7Electricity_1Owend_Text4a</t>
  </si>
  <si>
    <t>Herkunft / Erzeugungstechnologie</t>
  </si>
  <si>
    <t>Origine / Technologie de génération</t>
  </si>
  <si>
    <t>Origine / Tecnologia di generazione</t>
  </si>
  <si>
    <t>n2Data_7Electricity_1Owend_Text4b</t>
  </si>
  <si>
    <t>n2Data_7Electricity_1Owend_Text4c</t>
  </si>
  <si>
    <t>Tension</t>
  </si>
  <si>
    <t>Tensione</t>
  </si>
  <si>
    <t>n2Data_7Electricity_1Owend_Text5</t>
  </si>
  <si>
    <t>Eingekaufter Strom ohne Herkunftsnachweis</t>
  </si>
  <si>
    <t>n2Data_7Electricity_1Owend_Text6</t>
  </si>
  <si>
    <t>Eingekaufter Strom mit Herkunftsnachweis</t>
  </si>
  <si>
    <t>n2Data_7Electricity_2Lessee</t>
  </si>
  <si>
    <t>n2Data_7Electricity_2Lessee_Text1</t>
  </si>
  <si>
    <t>Erfassen Sie den Stromverbrauch aller vermieteten Gebäude, Anlagen und Prozesse.
Der Stromverbrauch wird nach Strom ohne Herkunftsnachweis (HKN) und Strom mit HKN unterschieden.</t>
  </si>
  <si>
    <t>n2Data_7Electricity_2Lessee_Text2</t>
  </si>
  <si>
    <t>n2Data_7Electricity_2Lessee_Text3</t>
  </si>
  <si>
    <t>n2Data_7Electricity_2Lessee_Text4a</t>
  </si>
  <si>
    <t>n2Data_7Electricity_2Lessee_Text4b</t>
  </si>
  <si>
    <t>n2Data_7Electricity_2Lessee_Text4c</t>
  </si>
  <si>
    <t>n2Data_7Electricity_2Lessee_Text5</t>
  </si>
  <si>
    <t>n2Data_7Electricity_2Lessee_Text6</t>
  </si>
  <si>
    <t>n2Data_7Electricity_3Lessor</t>
  </si>
  <si>
    <t>n2Data_7Electricity_3Lessor_Text1</t>
  </si>
  <si>
    <t>n2Data_7Electricity_3Lessor_Text2</t>
  </si>
  <si>
    <t>n2Data_7Electricity_3Lessor_Text3</t>
  </si>
  <si>
    <t>n2Data_7Electricity_3Lessor_Text4a</t>
  </si>
  <si>
    <t>n2Data_7Electricity_3Lessor_Text4b</t>
  </si>
  <si>
    <t>n2Data_7Electricity_3Lessor_Text4c</t>
  </si>
  <si>
    <t>n2Data_7Electricity_3Lessor_Text5</t>
  </si>
  <si>
    <t>n2Data_7Electricity_3Lessor_Text6</t>
  </si>
  <si>
    <t>n2Data_8PurchasedGoods</t>
  </si>
  <si>
    <t>n2Data_8PurchasedGoods_1Spend</t>
  </si>
  <si>
    <t>Ausgabenbasierter Ansatz</t>
  </si>
  <si>
    <t>Approche basée sur les dépenses</t>
  </si>
  <si>
    <t>n2Data_8PurchasedGoods_1Spend_Text1</t>
  </si>
  <si>
    <t>Erfassen Sie alle eingekauften Waren und Dienstleistungen im Bilanzjahr.
Dazu gehören z.B. Rohmaterialien, Nahrungsmittel, Ausrüstung oder Dienstleistungen wie Beratung, Planung und Reinigung.</t>
  </si>
  <si>
    <t>n2Data_8PurchasedGoods_1Spend_Text2</t>
  </si>
  <si>
    <t>n2Data_8PurchasedGoods_1Spend_Text3</t>
  </si>
  <si>
    <t>Branche</t>
  </si>
  <si>
    <t>n2Data_8PurchasedGoods_1Quantity</t>
  </si>
  <si>
    <t>Mengenbasierter Ansatz</t>
  </si>
  <si>
    <t>Approche basée sur la quantité</t>
  </si>
  <si>
    <t>Approccio basato sulla quantità</t>
  </si>
  <si>
    <t>n2Data_8PurchasedGoods_1Quantity_Text1</t>
  </si>
  <si>
    <t>Erfassen Sie alle eingekauften Waren und Dienstleistungen im Bilanzjahr, die nicht im "Ausgabenbasierten Ansatz" abgedeckt sind.
Dazu gehören z.B. Rohmaterialien, Nahrungsmittel, Verbrauchsmaterial oder Ausrüstung.</t>
  </si>
  <si>
    <t>n2Data_8PurchasedGoods_1Quantity_Text2</t>
  </si>
  <si>
    <t>n2Data_8PurchasedGoods_1Quantity_Text3a</t>
  </si>
  <si>
    <t>Material Kat. 1</t>
  </si>
  <si>
    <t>n2Data_8PurchasedGoods_1Quantity_Text3b</t>
  </si>
  <si>
    <t>Material Kat. 2</t>
  </si>
  <si>
    <t>n2Data_8PurchasedGoods_1Quantity_Text3c</t>
  </si>
  <si>
    <t>Material Kat. 3</t>
  </si>
  <si>
    <t>n2Data_9CapitalGoods</t>
  </si>
  <si>
    <t>n2Data_9CapitalGoods_Text1</t>
  </si>
  <si>
    <t xml:space="preserve">Erfassen Sie alle im Bilanzjahr eingekauften Kapitalgüter, z.B. Gebäude, Fahrzeuge oder Maschinen.
</t>
  </si>
  <si>
    <t>n2Data_9CapitalGoods_Text2</t>
  </si>
  <si>
    <t>n2Data_9CapitalGoods_Text3</t>
  </si>
  <si>
    <t>Ob ein eingekauftes Gut als Kapitalgut oder als Ware bzw. Dienstleistung zu erfassen ist, bestimmen Sie selbst. Folgen Sie dabei Ihrer Finanbuchhaltung. Achten Sie darauf, dass alle eingekauften Güter und Dienstleistungen an einem Ort erfasst sind (nicht mehrfach).</t>
  </si>
  <si>
    <t>Vous décidez vous-même si un bien acheté doit être enregistré comme un bien capital ou comme un bien ou un service. Suivez votre comptabilité financière. Assurez-vous que tous les biens et services achetés soient enregistrés au même endroit (et non plusieurs fois).</t>
  </si>
  <si>
    <t>n2Data_9CapitalGoods_Text4a</t>
  </si>
  <si>
    <t>n2Data_9CapitalGoods_Text4b</t>
  </si>
  <si>
    <t>n2Data_10Transport</t>
  </si>
  <si>
    <t>Transport</t>
  </si>
  <si>
    <t>Trasporti</t>
  </si>
  <si>
    <t>n2Data_10Transport_1Bussinesstrip</t>
  </si>
  <si>
    <t>Geschäftsreisen</t>
  </si>
  <si>
    <t>Voyages d’affaires</t>
  </si>
  <si>
    <t>Viaggi di lavoro</t>
  </si>
  <si>
    <t>n2Data_10Transport_1Bussinesstrip_Text1</t>
  </si>
  <si>
    <t>n2Data_10Transport_1Bussinesstrip_Text2</t>
  </si>
  <si>
    <t>Verkehrsmittel</t>
  </si>
  <si>
    <t>n2Data_10Transport_1Bussinesstrip_Text3</t>
  </si>
  <si>
    <t>n2Data_10Transport_1Bussinesstrip_Text4</t>
  </si>
  <si>
    <t>n2Data_10Transport_1Bussinesstrip_Text5</t>
  </si>
  <si>
    <t>Zug</t>
  </si>
  <si>
    <t>Train</t>
  </si>
  <si>
    <t>Treno</t>
  </si>
  <si>
    <t>n2Data_10Transport_1Bussinesstrip_Text6</t>
  </si>
  <si>
    <t>Bus</t>
  </si>
  <si>
    <t>Autobus</t>
  </si>
  <si>
    <t>n2Data_10Transport_1Bussinesstrip_Text7</t>
  </si>
  <si>
    <t>Personenwagen</t>
  </si>
  <si>
    <t>n2Data_10Transport_2Commuting</t>
  </si>
  <si>
    <t>Pendelverkehr</t>
  </si>
  <si>
    <t>n2Data_10Transport_2Commuting_Text1</t>
  </si>
  <si>
    <t>n2Data_10Transport_2Commuting_Text2</t>
  </si>
  <si>
    <t>n2Data_10Transport_2Commuting_Text3</t>
  </si>
  <si>
    <t>Mitarbeiter</t>
  </si>
  <si>
    <t>Employés</t>
  </si>
  <si>
    <t>Dipendenti</t>
  </si>
  <si>
    <t>n2Data_10Transport_2Commuting_Text4a</t>
  </si>
  <si>
    <t>Proportion d’employés</t>
  </si>
  <si>
    <t>n2Data_10Transport_2Commuting_Text4b</t>
  </si>
  <si>
    <t>Vollzeitäquivalente</t>
  </si>
  <si>
    <t>Équivalents à temps plein</t>
  </si>
  <si>
    <t>Equivalenti a tempo pieno</t>
  </si>
  <si>
    <t>n2Data_10Transport_2Commuting_Text5</t>
  </si>
  <si>
    <t>n2Data_10Transport_2Commuting_Text6</t>
  </si>
  <si>
    <t>n2Data_10Transport_2Commuting_Text7</t>
  </si>
  <si>
    <t>n2Data_10Transport_2Commuting_Text8</t>
  </si>
  <si>
    <t>n2Data_10Transport_2Commuting_Text9</t>
  </si>
  <si>
    <t>Fahrrad</t>
  </si>
  <si>
    <t>Vélo</t>
  </si>
  <si>
    <t>Bicicletta</t>
  </si>
  <si>
    <t>n2Data_10Transport_2Commuting_Text10</t>
  </si>
  <si>
    <t>E-Fahrrad</t>
  </si>
  <si>
    <t>Vélo électrique</t>
  </si>
  <si>
    <t>E-bike</t>
  </si>
  <si>
    <t>n2Data_10Transport_2Commuting_Text11</t>
  </si>
  <si>
    <t>Motorrad</t>
  </si>
  <si>
    <t>Moto</t>
  </si>
  <si>
    <t>n2Data_10Transport_3Upstream</t>
  </si>
  <si>
    <t>Vorgelagerter Transport</t>
  </si>
  <si>
    <t>Transport en amont</t>
  </si>
  <si>
    <t>Trasporto a monte</t>
  </si>
  <si>
    <t>n2Data_10Transport_3Upstream_Text1</t>
  </si>
  <si>
    <t>n2Data_10Transport_3Upstream_Text2</t>
  </si>
  <si>
    <t>Transportmittel</t>
  </si>
  <si>
    <t>Moyens de transport</t>
  </si>
  <si>
    <t>Mezzi di trasporto</t>
  </si>
  <si>
    <t>n2Data_10Transport_3Upstream_Text3</t>
  </si>
  <si>
    <t>LKW</t>
  </si>
  <si>
    <t>Camion</t>
  </si>
  <si>
    <t>n2Data_10Transport_3Upstream_Text4</t>
  </si>
  <si>
    <t>Schiff</t>
  </si>
  <si>
    <t>Nave</t>
  </si>
  <si>
    <t>n2Data_10Transport_3Upstream_Text5</t>
  </si>
  <si>
    <t>n2Data_10Transport_3Upstream_Text6</t>
  </si>
  <si>
    <t>Flugzeug</t>
  </si>
  <si>
    <t>Avion</t>
  </si>
  <si>
    <t>Aereo</t>
  </si>
  <si>
    <t>n2Data_10Transport_4Downstream</t>
  </si>
  <si>
    <t>Nachgelagerter Transport</t>
  </si>
  <si>
    <t>Transport en aval</t>
  </si>
  <si>
    <t>Trasporto a valle</t>
  </si>
  <si>
    <t>n2Data_10Transport_4Downstream_Text1</t>
  </si>
  <si>
    <t>n2Data_10Transport_4Downstream_Text2</t>
  </si>
  <si>
    <t>n2Data_10Transport_4Downstream_Text3</t>
  </si>
  <si>
    <t>n2Data_10Transport_4Downstream_Text4</t>
  </si>
  <si>
    <t>n2Data_10Transport_4Downstream_Text5</t>
  </si>
  <si>
    <t>n2Data_10Transport_4Downstream_Text6</t>
  </si>
  <si>
    <t>n2Data_11Waste</t>
  </si>
  <si>
    <t>n2Data_11Waste_Text1</t>
  </si>
  <si>
    <t>n2Data_11Waste_Text2</t>
  </si>
  <si>
    <t>Abfalltyp</t>
  </si>
  <si>
    <t>Type de déchets</t>
  </si>
  <si>
    <t>Tipo di rifiuto</t>
  </si>
  <si>
    <t>n2Data_11Waste_Text3</t>
  </si>
  <si>
    <t>n2Data_11Waste_Text4</t>
  </si>
  <si>
    <t>n2Data_11Waste_Text5</t>
  </si>
  <si>
    <t>n2Data_11Waste_Text6</t>
  </si>
  <si>
    <t>n2Data_11Waste_Text7</t>
  </si>
  <si>
    <t>n2Data_11Waste_Text8</t>
  </si>
  <si>
    <t>n2Data_11Waste_Text9</t>
  </si>
  <si>
    <t>n2Data_11Waste_Text10</t>
  </si>
  <si>
    <t>n2Data_11Waste_Text11</t>
  </si>
  <si>
    <t>n2Data_11Waste_Text12</t>
  </si>
  <si>
    <t>n2Data_11Waste_Text13</t>
  </si>
  <si>
    <t>n2Data_12SoldProducts</t>
  </si>
  <si>
    <t>n2Data_12SoldProducts_1Processing</t>
  </si>
  <si>
    <t>Verarbeitung von verkauften Produkten</t>
  </si>
  <si>
    <t>Transformation des produits vendus</t>
  </si>
  <si>
    <t>Lavorazione dei prodotti venduti</t>
  </si>
  <si>
    <t>n2Data_12SoldProducts_1Processing_Text1</t>
  </si>
  <si>
    <t>n2Data_12SoldProducts_1Processing_Text2</t>
  </si>
  <si>
    <t>Stromverbrauch</t>
  </si>
  <si>
    <t>Consommation d’énergie</t>
  </si>
  <si>
    <t>Consumo energetico</t>
  </si>
  <si>
    <t>n2Data_12SoldProducts_1Processing_Text3</t>
  </si>
  <si>
    <t>Strom, am Netz, Niederspannung</t>
  </si>
  <si>
    <t>Électricité, réseau, basse tension</t>
  </si>
  <si>
    <t>Elettricità, rete, bassa tensione</t>
  </si>
  <si>
    <t>n2Data_12SoldProducts_1Processing_Text4</t>
  </si>
  <si>
    <t>Strom, am Netz, Mittelspannung</t>
  </si>
  <si>
    <t>Électricité, réseau, moyenne tension</t>
  </si>
  <si>
    <t>Elettricità, rete, media tensione</t>
  </si>
  <si>
    <t>n2Data_12SoldProducts_1Processing_Text5</t>
  </si>
  <si>
    <t>Brenn- und Treibstoffe</t>
  </si>
  <si>
    <t>n2Data_12SoldProducts_2Use</t>
  </si>
  <si>
    <t>Nutzung von verkauften Produkte</t>
  </si>
  <si>
    <t>Utilisation des produits vendus</t>
  </si>
  <si>
    <t>Utilizzo dei prodotti venduti</t>
  </si>
  <si>
    <t>n2Data_12SoldProducts_2Use_Text1</t>
  </si>
  <si>
    <t>n2Data_12SoldProducts_2Use_Text2</t>
  </si>
  <si>
    <t>n2Data_12SoldProducts_2Use_Text3</t>
  </si>
  <si>
    <t>n2Data_12SoldProducts_2Use_Text4</t>
  </si>
  <si>
    <t>n2Data_12SoldProducts_2Use_Text5</t>
  </si>
  <si>
    <t>Brennstoffe und Treibstoffe</t>
  </si>
  <si>
    <t>n2Data_12SoldProducts_3EndOfLife</t>
  </si>
  <si>
    <t>Entsorgung von verkauften Produkten</t>
  </si>
  <si>
    <t>Élimination des produits vendus</t>
  </si>
  <si>
    <t>Smaltimento dei prodotti venduti</t>
  </si>
  <si>
    <t>n2Data_12SoldProducts_3EndOfLife_Text1</t>
  </si>
  <si>
    <t>n2Data_12SoldProducts_3EndOfLife_Text2</t>
  </si>
  <si>
    <t>n2Data_12SoldProducts_3EndOfLife_Text3</t>
  </si>
  <si>
    <t>n2Data_12SoldProducts_3EndOfLife_Text4</t>
  </si>
  <si>
    <t>n2Data_12SoldProducts_3EndOfLife_Text5</t>
  </si>
  <si>
    <t>n2Data_12SoldProducts_3EndOfLife_Text6</t>
  </si>
  <si>
    <t>n2Data_12SoldProducts_3EndOfLife_Text7</t>
  </si>
  <si>
    <t>n2Data_12SoldProducts_3EndOfLife_Text8</t>
  </si>
  <si>
    <t>n2Data_12SoldProducts_3EndOfLife_Text9</t>
  </si>
  <si>
    <t>n2Data_12SoldProducts_3EndOfLife_Text10</t>
  </si>
  <si>
    <t>n2Data_12SoldProducts_3EndOfLife_Text11</t>
  </si>
  <si>
    <t>n2Data_12SoldProducts_3EndOfLife_Text12</t>
  </si>
  <si>
    <t>n2Data_12SoldProducts_3EndOfLife_Text13</t>
  </si>
  <si>
    <t>n2Data_12SoldProducts_3EndOfLife_Text14</t>
  </si>
  <si>
    <t>Abwasser</t>
  </si>
  <si>
    <t>Eaux usées</t>
  </si>
  <si>
    <t>Acque reflue</t>
  </si>
  <si>
    <t>n2Data_13Franchise</t>
  </si>
  <si>
    <t>n2Data_13Franchise_Text1</t>
  </si>
  <si>
    <t>n2Data_13Franchise_Text2</t>
  </si>
  <si>
    <t>Treibhausgasemissionen</t>
  </si>
  <si>
    <t>Émissions de gaz à effet de serre</t>
  </si>
  <si>
    <t>n2Data_14Investments</t>
  </si>
  <si>
    <t>n2Data_14Investments_Text1</t>
  </si>
  <si>
    <t>n2Data_14Investments_Text2</t>
  </si>
  <si>
    <t>n2Data_14Investments_Text3</t>
  </si>
  <si>
    <t>(Scope 1 und 2 Emissionen) x Kapitalanteil</t>
  </si>
  <si>
    <t>n2Data_14Investments_Text4a</t>
  </si>
  <si>
    <t>n2Data_14nvestments_Text4b</t>
  </si>
  <si>
    <t>Kapitalanteil [%]</t>
  </si>
  <si>
    <t>Quota di capitale [%]</t>
  </si>
  <si>
    <t>n2Data_14Investments_Text4c</t>
  </si>
  <si>
    <t>Gesamtumsatz [CHF]</t>
  </si>
  <si>
    <t>Fatturato totale [CHF]</t>
  </si>
  <si>
    <t>3 Calculation</t>
  </si>
  <si>
    <t>n3Calculation</t>
  </si>
  <si>
    <t>n3Calculation_Text1</t>
  </si>
  <si>
    <t>n3Calculation_1Instruction</t>
  </si>
  <si>
    <t>n3Calculation_1Instruction_Text1</t>
  </si>
  <si>
    <t>n3Calculation_2Index</t>
  </si>
  <si>
    <t>Source</t>
  </si>
  <si>
    <t>Type</t>
  </si>
  <si>
    <t>Product</t>
  </si>
  <si>
    <t>Where is it used in Calculations</t>
  </si>
  <si>
    <t>UUID</t>
  </si>
  <si>
    <t>Comment</t>
  </si>
  <si>
    <t>Last updated</t>
  </si>
  <si>
    <t>EIOT UFA25</t>
  </si>
  <si>
    <t>Spend-Based</t>
  </si>
  <si>
    <t>Total</t>
  </si>
  <si>
    <t>Environmental Input-Output Emission Factors from "Umweltfussabdrücke der Schweiz 2025", calculated by EBP Schweiz AG</t>
  </si>
  <si>
    <t>35_2</t>
  </si>
  <si>
    <t>35_r</t>
  </si>
  <si>
    <t>BAFU:2025_auxiliary</t>
  </si>
  <si>
    <t>aux1</t>
  </si>
  <si>
    <t>Process used for entries of CO2-equivalent emissions</t>
  </si>
  <si>
    <t>Waste treatment</t>
  </si>
  <si>
    <t>waste management\recycling</t>
  </si>
  <si>
    <t>aux2</t>
  </si>
  <si>
    <t>Process used for waste materials cut-off</t>
  </si>
  <si>
    <t>Material</t>
  </si>
  <si>
    <t>private consumption\household devices</t>
  </si>
  <si>
    <t>aux3</t>
  </si>
  <si>
    <t>Estimated 70kg per machine</t>
  </si>
  <si>
    <t>electronics\manufacturing</t>
  </si>
  <si>
    <t>aux4</t>
  </si>
  <si>
    <t>2500kg per machine (dataset description BAFU:2025)</t>
  </si>
  <si>
    <t>construction processes\building equipment\infrastructure</t>
  </si>
  <si>
    <t>aux5</t>
  </si>
  <si>
    <t>10000kg per machine (dataset description BAFU:2025)</t>
  </si>
  <si>
    <t>Roads, company, internal {CH} per m2</t>
  </si>
  <si>
    <t>transport systems\road\operations\infrastructure</t>
  </si>
  <si>
    <t>aux6</t>
  </si>
  <si>
    <t>100years use phase (dataset description BAFU:2025)</t>
  </si>
  <si>
    <t>Transport, average commuting per year and FTE {CH}</t>
  </si>
  <si>
    <t>FTEy</t>
  </si>
  <si>
    <t>transport systems\commuting</t>
  </si>
  <si>
    <t>aux7</t>
  </si>
  <si>
    <t>Calculated using "Mikrozensus Mobilität und Verkehr"; See "Energy Splits"  Excel</t>
  </si>
  <si>
    <t>Direct</t>
  </si>
  <si>
    <t>BAFU:2025 Energy Splits</t>
  </si>
  <si>
    <t>Heat</t>
  </si>
  <si>
    <t>Light fuel oil, burned in boiler 100kW condensing, non-modulating {CH} MJ Direct</t>
  </si>
  <si>
    <t>Controlled</t>
  </si>
  <si>
    <t>split_direct1</t>
  </si>
  <si>
    <t>Heavy fuel oil, burned in industrial furnace 1MW, non-modulating {CH} MJ Direct</t>
  </si>
  <si>
    <t>split_direct2</t>
  </si>
  <si>
    <t>Propane,butane, burned in boiler condensing modulating 50kW {CH} MJ Direct</t>
  </si>
  <si>
    <t>split_direct3</t>
  </si>
  <si>
    <t>Petroleum coke, burned in refinery furnace {RER} MJ Direct</t>
  </si>
  <si>
    <t>split_direct4</t>
  </si>
  <si>
    <t>Hard coal coke, burned in stove 5-15kW {RER} MJ Direct</t>
  </si>
  <si>
    <t>split_direct5</t>
  </si>
  <si>
    <t>Hard coal briquette, burned in stove 5-15kW {RER} MJ Direct</t>
  </si>
  <si>
    <t>split_direct6</t>
  </si>
  <si>
    <t>Lignite briquette, burned in stove 5-15kW {RER} MJ Direct</t>
  </si>
  <si>
    <t>split_direct7</t>
  </si>
  <si>
    <t>Natural gas, burned in boiler condensing modulating 50kW {CH} MJ Direct</t>
  </si>
  <si>
    <t>split_direct8</t>
  </si>
  <si>
    <t>Biomethane, burned in boiler condensing modulating 50kW {CH} MJ Direct</t>
  </si>
  <si>
    <t>split_direct9</t>
  </si>
  <si>
    <t>Logs, mixed, burned in furnace 50kW {CH} MJ Direct</t>
  </si>
  <si>
    <t>split_direct10</t>
  </si>
  <si>
    <t>Wood chips, from forest, hardwood, burned in furnace 50kW {CH} MJ Direct</t>
  </si>
  <si>
    <t>split_direct11</t>
  </si>
  <si>
    <t>Pellets, mixed, burned in furnace 50kW {CH} MJ Direct</t>
  </si>
  <si>
    <t>split_direct12</t>
  </si>
  <si>
    <t>Diesel, burned in diesel-electric generating set {GLO} MJ Direct</t>
  </si>
  <si>
    <t>split_direct13</t>
  </si>
  <si>
    <t>Waste in MWI, burned MJ Direct</t>
  </si>
  <si>
    <t>split_direct14</t>
  </si>
  <si>
    <t>Waste oil, burned MJ Direct</t>
  </si>
  <si>
    <t>split_direct15</t>
  </si>
  <si>
    <t>Plastics, burned MJ Direct</t>
  </si>
  <si>
    <t>split_direct16</t>
  </si>
  <si>
    <t>Waste tyres, burned MJ Direct</t>
  </si>
  <si>
    <t>split_direct17</t>
  </si>
  <si>
    <t>Sawdust, burned MJ Direct</t>
  </si>
  <si>
    <t>split_direct18</t>
  </si>
  <si>
    <t>Animal meal, burned MJ Direct</t>
  </si>
  <si>
    <t>split_direct19</t>
  </si>
  <si>
    <t>Methane, burned MJ Direct</t>
  </si>
  <si>
    <t>split_direct20</t>
  </si>
  <si>
    <t>Ethane, burned MJ Direct</t>
  </si>
  <si>
    <t>split_direct21</t>
  </si>
  <si>
    <t>Propane, burned MJ Direct</t>
  </si>
  <si>
    <t>split_direct22</t>
  </si>
  <si>
    <t>Butane, burned MJ Direct</t>
  </si>
  <si>
    <t>split_direct23</t>
  </si>
  <si>
    <t>Ethanol, burned MJ Direct</t>
  </si>
  <si>
    <t>split_direct24</t>
  </si>
  <si>
    <t>Methanol, burned MJ Direct</t>
  </si>
  <si>
    <t>split_direct25</t>
  </si>
  <si>
    <t>Light fuel oil, burned in boiler 100kW condensing, non-modulating {CH} kg Direct</t>
  </si>
  <si>
    <t>split_direct26</t>
  </si>
  <si>
    <t>Heavy fuel oil, burned in industrial furnace 1MW, non-modulating {CH} kg Direct</t>
  </si>
  <si>
    <t>split_direct27</t>
  </si>
  <si>
    <t>Propane,butane, burned in boiler condensing modulating 50kW {CH} kg Direct</t>
  </si>
  <si>
    <t>split_direct28</t>
  </si>
  <si>
    <t>Petroleum coke, burned in refinery furnace {RER} kg Direct</t>
  </si>
  <si>
    <t>split_direct29</t>
  </si>
  <si>
    <t>Hard coal coke, burned in stove 5-15kW {RER} kg Direct</t>
  </si>
  <si>
    <t>split_direct30</t>
  </si>
  <si>
    <t>Hard coal briquette, burned in stove 5-15kW {RER} kg Direct</t>
  </si>
  <si>
    <t>split_direct31</t>
  </si>
  <si>
    <t>Lignite briquette, burned in stove 5-15kW {RER} kg Direct</t>
  </si>
  <si>
    <t>split_direct32</t>
  </si>
  <si>
    <t>Natural gas, burned in boiler condensing modulating 50kW {CH} kg Direct</t>
  </si>
  <si>
    <t>split_direct33</t>
  </si>
  <si>
    <t>Biomethane, burned in boiler condensing modulating 50kW {CH} kg Direct</t>
  </si>
  <si>
    <t>split_direct34</t>
  </si>
  <si>
    <t>Logs, mixed, burned in furnace 50kW {CH} kg Direct</t>
  </si>
  <si>
    <t>split_direct35</t>
  </si>
  <si>
    <t>Wood chips, from forest, hardwood, burned in furnace 50kW {CH} kg Direct</t>
  </si>
  <si>
    <t>split_direct36</t>
  </si>
  <si>
    <t>Pellets, mixed, burned in furnace 50kW {CH} kg Direct</t>
  </si>
  <si>
    <t>split_direct37</t>
  </si>
  <si>
    <t>Diesel, burned in diesel-electric generating set {GLO} kg Direct</t>
  </si>
  <si>
    <t>split_direct38</t>
  </si>
  <si>
    <t>Waste in MWI, burned kg Direct</t>
  </si>
  <si>
    <t>split_direct39</t>
  </si>
  <si>
    <t>Waste oil, burned kg Direct</t>
  </si>
  <si>
    <t>split_direct40</t>
  </si>
  <si>
    <t>Plastics, burned kg Direct</t>
  </si>
  <si>
    <t>split_direct41</t>
  </si>
  <si>
    <t>Waste tyres, burned kg Direct</t>
  </si>
  <si>
    <t>split_direct42</t>
  </si>
  <si>
    <t>Sawdust, burned kg Direct</t>
  </si>
  <si>
    <t>split_direct43</t>
  </si>
  <si>
    <t>Animal meal, burned kg Direct</t>
  </si>
  <si>
    <t>split_direct44</t>
  </si>
  <si>
    <t>Methane, burned kg Direct</t>
  </si>
  <si>
    <t>split_direct45</t>
  </si>
  <si>
    <t>Ethane, burned kg Direct</t>
  </si>
  <si>
    <t>split_direct46</t>
  </si>
  <si>
    <t>Propane, burned kg Direct</t>
  </si>
  <si>
    <t>split_direct47</t>
  </si>
  <si>
    <t>Butane, burned kg Direct</t>
  </si>
  <si>
    <t>split_direct48</t>
  </si>
  <si>
    <t>Ethanol, burned kg Direct</t>
  </si>
  <si>
    <t>split_direct49</t>
  </si>
  <si>
    <t>Methanol, burned kg Direct</t>
  </si>
  <si>
    <t>split_direct50</t>
  </si>
  <si>
    <t>Light fuel oil, burned in boiler 100kW condensing, non-modulating {CH} l Direct</t>
  </si>
  <si>
    <t>split_direct51</t>
  </si>
  <si>
    <t>Heavy fuel oil, burned in industrial furnace 1MW, non-modulating {CH} l Direct</t>
  </si>
  <si>
    <t>split_direct52</t>
  </si>
  <si>
    <t>Propane,butane, burned in boiler condensing modulating 50kW {CH} l Direct</t>
  </si>
  <si>
    <t>split_direct53</t>
  </si>
  <si>
    <t>split_direct54</t>
  </si>
  <si>
    <t>split_direct55</t>
  </si>
  <si>
    <t>Diesel, burned in diesel-electric generating set {GLO} l Direct</t>
  </si>
  <si>
    <t>split_direct56</t>
  </si>
  <si>
    <t>split_direct57</t>
  </si>
  <si>
    <t>split_direct58</t>
  </si>
  <si>
    <t>Propane, burned l Direct</t>
  </si>
  <si>
    <t>split_direct59</t>
  </si>
  <si>
    <t>Butane, burned l Direct</t>
  </si>
  <si>
    <t>split_direct60</t>
  </si>
  <si>
    <t>Ethanol, burned l Direct</t>
  </si>
  <si>
    <t>split_direct61</t>
  </si>
  <si>
    <t>Methanol, burned l Direct</t>
  </si>
  <si>
    <t>split_direct62</t>
  </si>
  <si>
    <t>District heat, at consumer, swiss average, allocation exergy {CH} MJ Direct</t>
  </si>
  <si>
    <t>Not controlled</t>
  </si>
  <si>
    <t>split_direct63</t>
  </si>
  <si>
    <t>District heat, at consumer, heat from nuclear power plant, allocation exergy {CH} MJ Direct</t>
  </si>
  <si>
    <t>split_direct64</t>
  </si>
  <si>
    <t>District heat, at consumer, light fuel oil in industrial furnace 1MW {CH} MJ Direct</t>
  </si>
  <si>
    <t>split_direct65</t>
  </si>
  <si>
    <t>District heat, at consumer, natural gas in industrial furnace 1MW {CH} MJ Direct</t>
  </si>
  <si>
    <t>split_direct66</t>
  </si>
  <si>
    <t>District heat, at consumer, wood chips in industrial furnace 1MW {CH} MJ Direct</t>
  </si>
  <si>
    <t>split_direct67</t>
  </si>
  <si>
    <t>District heat, at consumer, wood chips cogen 1MWth, allocation exergy {CH} MJ Direct</t>
  </si>
  <si>
    <t>split_direct68</t>
  </si>
  <si>
    <t>District heat, from sewage heat exchanger {CH} MJ Direct</t>
  </si>
  <si>
    <t>split_direct69</t>
  </si>
  <si>
    <t>District heat, at consumer, ground water heat pump 50kW {CH} MJ Direct</t>
  </si>
  <si>
    <t>split_direct70</t>
  </si>
  <si>
    <t>District heat, at consumer, borehole heat pump 50kW {CH} MJ Direct</t>
  </si>
  <si>
    <t>split_direct71</t>
  </si>
  <si>
    <t>District heat, at consumer, waste from municipal waste incineration {CH} MJ Direct</t>
  </si>
  <si>
    <t>split_direct72</t>
  </si>
  <si>
    <t>District heat, at consumer, diesel cogen 1MWth, allocation exergy {CH} MJ Direct</t>
  </si>
  <si>
    <t>split_direct73</t>
  </si>
  <si>
    <t>District heat, at consumer, natural gas cogen 1MWth, allocation exergy {CH} MJ Direct</t>
  </si>
  <si>
    <t>split_direct74</t>
  </si>
  <si>
    <t>District heat, at consumer, biomethane cogen 1MWth, allocation exergy {CH} MJ Direct</t>
  </si>
  <si>
    <t>split_direct75</t>
  </si>
  <si>
    <t>Steam, for chemical processes, at plant {RER} MJ Direct</t>
  </si>
  <si>
    <t>split_direct76</t>
  </si>
  <si>
    <t>Steam, for chemical processes, at plant {RER} kg Direct</t>
  </si>
  <si>
    <t>split_direct77</t>
  </si>
  <si>
    <t>Heat, residential, by combustion of hydrogen using boiler, distributed by pipeline, produced by Electrolysis, AEC using electricity from grid {CH} MJ Direct</t>
  </si>
  <si>
    <t>split_direct78</t>
  </si>
  <si>
    <t>Electricity</t>
  </si>
  <si>
    <t>Electricity, low voltage, at grid {CH} kWh Direct</t>
  </si>
  <si>
    <t>Mix</t>
  </si>
  <si>
    <t>split_direct79</t>
  </si>
  <si>
    <t>Electricity, medium voltage, at grid {CH} kWh Direct</t>
  </si>
  <si>
    <t>split_direct80</t>
  </si>
  <si>
    <t>Electricity, Hydropower, low voltage, losses covered by GOs kWh Direct</t>
  </si>
  <si>
    <t>Low voltage</t>
  </si>
  <si>
    <t>split_direct82</t>
  </si>
  <si>
    <t>Electricity, Solar, low voltage, losses covered by GOs kWh Direct</t>
  </si>
  <si>
    <t>split_direct83</t>
  </si>
  <si>
    <t>Electricity, Wind, low voltage, losses covered by GOs kWh Direct</t>
  </si>
  <si>
    <t>split_direct84</t>
  </si>
  <si>
    <t>Electricity, Biomass, low voltage, losses covered by GOs kWh Direct</t>
  </si>
  <si>
    <t>split_direct85</t>
  </si>
  <si>
    <t>Electricity, Geothermal (proxied by wind), low voltage, losses covered by GOs kWh Direct</t>
  </si>
  <si>
    <t>split_direct86</t>
  </si>
  <si>
    <t>Electricity, Nuclear, low voltage, losses covered by GOs kWh Direct</t>
  </si>
  <si>
    <t>split_direct87</t>
  </si>
  <si>
    <t>Electricity, Oil, low voltage, losses covered by GOs kWh Direct</t>
  </si>
  <si>
    <t>split_direct88</t>
  </si>
  <si>
    <t>Electricity, Natural gas, low voltage, losses covered by GOs kWh Direct</t>
  </si>
  <si>
    <t>split_direct89</t>
  </si>
  <si>
    <t>Electricity, Waste, low voltage, losses covered by GOs kWh Direct</t>
  </si>
  <si>
    <t>split_direct90</t>
  </si>
  <si>
    <t>Electricity, Hydropower, low voltage, losses not covered by GOs kWh Direct</t>
  </si>
  <si>
    <t>split_direct91</t>
  </si>
  <si>
    <t>Electricity, Solar, low voltage, losses not covered by GOs kWh Direct</t>
  </si>
  <si>
    <t>split_direct92</t>
  </si>
  <si>
    <t>Electricity, Wind, low voltage, losses not covered by GOs kWh Direct</t>
  </si>
  <si>
    <t>split_direct93</t>
  </si>
  <si>
    <t>Electricity, Biomass, low voltage, losses not covered by GOs kWh Direct</t>
  </si>
  <si>
    <t>split_direct94</t>
  </si>
  <si>
    <t>Electricity, Geothermal (proxied by wind), low voltage, losses not covered by GOs kWh Direct</t>
  </si>
  <si>
    <t>split_direct95</t>
  </si>
  <si>
    <t>Electricity, Nuclear, low voltage, losses not covered by GOs kWh Direct</t>
  </si>
  <si>
    <t>split_direct96</t>
  </si>
  <si>
    <t>Electricity, Oil, low voltage, losses not covered by GOs kWh Direct</t>
  </si>
  <si>
    <t>split_direct97</t>
  </si>
  <si>
    <t>Electricity, Natural gas, low voltage, losses not covered by GOs kWh Direct</t>
  </si>
  <si>
    <t>split_direct98</t>
  </si>
  <si>
    <t>Electricity, Waste, low voltage, losses not covered by GOs kWh Direct</t>
  </si>
  <si>
    <t>split_direct99</t>
  </si>
  <si>
    <t>Electricity, Hydropower, medium voltage, losses covered by GOs kWh Direct</t>
  </si>
  <si>
    <t>Medium voltage</t>
  </si>
  <si>
    <t>split_direct100</t>
  </si>
  <si>
    <t>Electricity, Solar, medium voltage, losses covered by GOs kWh Direct</t>
  </si>
  <si>
    <t>split_direct101</t>
  </si>
  <si>
    <t>Electricity, Wind, medium voltage, losses covered by GOs kWh Direct</t>
  </si>
  <si>
    <t>split_direct102</t>
  </si>
  <si>
    <t>Electricity, Biomass, medium voltage, losses covered by GOs kWh Direct</t>
  </si>
  <si>
    <t>split_direct103</t>
  </si>
  <si>
    <t>Electricity, Geothermal (proxied by wind), medium voltage, losses covered by GOs kWh Direct</t>
  </si>
  <si>
    <t>split_direct104</t>
  </si>
  <si>
    <t>Electricity, Nuclear, medium voltage, losses covered by GOs kWh Direct</t>
  </si>
  <si>
    <t>split_direct105</t>
  </si>
  <si>
    <t>Electricity, Oil, medium voltage, losses covered by GOs kWh Direct</t>
  </si>
  <si>
    <t>split_direct106</t>
  </si>
  <si>
    <t>Electricity, Natural gas, medium voltage, losses covered by GOs kWh Direct</t>
  </si>
  <si>
    <t>split_direct107</t>
  </si>
  <si>
    <t>Electricity, Waste, medium voltage, losses covered by GOs kWh Direct</t>
  </si>
  <si>
    <t>split_direct108</t>
  </si>
  <si>
    <t>Electricity, Hydropower, medium voltage, losses not covered by GOs kWh Direct</t>
  </si>
  <si>
    <t>split_direct109</t>
  </si>
  <si>
    <t>Electricity, Solar, medium voltage, losses not covered by GOs kWh Direct</t>
  </si>
  <si>
    <t>split_direct110</t>
  </si>
  <si>
    <t>Electricity, Wind, medium voltage, losses not covered by GOs kWh Direct</t>
  </si>
  <si>
    <t>split_direct111</t>
  </si>
  <si>
    <t>Electricity, Biomass, medium voltage, losses not covered by GOs kWh Direct</t>
  </si>
  <si>
    <t>split_direct112</t>
  </si>
  <si>
    <t>Electricity, Geothermal (proxied by wind), medium voltage, losses not covered by GOs kWh Direct</t>
  </si>
  <si>
    <t>split_direct113</t>
  </si>
  <si>
    <t>Electricity, Nuclear, medium voltage, losses not covered by GOs kWh Direct</t>
  </si>
  <si>
    <t>split_direct114</t>
  </si>
  <si>
    <t>Electricity, Oil, medium voltage, losses not covered by GOs kWh Direct</t>
  </si>
  <si>
    <t>split_direct115</t>
  </si>
  <si>
    <t>Electricity, Natural gas, medium voltage, losses not covered by GOs kWh Direct</t>
  </si>
  <si>
    <t>split_direct116</t>
  </si>
  <si>
    <t>Electricity, Waste, medium voltage, losses not covered by GOs kWh Direct</t>
  </si>
  <si>
    <t>split_direct117</t>
  </si>
  <si>
    <t>Transport, passenger car, diesel, fleet average {CH} kg Direct</t>
  </si>
  <si>
    <t>Passenger</t>
  </si>
  <si>
    <t>split_direct118</t>
  </si>
  <si>
    <t>Transport, passenger car, gasoline, fleet average {CH} kg Direct</t>
  </si>
  <si>
    <t>split_direct119</t>
  </si>
  <si>
    <t>Transport, passenger car, battery electric, fleet average {CH} kWh Direct</t>
  </si>
  <si>
    <t>split_direct120</t>
  </si>
  <si>
    <t>Transport, passenger car, diesel, Large SUV, 2016, EURO-6ab {CH} kg Direct</t>
  </si>
  <si>
    <t>split_direct121</t>
  </si>
  <si>
    <t>Transport, passenger car, diesel, Large, 2016, EURO-6ab {CH} kg Direct</t>
  </si>
  <si>
    <t>split_direct122</t>
  </si>
  <si>
    <t>Transport, passenger car, diesel, Medium, 2016, EURO-6ab {CH} kg Direct</t>
  </si>
  <si>
    <t>split_direct123</t>
  </si>
  <si>
    <t>Transport, passenger car, diesel, Compact, 2016, EURO-6ab {CH} kg Direct</t>
  </si>
  <si>
    <t>split_direct124</t>
  </si>
  <si>
    <t>Transport, passenger car, gasoline, Large SUV, 2016, EURO-6ab {CH} kg Direct</t>
  </si>
  <si>
    <t>split_direct125</t>
  </si>
  <si>
    <t>Transport, passenger car, gasoline, Large, 2016, EURO-6ab {CH} kg Direct</t>
  </si>
  <si>
    <t>split_direct126</t>
  </si>
  <si>
    <t>Transport, passenger car, gasoline, Medium, 2016, EURO-6ab {CH} kg Direct</t>
  </si>
  <si>
    <t>split_direct127</t>
  </si>
  <si>
    <t>Transport, passenger car, gasoline, Compact, 2016, EURO-6ab {CH} kg Direct</t>
  </si>
  <si>
    <t>split_direct128</t>
  </si>
  <si>
    <t>Transport, passenger car, battery electric, NMC-622 battery, Large SUV, 2021 {CH} kWh Direct</t>
  </si>
  <si>
    <t>split_direct129</t>
  </si>
  <si>
    <t>Transport, passenger car, battery electric, NMC-622 battery, Large, 2021 {CH} kWh Direct</t>
  </si>
  <si>
    <t>split_direct130</t>
  </si>
  <si>
    <t>Transport, passenger car, battery electric, NMC-622 battery, Medium, 2021 {CH} kWh Direct</t>
  </si>
  <si>
    <t>split_direct131</t>
  </si>
  <si>
    <t>Transport, passenger car, battery electric, NMC-622 battery, Compact, 2021 {CH} kWh Direct</t>
  </si>
  <si>
    <t>split_direct132</t>
  </si>
  <si>
    <t>Transport, freight, lorry, diesel, 7.5t gross weight, fleet average, regional delivery {CH} kg Direct</t>
  </si>
  <si>
    <t>Freight</t>
  </si>
  <si>
    <t>split_direct133</t>
  </si>
  <si>
    <t>Transport, freight, lorry, diesel, 18t gross weight, fleet average, regional delivery {CH} kg Direct</t>
  </si>
  <si>
    <t>split_direct134</t>
  </si>
  <si>
    <t>Transport, freight, lorry, diesel, 26t gross weight, fleet average, regional delivery {CH} kg Direct</t>
  </si>
  <si>
    <t>split_direct135</t>
  </si>
  <si>
    <t>Transport, freight, lorry, diesel, 32t gross weight, fleet average, regional delivery {CH} kg Direct</t>
  </si>
  <si>
    <t>split_direct136</t>
  </si>
  <si>
    <t>Transport, freight, lorry, diesel, 40t gross weight, fleet average, regional delivery {CH} kg Direct</t>
  </si>
  <si>
    <t>split_direct137</t>
  </si>
  <si>
    <t>Transport, freight, lorry, battery electric, LFP battery, 18t gross weight, 2020, regional delivery {CH} kWh Direct</t>
  </si>
  <si>
    <t>split_direct138</t>
  </si>
  <si>
    <t>Transport, freight, lorry, battery electric, LFP battery, 26t gross weight, 2020, regional delivery {CH} kWh Direct</t>
  </si>
  <si>
    <t>split_direct139</t>
  </si>
  <si>
    <t>Transport, freight, lorry, battery electric, LFP battery, 32t gross weight, 2020, regional delivery {CH} kWh Direct</t>
  </si>
  <si>
    <t>split_direct140</t>
  </si>
  <si>
    <t>Transport, freight, lorry, battery electric, LFP battery, 40t gross weight, 2020, regional delivery {CH} kWh Direct</t>
  </si>
  <si>
    <t>split_direct141</t>
  </si>
  <si>
    <t>Transport, freight, lorry, battery electric, LFP battery, 7.5t gross weight, 2020, regional delivery {CH} kWh Direct</t>
  </si>
  <si>
    <t>split_direct142</t>
  </si>
  <si>
    <t>Transport, transoceanic freight ship {OCE} kg Direct</t>
  </si>
  <si>
    <t>split_direct143</t>
  </si>
  <si>
    <t>Transport, aircraft, freight {RER} kg Direct</t>
  </si>
  <si>
    <t>split_direct144</t>
  </si>
  <si>
    <t>Transport, passenger car, diesel, fleet average {CH} vkm Direct</t>
  </si>
  <si>
    <t>split_direct145</t>
  </si>
  <si>
    <t>Transport, passenger car, gasoline, fleet average {CH} vkm Direct</t>
  </si>
  <si>
    <t>split_direct146</t>
  </si>
  <si>
    <t>Transport, passenger car, battery electric, fleet average {CH} vkm Direct</t>
  </si>
  <si>
    <t>split_direct147</t>
  </si>
  <si>
    <t>Transport, passenger car, diesel, Large SUV, 2016, EURO-6ab {CH} vkm Direct</t>
  </si>
  <si>
    <t>split_direct148</t>
  </si>
  <si>
    <t>Transport, passenger car, diesel, Large, 2016, EURO-6ab {CH} vkm Direct</t>
  </si>
  <si>
    <t>split_direct149</t>
  </si>
  <si>
    <t>Transport, passenger car, diesel, Medium, 2016, EURO-6ab {CH} vkm Direct</t>
  </si>
  <si>
    <t>split_direct150</t>
  </si>
  <si>
    <t>Transport, passenger car, diesel, Compact, 2016, EURO-6ab {CH} vkm Direct</t>
  </si>
  <si>
    <t>split_direct151</t>
  </si>
  <si>
    <t>Transport, passenger car, gasoline, Large SUV, 2016, EURO-6ab {CH} vkm Direct</t>
  </si>
  <si>
    <t>split_direct152</t>
  </si>
  <si>
    <t>Transport, passenger car, gasoline, Large, 2016, EURO-6ab {CH} vkm Direct</t>
  </si>
  <si>
    <t>split_direct153</t>
  </si>
  <si>
    <t>Transport, passenger car, gasoline, Medium, 2016, EURO-6ab {CH} vkm Direct</t>
  </si>
  <si>
    <t>split_direct154</t>
  </si>
  <si>
    <t>Transport, passenger car, gasoline, Compact, 2016, EURO-6ab {CH} vkm Direct</t>
  </si>
  <si>
    <t>split_direct155</t>
  </si>
  <si>
    <t>Transport, passenger car, battery electric, NMC-622 battery, Large SUV, 2021 {CH} vkm Direct</t>
  </si>
  <si>
    <t>split_direct156</t>
  </si>
  <si>
    <t>Transport, passenger car, battery electric, NMC-622 battery, Large, 2021 {CH} vkm Direct</t>
  </si>
  <si>
    <t>split_direct157</t>
  </si>
  <si>
    <t>Transport, passenger car, battery electric, NMC-622 battery, Medium, 2021 {CH} vkm Direct</t>
  </si>
  <si>
    <t>split_direct158</t>
  </si>
  <si>
    <t>Transport, passenger car, battery electric, NMC-622 battery, Compact, 2021 {CH} vkm Direct</t>
  </si>
  <si>
    <t>split_direct159</t>
  </si>
  <si>
    <t>Transport, freight, lorry, diesel, 7.5t gross weight, fleet average, regional delivery {CH} tkm Direct</t>
  </si>
  <si>
    <t>split_direct160</t>
  </si>
  <si>
    <t>Transport, freight, lorry, diesel, 18t gross weight, fleet average, regional delivery {CH} tkm Direct</t>
  </si>
  <si>
    <t>split_direct161</t>
  </si>
  <si>
    <t>Transport, freight, lorry, diesel, 26t gross weight, fleet average, regional delivery {CH} tkm Direct</t>
  </si>
  <si>
    <t>split_direct162</t>
  </si>
  <si>
    <t>Transport, freight, lorry, diesel, 32t gross weight, fleet average, regional delivery {CH} tkm Direct</t>
  </si>
  <si>
    <t>split_direct163</t>
  </si>
  <si>
    <t>Transport, freight, lorry, diesel, 40t gross weight, fleet average, regional delivery {CH} tkm Direct</t>
  </si>
  <si>
    <t>split_direct164</t>
  </si>
  <si>
    <t>Transport, freight, lorry, battery electric, LFP battery, 18t gross weight, 2020, regional delivery {CH} tkm Direct</t>
  </si>
  <si>
    <t>split_direct165</t>
  </si>
  <si>
    <t>Transport, freight, lorry, battery electric, LFP battery, 26t gross weight, 2020, regional delivery {CH} tkm Direct</t>
  </si>
  <si>
    <t>split_direct166</t>
  </si>
  <si>
    <t>Transport, freight, lorry, battery electric, LFP battery, 32t gross weight, 2020, regional delivery {CH} tkm Direct</t>
  </si>
  <si>
    <t>split_direct167</t>
  </si>
  <si>
    <t>Transport, freight, lorry, battery electric, LFP battery, 40t gross weight, 2020, regional delivery {CH} tkm Direct</t>
  </si>
  <si>
    <t>split_direct168</t>
  </si>
  <si>
    <t>Transport, freight, lorry, battery electric, LFP battery, 7.5t gross weight, 2020, regional delivery {CH} tkm Direct</t>
  </si>
  <si>
    <t>split_direct169</t>
  </si>
  <si>
    <t>Transport, transoceanic freight ship {OCE} tkm Direct</t>
  </si>
  <si>
    <t>split_direct170</t>
  </si>
  <si>
    <t>Transport, aircraft, freight {RER} tkm Direct</t>
  </si>
  <si>
    <t>split_direct171</t>
  </si>
  <si>
    <t>Light fuel oil, burned in boiler 100kW condensing, non-modulating {CH} MJ Indirect</t>
  </si>
  <si>
    <t>Indirect</t>
  </si>
  <si>
    <t>split_indirect1</t>
  </si>
  <si>
    <t>Heavy fuel oil, burned in industrial furnace 1MW, non-modulating {CH} MJ Indirect</t>
  </si>
  <si>
    <t>split_indirect2</t>
  </si>
  <si>
    <t>Propane,butane, burned in boiler condensing modulating 50kW {CH} MJ Indirect</t>
  </si>
  <si>
    <t>split_indirect3</t>
  </si>
  <si>
    <t>Petroleum coke, burned in refinery furnace {RER} MJ Indirect</t>
  </si>
  <si>
    <t>split_indirect4</t>
  </si>
  <si>
    <t>Hard coal coke, burned in stove 5-15kW {RER} MJ Indirect</t>
  </si>
  <si>
    <t>split_indirect5</t>
  </si>
  <si>
    <t>Hard coal briquette, burned in stove 5-15kW {RER} MJ Indirect</t>
  </si>
  <si>
    <t>split_indirect6</t>
  </si>
  <si>
    <t>Lignite briquette, burned in stove 5-15kW {RER} MJ Indirect</t>
  </si>
  <si>
    <t>split_indirect7</t>
  </si>
  <si>
    <t>Natural gas, burned in boiler condensing modulating 50kW {CH} MJ Indirect</t>
  </si>
  <si>
    <t>split_indirect8</t>
  </si>
  <si>
    <t>Biomethane, burned in boiler condensing modulating 50kW {CH} MJ Indirect</t>
  </si>
  <si>
    <t>split_indirect9</t>
  </si>
  <si>
    <t>Logs, mixed, burned in furnace 50kW {CH} MJ Indirect</t>
  </si>
  <si>
    <t>split_indirect10</t>
  </si>
  <si>
    <t>Wood chips, from forest, hardwood, burned in furnace 50kW {CH} MJ Indirect</t>
  </si>
  <si>
    <t>split_indirect11</t>
  </si>
  <si>
    <t>Pellets, mixed, burned in furnace 50kW {CH} MJ Indirect</t>
  </si>
  <si>
    <t>split_indirect12</t>
  </si>
  <si>
    <t>Diesel, burned in diesel-electric generating set {GLO} MJ Indirect</t>
  </si>
  <si>
    <t>split_indirect13</t>
  </si>
  <si>
    <t>Waste in MWI, burned MJ Indirect</t>
  </si>
  <si>
    <t>split_indirect14</t>
  </si>
  <si>
    <t>Waste oil, burned MJ Indirect</t>
  </si>
  <si>
    <t>split_indirect15</t>
  </si>
  <si>
    <t>Plastics, burned MJ Indirect</t>
  </si>
  <si>
    <t>split_indirect16</t>
  </si>
  <si>
    <t>Waste tyres, burned MJ Indirect</t>
  </si>
  <si>
    <t>split_indirect17</t>
  </si>
  <si>
    <t>Sawdust, burned MJ Indirect</t>
  </si>
  <si>
    <t>split_indirect18</t>
  </si>
  <si>
    <t>Animal meal, burned MJ Indirect</t>
  </si>
  <si>
    <t>split_indirect19</t>
  </si>
  <si>
    <t>Methane, burned MJ Indirect</t>
  </si>
  <si>
    <t>split_indirect20</t>
  </si>
  <si>
    <t>Ethane, burned MJ Indirect</t>
  </si>
  <si>
    <t>split_indirect21</t>
  </si>
  <si>
    <t>Propane, burned MJ Indirect</t>
  </si>
  <si>
    <t>split_indirect22</t>
  </si>
  <si>
    <t>Butane, burned MJ Indirect</t>
  </si>
  <si>
    <t>split_indirect23</t>
  </si>
  <si>
    <t>Ethanol, burned MJ Indirect</t>
  </si>
  <si>
    <t>split_indirect24</t>
  </si>
  <si>
    <t>Methanol, burned MJ Indirect</t>
  </si>
  <si>
    <t>split_indirect25</t>
  </si>
  <si>
    <t>Light fuel oil, burned in boiler 100kW condensing, non-modulating {CH} kg Indirect</t>
  </si>
  <si>
    <t>split_indirect26</t>
  </si>
  <si>
    <t>Heavy fuel oil, burned in industrial furnace 1MW, non-modulating {CH} kg Indirect</t>
  </si>
  <si>
    <t>split_indirect27</t>
  </si>
  <si>
    <t>Propane,butane, burned in boiler condensing modulating 50kW {CH} kg Indirect</t>
  </si>
  <si>
    <t>split_indirect28</t>
  </si>
  <si>
    <t>Petroleum coke, burned in refinery furnace {RER} kg Indirect</t>
  </si>
  <si>
    <t>split_indirect29</t>
  </si>
  <si>
    <t>Hard coal coke, burned in stove 5-15kW {RER} kg Indirect</t>
  </si>
  <si>
    <t>split_indirect30</t>
  </si>
  <si>
    <t>Hard coal briquette, burned in stove 5-15kW {RER} kg Indirect</t>
  </si>
  <si>
    <t>split_indirect31</t>
  </si>
  <si>
    <t>Lignite briquette, burned in stove 5-15kW {RER} kg Indirect</t>
  </si>
  <si>
    <t>split_indirect32</t>
  </si>
  <si>
    <t>Natural gas, burned in boiler condensing modulating 50kW {CH} kg Indirect</t>
  </si>
  <si>
    <t>split_indirect33</t>
  </si>
  <si>
    <t>Biomethane, burned in boiler condensing modulating 50kW {CH} kg Indirect</t>
  </si>
  <si>
    <t>split_indirect34</t>
  </si>
  <si>
    <t>Logs, mixed, burned in furnace 50kW {CH} kg Indirect</t>
  </si>
  <si>
    <t>split_indirect35</t>
  </si>
  <si>
    <t>Wood chips, from forest, hardwood, burned in furnace 50kW {CH} kg Indirect</t>
  </si>
  <si>
    <t>split_indirect36</t>
  </si>
  <si>
    <t>Pellets, mixed, burned in furnace 50kW {CH} kg Indirect</t>
  </si>
  <si>
    <t>split_indirect37</t>
  </si>
  <si>
    <t>Diesel, burned in diesel-electric generating set {GLO} kg Indirect</t>
  </si>
  <si>
    <t>split_indirect38</t>
  </si>
  <si>
    <t>Waste in MWI, burned kg Indirect</t>
  </si>
  <si>
    <t>split_indirect39</t>
  </si>
  <si>
    <t>Waste oil, burned kg Indirect</t>
  </si>
  <si>
    <t>split_indirect40</t>
  </si>
  <si>
    <t>Plastics, burned kg Indirect</t>
  </si>
  <si>
    <t>split_indirect41</t>
  </si>
  <si>
    <t>Waste tyres, burned kg Indirect</t>
  </si>
  <si>
    <t>split_indirect42</t>
  </si>
  <si>
    <t>Sawdust, burned kg Indirect</t>
  </si>
  <si>
    <t>split_indirect43</t>
  </si>
  <si>
    <t>Animal meal, burned kg Indirect</t>
  </si>
  <si>
    <t>split_indirect44</t>
  </si>
  <si>
    <t>Methane, burned kg Indirect</t>
  </si>
  <si>
    <t>split_indirect45</t>
  </si>
  <si>
    <t>Ethane, burned kg Indirect</t>
  </si>
  <si>
    <t>split_indirect46</t>
  </si>
  <si>
    <t>Propane, burned kg Indirect</t>
  </si>
  <si>
    <t>split_indirect47</t>
  </si>
  <si>
    <t>Butane, burned kg Indirect</t>
  </si>
  <si>
    <t>split_indirect48</t>
  </si>
  <si>
    <t>Ethanol, burned kg Indirect</t>
  </si>
  <si>
    <t>split_indirect49</t>
  </si>
  <si>
    <t>Methanol, burned kg Indirect</t>
  </si>
  <si>
    <t>split_indirect50</t>
  </si>
  <si>
    <t>Light fuel oil, burned in boiler 100kW condensing, non-modulating {CH} l Indirect</t>
  </si>
  <si>
    <t>split_indirect51</t>
  </si>
  <si>
    <t>Heavy fuel oil, burned in industrial furnace 1MW, non-modulating {CH} l Indirect</t>
  </si>
  <si>
    <t>split_indirect52</t>
  </si>
  <si>
    <t>Propane,butane, burned in boiler condensing modulating 50kW {CH} l Indirect</t>
  </si>
  <si>
    <t>split_indirect53</t>
  </si>
  <si>
    <t>split_indirect54</t>
  </si>
  <si>
    <t>split_indirect55</t>
  </si>
  <si>
    <t>Diesel, burned in diesel-electric generating set {GLO} l Indirect</t>
  </si>
  <si>
    <t>split_indirect56</t>
  </si>
  <si>
    <t>split_indirect57</t>
  </si>
  <si>
    <t>split_indirect58</t>
  </si>
  <si>
    <t>Propane, burned l Indirect</t>
  </si>
  <si>
    <t>split_indirect59</t>
  </si>
  <si>
    <t>Butane, burned l Indirect</t>
  </si>
  <si>
    <t>split_indirect60</t>
  </si>
  <si>
    <t>Ethanol, burned l Indirect</t>
  </si>
  <si>
    <t>split_indirect61</t>
  </si>
  <si>
    <t>Methanol, burned l Indirect</t>
  </si>
  <si>
    <t>split_indirect62</t>
  </si>
  <si>
    <t>District heat, at consumer, swiss average, allocation exergy {CH} MJ Indirect</t>
  </si>
  <si>
    <t>split_indirect63</t>
  </si>
  <si>
    <t>District heat, at consumer, heat from nuclear power plant, allocation exergy {CH} MJ Indirect</t>
  </si>
  <si>
    <t>split_indirect64</t>
  </si>
  <si>
    <t>District heat, at consumer, light fuel oil in industrial furnace 1MW {CH} MJ Indirect</t>
  </si>
  <si>
    <t>split_indirect65</t>
  </si>
  <si>
    <t>District heat, at consumer, natural gas in industrial furnace 1MW {CH} MJ Indirect</t>
  </si>
  <si>
    <t>split_indirect66</t>
  </si>
  <si>
    <t>District heat, at consumer, wood chips in industrial furnace 1MW {CH} MJ Indirect</t>
  </si>
  <si>
    <t>split_indirect67</t>
  </si>
  <si>
    <t>District heat, at consumer, wood chips cogen 1MWth, allocation exergy {CH} MJ Indirect</t>
  </si>
  <si>
    <t>split_indirect68</t>
  </si>
  <si>
    <t>District heat, from sewage heat exchanger {CH} MJ Indirect</t>
  </si>
  <si>
    <t>split_indirect69</t>
  </si>
  <si>
    <t>District heat, at consumer, ground water heat pump 50kW {CH} MJ Indirect</t>
  </si>
  <si>
    <t>split_indirect70</t>
  </si>
  <si>
    <t>District heat, at consumer, borehole heat pump 50kW {CH} MJ Indirect</t>
  </si>
  <si>
    <t>split_indirect71</t>
  </si>
  <si>
    <t>District heat, at consumer, waste from municipal waste incineration {CH} MJ Indirect</t>
  </si>
  <si>
    <t>split_indirect72</t>
  </si>
  <si>
    <t>District heat, at consumer, diesel cogen 1MWth, allocation exergy {CH} MJ Indirect</t>
  </si>
  <si>
    <t>split_indirect73</t>
  </si>
  <si>
    <t>District heat, at consumer, natural gas cogen 1MWth, allocation exergy {CH} MJ Indirect</t>
  </si>
  <si>
    <t>split_indirect74</t>
  </si>
  <si>
    <t>District heat, at consumer, biomethane cogen 1MWth, allocation exergy {CH} MJ Indirect</t>
  </si>
  <si>
    <t>split_indirect75</t>
  </si>
  <si>
    <t>Steam, for chemical processes, at plant {RER} MJ Indirect</t>
  </si>
  <si>
    <t>split_indirect76</t>
  </si>
  <si>
    <t>Steam, for chemical processes, at plant {RER} kg Indirect</t>
  </si>
  <si>
    <t>split_indirect77</t>
  </si>
  <si>
    <t>Heat, residential, by combustion of hydrogen using boiler, distributed by pipeline, produced by Electrolysis, AEC using electricity from grid {CH} MJ Indirect</t>
  </si>
  <si>
    <t>split_indirect78</t>
  </si>
  <si>
    <t>Electricity, low voltage, at grid {CH} kWh Indirect</t>
  </si>
  <si>
    <t>split_indirect79</t>
  </si>
  <si>
    <t>Electricity, medium voltage, at grid {CH} kWh Indirect</t>
  </si>
  <si>
    <t>split_indirect80</t>
  </si>
  <si>
    <t>Electricity, Hydropower, low voltage, losses covered by GOs kWh Indirect</t>
  </si>
  <si>
    <t>split_indirect82</t>
  </si>
  <si>
    <t>Electricity, Solar, low voltage, losses covered by GOs kWh Indirect</t>
  </si>
  <si>
    <t>split_indirect83</t>
  </si>
  <si>
    <t>Electricity, Wind, low voltage, losses covered by GOs kWh Indirect</t>
  </si>
  <si>
    <t>split_indirect84</t>
  </si>
  <si>
    <t>Electricity, Biomass, low voltage, losses covered by GOs kWh Indirect</t>
  </si>
  <si>
    <t>split_indirect85</t>
  </si>
  <si>
    <t>Electricity, Geothermal (proxied by wind), low voltage, losses covered by GOs kWh Indirect</t>
  </si>
  <si>
    <t>split_indirect86</t>
  </si>
  <si>
    <t>Electricity, Nuclear, low voltage, losses covered by GOs kWh Indirect</t>
  </si>
  <si>
    <t>split_indirect87</t>
  </si>
  <si>
    <t>Electricity, Oil, low voltage, losses covered by GOs kWh Indirect</t>
  </si>
  <si>
    <t>split_indirect88</t>
  </si>
  <si>
    <t>Electricity, Natural gas, low voltage, losses covered by GOs kWh Indirect</t>
  </si>
  <si>
    <t>split_indirect89</t>
  </si>
  <si>
    <t>Electricity, Waste, low voltage, losses covered by GOs kWh Indirect</t>
  </si>
  <si>
    <t>split_indirect90</t>
  </si>
  <si>
    <t>Electricity, Hydropower, low voltage, losses not covered by GOs kWh Indirect</t>
  </si>
  <si>
    <t>split_indirect91</t>
  </si>
  <si>
    <t>Electricity, Solar, low voltage, losses not covered by GOs kWh Indirect</t>
  </si>
  <si>
    <t>split_indirect92</t>
  </si>
  <si>
    <t>Electricity, Wind, low voltage, losses not covered by GOs kWh Indirect</t>
  </si>
  <si>
    <t>split_indirect93</t>
  </si>
  <si>
    <t>Electricity, Biomass, low voltage, losses not covered by GOs kWh Indirect</t>
  </si>
  <si>
    <t>split_indirect94</t>
  </si>
  <si>
    <t>Electricity, Geothermal (proxied by wind), low voltage, losses not covered by GOs kWh Indirect</t>
  </si>
  <si>
    <t>split_indirect95</t>
  </si>
  <si>
    <t>Electricity, Nuclear, low voltage, losses not covered by GOs kWh Indirect</t>
  </si>
  <si>
    <t>split_indirect96</t>
  </si>
  <si>
    <t>Electricity, Oil, low voltage, losses not covered by GOs kWh Indirect</t>
  </si>
  <si>
    <t>split_indirect97</t>
  </si>
  <si>
    <t>Electricity, Natural gas, low voltage, losses not covered by GOs kWh Indirect</t>
  </si>
  <si>
    <t>split_indirect98</t>
  </si>
  <si>
    <t>Electricity, Waste, low voltage, losses not covered by GOs kWh Indirect</t>
  </si>
  <si>
    <t>split_indirect99</t>
  </si>
  <si>
    <t>Electricity, Hydropower, medium voltage, losses covered by GOs kWh Indirect</t>
  </si>
  <si>
    <t>split_indirect100</t>
  </si>
  <si>
    <t>Electricity, Solar, medium voltage, losses covered by GOs kWh Indirect</t>
  </si>
  <si>
    <t>split_indirect101</t>
  </si>
  <si>
    <t>Electricity, Wind, medium voltage, losses covered by GOs kWh Indirect</t>
  </si>
  <si>
    <t>split_indirect102</t>
  </si>
  <si>
    <t>Electricity, Biomass, medium voltage, losses covered by GOs kWh Indirect</t>
  </si>
  <si>
    <t>split_indirect103</t>
  </si>
  <si>
    <t>Electricity, Geothermal (proxied by wind), medium voltage, losses covered by GOs kWh Indirect</t>
  </si>
  <si>
    <t>split_indirect104</t>
  </si>
  <si>
    <t>Electricity, Nuclear, medium voltage, losses covered by GOs kWh Indirect</t>
  </si>
  <si>
    <t>split_indirect105</t>
  </si>
  <si>
    <t>Electricity, Oil, medium voltage, losses covered by GOs kWh Indirect</t>
  </si>
  <si>
    <t>split_indirect106</t>
  </si>
  <si>
    <t>Electricity, Natural gas, medium voltage, losses covered by GOs kWh Indirect</t>
  </si>
  <si>
    <t>split_indirect107</t>
  </si>
  <si>
    <t>Electricity, Waste, medium voltage, losses covered by GOs kWh Indirect</t>
  </si>
  <si>
    <t>split_indirect108</t>
  </si>
  <si>
    <t>Electricity, Hydropower, medium voltage, losses not covered by GOs kWh Indirect</t>
  </si>
  <si>
    <t>split_indirect109</t>
  </si>
  <si>
    <t>Electricity, Solar, medium voltage, losses not covered by GOs kWh Indirect</t>
  </si>
  <si>
    <t>split_indirect110</t>
  </si>
  <si>
    <t>Electricity, Wind, medium voltage, losses not covered by GOs kWh Indirect</t>
  </si>
  <si>
    <t>split_indirect111</t>
  </si>
  <si>
    <t>Electricity, Biomass, medium voltage, losses not covered by GOs kWh Indirect</t>
  </si>
  <si>
    <t>split_indirect112</t>
  </si>
  <si>
    <t>Electricity, Geothermal (proxied by wind), medium voltage, losses not covered by GOs kWh Indirect</t>
  </si>
  <si>
    <t>split_indirect113</t>
  </si>
  <si>
    <t>Electricity, Nuclear, medium voltage, losses not covered by GOs kWh Indirect</t>
  </si>
  <si>
    <t>split_indirect114</t>
  </si>
  <si>
    <t>Electricity, Oil, medium voltage, losses not covered by GOs kWh Indirect</t>
  </si>
  <si>
    <t>split_indirect115</t>
  </si>
  <si>
    <t>Electricity, Natural gas, medium voltage, losses not covered by GOs kWh Indirect</t>
  </si>
  <si>
    <t>split_indirect116</t>
  </si>
  <si>
    <t>Electricity, Waste, medium voltage, losses not covered by GOs kWh Indirect</t>
  </si>
  <si>
    <t>split_indirect117</t>
  </si>
  <si>
    <t>Transport, passenger car, diesel, fleet average {CH} kg Indirect</t>
  </si>
  <si>
    <t>split_indirect118</t>
  </si>
  <si>
    <t>Transport, passenger car, gasoline, fleet average {CH} kg Indirect</t>
  </si>
  <si>
    <t>split_indirect119</t>
  </si>
  <si>
    <t>Transport, passenger car, battery electric, fleet average {CH} kWh Indirect</t>
  </si>
  <si>
    <t>split_indirect120</t>
  </si>
  <si>
    <t>Transport, passenger car, diesel, Large SUV, 2016, EURO-6ab {CH} kg Indirect</t>
  </si>
  <si>
    <t>split_indirect121</t>
  </si>
  <si>
    <t>Transport, passenger car, diesel, Large, 2016, EURO-6ab {CH} kg Indirect</t>
  </si>
  <si>
    <t>split_indirect122</t>
  </si>
  <si>
    <t>Transport, passenger car, diesel, Medium, 2016, EURO-6ab {CH} kg Indirect</t>
  </si>
  <si>
    <t>split_indirect123</t>
  </si>
  <si>
    <t>Transport, passenger car, diesel, Compact, 2016, EURO-6ab {CH} kg Indirect</t>
  </si>
  <si>
    <t>split_indirect124</t>
  </si>
  <si>
    <t>Transport, passenger car, gasoline, Large SUV, 2016, EURO-6ab {CH} kg Indirect</t>
  </si>
  <si>
    <t>split_indirect125</t>
  </si>
  <si>
    <t>Transport, passenger car, gasoline, Large, 2016, EURO-6ab {CH} kg Indirect</t>
  </si>
  <si>
    <t>split_indirect126</t>
  </si>
  <si>
    <t>Transport, passenger car, gasoline, Medium, 2016, EURO-6ab {CH} kg Indirect</t>
  </si>
  <si>
    <t>split_indirect127</t>
  </si>
  <si>
    <t>Transport, passenger car, gasoline, Compact, 2016, EURO-6ab {CH} kg Indirect</t>
  </si>
  <si>
    <t>split_indirect128</t>
  </si>
  <si>
    <t>Transport, passenger car, battery electric, NMC-622 battery, Large SUV, 2021 {CH} kWh Indirect</t>
  </si>
  <si>
    <t>split_indirect129</t>
  </si>
  <si>
    <t>Transport, passenger car, battery electric, NMC-622 battery, Large, 2021 {CH} kWh Indirect</t>
  </si>
  <si>
    <t>split_indirect130</t>
  </si>
  <si>
    <t>Transport, passenger car, battery electric, NMC-622 battery, Medium, 2021 {CH} kWh Indirect</t>
  </si>
  <si>
    <t>split_indirect131</t>
  </si>
  <si>
    <t>Transport, passenger car, battery electric, NMC-622 battery, Compact, 2021 {CH} kWh Indirect</t>
  </si>
  <si>
    <t>split_indirect132</t>
  </si>
  <si>
    <t>Transport, freight, lorry, diesel, 7.5t gross weight, fleet average, regional delivery {CH} kg Indirect</t>
  </si>
  <si>
    <t>split_indirect133</t>
  </si>
  <si>
    <t>Transport, freight, lorry, diesel, 18t gross weight, fleet average, regional delivery {CH} kg Indirect</t>
  </si>
  <si>
    <t>split_indirect134</t>
  </si>
  <si>
    <t>Transport, freight, lorry, diesel, 26t gross weight, fleet average, regional delivery {CH} kg Indirect</t>
  </si>
  <si>
    <t>split_indirect135</t>
  </si>
  <si>
    <t>Transport, freight, lorry, diesel, 32t gross weight, fleet average, regional delivery {CH} kg Indirect</t>
  </si>
  <si>
    <t>split_indirect136</t>
  </si>
  <si>
    <t>Transport, freight, lorry, diesel, 40t gross weight, fleet average, regional delivery {CH} kg Indirect</t>
  </si>
  <si>
    <t>split_indirect137</t>
  </si>
  <si>
    <t>Transport, freight, lorry, battery electric, LFP battery, 18t gross weight, 2020, regional delivery {CH} kWh Indirect</t>
  </si>
  <si>
    <t>split_indirect138</t>
  </si>
  <si>
    <t>Transport, freight, lorry, battery electric, LFP battery, 26t gross weight, 2020, regional delivery {CH} kWh Indirect</t>
  </si>
  <si>
    <t>split_indirect139</t>
  </si>
  <si>
    <t>Transport, freight, lorry, battery electric, LFP battery, 32t gross weight, 2020, regional delivery {CH} kWh Indirect</t>
  </si>
  <si>
    <t>split_indirect140</t>
  </si>
  <si>
    <t>Transport, freight, lorry, battery electric, LFP battery, 40t gross weight, 2020, regional delivery {CH} kWh Indirect</t>
  </si>
  <si>
    <t>split_indirect141</t>
  </si>
  <si>
    <t>Transport, freight, lorry, battery electric, LFP battery, 7.5t gross weight, 2020, regional delivery {CH} kWh Indirect</t>
  </si>
  <si>
    <t>split_indirect142</t>
  </si>
  <si>
    <t>Transport, transoceanic freight ship {OCE} kg Indirect</t>
  </si>
  <si>
    <t>split_indirect143</t>
  </si>
  <si>
    <t>Transport, aircraft, freight {RER} kg Indirect</t>
  </si>
  <si>
    <t>split_indirect144</t>
  </si>
  <si>
    <t>Transport, passenger car, diesel, fleet average {CH} vkm Indirect</t>
  </si>
  <si>
    <t>split_indirect145</t>
  </si>
  <si>
    <t>Transport, passenger car, gasoline, fleet average {CH} vkm Indirect</t>
  </si>
  <si>
    <t>split_indirect146</t>
  </si>
  <si>
    <t>Transport, passenger car, battery electric, fleet average {CH} vkm Indirect</t>
  </si>
  <si>
    <t>split_indirect147</t>
  </si>
  <si>
    <t>Transport, passenger car, diesel, Large SUV, 2016, EURO-6ab {CH} vkm Indirect</t>
  </si>
  <si>
    <t>split_indirect148</t>
  </si>
  <si>
    <t>Transport, passenger car, diesel, Large, 2016, EURO-6ab {CH} vkm Indirect</t>
  </si>
  <si>
    <t>split_indirect149</t>
  </si>
  <si>
    <t>Transport, passenger car, diesel, Medium, 2016, EURO-6ab {CH} vkm Indirect</t>
  </si>
  <si>
    <t>split_indirect150</t>
  </si>
  <si>
    <t>Transport, passenger car, diesel, Compact, 2016, EURO-6ab {CH} vkm Indirect</t>
  </si>
  <si>
    <t>split_indirect151</t>
  </si>
  <si>
    <t>Transport, passenger car, gasoline, Large SUV, 2016, EURO-6ab {CH} vkm Indirect</t>
  </si>
  <si>
    <t>split_indirect152</t>
  </si>
  <si>
    <t>Transport, passenger car, gasoline, Large, 2016, EURO-6ab {CH} vkm Indirect</t>
  </si>
  <si>
    <t>split_indirect153</t>
  </si>
  <si>
    <t>Transport, passenger car, gasoline, Medium, 2016, EURO-6ab {CH} vkm Indirect</t>
  </si>
  <si>
    <t>split_indirect154</t>
  </si>
  <si>
    <t>Transport, passenger car, gasoline, Compact, 2016, EURO-6ab {CH} vkm Indirect</t>
  </si>
  <si>
    <t>split_indirect155</t>
  </si>
  <si>
    <t>Transport, passenger car, battery electric, NMC-622 battery, Large SUV, 2021 {CH} vkm Indirect</t>
  </si>
  <si>
    <t>split_indirect156</t>
  </si>
  <si>
    <t>Transport, passenger car, battery electric, NMC-622 battery, Large, 2021 {CH} vkm Indirect</t>
  </si>
  <si>
    <t>split_indirect157</t>
  </si>
  <si>
    <t>Transport, passenger car, battery electric, NMC-622 battery, Medium, 2021 {CH} vkm Indirect</t>
  </si>
  <si>
    <t>split_indirect158</t>
  </si>
  <si>
    <t>Transport, passenger car, battery electric, NMC-622 battery, Compact, 2021 {CH} vkm Indirect</t>
  </si>
  <si>
    <t>split_indirect159</t>
  </si>
  <si>
    <t>Transport, freight, lorry, diesel, 7.5t gross weight, fleet average, regional delivery {CH} tkm Indirect</t>
  </si>
  <si>
    <t>split_indirect160</t>
  </si>
  <si>
    <t>Transport, freight, lorry, diesel, 18t gross weight, fleet average, regional delivery {CH} tkm Indirect</t>
  </si>
  <si>
    <t>split_indirect161</t>
  </si>
  <si>
    <t>Transport, freight, lorry, diesel, 26t gross weight, fleet average, regional delivery {CH} tkm Indirect</t>
  </si>
  <si>
    <t>split_indirect162</t>
  </si>
  <si>
    <t>Transport, freight, lorry, diesel, 32t gross weight, fleet average, regional delivery {CH} tkm Indirect</t>
  </si>
  <si>
    <t>split_indirect163</t>
  </si>
  <si>
    <t>Transport, freight, lorry, diesel, 40t gross weight, fleet average, regional delivery {CH} tkm Indirect</t>
  </si>
  <si>
    <t>split_indirect164</t>
  </si>
  <si>
    <t>Transport, freight, lorry, battery electric, LFP battery, 18t gross weight, 2020, regional delivery {CH} tkm Indirect</t>
  </si>
  <si>
    <t>split_indirect165</t>
  </si>
  <si>
    <t>Transport, freight, lorry, battery electric, LFP battery, 26t gross weight, 2020, regional delivery {CH} tkm Indirect</t>
  </si>
  <si>
    <t>split_indirect166</t>
  </si>
  <si>
    <t>Transport, freight, lorry, battery electric, LFP battery, 32t gross weight, 2020, regional delivery {CH} tkm Indirect</t>
  </si>
  <si>
    <t>split_indirect167</t>
  </si>
  <si>
    <t>Transport, freight, lorry, battery electric, LFP battery, 40t gross weight, 2020, regional delivery {CH} tkm Indirect</t>
  </si>
  <si>
    <t>split_indirect168</t>
  </si>
  <si>
    <t>Transport, freight, lorry, battery electric, LFP battery, 7.5t gross weight, 2020, regional delivery {CH} tkm Indirect</t>
  </si>
  <si>
    <t>split_indirect169</t>
  </si>
  <si>
    <t>Transport, transoceanic freight ship {OCE} tkm Indirect</t>
  </si>
  <si>
    <t>split_indirect170</t>
  </si>
  <si>
    <t>Transport, aircraft, freight {RER} tkm Indirect</t>
  </si>
  <si>
    <t>split_indirect171</t>
  </si>
  <si>
    <t>emission1</t>
  </si>
  <si>
    <t>Selection of emissions for UBP-Calculation</t>
  </si>
  <si>
    <t>emission2</t>
  </si>
  <si>
    <t>emission3</t>
  </si>
  <si>
    <t>emission4</t>
  </si>
  <si>
    <t>emission5</t>
  </si>
  <si>
    <t>emission6</t>
  </si>
  <si>
    <t>emission7</t>
  </si>
  <si>
    <t>emission8</t>
  </si>
  <si>
    <t>emission9</t>
  </si>
  <si>
    <t>emission10</t>
  </si>
  <si>
    <t>emission11</t>
  </si>
  <si>
    <t>emission12</t>
  </si>
  <si>
    <t>emission13</t>
  </si>
  <si>
    <t>emission14</t>
  </si>
  <si>
    <t>emission15</t>
  </si>
  <si>
    <t>emission16</t>
  </si>
  <si>
    <t>emission17</t>
  </si>
  <si>
    <t>emission18</t>
  </si>
  <si>
    <t>emission19</t>
  </si>
  <si>
    <t>emission20</t>
  </si>
  <si>
    <t>emission21</t>
  </si>
  <si>
    <t>emission22</t>
  </si>
  <si>
    <t>emission23</t>
  </si>
  <si>
    <t>emission24</t>
  </si>
  <si>
    <t>emission25</t>
  </si>
  <si>
    <t>emission26</t>
  </si>
  <si>
    <t>emission27</t>
  </si>
  <si>
    <t>emission28</t>
  </si>
  <si>
    <t>emission29</t>
  </si>
  <si>
    <t>emission30</t>
  </si>
  <si>
    <t>emission31</t>
  </si>
  <si>
    <t>emission32</t>
  </si>
  <si>
    <t>emission33</t>
  </si>
  <si>
    <t>emission34</t>
  </si>
  <si>
    <t>emission35</t>
  </si>
  <si>
    <t>emission36</t>
  </si>
  <si>
    <t>emission37</t>
  </si>
  <si>
    <t>emission38</t>
  </si>
  <si>
    <t>emission39</t>
  </si>
  <si>
    <t>emission40</t>
  </si>
  <si>
    <t>emission41</t>
  </si>
  <si>
    <t>emission42</t>
  </si>
  <si>
    <t>emission43</t>
  </si>
  <si>
    <t>emission44</t>
  </si>
  <si>
    <t>emission45</t>
  </si>
  <si>
    <t>emission46</t>
  </si>
  <si>
    <t>emission47</t>
  </si>
  <si>
    <t>emission48</t>
  </si>
  <si>
    <t>emission49</t>
  </si>
  <si>
    <t>emission50</t>
  </si>
  <si>
    <t>emission51</t>
  </si>
  <si>
    <t>emission52</t>
  </si>
  <si>
    <t>emission53</t>
  </si>
  <si>
    <t>emission54</t>
  </si>
  <si>
    <t>BAFU:2025</t>
  </si>
  <si>
    <t>[sulfonyl]urea-compounds, at regional storehouse {CH}</t>
  </si>
  <si>
    <t>chemicals\pesticides</t>
  </si>
  <si>
    <t>78204e1d-114d-3e54-83a8-c101f18609cd</t>
  </si>
  <si>
    <t>[sulfonyl]urea-compounds, at regional storehouse {RER}</t>
  </si>
  <si>
    <t>96a7e433-a44f-326d-8b79-5163efae5b5e</t>
  </si>
  <si>
    <t>[thio]carbamate-compounds, at regional storehouse {CH}</t>
  </si>
  <si>
    <t>c870ca05-e334-3c90-851a-fdc0b4bb66d5</t>
  </si>
  <si>
    <t>[thio]carbamate-compounds, at regional storehouse {RER}</t>
  </si>
  <si>
    <t>8a1be6e0-deb2-3d3f-bdaf-da46edae7112</t>
  </si>
  <si>
    <t>1-butanol, propylene hydroformylation, at plant {RER}</t>
  </si>
  <si>
    <t>chemicals\organic</t>
  </si>
  <si>
    <t>b323f136-28be-3e86-bea4-e77610261147</t>
  </si>
  <si>
    <t>1-pentanol, at plant {RER}</t>
  </si>
  <si>
    <t>7589a6ec-9584-3a34-974b-0ede8a255608</t>
  </si>
  <si>
    <t>1-propanol, at plant {RER}</t>
  </si>
  <si>
    <t>183b303d-d07b-3177-b091-c581e9c4ab20</t>
  </si>
  <si>
    <t>1,1-difluoroethane, HFC-152a, at plant {US}</t>
  </si>
  <si>
    <t>chemicals\organics</t>
  </si>
  <si>
    <t>cda7d2ad-0df5-32cc-945b-49d9cb010895</t>
  </si>
  <si>
    <t>Energy</t>
  </si>
  <si>
    <t>1.3 MWp slanted-roof installation, multi-Si, panel, mounted, on roof {CH}</t>
  </si>
  <si>
    <t>electricity by fuel\photovoltaic\infrastructure</t>
  </si>
  <si>
    <t>ec675697-6d86-3ed6-bbb6-430db22a50ee</t>
  </si>
  <si>
    <t>156 kWp flat-roof installation, multi-Si, on roof {CH}</t>
  </si>
  <si>
    <t>7e86cb3d-68bc-3d47-98d9-4ea7726acc2e</t>
  </si>
  <si>
    <t>156 kWp flat-roof installation, single-Si, on roof {CH}</t>
  </si>
  <si>
    <t>7c5bcdfa-391e-388b-a2ec-2d6191d08437</t>
  </si>
  <si>
    <t>16.667kWp, 100m2, PV system for PVT, installed on slanted roof, single-Si {CH}</t>
  </si>
  <si>
    <t>heat\pvt\heating systems</t>
  </si>
  <si>
    <t>f343e106-7a73-3c54-b652-f574d1caea9b</t>
  </si>
  <si>
    <t>2-butanol, at plant {RER}</t>
  </si>
  <si>
    <t>226492ee-15a8-3e7a-93ba-87928e6801f9</t>
  </si>
  <si>
    <t>2-methyl-2-butanol, at plant {RER}</t>
  </si>
  <si>
    <t>27db933e-38fd-3c3c-9414-35ef0c39f3e8</t>
  </si>
  <si>
    <t>2,4-D, at regional storehouse {RER}</t>
  </si>
  <si>
    <t>5be3be06-0e2a-3ba8-9c85-de7b668b2e1a</t>
  </si>
  <si>
    <t>280 kWp flat-roof installation, multi-Si, on roof {CH}</t>
  </si>
  <si>
    <t>eb24c525-5eba-3f5f-bf46-9eb57d3ec03a</t>
  </si>
  <si>
    <t>280 kWp flat-roof installation, single-Si, on roof {CH}</t>
  </si>
  <si>
    <t>a3944834-0b5b-31d9-bb6a-042333074458</t>
  </si>
  <si>
    <t>3-methyl-1-butanol, at plant {RER}</t>
  </si>
  <si>
    <t>640f1b40-3b6c-3767-8bd0-43e0751702d8</t>
  </si>
  <si>
    <t>3.5 MWp open ground installation, multi-Si, on open ground {US}</t>
  </si>
  <si>
    <t>e55935d2-b44a-3170-bcd7-a1d5cb9dedd8</t>
  </si>
  <si>
    <t>324 kWp flat-roof installation, multi-Si, on roof {DE}</t>
  </si>
  <si>
    <t>b3cbd595-90a9-3747-8c78-bc5ad4de623b</t>
  </si>
  <si>
    <t>3kWp facade installation, multi-Si, laminated, integrated, at building {APAC}</t>
  </si>
  <si>
    <t>photovoltaic\production of components</t>
  </si>
  <si>
    <t>3840fb44-176c-48ab-a08b-379031bc0e0b</t>
  </si>
  <si>
    <t>3kWp facade installation, multi-Si, laminated, integrated, at building {CH}</t>
  </si>
  <si>
    <t>8e82fe37-f22d-393c-9f91-ddcdf460dc74</t>
  </si>
  <si>
    <t>3kWp facade installation, multi-Si, laminated, integrated, at building {CN}</t>
  </si>
  <si>
    <t>44cb413e-71af-30ac-b73f-f26e8a7925b0</t>
  </si>
  <si>
    <t>3kWp facade installation, multi-Si, laminated, integrated, at building {RER}</t>
  </si>
  <si>
    <t>a93f39cc-9f8b-3847-8343-06dd6d779a03</t>
  </si>
  <si>
    <t>3kWp facade installation, multi-Si, laminated, integrated, at building {US}</t>
  </si>
  <si>
    <t>dc134106-2d82-3837-a0af-b29947a8c23e</t>
  </si>
  <si>
    <t>3kWp facade installation, multi-Si, panel, mounted, at building {APAC}</t>
  </si>
  <si>
    <t>94bfbc72-5b0c-4981-bd70-d6d0e1ac0bf0</t>
  </si>
  <si>
    <t>3kWp facade installation, multi-Si, panel, mounted, at building {CH}</t>
  </si>
  <si>
    <t>3e0b8491-58b5-3d7e-aced-75333500b0f0</t>
  </si>
  <si>
    <t>3kWp facade installation, multi-Si, panel, mounted, at building {CN}</t>
  </si>
  <si>
    <t>dc4d6ab0-35fa-3a7c-9fc7-c2c675c8e827</t>
  </si>
  <si>
    <t>3kWp facade installation, multi-Si, panel, mounted, at building {RER}</t>
  </si>
  <si>
    <t>f015f6d5-f7c3-3b7d-964c-5c2348c70c45</t>
  </si>
  <si>
    <t>3kWp facade installation, multi-Si, panel, mounted, at building {US}</t>
  </si>
  <si>
    <t>5a892a57-e071-393f-a52f-65c06bb99f1d</t>
  </si>
  <si>
    <t>3kWp facade installation, single-Si, laminated, integrated, at building {APAC}</t>
  </si>
  <si>
    <t>39186fa5-171d-4177-b2e2-d1deb283362d</t>
  </si>
  <si>
    <t>3kWp facade installation, single-Si, laminated, integrated, at building {CH}</t>
  </si>
  <si>
    <t>a454f48a-063a-3b3e-81c5-f750f1cb68d3</t>
  </si>
  <si>
    <t>3kWp facade installation, single-Si, laminated, integrated, at building {CN}</t>
  </si>
  <si>
    <t>d3dc52e7-39cb-306c-8df4-555d2d77f4ac</t>
  </si>
  <si>
    <t>3kWp facade installation, single-Si, laminated, integrated, at building {RER}</t>
  </si>
  <si>
    <t>25efc85c-6b39-3dcc-a6ed-bc6a96d88b42</t>
  </si>
  <si>
    <t>3kWp facade installation, single-Si, laminated, integrated, at building {US}</t>
  </si>
  <si>
    <t>80323585-77e9-3477-842e-8bda1af58109</t>
  </si>
  <si>
    <t>3kWp facade installation, single-Si, panel, mounted, at building {APAC}</t>
  </si>
  <si>
    <t>3a39e02f-f7db-4ff8-bf59-cf40f7967bc5</t>
  </si>
  <si>
    <t>3kWp facade installation, single-Si, panel, mounted, at building {CH}</t>
  </si>
  <si>
    <t>6ca1b142-96cf-3ef2-8a19-b4f600803a29</t>
  </si>
  <si>
    <t>3kWp facade installation, single-Si, panel, mounted, at building {CN}</t>
  </si>
  <si>
    <t>25596c5e-11fd-3494-8980-1fbf71d5deed</t>
  </si>
  <si>
    <t>3kWp facade installation, single-Si, panel, mounted, at building {RER}</t>
  </si>
  <si>
    <t>4579727a-8cc2-3d86-b4d7-caadd7184114</t>
  </si>
  <si>
    <t>3kWp facade installation, single-Si, panel, mounted, at building {US}</t>
  </si>
  <si>
    <t>96bc08a2-f642-351f-a6c3-88a370c69b31</t>
  </si>
  <si>
    <t>3kWp flat roof installation, multi-Si, on roof {APAC}</t>
  </si>
  <si>
    <t>16cdeb49-8b38-415b-b354-053f356a9be3</t>
  </si>
  <si>
    <t>bc63d9c1-4043-3443-886e-a96545c4087c</t>
  </si>
  <si>
    <t>3kWp flat roof installation, multi-Si, on roof {CN}</t>
  </si>
  <si>
    <t>7949a54c-d9ff-334b-b940-3db5d578067f</t>
  </si>
  <si>
    <t>3kWp flat roof installation, multi-Si, on roof {RER}</t>
  </si>
  <si>
    <t>3088094b-4e86-3509-b61d-3b704173c41e</t>
  </si>
  <si>
    <t>3kWp flat roof installation, multi-Si, on roof {US}</t>
  </si>
  <si>
    <t>7daf2429-6762-3dc8-8d6f-45a93e325ba4</t>
  </si>
  <si>
    <t>3kWp flat roof installation, single-Si, on roof {APAC}</t>
  </si>
  <si>
    <t>a272b201-a57d-45a3-ad44-da110e1af623</t>
  </si>
  <si>
    <t>3kWp flat roof installation, single-Si, on roof {CH}</t>
  </si>
  <si>
    <t>380b8f28-1fc9-3470-85a9-43e1834921cd</t>
  </si>
  <si>
    <t>3kWp flat roof installation, single-Si, on roof {CN}</t>
  </si>
  <si>
    <t>6c54f878-eab9-38b1-8d43-10520af5c4a7</t>
  </si>
  <si>
    <t>3kWp flat roof installation, single-Si, on roof {RER}</t>
  </si>
  <si>
    <t>123fcc87-6ae7-367b-ab99-8b83263df006</t>
  </si>
  <si>
    <t>3kWp flat roof installation, single-Si, on roof {US}</t>
  </si>
  <si>
    <t>2929ea29-e6b5-360c-8998-118d4f328f9c</t>
  </si>
  <si>
    <t>3kWp slanted-roof installation, a-Si, laminated, integrated, on roof {CH}</t>
  </si>
  <si>
    <t>daddf767-6353-3630-a8d2-de74a7b97743</t>
  </si>
  <si>
    <t>3kWp slanted-roof installation, a-Si, panel, mounted, on roof {CH}</t>
  </si>
  <si>
    <t>770efd36-508b-328d-9ede-a9aabe16c4e9</t>
  </si>
  <si>
    <t>3kWp slanted-roof installation, CdTe, laminated, integrated, on roof {CH}</t>
  </si>
  <si>
    <t>49dbade1-f1ac-39af-a3d0-8cb78040602f</t>
  </si>
  <si>
    <t>3kWp slanted-roof installation, CdTe, laminated, integrated, on roof {RER}</t>
  </si>
  <si>
    <t>chemicals\processing</t>
  </si>
  <si>
    <t>59fbebf6-c236-3e5b-80bd-ec127c72fc49</t>
  </si>
  <si>
    <t>3kWp slanted-roof installation, CdTe, panel, mounted, on roof {CH}</t>
  </si>
  <si>
    <t>e0c7a37f-365c-3471-ab33-2d88f7e8d6fc</t>
  </si>
  <si>
    <t>3kWp slanted-roof installation, CdTe, panel, mounted, on roof {RER}</t>
  </si>
  <si>
    <t>c9e0e97a-ac9a-3357-a9a0-5785e6900375</t>
  </si>
  <si>
    <t>3kWp slanted-roof installation, CIS, laminated, integrated, on roof {CH}</t>
  </si>
  <si>
    <t>00c42a3d-5009-3d77-8a89-5c56d12cc64c</t>
  </si>
  <si>
    <t>3kWp slanted-roof installation, CIS, laminated, integrated, on roof {RER}</t>
  </si>
  <si>
    <t>90d1a254-514d-3f27-a87c-3cc6dc9403a8</t>
  </si>
  <si>
    <t>3kWp slanted-roof installation, CIS, panel, mounted, on roof {CH}</t>
  </si>
  <si>
    <t>76f991ed-2bfa-364b-a313-f77eaf4a645c</t>
  </si>
  <si>
    <t>3kWp slanted-roof installation, CIS, panel, mounted, on roof {RER}</t>
  </si>
  <si>
    <t>57a8ce06-0dc9-3917-a57a-d579fefda6c6</t>
  </si>
  <si>
    <t>3kWp slanted-roof installation, micro-Si, laminated, integrated, on roof {RER}</t>
  </si>
  <si>
    <t>327e56bf-2282-3e89-82d5-64203976178f</t>
  </si>
  <si>
    <t>3kWp slanted-roof installation, micro-Si, panel, mounted, on roof {RER}</t>
  </si>
  <si>
    <t>c22eedc4-f3f6-3568-931d-08bda8a7a5ac</t>
  </si>
  <si>
    <t>3kWp slanted-roof installation, multi-Si, laminated, integrated, on roof {APAC}</t>
  </si>
  <si>
    <t>7c2e866a-ffcf-4aa2-ae04-7080b487f8ee</t>
  </si>
  <si>
    <t>3kWp slanted-roof installation, multi-Si, laminated, integrated, on roof {CH}</t>
  </si>
  <si>
    <t>9fa1ebbb-b630-30bc-8ab1-c01fd1b83a0a</t>
  </si>
  <si>
    <t>3kWp slanted-roof installation, multi-Si, laminated, integrated, on roof {CN}</t>
  </si>
  <si>
    <t>2f19f827-068e-3d46-add3-98008fa27754</t>
  </si>
  <si>
    <t>3kWp slanted-roof installation, multi-Si, laminated, integrated, on roof {RER}</t>
  </si>
  <si>
    <t>18d55faf-b832-3f47-bf38-e1c5533edb78</t>
  </si>
  <si>
    <t>3kWp slanted-roof installation, multi-Si, laminated, integrated, on roof {US}</t>
  </si>
  <si>
    <t>5886f533-e82c-37bb-a400-30121381de79</t>
  </si>
  <si>
    <t>3kWp slanted-roof installation, multi-Si, panel, mounted, on roof {APAC}</t>
  </si>
  <si>
    <t>2747d4c1-d629-43c9-9435-02552ba47337</t>
  </si>
  <si>
    <t>3kWp slanted-roof installation, multi-Si, panel, mounted, on roof {CH}</t>
  </si>
  <si>
    <t>fed47fcb-0df0-38be-b35d-606b11a6bf97</t>
  </si>
  <si>
    <t>3kWp slanted-roof installation, multi-Si, panel, mounted, on roof {CN}</t>
  </si>
  <si>
    <t>9968559c-29ba-3b4b-888b-a4f2895a9f20</t>
  </si>
  <si>
    <t>3kWp slanted-roof installation, multi-Si, panel, mounted, on roof {RER}</t>
  </si>
  <si>
    <t>74868121-ca03-354c-8ee4-aeaf78865e44</t>
  </si>
  <si>
    <t>3kWp slanted-roof installation, multi-Si, panel, mounted, on roof {US}</t>
  </si>
  <si>
    <t>db38470f-42d5-3bc2-8e03-ca35c2434c50</t>
  </si>
  <si>
    <t>3kWp slanted-roof installation, ribbon-Si, laminated, integrated, on roof {CH}</t>
  </si>
  <si>
    <t>3b176199-fe1c-3d5a-8be1-00352bbc969f</t>
  </si>
  <si>
    <t>3kWp slanted-roof installation, ribbon-Si, panel, mounted, on roof {CH}</t>
  </si>
  <si>
    <t>748c6c46-017b-368b-8ada-d4805da9f494</t>
  </si>
  <si>
    <t>3kWp slanted-roof installation, single-Si, laminated, integrated, on roof {APAC}</t>
  </si>
  <si>
    <t>b0f99919-5d19-4bfa-9da0-f6c1d848cbac</t>
  </si>
  <si>
    <t>3kWp slanted-roof installation, single-Si, laminated, integrated, on roof {CH}</t>
  </si>
  <si>
    <t>c0e623aa-895f-38ff-8bd3-03f4cf872867</t>
  </si>
  <si>
    <t>3kWp slanted-roof installation, single-Si, laminated, integrated, on roof {CN}</t>
  </si>
  <si>
    <t>a18a36fd-d1e1-306f-9285-16d783589b29</t>
  </si>
  <si>
    <t>3kWp slanted-roof installation, single-Si, laminated, integrated, on roof {RER}</t>
  </si>
  <si>
    <t>0a6a5bc8-dba9-37ef-856b-2ddb7cececba</t>
  </si>
  <si>
    <t>3kWp slanted-roof installation, single-Si, laminated, integrated, on roof {US}</t>
  </si>
  <si>
    <t>da09a5d2-96c3-39dd-ad4d-e1d720ffea83</t>
  </si>
  <si>
    <t>3kWp slanted-roof installation, single-Si, panel, mounted, on roof {APAC}</t>
  </si>
  <si>
    <t>5d66ab2f-db23-4a47-b8f9-cff36bad8cce</t>
  </si>
  <si>
    <t>3kWp slanted-roof installation, single-Si, panel, mounted, on roof {CH}</t>
  </si>
  <si>
    <t>072d774f-e747-32e3-9f30-07f72ef01864</t>
  </si>
  <si>
    <t>3kWp slanted-roof installation, single-Si, panel, mounted, on roof {CN}</t>
  </si>
  <si>
    <t>655c04e9-3470-3080-9595-e0665cb6b4cd</t>
  </si>
  <si>
    <t>3kWp slanted-roof installation, single-Si, panel, mounted, on roof {RER}</t>
  </si>
  <si>
    <t>44968814-b176-387e-8617-3d8db205f767</t>
  </si>
  <si>
    <t>3kWp slanted-roof installation, single-Si, panel, mounted, on roof {US}</t>
  </si>
  <si>
    <t>ecbdff4d-8a66-3c6d-8d42-3b10cfbe816f</t>
  </si>
  <si>
    <t>450 kWp flat-roof installation, single-Si, on roof {DE}</t>
  </si>
  <si>
    <t>e70cc969-8b33-3b26-8d4e-f6a6db391cc0</t>
  </si>
  <si>
    <t>560 kWp open ground installation, single-Si, on open ground {CH}</t>
  </si>
  <si>
    <t>7d04468e-682b-3d6d-822d-1ce03bf29a8d</t>
  </si>
  <si>
    <t>569 kWp open ground installation, multi-Si, on open ground {ES}</t>
  </si>
  <si>
    <t>b63f4831-3e3f-3b0c-85de-89c4cf747848</t>
  </si>
  <si>
    <t>570 kWp open ground installation, CdTe, on open ground {RER}</t>
  </si>
  <si>
    <t>3b46feb5-bda8-394a-af31-8cb2c54b2ded</t>
  </si>
  <si>
    <t>570 kWp open ground installation, CIS, on open ground {RER}</t>
  </si>
  <si>
    <t>2363149c-cbdc-3d98-8838-4665c7cee8c8</t>
  </si>
  <si>
    <t>570 kWp open ground installation, micro-Si, on open ground {RER}</t>
  </si>
  <si>
    <t>d4cbeba9-0c9f-3135-b727-53d74b26608d</t>
  </si>
  <si>
    <t>570 kWp open ground installation, multi-Si, on open ground {ES}</t>
  </si>
  <si>
    <t>0a8201a6-3055-383f-b0ed-88fb77239a2b</t>
  </si>
  <si>
    <t>570 kWp open ground installation, multi-Si, on open ground {RER}</t>
  </si>
  <si>
    <t>c35baca1-b81c-3185-b8b9-4f003fccbf09</t>
  </si>
  <si>
    <t>570 kWp open ground installation, single-Si, on open ground {RER}</t>
  </si>
  <si>
    <t>72f4b692-8e68-3270-90f4-5352b5c88597</t>
  </si>
  <si>
    <t>93 kWp slanted-roof installation, multi-Si, laminated,  integrated, on roof {CH}</t>
  </si>
  <si>
    <t>ea2232d4-e7f4-3143-8055-b5055c60fca0</t>
  </si>
  <si>
    <t>93 kWp slanted-roof installation, multi-Si, panel, mounted, on roof {CH}</t>
  </si>
  <si>
    <t>d777787e-6732-3c75-9a75-69c61e46424a</t>
  </si>
  <si>
    <t>93 kWp slanted-roof installation, single-Si, laminated,  integrated, on roof {CH}</t>
  </si>
  <si>
    <t>b2787ff0-1d6c-37bb-b9f5-33d729f1dbd8</t>
  </si>
  <si>
    <t>93 kWp slanted-roof installation, single-Si, panel, mounted, on roof {CH}</t>
  </si>
  <si>
    <t>0a1e3460-fd50-38ba-a3db-317b43c7f6db</t>
  </si>
  <si>
    <t>Absorption chiller 100kW {CH}</t>
  </si>
  <si>
    <t>heat\natural gas\cogeneration\power unit\infrastructure</t>
  </si>
  <si>
    <t>21e86e75-8bdc-384b-8a71-6b901ce5273c</t>
  </si>
  <si>
    <t>Acetaldehyde, at plant {RER}</t>
  </si>
  <si>
    <t>cec2eba6-734e-3ffb-b9d7-d41f1ac9a485</t>
  </si>
  <si>
    <t>Acetamide-anillide-compounds, at regional storehouse {CH}</t>
  </si>
  <si>
    <t>b1fd556d-92d3-3681-ab2d-f3397d1ff4f2</t>
  </si>
  <si>
    <t>Acetamide-anillide-compounds, at regional storehouse {RER}</t>
  </si>
  <si>
    <t>848bc772-3902-346c-aa2f-e6f8af2c0899</t>
  </si>
  <si>
    <t>chemicals\acids (organic)</t>
  </si>
  <si>
    <t>095a7896-a301-3b3d-bebc-f0ebaae53326</t>
  </si>
  <si>
    <t>Acetic anhydride from acetaldehyde, at plant {RER}</t>
  </si>
  <si>
    <t>882a45ff-e247-3c50-b459-5b04b3d10d19</t>
  </si>
  <si>
    <t>Acetic anhydride from ketene, at plant {RER}</t>
  </si>
  <si>
    <t>3a89bf78-290c-35f7-b757-9f526f9ef0a0</t>
  </si>
  <si>
    <t>Acetic anhydride, at plant {RER}</t>
  </si>
  <si>
    <t>6b185c51-0cd3-3d75-87b6-baad9bd56832</t>
  </si>
  <si>
    <t>f44d9ac3-f0cb-311d-bdba-3fd3946b573c</t>
  </si>
  <si>
    <t>Acetonitrile, at plant {RER}</t>
  </si>
  <si>
    <t>4bea2bda-85da-376a-8f51-a7340d09e50d</t>
  </si>
  <si>
    <t>Acetylene, at regional storehouse {CH}</t>
  </si>
  <si>
    <t>1fe91cd9-896a-3865-a49a-4235fbf6f911</t>
  </si>
  <si>
    <t>Aclonifen, at regional storage {RER}</t>
  </si>
  <si>
    <t>a3d0c5b7-f7d1-30cd-ac02-bc4ae8f6f0e9</t>
  </si>
  <si>
    <t>09a903d8-0a5a-35c3-bb85-aecf101c7764</t>
  </si>
  <si>
    <t>Acrylic binder, 34% in H2O, at plant {RER}</t>
  </si>
  <si>
    <t>841dac4d-05cf-3a4d-af9d-77430bcb3f5b</t>
  </si>
  <si>
    <t>Acrylic dispersion, 65% in H2O, at plant {RER}</t>
  </si>
  <si>
    <t>61be6cba-a2f3-34c8-9e4e-011654042703</t>
  </si>
  <si>
    <t>construction\coverings</t>
  </si>
  <si>
    <t>e4f40f05-7225-3438-a844-9d4309060168</t>
  </si>
  <si>
    <t>Acrylic render, at plant {CH}</t>
  </si>
  <si>
    <t>construction materials\plaster</t>
  </si>
  <si>
    <t>bab357e0-6008-3577-8de2-c8a0967f5924</t>
  </si>
  <si>
    <t>Acrylic render, matured {CH}</t>
  </si>
  <si>
    <t>bd7013fc-a367-3323-b2ec-e716cc4ef7b0</t>
  </si>
  <si>
    <t>Acrylic varnish, 87.5% in H2O, at plant {RER}</t>
  </si>
  <si>
    <t>construction\paints</t>
  </si>
  <si>
    <t>00173db7-7590-3ac7-bf27-a41684347176</t>
  </si>
  <si>
    <t>Acrylnitril-butadien-styrol (ABS) pipe {CH}</t>
  </si>
  <si>
    <t>construction materials\others</t>
  </si>
  <si>
    <t>6ea3360f-e82c-3739-88eb-94466aa8e964</t>
  </si>
  <si>
    <t>plastics\rubbers</t>
  </si>
  <si>
    <t>dad0fc14-f7f9-3292-8754-ac91fe7c2825</t>
  </si>
  <si>
    <t>Acrylonitrile from Sohio process, at plant {RER}</t>
  </si>
  <si>
    <t>3d976da0-0b98-3eaf-b39d-0297fbe70066</t>
  </si>
  <si>
    <t>chemicals\others</t>
  </si>
  <si>
    <t>7b67d403-59a8-3578-9a61-c9ac80a950a1</t>
  </si>
  <si>
    <t>Adhesive with lightweight aggregate, mineral, at plant {CH}</t>
  </si>
  <si>
    <t>2f3b151c-f9ec-3f26-aea5-3f761a510f58</t>
  </si>
  <si>
    <t>Adhesive with lightweight aggregate, mineral, matured {CH}</t>
  </si>
  <si>
    <t>376bc7f2-c91b-37c9-b1c4-31a4b504899b</t>
  </si>
  <si>
    <t>Adhesive, mineral, at plant {CH}</t>
  </si>
  <si>
    <t>e9e66474-ea2d-3941-8e24-7a2fabecaefe</t>
  </si>
  <si>
    <t>Adhesive, mineral, matured {CH}</t>
  </si>
  <si>
    <t>6861ba6b-2e56-3935-9c90-4b1ed6cb58a8</t>
  </si>
  <si>
    <t>Adhesive, organic, at plant {CH}</t>
  </si>
  <si>
    <t>1303f496-3699-3a12-abb0-347a0615c0a2</t>
  </si>
  <si>
    <t>Adhesive, organic, matured {CH}</t>
  </si>
  <si>
    <t>4ecd9f70-819f-3d9a-bb28-5ef58509a46d</t>
  </si>
  <si>
    <t>Adipic acid, at plant {RER}</t>
  </si>
  <si>
    <t>8f8b1ed3-e9ff-34b0-b886-9d4f7bfbb010</t>
  </si>
  <si>
    <t>Adsorption and desorption unit, carbon dioxide capture process {RER}</t>
  </si>
  <si>
    <t>fuels\Synthetic\Carbon capture and storage\Transformation\Infrastructure</t>
  </si>
  <si>
    <t>4f34cf17-34f4-3cfa-b6ca-f287fb7787ec</t>
  </si>
  <si>
    <t>Aerogel board, at regional storage {CH}</t>
  </si>
  <si>
    <t>construction materials\aerogel</t>
  </si>
  <si>
    <t>a1e47d92-c5eb-3dd0-96c9-b8a15d21ae91</t>
  </si>
  <si>
    <t>Processing</t>
  </si>
  <si>
    <t>Agricultural machinery, general, production {CH}</t>
  </si>
  <si>
    <t>agricultural\operations\infrastructure</t>
  </si>
  <si>
    <t>937d077b-8ed3-3075-9aab-a8eb1ba28387</t>
  </si>
  <si>
    <t>Agricultural machinery, tillage, production {CH}</t>
  </si>
  <si>
    <t>cef8d695-fdaf-36ef-83ca-66188d23fdfc</t>
  </si>
  <si>
    <t>Air compressor, screw-type compressor, 300 kW, at plant {RER}</t>
  </si>
  <si>
    <t>compressed air\generation\infrastructure</t>
  </si>
  <si>
    <t>68cd88ca-b2b0-3bc4-8da7-96f9a6ddb4cf</t>
  </si>
  <si>
    <t>Air compressor, screw-type compressor, 4 kW, at plant {RER}</t>
  </si>
  <si>
    <t>5a5ebe87-0770-3b65-bcbf-d24facf49034</t>
  </si>
  <si>
    <t>Air distribution housing, steel, 120 m3/h, at plant {CH}</t>
  </si>
  <si>
    <t>construction\ventilation\components</t>
  </si>
  <si>
    <t>e2489588-0df7-361b-9143-236b471b7315</t>
  </si>
  <si>
    <t>Air filter, central unit, 600 m3/h, at plant {RER}</t>
  </si>
  <si>
    <t>eb8759e7-44d4-3bb5-94f5-5f166d18174c</t>
  </si>
  <si>
    <t>Air filter, decentralized unit, 180-250 m3/h, at plant {RER}</t>
  </si>
  <si>
    <t>f5c253a7-bbe4-3ce7-8a28-cfaabc809137</t>
  </si>
  <si>
    <t>Air filter, in exhaust air valve, at plant {RER}</t>
  </si>
  <si>
    <t>89e529d6-e688-3b2a-92e9-4e5bd99ddf4b</t>
  </si>
  <si>
    <t>Air separation plant {RER}</t>
  </si>
  <si>
    <t>chemicals\gases\infrastructure</t>
  </si>
  <si>
    <t>2fadcdd2-e35e-31e6-bd9e-a8d00a84d031</t>
  </si>
  <si>
    <t>Aircraft, long haul {RER}</t>
  </si>
  <si>
    <t>transport systems\airplane\operations\infrastructure</t>
  </si>
  <si>
    <t>307d6faf-444b-3a9e-bbc9-2964f02d4685</t>
  </si>
  <si>
    <t>Aircraft, medium haul {RER}</t>
  </si>
  <si>
    <t>f2f2ecad-12d2-33cc-815f-b3cedb9e153a</t>
  </si>
  <si>
    <t>Airport {RER}</t>
  </si>
  <si>
    <t>a86b716d-de3e-3d0d-8813-d4d53a8774be</t>
  </si>
  <si>
    <t>AKD sizer, in paper production, at plant {RER}</t>
  </si>
  <si>
    <t>b0ab65a7-774d-3910-91ff-d1c82a65e57b</t>
  </si>
  <si>
    <t>Alachlor, at regional storehouse {RER}</t>
  </si>
  <si>
    <t>1164462e-5ef5-354b-a4db-ce8eca0e799f</t>
  </si>
  <si>
    <t>4ae47809-79a6-30d0-b679-61fbb0beedf8</t>
  </si>
  <si>
    <t>Alkyd paint, white, 60% in solvent, at plant {RER}</t>
  </si>
  <si>
    <t>c71e846e-c411-3e1e-8cc2-b565af8a4155</t>
  </si>
  <si>
    <t>Alkyd resin, long oil, 70% in white spirit, at plant {RER}</t>
  </si>
  <si>
    <t>5f0c6b59-3400-381b-86e3-7378b6e81df8</t>
  </si>
  <si>
    <t>Alkylbenzene sulfonate, linear, petrochemical, at plant {RER}</t>
  </si>
  <si>
    <t>chemicals\washing agents\tensides</t>
  </si>
  <si>
    <t>1d16937e-2188-321b-a8ad-907afe767502</t>
  </si>
  <si>
    <t>Alkylbenzene, linear, at plant {RER}</t>
  </si>
  <si>
    <t>19d5b060-bbc6-326f-bed5-93515ecc1ba7</t>
  </si>
  <si>
    <t>electronics\devices</t>
  </si>
  <si>
    <t>c4a367d5-daf0-3660-85f1-ec052e12aabe</t>
  </si>
  <si>
    <t>Allyl chloride, from reacting propylene and chlorine, at plant {RER}</t>
  </si>
  <si>
    <t>6c5773d2-f0a9-3117-95fa-6f371a29996f</t>
  </si>
  <si>
    <t>metals\alloys</t>
  </si>
  <si>
    <t>15e202fc-ad29-3de6-8ec0-a9ce3d9ff6fb</t>
  </si>
  <si>
    <t>Aluminium blinds, at plant {CH}</t>
  </si>
  <si>
    <t>construction materials\sunshade</t>
  </si>
  <si>
    <t>3fa67bb8-1aaf-301a-b4e3-910a95c1f8f3</t>
  </si>
  <si>
    <t>Aluminium blinds, at plant, with resource correction {CH}</t>
  </si>
  <si>
    <t>5072f9ea-6e48-3075-b814-37e841f09fbd</t>
  </si>
  <si>
    <t>Aluminium casting, plant {RER}</t>
  </si>
  <si>
    <t>metals\non ferro\production\infrastructure</t>
  </si>
  <si>
    <t>570c1c6d-665e-328f-a7dd-a9be1c507255</t>
  </si>
  <si>
    <t>Aluminium collector foil production, for Li-ion battery {GLO}</t>
  </si>
  <si>
    <t>electronics\batteries</t>
  </si>
  <si>
    <t>a6a4da99-9335-3472-a862-86ef80f3b50f</t>
  </si>
  <si>
    <t>Aluminium composite panel FR, at plant {RER}</t>
  </si>
  <si>
    <t>construction materials\aluminum composite panels</t>
  </si>
  <si>
    <t>da2e76ed-419a-3891-811d-d301deb1605c</t>
  </si>
  <si>
    <t>Aluminium composite panel FR, transport DE-&gt;CH {RER}</t>
  </si>
  <si>
    <t>3e083d2c-ce97-3b1e-bdf7-aecd24d791f4</t>
  </si>
  <si>
    <t>Aluminium composite panel FR, transport ES-&gt;CH {RER}</t>
  </si>
  <si>
    <t>b1a1fd6d-ce2a-3aa2-992e-1de287d8adb9</t>
  </si>
  <si>
    <t>Aluminium composite panel FR, transport FR-&gt;CH {RER}</t>
  </si>
  <si>
    <t>b0ffd27b-5ce7-3a40-8278-628baf2298c2</t>
  </si>
  <si>
    <t>Aluminium composite panel, at plant {RER}</t>
  </si>
  <si>
    <t>087f0ee1-cd47-35c8-8fd0-1356931b1c40</t>
  </si>
  <si>
    <t>Aluminium composite panel, at regional storage {CH}</t>
  </si>
  <si>
    <t>3906f7b9-3643-3517-8972-22ae71727a3b</t>
  </si>
  <si>
    <t>Aluminium composite panel, at regional storage, with resource correction {CH}</t>
  </si>
  <si>
    <t>dc869aa8-0dde-36c5-b4e6-dff9b7f7f71b</t>
  </si>
  <si>
    <t>Aluminium composite panel, packaging {RER}</t>
  </si>
  <si>
    <t>ade61a19-6db6-32cd-8df5-6e15369d8ebc</t>
  </si>
  <si>
    <t>Aluminium composite panel, transport DE-&gt;CH {RER}</t>
  </si>
  <si>
    <t>b17a3bcc-2e10-3157-a7d0-e4c5116b4df6</t>
  </si>
  <si>
    <t>Aluminium composite panel, transport ES-&gt;CH {RER}</t>
  </si>
  <si>
    <t>2ab4007a-642b-3e48-9bab-2764a1e59142</t>
  </si>
  <si>
    <t>Aluminium composite panel, transport FR-&gt;CH {RER}</t>
  </si>
  <si>
    <t>5775717f-e56d-31c5-9888-8520b0d7f760</t>
  </si>
  <si>
    <t>Aluminium electrolysis, plant {RER}</t>
  </si>
  <si>
    <t>c213f4a1-86db-3b96-b8f0-f6bbc0c3aad9</t>
  </si>
  <si>
    <t>Aluminium fluoride, at plant {RER}</t>
  </si>
  <si>
    <t>chemicals\inorganic</t>
  </si>
  <si>
    <t>76784b84-fe74-36a7-a055-a0bd729cafba</t>
  </si>
  <si>
    <t>34d9da9b-4ba9-31d2-8e6f-b908c3f99f92</t>
  </si>
  <si>
    <t>Aluminium hydroxide, plant {RER}</t>
  </si>
  <si>
    <t>b75107d6-f03c-3059-880c-e6af17f80994</t>
  </si>
  <si>
    <t>Aluminium melting furnace {RER}</t>
  </si>
  <si>
    <t>dc555e6c-16a3-33ad-a832-05528f0d392d</t>
  </si>
  <si>
    <t>chemicals\inorganics</t>
  </si>
  <si>
    <t>cf4b9a68-b9bf-3326-8dbf-5508e6515909</t>
  </si>
  <si>
    <t>Aluminium oxide, plant {RER}</t>
  </si>
  <si>
    <t>e4fa91dd-1cd1-39aa-a630-9eb7f4e7d491</t>
  </si>
  <si>
    <t>Aluminium product manufacturing, average metal working {RER}</t>
  </si>
  <si>
    <t>metals\general manufacturing</t>
  </si>
  <si>
    <t>1ab1ad31-3b88-3d36-9449-c5a15e573c75</t>
  </si>
  <si>
    <t>Aluminium profile, uncoated {CH}</t>
  </si>
  <si>
    <t>bb387a69-f946-35e4-b6ee-9af5bf4b3ec8</t>
  </si>
  <si>
    <t>Aluminium profile, uncoated, Hydro Building Systems, Circal, at regional storage {CH}</t>
  </si>
  <si>
    <t>4b4cdbb7-1edb-3e1c-a7c0-53a5bb19d516</t>
  </si>
  <si>
    <t>Aluminium profile, uncoated, secondary production (100% Rec.) {CH}</t>
  </si>
  <si>
    <t>acb9e117-cd46-391f-8b60-dd165fcba3d0</t>
  </si>
  <si>
    <t>Aluminium profile, uncoated, SZFF 2014, recycling share 52%, at plant {CH}</t>
  </si>
  <si>
    <t>c48b5f7a-ac68-3f26-89c1-9eece0e9e878</t>
  </si>
  <si>
    <t>Aluminium profile, uncoated, SZFF 2014, recycling share 52%, with resource correction {CH}</t>
  </si>
  <si>
    <t>a217ddbd-9cc1-3475-a7d6-2dbe779de416</t>
  </si>
  <si>
    <t>Aluminium profile, uncoated, with resource correction {CH}</t>
  </si>
  <si>
    <t>ebdeffa0-9aee-3511-9d62-3fd5b5a4ad98</t>
  </si>
  <si>
    <t>Aluminium scrap, new, at plant {RER}</t>
  </si>
  <si>
    <t>metals\waste metals</t>
  </si>
  <si>
    <t>9b7290c2-6421-3ebe-996d-4425b4cca322</t>
  </si>
  <si>
    <t>Aluminium scrap, old, at plant {RER}</t>
  </si>
  <si>
    <t>metals\extraction</t>
  </si>
  <si>
    <t>102f8288-dd17-39b7-9661-954a49ad8dc7</t>
  </si>
  <si>
    <t>Aluminium scrap, recovered from c-Si PV module treatment {RER}</t>
  </si>
  <si>
    <t>f4c810b6-e5ce-4519-bcb5-480f760cd0e2</t>
  </si>
  <si>
    <t>Aluminium sheet, uncoated {CH}</t>
  </si>
  <si>
    <t>d706e809-1e03-3fe1-941c-0374b56a92bb</t>
  </si>
  <si>
    <t>Aluminium sheet, uncoated, secondary production (100% Rec.) {CH}</t>
  </si>
  <si>
    <t>8649f169-6329-3d9a-88d4-bf5ef5e2d560</t>
  </si>
  <si>
    <t>Aluminium sheet, uncoated, with resource correction {CH}</t>
  </si>
  <si>
    <t>36fc240d-b286-37ce-ba09-090d52715f4f</t>
  </si>
  <si>
    <t>Aluminium sulphate, powder, at plant {RER}</t>
  </si>
  <si>
    <t>548c4bd3-cf47-3c33-af07-9165c9c84efa</t>
  </si>
  <si>
    <t>5cac9857-21f7-305d-b705-c83a02a94e6e</t>
  </si>
  <si>
    <t>Aluminium, primary, liquid, at plant {RER}</t>
  </si>
  <si>
    <t>2d362b83-3248-39af-a3ca-fb3514ef12f1</t>
  </si>
  <si>
    <t>Aluminium, production mix for aluminium profiles, SZFF 2014, at plant {CH}</t>
  </si>
  <si>
    <t>e2946dda-3cf3-30a3-9f54-98950af699ab</t>
  </si>
  <si>
    <t>Aluminium, production mix, at plant {RER}</t>
  </si>
  <si>
    <t>ede45db2-bc7b-386a-b3e3-eafcf2dac420</t>
  </si>
  <si>
    <t>0f78f863-1aee-3ebb-b60e-93c4869a88b4</t>
  </si>
  <si>
    <t>Aluminium, production mix, wrought alloy, at plant {RER}</t>
  </si>
  <si>
    <t>b18629ea-f8e8-3549-a958-cad98fe857cf</t>
  </si>
  <si>
    <t>27e358d3-4717-3391-8e4e-fb11023fac97</t>
  </si>
  <si>
    <t>Aluminium, secondary, from old scrap, at plant {RER}</t>
  </si>
  <si>
    <t>4ad4b4d8-5f7b-332d-b9d5-d74acbcece15</t>
  </si>
  <si>
    <t>Aluminiumtrihydroxide-acrylic glass, at plant {JP}</t>
  </si>
  <si>
    <t>construction\kitchen</t>
  </si>
  <si>
    <t>1f8a1e5e-52ca-31af-a9e1-db96bb8d959f</t>
  </si>
  <si>
    <t>Aluminiumtrihydroxide-acrylic glass, at plant {KR}</t>
  </si>
  <si>
    <t>4b373a60-9d95-34cb-8118-6e2286c4be9e</t>
  </si>
  <si>
    <t>Aluminiumtrihydroxide-acrylic glass, at plant {TR}</t>
  </si>
  <si>
    <t>bc950be9-9bb8-34b3-9392-dfb391dc191b</t>
  </si>
  <si>
    <t>Aluminiumtrihydroxide-acrylic glass, at plant {US}</t>
  </si>
  <si>
    <t>6865d9c9-c113-3b1d-953d-e2c3c3c2a108</t>
  </si>
  <si>
    <t>Aluminiumtrihydroxide-acrylic glass, production mix, at plant {CH}</t>
  </si>
  <si>
    <t>185229b6-5c68-303c-84f0-8c82a5f54bca</t>
  </si>
  <si>
    <t>Amine-based silica production, for sorbent-based direct air capture system {RER}</t>
  </si>
  <si>
    <t>fuels\synthetic\infrastructure</t>
  </si>
  <si>
    <t>85d4e7c4-b589-3350-9f08-b9884934a01c</t>
  </si>
  <si>
    <t>Ammonia, liquid, at regional storehouse {CH}</t>
  </si>
  <si>
    <t>5355918b-1afd-3cdd-b57c-b3e92097f2b0</t>
  </si>
  <si>
    <t>461aa0e0-5253-3cda-b22f-4c075152cdb5</t>
  </si>
  <si>
    <t>Ammonia, partial oxidation, liquid, at plant {RER}</t>
  </si>
  <si>
    <t>64543a9c-8b3d-3397-9020-e4ab0028b9dd</t>
  </si>
  <si>
    <t>Ammonia, steam reforming, liquid, at plant {RER}</t>
  </si>
  <si>
    <t>74d7a504-c37d-309b-b896-6ead68d8a38e</t>
  </si>
  <si>
    <t>Ammonium bicarbonate, at plant {RER}</t>
  </si>
  <si>
    <t>dffd1400-7130-3d7d-8e16-1ff704ed6b6e</t>
  </si>
  <si>
    <t>Ammonium carbonate, at plant {RER}</t>
  </si>
  <si>
    <t>48437dbd-050b-38c9-bf8a-13df82183791</t>
  </si>
  <si>
    <t>Ammonium chloride, at plant {GLO}</t>
  </si>
  <si>
    <t>2adfac0f-f423-35e4-abdf-eb932a739614</t>
  </si>
  <si>
    <t>Ammonium nitrate phosphate, as N, at regional storehouse {RER}</t>
  </si>
  <si>
    <t>chemicals\fertilisers (inorganic)</t>
  </si>
  <si>
    <t>928df9b3-74b0-3418-ad0f-e8a07b39f6ac</t>
  </si>
  <si>
    <t>Ammonium nitrate phosphate, as P2O5, at regional storehouse {RER}</t>
  </si>
  <si>
    <t>32de5b22-e8dc-3225-866c-8f8eb1921e7f</t>
  </si>
  <si>
    <t>23f3ffba-42da-3167-96ac-808ccb478f9d</t>
  </si>
  <si>
    <t>5ed8de24-24f1-318b-b7cc-e9c4d1f8751f</t>
  </si>
  <si>
    <t>Ammonium thiocyanate, at plant {GLO}</t>
  </si>
  <si>
    <t>fda1fcb2-a9d4-3946-bcd1-4941fbc40c8a</t>
  </si>
  <si>
    <t>Ammoniumhydroxid {RER}</t>
  </si>
  <si>
    <t>efb5fb8d-0c70-3c4e-a82b-091cd87e9c5c</t>
  </si>
  <si>
    <t>Anaerobic digestion plant covered, agriculture {CH}</t>
  </si>
  <si>
    <t>fuels\biofuels\infrastructure</t>
  </si>
  <si>
    <t>347ed683-5807-3670-862c-3f13e15cd3f5</t>
  </si>
  <si>
    <t>Anaerobic digestion plant, agriculture {CH}</t>
  </si>
  <si>
    <t>1f8aaeb4-6d7f-38ab-9727-78c5310c5c0f</t>
  </si>
  <si>
    <t>Anaerobic digestion plant, biowaste {CH}</t>
  </si>
  <si>
    <t>9834255e-0fa6-35ff-9aed-1d717618c458</t>
  </si>
  <si>
    <t>Anaerobic digestion plant, sewage sludge {CH}</t>
  </si>
  <si>
    <t>c4780bd7-d020-3bae-b560-f1e1dd585e1e</t>
  </si>
  <si>
    <t>Ancillary BoP {GLO}</t>
  </si>
  <si>
    <t>transport systems\road\Vehicle components\Powertrain\Fuel cell</t>
  </si>
  <si>
    <t>98a9f4dc-223e-3ef9-8153-42f919f08e26</t>
  </si>
  <si>
    <t>Anhydrite floor screed, matured {CH}</t>
  </si>
  <si>
    <t>construction materials\subfloors</t>
  </si>
  <si>
    <t>787e25ab-c2c3-33cf-bf76-acc15de706cf</t>
  </si>
  <si>
    <t>Anhydrite floor screed, per m2 {CH}</t>
  </si>
  <si>
    <t>8921797b-2592-3ba3-9044-cf4f2e75c5a3</t>
  </si>
  <si>
    <t>Anhydrite floor screed, ready for processing {CH}</t>
  </si>
  <si>
    <t>fbfed166-b657-3ff7-84d3-c6ca7502d733</t>
  </si>
  <si>
    <t>Anhydrite from FDG gypsum, at plant {DE}</t>
  </si>
  <si>
    <t>construction materials\gypsum materials</t>
  </si>
  <si>
    <t>e5dc8f0a-96df-345b-96e6-dba0be5b2a52</t>
  </si>
  <si>
    <t>Anhydrite from hydrofluoric acid synthesis, at plant {DE}</t>
  </si>
  <si>
    <t>2179d88f-c1c0-3fd7-bb79-774c5888b90d</t>
  </si>
  <si>
    <t>Anhydrite rock, at mine {CH}</t>
  </si>
  <si>
    <t>minerals\unspecified</t>
  </si>
  <si>
    <t>9a74a6bb-85a2-3e1a-826c-6d86045589a4</t>
  </si>
  <si>
    <t>Anhydrite, at plant {CH}</t>
  </si>
  <si>
    <t>f046f099-dad8-3642-b7ba-2a26d83a65e2</t>
  </si>
  <si>
    <t>Anhydrite, burned, at plant {CH}</t>
  </si>
  <si>
    <t>3b3f6de2-dff6-350a-9b7c-ebbb1a2521ee</t>
  </si>
  <si>
    <t>Aniline, at plant {RER}</t>
  </si>
  <si>
    <t>30ac3cc2-3761-3dbe-a46e-d8e1f45f48b1</t>
  </si>
  <si>
    <t>Anionic resin, at plant {CH}</t>
  </si>
  <si>
    <t>17132bce-72eb-3046-b477-ba3567c0e3f9</t>
  </si>
  <si>
    <t>Anode {GLO}</t>
  </si>
  <si>
    <t>transport systems\road\Vehicle components\Energy storage\Lithium-ion battery</t>
  </si>
  <si>
    <t>86b2e8d9-55c8-3860-9f31-5419368265aa</t>
  </si>
  <si>
    <t>Anode current collector, LFP {JP}</t>
  </si>
  <si>
    <t>057ac398-93fe-325d-ad58-21e2ee50f21f</t>
  </si>
  <si>
    <t>Anode current collector, LTO {JP}</t>
  </si>
  <si>
    <t>b80e6429-3322-3e11-abd4-b61a84572791</t>
  </si>
  <si>
    <t>Anode current collector, NCA {JP}</t>
  </si>
  <si>
    <t>6a94add1-bef0-3413-9d5c-88c6e923e489</t>
  </si>
  <si>
    <t>Anode paste, LFP {JP}</t>
  </si>
  <si>
    <t>a0bdc4a6-68ab-3f3a-bc55-3f04dd4f6b1e</t>
  </si>
  <si>
    <t>Anode paste, LTO {JP}</t>
  </si>
  <si>
    <t>5939a233-0c7b-358d-899d-d4b1af916c95</t>
  </si>
  <si>
    <t>Anode paste, NCA {JP}</t>
  </si>
  <si>
    <t>7439593a-3b20-372c-89d2-6b17ce3553d4</t>
  </si>
  <si>
    <t>Anode plant {RER}</t>
  </si>
  <si>
    <t>b3fd30dd-234c-36ae-9268-5821feac6070</t>
  </si>
  <si>
    <t>Anode slime, silver and tellurium containing, primary copper production {GLO}</t>
  </si>
  <si>
    <t>2a71151f-9891-3217-a6bf-97cd34b48abc</t>
  </si>
  <si>
    <t>Anode, aluminium electrolysis {RER}</t>
  </si>
  <si>
    <t>3c64f5c7-b4e9-3b93-a5ba-24ddbe7783bc</t>
  </si>
  <si>
    <t>Anode, for metal electrolysis {RER}</t>
  </si>
  <si>
    <t>18285bfd-c323-3621-af49-5c68c5c1cf96</t>
  </si>
  <si>
    <t>Anode, graphite, for Li-ion battery {GLO}</t>
  </si>
  <si>
    <t>d3ced172-d5e0-35b6-a68a-8e3c55a87c34</t>
  </si>
  <si>
    <t>Anode, lithium-ion battery, graphite, at plant {CN}</t>
  </si>
  <si>
    <t>electronics\devices\module\component</t>
  </si>
  <si>
    <t>feeb5626-22fa-3e3c-934b-885604b04907</t>
  </si>
  <si>
    <t>Anode, lithium-ion battery, graphite, at plant {RAS}</t>
  </si>
  <si>
    <t>electronics\component</t>
  </si>
  <si>
    <t>c533d2b4-95ee-3597-bf3b-9dd933561997</t>
  </si>
  <si>
    <t>Anodising, aluminium sheet {RER}</t>
  </si>
  <si>
    <t>metals\coating</t>
  </si>
  <si>
    <t>82eaafaf-cf02-3075-b837-503fc75c9dae</t>
  </si>
  <si>
    <t>Anthracite, burned in stove 5-15kW (proj. 210) {RER}</t>
  </si>
  <si>
    <t>energy supply, kbob recommendation\fuels (heating), fossil</t>
  </si>
  <si>
    <t>2e4353e2-03ce-3a0a-bf7f-2114d0968867</t>
  </si>
  <si>
    <t>Anthracite, burned in stove 5-15kW {RER}</t>
  </si>
  <si>
    <t>heat\coal\furnace</t>
  </si>
  <si>
    <t>c0414308-8047-36e3-8cd5-ddc90711d760</t>
  </si>
  <si>
    <t>Anthraquinone, at plant {RER}</t>
  </si>
  <si>
    <t>e6293140-cad8-32a8-81fc-64a059fd97ea</t>
  </si>
  <si>
    <t>Anti-reflexx coating, etching, solar glass {DK}</t>
  </si>
  <si>
    <t>glass\unspecified</t>
  </si>
  <si>
    <t>d599ed10-bb8a-3f9a-af42-db4658e45bc9</t>
  </si>
  <si>
    <t>metals\non ferro</t>
  </si>
  <si>
    <t>4f672a15-32e0-3f14-bda0-b4ca9f0a80ac</t>
  </si>
  <si>
    <t>Application of plant protection products, by field sprayer {CH}</t>
  </si>
  <si>
    <t>agricultural\unspecified</t>
  </si>
  <si>
    <t>ae984a76-2fd1-36ce-be4c-3de441ed2f9c</t>
  </si>
  <si>
    <t>Application, digested matter, from beet residues, on agricultural land {CH}</t>
  </si>
  <si>
    <t>agricultural\other processing</t>
  </si>
  <si>
    <t>04ec6222-7e1b-3c78-adcf-858f5802e4aa</t>
  </si>
  <si>
    <t>Application, digested matter, from beets, on agricultural land {CH}</t>
  </si>
  <si>
    <t>252d19f2-7364-326e-bfef-2e90829cab83</t>
  </si>
  <si>
    <t>Application, digested matter, from glycerine, on agricultural land {CH}</t>
  </si>
  <si>
    <t>ce1f2bf4-bf18-3392-953a-4f80ae5aa24b</t>
  </si>
  <si>
    <t>Application, digested matter, from maize silage, on agricultural land {CH}</t>
  </si>
  <si>
    <t>35e1f4e2-01de-381f-bb1a-aac61c386e50</t>
  </si>
  <si>
    <t>Application, digested matter, from molasses, on agricultural land {CH}</t>
  </si>
  <si>
    <t>1c2429c0-d6c2-30a3-a3b1-db4bbbe10937</t>
  </si>
  <si>
    <t>Argon, crude, liquid, at plant {RER}</t>
  </si>
  <si>
    <t>chemicals\gases</t>
  </si>
  <si>
    <t>be0df8b4-8d76-3d44-8565-a2b68f216b02</t>
  </si>
  <si>
    <t>9213b6fe-8028-37a2-af88-682f0254b536</t>
  </si>
  <si>
    <t>Array and export cables, 33kV/110kV, onshore wind farm {RER}</t>
  </si>
  <si>
    <t>km</t>
  </si>
  <si>
    <t>wind power\production of components</t>
  </si>
  <si>
    <t>61e6427e-72af-339d-9b49-0c230ec01a69</t>
  </si>
  <si>
    <t>Array cable, 66kV, offshore wind farm {RER}</t>
  </si>
  <si>
    <t>ab395015-4576-3804-b11e-4c69b2a48fe5</t>
  </si>
  <si>
    <t>Arsine, at plant {GLO}</t>
  </si>
  <si>
    <t>6e48ef3f-1320-3842-a4e4-c97d78ae3026</t>
  </si>
  <si>
    <t>99f6d4c9-4106-31ff-8c79-d00dd811dbef</t>
  </si>
  <si>
    <t>Ash, bagasse, at fermentation plant {BR}</t>
  </si>
  <si>
    <t>fuels\biofuels\ethanol\byproducts</t>
  </si>
  <si>
    <t>06edf27d-66ca-3b9b-b900-51a317b870ec</t>
  </si>
  <si>
    <t>Asparagus seedling, open field, at production site {GLO}</t>
  </si>
  <si>
    <t>agricultural\agricultural means of production\seed</t>
  </si>
  <si>
    <t>cb6f2c03-cfe6-375d-8c10-d7f951326c40</t>
  </si>
  <si>
    <t>Asparagus, conventional {CH}</t>
  </si>
  <si>
    <t>agricultural\agricultural production\plant production</t>
  </si>
  <si>
    <t>54499647-8b4d-3905-9d72-946fe99195ae</t>
  </si>
  <si>
    <t>Asparagus, conventional {MX}</t>
  </si>
  <si>
    <t>4b80a9f6-b6a8-351f-bdcc-c5d6c0d185f1</t>
  </si>
  <si>
    <t>Asparagus, conventional {PE}</t>
  </si>
  <si>
    <t>ec0533af-6c5d-3e49-95ea-fbb4a0b68d84</t>
  </si>
  <si>
    <t>Assembled formwork {CH}</t>
  </si>
  <si>
    <t>construction materials\rammed earth wall</t>
  </si>
  <si>
    <t>870170e5-b0d0-366a-9834-36a087cbff08</t>
  </si>
  <si>
    <t>Assembly operation, for lorry {RER}</t>
  </si>
  <si>
    <t>transport systems\road\Vehicle assembly</t>
  </si>
  <si>
    <t>6a0c6ef7-df9a-37e7-8104-b5fd21dac73c</t>
  </si>
  <si>
    <t>Assembly, generator and motor, cogen unit 160kWe {RER}</t>
  </si>
  <si>
    <t>a1aa8129-0e49-3cda-9ac1-3e8484c7b459</t>
  </si>
  <si>
    <t>Assembly, generator and motor, Mini CHP plant {CH}</t>
  </si>
  <si>
    <t>e294f127-dcc7-3474-a149-e277c34e85c3</t>
  </si>
  <si>
    <t>Assembly, LCD module, at plant {GLO}</t>
  </si>
  <si>
    <t>d6148644-7e62-3ab5-b98e-f4b9361b3708</t>
  </si>
  <si>
    <t>Assembly, LCD screen {GLO}</t>
  </si>
  <si>
    <t>electronics\devices\module</t>
  </si>
  <si>
    <t>c73911e5-0213-33bb-ab66-7f845969caad</t>
  </si>
  <si>
    <t>Assembly, module cogen unit 160kWe {RER}</t>
  </si>
  <si>
    <t>f4369630-4581-3201-972e-d0b1c8764028</t>
  </si>
  <si>
    <t>Assembly, OLED module, at plant {GLO}</t>
  </si>
  <si>
    <t>a07beacc-9d2a-3778-a513-17de0cb8e323</t>
  </si>
  <si>
    <t>Atrazine, at regional storehouse {CH}</t>
  </si>
  <si>
    <t>441f099e-095b-37e9-a8d7-97297f572154</t>
  </si>
  <si>
    <t>Atrazine, at regional storehouse {RER}</t>
  </si>
  <si>
    <t>b2bad41a-ab89-356e-8280-b7843ebd5e27</t>
  </si>
  <si>
    <t>Autoclaved aerated concrete block, at plant {CH}</t>
  </si>
  <si>
    <t>construction\concrete</t>
  </si>
  <si>
    <t>86015fcf-0270-3f66-b705-ee531fe5f3ae</t>
  </si>
  <si>
    <t>Average mineral fertiliser, as K2O, at regional storehouse {RER}</t>
  </si>
  <si>
    <t>agricultural\agricultural means of production\mineral fertiliser</t>
  </si>
  <si>
    <t>cf07d5ee-6e17-3b09-9ea6-3b6e9decf25a</t>
  </si>
  <si>
    <t>Average mineral fertiliser, as N, at regional storehouse {RER}</t>
  </si>
  <si>
    <t>4699067e-316f-3c01-92eb-e1841c5cb9e9</t>
  </si>
  <si>
    <t>Average mineral fertiliser, as P2O5, at regional storehouse {RER}</t>
  </si>
  <si>
    <t>d46710c6-8eea-3a34-bb0b-1e7f32487331</t>
  </si>
  <si>
    <t>Avoided burden from recycling, c-Si PV module {RER}</t>
  </si>
  <si>
    <t>b92429b9-d268-4502-a6c7-9f5d656a198c</t>
  </si>
  <si>
    <t>Avoided burden from recycling, CdTe PV module {DE}</t>
  </si>
  <si>
    <t>d11d3fc9-cd92-48f6-b955-d4e5f95a0a6c</t>
  </si>
  <si>
    <t>Azobe (SFM), standing, under bark, in rain forest {CM}</t>
  </si>
  <si>
    <t>wood\extraction</t>
  </si>
  <si>
    <t>ad7548e0-2caf-31ca-908c-2d521c47bcd2</t>
  </si>
  <si>
    <t>Azobe, allocation correction 1 {GLO}</t>
  </si>
  <si>
    <t>wood\extraction\allocation corrections</t>
  </si>
  <si>
    <t>bab057b8-7987-34ca-bb76-a31454e4a60a</t>
  </si>
  <si>
    <t>Azobe, allocation correction 2 {GLO}</t>
  </si>
  <si>
    <t>0d193c28-abef-3585-a486-d261e11c7379</t>
  </si>
  <si>
    <t>Backlight, LCD screen, at plant {GLO}</t>
  </si>
  <si>
    <t>1be9866e-db97-3a13-8889-18fca3649486</t>
  </si>
  <si>
    <t>Bagasse, from sweet sorghum, at distillery {CN}</t>
  </si>
  <si>
    <t>bd2910ad-47c5-301b-b881-442c524b7b70</t>
  </si>
  <si>
    <t>Baling {CH}</t>
  </si>
  <si>
    <t>2f696874-6313-3ea7-95a7-ffbd721c45ad</t>
  </si>
  <si>
    <t>Barge {RER}</t>
  </si>
  <si>
    <t>water\operations\infrastructure</t>
  </si>
  <si>
    <t>789a5d04-1198-3e33-845d-14b3f6808fc9</t>
  </si>
  <si>
    <t>Barge tanker {RER}</t>
  </si>
  <si>
    <t>a5d8cdba-4f36-3d10-9311-a4ba7096c330</t>
  </si>
  <si>
    <t>Barite, at plant {RER}</t>
  </si>
  <si>
    <t>6218c61e-8520-3cbc-9d6f-bd6017757c52</t>
  </si>
  <si>
    <t>Bark chips, hardwood, wet, measured as dry mass, at sawmill {CH}</t>
  </si>
  <si>
    <t>wood\wooden materials\new processes\other material</t>
  </si>
  <si>
    <t>709c7cd1-7409-303f-8096-09ef7ebbf1f2</t>
  </si>
  <si>
    <t>Bark chips, hardwood, wet, measured as dry mass, at sawmill {RER}</t>
  </si>
  <si>
    <t>3e3bc268-9b7b-3d5a-ab1d-b2c2003da5ee</t>
  </si>
  <si>
    <t>Bark chips, production mix, wet, measured as dry mass, at sawmill &amp; plant {RER}</t>
  </si>
  <si>
    <t>8521753f-bc5e-38d8-b875-6da10db176ad</t>
  </si>
  <si>
    <t>Bark chips, production mix, wet, measured as dry mass, at sawmill {CH}</t>
  </si>
  <si>
    <t>6ae30871-729c-3e0d-93dc-573248cc7b84</t>
  </si>
  <si>
    <t>Bark chips, softwood, u=140%, holzpur, at plant {CH}</t>
  </si>
  <si>
    <t>wood\wooden materials\extraction</t>
  </si>
  <si>
    <t>9ca68c88-b390-3b0b-8992-1bc20f381470</t>
  </si>
  <si>
    <t>Bark chips, softwood, wet, measured as dry mass, at sawmill {CH}</t>
  </si>
  <si>
    <t>d0310580-c8e6-331e-8b40-ca449901fd2f</t>
  </si>
  <si>
    <t>Bark chips, softwood, wet, measured as dry mass, at sawmill {RER}</t>
  </si>
  <si>
    <t>473eef0e-ed24-3229-8b09-1d1a7a5811bf</t>
  </si>
  <si>
    <t>Bark chips, wet, from hard fibreboard production, measured as dry mass, at plant {RER}</t>
  </si>
  <si>
    <t>8d3da656-96d4-397d-b231-096b977e02eb</t>
  </si>
  <si>
    <t>Bark chips, wet, from oriented strand board production, measured as dry mass, at plant {RER}</t>
  </si>
  <si>
    <t>0f0df413-02a7-33f3-aabe-88413f23f86a</t>
  </si>
  <si>
    <t>Bark chips, wet, from particle board production, uncoated, average glue mix, measured as dry mass, at plant {RER}</t>
  </si>
  <si>
    <t>29c14f69-8b2e-3af6-93f8-8a12c48756bf</t>
  </si>
  <si>
    <t>Bark chips, wet, from soft fibreboard production, from wet &amp; dry processes, measured as dry mass, at plant {RER}</t>
  </si>
  <si>
    <t>35720a6f-0394-379f-8f48-caeff2ac1e6c</t>
  </si>
  <si>
    <t>Bark, hardwood, after debarking, at sawmill {CH}</t>
  </si>
  <si>
    <t>3c3c99f8-680c-312a-8b0a-a67ec4c644cb</t>
  </si>
  <si>
    <t>Bark, hardwood, after debarking, at sawmill {RER}</t>
  </si>
  <si>
    <t>0ba631f3-a8bd-36e8-882a-e1bb9364fee1</t>
  </si>
  <si>
    <t>Bark, softwood, after debarking, at sawmill {CH}</t>
  </si>
  <si>
    <t>0844f1c2-a1bd-3ac8-9b4e-ba918edf266c</t>
  </si>
  <si>
    <t>Bark, softwood, after debarking, at sawmill {RER}</t>
  </si>
  <si>
    <t>134247d5-54eb-3afe-86b1-0ae052c11564</t>
  </si>
  <si>
    <t>agricultural\plant production</t>
  </si>
  <si>
    <t>186aa424-503a-3bc7-912c-e6d2e3f36c5b</t>
  </si>
  <si>
    <t>Barley grains IP, at farm {CH}</t>
  </si>
  <si>
    <t>2b310f5b-1dcd-3a82-a51b-99001d6c928e</t>
  </si>
  <si>
    <t>Barley grains organic, at farm {CH}</t>
  </si>
  <si>
    <t>88e07c72-0ef8-3a7b-a2c8-0bb1d162eb07</t>
  </si>
  <si>
    <t>Barley seed IP, at regional storehouse {CH}</t>
  </si>
  <si>
    <t>agricultural\plant production\seeds</t>
  </si>
  <si>
    <t>97d5d65e-7e57-301c-a6a2-d68f40167281</t>
  </si>
  <si>
    <t>Barley seed organic, at regional storehouse {CH}</t>
  </si>
  <si>
    <t>fe6e1850-9847-3fc5-b74f-dde093f435ac</t>
  </si>
  <si>
    <t>Barley straw extensive, at farm {CH}</t>
  </si>
  <si>
    <t>462c3374-c897-3ffd-a727-da58e70b1963</t>
  </si>
  <si>
    <t>Barley straw IP, at farm {CH}</t>
  </si>
  <si>
    <t>ac35397f-d8c1-3342-a98d-b44c861e3a61</t>
  </si>
  <si>
    <t>Barley straw organic, at farm {CH}</t>
  </si>
  <si>
    <t>156f3f00-ef71-36c2-86a5-9c01f8ec6c33</t>
  </si>
  <si>
    <t>Basalt, at mine {RER}</t>
  </si>
  <si>
    <t>9790811b-f1ed-329e-9252-1beb31c9d17e</t>
  </si>
  <si>
    <t>Basalt, Flumroc, at mine {CH}</t>
  </si>
  <si>
    <t>minerals\other material</t>
  </si>
  <si>
    <t>9ce2128d-aab2-3a73-9b1d-a9c69d037fe2</t>
  </si>
  <si>
    <t>Basic oxygen furnace gas, burned in power plant {RER}</t>
  </si>
  <si>
    <t>metals\production</t>
  </si>
  <si>
    <t>7b5b44c9-1e9b-368e-bfaa-20c395e80c8d</t>
  </si>
  <si>
    <t>Basic oxygen furnace slag, at plant {RER}</t>
  </si>
  <si>
    <t>f7790ca6-bab4-3853-a412-fea64f11be1d</t>
  </si>
  <si>
    <t>Battery-cooling-system, passive, at plant {RAS}</t>
  </si>
  <si>
    <t>7ba53be9-19cd-331a-b4e9-3a255a021254</t>
  </si>
  <si>
    <t>Battery-managment-system, at plant {RAS}</t>
  </si>
  <si>
    <t>53bcb9a0-f664-343f-8d89-bc8ae0e7690a</t>
  </si>
  <si>
    <t>Battery BoP {GLO}</t>
  </si>
  <si>
    <t>57ff1043-7376-3321-b0d5-b0bf47cf9062</t>
  </si>
  <si>
    <t>800c15d2-03b4-3b04-a03a-e33d6653db4b</t>
  </si>
  <si>
    <t>Battery cell, Li-ion, NMC111 {GLO}</t>
  </si>
  <si>
    <t>aadedb31-43c4-379a-a0fd-fca88161a17c</t>
  </si>
  <si>
    <t>Battery cell, LTO {GLO}</t>
  </si>
  <si>
    <t>82eca213-a432-3ce0-9fec-fab58dbdce29</t>
  </si>
  <si>
    <t>Battery cell, NCA {GLO}</t>
  </si>
  <si>
    <t>7351b32f-c416-3f9c-ae00-311baf5f0f43</t>
  </si>
  <si>
    <t>b89ac948-c350-3199-a33c-70269dc6b2dc</t>
  </si>
  <si>
    <t>Battery cell, NMC-622 {GLO}</t>
  </si>
  <si>
    <t>ab42c9c9-591a-3ede-ae74-1d52392aa29c</t>
  </si>
  <si>
    <t>Battery management system {GLO}</t>
  </si>
  <si>
    <t>a3054f59-f31d-3564-bd17-616c633d0df1</t>
  </si>
  <si>
    <t>Battery module packaging, Li-ion {GLO}</t>
  </si>
  <si>
    <t>1178ba4e-4e1d-3f46-ba15-e15610d94207</t>
  </si>
  <si>
    <t>Battery packaging {GLO}</t>
  </si>
  <si>
    <t>40954f7a-7a98-379f-9d2f-3357f41cfc24</t>
  </si>
  <si>
    <t>Battery retention {GLO}</t>
  </si>
  <si>
    <t>a2511314-6a46-31d6-9341-1a14d91f2440</t>
  </si>
  <si>
    <t>Battery tray {GLO}</t>
  </si>
  <si>
    <t>82d8505b-7336-3edd-9cc8-c800d5611678</t>
  </si>
  <si>
    <t>678e731c-148d-3bb2-b3db-11423011f7ce</t>
  </si>
  <si>
    <t>Battery, LiIo, rechargeable, prismatic, at plant {GLO}</t>
  </si>
  <si>
    <t>960ee8d7-acb1-382b-b05d-4b4070cba823</t>
  </si>
  <si>
    <t>Battery, LiIo, rechargeable, prismatic,LiFePO4 {CH}</t>
  </si>
  <si>
    <t>electronics\module</t>
  </si>
  <si>
    <t>634437ec-acf2-32c2-a502-d516048d02b2</t>
  </si>
  <si>
    <t>723d1c56-48e0-3f09-8d14-cb966ce26939</t>
  </si>
  <si>
    <t>Battery, rechargeable, prismatic, LiNCM, at plant {NO}</t>
  </si>
  <si>
    <t>cee8c87a-511e-3fb2-b489-f98d26c10beb</t>
  </si>
  <si>
    <t>Bauxite, at mine {GLO}</t>
  </si>
  <si>
    <t>38a10a7b-baef-3102-a798-be49919d839b</t>
  </si>
  <si>
    <t>Beamer, at plant {GLO}</t>
  </si>
  <si>
    <t>37420479-8999-3e55-93a8-c26811845307</t>
  </si>
  <si>
    <t>Bearing layer, bituminised {CH}</t>
  </si>
  <si>
    <t>33d15198-3ef7-3ce1-9778-0f0e95e9e922</t>
  </si>
  <si>
    <t>Bentonite, at mine {DE}</t>
  </si>
  <si>
    <t>46b41c21-db2d-3ca1-b727-8581181a0605</t>
  </si>
  <si>
    <t>Bentonite, at processing {DE}</t>
  </si>
  <si>
    <t>29500b09-4438-3768-a314-0ff78362820c</t>
  </si>
  <si>
    <t>Benzal chloride, at plant {RER}</t>
  </si>
  <si>
    <t>7eaf0519-5704-3b63-8c07-a7e5e19c5f3b</t>
  </si>
  <si>
    <t>Benzene, at plant {RER}</t>
  </si>
  <si>
    <t>cc45b5d8-b51c-3511-9138-6328a672d020</t>
  </si>
  <si>
    <t>oil\fuels</t>
  </si>
  <si>
    <t>d0a00133-7274-305b-9af8-7bbf3f2489f6</t>
  </si>
  <si>
    <t>Benzimidazole-compounds, at regional storehouse {CH}</t>
  </si>
  <si>
    <t>68ce642d-26ce-3ddc-ae65-f057d99764a9</t>
  </si>
  <si>
    <t>Benzimidazole-compounds, at regional storehouse {RER}</t>
  </si>
  <si>
    <t>63c42af8-593e-30d3-b2c8-bb2db1c3d760</t>
  </si>
  <si>
    <t>Benzo[thia]diazole-compounds, at regional storehouse {CH}</t>
  </si>
  <si>
    <t>88d3ff27-17c3-3801-bb9f-8a040c531ee9</t>
  </si>
  <si>
    <t>Benzo[thia]diazole-compounds, at regional storehouse {RER}</t>
  </si>
  <si>
    <t>5f28b611-f8d0-3d9b-bef6-884718117b86</t>
  </si>
  <si>
    <t>Benzyl alcohol, at plant {RER}</t>
  </si>
  <si>
    <t>37cc3779-631f-37d6-9fee-bb335e4eeea0</t>
  </si>
  <si>
    <t>Benzyl chloride, at plant {RER}</t>
  </si>
  <si>
    <t>1f862f9a-0b0c-3c2f-8969-0c3f4e9a8e25</t>
  </si>
  <si>
    <t>Berlin wall anchored, infill concrete, average {CH}</t>
  </si>
  <si>
    <t>construction processes\civil engineering</t>
  </si>
  <si>
    <t>13797dd6-1768-3c49-93c4-72fa66a838bd</t>
  </si>
  <si>
    <t>Berlin wall dual-anchored with longarine, drilled, infill concrete, Bushof Jona {CH}</t>
  </si>
  <si>
    <t>ef6bdc23-59da-332d-85af-726b7fe48b2e</t>
  </si>
  <si>
    <t>Berlin wall dual-anchored with longarine, drilled, infill concrete, Sandgruben Basel {CH}</t>
  </si>
  <si>
    <t>705c2f4f-7969-3bc2-9b1d-2229654ca464</t>
  </si>
  <si>
    <t>Berlin wall dual-anchored without longarine, drilled, infill concrete, Stellwerk Winterthur {CH}</t>
  </si>
  <si>
    <t>5c96917d-48f0-3a45-9ae6-27900450b5b0</t>
  </si>
  <si>
    <t>Berlin wall dual-anchored without longarine, vibrated, infill concrete, Integra Wallisellen {CH}</t>
  </si>
  <si>
    <t>65cbcb34-3b2a-34cc-81bf-2397ebffd532</t>
  </si>
  <si>
    <t>Berlin wall dual-anchored, infill concrete, average {CH}</t>
  </si>
  <si>
    <t>fe7ec8de-9c34-3671-aad7-970bebdd08f6</t>
  </si>
  <si>
    <t>Berlin wall projecting, drilled, infill concrete, average {CH}</t>
  </si>
  <si>
    <t>44fa567c-41be-3dd9-a30e-2440991f0a9a</t>
  </si>
  <si>
    <t>Berlin wall projecting, drilled, infill concrete, Kulturpark Pfinstweidstrasse Zürich {CH}</t>
  </si>
  <si>
    <t>92741cbe-57ed-3c38-adec-4a2bf13905d5</t>
  </si>
  <si>
    <t>Berlin wall projecting, drilled, infill concrete, MFH Waltersbachstrasse Zürich {CH}</t>
  </si>
  <si>
    <t>70032bbf-d584-331a-887a-ef25d4105a22</t>
  </si>
  <si>
    <t>Berlin wall single-anchored with longarine, drilled, infill concrete, Sandgruben Basel {CH}</t>
  </si>
  <si>
    <t>68510e9a-a8c9-3fa4-a17b-75b47e9dc628</t>
  </si>
  <si>
    <t>Berlin wall single-anchored without longarine, vibrated, infill concrete, Integra Wallisellen {CH}</t>
  </si>
  <si>
    <t>03305d6c-9bac-3130-95fe-112a7ee165be</t>
  </si>
  <si>
    <t>Berlin wall strutted apart, infill concrete, average {CH}</t>
  </si>
  <si>
    <t>fb345691-cf94-3926-929e-f78219813c19</t>
  </si>
  <si>
    <t>Berlin wall, single-anchored, infill concrete, average {CH}</t>
  </si>
  <si>
    <t>a45a487a-ad76-3a06-9355-fa1c0406f781</t>
  </si>
  <si>
    <t>Bicycle, at regional storage {RER}</t>
  </si>
  <si>
    <t>51643996-6a33-3487-86cd-5c863ba66aa5</t>
  </si>
  <si>
    <t>Bicycle, conventional, urban, 2020 {CH}</t>
  </si>
  <si>
    <t>transport systems\road\Transformation\Infrastructure</t>
  </si>
  <si>
    <t>030c5f02-ef2c-30fd-9c3a-5c0566489e0d</t>
  </si>
  <si>
    <t>Bicycle, electric (&lt;25 km/h), LFP battery, 2020 {CH}</t>
  </si>
  <si>
    <t>eda5adce-ac36-3bb2-948c-664da4d34833</t>
  </si>
  <si>
    <t>Bicycle, electric (&lt;25 km/h), NCA battery, 2020 {CH}</t>
  </si>
  <si>
    <t>de0f8127-3571-395b-8f7f-6888c5a0e943</t>
  </si>
  <si>
    <t>Bicycle, electric (&lt;25 km/h), NMC battery, 2020 {CH}</t>
  </si>
  <si>
    <t>01856e75-9542-3c4f-bc37-fa1045038ad2</t>
  </si>
  <si>
    <t>Bicycle, electric (&lt;45 km/h), LFP battery, 2020 {CH}</t>
  </si>
  <si>
    <t>a37e8111-0e37-3abb-8c43-b6e598c327d5</t>
  </si>
  <si>
    <t>Bicycle, electric (&lt;45 km/h), NCA battery, 2020 {CH}</t>
  </si>
  <si>
    <t>8bb135b0-7f76-36c7-bba8-c6137545410a</t>
  </si>
  <si>
    <t>Bicycle, electric (&lt;45 km/h), NMC battery, 2020 {CH}</t>
  </si>
  <si>
    <t>2acfc3e9-f3f7-3d57-a2b8-182cafa5a910</t>
  </si>
  <si>
    <t>Bicycle, electric, cargo bike, LFP battery, 2020 {CH}</t>
  </si>
  <si>
    <t>47be04f8-f8be-37d3-a0fc-ccbe481396b0</t>
  </si>
  <si>
    <t>Bicycle, electric, cargo bike, NCA battery, 2020 {CH}</t>
  </si>
  <si>
    <t>c7ab29ab-e1f3-3c68-ac3b-5ced3f27c7c3</t>
  </si>
  <si>
    <t>Bicycle, electric, cargo bike, NMC battery, 2020 {CH}</t>
  </si>
  <si>
    <t>3f38012e-f136-390d-9f5b-3bcf7dc10230</t>
  </si>
  <si>
    <t>Bimetallic busbars and washers {GLO}</t>
  </si>
  <si>
    <t>a2a41f2a-f75a-3126-80bb-0bf0198f3ffc</t>
  </si>
  <si>
    <t>Biochar, from spruce wood pyrolysis {CH}</t>
  </si>
  <si>
    <t>chemicals\gases\transformation</t>
  </si>
  <si>
    <t>e6357fcb-9ae0-3792-b8ed-4c935d89a505</t>
  </si>
  <si>
    <t>Biocides, for paper production, unspecified, at plant {RER}</t>
  </si>
  <si>
    <t>1b23c244-1495-31ec-aeed-cf83c28a80ad</t>
  </si>
  <si>
    <t>Biodiesel from cooking oil {RER}</t>
  </si>
  <si>
    <t>fuels\biofuels\Biodiesel\Transformation</t>
  </si>
  <si>
    <t>c932e96e-5f96-37aa-ae32-62aa4e738554</t>
  </si>
  <si>
    <t>Biodiesel, from used cooking oil, at fuelling station {RER}</t>
  </si>
  <si>
    <t>a495ee34-cdf2-3af5-9772-ca38959024e9</t>
  </si>
  <si>
    <t>Biogas purification, to methane, 96 vol-%, pressure swing adsorption {CH}</t>
  </si>
  <si>
    <t>biomass\fuels</t>
  </si>
  <si>
    <t>3b436c80-d1b8-3deb-a396-3db92c790de5</t>
  </si>
  <si>
    <t>Biogas purification, to methane, 97 vol-%, glycol washing process {CH}</t>
  </si>
  <si>
    <t>fuels\biofuels\methane</t>
  </si>
  <si>
    <t>a38d2cb9-2390-3c27-9244-657f01f19ac6</t>
  </si>
  <si>
    <t>Biogas purification, to methane, 99 vol-%, amino washing process {CH}</t>
  </si>
  <si>
    <t>a95731d9-5ad8-3f5c-aafa-e3f98a6f8b10</t>
  </si>
  <si>
    <t>Biogas purification, to methane, 99 vol-%, membrane technology process {CH}</t>
  </si>
  <si>
    <t>e5565e65-b8bd-3f37-8db8-0aea66514e9d</t>
  </si>
  <si>
    <t>Biogas, from agricultural co-digestion, not covered, at storage {CH}</t>
  </si>
  <si>
    <t>fuels\biofuels\biogas</t>
  </si>
  <si>
    <t>b8bdf4af-0405-365c-b025-9adbc8d8c7ad</t>
  </si>
  <si>
    <t>Biogas, from agricultural digestion, not covered, at storage {CH}</t>
  </si>
  <si>
    <t>871799fb-7303-3352-a899-e0eb848148cb</t>
  </si>
  <si>
    <t>Biogas, from beet residues, co-digestion, at storage {CH}</t>
  </si>
  <si>
    <t>2b06b6e9-02c3-354a-888b-cada6c015e52</t>
  </si>
  <si>
    <t>Biogas, from biowaste, at agricultural co-fermentation, covered {CH}</t>
  </si>
  <si>
    <t>9e5d91a4-e352-35e9-be9b-8c3867862d72</t>
  </si>
  <si>
    <t>Biogas, from biowaste, at storage {CH}</t>
  </si>
  <si>
    <t>cc46cf85-395b-3c22-b795-f91b7643e2ba</t>
  </si>
  <si>
    <t>Biogas, from biowaste, at storage, economic allocation {CH}</t>
  </si>
  <si>
    <t>9dc806e3-8e16-3c11-9904-3afa1041e68a</t>
  </si>
  <si>
    <t>Biogas, from fat and oil, at agricultural co-fermentation, covered {CH}</t>
  </si>
  <si>
    <t>8dba8640-90fc-3e6e-8064-b912a5211f3f</t>
  </si>
  <si>
    <t>Biogas, from fodder beet, co-digestion, at storage {CH}</t>
  </si>
  <si>
    <t>1db69a18-bc2a-3a8a-aa77-63e515022d6b</t>
  </si>
  <si>
    <t>Biogas, from glycerine, co-digestion, at storage {CH}</t>
  </si>
  <si>
    <t>abe42920-96a7-323d-949d-0db3f930743e</t>
  </si>
  <si>
    <t>Biogas, from glycerine, co-digestion, at storage, scenario vegetable oil {CH}</t>
  </si>
  <si>
    <t>fddf7a87-9e4f-3242-aa72-c2081c7a415b</t>
  </si>
  <si>
    <t>Biogas, from maize silage, co-digestion, at storage {CH}</t>
  </si>
  <si>
    <t>e4ba4ff2-4848-3a38-9e54-ebc089d8bdc7</t>
  </si>
  <si>
    <t>Biogas, from molasses, co-digestion, at storage {CH}</t>
  </si>
  <si>
    <t>eca607c8-2752-3308-b860-41e9dc4e5006</t>
  </si>
  <si>
    <t>Biogas, from sewage sludge, at storage {CH}</t>
  </si>
  <si>
    <t>48fcf676-a615-3322-92c3-446ec829a70c</t>
  </si>
  <si>
    <t>Biogas, from slurry, at agricultural co-fermentation, covered {CH}</t>
  </si>
  <si>
    <t>5abcdc6e-68af-3722-b33e-bbff95724ca5</t>
  </si>
  <si>
    <t>Biogas, from sugar beet, co-digestion, at storage {CH}</t>
  </si>
  <si>
    <t>269a6238-19b6-3ffe-9574-40390a4a4a9f</t>
  </si>
  <si>
    <t>Biogas, mix, at agricultural co-fermentation, covered {CH}</t>
  </si>
  <si>
    <t>695524cc-cb57-3a31-bef1-08a9b012decc</t>
  </si>
  <si>
    <t>Biogas, production mix, at storage {CH}</t>
  </si>
  <si>
    <t>d37144cf-970c-302f-b79f-4bfa52e3599a</t>
  </si>
  <si>
    <t>Biomethane, burned in boiler condensing modulating 15kW {CH}</t>
  </si>
  <si>
    <t>heat\biomass\heating systems</t>
  </si>
  <si>
    <t>b439d0f1-aac4-3fc4-90d7-068068056b82</t>
  </si>
  <si>
    <t>Biomethane, burned in boiler condensing modulating 300kW {CH}</t>
  </si>
  <si>
    <t>1cc32757-d93b-316e-96e3-50bd5cae5b72</t>
  </si>
  <si>
    <t>Biomethane, burned in boiler condensing modulating 50kW (proj. 210) {CH}</t>
  </si>
  <si>
    <t>4967b2bb-8839-3641-b8ab-0be01b64d1a6</t>
  </si>
  <si>
    <t>Biomethane, burned in boiler condensing modulating 50kW {CH}</t>
  </si>
  <si>
    <t>ff91110c-1656-34b1-a845-87ce7531e461</t>
  </si>
  <si>
    <t>Biomethane, burned in cogen 15kWth {CH}</t>
  </si>
  <si>
    <t>heat\biomethane\cogeneration</t>
  </si>
  <si>
    <t>0bc708df-9b27-3357-aaff-f00580f90ba6</t>
  </si>
  <si>
    <t>Biomethane, burned in cogen 1MWth {CH}</t>
  </si>
  <si>
    <t>dc52b81c-58d0-3afb-b25f-1469c0847d6a</t>
  </si>
  <si>
    <t>Biomethane, burned in cogen 300kWth {CH}</t>
  </si>
  <si>
    <t>411c2e46-9b2e-3929-b413-dc145eba1319</t>
  </si>
  <si>
    <t>Biomethane, burned in cogen 50kWth {CH}</t>
  </si>
  <si>
    <t>cc6a9c60-8635-3bcc-8dfa-eeaa73d1ce3a</t>
  </si>
  <si>
    <t>Biomethane, burned in industrial furnace 1MW {CH}</t>
  </si>
  <si>
    <t>1bae11e2-c22b-3038-849d-4ff1dda273c3</t>
  </si>
  <si>
    <t>Biowaste, at collection point {CH}</t>
  </si>
  <si>
    <t>agricultural\others</t>
  </si>
  <si>
    <t>2cdf82d5-f9f7-3461-8a51-42ed38b314ca</t>
  </si>
  <si>
    <t>Bipolar plate {GLO}</t>
  </si>
  <si>
    <t>70c57968-6675-35ed-afb4-ee538fe9e486</t>
  </si>
  <si>
    <t>Bipyridylium-compounds, at regional storehouse {CH}</t>
  </si>
  <si>
    <t>48b3aeec-37a2-36e2-b989-eca568478eda</t>
  </si>
  <si>
    <t>Bipyridylium-compounds, at regional storehouse {RER}</t>
  </si>
  <si>
    <t>49bc6c97-c524-3c67-b739-88c31a077694</t>
  </si>
  <si>
    <t>Bisphenol A, powder, at plant {RER}</t>
  </si>
  <si>
    <t>4ef9c067-e357-33f0-837a-659b928864e5</t>
  </si>
  <si>
    <t>Bitumen adhesive compound, cold, at plant {RER}</t>
  </si>
  <si>
    <t>construction\sealing</t>
  </si>
  <si>
    <t>add499d7-1625-3e50-a85b-06400167b589</t>
  </si>
  <si>
    <t>4ce7df0f-0ae5-3c01-b199-9bb44750207d</t>
  </si>
  <si>
    <t>Bitumen sealing Alu80, at plant {RER}</t>
  </si>
  <si>
    <t>bab3fce5-e0ce-32b7-b66f-b12d4ee9e053</t>
  </si>
  <si>
    <t>Bitumen sealing V60, at plant {RER}</t>
  </si>
  <si>
    <t>ce1f9b74-ae2f-30ef-945d-45b4f8899bde</t>
  </si>
  <si>
    <t>Bitumen sealing VA4, at plant {RER}</t>
  </si>
  <si>
    <t>91660580-4c03-3aca-b660-3c8f03747cad</t>
  </si>
  <si>
    <t>Bitumen sealing, at plant {RER}</t>
  </si>
  <si>
    <t>19a30ae8-aecf-39c3-8150-12bb8793dac7</t>
  </si>
  <si>
    <t>Bitumen sealing, polymer EP4 flame retardant, at plant {RER}</t>
  </si>
  <si>
    <t>3d538f1d-78d1-3f06-aa76-b177d735edb4</t>
  </si>
  <si>
    <t>Bitumen, at refinery {CH}</t>
  </si>
  <si>
    <t>ff21fce1-7c0b-3a83-b3b0-0646ddc71b90</t>
  </si>
  <si>
    <t>Bitumen, at refinery {RER}</t>
  </si>
  <si>
    <t>0f173a65-f695-38df-8d7a-9b9258a9aa22</t>
  </si>
  <si>
    <t>Blade server, at data center {GLO}</t>
  </si>
  <si>
    <t>electronics\internet network</t>
  </si>
  <si>
    <t>63d6114e-911c-3e41-913c-94e17e0b6712</t>
  </si>
  <si>
    <t>Blast furnace {RER}</t>
  </si>
  <si>
    <t>metals\ferro\production\infrastructure</t>
  </si>
  <si>
    <t>7c281d62-c9e7-34a7-bbb3-5c41ebdb3889</t>
  </si>
  <si>
    <t>Blast furnace gas, burned in power plant {RER}</t>
  </si>
  <si>
    <t>heat\natural gas\power plants</t>
  </si>
  <si>
    <t>e2ca6688-ef52-3e85-a7aa-ae15767c6b45</t>
  </si>
  <si>
    <t>Blast furnace slag cement, at plant {CH}</t>
  </si>
  <si>
    <t>construction\binders</t>
  </si>
  <si>
    <t>2a2632dc-5aee-3802-9957-d0c475216e4a</t>
  </si>
  <si>
    <t>Blast furnace slag, at plant {RER}</t>
  </si>
  <si>
    <t>b7f0fc59-a718-397d-800e-d27947ecd2bd</t>
  </si>
  <si>
    <t>Blast oxygen furnace converter {RER}</t>
  </si>
  <si>
    <t>36dd3895-b9e4-337b-b16d-96861d062541</t>
  </si>
  <si>
    <t>Blasting {RER}</t>
  </si>
  <si>
    <t>Others\unspecified</t>
  </si>
  <si>
    <t>f4afe0ed-9682-35b1-8c80-43a0d8bf3898</t>
  </si>
  <si>
    <t>Borax, anhydrous, powder, at plant {RER}</t>
  </si>
  <si>
    <t>51300f1a-2cf0-32e6-b9fb-558b60cc9125</t>
  </si>
  <si>
    <t>Bored concrete pile, 720mm, piped, Alterssiedlung Seefeldstrasse Zürich {CH}</t>
  </si>
  <si>
    <t>m</t>
  </si>
  <si>
    <t>a3da4846-e80f-3a6a-8a3a-597fb989ce5c</t>
  </si>
  <si>
    <t>Bored concrete pile, 900mm, piped, Alterssiedlung Seefeldstrasse Zürich {CH}</t>
  </si>
  <si>
    <t>7196f637-b534-3e86-8eba-3405af08e98f</t>
  </si>
  <si>
    <t>Bored pile wall, overlapped, anchored, Stadtspital Triemli Zürich {CH}</t>
  </si>
  <si>
    <t>961921ae-b13d-3f11-a0d4-b0516e661fff</t>
  </si>
  <si>
    <t>Bored pile wall, overlapped, non-anchored {CH}</t>
  </si>
  <si>
    <t>c588e0e3-c203-30f7-9159-a346f04ce269</t>
  </si>
  <si>
    <t>Bored pile wall, overlapped, strutted apart, Alterssiedlung Seefeldstrasse Zürich {CH}</t>
  </si>
  <si>
    <t>22054091-22ea-3b0e-9b20-ef284f4dce61</t>
  </si>
  <si>
    <t>Borehole heat exchanger, 300m {CH}</t>
  </si>
  <si>
    <t>heat\heat pumps\heating systems</t>
  </si>
  <si>
    <t>91cf4b23-e335-32e9-9f30-2c96e178dd83</t>
  </si>
  <si>
    <t>Borehole heat exchanger, per m {CH}</t>
  </si>
  <si>
    <t>1fc967aa-2e67-370e-a8aa-6d7514066919</t>
  </si>
  <si>
    <t>Borehole heat exchanger, specific heat demand 10W {CH}</t>
  </si>
  <si>
    <t>6b026065-c4cc-3b23-8ad9-180ea1f0e98b</t>
  </si>
  <si>
    <t>Boric acid, anhydrous, powder, at plant {RER}</t>
  </si>
  <si>
    <t>chemicals\acids (inorganic)</t>
  </si>
  <si>
    <t>03b94c73-7c4c-35b9-bc43-a9e013f10a75</t>
  </si>
  <si>
    <t>Boric oxide, at plant {GLO}</t>
  </si>
  <si>
    <t>b0f022ec-7c92-3912-aff1-0980965a281c</t>
  </si>
  <si>
    <t>Boron carbide, at plant {GLO}</t>
  </si>
  <si>
    <t>7e79ac9d-4424-387d-9821-140f5ccc667f</t>
  </si>
  <si>
    <t>Boron trifluoride, at plant {GLO}</t>
  </si>
  <si>
    <t>f3952cae-45ad-3ba0-8cb6-2a8f1e43603f</t>
  </si>
  <si>
    <t>Brake wear emissions, lorry {RER}</t>
  </si>
  <si>
    <t>transport systems\road</t>
  </si>
  <si>
    <t>c2869f0a-31c9-31db-ad05-37ecd492eae4</t>
  </si>
  <si>
    <t>Brake wear emissions, passenger car {RER}</t>
  </si>
  <si>
    <t>e19204bc-3cff-3ad1-bfd6-957987dbbd54</t>
  </si>
  <si>
    <t>Branch connections and fittings, stainless steel {CH}</t>
  </si>
  <si>
    <t>heating\production of components</t>
  </si>
  <si>
    <t>c1c6be48-b011-38d8-b95e-a4072129e308</t>
  </si>
  <si>
    <t>Branch connections and fittings, steel {CH}</t>
  </si>
  <si>
    <t>10b39440-e875-345e-a874-e381f86c4549</t>
  </si>
  <si>
    <t>Brass,  architectural bronze sheet {CH}</t>
  </si>
  <si>
    <t>9d2dd21b-138a-350e-aea7-38a46f3fc347</t>
  </si>
  <si>
    <t>Brass, architectural bronze sheet, with resource correction {CH}</t>
  </si>
  <si>
    <t>0fc30b9d-9931-3994-a869-78903abc5b27</t>
  </si>
  <si>
    <t>35204306-4a12-34dc-9938-16add1d942c9</t>
  </si>
  <si>
    <t>Brazing solder, cadmium free, at plant {RER}</t>
  </si>
  <si>
    <t>0ef0f09a-2605-3c51-be01-d78d5024a85c</t>
  </si>
  <si>
    <t>construction\bricks</t>
  </si>
  <si>
    <t>d5ba924c-dc97-374c-a3de-13043d280a74</t>
  </si>
  <si>
    <t>Brick, filled with perlite, at regional storage {CH}</t>
  </si>
  <si>
    <t>construction materials\bricks</t>
  </si>
  <si>
    <t>6cb6413f-4964-3e85-9d89-52de95510ec5</t>
  </si>
  <si>
    <t>Brick, in sorting plant {CH}</t>
  </si>
  <si>
    <t>waste management\building demolition</t>
  </si>
  <si>
    <t>721937cf-4ba2-4bfc-aa31-4ee19a55b7d0</t>
  </si>
  <si>
    <t>Brick, market mix, at regional storage {CH}</t>
  </si>
  <si>
    <t>ddfce4a2-9639-37fa-b421-7a506f03cf1f</t>
  </si>
  <si>
    <t>Briquette, Flumroc, at plant {CH}</t>
  </si>
  <si>
    <t>construction\others</t>
  </si>
  <si>
    <t>18a506a4-5e50-30a7-90c5-ed4132eb7937</t>
  </si>
  <si>
    <t>Bromine, at plant {RER}</t>
  </si>
  <si>
    <t>43de07b4-5110-32ce-8d10-669d54e839dd</t>
  </si>
  <si>
    <t>c7c52b3c-889e-353f-89da-bb62deeccfb1</t>
  </si>
  <si>
    <t>Buffer tank {GLO}</t>
  </si>
  <si>
    <t>fuels\hydrogen\Transformation\Infrastructure</t>
  </si>
  <si>
    <t>2a66d8db-0afb-3ef6-89e6-48c6f179006a</t>
  </si>
  <si>
    <t>853eecbe-ecd0-3119-bb72-68e5ac63cbde</t>
  </si>
  <si>
    <t>construction\others\infrastructure</t>
  </si>
  <si>
    <t>949cba80-fd0f-3f96-9d04-0835f9b93dbd</t>
  </si>
  <si>
    <t>Building, hall, steel construction {CH}</t>
  </si>
  <si>
    <t>ca5a6b7c-4d6a-3e28-a61f-ac1d807a4ecc</t>
  </si>
  <si>
    <t>Building, hall, wood construction {CH}</t>
  </si>
  <si>
    <t>664cad25-52c1-354b-9ff5-a7896e96a7cd</t>
  </si>
  <si>
    <t>552ee3f6-4f6a-3b85-a72c-5707a3b0f9c7</t>
  </si>
  <si>
    <t>Bulk goods, construction, combustible, in MSWI {CH}</t>
  </si>
  <si>
    <t>0c697903-99e9-456e-a010-abc28eff7435</t>
  </si>
  <si>
    <t>Bundle, energy wood, birch, sustainable forest management, measured as dry mass, at forest road {SE}</t>
  </si>
  <si>
    <t>5f79855d-b443-3efc-9b77-f621419c8ad4</t>
  </si>
  <si>
    <t>Bundle, energy wood, pine, sustainable forest management, measured as dry mass, at forest road {SE}</t>
  </si>
  <si>
    <t>b0815548-3332-39b5-a983-917c1ba601c1</t>
  </si>
  <si>
    <t>Bundle, energy wood, spruce, sustainable forest management, measured as dry mass, at forest road {SE}</t>
  </si>
  <si>
    <t>39b26bd7-f275-39b1-aa86-d6da58ad5661</t>
  </si>
  <si>
    <t>Burning of 1 g diesel in locomotive with particle filter (93%) {CH}</t>
  </si>
  <si>
    <t>transport systems\train</t>
  </si>
  <si>
    <t>ecc0cc51-5787-3098-b67f-40a0d6d25ca4</t>
  </si>
  <si>
    <t>Burning of 1 g diesel in locomotive without particle filter {RER}</t>
  </si>
  <si>
    <t>ddc6249a-6011-31a2-9324-b002bddf95aa</t>
  </si>
  <si>
    <t>Burnt shale, at plant {DE}</t>
  </si>
  <si>
    <t>construction materials\concrete</t>
  </si>
  <si>
    <t>d8ec4be3-c410-3806-98f5-a2ec5a284fee</t>
  </si>
  <si>
    <t>Bus {RER}</t>
  </si>
  <si>
    <t>5a19e7b9-90cf-3a08-ae31-bc812311f534</t>
  </si>
  <si>
    <t>Butadiene, at plant {RER}</t>
  </si>
  <si>
    <t>c4205d45-8dfb-3aad-ab3f-339c6b1da3f4</t>
  </si>
  <si>
    <t>Butane-1,4-diol, at plant {RER}</t>
  </si>
  <si>
    <t>fa38ef6e-2d70-3ebe-b490-a7549ab4328d</t>
  </si>
  <si>
    <t>Butene, mixed, at plant {RER}</t>
  </si>
  <si>
    <t>dacb7921-fc1f-3ac6-8903-c667d2bddaf4</t>
  </si>
  <si>
    <t>Butyl acrylate, at plant {RER}</t>
  </si>
  <si>
    <t>81ac7a43-1a92-39b0-b781-986b29901f62</t>
  </si>
  <si>
    <t>Butyrolactone {GLO}</t>
  </si>
  <si>
    <t>3bfa057a-c24d-31d1-a3a1-413da6a6f403</t>
  </si>
  <si>
    <t>Cabin, for lorry {RER}</t>
  </si>
  <si>
    <t>transport systems\road\Vehicle components</t>
  </si>
  <si>
    <t>7ddf70ef-51d5-353d-9e4f-9519016e869d</t>
  </si>
  <si>
    <t>Cabinet panel {CH}</t>
  </si>
  <si>
    <t>energy supply, kbob recommendation\heat pumps, waste water</t>
  </si>
  <si>
    <t>3eb3b159-8ce3-3f49-9408-6fecae196896</t>
  </si>
  <si>
    <t>Cable car infrastructure {CH}</t>
  </si>
  <si>
    <t>transport systems\cable car</t>
  </si>
  <si>
    <t>827a2031-f140-3492-864c-8f36534c2481</t>
  </si>
  <si>
    <t>Cable car, for passenger transport {CH}</t>
  </si>
  <si>
    <t>bc991dc2-ecc3-35fb-800c-d0db72008995</t>
  </si>
  <si>
    <t>Cable yarder with sled winch, at plant {RER}</t>
  </si>
  <si>
    <t>1e9a8a8a-01c6-3ec0-a1a3-ab455fbb2dbb</t>
  </si>
  <si>
    <t>Cable yarding and processing, mobile cable yarder on truck {RER}</t>
  </si>
  <si>
    <t>y</t>
  </si>
  <si>
    <t>5286ada8-7703-3573-9619-cf191439ee57</t>
  </si>
  <si>
    <t>Cable yarding, mobile cable yarder on trailer {RER}</t>
  </si>
  <si>
    <t>c8664f74-c27b-3a9f-93a1-456608f10bc5</t>
  </si>
  <si>
    <t>Cable yarding, sled yarder {RER}</t>
  </si>
  <si>
    <t>45c40d1f-332c-35b6-b793-81d307e279a2</t>
  </si>
  <si>
    <t>Cable, connector for computer, without plugs, at plant {GLO}</t>
  </si>
  <si>
    <t>48a49a0d-4ca9-3a63-9f6a-f48247e1a5c1</t>
  </si>
  <si>
    <t>Cable, data cable in infrastructure, at plant {GLO}</t>
  </si>
  <si>
    <t>65aec195-832d-3b1b-8d8d-0bcac2160392</t>
  </si>
  <si>
    <t>Cable, network cable, category 5, without plugs, at plant {GLO}</t>
  </si>
  <si>
    <t>d9fad792-5b9f-39d5-814e-d15fd9a767ac</t>
  </si>
  <si>
    <t>Cable, printer cable, without plugs, at plant {GLO}</t>
  </si>
  <si>
    <t>e7bf3741-ebb7-3557-adac-b4063ac626dc</t>
  </si>
  <si>
    <t>Cable, ribbon cable, 20-pin, with plugs, at plant {GLO}</t>
  </si>
  <si>
    <t>62d03858-9356-3a2c-a739-8f5040b431f8</t>
  </si>
  <si>
    <t>Cable, three-conductor cable, at plant {GLO}</t>
  </si>
  <si>
    <t>10b19bdd-fb0f-3731-a72c-95fbf2607455</t>
  </si>
  <si>
    <t>Cables {RER}</t>
  </si>
  <si>
    <t>b0b225cf-b86d-32fb-86bb-051418cdf7e5</t>
  </si>
  <si>
    <t>Cadmium chloride, semiconductor-grade, at plant {US}</t>
  </si>
  <si>
    <t>d418a8bd-bc54-334f-9174-b0449955754e</t>
  </si>
  <si>
    <t>Cadmium sludge, from zinc electrolysis, at plant {GLO}</t>
  </si>
  <si>
    <t>19fc9b3b-2c21-3a56-87b5-f93b8b8dad90</t>
  </si>
  <si>
    <t>Cadmium sludge, recovered from CdTe PV module treatment {DE}</t>
  </si>
  <si>
    <t>e03527cc-5d57-4a30-9193-0327118c3ba7</t>
  </si>
  <si>
    <t>Cadmium sulphide, semiconductor-grade, at plant {US}</t>
  </si>
  <si>
    <t>575aa608-ed9c-3c86-b1a9-3f25f4aa9cc3</t>
  </si>
  <si>
    <t>Cadmium telluride, semiconductor-grade, at plant {US}</t>
  </si>
  <si>
    <t>32e7c3fe-a948-352f-a973-00322f4552f9</t>
  </si>
  <si>
    <t>Cadmium, primary, at plant {GLO}</t>
  </si>
  <si>
    <t>7f656f5c-03d0-3716-bb6b-184bdcf2379c</t>
  </si>
  <si>
    <t>48a25aa7-777b-37c2-bae9-bb1db526f73d</t>
  </si>
  <si>
    <t>Calcareous marl, at plant {CH}</t>
  </si>
  <si>
    <t>ee8118cc-b584-3e5c-a667-155b6f959328</t>
  </si>
  <si>
    <t>Calcium ammonium nitrate, as N, at regional storehouse {RER}</t>
  </si>
  <si>
    <t>941c6721-d698-3b04-b46a-fe25eaedad6c</t>
  </si>
  <si>
    <t>Calcium borates, at plant {TR}</t>
  </si>
  <si>
    <t>2b963bc1-059d-3a35-a2b6-ade92d4d4b11</t>
  </si>
  <si>
    <t>Calcium carbide, technical grade, at plant {RER}</t>
  </si>
  <si>
    <t>879ab927-95ca-349b-88cb-a1dff6e58d48</t>
  </si>
  <si>
    <t>Calcium chloride, CaCl2, at plant {RER}</t>
  </si>
  <si>
    <t>5b81a011-1c43-3344-bdaf-1778d6de03bf</t>
  </si>
  <si>
    <t>e3827b15-2839-3afe-90c6-c0aba372c16e</t>
  </si>
  <si>
    <t>90c2d19f-09cf-3144-b264-f40b2a91a024</t>
  </si>
  <si>
    <t>Calendering, rigid sheets {RER}</t>
  </si>
  <si>
    <t>plastics\unspecified</t>
  </si>
  <si>
    <t>9ed430d8-92ed-30ed-920d-a26d29d38d91</t>
  </si>
  <si>
    <t>Canal {RER}</t>
  </si>
  <si>
    <t>my</t>
  </si>
  <si>
    <t>859a7f0f-5f90-39f0-bd83-6012c40ba1ee</t>
  </si>
  <si>
    <t>Canning of legumes {CH}</t>
  </si>
  <si>
    <t>food industry\processing</t>
  </si>
  <si>
    <t>bcd8ea60-8d17-34e2-8e4b-300c20eaa2f4</t>
  </si>
  <si>
    <t>Capacitor, electrolyte type, &lt; 2cm height, at plant {GLO}</t>
  </si>
  <si>
    <t>7b1aff74-0f04-3fe3-9ede-8b410a1d8299</t>
  </si>
  <si>
    <t>Capacitor, electrolyte type, &gt; 2cm height, at plant {GLO}</t>
  </si>
  <si>
    <t>4b946575-d314-34c3-931d-5f3216a22d78</t>
  </si>
  <si>
    <t>Capacitor, film, through-hole mounting, at plant {GLO}</t>
  </si>
  <si>
    <t>4c358092-eae3-323b-9a62-3a164e7130bf</t>
  </si>
  <si>
    <t>Capacitor, SMD type, surface-mounting, at plant {GLO}</t>
  </si>
  <si>
    <t>9ca934a0-d413-33ba-aedb-c0b2d4685783</t>
  </si>
  <si>
    <t>Capacitor, Tantalum-, through-hole mounting, at plant {GLO}</t>
  </si>
  <si>
    <t>a5367a2d-a9cb-3ea2-8a00-0b2fede0ebcb</t>
  </si>
  <si>
    <t>Capacitor, unspecified, at plant {GLO}</t>
  </si>
  <si>
    <t>1f6e11ec-c669-309f-b0d5-97f71b7cfc5a</t>
  </si>
  <si>
    <t>Carbon black, at plant {GLO}</t>
  </si>
  <si>
    <t>47f77cec-3512-394d-b274-b351c225d996</t>
  </si>
  <si>
    <t>Carbon dioxide compression, transport and storage {CH}</t>
  </si>
  <si>
    <t>df1d4e3c-8c25-4b6d-8d2b-52d9abd4ab13</t>
  </si>
  <si>
    <t>a24fb540-2e25-3291-b3e0-e420a71778f6</t>
  </si>
  <si>
    <t>Carbon dioxide storage, at hydrogen production plant, pre, pipeline 200km, storage 1000m {CH}</t>
  </si>
  <si>
    <t>8cefb06a-5a04-3a21-a3ed-bce0fc14d01e</t>
  </si>
  <si>
    <t>Carbon dioxide, captured at cement production plant, for subsequent reuse {CH}</t>
  </si>
  <si>
    <t>85eccedb-6739-344e-8b8c-0ef1aea8390d</t>
  </si>
  <si>
    <t>Carbon dioxide, captured at cement production plant, with heat recovery, for subsequent reuse {CH}</t>
  </si>
  <si>
    <t>aa95dc60-623b-3281-82dc-9d34c21d47d8</t>
  </si>
  <si>
    <t>Carbon dioxide, captured at municipal solid waste incineration plant, for subsequent reuse {CH}</t>
  </si>
  <si>
    <t>d0144850-f6c8-3e74-8ccb-cd41c737576f</t>
  </si>
  <si>
    <t>Carbon dioxide, captured at municipal solid waste incineration plant, with heat recovery, for subsequent reuse {CH}</t>
  </si>
  <si>
    <t>1f29ef75-fc40-3eda-949f-3db105e61d5d</t>
  </si>
  <si>
    <t>Carbon dioxide, captured from atmosphere, with a sorbent-based direct air capture system, 100ktCO2 {CH}</t>
  </si>
  <si>
    <t>16e65254-155a-356a-aff5-9b0a07ba1f92</t>
  </si>
  <si>
    <t>Carbon dioxide, captured from atmosphere, with adsorbent-based direct air capture system, operated with HP, 100kt CO2 {CH}</t>
  </si>
  <si>
    <t>bf3edfd6-d2bc-3885-8acb-5c718d43ae2d</t>
  </si>
  <si>
    <t>Carbon disulfide, at plant {GLO}</t>
  </si>
  <si>
    <t>7af62572-4847-3553-9615-1132b7fd76f2</t>
  </si>
  <si>
    <t>Carbon fiber production, exhaust gas treatment 1 {RER}</t>
  </si>
  <si>
    <t>a9d83829-9984-3ac8-9d9b-e117585f5861</t>
  </si>
  <si>
    <t>Carbon fiber production, exhaust gas treatment 2 {RER}</t>
  </si>
  <si>
    <t>3b3e5514-7324-38de-b56a-6a666d868310</t>
  </si>
  <si>
    <t>Carbon fiber production, fiber coagulation, stretching, washing, sizing and drying {RER}</t>
  </si>
  <si>
    <t>c96b9153-a6d5-38c7-918c-30f772b832f3</t>
  </si>
  <si>
    <t>Carbon fiber production, fiber drying and sizing {RER}</t>
  </si>
  <si>
    <t>25688ef8-ef86-3156-b578-2f5020a52b58</t>
  </si>
  <si>
    <t>Carbon fiber production, fiber relaxation {RER}</t>
  </si>
  <si>
    <t>44cadd86-1a78-35dd-bd35-c79b6e693782</t>
  </si>
  <si>
    <t>Carbon fiber production, fiber stabilization, carbonization, electrolysis and washing {RER}</t>
  </si>
  <si>
    <t>8c2f2ebc-1a72-3910-a61d-1c7ea21e6678</t>
  </si>
  <si>
    <t>Carbon fiber production, fiber winding and unwinding {RER}</t>
  </si>
  <si>
    <t>6f254d20-7d06-3d9e-b812-0ebb173fa1da</t>
  </si>
  <si>
    <t>Carbon fiber production, weaved, at factory {RER}</t>
  </si>
  <si>
    <t>6fb00d85-2c93-3d8b-99ad-f322ebe77abb</t>
  </si>
  <si>
    <t>Carbon fiber, weaved, at factory {RER}</t>
  </si>
  <si>
    <t>transport systems\road\Vehicle components\Energy storage\Hydrogen tank</t>
  </si>
  <si>
    <t>3cd8d00e-da30-328d-99fd-d86a60a4f7a2</t>
  </si>
  <si>
    <t>Carbon monoxide, CO, at plant {RER}</t>
  </si>
  <si>
    <t>a2304e5c-3813-3dfb-a1e4-1ee71d27868d</t>
  </si>
  <si>
    <t>Carbon tetrachloride, at plant {RER}</t>
  </si>
  <si>
    <t>0a1033cd-0bf1-3ee9-8942-87d11f4b5b76</t>
  </si>
  <si>
    <t>Carboxymethyl cellulose, powder, at plant {RER}</t>
  </si>
  <si>
    <t>chemicals\washing agents\auxiliaries</t>
  </si>
  <si>
    <t>68a626c2-facd-3f88-a5c2-b5cb15115739</t>
  </si>
  <si>
    <t>Case, for smartphone, at plant {GLO}</t>
  </si>
  <si>
    <t>479ba9f8-944a-3b29-a97a-4d7978d790de</t>
  </si>
  <si>
    <t>Case, for tablet, at plant {GLO}</t>
  </si>
  <si>
    <t>e80d1580-f99a-308d-aa64-42441640f786</t>
  </si>
  <si>
    <t>metals\ferro</t>
  </si>
  <si>
    <t>ea445393-9bd6-3cf6-932d-b73f3d415bce</t>
  </si>
  <si>
    <t>Cast iron, at plant, with resource correction {CH}</t>
  </si>
  <si>
    <t>47bc5c87-7420-3138-a810-92e007f96d48</t>
  </si>
  <si>
    <t>Casting, brass {CH}</t>
  </si>
  <si>
    <t>metals\chipless shaping</t>
  </si>
  <si>
    <t>6a67e3e0-e90f-37e7-be91-77ac29c6c5c7</t>
  </si>
  <si>
    <t>Casting, bronze {CH}</t>
  </si>
  <si>
    <t>3b42d682-8230-37d8-ac3a-47d3918edcff</t>
  </si>
  <si>
    <t>Catalyst layer {GLO}</t>
  </si>
  <si>
    <t>36d3f337-d50f-3ee1-9c0c-0aac61616fcb</t>
  </si>
  <si>
    <t>Catalytic converter, oxidation, 20 litre {RER}</t>
  </si>
  <si>
    <t>heat\oil\cogeneration\power unit\infrastructure</t>
  </si>
  <si>
    <t>d441778a-3b96-39cf-a436-5d12418e63eb</t>
  </si>
  <si>
    <t>Catalytic converter, SCR, 200 litre {RER}</t>
  </si>
  <si>
    <t>f8226e1b-06f6-3397-b246-3455e49c7f20</t>
  </si>
  <si>
    <t>Catalytic converter, three-way, 19.1 litre {RER}</t>
  </si>
  <si>
    <t>14eaef73-c9d5-3496-acfa-e25eaad3e685</t>
  </si>
  <si>
    <t>Catalytic converter, three-way, Mini CHP plant {CH}</t>
  </si>
  <si>
    <t>bc0e90c6-8192-3855-8da3-414c1e72ec40</t>
  </si>
  <si>
    <t>Catenary masts {RER}</t>
  </si>
  <si>
    <t>8938b304-5f86-34a3-84fc-173e5b117a72</t>
  </si>
  <si>
    <t>Catenary system {RER}</t>
  </si>
  <si>
    <t>969dcf7f-4cb7-34ce-b210-64423619aa93</t>
  </si>
  <si>
    <t>Cathode-ray tube, CRT screen, at plant {GLO}</t>
  </si>
  <si>
    <t>a16b491e-fea2-3852-ba88-c5d089e279ba</t>
  </si>
  <si>
    <t>Cathode {GLO}</t>
  </si>
  <si>
    <t>22886c51-7cf7-31a1-b061-2467d23a05c3</t>
  </si>
  <si>
    <t>Cathode current collector, LFP {JP}</t>
  </si>
  <si>
    <t>55d9fc82-f1e1-3458-bc28-337e12dbfb07</t>
  </si>
  <si>
    <t>Cathode current collector, LTO {JP}</t>
  </si>
  <si>
    <t>e2120ccd-cd0d-3360-9617-6f066e8534dd</t>
  </si>
  <si>
    <t>Cathode current collector, NCA {JP}</t>
  </si>
  <si>
    <t>de055965-3358-3dfc-8f16-85b9f7120ada</t>
  </si>
  <si>
    <t>Cathode paste, LFP {JP}</t>
  </si>
  <si>
    <t>6f43aff7-497a-3031-982e-19ee857290e5</t>
  </si>
  <si>
    <t>Cathode paste, NCA {JP}</t>
  </si>
  <si>
    <t>0a08432a-0959-376b-81ac-c39d54eacbd0</t>
  </si>
  <si>
    <t>Cathode, aluminium electrolysis {RER}</t>
  </si>
  <si>
    <t>metals\non ferro\production</t>
  </si>
  <si>
    <t>24389f67-180d-3431-ae23-0198ab20232a</t>
  </si>
  <si>
    <t>Cathode, lithium-ion battery, LiFePO4 {CH}</t>
  </si>
  <si>
    <t>c6386db1-664d-3846-ba2f-bd1ef571a1c4</t>
  </si>
  <si>
    <t>Cathode, lithium-ion battery, lithium manganese oxide, at plant {CN}</t>
  </si>
  <si>
    <t>21aa4d8a-7ea9-34dc-b5cd-d296eac95c0c</t>
  </si>
  <si>
    <t>Cathode, lithium-ion battery, NCM, at plant {RAS}</t>
  </si>
  <si>
    <t>44a61d76-709d-38f9-a66a-fc60cae0c864</t>
  </si>
  <si>
    <t>Cathode, lithium-ion battery, NMC111 {GLO}</t>
  </si>
  <si>
    <t>417f3433-6ba6-351f-9b53-23ce5eba9fc9</t>
  </si>
  <si>
    <t>Cathode, NMC-622 {GLO}</t>
  </si>
  <si>
    <t>bb04f3f1-50ea-350f-a0f4-cf3e0daa249d</t>
  </si>
  <si>
    <t>Cationic resin, at plant {CH}</t>
  </si>
  <si>
    <t>edfd11eb-34e3-39a6-819e-0cba3d41d1c4</t>
  </si>
  <si>
    <t>CD-ROM, DVD-ROM drive, desktop computer, at plant {GLO}</t>
  </si>
  <si>
    <t>d39cf774-0f2b-3d2f-9a2d-9579c380b88b</t>
  </si>
  <si>
    <t>CD-ROM, DVD-ROM drive, laptop computer, at plant {GLO}</t>
  </si>
  <si>
    <t>175d4739-c8e9-3152-a44e-1d6d3491580a</t>
  </si>
  <si>
    <t>Cell container {GLO}</t>
  </si>
  <si>
    <t>a7d3c1d3-055c-3d21-88c1-7dcdf1cac8dc</t>
  </si>
  <si>
    <t>Cellular glass aggregate Misapor, at plant {CH}</t>
  </si>
  <si>
    <t>construction materials\misapor</t>
  </si>
  <si>
    <t>bec8f889-cb7d-3f89-b202-b210c324c37e</t>
  </si>
  <si>
    <t>Cellular glass aggregate, at regional storage {CH}</t>
  </si>
  <si>
    <t>c890ba9e-0af2-3f0c-bd1f-ebf25c2fdbc9</t>
  </si>
  <si>
    <t>Cellulose fibres (injected) (isofloc 2012) {CH}</t>
  </si>
  <si>
    <t>e62c6873-86bb-3307-9c80-efac91af8457</t>
  </si>
  <si>
    <t>Cellulose fibres (injected) (isofloc 2012), import, at plant {CH}</t>
  </si>
  <si>
    <t>dfa56033-29c4-351a-a710-ec62c1776fe9</t>
  </si>
  <si>
    <t>1f34891d-3d5c-30fe-b6ff-84eadd1cdd98</t>
  </si>
  <si>
    <t>CEM I cement, at plant {CH}</t>
  </si>
  <si>
    <t>construction materials\binder</t>
  </si>
  <si>
    <t>f6e494ae-dcd3-326b-9701-da19b3e1620e</t>
  </si>
  <si>
    <t>CEM II, A cement, at plant {CH}</t>
  </si>
  <si>
    <t>0da651cb-94ae-3dea-88fb-3807b29363f6</t>
  </si>
  <si>
    <t>CEM II, A cement, GGBFS with burdens, at plant {CH}</t>
  </si>
  <si>
    <t>b922823d-2e14-3a96-93bb-698a3f0b727e</t>
  </si>
  <si>
    <t>CEM II, B-LL cement, at plant {CH}</t>
  </si>
  <si>
    <t>0884c269-5b53-330c-9fdd-e085230f9768</t>
  </si>
  <si>
    <t>CEM II, B cement, at plant {CH}</t>
  </si>
  <si>
    <t>fb1f6c81-a18e-3d37-97f1-dd0b8f01e0ad</t>
  </si>
  <si>
    <t>CEM III, A cement, at plant {CH}</t>
  </si>
  <si>
    <t>f29dd8cc-f4df-3908-9727-95545a84d739</t>
  </si>
  <si>
    <t>CEM III, A cement, GGBFS with burdens, at plant {CH}</t>
  </si>
  <si>
    <t>89dbc997-bbc5-35fb-ba59-0551b8ecadf7</t>
  </si>
  <si>
    <t>CEM III, B cement, at plant {CH}</t>
  </si>
  <si>
    <t>dbd2b3dd-09ea-3aa3-82f7-d0092f56439f</t>
  </si>
  <si>
    <t>CEM III, B cement, GGBFS with burdens, at plant {CH}</t>
  </si>
  <si>
    <t>0c089b7d-40b3-33b9-af63-a6ac39fbfa85</t>
  </si>
  <si>
    <t>Cement (in concrete) and masonry mortar, in sorting plant {CH}</t>
  </si>
  <si>
    <t>1dd72e38-f565-4c97-94f0-e733a2c96dcf</t>
  </si>
  <si>
    <t>Cement floor screed, matured {CH}</t>
  </si>
  <si>
    <t>7b0006d6-928b-3d87-b64b-7798f2f676c1</t>
  </si>
  <si>
    <t>Cement floor screed, per m2 {CH}</t>
  </si>
  <si>
    <t>c88cd4d1-6a40-3ec2-96c6-e458efb11b0a</t>
  </si>
  <si>
    <t>Cement floor screed, ready for processing {CH}</t>
  </si>
  <si>
    <t>26ad3d46-29a1-3533-999d-70a18acfe534</t>
  </si>
  <si>
    <t>Cement lime plaster, at plant {CH}</t>
  </si>
  <si>
    <t>57607d68-84cb-3b59-93b1-ea4edde2a8c4</t>
  </si>
  <si>
    <t>Cement lime plaster, matured {CH}</t>
  </si>
  <si>
    <t>f0e717c1-1e02-3fc6-a088-71478a609f69</t>
  </si>
  <si>
    <t>Cement mortar, at plant {CH}</t>
  </si>
  <si>
    <t>af69dc4a-2bc9-3831-9cd2-74239009bfb6</t>
  </si>
  <si>
    <t>Cement plant {CH}</t>
  </si>
  <si>
    <t>construction\binders\infrastructure</t>
  </si>
  <si>
    <t>30df91c3-fac6-3ccf-835b-71863079263a</t>
  </si>
  <si>
    <t>Cement plaster, at plant {CH}</t>
  </si>
  <si>
    <t>e54200a9-deb0-31b2-9e3d-50efd865943e</t>
  </si>
  <si>
    <t>Cement plaster, matured {CH}</t>
  </si>
  <si>
    <t>3451c10d-d817-321d-9631-7de4a08f98c3</t>
  </si>
  <si>
    <t>Cement ZN, D, at plant {CH}</t>
  </si>
  <si>
    <t>c3490cfc-bcf2-38a2-a8c1-2d50ba65c83e</t>
  </si>
  <si>
    <t>Cement, unspecified, at plant {CH}</t>
  </si>
  <si>
    <t>39f4c4a5-a5f8-3299-8841-9ab862d9e8fa</t>
  </si>
  <si>
    <t>Cement, unspecified, market mix, at regional storage {CH}</t>
  </si>
  <si>
    <t>5a8e6078-981c-3edf-aa23-e14c099fb5ba</t>
  </si>
  <si>
    <t>Ceramic plant {CH}</t>
  </si>
  <si>
    <t>ceramics\infrastructure</t>
  </si>
  <si>
    <t>356388ef-8f73-3766-9eac-8ef6fdde9329</t>
  </si>
  <si>
    <t>Ceramic tiles, at regional storage {CH}</t>
  </si>
  <si>
    <t>bde85dee-cc05-3396-beab-0d47566421af</t>
  </si>
  <si>
    <t>Cerium concentrate, 60% cerium oxide, at plant {CN}</t>
  </si>
  <si>
    <t>696d5460-02b4-3278-b64d-eb7275086ba7</t>
  </si>
  <si>
    <t>Charcoal, at plant {GLO}</t>
  </si>
  <si>
    <t>d08c6edb-5245-368f-bc5d-28a6d4dd865f</t>
  </si>
  <si>
    <t>Charger {RER}</t>
  </si>
  <si>
    <t>a123b7b4-2c1f-3777-a2b9-5d29f705f398</t>
  </si>
  <si>
    <t>Charger, for electric passenger car {RER}</t>
  </si>
  <si>
    <t>0bcb4455-be14-3db5-82f4-59254b61884f</t>
  </si>
  <si>
    <t>Charger, for electric scooter {RER}</t>
  </si>
  <si>
    <t>d2f11c80-00bc-39c9-b9e4-e9eaefcea9c7</t>
  </si>
  <si>
    <t>Charger, for smartphone, at plant {GLO}</t>
  </si>
  <si>
    <t>6fb8d38b-cdef-3d8f-ab47-f8b320a93948</t>
  </si>
  <si>
    <t>Charger, for tablet, at plant {GLO}</t>
  </si>
  <si>
    <t>a18c26ee-2c29-3089-8bb3-9b5d4399facf</t>
  </si>
  <si>
    <t>Charging stand {RER}</t>
  </si>
  <si>
    <t>42fccbc0-6a3a-3508-b565-6d6c388758ab</t>
  </si>
  <si>
    <t>Charging station, 100W {GLO}</t>
  </si>
  <si>
    <t>962174af-e089-3f53-9422-4f3dd0db9b62</t>
  </si>
  <si>
    <t>Charging station, 3kW {GLO}</t>
  </si>
  <si>
    <t>9dcdcb51-bef5-3281-bd69-ccd67864f47e</t>
  </si>
  <si>
    <t>Charging station, 500W {GLO}</t>
  </si>
  <si>
    <t>61182162-0116-3ff6-8944-1e3949add592</t>
  </si>
  <si>
    <t>Chassis, network main devices, at plant {GLO}</t>
  </si>
  <si>
    <t>1eee03d1-475f-3836-8cb3-e730ea8ef5f9</t>
  </si>
  <si>
    <t>Chemical plant, organics {RER}</t>
  </si>
  <si>
    <t>chemicals\organic\infrastructure</t>
  </si>
  <si>
    <t>13ed4fe0-7ba5-3b60-82b6-a63918ee814d</t>
  </si>
  <si>
    <t>90d675e2-e433-3ef4-abc3-4a6735350d72</t>
  </si>
  <si>
    <t>4d96ad56-9dd3-3fda-bff6-d24796d01043</t>
  </si>
  <si>
    <t>Chimney {CH}</t>
  </si>
  <si>
    <t>heat\oil\heating systems</t>
  </si>
  <si>
    <t>234cbea1-85a2-3d99-8740-78c18e719241</t>
  </si>
  <si>
    <t>Chipper, mobile, diesel {RER}</t>
  </si>
  <si>
    <t>wood\infrastructure</t>
  </si>
  <si>
    <t>1ff424db-987f-3a23-b48e-82ec2d47c858</t>
  </si>
  <si>
    <t>Chipper, stationary, electric {RER}</t>
  </si>
  <si>
    <t>27407c4a-b0d4-306d-b3ac-7313687d7509</t>
  </si>
  <si>
    <t>Chlorine dioxide, at plant {RER}</t>
  </si>
  <si>
    <t>734e02e1-7200-37aa-84b5-1d0728d5e994</t>
  </si>
  <si>
    <t>Chlorine, gaseous, diaphragm cell, at plant {RER}</t>
  </si>
  <si>
    <t>527bc704-38dc-3061-b093-371023213c49</t>
  </si>
  <si>
    <t>Chlorine, gaseous, membrane cell, at plant {RER}</t>
  </si>
  <si>
    <t>8d48acd2-f507-38c2-984b-a0820f3305ff</t>
  </si>
  <si>
    <t>Chlorine, gaseous, mercury cell, at plant {RER}</t>
  </si>
  <si>
    <t>5e03106d-1cf4-3e27-9461-9bdd7630a127</t>
  </si>
  <si>
    <t>Chlorine, liquid, production mix, at plant {RER}</t>
  </si>
  <si>
    <t>8d838be7-6796-3fc1-98f9-24789691ed97</t>
  </si>
  <si>
    <t>Chlorodifluoromethane, at plant {NL}</t>
  </si>
  <si>
    <t>fd9c4fc5-a71e-37bb-ac48-abb578a611ce</t>
  </si>
  <si>
    <t>Chloromethyl methyl ether, at plant {RER}</t>
  </si>
  <si>
    <t>2f54f23b-c0a9-3bc9-aa62-3e5ff665702d</t>
  </si>
  <si>
    <t>Chopping, maize {CH}</t>
  </si>
  <si>
    <t>b0113271-c312-37e5-a8de-004756b62077</t>
  </si>
  <si>
    <t>Chopping, palm wood bunches, in forest {RER}</t>
  </si>
  <si>
    <t>wood\unspecified</t>
  </si>
  <si>
    <t>e7d0066d-e8db-392e-b2a3-e60d9e9f94b1</t>
  </si>
  <si>
    <t>Chromite, ore concentrate, at beneficiation {GLO}</t>
  </si>
  <si>
    <t>cc5a0e54-4eb4-38b9-90c3-b5ed7f56a8fb</t>
  </si>
  <si>
    <t>Chromium-nickel steel 18/8, primary production (0% Rec.) {CH}</t>
  </si>
  <si>
    <t>cab9aa15-c176-3917-9fa2-1f934f0e6d63</t>
  </si>
  <si>
    <t>Chromium-nickel steel 18/8, recycling share 2000 (37% Rec.) {CH}</t>
  </si>
  <si>
    <t>767e51e2-4de8-34a7-abfd-50fcfbe04d75</t>
  </si>
  <si>
    <t>Chromium-nickel steel 18/8, secondary production (100% Rec.) {CH}</t>
  </si>
  <si>
    <t>e07644ba-287f-3914-bda0-e2f589cbe898</t>
  </si>
  <si>
    <t>Chromium-nickel steel sheet 18/8, recycling share 2000 (37% Rec.) {CH}</t>
  </si>
  <si>
    <t>0bfde7ab-9ee0-3fcd-a903-f39d1060f8ed</t>
  </si>
  <si>
    <t>Chromium-nickel steel sheet 18/8, recycling share 2000 (37% Rec.), with resource correction {CH}</t>
  </si>
  <si>
    <t>74c6e311-8450-3b52-acbb-3cd1a1dda05b</t>
  </si>
  <si>
    <t>Chromium-nickel steel sheet 18/8, secondary production (100% Rec.) {CH}</t>
  </si>
  <si>
    <t>23168c71-885a-3c53-87d7-b0050b9a0f27</t>
  </si>
  <si>
    <t>Chromium-nickel steel sheet 18/8, tin-coated, recycling share 2000 (37% Rec.) {CH}</t>
  </si>
  <si>
    <t>60bc3af1-cce1-3876-8c51-66a77f88821d</t>
  </si>
  <si>
    <t>Chromium-nickel steel sheet 18/8, tin-coated, recycling share 2000 (37% Rec.), with resource correction {CH}</t>
  </si>
  <si>
    <t>3650a5ea-db82-353d-a893-1665bd8dacf2</t>
  </si>
  <si>
    <t>Chromium-nickel steel sheet 18/8, tin-coated, secondary production (100% Rec.) {CH}</t>
  </si>
  <si>
    <t>a06c6d31-7dd2-39a4-8fcd-9bd223394fea</t>
  </si>
  <si>
    <t>Chromium oxide, flakes, at plant {RER}</t>
  </si>
  <si>
    <t>1e571657-103d-3c50-b767-60f68c702b89</t>
  </si>
  <si>
    <t>fc9385f8-fe2d-3399-b663-4b66e5062a3f</t>
  </si>
  <si>
    <t>Chromium steel 18/8, primary production (0% Rec.) {CH}</t>
  </si>
  <si>
    <t>96808419-bfc5-399e-b061-cbf49d7e28e3</t>
  </si>
  <si>
    <t>798e21e8-1b27-3fef-8963-cdd6c432901c</t>
  </si>
  <si>
    <t>Chromium steel 18/8, secondary production (100% Rec.) {CH}</t>
  </si>
  <si>
    <t>84a22beb-47ed-394d-a280-fe96f3a013c1</t>
  </si>
  <si>
    <t>Chromium steel product manufacturing, average metal working {RER}</t>
  </si>
  <si>
    <t>2346a410-f9a8-3dc2-8f1b-58c345debf97</t>
  </si>
  <si>
    <t>Chromium steel sheet 18/8, recycling share 2000 (37% Rec.) {CH}</t>
  </si>
  <si>
    <t>bf673687-5b50-3a4d-a4b9-d15b302af841</t>
  </si>
  <si>
    <t>Chromium steel sheet 18/8, recycling share 2000 (37% Rec.), with resource correction {CH}</t>
  </si>
  <si>
    <t>0296b035-7a7e-3816-a05d-7f5599352488</t>
  </si>
  <si>
    <t>Chromium steel sheet 18/8, recycling share 70 %, with resource correction, at plant {CH}</t>
  </si>
  <si>
    <t>77ae2950-ebde-3dfb-9b0f-87f25471d89a</t>
  </si>
  <si>
    <t>Chromium steel sheet 18/8, secondary production (100% Rec.) {CH}</t>
  </si>
  <si>
    <t>4101a827-e601-3457-8aed-3ec97b8f9003</t>
  </si>
  <si>
    <t>Chromium steel sheet 18/8, tin-coated, recycling share 2000 (37% Rec.) {CH}</t>
  </si>
  <si>
    <t>b879e615-61fe-38cd-b769-427107c77816</t>
  </si>
  <si>
    <t>Chromium steel sheet 18/8, tin-coated, recycling share 2000 (37% Rec.), with resource correction {CH}</t>
  </si>
  <si>
    <t>9f088bf8-f7bf-3ee4-9fa7-98242a104ad0</t>
  </si>
  <si>
    <t>Chromium steel sheet 18/8, tin-coated, secondary production (100% Rec.) {CH}</t>
  </si>
  <si>
    <t>a5b435d0-6b1b-31e7-96ad-811b313d9dd9</t>
  </si>
  <si>
    <t>25fc8277-894b-36f1-a975-639cd9213e12</t>
  </si>
  <si>
    <t>Circulation pump {RER}</t>
  </si>
  <si>
    <t>df4f5139-d70d-35e6-bef7-5840d044606b</t>
  </si>
  <si>
    <t>construction\cladding</t>
  </si>
  <si>
    <t>6d120328-1f3a-3061-af19-fe6dbb29514b</t>
  </si>
  <si>
    <t>Cladding, crossbar-pole, aluminium, at plant, with resource correction {CH}</t>
  </si>
  <si>
    <t>d48b49fb-03d5-3141-a795-40677cc19fc0</t>
  </si>
  <si>
    <t>Clamps and fasteners {GLO}</t>
  </si>
  <si>
    <t>0c56326f-4375-3961-8bd8-d3562bbb7aec</t>
  </si>
  <si>
    <t>28369c99-4a9e-33a8-8125-82ada2ed4188</t>
  </si>
  <si>
    <t>9c774e54-6be7-30de-8f50-1db39feede0e</t>
  </si>
  <si>
    <t>Cleft timber, beech, sustainable forest management, measured as dry mass, at forest road {DE}</t>
  </si>
  <si>
    <t>e6834609-4bda-3287-8e5e-b4c536bbf3fe</t>
  </si>
  <si>
    <t>Cleft timber, birch, sustainable forest management, measured as dry mass, at forest road {SE}</t>
  </si>
  <si>
    <t>15165eef-b782-39b6-b143-efb88d986026</t>
  </si>
  <si>
    <t>Cleft timber, cork, measured as dry mass, at forest road {PT}</t>
  </si>
  <si>
    <t>de31e42e-ea4a-3afc-9193-0f104a9ada88</t>
  </si>
  <si>
    <t>Cleft timber, hardwood, sustainable forest management, measured as dry mass, at forest road {CH}</t>
  </si>
  <si>
    <t>f7a45343-8285-3b66-beb8-f6dd109c186e</t>
  </si>
  <si>
    <t>Cleft timber, oak, sustainable forest management, measured as dry mass, at forest road {DE}</t>
  </si>
  <si>
    <t>113fe531-7122-3041-9180-7d770ab1aeb3</t>
  </si>
  <si>
    <t>Cleft timber, pine, sustainable forest management, measured as dry mass, at forest road {DE}</t>
  </si>
  <si>
    <t>f021eee0-6472-34f9-af08-10035ad8497e</t>
  </si>
  <si>
    <t>Cleft timber, pine, sustainable forest management, measured as dry mass, at forest road {SE}</t>
  </si>
  <si>
    <t>0075341c-62ef-3489-a8b0-bf78833cf822</t>
  </si>
  <si>
    <t>Cleft timber, production mix, sustainable forest management, measured as dry mass, at forest road {CH}</t>
  </si>
  <si>
    <t>a6923df8-d5cf-3e6d-8530-7c5835bec68c</t>
  </si>
  <si>
    <t>Cleft timber, production mix, sustainable forest management, measured as dry mass, at forest road {RER}</t>
  </si>
  <si>
    <t>114a352b-99e1-3543-9f15-2073aa46c59a</t>
  </si>
  <si>
    <t>Cleft timber, softwood, sustainable forest management, measured as dry mass, at forest road {CH}</t>
  </si>
  <si>
    <t>835f02bf-e86b-3a46-a09e-f231e66f7a60</t>
  </si>
  <si>
    <t>Cleft timber, spruce, sustainable forest management, measured as dry mass, at forest road {DE}</t>
  </si>
  <si>
    <t>9e4272f1-f091-3ba8-8239-abbd8abe89ea</t>
  </si>
  <si>
    <t>Cleft timber, spruce, sustainable forest management, measured as dry mass, at forest road {SE}</t>
  </si>
  <si>
    <t>be99fd63-4558-32cf-8536-824a7ca777df</t>
  </si>
  <si>
    <t>Clefting of energy wood {RER}</t>
  </si>
  <si>
    <t>2ef57fa9-1de2-3b78-8098-7c4023885b5d</t>
  </si>
  <si>
    <t>Clinker, at plant {CH}</t>
  </si>
  <si>
    <t>137152eb-d111-382a-9eae-3e592047418d</t>
  </si>
  <si>
    <t>Clover seed IP, at farm {CH}</t>
  </si>
  <si>
    <t>eb3ef647-96b6-3d09-bdce-b2a51c213e9d</t>
  </si>
  <si>
    <t>Clover seed IP, at regional storehouse {CH}</t>
  </si>
  <si>
    <t>83b7df6b-c227-3d82-a108-8d73df022817</t>
  </si>
  <si>
    <t>Coal stove, 5-15 kW {RER}</t>
  </si>
  <si>
    <t>heat\coal\furnace\infrastructure</t>
  </si>
  <si>
    <t>0f99f895-6bb3-3b16-bf60-aab9ab21b8f2</t>
  </si>
  <si>
    <t>Coating and curing, general manufacturing {GLO}</t>
  </si>
  <si>
    <t>c1c3ee91-3f33-3e85-967f-dd073e95811f</t>
  </si>
  <si>
    <t>Coating powder, at plant {RER}</t>
  </si>
  <si>
    <t>84c7ecfd-e6c3-3c24-bcb4-9341e14c1415</t>
  </si>
  <si>
    <t>Coating, flat glass {CH}</t>
  </si>
  <si>
    <t>construction materials\glazing</t>
  </si>
  <si>
    <t>8293bff9-cfe6-3655-a6aa-327b5c5c272b</t>
  </si>
  <si>
    <t>Coating, with melamine impregnated paper, double-sided {RER}</t>
  </si>
  <si>
    <t>126a814a-5543-3e3c-96e1-4c680a3a4e15</t>
  </si>
  <si>
    <t>Cobalt sulfate {GLO}</t>
  </si>
  <si>
    <t>e348e8cf-3268-3098-9f58-491f6bec5aad</t>
  </si>
  <si>
    <t>61b7f557-bf8a-3a2e-8ff9-3f886bf9eaee</t>
  </si>
  <si>
    <t>Coffee ground pellets, at regional storehouse {CH}</t>
  </si>
  <si>
    <t>fuels\biofuels</t>
  </si>
  <si>
    <t>bfc4d57f-a4e0-3671-958d-7bb20302cda0</t>
  </si>
  <si>
    <t>Coffee ground pellets, burned in furnace, ash to landfarming {CH}</t>
  </si>
  <si>
    <t>106b4b24-5b7e-399b-90c6-e1be716dbd04</t>
  </si>
  <si>
    <t>Coffee ground pellets, burned in furnace, ash to municipal incineration {CH}</t>
  </si>
  <si>
    <t>eb576375-3b9c-303e-b7c8-16795701bdcc</t>
  </si>
  <si>
    <t>Coffee ground pellets, burned in furnace, ash to sanitary landfill {CH}</t>
  </si>
  <si>
    <t>cf59a01f-7180-37c0-a8e1-fc35cfb62f2f</t>
  </si>
  <si>
    <t>Coffee ground pellets, burned in furnace, produced on site {CH}</t>
  </si>
  <si>
    <t>0fac3d69-7e2b-3de1-90a5-eaccafa3f0d9</t>
  </si>
  <si>
    <t>Coffee ground pellets, burned in wood furnace 25kW {CH}</t>
  </si>
  <si>
    <t>7b6701eb-ff77-342f-bd52-055ada76b1a4</t>
  </si>
  <si>
    <t>Coffee ground pellets, on site {CH}</t>
  </si>
  <si>
    <t>68b1e03a-0f02-39b2-a1aa-c90b989d46fe</t>
  </si>
  <si>
    <t>Cogen unit 160kWe, common components for heat+electricity {RER}</t>
  </si>
  <si>
    <t>edcd9e24-f73c-3e18-b9f7-465ef785d2e2</t>
  </si>
  <si>
    <t>Cogen unit 160kWe, components for electricity only {RER}</t>
  </si>
  <si>
    <t>4f8b0a1a-11e4-3e56-887a-2ed03c0beb71</t>
  </si>
  <si>
    <t>Cogen unit 160kWe, components for heat only {RER}</t>
  </si>
  <si>
    <t>41b4ff40-63f9-3f17-88d0-61564aa2f2cc</t>
  </si>
  <si>
    <t>Cogen unit 1MWe, common components for heat+electricity {RER}</t>
  </si>
  <si>
    <t>e0ef25e1-b21f-3735-9400-7c78de053f68</t>
  </si>
  <si>
    <t>Cogen unit 1MWe, components for electricity only {RER}</t>
  </si>
  <si>
    <t>c358953c-2ee5-39fa-8997-ee192f630572</t>
  </si>
  <si>
    <t>Cogen unit 1MWe, components for heat only {RER}</t>
  </si>
  <si>
    <t>2f0d2e6e-065a-3aeb-aaa9-49616e6698a6</t>
  </si>
  <si>
    <t>Cogen unit 200kWe diesel SCR, common components for heat+electricity {RER}</t>
  </si>
  <si>
    <t>5e24cd07-20bf-31d2-b8f4-40bdf14cc4f9</t>
  </si>
  <si>
    <t>Cogen unit 200kWe diesel SCR, components for electricity only {RER}</t>
  </si>
  <si>
    <t>f83267b1-e90a-3ed6-9c67-23024d78ffd5</t>
  </si>
  <si>
    <t>Cogen unit 200kWe diesel SCR, components for heat only {RER}</t>
  </si>
  <si>
    <t>0a3979b7-516b-3087-942b-06e02e4536b0</t>
  </si>
  <si>
    <t>Cogen unit 200kWe, common components for heat+electricity {RER}</t>
  </si>
  <si>
    <t>3da8724d-c815-3f70-aa65-4079325d8fd1</t>
  </si>
  <si>
    <t>Cogen unit 200kWe, components for electricity only {RER}</t>
  </si>
  <si>
    <t>a417512e-3012-33e1-ae0e-18a3165240a5</t>
  </si>
  <si>
    <t>Cogen unit 200kWe, components for heat only {RER}</t>
  </si>
  <si>
    <t>5016a545-4ac6-374a-86e9-ff4b1b4e6fda</t>
  </si>
  <si>
    <t>Cogen unit 500kWe, common components for heat+electricity {RER}</t>
  </si>
  <si>
    <t>45c791f5-5a60-3adc-ae26-47483b103813</t>
  </si>
  <si>
    <t>Cogen unit 500kWe, components for electricity only {RER}</t>
  </si>
  <si>
    <t>02a21fac-f948-31b4-957a-1c27fa00e408</t>
  </si>
  <si>
    <t>Cogen unit 500kWe, components for heat only {RER}</t>
  </si>
  <si>
    <t>bad1718a-389e-3c5c-99bd-20047755df10</t>
  </si>
  <si>
    <t>Cogen unit 50kWe, common components for heat+electricity {RER}</t>
  </si>
  <si>
    <t>0c348eb2-ab93-3abf-9a53-8641ef6bb1a4</t>
  </si>
  <si>
    <t>Cogen unit 50kWe, components for electricity only {RER}</t>
  </si>
  <si>
    <t>f2fccce7-83b0-3af1-a354-d95b51a5b29d</t>
  </si>
  <si>
    <t>Cogen unit 50kWe, components for heat only {RER}</t>
  </si>
  <si>
    <t>22e537db-d5dd-33bd-884a-b253b3d85d50</t>
  </si>
  <si>
    <t>Cogen unit 6400kWth, wood burning, building {CH}</t>
  </si>
  <si>
    <t>heat\wood\cogeneration\power unit\infrastructure</t>
  </si>
  <si>
    <t>6b8bed37-6e37-3c68-84dd-7e5c2a0534ee</t>
  </si>
  <si>
    <t>Cogen unit 6400kWth, wood burning, common components for heat+electricity {CH}</t>
  </si>
  <si>
    <t>407b382c-e2e4-36fb-af2b-63c5b1d5dec9</t>
  </si>
  <si>
    <t>Cogen unit 6400kWth, wood burning, components for electricity only {CH}</t>
  </si>
  <si>
    <t>132b17bf-b333-3ce7-a5c4-44a323b7c6cf</t>
  </si>
  <si>
    <t>Cogen unit ORC 1400kWth, wood burning, building {CH}</t>
  </si>
  <si>
    <t>2b1e41a5-f2ef-3ab0-9f4a-e9cc286b5e5f</t>
  </si>
  <si>
    <t>Cogen unit ORC 1400kWth, wood burning, common components for heat+electricity {CH}</t>
  </si>
  <si>
    <t>50e315e0-03f0-3f37-bdc6-e08747dc85e2</t>
  </si>
  <si>
    <t>Cogen unit ORC 1400kWth, wood burning, components for electricity only {CH}</t>
  </si>
  <si>
    <t>7805bb97-e4da-3706-8602-30a0683e9278</t>
  </si>
  <si>
    <t>Coke oven gas, at plant {GLO}</t>
  </si>
  <si>
    <t>fuels\oil\coke oven gas</t>
  </si>
  <si>
    <t>7f54755d-633d-375d-98e6-0d017e6ca5b3</t>
  </si>
  <si>
    <t>Coke oven gas, burned in power plant {RER}</t>
  </si>
  <si>
    <t>electricity by fuel\gas\power plant</t>
  </si>
  <si>
    <t>fb95d331-263f-3606-9e68-8360cecf1303</t>
  </si>
  <si>
    <t>Combine harvesting {CH}</t>
  </si>
  <si>
    <t>7cdc6a0a-2723-3732-a2e3-e88dd6a61352</t>
  </si>
  <si>
    <t>Complex Set Top Boxes (CSTB), for customer premise equipment (CPE) {CH}</t>
  </si>
  <si>
    <t>fc2c9f42-0324-30e0-b60f-33caf2b2d892</t>
  </si>
  <si>
    <t>Compost plant, open {CH}</t>
  </si>
  <si>
    <t>chemicals\fertilisers (organic)\infrastructure</t>
  </si>
  <si>
    <t>a8c34c76-8b37-3f39-9935-a246ac665325</t>
  </si>
  <si>
    <t>Composting organic waste {RER}</t>
  </si>
  <si>
    <t>afe8b21b-71b4-4509-885a-785467b19502</t>
  </si>
  <si>
    <t>Compressed air, average generation, &lt;30kW, 10 bar gauge, at compressor {RER}</t>
  </si>
  <si>
    <t>compressed air\generation</t>
  </si>
  <si>
    <t>f629fb08-0ad6-387e-a846-cb9bb1af25a9</t>
  </si>
  <si>
    <t>Compressed air, average generation, &lt;30kW, 12 bar gauge, at compressor {RER}</t>
  </si>
  <si>
    <t>75947ca9-7895-30eb-99e9-ef06522bf9b3</t>
  </si>
  <si>
    <t>Compressed air, average generation, &lt;30kW, 8 bar gauge, at compressor {RER}</t>
  </si>
  <si>
    <t>6931ece4-38c6-3640-9f84-80c399b071c5</t>
  </si>
  <si>
    <t>Compressed air, average generation, &gt;30kW, 6 bar gauge, at compressor {RER}</t>
  </si>
  <si>
    <t>c44fcb8a-de2e-377e-a358-3eb2567217b5</t>
  </si>
  <si>
    <t>Compressed air, average generation, &gt;30kW, 7 bar gauge, at compressor {RER}</t>
  </si>
  <si>
    <t>7ef0ee97-ff57-3248-aa54-83b0b29f832b</t>
  </si>
  <si>
    <t>Compressed air, average generation, &gt;30kW, 8 bar gauge, at compressor {RER}</t>
  </si>
  <si>
    <t>5234cf54-9bc1-3ca4-be6e-b302f54821c1</t>
  </si>
  <si>
    <t>Compressed air, average installation, &lt;30kW, 8 bar gauge, at supply network {RER}</t>
  </si>
  <si>
    <t>compressed air\unspecified</t>
  </si>
  <si>
    <t>b46b76ab-bb38-3419-81b8-7310b31abb75</t>
  </si>
  <si>
    <t>Compressed air, average installation, &gt;30kW, 6 bar gauge, at supply network {RER}</t>
  </si>
  <si>
    <t>28817f33-2df5-3cb5-8c12-538e8ff97039</t>
  </si>
  <si>
    <t>Compressed air, average installation, &gt;30kW, 7 bar gauge, at supply network {RER}</t>
  </si>
  <si>
    <t>30dbefe0-c52f-3631-a6fa-02ed37e2c025</t>
  </si>
  <si>
    <t>Compressed air, average installation, &gt;30kW, 8 bar gauge, at supply network {RER}</t>
  </si>
  <si>
    <t>58b63900-02a6-367a-8b6d-69daeb74dd2b</t>
  </si>
  <si>
    <t>Compressed air, best generation, &gt;30kW, 6 bar gauge, at compressor {RER}</t>
  </si>
  <si>
    <t>98a3c492-6a88-31fa-814a-449dcf78fe00</t>
  </si>
  <si>
    <t>Compressed air, best generation, &gt;30kW, 7 bar gauge, at compressor {RER}</t>
  </si>
  <si>
    <t>03d841d6-163c-3882-9a12-a9237e698183</t>
  </si>
  <si>
    <t>Compressed air, best generation, &gt;30kW, 8 bar gauge, at compressor {RER}</t>
  </si>
  <si>
    <t>8afc0715-04a0-3089-8522-1515885eaeaf</t>
  </si>
  <si>
    <t>Compressed air, optimised generation, &lt;30kW, 10 bar gauge, at compressor {RER}</t>
  </si>
  <si>
    <t>4b9515a6-a511-390f-a578-36b9e47f7b90</t>
  </si>
  <si>
    <t>Compressed air, optimised generation, &lt;30kW, 12 bar gauge, at compressor {RER}</t>
  </si>
  <si>
    <t>ad9207a4-8ea5-3b6f-aea5-bce351d2e3e7</t>
  </si>
  <si>
    <t>Compressed air, optimised generation, &lt;30kW, 8 bar gauge, at compressor {RER}</t>
  </si>
  <si>
    <t>9d5a9841-403f-31b7-bc36-0fe50262fd38</t>
  </si>
  <si>
    <t>Compressed air, optimised generation, &gt;30kW, 6 bar gauge, at compressor {RER}</t>
  </si>
  <si>
    <t>2e378afd-4b42-39a4-88ba-0ecff594d12c</t>
  </si>
  <si>
    <t>Compressed air, optimised generation, &gt;30kW, 7 bar gauge, at compressor {RER}</t>
  </si>
  <si>
    <t>5f3667bc-e8a2-3813-8920-3ff486930cc2</t>
  </si>
  <si>
    <t>Compressed air, optimised generation, &gt;30kW, 8 bar gauge, at compressor {RER}</t>
  </si>
  <si>
    <t>ba9bd01d-51c0-33e8-bfcc-7298ae80c1a1</t>
  </si>
  <si>
    <t>Compressed air, optimised installation, &lt;30kW, 10 bar gauge, at supply network {RER}</t>
  </si>
  <si>
    <t>3395239b-79fd-3fd6-86ae-60bb963638f5</t>
  </si>
  <si>
    <t>Compressor assembly for transmission hydrogen pipeline {RER}</t>
  </si>
  <si>
    <t>pipeline\infrastructure</t>
  </si>
  <si>
    <t>9376d489-646f-3c70-90d9-d391eab70e05</t>
  </si>
  <si>
    <t>Compressor Bitzer {DE}</t>
  </si>
  <si>
    <t>b5c0e570-3bff-3b7c-bc5d-0686e08a5a5b</t>
  </si>
  <si>
    <t>Concentrated lithium brine (6.7 %  Li), at plant {GLO}</t>
  </si>
  <si>
    <t>a4e2edac-6522-39d1-8091-6f62428c6a0f</t>
  </si>
  <si>
    <t>Concrete for building construction, CEM III, A, NPK A, 34% RC-C, at plant {CH}</t>
  </si>
  <si>
    <t>b601fb57-6c42-3a30-bc1e-009b5a7f2af7</t>
  </si>
  <si>
    <t>Concrete for building construction, CEM III, A, NPK A, 91% RC-M, at plant {CH}</t>
  </si>
  <si>
    <t>1f6aaed2-6f70-3493-8525-46e6410929de</t>
  </si>
  <si>
    <t>Concrete for building construction, CEM III, A, NPK A, primary, at plant {CH}</t>
  </si>
  <si>
    <t>c1ff7346-8a74-3c5f-ac40-21f282b00795</t>
  </si>
  <si>
    <t>Concrete for building construction, CEM III, A, NPK B, 66% RC-C, at plant {CH}</t>
  </si>
  <si>
    <t>d9341332-00d3-34b1-b558-df068700c380</t>
  </si>
  <si>
    <t>Concrete for building construction, CEM III, A, NPK B, 91% RC-M, at plant {CH}</t>
  </si>
  <si>
    <t>2688acf9-f625-3bfe-b6a4-db675a6572e0</t>
  </si>
  <si>
    <t>Concrete for building construction, CEM III, A, NPK B, primary, at plant {CH}</t>
  </si>
  <si>
    <t>f3e4df53-27e2-3505-9627-9e6fa2802ff1</t>
  </si>
  <si>
    <t>Concrete for building construction, CEM III, A, NPK C, 34% RC-C, at plant {CH}</t>
  </si>
  <si>
    <t>5a56a063-1111-3785-8e66-5b719d804f88</t>
  </si>
  <si>
    <t>Concrete for building construction, CEM III, A, NPK C, primary, at plant {CH}</t>
  </si>
  <si>
    <t>47332f41-fc32-3743-b725-87dd55c1b032</t>
  </si>
  <si>
    <t>Concrete for building construction, CEM III, B, NPK A, 34% RC-C, at plant {CH}</t>
  </si>
  <si>
    <t>25a3c0cf-1dc9-3d32-bdb0-0973b6eb1974</t>
  </si>
  <si>
    <t>Concrete for building construction, CEM III, B, NPK A, 91% RC-M, at plant {CH}</t>
  </si>
  <si>
    <t>9b4a85c7-cf8e-3994-b2bb-a034d53c65f5</t>
  </si>
  <si>
    <t>Concrete for building construction, CEM III, B, NPK A, primary, at plant {CH}</t>
  </si>
  <si>
    <t>7d43bfc6-d2de-33bc-9227-34a963a8dba0</t>
  </si>
  <si>
    <t>Concrete for building construction, CEM III, B, NPK B, 66% RC-C, at plant {CH}</t>
  </si>
  <si>
    <t>ba221618-781f-3cf6-8868-429d9d44b2b0</t>
  </si>
  <si>
    <t>Concrete for building construction, CEM III, B, NPK B, 91% RC-M, at plant {CH}</t>
  </si>
  <si>
    <t>72e92248-6151-3b5e-911e-38e106bab743</t>
  </si>
  <si>
    <t>Concrete for building construction, CEM III, B, NPK B, primary, at plant {CH}</t>
  </si>
  <si>
    <t>f961e685-3967-3c1e-96d9-f77dada6e4b0</t>
  </si>
  <si>
    <t>Concrete for building construction, CEM III, B, NPK C, 34% RC-C, at plant {CH}</t>
  </si>
  <si>
    <t>14b7e576-55b4-31a1-afdf-2446dce181c2</t>
  </si>
  <si>
    <t>Concrete for building construction, CEM III, B, NPK C, primary, at plant {CH}</t>
  </si>
  <si>
    <t>cdbc80f9-cca9-30b4-9979-de08e582e400</t>
  </si>
  <si>
    <t>Concrete for building construction, only common base, at plant {CH}</t>
  </si>
  <si>
    <t>509b1c64-78e4-3132-864b-162ea9a6ac18</t>
  </si>
  <si>
    <t>Concrete for building construction, unspecific, at plant {CH}</t>
  </si>
  <si>
    <t>b750651d-e5d9-373a-ba93-1e1f249d10c2</t>
  </si>
  <si>
    <t>Concrete for building construction, unspecific, at plant, with resource correction {CH}</t>
  </si>
  <si>
    <t>c55fdfb2-fd36-316f-9074-b830e8fcc729</t>
  </si>
  <si>
    <t>Concrete for civil engineering, CEM III, A, NPK F (T3), primary, at plant {CH}</t>
  </si>
  <si>
    <t>fd841b59-9e7a-31ab-9080-4b058b9635d8</t>
  </si>
  <si>
    <t>Concrete for civil engineering, CEM III, B, NPK F (T3), primary, at plant {CH}</t>
  </si>
  <si>
    <t>e0995d75-e758-335a-ba09-faa44069d6ed</t>
  </si>
  <si>
    <t>Concrete for civil engineering, only common base, at plant {CH}</t>
  </si>
  <si>
    <t>63cc2611-ddca-37b9-b61c-1d73f24746f5</t>
  </si>
  <si>
    <t>Concrete for civil engineering, unspecific, at plant {CH}</t>
  </si>
  <si>
    <t>677e5d7f-d034-319f-a58a-216f603e6a6f</t>
  </si>
  <si>
    <t>Concrete for civil engineering, unspecific, at plant, with resource correction {CH}</t>
  </si>
  <si>
    <t>e3aa3b8b-18cd-361b-a1bb-776d63d4812b</t>
  </si>
  <si>
    <t>Concrete for drilled piles, CEM I, NPK H (P1), 66% RC-C, at plant {CH}</t>
  </si>
  <si>
    <t>f798213d-17ae-30d0-8883-9bb339a23770</t>
  </si>
  <si>
    <t>Concrete for drilled piles, CEM I, NPK I (P2), 66% RC-C, at plant {CH}</t>
  </si>
  <si>
    <t>3594b7e6-3827-3ff6-9cb0-882594cd328a</t>
  </si>
  <si>
    <t>Concrete for drilled piles, CEM II, A, NPK H (P1), 66% RC-C, at plant {CH}</t>
  </si>
  <si>
    <t>d0a47dfe-f377-30b3-8e34-b799d9b0eabe</t>
  </si>
  <si>
    <t>Concrete for drilled piles, CEM II, A, NPK I (P2), 66% RC-C, at plant {CH}</t>
  </si>
  <si>
    <t>2e359153-d72e-35cc-91ea-c3d6c888e213</t>
  </si>
  <si>
    <t>Concrete for drilled piles, CEM II, B-LL, NPK H (P1), 66% RC-C, at plant {CH}</t>
  </si>
  <si>
    <t>2069e1c6-8325-352e-8249-e6ede8e523e4</t>
  </si>
  <si>
    <t>Concrete for drilled piles, CEM II, B-LL, NPK I (P2), 66% RC-C, at plant {CH}</t>
  </si>
  <si>
    <t>3209094c-baf3-3ecb-8924-15adacafe374</t>
  </si>
  <si>
    <t>Concrete for drilled piles, CEM II, B, NPK H (P1), 66% RC-C, at plant {CH}</t>
  </si>
  <si>
    <t>d779862d-5e77-3b9f-bed3-8974664092f6</t>
  </si>
  <si>
    <t>Concrete for drilled piles, CEM II, B, NPK I (P2), 66% RC-C, at plant {CH}</t>
  </si>
  <si>
    <t>da8a8c17-811f-35bf-83f4-090cdd391282</t>
  </si>
  <si>
    <t>Concrete for drilled piles, CEM III, A, NPK H (P1), 66% RC-C, at plant {CH}</t>
  </si>
  <si>
    <t>4c477a92-8028-36ef-9fa6-09db835355a5</t>
  </si>
  <si>
    <t>Concrete for drilled piles, CEM III, A, NPK H (P1), primary, at plant {CH}</t>
  </si>
  <si>
    <t>d4b2dd4f-dca0-37ba-a694-141e7265eb45</t>
  </si>
  <si>
    <t>Concrete for drilled piles, CEM III, A, NPK I (P2), 66% RC-C, at plant {CH}</t>
  </si>
  <si>
    <t>f4af038e-7e88-33c0-a45f-399573f56460</t>
  </si>
  <si>
    <t>Concrete for drilled piles, CEM III, A, NPK I (P2), primary, at plant {CH}</t>
  </si>
  <si>
    <t>d9607e95-e40e-39e8-914f-09d1c16f1d90</t>
  </si>
  <si>
    <t>Concrete for drilled piles, CEM III, B, NPK H (P1), 66% RC-C, at plant {CH}</t>
  </si>
  <si>
    <t>570c5758-4ef5-32ca-a143-a23cb2350402</t>
  </si>
  <si>
    <t>Concrete for drilled piles, CEM III, B, NPK H (P1), primary, at plant {CH}</t>
  </si>
  <si>
    <t>c43136b1-c099-3d97-8b06-e987dab8bc0d</t>
  </si>
  <si>
    <t>Concrete for drilled piles, CEM III, B, NPK I (P2), 66% RC-C, at plant {CH}</t>
  </si>
  <si>
    <t>decc54e4-0742-3172-9cb9-02bf39496d95</t>
  </si>
  <si>
    <t>Concrete for drilled piles, CEM III, B, NPK I (P2), primary, at plant {CH}</t>
  </si>
  <si>
    <t>cdadb2bd-5444-30c2-b9e9-f04e534a945b</t>
  </si>
  <si>
    <t>Concrete for drilled piles, only common base, at plant {CH}</t>
  </si>
  <si>
    <t>d5706c8d-6bf1-3df4-9d27-cc4f17585096</t>
  </si>
  <si>
    <t>Concrete for drilled piles, unspecific, at plant {CH}</t>
  </si>
  <si>
    <t>eb1242c3-5234-3240-8952-ead261c0355e</t>
  </si>
  <si>
    <t>Concrete for drilled piles, unspecific, at plant, with resource correction {CH}</t>
  </si>
  <si>
    <t>7cd12f21-351e-396d-8088-baedc03eaf15</t>
  </si>
  <si>
    <t>Concrete mixing plant {CH}</t>
  </si>
  <si>
    <t>construction\concrete\infrastructure</t>
  </si>
  <si>
    <t>4f1783a8-2442-3468-9153-8f815e4e95a8</t>
  </si>
  <si>
    <t>Concrete pile, 1200mm, piped, average {CH}</t>
  </si>
  <si>
    <t>0abc0848-c2fa-3ef9-947e-c2adf9d356ea</t>
  </si>
  <si>
    <t>Concrete pile, 1200mm, piped, Integra L2 Wallisellen {CH}</t>
  </si>
  <si>
    <t>31dca72f-7ef2-3b9e-bdfe-ebd3da9fcc30</t>
  </si>
  <si>
    <t>Concrete pile, 700mm, piped, average {CH}</t>
  </si>
  <si>
    <t>d46f7376-d4ce-30b7-84d4-76ca2354227d</t>
  </si>
  <si>
    <t>Concrete pile, 700mm, piped, Integra L2 Wallisellen {CH}</t>
  </si>
  <si>
    <t>c1c930d8-50e2-3298-ab98-7c7a2255d07f</t>
  </si>
  <si>
    <t>Concrete pile, 880mm, piped, Integra L2 Wallisellen {CH}</t>
  </si>
  <si>
    <t>9f91714a-a155-3ca7-b229-296798d84083</t>
  </si>
  <si>
    <t>Concrete pile, 900mm, piped, average {CH}</t>
  </si>
  <si>
    <t>8fe804ba-38fe-3f60-af7d-923ed8fc3193</t>
  </si>
  <si>
    <t>Concrete pile, 900mm, piped, Integra L2 Wallisellen {CH}</t>
  </si>
  <si>
    <t>7edc65b5-ed17-3de4-89e1-20c34f8a3bf9</t>
  </si>
  <si>
    <t>Concrete rubble to concrete crusher {CH}</t>
  </si>
  <si>
    <t>52b4425a-3e8e-4a9f-8a2a-481653b19583</t>
  </si>
  <si>
    <t>Concrete sleeper, at regional storage {CH}</t>
  </si>
  <si>
    <t>transport systems\train\operations\infrastructure</t>
  </si>
  <si>
    <t>9051c306-fb38-3b43-9959-0ef4a5cc9651</t>
  </si>
  <si>
    <t>Concrete, exacting, at plant {CH}</t>
  </si>
  <si>
    <t>8b50e56e-4dbe-39f2-bcb9-35f2e18914c1</t>
  </si>
  <si>
    <t>Concrete, exacting, at plant, with resource correction {CH}</t>
  </si>
  <si>
    <t>d40ae021-eab4-38a5-81d4-33b73afe7969</t>
  </si>
  <si>
    <t>Concrete, exacting, with de-icing salt contact, at plant {CH}</t>
  </si>
  <si>
    <t>0c2d496c-6038-3eb8-ad2a-515f8359444d</t>
  </si>
  <si>
    <t>Concrete, exacting, with de-icing salt contact, at plant, with resource correction {CH}</t>
  </si>
  <si>
    <t>f95d5978-4565-39ac-8ef1-f096f6ad283b</t>
  </si>
  <si>
    <t>Concrete, non-reinforced, in sorting plant {CH}</t>
  </si>
  <si>
    <t>6c942b39-d565-4eed-9d13-aed3d1e54649</t>
  </si>
  <si>
    <t>9dc7ef6a-1dcc-3968-b7ac-675141e0f5fa</t>
  </si>
  <si>
    <t>Concrete, normal, at plant, with resource correction {CH}</t>
  </si>
  <si>
    <t>65462d37-3316-3449-8388-7cc2722f2bb6</t>
  </si>
  <si>
    <t>Concrete, reinforced, in sorting plant {CH}</t>
  </si>
  <si>
    <t>4aa36c48-1e62-4dec-aee4-bd59ce11bb04</t>
  </si>
  <si>
    <t>Concrete, sole plate and foundation, at plant {CH}</t>
  </si>
  <si>
    <t>f0b111fc-04a1-34d7-8790-f8809f021bf3</t>
  </si>
  <si>
    <t>Concrete, sole plate and foundation, at plant, with resource correction {CH}</t>
  </si>
  <si>
    <t>433b4ac7-f67e-3ce9-abab-1a0f6179801e</t>
  </si>
  <si>
    <t>Connection piece, steel, 100x50 mm, at plant {RER}</t>
  </si>
  <si>
    <t>f7f446d8-6fa6-3622-9b07-6104eaff3d16</t>
  </si>
  <si>
    <t>Connector, clamp connection, at plant {GLO}</t>
  </si>
  <si>
    <t>c97305c1-c9f3-3a9a-9a7a-614d4c30fc89</t>
  </si>
  <si>
    <t>Connector, computer, peripherical type, at plant {GLO}</t>
  </si>
  <si>
    <t>a2425cb3-89fe-32ba-abe6-2e1a5b51e72c</t>
  </si>
  <si>
    <t>Connector, PCI bus, at plant {GLO}</t>
  </si>
  <si>
    <t>45d53e81-d92c-3df7-9d1a-017baa1f5d29</t>
  </si>
  <si>
    <t>Construction work, cogen unit 160kWe {RER}</t>
  </si>
  <si>
    <t>36939450-c8ab-3b78-b66f-8927dc3e6c7b</t>
  </si>
  <si>
    <t>Construction work, coolant circuit {CH}</t>
  </si>
  <si>
    <t>ccfba51b-8b0c-39d1-93f6-a33e4c18088a</t>
  </si>
  <si>
    <t>Container, with pipes and fittings, for diaphragm compressor {GLO}</t>
  </si>
  <si>
    <t>e1244de3-a5c2-36b8-acc6-a355eb7580de</t>
  </si>
  <si>
    <t>Contour, brass {RER}</t>
  </si>
  <si>
    <t>8df2f555-4a64-3413-96a1-4f704b2c2e14</t>
  </si>
  <si>
    <t>Contour, bronze {RER}</t>
  </si>
  <si>
    <t>8ff493fc-f49d-386d-90fb-0dec6dcf1e65</t>
  </si>
  <si>
    <t>Control and wiring, central unit, at plant {RER}</t>
  </si>
  <si>
    <t>8ddb0c1e-7574-3688-a48d-fb89fdecd806</t>
  </si>
  <si>
    <t>Control and wiring, decentralized unit, at plant {RER}</t>
  </si>
  <si>
    <t>bc33811b-ec07-3963-bb1b-0a75bef325c0</t>
  </si>
  <si>
    <t>Control cabinet cogen unit 160kWe {RER}</t>
  </si>
  <si>
    <t>4c25440b-aa1d-3686-a290-1b23a9bbb456</t>
  </si>
  <si>
    <t>Control panel, carbon dioxide capture process {RER}</t>
  </si>
  <si>
    <t>f46152f9-4090-32f5-8250-a1e174a5d7a7</t>
  </si>
  <si>
    <t>Controller, for electric scooter {RER}</t>
  </si>
  <si>
    <t>030a7a5b-7a40-3037-a2a7-aa9a8058ea14</t>
  </si>
  <si>
    <t>Convector radiator {CH}</t>
  </si>
  <si>
    <t>fa1d6fb7-2c60-32e1-8585-121809169214</t>
  </si>
  <si>
    <t>Converter, for electric passenger car {RER}</t>
  </si>
  <si>
    <t>918b10c6-3c7c-34dd-a31e-0040e99c5a2d</t>
  </si>
  <si>
    <t>Conveyor belt, at plant {RER}</t>
  </si>
  <si>
    <t>5265cafd-c816-330c-a32e-170051252cd0</t>
  </si>
  <si>
    <t>Cooker hood, kitchen, at regional storage {CH}</t>
  </si>
  <si>
    <t>b89687a8-edd7-3df8-893a-b6337429751e</t>
  </si>
  <si>
    <t>Coolant circuit {CH}</t>
  </si>
  <si>
    <t>bf4e12ee-a94f-3d0c-8846-65b877f1814b</t>
  </si>
  <si>
    <t>Cooling system {GLO}</t>
  </si>
  <si>
    <t>7d515f3d-ad12-3ff5-9c32-85d8abc13ccc</t>
  </si>
  <si>
    <t>Cooling unit, carbon dioxide capture process {RER}</t>
  </si>
  <si>
    <t>eda19f3d-27b4-35aa-9f1f-829e8627affa</t>
  </si>
  <si>
    <t>Copper carbonate, at plant {RER}</t>
  </si>
  <si>
    <t>90492efb-9541-3939-9aff-b9ca938b17d5</t>
  </si>
  <si>
    <t>Copper collector foil production, for Li-ion battery {GLO}</t>
  </si>
  <si>
    <t>d7bf6574-64be-3923-bec3-bd1b013cfc0c</t>
  </si>
  <si>
    <t>Copper concentrate, at beneficiation {GLO}</t>
  </si>
  <si>
    <t>0d2c36b0-b487-3ae7-a6e1-c23deba00564</t>
  </si>
  <si>
    <t>Copper concentrate, at beneficiation {ID}</t>
  </si>
  <si>
    <t>75d60f1c-ae5b-3fc1-82d9-bf0b9bcc9824</t>
  </si>
  <si>
    <t>Copper concentrate, at beneficiation {RAS}</t>
  </si>
  <si>
    <t>7006b6cc-b26e-32b3-aea0-7e3cf0333a86</t>
  </si>
  <si>
    <t>Copper concentrate, at beneficiation {RER}</t>
  </si>
  <si>
    <t>14c9df3f-e91b-3e08-921f-1c4a41fe51fb</t>
  </si>
  <si>
    <t>Copper concentrate, at beneficiation {RLA}</t>
  </si>
  <si>
    <t>06b53bc7-c1c9-38df-b342-1b3cf976c949</t>
  </si>
  <si>
    <t>Copper concentrate, at beneficiation {US}</t>
  </si>
  <si>
    <t>073d296c-94f4-3388-9ca3-ba445f7a177c</t>
  </si>
  <si>
    <t>Copper oxide, at plant {RER}</t>
  </si>
  <si>
    <t>87f791bb-fc12-31eb-ae1e-387398762a32</t>
  </si>
  <si>
    <t>Copper product manufacturing, average metal working {RER}</t>
  </si>
  <si>
    <t>05aab4de-70ec-3fe7-b8a8-e814c17b18f0</t>
  </si>
  <si>
    <t>Copper scrap, recovered from c-Si PV module treatment {RER}</t>
  </si>
  <si>
    <t>007237d7-dc6b-41d0-996f-d1b5d0070b71</t>
  </si>
  <si>
    <t>Copper scrap, recovered from CdTe PV module treatment {DE}</t>
  </si>
  <si>
    <t>e4be04fb-95f8-4538-8841-89c5f9b4ac7b</t>
  </si>
  <si>
    <t>Copper sheet, uncoated, high recycling share (85% Rec.) {CH}</t>
  </si>
  <si>
    <t>023ba739-5cfc-3ef1-8638-6746e01d4992</t>
  </si>
  <si>
    <t>Copper sheet, uncoated, primary production (0% Rec.) {CH}</t>
  </si>
  <si>
    <t>380ac214-35a4-375f-ac98-e6f50c3b67d2</t>
  </si>
  <si>
    <t>Copper sheet, uncoated, recycling share 2000 (44% Rec.) {CH}</t>
  </si>
  <si>
    <t>97ad4853-24cb-3bb2-956a-fec9d848a2ec</t>
  </si>
  <si>
    <t>Copper sheet, uncoated, recycling share 2000 (44% Rec.), with resource correction {CH}</t>
  </si>
  <si>
    <t>6f8f6fc7-3642-3a39-8e60-7c99a4e6e9af</t>
  </si>
  <si>
    <t>Copper sheet, uncoated, secondary production (100% Rec.) {CH}</t>
  </si>
  <si>
    <t>44cc5a7b-cc85-30e8-8b66-b18802f2888b</t>
  </si>
  <si>
    <t>Copper telluride cement, from copper production {GLO}</t>
  </si>
  <si>
    <t>d6dc75fb-fb81-3a58-b903-c02eb9248121</t>
  </si>
  <si>
    <t>Copper telluride cement, recovered from CdTe PV module treatment {DE}</t>
  </si>
  <si>
    <t>18966a93-eb5a-401b-82a3-646c16412af9</t>
  </si>
  <si>
    <t>Copper, at regional storage {RER}</t>
  </si>
  <si>
    <t>3972eb0c-d60e-3537-9ad1-fd6b7bbafce8</t>
  </si>
  <si>
    <t>Copper, blister-copper, at primary smelter {RER}</t>
  </si>
  <si>
    <t>d5b55ba3-2d90-30aa-b7a2-25efb6602529</t>
  </si>
  <si>
    <t>Copper, from combined metal production, at beneficiation {SE}</t>
  </si>
  <si>
    <t>d3e7cf70-f901-3ad2-84b4-a6f9261562d6</t>
  </si>
  <si>
    <t>Copper, from imported concentrates, at refinery {DE}</t>
  </si>
  <si>
    <t>e20a48a9-1aa7-33a9-9458-16426ca004f3</t>
  </si>
  <si>
    <t>Copper, primary, at refinery {GLO}</t>
  </si>
  <si>
    <t>602d023d-19c6-3ecf-a6dc-e662664612d0</t>
  </si>
  <si>
    <t>Copper, primary, at refinery {ID}</t>
  </si>
  <si>
    <t>2e8910df-fbe3-308a-b2e0-4c6afbbe7fcc</t>
  </si>
  <si>
    <t>Copper, primary, at refinery {RAS}</t>
  </si>
  <si>
    <t>e570a1a1-f83d-3ffb-af81-ccf16da7cd6f</t>
  </si>
  <si>
    <t>Copper, primary, at refinery {RER}</t>
  </si>
  <si>
    <t>987dc6b3-6f8a-3736-8969-047831fe190f</t>
  </si>
  <si>
    <t>Copper, primary, at refinery {RLA}</t>
  </si>
  <si>
    <t>b2a33486-3e4e-323e-b229-85b7a9d159ee</t>
  </si>
  <si>
    <t>Copper, secondary, at refinery {RER}</t>
  </si>
  <si>
    <t>72090602-835f-3db2-b0dc-61366408f8ab</t>
  </si>
  <si>
    <t>Copper, Sxx EW, at refinery {GLO}</t>
  </si>
  <si>
    <t>97298974-f913-3d9b-a269-0c843a2554d3</t>
  </si>
  <si>
    <t>paper+ board\board</t>
  </si>
  <si>
    <t>182f2859-46b2-3c11-adb2-89c9a4c8f77d</t>
  </si>
  <si>
    <t>Cork slab, at plant {RER}</t>
  </si>
  <si>
    <t>construction\insulation</t>
  </si>
  <si>
    <t>9a5e1644-5757-3c72-aed1-0985fb2e5c09</t>
  </si>
  <si>
    <t>f2f15bf9-026a-35e8-8ae7-2b841b6cdf7b</t>
  </si>
  <si>
    <t>Corn, at farm {US}</t>
  </si>
  <si>
    <t>c4c2e85e-de3f-37ce-8993-c95e9bf73503</t>
  </si>
  <si>
    <t>paper+ board\corrugated board</t>
  </si>
  <si>
    <t>727fbe9f-114a-32c7-8553-c91d393ea91e</t>
  </si>
  <si>
    <t>70516c19-7092-3375-88b4-ec660ba8fc8b</t>
  </si>
  <si>
    <t>Corrugated board base paper, testliner, at plant {RER}</t>
  </si>
  <si>
    <t>f103b398-c9f9-3738-a96b-12750a5dfa93</t>
  </si>
  <si>
    <t>Corrugated board base paper, wellenstoff, at plant {RER}</t>
  </si>
  <si>
    <t>e9e3af6d-328f-30cf-a69a-0314c538e766</t>
  </si>
  <si>
    <t>Corrugated board, mixed fibre, single wall, at plant {CH}</t>
  </si>
  <si>
    <t>23eccd4a-e55f-3486-9602-d0483925cc18</t>
  </si>
  <si>
    <t>Corrugated board, mixed fibre, single wall, at plant {RER}</t>
  </si>
  <si>
    <t>7f871600-f979-37d6-98be-1d39088c3dae</t>
  </si>
  <si>
    <t>Corrugated board, recycling fibre, double wall, at plant {CH}</t>
  </si>
  <si>
    <t>f70905cc-8e9a-3e81-9bad-98e865f62a6a</t>
  </si>
  <si>
    <t>Corrugated board, recycling fibre, double wall, at plant {RER}</t>
  </si>
  <si>
    <t>d18ef09e-12c8-3a6a-b6b0-16962686d070</t>
  </si>
  <si>
    <t>Cotton fibres, at farm {US}</t>
  </si>
  <si>
    <t>1a105ad6-27a0-3257-a28a-457b1fa2ddda</t>
  </si>
  <si>
    <t>Cotton fibres, ginned, at farm {CN}</t>
  </si>
  <si>
    <t>4e1dc5c9-832f-3030-8410-143fd7488787</t>
  </si>
  <si>
    <t>Cotton seed, at farm {US}</t>
  </si>
  <si>
    <t>d2b9cebc-9633-3fd1-814b-763ec6da7197</t>
  </si>
  <si>
    <t>Cotton seed, at regional storehouse {US}</t>
  </si>
  <si>
    <t>dd6c3263-79bb-3aa6-9f77-a29152d2acda</t>
  </si>
  <si>
    <t>Covering layer, bituminised {CH}</t>
  </si>
  <si>
    <t>709e451f-130e-367a-950c-3468b1d83441</t>
  </si>
  <si>
    <t>CPU, network equipment, at plant {GLO}</t>
  </si>
  <si>
    <t>b68e8a8b-ed8d-31aa-88f0-ed665218fbc1</t>
  </si>
  <si>
    <t>Cross-laminated timber, average glue mix, at regional storage {CH}</t>
  </si>
  <si>
    <t>706e553f-dd52-36b7-918e-9809d4595c71</t>
  </si>
  <si>
    <t>Cross-laminated timber, average glue mix, at regional storage, with resource correction {CH}</t>
  </si>
  <si>
    <t>f3bb46bf-1204-38b5-9254-ddc4ed0db486</t>
  </si>
  <si>
    <t>Cross-laminted timber, average glue mix, at plant {RER}</t>
  </si>
  <si>
    <t>63041efd-0ae2-3669-9fa0-002c8c98ba90</t>
  </si>
  <si>
    <t>Cross-laminted timber, PUR-bonded, packed, at plant {CH}</t>
  </si>
  <si>
    <t>0b997ad0-3360-3f80-a886-009e81fa3c33</t>
  </si>
  <si>
    <t>Cross-laminted timber, PUR-bonded, packed, at plant, with resource correction {CH}</t>
  </si>
  <si>
    <t>3b6d410c-d17d-38b4-a565-03563970a936</t>
  </si>
  <si>
    <t>CRT screen, 17 inches, at plant {GLO}</t>
  </si>
  <si>
    <t>793b6330-66c2-3c4a-8e31-dbce082d41a9</t>
  </si>
  <si>
    <t>Crude coconut oil, at plant {PH}</t>
  </si>
  <si>
    <t>agricultural\plant oils</t>
  </si>
  <si>
    <t>bfcc9b7d-6cbc-3596-a544-9691fe09e112</t>
  </si>
  <si>
    <t>Crude oil, at production {AE}</t>
  </si>
  <si>
    <t>oil\production</t>
  </si>
  <si>
    <t>d5688349-f8c0-39f1-9ec0-cd99ffc595f6</t>
  </si>
  <si>
    <t>Crude oil, at production {AO}</t>
  </si>
  <si>
    <t>7a759ab0-6a2a-34b5-a1f2-32433ca6cc5c</t>
  </si>
  <si>
    <t>Crude oil, at production {AR}</t>
  </si>
  <si>
    <t>7535f727-858d-3773-9205-ccbb5d108ac7</t>
  </si>
  <si>
    <t>Crude oil, at production {AU}</t>
  </si>
  <si>
    <t>ade6b5e9-0bf2-3532-bdaa-51d13bd296fa</t>
  </si>
  <si>
    <t>Crude oil, at production {AZ}</t>
  </si>
  <si>
    <t>678aec51-f80c-3d21-b062-a6124b755d48</t>
  </si>
  <si>
    <t>Crude oil, at production {BE}</t>
  </si>
  <si>
    <t>ae7f22c5-2081-3947-81ba-0616b50a4a28</t>
  </si>
  <si>
    <t>Crude oil, at production {BO}</t>
  </si>
  <si>
    <t>f38254d9-f1e5-3fee-bb68-fb1836653d09</t>
  </si>
  <si>
    <t>Crude oil, at production {BR}</t>
  </si>
  <si>
    <t>a416cea1-6075-379f-8fe4-e8ac9ef02392</t>
  </si>
  <si>
    <t>Crude oil, at production {CA}</t>
  </si>
  <si>
    <t>4896c617-e9b8-3e44-b727-864d9f4e7185</t>
  </si>
  <si>
    <t>Crude oil, at production {CN}</t>
  </si>
  <si>
    <t>51823854-60c6-3b84-8fc0-dfc6b8734ce0</t>
  </si>
  <si>
    <t>Crude oil, at production {CO}</t>
  </si>
  <si>
    <t>dc8d2616-c01f-3cb9-83a3-1f1fc4177cc5</t>
  </si>
  <si>
    <t>Crude oil, at production {DE}</t>
  </si>
  <si>
    <t>30a279f1-8af4-3f6a-b5b0-476ab6e80ede</t>
  </si>
  <si>
    <t>Crude oil, at production {DZ}</t>
  </si>
  <si>
    <t>95940a24-53d4-37c5-be95-5e77a0e24b21</t>
  </si>
  <si>
    <t>Crude oil, at production {EC}</t>
  </si>
  <si>
    <t>1f7060ad-ecf2-3750-b0fa-2c785b96bf5b</t>
  </si>
  <si>
    <t>Crude oil, at production {EG}</t>
  </si>
  <si>
    <t>cdce79ae-96a3-3b78-9483-6dc9cc736e2f</t>
  </si>
  <si>
    <t>Crude oil, at production {ES}</t>
  </si>
  <si>
    <t>200cc252-dc20-344b-acc9-483362a01aa7</t>
  </si>
  <si>
    <t>Crude oil, at production {FR}</t>
  </si>
  <si>
    <t>a974d541-f68d-3f3c-91d6-7390a61a374a</t>
  </si>
  <si>
    <t>Crude oil, at production {GB}</t>
  </si>
  <si>
    <t>68f7b9d4-5b05-3d55-8a63-72f723ed760f</t>
  </si>
  <si>
    <t>Crude oil, at production {GQ}</t>
  </si>
  <si>
    <t>05eb1832-4067-34d8-a023-e62235620bd4</t>
  </si>
  <si>
    <t>Crude oil, at production {ID}</t>
  </si>
  <si>
    <t>04f12acd-afbf-3021-b5a5-0e6b1bdbd6ab</t>
  </si>
  <si>
    <t>Crude oil, at production {IN}</t>
  </si>
  <si>
    <t>94a6285e-f07c-3527-be58-c933305df494</t>
  </si>
  <si>
    <t>Crude oil, at production {IQ}</t>
  </si>
  <si>
    <t>314fc091-7367-3b6e-9960-16f9222e3181</t>
  </si>
  <si>
    <t>Crude oil, at production {IR}</t>
  </si>
  <si>
    <t>749f34b1-7b5e-3a88-b481-741fc7ff3da7</t>
  </si>
  <si>
    <t>Crude oil, at production {IT}</t>
  </si>
  <si>
    <t>d67425da-e88e-3f86-8578-c69a9cd4ecec</t>
  </si>
  <si>
    <t>Crude oil, at production {JP}</t>
  </si>
  <si>
    <t>7ba7f704-3d46-32b7-99a3-310c0ff86ed2</t>
  </si>
  <si>
    <t>Crude oil, at production {KR}</t>
  </si>
  <si>
    <t>b4754503-f2a4-32b0-a7fa-4e356b982287</t>
  </si>
  <si>
    <t>Crude oil, at production {KW}</t>
  </si>
  <si>
    <t>28ed41d2-4d4e-3f6b-a31c-2d0bb5ac7fd3</t>
  </si>
  <si>
    <t>Crude oil, at production {KZ}</t>
  </si>
  <si>
    <t>45f2f92e-2469-3545-b662-6df659cd7869</t>
  </si>
  <si>
    <t>Crude oil, at production {LY}</t>
  </si>
  <si>
    <t>adae6fd6-9d10-3183-90b2-9d92f27c12cc</t>
  </si>
  <si>
    <t>Crude oil, at production {MX}</t>
  </si>
  <si>
    <t>a4b19262-4f8c-315d-9f87-c83ed256b4a4</t>
  </si>
  <si>
    <t>Crude oil, at production {MY}</t>
  </si>
  <si>
    <t>7b0076d2-cfe3-3274-9036-71d3fbf674b9</t>
  </si>
  <si>
    <t>Crude oil, at production {NG}</t>
  </si>
  <si>
    <t>4363e9b3-9d13-3649-8b7b-c57cb3d8b149</t>
  </si>
  <si>
    <t>Crude oil, at production {NL}</t>
  </si>
  <si>
    <t>5fdcee2b-dd8b-39d0-8ec3-9668e675f1f3</t>
  </si>
  <si>
    <t>Crude oil, at production {NO}</t>
  </si>
  <si>
    <t>0bd1251b-e0ff-31e4-89f1-23b09a1c4a2c</t>
  </si>
  <si>
    <t>Crude oil, at production {OM}</t>
  </si>
  <si>
    <t>ec08d7c0-3dd9-3006-bee9-d47dd69af710</t>
  </si>
  <si>
    <t>Crude oil, at production {PE}</t>
  </si>
  <si>
    <t>381b9405-5b30-357f-9d30-c4e4bd5ea836</t>
  </si>
  <si>
    <t>Crude oil, at production {PL}</t>
  </si>
  <si>
    <t>538203b5-23ca-3e1f-a1cc-bee5799beb70</t>
  </si>
  <si>
    <t>Crude oil, at production {QA}</t>
  </si>
  <si>
    <t>a5ab84e0-ad59-3773-ab45-6a5075a0036f</t>
  </si>
  <si>
    <t>Crude oil, at production {RO}</t>
  </si>
  <si>
    <t>be612717-b164-38b0-a542-8cbd2ea09faa</t>
  </si>
  <si>
    <t>Crude oil, at production {RU}</t>
  </si>
  <si>
    <t>c033cffb-6afb-3382-bcb4-ab6378de8627</t>
  </si>
  <si>
    <t>Crude oil, at production {SA}</t>
  </si>
  <si>
    <t>1313f2ed-6d81-3cee-a245-0167b32f373a</t>
  </si>
  <si>
    <t>Crude oil, at production {TH}</t>
  </si>
  <si>
    <t>754308d6-a11d-3965-9388-d5229d962c94</t>
  </si>
  <si>
    <t>Crude oil, at production {TM}</t>
  </si>
  <si>
    <t>930de18b-50f9-316b-b54a-ff055987e07f</t>
  </si>
  <si>
    <t>Crude oil, at production {TR}</t>
  </si>
  <si>
    <t>10e7cc2c-ece9-3f87-94aa-df4dd615f563</t>
  </si>
  <si>
    <t>Crude oil, at production {TT}</t>
  </si>
  <si>
    <t>3da33a31-3f11-36d4-be95-43f1f02e0798</t>
  </si>
  <si>
    <t>Crude oil, at production {TW}</t>
  </si>
  <si>
    <t>49e31582-f8b9-34b2-a74d-ebf9a1586226</t>
  </si>
  <si>
    <t>Crude oil, at production {UA}</t>
  </si>
  <si>
    <t>8ed251e4-2c3c-3cc5-b3aa-999470461ccb</t>
  </si>
  <si>
    <t>Crude oil, at production {US}</t>
  </si>
  <si>
    <t>c738e262-4da5-3fc1-af07-9140556c7345</t>
  </si>
  <si>
    <t>Crude oil, at production {UZ}</t>
  </si>
  <si>
    <t>b5be1632-213d-3ee0-bde4-9b7c93e392bc</t>
  </si>
  <si>
    <t>Crude oil, at production {VE}</t>
  </si>
  <si>
    <t>d9b64ed1-99b0-3e13-b17b-d3fb1adb9e79</t>
  </si>
  <si>
    <t>Crude oil, at production offshore {AE}</t>
  </si>
  <si>
    <t>2de2b22e-83e3-3b48-b572-5a475dba7141</t>
  </si>
  <si>
    <t>Crude oil, at production offshore {AO}</t>
  </si>
  <si>
    <t>cf95d9a8-35df-3110-84ac-15c4abb6cc99</t>
  </si>
  <si>
    <t>Crude oil, at production offshore {AR}</t>
  </si>
  <si>
    <t>e93d71ee-8239-3b1e-af11-0db14125d3b2</t>
  </si>
  <si>
    <t>Crude oil, at production offshore {AU}</t>
  </si>
  <si>
    <t>13329eb2-e13a-3102-9ad7-b710a2b3b066</t>
  </si>
  <si>
    <t>Crude oil, at production offshore {AZ}</t>
  </si>
  <si>
    <t>8e15dc5b-4590-39f6-b8c0-a0070bb45fac</t>
  </si>
  <si>
    <t>Crude oil, at production offshore {BE}</t>
  </si>
  <si>
    <t>a8d9e90a-0f1c-3053-b8a4-855b6f57959a</t>
  </si>
  <si>
    <t>Crude oil, at production offshore {BO}</t>
  </si>
  <si>
    <t>40f38ec3-2c99-3de3-9aad-55722822354d</t>
  </si>
  <si>
    <t>Crude oil, at production offshore {BR}</t>
  </si>
  <si>
    <t>325ff4c9-3ec5-3ad3-b77a-186fb7f4a566</t>
  </si>
  <si>
    <t>Crude oil, at production offshore {CA}</t>
  </si>
  <si>
    <t>9f3c3f39-cbff-324e-ab2e-6b90a1ceb8bb</t>
  </si>
  <si>
    <t>Crude oil, at production offshore {CN}</t>
  </si>
  <si>
    <t>5ef87b95-769e-34f3-9e23-cc50962c310e</t>
  </si>
  <si>
    <t>Crude oil, at production offshore {CO}</t>
  </si>
  <si>
    <t>457a2e2b-eba0-32e4-bdc8-7d4263182b2e</t>
  </si>
  <si>
    <t>Crude oil, at production offshore {DE}</t>
  </si>
  <si>
    <t>d9bae888-8fa2-3bec-825e-b1d0cb7071bf</t>
  </si>
  <si>
    <t>Crude oil, at production offshore {DZ}</t>
  </si>
  <si>
    <t>45728ebb-4c33-3ce9-a750-732a36c87810</t>
  </si>
  <si>
    <t>Crude oil, at production offshore {EC}</t>
  </si>
  <si>
    <t>e1d411da-d02d-39aa-a232-bab67c8aa54a</t>
  </si>
  <si>
    <t>Crude oil, at production offshore {EG}</t>
  </si>
  <si>
    <t>9eec8be2-1701-3fd3-9346-dc93b06e2316</t>
  </si>
  <si>
    <t>Crude oil, at production offshore {ES}</t>
  </si>
  <si>
    <t>c0284a29-658e-3431-96d1-8a31e59e270d</t>
  </si>
  <si>
    <t>Crude oil, at production offshore {FR}</t>
  </si>
  <si>
    <t>ca5e9c14-c33d-30f9-b704-705a46721ad3</t>
  </si>
  <si>
    <t>Crude oil, at production offshore {GB}</t>
  </si>
  <si>
    <t>78bf6e65-9382-3add-9b96-319a2cb406f0</t>
  </si>
  <si>
    <t>Crude oil, at production offshore {GQ}</t>
  </si>
  <si>
    <t>d9484282-a36b-3577-81cd-07938def40bf</t>
  </si>
  <si>
    <t>Crude oil, at production offshore {ID}</t>
  </si>
  <si>
    <t>35af401e-2fc0-3b0d-9a1f-cb2603cbaa38</t>
  </si>
  <si>
    <t>Crude oil, at production offshore {IN}</t>
  </si>
  <si>
    <t>def3e9b6-1137-329a-a939-d04686294980</t>
  </si>
  <si>
    <t>Crude oil, at production offshore {IQ}</t>
  </si>
  <si>
    <t>0aba332a-c070-3efd-b214-475d3142d8cc</t>
  </si>
  <si>
    <t>Crude oil, at production offshore {IR}</t>
  </si>
  <si>
    <t>293ba3cd-1180-3072-91a0-541c903a54bd</t>
  </si>
  <si>
    <t>Crude oil, at production offshore {IT}</t>
  </si>
  <si>
    <t>b84a3797-6553-3af1-ad34-a1d73e61f94e</t>
  </si>
  <si>
    <t>Crude oil, at production offshore {JP}</t>
  </si>
  <si>
    <t>a2b2874d-fe35-3727-8dda-e223c15e46ad</t>
  </si>
  <si>
    <t>Crude oil, at production offshore {KR}</t>
  </si>
  <si>
    <t>7b20facb-8ed8-34c0-bbb7-3faa943dccee</t>
  </si>
  <si>
    <t>Crude oil, at production offshore {KW}</t>
  </si>
  <si>
    <t>132c4bf0-407c-39f0-b905-c8a6d1c25a80</t>
  </si>
  <si>
    <t>Crude oil, at production offshore {KZ}</t>
  </si>
  <si>
    <t>6dc322f3-e4f0-3219-ade4-fb88249aebd3</t>
  </si>
  <si>
    <t>Crude oil, at production offshore {LY}</t>
  </si>
  <si>
    <t>fdc9126e-9e30-392e-a220-fe6a7e78ac22</t>
  </si>
  <si>
    <t>Crude oil, at production offshore {MX}</t>
  </si>
  <si>
    <t>bf487b2f-76b1-3473-aef7-32f238fcf50a</t>
  </si>
  <si>
    <t>Crude oil, at production offshore {MY}</t>
  </si>
  <si>
    <t>f1a9d3f6-cb69-37a0-b426-1223fe00b65b</t>
  </si>
  <si>
    <t>Crude oil, at production offshore {NG}</t>
  </si>
  <si>
    <t>a4af2402-57b9-3f83-8bc4-951fe5197637</t>
  </si>
  <si>
    <t>Crude oil, at production offshore {NL}</t>
  </si>
  <si>
    <t>86b9dc69-8464-31a9-9c6c-cb61500b6b2d</t>
  </si>
  <si>
    <t>Crude oil, at production offshore {NO}</t>
  </si>
  <si>
    <t>9b3c41a4-c721-3deb-845a-dfa7f3467547</t>
  </si>
  <si>
    <t>Crude oil, at production offshore {OM}</t>
  </si>
  <si>
    <t>8965dac0-4146-35d2-87d8-f9fa081a6a5c</t>
  </si>
  <si>
    <t>Crude oil, at production offshore {PE}</t>
  </si>
  <si>
    <t>5442271f-5ba8-33da-9375-4bd9904c243f</t>
  </si>
  <si>
    <t>Crude oil, at production offshore {PL}</t>
  </si>
  <si>
    <t>2e328e2a-52ea-39c0-962e-8ff9215dea86</t>
  </si>
  <si>
    <t>Crude oil, at production offshore {QA}</t>
  </si>
  <si>
    <t>91ace502-9c1b-3d3a-b268-9f1af2dacc4a</t>
  </si>
  <si>
    <t>Crude oil, at production offshore {RO}</t>
  </si>
  <si>
    <t>3b7cc913-72a5-314c-804b-52cbabf1db0b</t>
  </si>
  <si>
    <t>Crude oil, at production offshore {RU}</t>
  </si>
  <si>
    <t>5880008a-4aa8-30d5-82a6-82b2d828eaa8</t>
  </si>
  <si>
    <t>Crude oil, at production offshore {SA}</t>
  </si>
  <si>
    <t>c6e757dd-0657-347f-8f80-ea8e36673b09</t>
  </si>
  <si>
    <t>Crude oil, at production offshore {TH}</t>
  </si>
  <si>
    <t>21ddae9c-d16a-34dd-9d10-9a0a673d1620</t>
  </si>
  <si>
    <t>Crude oil, at production offshore {TM}</t>
  </si>
  <si>
    <t>82c22d2c-b3f1-31f4-ad73-bba8b0d70471</t>
  </si>
  <si>
    <t>Crude oil, at production offshore {TR}</t>
  </si>
  <si>
    <t>8546b37c-29b4-322a-85de-c10027136a40</t>
  </si>
  <si>
    <t>Crude oil, at production offshore {TT}</t>
  </si>
  <si>
    <t>4b84945a-5ebb-3c9c-ad4d-914b7657dc71</t>
  </si>
  <si>
    <t>Crude oil, at production offshore {TW}</t>
  </si>
  <si>
    <t>cb5bfe40-17bc-3eaa-9541-38d5a73e2ced</t>
  </si>
  <si>
    <t>Crude oil, at production offshore {UA}</t>
  </si>
  <si>
    <t>16b5972b-7ec3-3f7c-bb59-46b6a8406ba2</t>
  </si>
  <si>
    <t>Crude oil, at production offshore {US}</t>
  </si>
  <si>
    <t>4df7cdef-d22d-33ba-9075-365c34c682c3</t>
  </si>
  <si>
    <t>Crude oil, at production offshore {UZ}</t>
  </si>
  <si>
    <t>f2b8dc11-4e8d-3a68-935d-eec2b412f0ba</t>
  </si>
  <si>
    <t>Crude oil, at production offshore {VE}</t>
  </si>
  <si>
    <t>41fcb017-91ea-31ee-ad66-510e7319dfd1</t>
  </si>
  <si>
    <t>Crude oil, at production onshore {AE}</t>
  </si>
  <si>
    <t>1408dcea-d48c-3112-a223-04cd71306292</t>
  </si>
  <si>
    <t>Crude oil, at production onshore {AO}</t>
  </si>
  <si>
    <t>af6648ce-1e83-396c-bfb2-37218cc6b53f</t>
  </si>
  <si>
    <t>Crude oil, at production onshore {AR}</t>
  </si>
  <si>
    <t>22736c0a-1a9a-386d-847c-d67c049ca1fa</t>
  </si>
  <si>
    <t>Crude oil, at production onshore {AU}</t>
  </si>
  <si>
    <t>d9540138-2767-3ed5-835c-5e20bfe583d2</t>
  </si>
  <si>
    <t>Crude oil, at production onshore {AZ}</t>
  </si>
  <si>
    <t>cff25ad8-b6af-3f42-8b43-0737f5e00c0d</t>
  </si>
  <si>
    <t>Crude oil, at production onshore {BE}</t>
  </si>
  <si>
    <t>989232c8-e0af-3570-bf73-309a88a1c387</t>
  </si>
  <si>
    <t>Crude oil, at production onshore {BO}</t>
  </si>
  <si>
    <t>0369c36a-a46e-3938-a8e1-baef5446f8e2</t>
  </si>
  <si>
    <t>Crude oil, at production onshore {BR}</t>
  </si>
  <si>
    <t>f06452f3-26d8-30c0-b550-ec82aa1589bf</t>
  </si>
  <si>
    <t>Crude oil, at production onshore {CA}</t>
  </si>
  <si>
    <t>b911cdfa-a277-3a35-820b-d75a4fe77b4c</t>
  </si>
  <si>
    <t>Crude oil, at production onshore {CN}</t>
  </si>
  <si>
    <t>35aba06a-6d27-3b7e-baed-b902660c1afa</t>
  </si>
  <si>
    <t>Crude oil, at production onshore {CO}</t>
  </si>
  <si>
    <t>e5fc98b5-56d3-3663-9db3-a7680bc95ba9</t>
  </si>
  <si>
    <t>Crude oil, at production onshore {DE}</t>
  </si>
  <si>
    <t>b86a479d-7eb1-31d9-90ba-fdc94cc5213a</t>
  </si>
  <si>
    <t>Crude oil, at production onshore {DZ}</t>
  </si>
  <si>
    <t>6fd01b1d-9a58-3ae4-8be9-e70ea618442f</t>
  </si>
  <si>
    <t>Crude oil, at production onshore {EC}</t>
  </si>
  <si>
    <t>cf815019-5aa5-302f-9a3e-fb926186948c</t>
  </si>
  <si>
    <t>Crude oil, at production onshore {EG}</t>
  </si>
  <si>
    <t>45bd00c2-d6a1-391b-9df3-68e9eeeb56d9</t>
  </si>
  <si>
    <t>Crude oil, at production onshore {ES}</t>
  </si>
  <si>
    <t>463523f3-38af-3e0f-b2ff-fc4ef84da824</t>
  </si>
  <si>
    <t>Crude oil, at production onshore {FR}</t>
  </si>
  <si>
    <t>0e8c56ef-0a4f-346c-a6ad-f38b9e0cedf6</t>
  </si>
  <si>
    <t>Crude oil, at production onshore {GB}</t>
  </si>
  <si>
    <t>8c49a837-18a3-3baf-a244-eb9dd13df74b</t>
  </si>
  <si>
    <t>Crude oil, at production onshore {GQ}</t>
  </si>
  <si>
    <t>8864a76d-c49e-364e-a29c-e6f058cff472</t>
  </si>
  <si>
    <t>Crude oil, at production onshore {ID}</t>
  </si>
  <si>
    <t>f71f3363-d75e-3929-a800-d4a994fdc32f</t>
  </si>
  <si>
    <t>Crude oil, at production onshore {IN}</t>
  </si>
  <si>
    <t>fa7891d1-7d89-3ab6-857a-f15b050f9cd9</t>
  </si>
  <si>
    <t>Crude oil, at production onshore {IQ}</t>
  </si>
  <si>
    <t>af32cfaf-bd14-36f2-b392-b2ad4428592c</t>
  </si>
  <si>
    <t>Crude oil, at production onshore {IR}</t>
  </si>
  <si>
    <t>c54afb4e-b02a-3846-b3e5-bd683818efa9</t>
  </si>
  <si>
    <t>Crude oil, at production onshore {IT}</t>
  </si>
  <si>
    <t>a0b7ea31-8a47-3891-bb15-67fd911a9cc0</t>
  </si>
  <si>
    <t>Crude oil, at production onshore {JP}</t>
  </si>
  <si>
    <t>75b17699-cb1e-3dad-bf71-4e037c571c2a</t>
  </si>
  <si>
    <t>Crude oil, at production onshore {KR}</t>
  </si>
  <si>
    <t>2683e690-0fee-38c5-837f-5b7a8ca3a7ad</t>
  </si>
  <si>
    <t>Crude oil, at production onshore {KW}</t>
  </si>
  <si>
    <t>131e9c2d-a811-3174-afad-8cf36fcb36c5</t>
  </si>
  <si>
    <t>Crude oil, at production onshore {KZ}</t>
  </si>
  <si>
    <t>c57aed24-095b-3d98-a658-c2254fb5b6a8</t>
  </si>
  <si>
    <t>Crude oil, at production onshore {LY}</t>
  </si>
  <si>
    <t>bc79974a-2fb3-3681-ab62-9e53feb84fef</t>
  </si>
  <si>
    <t>Crude oil, at production onshore {MX}</t>
  </si>
  <si>
    <t>26ab25b6-a816-3321-8f11-97fbb95b5276</t>
  </si>
  <si>
    <t>Crude oil, at production onshore {MY}</t>
  </si>
  <si>
    <t>ac586028-dd18-323a-8e44-ae61b0792d87</t>
  </si>
  <si>
    <t>Crude oil, at production onshore {NG}</t>
  </si>
  <si>
    <t>a899195e-8a66-37ba-9cb9-fd4652526235</t>
  </si>
  <si>
    <t>Crude oil, at production onshore {NL}</t>
  </si>
  <si>
    <t>a0683e35-9d16-3985-b924-5389947c2a78</t>
  </si>
  <si>
    <t>Crude oil, at production onshore {NO}</t>
  </si>
  <si>
    <t>fab4d8bd-22f2-304e-89e3-cce8f7a32df2</t>
  </si>
  <si>
    <t>Crude oil, at production onshore {OM}</t>
  </si>
  <si>
    <t>70d49f2d-9d1c-373c-8e29-6f7983a926ba</t>
  </si>
  <si>
    <t>Crude oil, at production onshore {PE}</t>
  </si>
  <si>
    <t>697f6b74-1bd5-3a3d-907d-4239ab201ad7</t>
  </si>
  <si>
    <t>Crude oil, at production onshore {PL}</t>
  </si>
  <si>
    <t>d7ae0a4c-03a1-3674-a7ac-6a42a79e79e2</t>
  </si>
  <si>
    <t>Crude oil, at production onshore {QA}</t>
  </si>
  <si>
    <t>934a6bb3-82c4-344c-84ec-1982dc347a93</t>
  </si>
  <si>
    <t>Crude oil, at production onshore {RO}</t>
  </si>
  <si>
    <t>37557415-545b-3ede-8753-e6aa077f6725</t>
  </si>
  <si>
    <t>Crude oil, at production onshore {RU}</t>
  </si>
  <si>
    <t>64077448-64c5-388b-b5a4-96a636209701</t>
  </si>
  <si>
    <t>Crude oil, at production onshore {SA}</t>
  </si>
  <si>
    <t>3d1a0d74-c2d5-3462-8d3f-8f83c009ac1b</t>
  </si>
  <si>
    <t>Crude oil, at production onshore {TH}</t>
  </si>
  <si>
    <t>16db0504-f5be-311d-83d6-da5a6ebaec4e</t>
  </si>
  <si>
    <t>Crude oil, at production onshore {TM}</t>
  </si>
  <si>
    <t>cf2e6663-69d3-39d8-ab32-cb1bbbeac95f</t>
  </si>
  <si>
    <t>Crude oil, at production onshore {TR}</t>
  </si>
  <si>
    <t>a2a99058-369b-398e-80a9-8869b95d7469</t>
  </si>
  <si>
    <t>Crude oil, at production onshore {TT}</t>
  </si>
  <si>
    <t>8d2f7566-80c1-3468-92ef-2f20dc636721</t>
  </si>
  <si>
    <t>Crude oil, at production onshore {TW}</t>
  </si>
  <si>
    <t>73f4ffc7-5f38-3469-acf8-c1d254c50a00</t>
  </si>
  <si>
    <t>Crude oil, at production onshore {UA}</t>
  </si>
  <si>
    <t>88c57208-bb59-34e6-8409-51bc526e5de1</t>
  </si>
  <si>
    <t>Crude oil, at production onshore {US}</t>
  </si>
  <si>
    <t>db4601f1-c60c-32c7-a030-f5b3b72fa219</t>
  </si>
  <si>
    <t>Crude oil, at production onshore {UZ}</t>
  </si>
  <si>
    <t>c227389a-2dd1-341b-94a5-ebfaa09ad283</t>
  </si>
  <si>
    <t>Crude oil, at production onshore {VE}</t>
  </si>
  <si>
    <t>152a07bd-546e-3e92-9745-4cde4407d917</t>
  </si>
  <si>
    <t>Crude oil, market mix, at long distance transport {AE}</t>
  </si>
  <si>
    <t>oil\transport</t>
  </si>
  <si>
    <t>8cb2feef-5232-332a-acb4-4f56fbcc566a</t>
  </si>
  <si>
    <t>Crude oil, market mix, at long distance transport {AO}</t>
  </si>
  <si>
    <t>078ad0ac-18e0-3efd-9217-d8151178e246</t>
  </si>
  <si>
    <t>Crude oil, market mix, at long distance transport {AU}</t>
  </si>
  <si>
    <t>5ed4746d-c168-3d31-bb9e-dc464c9b5b99</t>
  </si>
  <si>
    <t>Crude oil, market mix, at long distance transport {BE}</t>
  </si>
  <si>
    <t>f83974a8-8a19-38ef-8928-b585fa048502</t>
  </si>
  <si>
    <t>Crude oil, market mix, at long distance transport {BR}</t>
  </si>
  <si>
    <t>e8860cc8-dab3-3bae-bf72-0dd4f7ed1165</t>
  </si>
  <si>
    <t>Crude oil, market mix, at long distance transport {CA}</t>
  </si>
  <si>
    <t>3bd7d8a7-b0da-339e-b6cb-0b6751b38ba4</t>
  </si>
  <si>
    <t>Crude oil, market mix, at long distance transport {CH}</t>
  </si>
  <si>
    <t>601c1a15-0544-3365-bc53-e0f50cf856e5</t>
  </si>
  <si>
    <t>Crude oil, market mix, at long distance transport {CN}</t>
  </si>
  <si>
    <t>11054eb8-88bd-3b20-8020-4c01fc532580</t>
  </si>
  <si>
    <t>Crude oil, market mix, at long distance transport {CO}</t>
  </si>
  <si>
    <t>09a6838d-ff69-3bed-aeb2-f60d0dd2fd80</t>
  </si>
  <si>
    <t>Crude oil, market mix, at long distance transport {DE}</t>
  </si>
  <si>
    <t>5290b4e2-e2e5-3198-9d9f-7127b4f9bd49</t>
  </si>
  <si>
    <t>Crude oil, market mix, at long distance transport {DZ}</t>
  </si>
  <si>
    <t>bbca000b-c2b8-3ed3-8d10-0d583e7c2257</t>
  </si>
  <si>
    <t>Crude oil, market mix, at long distance transport {ES}</t>
  </si>
  <si>
    <t>0f160c14-abd2-387e-9d4c-da536cb490f3</t>
  </si>
  <si>
    <t>Crude oil, market mix, at long distance transport {FR}</t>
  </si>
  <si>
    <t>20df2982-3557-38de-8a75-8f1ca36936cf</t>
  </si>
  <si>
    <t>Crude oil, market mix, at long distance transport {GB}</t>
  </si>
  <si>
    <t>2b613f5f-634e-3844-9a43-7ad1bcd53078</t>
  </si>
  <si>
    <t>Crude oil, market mix, at long distance transport {GLO}</t>
  </si>
  <si>
    <t>fafd0ea9-47c8-3501-9f9e-01f1e28df225</t>
  </si>
  <si>
    <t>Crude oil, market mix, at long distance transport {ID}</t>
  </si>
  <si>
    <t>b5f55019-6089-3f95-baa3-1321d8e05a5b</t>
  </si>
  <si>
    <t>Crude oil, market mix, at long distance transport {IN}</t>
  </si>
  <si>
    <t>30911938-378f-3930-84ed-975a4c2bb031</t>
  </si>
  <si>
    <t>Crude oil, market mix, at long distance transport {IQ}</t>
  </si>
  <si>
    <t>0d2be9c5-5ea7-332e-a412-aa5987cc3e24</t>
  </si>
  <si>
    <t>Crude oil, market mix, at long distance transport {IR}</t>
  </si>
  <si>
    <t>95fb7343-76e1-3b59-80a9-2a0fa90b97f8</t>
  </si>
  <si>
    <t>Crude oil, market mix, at long distance transport {IT}</t>
  </si>
  <si>
    <t>83f8397d-490e-353b-b1b2-77c78dc472c6</t>
  </si>
  <si>
    <t>Crude oil, market mix, at long distance transport {JP}</t>
  </si>
  <si>
    <t>ae814f50-4eff-3ba0-a6f3-5ec7e0e1ab78</t>
  </si>
  <si>
    <t>Crude oil, market mix, at long distance transport {KR}</t>
  </si>
  <si>
    <t>ef525d49-acf0-3525-8c56-3deb6e13765d</t>
  </si>
  <si>
    <t>Crude oil, market mix, at long distance transport {KW}</t>
  </si>
  <si>
    <t>fea5fab6-cd24-38ce-96c5-7f6cfadd9f4d</t>
  </si>
  <si>
    <t>Crude oil, market mix, at long distance transport {KZ}</t>
  </si>
  <si>
    <t>58d0446a-e0a0-3006-8d91-8a56e70d25e0</t>
  </si>
  <si>
    <t>Crude oil, market mix, at long distance transport {LY}</t>
  </si>
  <si>
    <t>eff19b7a-0082-3038-862a-949fb6eaf7a2</t>
  </si>
  <si>
    <t>Crude oil, market mix, at long distance transport {MX}</t>
  </si>
  <si>
    <t>bb169b9d-b2d7-3a53-a72e-1133344d2aaa</t>
  </si>
  <si>
    <t>Crude oil, market mix, at long distance transport {MY}</t>
  </si>
  <si>
    <t>9d906b01-bc77-3077-a64c-4277d6721c62</t>
  </si>
  <si>
    <t>Crude oil, market mix, at long distance transport {NG}</t>
  </si>
  <si>
    <t>989475de-44e7-3dfb-9749-f44ebd19e660</t>
  </si>
  <si>
    <t>Crude oil, market mix, at long distance transport {NL}</t>
  </si>
  <si>
    <t>b25bd86c-8e11-3f97-81cf-70732b798f21</t>
  </si>
  <si>
    <t>Crude oil, market mix, at long distance transport {NO}</t>
  </si>
  <si>
    <t>a9b0d804-51a2-3a87-bc79-fcbe8f94ea62</t>
  </si>
  <si>
    <t>Crude oil, market mix, at long distance transport {OM}</t>
  </si>
  <si>
    <t>f32f4f72-bc0b-32b6-8d74-b9f20cbe943d</t>
  </si>
  <si>
    <t>Crude oil, market mix, at long distance transport {PE}</t>
  </si>
  <si>
    <t>bbfbeaef-9916-3199-9b90-23a534adb098</t>
  </si>
  <si>
    <t>Crude oil, market mix, at long distance transport {QA}</t>
  </si>
  <si>
    <t>ada9513e-06b4-3e95-bc2d-0fbcb1c90c33</t>
  </si>
  <si>
    <t>Crude oil, market mix, at long distance transport {RER}</t>
  </si>
  <si>
    <t>9c058034-09e9-3972-bdc9-98513c72f656</t>
  </si>
  <si>
    <t>Crude oil, market mix, at long distance transport {RNA}</t>
  </si>
  <si>
    <t>10d53c1e-11ac-3075-ad58-863427e9c833</t>
  </si>
  <si>
    <t>Crude oil, market mix, at long distance transport {RU}</t>
  </si>
  <si>
    <t>91c60006-27a9-30eb-b8be-ee8c98f727f0</t>
  </si>
  <si>
    <t>Crude oil, market mix, at long distance transport {SA}</t>
  </si>
  <si>
    <t>38e12191-44bd-3185-a8de-ec099664f5a6</t>
  </si>
  <si>
    <t>Crude oil, market mix, at long distance transport {SG}</t>
  </si>
  <si>
    <t>e798be36-d62b-3fb4-a3ea-3e93816bf937</t>
  </si>
  <si>
    <t>Crude oil, market mix, at long distance transport {TH}</t>
  </si>
  <si>
    <t>5d28a9d9-9f4f-352d-9a16-f87705da6c2a</t>
  </si>
  <si>
    <t>Crude oil, market mix, at long distance transport {TR}</t>
  </si>
  <si>
    <t>bde5f3c9-5233-3e73-a27c-c214094bfedd</t>
  </si>
  <si>
    <t>Crude oil, market mix, at long distance transport {TW}</t>
  </si>
  <si>
    <t>3112459a-aa14-30e7-84d2-655a39ee0bf1</t>
  </si>
  <si>
    <t>Crude oil, market mix, at long distance transport {US}</t>
  </si>
  <si>
    <t>322746e7-7698-307e-862f-e1560eec0213</t>
  </si>
  <si>
    <t>Crude oil, market mix, at long distance transport {ZA}</t>
  </si>
  <si>
    <t>de7649bb-5a94-3b3f-9d59-99112587f3e9</t>
  </si>
  <si>
    <t>Crude oil, production AZ, at long distance transport {CH}</t>
  </si>
  <si>
    <t>fuels\oil\transport</t>
  </si>
  <si>
    <t>f20f86c7-efc9-33ab-92d4-261a9f9b3715</t>
  </si>
  <si>
    <t>Crude oil, production AZ, at long distance transport {RER}</t>
  </si>
  <si>
    <t>e641fa02-cebf-3c92-99ce-5e98eb50608d</t>
  </si>
  <si>
    <t>Crude oil, production GB, at long distance transport {RER}</t>
  </si>
  <si>
    <t>6b202209-94dd-3f53-95df-37bdf33b88ca</t>
  </si>
  <si>
    <t>Crude oil, production IQ, at long distance transport {CH}</t>
  </si>
  <si>
    <t>2aed5c74-444b-349b-9b29-509147200e39</t>
  </si>
  <si>
    <t>Crude oil, production IQ, at long distance transport {RER}</t>
  </si>
  <si>
    <t>1e9170ca-4b2b-3fb7-b935-87bb8cbc7f59</t>
  </si>
  <si>
    <t>Crude oil, production KZ, at long distance transport {CH}</t>
  </si>
  <si>
    <t>83bae5eb-187d-3fbf-8361-622846dd025d</t>
  </si>
  <si>
    <t>Crude oil, production KZ, at long distance transport {RER}</t>
  </si>
  <si>
    <t>1d560222-554c-3d97-ae80-95656f8d49b8</t>
  </si>
  <si>
    <t>Crude oil, production MX, at long distance transport {CH}</t>
  </si>
  <si>
    <t>9d0a884c-3b5e-308c-a934-2ec0e96e59d1</t>
  </si>
  <si>
    <t>Crude oil, production MX, at long distance transport {RER}</t>
  </si>
  <si>
    <t>5b4522bb-7b0c-3cd7-8f2a-56c30c999b89</t>
  </si>
  <si>
    <t>Crude oil, production NG, at long distance transport {CH}</t>
  </si>
  <si>
    <t>97ff35f4-6bbf-3ac9-80a1-ef695a663a92</t>
  </si>
  <si>
    <t>Crude oil, production NG, at long distance transport {RER}</t>
  </si>
  <si>
    <t>e7ee122a-702b-3f07-9b54-82e41a147162</t>
  </si>
  <si>
    <t>Crude oil, production NL, at long distance transport {RER}</t>
  </si>
  <si>
    <t>4287f137-2bfc-3f9e-aa54-3614f3c72b60</t>
  </si>
  <si>
    <t>Crude oil, production NO, at long distance transport {CH}</t>
  </si>
  <si>
    <t>0edd4b90-c9d6-36d1-8880-c59532af9b9c</t>
  </si>
  <si>
    <t>Crude oil, production NO, at long distance transport {RER}</t>
  </si>
  <si>
    <t>917c272d-c61c-3a86-9e93-c4cef5c79c73</t>
  </si>
  <si>
    <t>Crude oil, production RAF, at long distance transport {CH}</t>
  </si>
  <si>
    <t>78ebd806-53d3-35fe-98d6-bb979a4222e2</t>
  </si>
  <si>
    <t>Crude oil, production RAF, at long distance transport {RER}</t>
  </si>
  <si>
    <t>9ca62414-6ef3-35d4-b40a-c7193c6527a6</t>
  </si>
  <si>
    <t>Crude oil, production RLA, at long distance transport {CH}</t>
  </si>
  <si>
    <t>bb3378d2-1cf2-3368-a1ce-89571455ffde</t>
  </si>
  <si>
    <t>Crude oil, production RLA, at long distance transport {RER}</t>
  </si>
  <si>
    <t>5be517f3-0dbf-38e8-8244-2da4cdf5ccb9</t>
  </si>
  <si>
    <t>Crude oil, production RME, at long distance transport {CH}</t>
  </si>
  <si>
    <t>a8a127ef-5662-355a-8cea-f38415a70ced</t>
  </si>
  <si>
    <t>Crude oil, production RME, at long distance transport {RER}</t>
  </si>
  <si>
    <t>f978cbee-54f5-3e3d-a562-49a07fcdc584</t>
  </si>
  <si>
    <t>Crude oil, production RU, at long distance transport {CH}</t>
  </si>
  <si>
    <t>8fb09cbe-1f54-316b-b1ac-a6396c566c8a</t>
  </si>
  <si>
    <t>Crude oil, production RU, at long distance transport {RER}</t>
  </si>
  <si>
    <t>266e31e5-b04a-3145-a692-b5df49a458e6</t>
  </si>
  <si>
    <t>Crude oil, production SA, at long distance transport {CH}</t>
  </si>
  <si>
    <t>b07d53b1-bf1d-31c4-83ce-b0e5812343ce</t>
  </si>
  <si>
    <t>Crude oil, production SA, at long distance transport {RER}</t>
  </si>
  <si>
    <t>677067e0-1321-3a97-9133-e89597b4fe8d</t>
  </si>
  <si>
    <t>Crude oil, production US, at long distance transport {CH}</t>
  </si>
  <si>
    <t>5188a405-6e97-3a3b-9793-b93af078682b</t>
  </si>
  <si>
    <t>Crude oil, production US, at long distance transport {RER}</t>
  </si>
  <si>
    <t>4084a1e3-3c04-32fe-9804-52164553ab67</t>
  </si>
  <si>
    <t>Crude oil, used in drilling tests {GLO}</t>
  </si>
  <si>
    <t>fuels\oil\crude oil\production\processes</t>
  </si>
  <si>
    <t>a60c9cf4-c057-3510-813a-d92a65db76fc</t>
  </si>
  <si>
    <t>Crushing, rock {RER}</t>
  </si>
  <si>
    <t>8372ac8f-9117-341e-8e47-e6a1ef4b0b7b</t>
  </si>
  <si>
    <t>Cryolite, at plant {RER}</t>
  </si>
  <si>
    <t>9c6db716-53d1-3afb-b518-a47165e7611a</t>
  </si>
  <si>
    <t>Cumene, at plant {RER}</t>
  </si>
  <si>
    <t>01c79c63-f90e-3a8c-b052-7a915fd11ffe</t>
  </si>
  <si>
    <t>Cupboard hinges and screws, at plant {CH}</t>
  </si>
  <si>
    <t>fa046af5-bb24-3b09-92eb-b82f57b72836</t>
  </si>
  <si>
    <t>Cyanazine, at regional storehouse {RER}</t>
  </si>
  <si>
    <t>e7660cd7-b91b-3db3-a35f-c452f01a4f4e</t>
  </si>
  <si>
    <t>Cyclic N-compounds, at regional storehouse {CH}</t>
  </si>
  <si>
    <t>71d8c3d8-72b5-3c76-a084-96bafbea0331</t>
  </si>
  <si>
    <t>Cyclic N-compounds, at regional storehouse {RER}</t>
  </si>
  <si>
    <t>5a0b9d66-8143-300a-b5ce-0e3297187373</t>
  </si>
  <si>
    <t>Cyclohexane, at plant {RER}</t>
  </si>
  <si>
    <t>345f7ede-101e-3910-a276-672ebee29969</t>
  </si>
  <si>
    <t>Cyclohexanol, at plant {RER}</t>
  </si>
  <si>
    <t>57e7ea49-1b3c-3734-b40a-77568b399f38</t>
  </si>
  <si>
    <t>CZ single crystalline silicon, electronics, at plant {RER}</t>
  </si>
  <si>
    <t>electronics\photovoltaic</t>
  </si>
  <si>
    <t>b220482d-5025-3acd-9b6c-9782136355a9</t>
  </si>
  <si>
    <t>CZ single crystalline silicon, photovoltaics, at plant {APAC}</t>
  </si>
  <si>
    <t>4473343a-5923-4b43-a394-9638850bd824</t>
  </si>
  <si>
    <t>CZ single crystalline silicon, photovoltaics, at plant {CN}</t>
  </si>
  <si>
    <t>0a803bac-faca-3ac8-ba70-52042350ec9a</t>
  </si>
  <si>
    <t>CZ single crystalline silicon, photovoltaics, at plant {RER}</t>
  </si>
  <si>
    <t>576fa11b-8bfc-3c19-9cad-f89989713201</t>
  </si>
  <si>
    <t>CZ single crystalline silicon, photovoltaics, at plant {US}</t>
  </si>
  <si>
    <t>f1c2959b-2a3c-3aa6-8e8d-4a97e7bf92d3</t>
  </si>
  <si>
    <t>DAS-1, fluorescent whitening agent triazinylaminostilben type, at plant {RER}</t>
  </si>
  <si>
    <t>a4fa1bb7-e42e-3ad9-b1c1-a0e449ab1f32</t>
  </si>
  <si>
    <t>Data center {GLO}</t>
  </si>
  <si>
    <t>04e7884e-94c2-3669-a327-b62bf43d4b7d</t>
  </si>
  <si>
    <t>Deconstruction, average {CH}</t>
  </si>
  <si>
    <t>99967f45-af69-4ec6-afb4-78d1353108aa</t>
  </si>
  <si>
    <t>Deconstruction, hydraulic digger, average {CH}</t>
  </si>
  <si>
    <t>4cd45852-9516-4f18-83bc-f9c737a3cc15</t>
  </si>
  <si>
    <t>Deep drawing, steel, 10000 kN press, automode operation {RER}</t>
  </si>
  <si>
    <t>82b4fed1-21c0-3e38-a795-3ee4331f548a</t>
  </si>
  <si>
    <t>Deformation stroke, cold impact extrusion, aluminium {RER}</t>
  </si>
  <si>
    <t>07cc4f71-83dc-3466-8abe-070aa1664b20</t>
  </si>
  <si>
    <t>Deformation stroke, cold impact extrusion, steel {RER}</t>
  </si>
  <si>
    <t>91c25d2b-cdee-3cb7-9a5a-c5dcc406ea4b</t>
  </si>
  <si>
    <t>Deformation stroke, hot impact extrusion, steel {RER}</t>
  </si>
  <si>
    <t>dbc43678-684b-3833-aaf4-5fe3944d3bc9</t>
  </si>
  <si>
    <t>Deformation stroke, warm impact extrusion, steel {RER}</t>
  </si>
  <si>
    <t>a5d45a62-a2ef-3e42-86d4-f73dd092b69f</t>
  </si>
  <si>
    <t>Deinking emulsion, in paper production, at plant {RER}</t>
  </si>
  <si>
    <t>ac2489ce-6796-3563-9e18-4795b10e1d2f</t>
  </si>
  <si>
    <t>Delimbing, sorting, excavator-based processor {RER}</t>
  </si>
  <si>
    <t>36000c2b-3aa7-3644-9b71-40fa162afa28</t>
  </si>
  <si>
    <t>Delivery and return well for groundwater heat pump, 9m,  {CH}</t>
  </si>
  <si>
    <t>b62936dc-4866-3d40-b387-58d4e5a7a07c</t>
  </si>
  <si>
    <t>f9531744-2e9e-3481-ba7e-5aae28c6b126</t>
  </si>
  <si>
    <t>Dewatering, building pit, pumping head 10m {CH}</t>
  </si>
  <si>
    <t>d338ca91-669e-315f-8015-0d8c9e321800</t>
  </si>
  <si>
    <t>Dewatering, building pit, pumping head 2.5m {CH}</t>
  </si>
  <si>
    <t>c2b01d0e-789b-30ec-8843-47aa1f149be9</t>
  </si>
  <si>
    <t>Dewatering, building pit, pumping head 5m {CH}</t>
  </si>
  <si>
    <t>d864c8f3-4077-3926-a12b-14c460967273</t>
  </si>
  <si>
    <t>Dewatering, building pit, pumping head 7.5m {CH}</t>
  </si>
  <si>
    <t>6f94309e-5440-3caf-a6bc-b83429105d31</t>
  </si>
  <si>
    <t>02ab42bf-aab3-3000-9fcb-08ddd4fc1752</t>
  </si>
  <si>
    <t>7bb60e3a-d456-30f6-b82e-8bdf59ba25aa</t>
  </si>
  <si>
    <t>Diaphragm compressor module, high pressure {GLO}</t>
  </si>
  <si>
    <t>7ca62dec-3cff-3125-a66a-378a1e66ce4c</t>
  </si>
  <si>
    <t>Diaphragm wall, 400mm, Implenia {CH}</t>
  </si>
  <si>
    <t>5f874d75-44c2-3957-bf38-ca6070ad5f23</t>
  </si>
  <si>
    <t>Diaphragm wall, 800mm, average {CH}</t>
  </si>
  <si>
    <t>b47c8543-03dd-31a8-bf4e-da159c9619a4</t>
  </si>
  <si>
    <t>Diaphragm wall, 800mm, Bauer Spezialtiefbau Schweiz {CH}</t>
  </si>
  <si>
    <t>2e95279a-383b-3e04-9e2e-b137efadb0b1</t>
  </si>
  <si>
    <t>Diaphragm wall, 800mm, Implenia {CH}</t>
  </si>
  <si>
    <t>fac87e42-f7c3-3850-b45a-91987c5f399f</t>
  </si>
  <si>
    <t>Diaphragms, for diaphragm compressor {GLO}</t>
  </si>
  <si>
    <t>c8ee7f4c-423a-3981-8075-026ff4347b83</t>
  </si>
  <si>
    <t>Diborane, at plant {GLO}</t>
  </si>
  <si>
    <t>f31ed9bb-fcd6-36b7-a06d-63a0add065f0</t>
  </si>
  <si>
    <t>Dicamba, at regional storehouse {CH}</t>
  </si>
  <si>
    <t>4c7114c7-9ce5-3535-b7f7-08075c132d40</t>
  </si>
  <si>
    <t>Dicamba, at regional storehouse {RER}</t>
  </si>
  <si>
    <t>94541681-a17b-3e2f-a826-7bcdaf872f2b</t>
  </si>
  <si>
    <t>Dichloromethane, at plant {RER}</t>
  </si>
  <si>
    <t>f8776697-a950-3522-9852-0dfeca6a8279</t>
  </si>
  <si>
    <t>Diesel-electric generating set production 10MW {RER}</t>
  </si>
  <si>
    <t>mechanical\other energy</t>
  </si>
  <si>
    <t>69f7cbef-0a6c-3b3e-9226-5f33b9726e92</t>
  </si>
  <si>
    <t>Diesel, at refinery {CH}</t>
  </si>
  <si>
    <t>7042b74e-f0d8-384b-8ae4-4b719bf3f6be</t>
  </si>
  <si>
    <t>Diesel, at refinery {RER}</t>
  </si>
  <si>
    <t>1d8a6496-3b12-36f3-b1a3-c1fdb9e4f1b8</t>
  </si>
  <si>
    <t>Diesel, at regional storage {CH}</t>
  </si>
  <si>
    <t>oil\distribution</t>
  </si>
  <si>
    <t>113af6ac-ff61-3bbc-b52b-009a3eb1afcf</t>
  </si>
  <si>
    <t>Diesel, at regional storage {RER}</t>
  </si>
  <si>
    <t>8c1f3817-0791-3c30-bf3e-42c31df95ccc</t>
  </si>
  <si>
    <t>Diesel, burned in agricultural machine {CH}</t>
  </si>
  <si>
    <t>agricultural\agricultural production\fuels</t>
  </si>
  <si>
    <t>dc92a1d0-abfa-33b3-821f-f82f741ea40e</t>
  </si>
  <si>
    <t>Diesel, burned in auxillary machines at concrete crusher {CH}</t>
  </si>
  <si>
    <t>c023e201-b139-4ff6-85df-52edb6415f3b</t>
  </si>
  <si>
    <t>Diesel, burned in auxillary machines at mixed rubble sorting {CH}</t>
  </si>
  <si>
    <t>5f88ed47-bde5-4c8c-983d-c669049d61de</t>
  </si>
  <si>
    <t>Diesel, burned in building machine, average {CH}</t>
  </si>
  <si>
    <t>building processes\machinery</t>
  </si>
  <si>
    <t>e4e7ddc0-f7d1-3fad-bd12-9d6981142800</t>
  </si>
  <si>
    <t>Diesel, burned in building machine, with particle filter {CH}</t>
  </si>
  <si>
    <t>305b1615-5345-3437-8c6d-ef1938ab0be4</t>
  </si>
  <si>
    <t>Diesel, burned in building machine, with particle filter {GLO}</t>
  </si>
  <si>
    <t>93d9fe38-885f-3a3c-bee2-0b5415ae58f0</t>
  </si>
  <si>
    <t>Diesel, burned in building machine, without particle filter {CH}</t>
  </si>
  <si>
    <t>9d237109-b8ea-3c06-9b62-9e6c7932f518</t>
  </si>
  <si>
    <t>Diesel, burned in cogen 15kWth {CH}</t>
  </si>
  <si>
    <t>heat\oil\cogeneration</t>
  </si>
  <si>
    <t>272899df-0d4b-326b-888e-29045e0ac114</t>
  </si>
  <si>
    <t>Diesel, burned in cogen 1MWth {CH}</t>
  </si>
  <si>
    <t>bf8206c4-784a-30fb-a9d0-06112ef53ef0</t>
  </si>
  <si>
    <t>Diesel, burned in cogen 300kWth {CH}</t>
  </si>
  <si>
    <t>2c582ee3-7387-35ec-b064-4178faa68060</t>
  </si>
  <si>
    <t>Diesel, burned in cogen 50kWth {CH}</t>
  </si>
  <si>
    <t>759bb964-ed3d-3352-a093-6e6bf84ba2ca</t>
  </si>
  <si>
    <t>Diesel, burned in diesel-electric generating set {GLO}</t>
  </si>
  <si>
    <t>32865dd1-13be-378f-a2cb-8da075b9e203</t>
  </si>
  <si>
    <t>Diesel, burned in diesel-electric generating set, at extraction site {GLO}</t>
  </si>
  <si>
    <t>3b9ec683-d3db-30b9-b5bd-c3ea85135ec5</t>
  </si>
  <si>
    <t>Diesel, burned in hydraulic digger at building deconstruction {CH}</t>
  </si>
  <si>
    <t>ec4009ae-3a1d-4084-93dc-159e195b6fbb</t>
  </si>
  <si>
    <t>Diesel, fossil, at regional storage {CH}</t>
  </si>
  <si>
    <t>2fd8b1cf-41c6-37ed-bfe7-c5f781e02e4d</t>
  </si>
  <si>
    <t>Diethyl ether, at plant {RER}</t>
  </si>
  <si>
    <t>4bc7bf56-c0b6-3afc-838b-cf42873ba494</t>
  </si>
  <si>
    <t>Diethylene glycol, at plant {RER}</t>
  </si>
  <si>
    <t>ba29e071-98d4-3ce3-8316-dfc6c1861c18</t>
  </si>
  <si>
    <t>Diffusion absorption heat pump 4kW, future {CH}</t>
  </si>
  <si>
    <t>energy, obsolete\heat, obsolete\heat pumps, obsolete\infrastructure</t>
  </si>
  <si>
    <t>0b631d30-42e5-3482-adfa-c9762c7a0faf</t>
  </si>
  <si>
    <t>Digested matter, application in agriculture {CH}</t>
  </si>
  <si>
    <t>fuels\biofuels\biogas\byproducts</t>
  </si>
  <si>
    <t>1f122557-b282-3545-a719-09522fd0cac9</t>
  </si>
  <si>
    <t>Dimethyl ether, at plant {RER}</t>
  </si>
  <si>
    <t>92a45ff1-ae3e-3e26-9e81-febfd74d6ecd</t>
  </si>
  <si>
    <t>Dimethyl sulfoxide production (DMSO) {RER}</t>
  </si>
  <si>
    <t>f3a28df4-d990-3d5f-a8c8-3d44bba7f8ea</t>
  </si>
  <si>
    <t>Dimethyl sulfoxide, at plant {RER}</t>
  </si>
  <si>
    <t>397bbb92-2f3f-3a36-b783-d153bb386bfd</t>
  </si>
  <si>
    <t>Dimethyl sulphate, at plant {RER}</t>
  </si>
  <si>
    <t>4f0e8c81-15d4-3bb1-a9c2-c5cb67d006b0</t>
  </si>
  <si>
    <t>Dimethylacetamide, at plant {GLO}</t>
  </si>
  <si>
    <t>2b8e5496-ff3e-3ff7-aa0f-e48002f7b94c</t>
  </si>
  <si>
    <t>Dimethylamine, at plant {RER}</t>
  </si>
  <si>
    <t>aa8294c2-6270-3b56-861c-676b1f7f35bd</t>
  </si>
  <si>
    <t>Dinitroaniline-compounds, at regional storehouse {CH}</t>
  </si>
  <si>
    <t>1d7a1eb0-efce-333b-9244-efe11df8aa1b</t>
  </si>
  <si>
    <t>Dinitroaniline-compounds, at regional storehouse {RER}</t>
  </si>
  <si>
    <t>228f89a1-0e07-37f4-98c8-1ba6c2894bb3</t>
  </si>
  <si>
    <t>Diode, glass-, SMD type, surface mounting, at plant {GLO}</t>
  </si>
  <si>
    <t>979e2eb7-9329-3843-bc6a-9fd8e4ad171b</t>
  </si>
  <si>
    <t>Diode, glass-, through-hole mounting, at plant {GLO}</t>
  </si>
  <si>
    <t>6f995c12-0321-3786-b8e4-d3ab43c3f31d</t>
  </si>
  <si>
    <t>Diode, unspecified, at plant {GLO}</t>
  </si>
  <si>
    <t>ab54fff4-3fc8-3d6e-8261-4e1e9484a2de</t>
  </si>
  <si>
    <t>Diphenylether-compounds, at regional storehouse {CH}</t>
  </si>
  <si>
    <t>541f6dcb-ca20-3c92-9063-25f506304adc</t>
  </si>
  <si>
    <t>Diphenylether-compounds, at regional storehouse {RER}</t>
  </si>
  <si>
    <t>50e02960-05c9-3848-ad7a-b423148f5721</t>
  </si>
  <si>
    <t>Dipropylene glycol monomethyl ether, at plant {RER}</t>
  </si>
  <si>
    <t>820bc761-fa6c-3bc4-8c47-85643f7b7869</t>
  </si>
  <si>
    <t>Direct air capture system construction, solvent-based, 1MtCO2 {RER}</t>
  </si>
  <si>
    <t>3470c867-1b22-359b-a098-cd4d56062782</t>
  </si>
  <si>
    <t>Direct air capture system, sorbent-based, 100ktCO2 {RER}</t>
  </si>
  <si>
    <t>7484b270-e065-46c4-9759-89c4d046dc52</t>
  </si>
  <si>
    <t>Discharge, produced water, offshore {OCE}</t>
  </si>
  <si>
    <t>646fba6c-683b-303f-91d5-d0709295b79b</t>
  </si>
  <si>
    <t>Discharge, produced water, onshore {GLO}</t>
  </si>
  <si>
    <t>508d7608-1bf8-3cbd-b985-c838622ea784</t>
  </si>
  <si>
    <t>Dismantling, CRT screen, manually, at plant {CH}</t>
  </si>
  <si>
    <t>electronics waste\unspecified</t>
  </si>
  <si>
    <t>cf02b66b-0d19-41de-9d95-e7fae39ec986</t>
  </si>
  <si>
    <t>Dismantling, CRT screen, mechanically, at plant {GLO}</t>
  </si>
  <si>
    <t>92b4d38c-f9fa-4fe4-901f-6362f490ed74</t>
  </si>
  <si>
    <t>Dismantling, desktop computer, manually, at plant {CH}</t>
  </si>
  <si>
    <t>2a0a679a-5265-4b08-b04b-5348c5c9bebd</t>
  </si>
  <si>
    <t>Dismantling, desktop computer, mechanically, at plant {CH}</t>
  </si>
  <si>
    <t>94d64ed2-508c-4188-bd71-8cd9a13ab244</t>
  </si>
  <si>
    <t>Dismantling, industrial devices, manually, at plant {CH}</t>
  </si>
  <si>
    <t>7a1c2491-ebfe-46e5-bbb0-a704b30bd3df</t>
  </si>
  <si>
    <t>Dismantling, industrial devices, mechanically, at plant {GLO}</t>
  </si>
  <si>
    <t>4144e2d0-7559-4aa6-b90b-b7bc7ba3ed94</t>
  </si>
  <si>
    <t>Dismantling, IT accessoires, mechanically, at plant {CH}</t>
  </si>
  <si>
    <t>44164692-11a5-427f-8dbb-2f7695294930</t>
  </si>
  <si>
    <t>Dismantling, laptop, manually, at plant {CH}</t>
  </si>
  <si>
    <t>52e93c90-c9e4-48ba-8152-4d8e2ddda97c</t>
  </si>
  <si>
    <t>Dismantling, laptop, mechanically, at plant {CH}</t>
  </si>
  <si>
    <t>cb9824ef-fc19-417e-b8ce-93974d267250</t>
  </si>
  <si>
    <t>Dismantling, LCD screen, manually, at plant {CH}</t>
  </si>
  <si>
    <t>28cfbbc6-5a74-4079-bed4-419f5f73009f</t>
  </si>
  <si>
    <t>Dismantling, LCD screen, mechanically, at plant {GLO}</t>
  </si>
  <si>
    <t>00e5afb5-e3bb-44c1-9c29-265a0201f4e0</t>
  </si>
  <si>
    <t>Dismantling, printer, laser, manually, at plant {CH}</t>
  </si>
  <si>
    <t>279b8edf-1a4e-4587-befa-ab8f2c3c68fc</t>
  </si>
  <si>
    <t>Dismantling, printer, laser, mechanically, at plant {CH}</t>
  </si>
  <si>
    <t>07d1ce40-2df9-4d25-a901-1afc774cd770</t>
  </si>
  <si>
    <t>Dismantling, shredder fraction from manual dismantling, mechanically, at plant {GLO}</t>
  </si>
  <si>
    <t>1f315f2e-2ec7-4d50-a8e9-04a9d2614fb2</t>
  </si>
  <si>
    <t>Displacement pile, concrete 520mm, high reinforced, Integra Wohnen Wallisellen {CH}</t>
  </si>
  <si>
    <t>818aa254-4354-3d9a-8ec7-d48eb2809bc8</t>
  </si>
  <si>
    <t>Displacement pile, concrete 520mm, Integra Wohnen Wallisellen {CH}</t>
  </si>
  <si>
    <t>e503bb53-e425-33ab-8823-2cf772a59834</t>
  </si>
  <si>
    <t>Displacement pile, concrete 520mm, low reinforced, Integra Wohnen Wallisellen {CH}</t>
  </si>
  <si>
    <t>6c6c80f4-187d-319d-a24a-ade39117defd</t>
  </si>
  <si>
    <t>Displacement pile, concrete 620mm, high reinforced, Integra Wohnen Wallisellen {CH}</t>
  </si>
  <si>
    <t>36c9e5a2-8170-392d-b08b-69265bb09c97</t>
  </si>
  <si>
    <t>Displacement pile, concrete 620mm, Integra Wohnen Wallisellen {CH}</t>
  </si>
  <si>
    <t>a84858e4-851d-3f18-b58a-5ec5ed1c9e9c</t>
  </si>
  <si>
    <t>Displacement pile, concrete 620mm, low reinforced, Integra Wohnen Wallisellen {CH}</t>
  </si>
  <si>
    <t>b4f34a1a-cba9-34f4-bc7a-71203b02f6da</t>
  </si>
  <si>
    <t>Disposal of borehole heat exchanger, apartment building MCS Leimbach {CH}</t>
  </si>
  <si>
    <t>cdbbe5b6-81aa-4e7d-b008-fce5ee98f5aa</t>
  </si>
  <si>
    <t>Disposal of borehole heat exchanger, apartment building Rautistrasse {CH}</t>
  </si>
  <si>
    <t>e2eca972-c46f-416d-9050-1e2d7e334708</t>
  </si>
  <si>
    <t>Disposal of borehole heat exchanger, office building Fribourg {CH}</t>
  </si>
  <si>
    <t>7f4e0c2b-8f9a-4a46-bc67-458a84699114</t>
  </si>
  <si>
    <t>Disposal of heat dissipation system with floor heating {CH}</t>
  </si>
  <si>
    <t>4cdc7c6b-fed6-435a-8aa3-94c69cbfbdc2</t>
  </si>
  <si>
    <t>Disposal of heat dissipation system with heating-cooling ceiling {CH}</t>
  </si>
  <si>
    <t>54724a33-aa9e-4f1f-a0a0-e4147558bcde</t>
  </si>
  <si>
    <t>Disposal of heat dissipation system with radiator {CH}</t>
  </si>
  <si>
    <t>4295d353-16ab-4dce-a486-818b0c3960cd</t>
  </si>
  <si>
    <t>Disposal of heat dissipation system, apartment building Ecofaubourg A {CH}</t>
  </si>
  <si>
    <t>b51fdd25-6b9f-468b-bcec-526ebf712720</t>
  </si>
  <si>
    <t>Disposal of heat dissipation system, apartment building Ecofaubourg B {CH}</t>
  </si>
  <si>
    <t>c78fc206-bf26-4b63-b29c-67ab98efce00</t>
  </si>
  <si>
    <t>Disposal of heat dissipation system, apartment building MCS Leimbach {CH}</t>
  </si>
  <si>
    <t>9a720872-94e7-4c34-a9b7-407c9acf393e</t>
  </si>
  <si>
    <t>Disposal of heat dissipation system, apartment building Rautistrasse {CH}</t>
  </si>
  <si>
    <t>42be114c-5519-42c0-bc1e-d7fc4b550348</t>
  </si>
  <si>
    <t>Disposal of heat dissipation system, office building Fribourg {CH}</t>
  </si>
  <si>
    <t>9667f125-16eb-4555-bc6a-d05bc20e4915</t>
  </si>
  <si>
    <t>Disposal of heat dissipation system, office building Verenastrasse {CH}</t>
  </si>
  <si>
    <t>f82c8afd-bcbd-41f3-925a-c3509d70ae4f</t>
  </si>
  <si>
    <t>Disposal of heat distribution system, apartment building {CH}</t>
  </si>
  <si>
    <t>7bbf0628-589a-427a-9983-7c56bc68996d</t>
  </si>
  <si>
    <t>Disposal of heat distribution system, apartment building Ecofaubourg A {CH}</t>
  </si>
  <si>
    <t>63797c70-7c2d-4523-92bf-da1f2741aacf</t>
  </si>
  <si>
    <t>Disposal of heat distribution system, apartment building Ecofaubourg B {CH}</t>
  </si>
  <si>
    <t>4b9c3468-20e8-45c3-a384-75f770b6f266</t>
  </si>
  <si>
    <t>Disposal of heat distribution system, apartment building MCS Leimbach {CH}</t>
  </si>
  <si>
    <t>315acc73-0970-463a-b411-ea0cce6191ad</t>
  </si>
  <si>
    <t>Disposal of heat distribution system, apartment building Rautistrasse {CH}</t>
  </si>
  <si>
    <t>f96d54e4-cac6-426d-85be-f4f49bc67e4c</t>
  </si>
  <si>
    <t>Disposal of heat distribution system, office building {CH}</t>
  </si>
  <si>
    <t>9ca98614-4c24-41a4-819b-5254a76b9fe6</t>
  </si>
  <si>
    <t>Disposal of heat distribution system, office building Fribourg {CH}</t>
  </si>
  <si>
    <t>e33b55bb-a16b-4d2c-895b-cbf4b424c761</t>
  </si>
  <si>
    <t>Disposal of heat distribution system, office building Verenastrasse {CH}</t>
  </si>
  <si>
    <t>d9869597-a3db-485b-a1a7-db15d3351fd8</t>
  </si>
  <si>
    <t>Disposal of heat production system, apartment building Ecofaubourg A {CH}</t>
  </si>
  <si>
    <t>9d31abb6-a164-4153-9251-77ff7c4c5e46</t>
  </si>
  <si>
    <t>Disposal of heat production system, apartment building Ecofaubourg B {CH}</t>
  </si>
  <si>
    <t>c2f9cc55-5d79-43e7-a7fe-0e158233fe35</t>
  </si>
  <si>
    <t>Disposal of heat production system, apartment building MCS Leimbach {CH}</t>
  </si>
  <si>
    <t>0be70e67-830f-4291-816d-c8a94c052ba7</t>
  </si>
  <si>
    <t>Disposal of heat production system, apartment building Rautistrasse {CH}</t>
  </si>
  <si>
    <t>8d082f77-ee6f-4d50-a989-60213dea34c1</t>
  </si>
  <si>
    <t>Disposal of heat production system, office building Fribourg {CH}</t>
  </si>
  <si>
    <t>c85c3ce9-1bdd-46f5-ae79-c4ff4c1b843a</t>
  </si>
  <si>
    <t>Disposal of heat production system, office building Verenastrasse {CH}</t>
  </si>
  <si>
    <t>c176b093-8526-4056-a56b-1e9996c84ffe</t>
  </si>
  <si>
    <t>Disposal of heating system, apartment building Ecofaubourg A {CH}</t>
  </si>
  <si>
    <t>08cfeb0a-d245-463b-a693-75c0067f95ce</t>
  </si>
  <si>
    <t>Disposal of heating system, apartment building Ecofaubourg B {CH}</t>
  </si>
  <si>
    <t>93b02462-9702-477c-9059-4aa07d50385d</t>
  </si>
  <si>
    <t>Disposal of heating system, apartment building MCS Leimbach {CH}</t>
  </si>
  <si>
    <t>a585e8dc-792c-4def-8878-590954a66749</t>
  </si>
  <si>
    <t>Disposal of heating system, apartment building Rautistrasse {CH}</t>
  </si>
  <si>
    <t>dc468578-93a1-48b2-a0f6-b3f5f476c306</t>
  </si>
  <si>
    <t>Disposal of heating system, office building Fribourg {CH}</t>
  </si>
  <si>
    <t>33730cef-5783-45b4-b3b6-45ac112767aa</t>
  </si>
  <si>
    <t>Disposal of heating system, office building Verenastrasse {CH}</t>
  </si>
  <si>
    <t>6d75dbc2-c309-4e9d-a512-86146ae91b17</t>
  </si>
  <si>
    <t>Disposal, 3-layered laminated wood board, 4% binder, as building waste {CH}</t>
  </si>
  <si>
    <t>31adcfe5-76c3-4705-b19a-ab6c2ebbe57a</t>
  </si>
  <si>
    <t>Disposal, 3-layered laminated wood board, 4% binder, exported to incineration {RER}</t>
  </si>
  <si>
    <t>ff4a6ccf-5ac5-4f96-a1f6-6b35afbbe19f</t>
  </si>
  <si>
    <t>Disposal, 3-layered laminated wood board, 4% binder, to final disposal type E {CH}</t>
  </si>
  <si>
    <t>5e43f6ea-ecb9-4e52-9bde-53c35aa4d50f</t>
  </si>
  <si>
    <t>Disposal, 3-layered laminated wood board, 4% binder, to municipal waste incineration {CH}</t>
  </si>
  <si>
    <t>d4f19444-4f8b-4371-b02b-7fed6f4b3670</t>
  </si>
  <si>
    <t>Disposal, adhesives, sealants, paints and varnishes, as building waste {CH}</t>
  </si>
  <si>
    <t>8dc8b5b3-7cf0-48cf-8a65-d685ea766fb6</t>
  </si>
  <si>
    <t>Disposal, adhesives, sealers and coatings as construction waste, exported to incineration {RER}</t>
  </si>
  <si>
    <t>7b2d6fb0-519f-462d-a1be-c3e5be139e39</t>
  </si>
  <si>
    <t>Disposal, adhesives, sealers and coatings as construction waste, to municipal waste incineration {CH}</t>
  </si>
  <si>
    <t>6e401b6c-a7f0-4412-82bd-0a950d138aeb</t>
  </si>
  <si>
    <t>Disposal, adhesives, sealers and coatings as construction waste, to sanitary landfill {CH}</t>
  </si>
  <si>
    <t>e7b8603f-fc08-4589-b63c-3fa39a2f7f1f</t>
  </si>
  <si>
    <t>Disposal, aerogel blanket, as building waste {CH}</t>
  </si>
  <si>
    <t>d0ebafd0-1189-4706-a17c-41aa537b4dbd</t>
  </si>
  <si>
    <t>Disposal, aerogel blanket, to municipal waste incineration {CH}</t>
  </si>
  <si>
    <t>9bae0f91-62d2-41bb-8478-c42ad213f349</t>
  </si>
  <si>
    <t>Disposal, air distribution housing, steel, 120 m3/h {CH}</t>
  </si>
  <si>
    <t>construction waste\unspecified</t>
  </si>
  <si>
    <t>e15d58a3-3078-4ba5-be61-0a4bd437076a</t>
  </si>
  <si>
    <t>Disposal, air filter, central unit, 600 m3/h {CH}</t>
  </si>
  <si>
    <t>dd4fac4a-4e68-4a15-8985-6005a09d0d2f</t>
  </si>
  <si>
    <t>Disposal, air filter, decentralized unit, 180-250 m3/h {CH}</t>
  </si>
  <si>
    <t>f612eb88-f1c9-4025-898f-c2fc023d8620</t>
  </si>
  <si>
    <t>Disposal, air filter, in exhaust air valve {CH}</t>
  </si>
  <si>
    <t>18205dd7-f76f-4cc1-95c3-baa6794bc869</t>
  </si>
  <si>
    <t>Disposal, airport {RER}</t>
  </si>
  <si>
    <t>transport waste\unspecified</t>
  </si>
  <si>
    <t>7a9564d5-2bc1-4594-a92d-6b67bf37c2ea</t>
  </si>
  <si>
    <t>Disposal, aluminium blinds, as building waste {CH}</t>
  </si>
  <si>
    <t>a6304454-d3e2-4bde-b812-581d03ce6b80</t>
  </si>
  <si>
    <t>Disposal, aluminium composite panel, as building waste {CH}</t>
  </si>
  <si>
    <t>762e2b42-f9dc-4a15-a430-f55c93260594</t>
  </si>
  <si>
    <t>Disposal, aluminium in car shredder residue, 0% water, to municipal incineration {CH}</t>
  </si>
  <si>
    <t>waste management\municipal incineration</t>
  </si>
  <si>
    <t>5c93adb9-a396-452a-8d87-c793d6921411</t>
  </si>
  <si>
    <t>Disposal, aluminium, 0% water, to municipal incineration {CH}</t>
  </si>
  <si>
    <t>5c102778-f159-403b-ae4f-587d7690ac4f</t>
  </si>
  <si>
    <t>Disposal, aluminium, 0% water, to sanitary landfill {CH}</t>
  </si>
  <si>
    <t>landfill\sanitary landfill</t>
  </si>
  <si>
    <t>d577c081-34a7-4ccb-9b13-903cbcd7f942</t>
  </si>
  <si>
    <t>Disposal, aluminiumtrihydroxide-acrylic glass, to municipal incineration {CH}</t>
  </si>
  <si>
    <t>cb7e3530-9067-491b-92bc-675186f1bfb1</t>
  </si>
  <si>
    <t>Disposal, anion exchange resin f. water, 50% water, to municipal incineration {CH}</t>
  </si>
  <si>
    <t>6a15f966-125d-41cf-9a1f-ff3677bf589e</t>
  </si>
  <si>
    <t>Disposal, antifreezer liquid, 51.8% water, to hazardous waste incineration {CH}</t>
  </si>
  <si>
    <t>incineration\hazardous waste incineration</t>
  </si>
  <si>
    <t>8121f864-27f9-4c10-8294-23bea36c7b6f</t>
  </si>
  <si>
    <t>Disposal, artificial stone tiles, as building waste {CH}</t>
  </si>
  <si>
    <t>d29d20ff-0385-47d2-9078-35707c8df1c9</t>
  </si>
  <si>
    <t>Disposal, ash coffee ground pellets, to landfarming {CH}</t>
  </si>
  <si>
    <t>landfarming\unspecified</t>
  </si>
  <si>
    <t>bdbcef84-51bd-4dc4-b3e3-8f56513c25fc</t>
  </si>
  <si>
    <t>Disposal, ash coffee ground pellets, to municipal incineration {CH}</t>
  </si>
  <si>
    <t>incineration\municipal incineration</t>
  </si>
  <si>
    <t>b73301e2-de42-4c54-9da7-60397d3734de</t>
  </si>
  <si>
    <t>Disposal, ash coffee ground pellets, to sanitary landfill {CH}</t>
  </si>
  <si>
    <t>767cff1c-5e89-4b90-bcca-e51d09c805a4</t>
  </si>
  <si>
    <t>Disposal, ash from deinking sludge, 0% water, to residual material landfill {CH}</t>
  </si>
  <si>
    <t>landfill\residual material landfill</t>
  </si>
  <si>
    <t>c6bf5f99-c7c8-4920-b521-5846f656ad73</t>
  </si>
  <si>
    <t>Disposal, ash from paper prod. sludge, 0% water, to residual material landfill {CH}</t>
  </si>
  <si>
    <t>0092d7e5-7796-430d-8a7a-5c7080655ab5</t>
  </si>
  <si>
    <t>Disposal, ash horse dung and waste wood chips, to landfarming {CH}</t>
  </si>
  <si>
    <t>f3eac4a6-996c-4ff2-b338-4ffec362c8ea</t>
  </si>
  <si>
    <t>Disposal, ash horse dung and wood chips, to municipal incineration {CH}</t>
  </si>
  <si>
    <t>f5d198d5-05e6-4bb1-acb1-170c5cc41f63</t>
  </si>
  <si>
    <t>Disposal, ash horse dung and wood chips, to sanitary landfill {CH}</t>
  </si>
  <si>
    <t>b4081076-e1f1-440b-8005-93e734a25c5c</t>
  </si>
  <si>
    <t>Disposal, ash olive pomace, to landfarming {CY}</t>
  </si>
  <si>
    <t>e8b0678a-4205-410b-bb0a-0c4aab1b1cbe</t>
  </si>
  <si>
    <t>Disposal, ash olive pomace, to municipal incineration {CH}</t>
  </si>
  <si>
    <t>e64c1506-a53d-4fc9-a984-73fa352dc833</t>
  </si>
  <si>
    <t>Disposal, ash olive pomace, to sanitary landfill {CH}</t>
  </si>
  <si>
    <t>5a8ede18-05ab-406e-9e02-8cb1eb7677de</t>
  </si>
  <si>
    <t>Disposal, ash poultry litter pellets, to landfarming {CH}</t>
  </si>
  <si>
    <t>df31bd6f-84f0-4cb6-bea0-c6d0f5165e16</t>
  </si>
  <si>
    <t>Disposal, ash poultry litter pellets, to municipal incineration {CH}</t>
  </si>
  <si>
    <t>3a2b0c7b-4b9b-45a0-9b1a-17325a16e503</t>
  </si>
  <si>
    <t>Disposal, ash poultry litter pellets, to sanitary landfill {CH}</t>
  </si>
  <si>
    <t>f87c43bf-2f71-4ff2-8d02-30bd1f7564e5</t>
  </si>
  <si>
    <t>Disposal, ash slurry solids and bark chips, to landfarming {CH}</t>
  </si>
  <si>
    <t>065cf162-aaf2-4f38-b29e-a314a0f105c9</t>
  </si>
  <si>
    <t>Disposal, ash slurry solids and bark chips, to municipal incineration {CH}</t>
  </si>
  <si>
    <t>d26d6fae-80cc-4891-bc0a-7211dac7754a</t>
  </si>
  <si>
    <t>Disposal, ash slurry solids and bark chips, to sanitary landfill {CH}</t>
  </si>
  <si>
    <t>6818d9ae-8368-4ee6-a1ec-23e81dca3379</t>
  </si>
  <si>
    <t>Disposal, asphalt as construction waste, to final disposal type E {CH}</t>
  </si>
  <si>
    <t>1e55e59b-4ee6-4211-ba6e-bc23692a477f</t>
  </si>
  <si>
    <t>Disposal, asphalt, 0.1% water, to sanitary landfill {CH}</t>
  </si>
  <si>
    <t>64b666a8-4b55-4367-9c89-95c60d0a8887</t>
  </si>
  <si>
    <t>Disposal, average incineration residue, 0% water, to residual material landfill {CH}</t>
  </si>
  <si>
    <t>c3ab2488-425d-4b7d-9edc-b52ea03e5a61</t>
  </si>
  <si>
    <t>Disposal, bark chips, softwood, moist {CH}</t>
  </si>
  <si>
    <t>6950b9c5-4c51-4ac4-b594-a72b88b9d637</t>
  </si>
  <si>
    <t>Disposal, basic oxygen furnace wastes, 0% water, to residual material landfill {CH}</t>
  </si>
  <si>
    <t>waste management\residual material landfill</t>
  </si>
  <si>
    <t>a6e4607f-47fc-4a6a-a3f0-ed10a38807fd</t>
  </si>
  <si>
    <t>Disposal, berlin wall anchored, infill concrete {CH}</t>
  </si>
  <si>
    <t>09f308b6-c26d-49dd-978e-c938320b8824</t>
  </si>
  <si>
    <t>Disposal, berlin wall dual-anchored with longarine, drilled, infill concrete, Bushof Jona {CH}</t>
  </si>
  <si>
    <t>04e2b434-f457-3abd-9e2a-69c2a9b34acf</t>
  </si>
  <si>
    <t>Disposal, berlin wall dual-anchored with longarine, drilled, infill concrete, Sandgruben Basel {CH}</t>
  </si>
  <si>
    <t>f93c43a3-b593-3ad5-b5ab-4aa10c3ac8a0</t>
  </si>
  <si>
    <t>Disposal, berlin wall dual-anchored without longarine, drilled, infill concrete, Stellwerk Winterthur {CH}</t>
  </si>
  <si>
    <t>375240a7-2248-35af-80b8-67b79e9d692a</t>
  </si>
  <si>
    <t>Disposal, berlin wall dual-anchored without longarine, vibrated, infill concrete, Integra Wallisellen {CH}</t>
  </si>
  <si>
    <t>c9650cd4-09d0-3138-877d-b60a23873f68</t>
  </si>
  <si>
    <t>Disposal, berlin wall dual-anchored, infill concrete, average {CH}</t>
  </si>
  <si>
    <t>318fb6e7-58e2-38b4-864d-c3988e44978d</t>
  </si>
  <si>
    <t>Disposal, berlin wall projecting, drilled, infill concrete {CH}</t>
  </si>
  <si>
    <t>e5cd5264-a4d9-4134-abd4-29b78e80445f</t>
  </si>
  <si>
    <t>Disposal, berlin wall projecting, drilled, infill concrete, Kulturpark Pfinstweidstrasse Zürich {CH}</t>
  </si>
  <si>
    <t>cc8e42f4-3583-32c3-b00d-4d5f39b35612</t>
  </si>
  <si>
    <t>Disposal, berlin wall projecting, drilled, infill concrete, MFH Waltersbachstrasse Zürich {CH}</t>
  </si>
  <si>
    <t>bbb66841-1b0f-3729-9855-345ff5ad36ca</t>
  </si>
  <si>
    <t>Disposal, berlin wall single-anchored with longarine, drilled, infill concrete, Sandgruben Basel {CH}</t>
  </si>
  <si>
    <t>db3025ed-141e-39aa-b187-e3c7c954d83d</t>
  </si>
  <si>
    <t>Disposal, berlin wall single-anchored without longarine, vibrated, infill concrete, Integra Wallisellen {CH}</t>
  </si>
  <si>
    <t>df885f10-9536-38c1-ab62-c057200b7960</t>
  </si>
  <si>
    <t>Disposal, berlin wall strutted apart, infill concrete {CH}</t>
  </si>
  <si>
    <t>241d94e9-2e25-4ebf-916d-b2e0f217b023</t>
  </si>
  <si>
    <t>Disposal, berlin wall, single-anchored, infill concrete, average {CH}</t>
  </si>
  <si>
    <t>8d48cc0e-76c9-3d70-a60c-bb418c11538b</t>
  </si>
  <si>
    <t>Disposal, bicycle {CH}</t>
  </si>
  <si>
    <t>899cbeaf-8f9e-4a0a-8c07-fd7782e50cd9</t>
  </si>
  <si>
    <t>Disposal, bilge oil, 90% water, to hazardous waste incineration {CH}</t>
  </si>
  <si>
    <t>c4e9c774-19d3-4cd7-b122-083773f4d04f</t>
  </si>
  <si>
    <t>ef5025dd-1f0a-4c3e-bfce-20c7b2bd2f67</t>
  </si>
  <si>
    <t>Others\biomass</t>
  </si>
  <si>
    <t>65acb15a-dcb6-4a52-898b-0dfb9849a329</t>
  </si>
  <si>
    <t>Disposal, biowaste, to anaerobic digestion, economic allocation {CH}</t>
  </si>
  <si>
    <t>f885c353-5c6a-478c-8ab5-033ae46f1e0f</t>
  </si>
  <si>
    <t>Disposal, bitumen sheet, 1.5% water, to municipal incineration {CH}</t>
  </si>
  <si>
    <t>a4ebcc06-75dd-48db-8c48-eb11eab501e0</t>
  </si>
  <si>
    <t>Disposal, bitumen sheet, as building waste {CH}</t>
  </si>
  <si>
    <t>36e2dd42-7e8d-46b0-ba08-19d8fa458e7a</t>
  </si>
  <si>
    <t>Disposal, bitumen sheet, to municipal waste incineration {CH}</t>
  </si>
  <si>
    <t>13061840-440a-415f-80fa-7f3cf578526c</t>
  </si>
  <si>
    <t>Disposal, bitumen, 1.4% water, to sanitary landfill {CH}</t>
  </si>
  <si>
    <t>68a1b743-4735-41e3-819d-3c11cbaf52fb</t>
  </si>
  <si>
    <t>Disposal, bored concrete pile, 720mm, piped, Alterssiedlung Seefeldstrasse Zürich {CH}</t>
  </si>
  <si>
    <t>ea46e07e-6fa3-3a09-9361-befe62b92dff</t>
  </si>
  <si>
    <t>Disposal, bored concrete pile, 900mm, piped, Alterssiedlung Seefeldstrasse Zürich {CH}</t>
  </si>
  <si>
    <t>1aaafc4a-1e2c-3297-9d8d-ef4805fbbd02</t>
  </si>
  <si>
    <t>Disposal, bored pile wall, overlapped, anchored {CH}</t>
  </si>
  <si>
    <t>640faa25-1901-43ab-b543-8653e6692c67</t>
  </si>
  <si>
    <t>Disposal, bored pile wall, overlapped, non-anchored {CH}</t>
  </si>
  <si>
    <t>17bc779c-7da3-456d-926b-21b8b996d6cf</t>
  </si>
  <si>
    <t>Disposal, bored pile wall, overlapped, strutted apart {CH}</t>
  </si>
  <si>
    <t>8d341485-0aaf-4b91-a747-79deb045d231</t>
  </si>
  <si>
    <t>Disposal, borehole heat exchanger, 300m {CH}</t>
  </si>
  <si>
    <t>heat pumps\disposal</t>
  </si>
  <si>
    <t>4db82426-a8a8-4a8c-9a7b-7d6507e496a1</t>
  </si>
  <si>
    <t>Disposal, borehole heat exchanger, per m {CH}</t>
  </si>
  <si>
    <t>3415b3e1-c72d-448f-97bf-ae639ecfea01</t>
  </si>
  <si>
    <t>Disposal, borehole heat exchanger, specific heat demand 10W {CH}</t>
  </si>
  <si>
    <t>11730e87-f2e2-433c-b060-a9c1a715a5b4</t>
  </si>
  <si>
    <t>Disposal, branch connections and fittings, stainless steel {CH}</t>
  </si>
  <si>
    <t>132c7c38-c03b-4bd2-9973-3e15bc89e3bb</t>
  </si>
  <si>
    <t>Disposal, branch connections and fittings, steel {CH}</t>
  </si>
  <si>
    <t>66adab9b-dd8d-4549-8f70-6a66eee46467</t>
  </si>
  <si>
    <t>Disposal, brick, filled with perlite {CH}</t>
  </si>
  <si>
    <t>6860a668-cc63-365e-a3c8-8ac94ccfbbd9</t>
  </si>
  <si>
    <t>Disposal, building wood, chrome preserved, 20% water, to municipal incineration {CH}</t>
  </si>
  <si>
    <t>583ac4cc-5f2c-4a8e-815d-1a38be25d43d</t>
  </si>
  <si>
    <t>Disposal, building, bitumen sheet, to final disposal {CH}</t>
  </si>
  <si>
    <t>a5f59236-5ae4-498d-9be2-f3500ace1670</t>
  </si>
  <si>
    <t>Disposal, building, brick, at sorting plant, to recycling {CH}</t>
  </si>
  <si>
    <t>87c1e609-6449-4f2f-b3ba-81fda032339f</t>
  </si>
  <si>
    <t>Disposal, building, brick, to final disposal {CH}</t>
  </si>
  <si>
    <t>eefa874d-1e1a-41de-8b6f-7e139e542304</t>
  </si>
  <si>
    <t>Disposal, building, brick, to sorting plant {CH}</t>
  </si>
  <si>
    <t>8b3365d2-3be4-4d46-bfbb-bfa786db64c4</t>
  </si>
  <si>
    <t>Disposal, building, bulk iron (excluding reinforcement), to sorting plant {CH}</t>
  </si>
  <si>
    <t>807e417b-a8dc-470f-8fb3-7e275d144b47</t>
  </si>
  <si>
    <t>Disposal, building, cement-fibre slab, to final disposal {CH}</t>
  </si>
  <si>
    <t>c26999bc-7cf4-4c09-ac0a-6511b1a1877a</t>
  </si>
  <si>
    <t>Disposal, building, cement (in concrete) and mortar, at sorting plant, to recycling {CH}</t>
  </si>
  <si>
    <t>1dcf9e62-546f-43de-802b-b901fe91ec2e</t>
  </si>
  <si>
    <t>Disposal, building, cement (in concrete) and mortar, to final disposal {CH}</t>
  </si>
  <si>
    <t>53702cf0-35f4-45db-9980-1bf657076e9c</t>
  </si>
  <si>
    <t>Disposal, building, cement (in concrete) and mortar, to sorting plant {CH}</t>
  </si>
  <si>
    <t>68c61014-39bd-472c-954b-123d94b25d48</t>
  </si>
  <si>
    <t>Disposal, building, concrete gravel, at sorting plant, to recycling {CH}</t>
  </si>
  <si>
    <t>571b7783-65d4-4212-af31-6077b17fdbe6</t>
  </si>
  <si>
    <t>Disposal, building, concrete gravel, to final disposal {CH}</t>
  </si>
  <si>
    <t>9d800ecb-f874-4142-a16d-576f84e13cbf</t>
  </si>
  <si>
    <t>Disposal, building, concrete gravel, to recycling {CH}</t>
  </si>
  <si>
    <t>497112bc-1872-4f10-8401-e5e81571f5ea</t>
  </si>
  <si>
    <t>Disposal, building, concrete gravel, to sorting plant {CH}</t>
  </si>
  <si>
    <t>bd5b3177-dd88-40fc-8c48-8fd14a6d8a68</t>
  </si>
  <si>
    <t>Disposal, building, concrete, not reinforced, at sorting plant, to recycling {CH}</t>
  </si>
  <si>
    <t>a063c51d-37fe-45bc-a8d7-fd997e196389</t>
  </si>
  <si>
    <t>Disposal, building, concrete, not reinforced, to final disposal {CH}</t>
  </si>
  <si>
    <t>d5cf31d7-6ed4-4ba6-a283-85bfca5dbbf7</t>
  </si>
  <si>
    <t>Disposal, building, concrete, not reinforced, to sorting plant {CH}</t>
  </si>
  <si>
    <t>48c4c4d8-c432-42d4-a605-455ae3416f16</t>
  </si>
  <si>
    <t>Disposal, building, door, inner, functional, wood, steel frame, to final disposal {CH}</t>
  </si>
  <si>
    <t>bf02a3d6-fab4-4882-bb7a-02d464e5cb0d</t>
  </si>
  <si>
    <t>Disposal, building, door, inner, functional, wood, wooden frame, to final disposal {CH}</t>
  </si>
  <si>
    <t>60668707-b5c0-42a0-9bfe-d77a22d475c4</t>
  </si>
  <si>
    <t>Disposal, building, door, inner, room, glass-wood, steel frame, to final disposal {CH}</t>
  </si>
  <si>
    <t>86971e81-5ae6-47e9-8b7b-3eccd1a9ce6b</t>
  </si>
  <si>
    <t>Disposal, building, door, inner, room, glass-wood, wooden frame, to final disposal {CH}</t>
  </si>
  <si>
    <t>cca591bd-8163-491a-a9df-1aff3fb9699d</t>
  </si>
  <si>
    <t>Disposal, building, door, inner, room, wood, steel frame, to final disposal {CH}</t>
  </si>
  <si>
    <t>5b2f9efa-3604-43c6-9527-73433ba9e259</t>
  </si>
  <si>
    <t>Disposal, building, door, inner, room, wood, wooden frame, to final disposal {CH}</t>
  </si>
  <si>
    <t>dc9bb171-a568-4daf-81c9-ee2b02a7b593</t>
  </si>
  <si>
    <t>Disposal, building, door, outer, glass-wood, U=0.7 W/m2K, wooden frame, to final disposal {CH}</t>
  </si>
  <si>
    <t>46f7406d-5625-4c33-a3ff-f33858f66197</t>
  </si>
  <si>
    <t>Disposal, building, door, outer, wood-aluminium, wooden frame, to final disposal {CH}</t>
  </si>
  <si>
    <t>1dac0c27-7081-4bd6-a8c9-30769d8495d3</t>
  </si>
  <si>
    <t>Disposal, building, door, outer, wood, U=1.0 W/m2K, wooden frame, to final disposal {CH}</t>
  </si>
  <si>
    <t>03afd92c-8e29-405a-85c3-c039ecba1646</t>
  </si>
  <si>
    <t>Disposal, building, electric wiring, to final disposal {CH}</t>
  </si>
  <si>
    <t>c4653d96-90f7-4030-8ff6-76bc8dd133df</t>
  </si>
  <si>
    <t>Disposal, building, emulsion paint remains, to final disposal {CH}</t>
  </si>
  <si>
    <t>779df9f3-75f0-43b1-9907-834ddeb6ad48</t>
  </si>
  <si>
    <t>Disposal, building, fibre board, to final disposal {CH}</t>
  </si>
  <si>
    <t>a96fd99f-ef43-4d2d-89f0-6383bca0d854</t>
  </si>
  <si>
    <t>Disposal, building, glass pane (in burnable frame), to final disposal {CH}</t>
  </si>
  <si>
    <t>75837517-819b-4553-bda9-5d8859aed4b0</t>
  </si>
  <si>
    <t>Disposal, building, glass pane (in burnable frame), to sorting plant {CH}</t>
  </si>
  <si>
    <t>8cc8cf02-bf70-4229-af8b-f2bda5b0871b</t>
  </si>
  <si>
    <t>Disposal, building, glass sheet, to final disposal {CH}</t>
  </si>
  <si>
    <t>24a9d7e0-afe5-4af4-921b-f8cb84d10d1b</t>
  </si>
  <si>
    <t>Disposal, building, glass sheet, to sorting plant {CH}</t>
  </si>
  <si>
    <t>2ffa6582-b799-4052-8ae1-be38aca08151</t>
  </si>
  <si>
    <t>Disposal, building, laminated safety glass, to final disposal {CH}</t>
  </si>
  <si>
    <t>882b13a2-cbd9-3dcb-ab2b-b0d8f896f936</t>
  </si>
  <si>
    <t>Disposal, building, mineral plaster, at sorting plant, to recycling {CH}</t>
  </si>
  <si>
    <t>ad24ff9e-29e1-4e3c-ac12-99bce7e5624c</t>
  </si>
  <si>
    <t>Disposal, building, mineral plaster, to final disposal {CH}</t>
  </si>
  <si>
    <t>9dfccaf2-0ac9-4650-b3a7-a6be3dd3af23</t>
  </si>
  <si>
    <t>Disposal, building, mineral plaster, to sorting plant {CH}</t>
  </si>
  <si>
    <t>7e0b7397-b949-448e-ac9b-cad2f937100b</t>
  </si>
  <si>
    <t>Disposal, building, mineral wool, to final disposal {CH}</t>
  </si>
  <si>
    <t>c3bf4919-4d67-46d3-9dc5-099cbc404125</t>
  </si>
  <si>
    <t>Disposal, building, mineral wool, to sorting plant {CH}</t>
  </si>
  <si>
    <t>ebc0ea27-19a4-4bc0-96bd-946ab2ba30b9</t>
  </si>
  <si>
    <t>Disposal, building, paint on metal, to final disposal {CH}</t>
  </si>
  <si>
    <t>a626600e-92d7-4e1e-b1d7-3f32a5232b5f</t>
  </si>
  <si>
    <t>Disposal, building, paint on metal, to sorting plant {CH}</t>
  </si>
  <si>
    <t>d5dae353-9d60-4989-9432-42e36d1f2d81</t>
  </si>
  <si>
    <t>Disposal, building, paint on walls, to sorting plant {CH}</t>
  </si>
  <si>
    <t>636c36c5-d755-4a89-9d7b-34a046675da3</t>
  </si>
  <si>
    <t>Disposal, building, paint on wood, to final disposal {CH}</t>
  </si>
  <si>
    <t>404d64ff-52e2-423a-a8cf-7dc755624bf7</t>
  </si>
  <si>
    <t>Disposal, building, paint remains, to final disposal {CH}</t>
  </si>
  <si>
    <t>1229c345-bc92-47a9-906f-da087ff5b943</t>
  </si>
  <si>
    <t>Disposal, building, PE sealing sheet, to final disposal {CH}</t>
  </si>
  <si>
    <t>507bb149-df90-47a1-97c9-e0045eaa6208</t>
  </si>
  <si>
    <t>Disposal, building, plaster-cardboard sandwich, at sorting plant, to recycling {CH}</t>
  </si>
  <si>
    <t>499560bb-b786-4d6c-b2cb-e3e555c2ac23</t>
  </si>
  <si>
    <t>Disposal, building, plaster-cardboard sandwich, to recycling {CH}</t>
  </si>
  <si>
    <t>d323500f-3a58-4924-89c2-87a2854eddac</t>
  </si>
  <si>
    <t>Disposal, building, plaster board, gypsum plaster, at sorting plant, to recycling {CH}</t>
  </si>
  <si>
    <t>48075490-9107-4de3-b23f-86e8a6c5c51c</t>
  </si>
  <si>
    <t>Disposal, building, plaster board, gypsum plaster, to final disposal {CH}</t>
  </si>
  <si>
    <t>5bbdadcc-5557-407e-bbeb-2232672b2911</t>
  </si>
  <si>
    <t>Disposal, building, plaster board, gypsum plaster, to sorting plant {CH}</t>
  </si>
  <si>
    <t>06493909-9a99-423f-9645-79f1fdbc7323</t>
  </si>
  <si>
    <t>Disposal, building, plastic plaster, at sorting plant, to recycling {CH}</t>
  </si>
  <si>
    <t>78ad8f9a-6d0a-48b1-a5b5-ac0d993b8b9e</t>
  </si>
  <si>
    <t>Disposal, building, plastic plaster, to final disposal {CH}</t>
  </si>
  <si>
    <t>3ba0c965-2edd-4aca-9199-161ad39b0b55</t>
  </si>
  <si>
    <t>Disposal, building, polyethylene/polypropylene products, to final disposal {CH}</t>
  </si>
  <si>
    <t>523acd1b-d655-43ea-9510-dd738f1dfdf4</t>
  </si>
  <si>
    <t>Disposal, building, polystyrene isolation, flame-retardant, to final disposal {CH}</t>
  </si>
  <si>
    <t>6a696af7-4209-4a39-b6dc-052fb39decf2</t>
  </si>
  <si>
    <t>Disposal, building, polyurethane foam, to final disposal {CH}</t>
  </si>
  <si>
    <t>ec464e33-8525-4695-8035-dec3831e6e8e</t>
  </si>
  <si>
    <t>Disposal, building, polyurethane sealing, to final disposal {CH}</t>
  </si>
  <si>
    <t>1daf2fab-d7e4-4978-a3ce-6f3a72e165f6</t>
  </si>
  <si>
    <t>Disposal, building, polyvinylchloride products, to final disposal {CH}</t>
  </si>
  <si>
    <t>08922178-ab4a-487c-920d-0a97af0bcb58</t>
  </si>
  <si>
    <t>Disposal, building, PVC sealing sheet, to final disposal {CH}</t>
  </si>
  <si>
    <t>46afd755-c2e7-4cfa-a492-aff5cbcd382b</t>
  </si>
  <si>
    <t>Disposal, building, reinforced concrete, at sorting plant, to recycling {CH}</t>
  </si>
  <si>
    <t>c032c8e4-134f-4b98-8753-c47c5bc3b943</t>
  </si>
  <si>
    <t>Disposal, building, reinforced concrete, to final disposal {CH}</t>
  </si>
  <si>
    <t>9bd02e88-a562-4194-832b-c143643fb970</t>
  </si>
  <si>
    <t>Disposal, building, reinforced concrete, to recycling {CH}</t>
  </si>
  <si>
    <t>691ef6dc-0411-4ebd-add7-aff1527b3b00</t>
  </si>
  <si>
    <t>Disposal, building, reinforced concrete, to sorting plant {CH}</t>
  </si>
  <si>
    <t>bba7588b-bb78-47c5-99cd-238224d16679</t>
  </si>
  <si>
    <t>Disposal, building, reinforced plaster board, at sorting plant, to recycling {CH}</t>
  </si>
  <si>
    <t>3081c63c-6e58-472c-943b-d8cbd171dfb8</t>
  </si>
  <si>
    <t>Disposal, building, reinforcement steel, to recycling {CH}</t>
  </si>
  <si>
    <t>3339051d-d8fc-494c-8dd3-f45bda07f131</t>
  </si>
  <si>
    <t>Disposal, building, reinforcement steel, to sorting plant {CH}</t>
  </si>
  <si>
    <t>db86092e-194f-4159-a552-fc6240c7d22e</t>
  </si>
  <si>
    <t>Disposal, building, vapour barrier, flame-retarded, to final disposal {CH}</t>
  </si>
  <si>
    <t>1997678e-a53f-4c52-927a-ff401d91c5f4</t>
  </si>
  <si>
    <t>Disposal, building, waste wood, chrome preserved, to final disposal {CH}</t>
  </si>
  <si>
    <t>74f58f6e-dab6-4f52-b841-67541cf10e88</t>
  </si>
  <si>
    <t>Disposal, building, waste wood, untreated, to final disposal {CH}</t>
  </si>
  <si>
    <t>89e16f56-ed57-4f8b-8157-5a118280c330</t>
  </si>
  <si>
    <t>Disposal, building, window frame, aluminium, as building waste {CH}</t>
  </si>
  <si>
    <t>d47cc863-b9cc-4bc3-85eb-8ee0f1c93312</t>
  </si>
  <si>
    <t>Disposal, building, window frame, aluminium, Wicline 75evo {CH}</t>
  </si>
  <si>
    <t>building components\windows</t>
  </si>
  <si>
    <t>c329609f-2f6e-34d1-9e38-3c8af2b43a09</t>
  </si>
  <si>
    <t>Disposal, building, window frame, plastic, as building waste {CH}</t>
  </si>
  <si>
    <t>dad10b68-96c4-4894-99f7-1be9ee3b74e5</t>
  </si>
  <si>
    <t>Disposal, building, window frame, wood-metal, market mix, m2 visible, to final disposal {CH}</t>
  </si>
  <si>
    <t>381a3b0c-7147-4788-b096-b9be24654a7c</t>
  </si>
  <si>
    <t>Disposal, building, window frame, wood-metal, market mix, wall opening, to final disposal {CH}</t>
  </si>
  <si>
    <t>3c975ee2-6a16-4261-9b73-434686ad4030</t>
  </si>
  <si>
    <t>Disposal, building, window frame, wood-metal, natural/varnished, m2 visible, to final disposal {CH}</t>
  </si>
  <si>
    <t>a669aa3b-9387-4e88-9469-06c9581761a9</t>
  </si>
  <si>
    <t>Disposal, building, window frame, wood-metal, natural/varnished, wall opening, to final disposal {CH}</t>
  </si>
  <si>
    <t>19c3a42e-f73a-4f83-a722-ce42fae00519</t>
  </si>
  <si>
    <t>Disposal, building, window frame, wood-metal, opaquely painted, Baumgartner, wall opening, to final disposal {CH}</t>
  </si>
  <si>
    <t>e07cc654-6748-44cc-95bd-6c197a919a64</t>
  </si>
  <si>
    <t>Disposal, building, window frame, wood-metal, opaquely painted, m2 visible, to final disposal {CH}</t>
  </si>
  <si>
    <t>081d2c64-1bf6-492f-9796-8c613a567ab7</t>
  </si>
  <si>
    <t>Disposal, building, window frame, wood-metal, opaquely painted, wall opening, to final disposal {CH}</t>
  </si>
  <si>
    <t>18555b82-95e5-4046-b59b-8f84b4b85666</t>
  </si>
  <si>
    <t>Disposal, building, window frame, wood, market mix, m2 visible, to final disposal {CH}</t>
  </si>
  <si>
    <t>324f8b06-a6db-485d-8d3e-43fb39fba444</t>
  </si>
  <si>
    <t>Disposal, building, window frame, wood, market mix, wall opening, to final disposal {CH}</t>
  </si>
  <si>
    <t>aaace8c8-b989-4390-aa01-4aaa6252cefd</t>
  </si>
  <si>
    <t>Disposal, building, window frame, wood, natural/varnished, m2 visible, to final disposal {CH}</t>
  </si>
  <si>
    <t>deb797e0-354c-427a-9acd-44598672e048</t>
  </si>
  <si>
    <t>Disposal, building, window frame, wood, natural/varnished, wall opening, to final disposal {CH}</t>
  </si>
  <si>
    <t>12831aed-fe8c-42c1-a4aa-2f847fed7136</t>
  </si>
  <si>
    <t>Disposal, building, window frame, wood, opaquely painted, Baumgartner, wall opening, to final disposal {CH}</t>
  </si>
  <si>
    <t>d194cc0d-c3f6-49e9-9694-edbc775d3d58</t>
  </si>
  <si>
    <t>Disposal, building, window frame, wood, opaquely painted, m2 visible, to final disposal {CH}</t>
  </si>
  <si>
    <t>54604126-6314-46fd-b216-6859fa5ada31</t>
  </si>
  <si>
    <t>Disposal, building, window frame, wood, opaquely painted, wall opening, to final disposal {CH}</t>
  </si>
  <si>
    <t>b379a957-095c-4568-8ebe-e34839abaa5f</t>
  </si>
  <si>
    <t>Disposal, bus {CH}</t>
  </si>
  <si>
    <t>6f7ea89b-4ade-4993-9acb-6a0cad38fb41</t>
  </si>
  <si>
    <t>Disposal, capacitors, 0% water, to hazardous waste incineration {CH}</t>
  </si>
  <si>
    <t>684e7bd7-1493-42d8-a4b8-40e42d0af919</t>
  </si>
  <si>
    <t>Disposal, carpet from natural fibres as building waste, to municipal waste incineration {CH}</t>
  </si>
  <si>
    <t>2d8d7215-3f15-4744-aa11-41f4d5149ad1</t>
  </si>
  <si>
    <t>Disposal, carpet from natural fibres, as building waste {CH}</t>
  </si>
  <si>
    <t>2186023b-1866-4899-bf44-102fbbde2f67</t>
  </si>
  <si>
    <t>Disposal, catalyst base CH2O production, 0% water, to residual material landfill {CH}</t>
  </si>
  <si>
    <t>e585e72a-ff40-4b48-9dc4-b7bb30dee2ec</t>
  </si>
  <si>
    <t>Disposal, catalyst base Eth.oxide prod., 0% water, to residual material landfill {CH}</t>
  </si>
  <si>
    <t>bb7a5167-1cbc-402a-a5ba-cdaad1291d7c</t>
  </si>
  <si>
    <t>Disposal, catalytic converter NOx reduction, 0% water, to underground deposit {DE}</t>
  </si>
  <si>
    <t>underground deposit\unspecified</t>
  </si>
  <si>
    <t>76cb6f00-b198-4615-ac11-fa81cb51e99f</t>
  </si>
  <si>
    <t>Disposal, cation exchange resin f. water, 50% water, to municipal incineration {CH}</t>
  </si>
  <si>
    <t>697861de-d9be-4558-bfff-b957d9f812df</t>
  </si>
  <si>
    <t>Disposal, cement-fibre slab, 0% water, to municipal incineration {CH}</t>
  </si>
  <si>
    <t>15c1d309-98e9-426e-ad08-c068f5a2cb6f</t>
  </si>
  <si>
    <t>Disposal, cement, 5% water, to construction waste landfill {CH}</t>
  </si>
  <si>
    <t>waste management\construction waste landfill</t>
  </si>
  <si>
    <t>1addf510-7d30-4327-8521-03ddda0231e7</t>
  </si>
  <si>
    <t>Disposal, cement, hydrated, 0% water, to residual material landfill {CH}</t>
  </si>
  <si>
    <t>6eb70d13-4a43-4a65-9090-90749e3369af</t>
  </si>
  <si>
    <t>Disposal, ceramic tiles, as building waste {CH}</t>
  </si>
  <si>
    <t>06f6d86c-675e-45fd-8a8b-aeedbb324a87</t>
  </si>
  <si>
    <t>Disposal, coatings in CRT screens,  to municipal waste incineration {CH}</t>
  </si>
  <si>
    <t>9fa2ba1d-2779-4e90-a63d-a308a90f536b</t>
  </si>
  <si>
    <t>Disposal, concrete demolition, at plant {CH}</t>
  </si>
  <si>
    <t>waste management\inert material landfill</t>
  </si>
  <si>
    <t>65c974c1-375c-4844-81a8-8c442c9ddddd</t>
  </si>
  <si>
    <t>Disposal, concrete pile, 1200mm, piped, average {CH}</t>
  </si>
  <si>
    <t>429d4ac4-2565-31d4-897d-3b619e6c4a3a</t>
  </si>
  <si>
    <t>Disposal, concrete pile, 1200mm, piped, Integra L2 Wallisellen {CH}</t>
  </si>
  <si>
    <t>fd0897a6-a884-324d-b18b-32dc2b4026fb</t>
  </si>
  <si>
    <t>Disposal, concrete pile, 700mm, piped, average {CH}</t>
  </si>
  <si>
    <t>1d3a5291-c70b-38e2-aecb-f33f3af7bf3f</t>
  </si>
  <si>
    <t>Disposal, concrete pile, 700mm, piped, Integra L2 Wallisellen {CH}</t>
  </si>
  <si>
    <t>17f2782d-4ee5-3deb-a462-3b32586197f7</t>
  </si>
  <si>
    <t>Disposal, concrete pile, 880mm, piped, Integra L2 Wallisellen {CH}</t>
  </si>
  <si>
    <t>db08b44c-5732-3449-9418-0baaba9f7922</t>
  </si>
  <si>
    <t>Disposal, concrete pile, 900mm, piped, average {CH}</t>
  </si>
  <si>
    <t>1e9445cc-5d98-3b6d-bdf1-bd850bb6776b</t>
  </si>
  <si>
    <t>Disposal, concrete pile, 900mm, piped, Integra L2 Wallisellen {CH}</t>
  </si>
  <si>
    <t>694012df-d2b6-301e-9860-79d85a18c195</t>
  </si>
  <si>
    <t>Disposal, concrete, 5% water, to construction waste landfill {CH}</t>
  </si>
  <si>
    <t>19c2ddb6-68b0-4d8a-97e0-a8aa9a4d8ca0</t>
  </si>
  <si>
    <t>Disposal, concrete, 5% water, to inert material landfill {GLO}</t>
  </si>
  <si>
    <t>09984ab6-a49a-46a6-801a-ddcbc3b881bc</t>
  </si>
  <si>
    <t>Disposal, concrete, as building waste {CH}</t>
  </si>
  <si>
    <t>5d80f959-2bdf-4f59-8049-9204a04dd122</t>
  </si>
  <si>
    <t>Disposal, construction waste, to final disposal type B {CH}</t>
  </si>
  <si>
    <t>d9d79867-8ade-4994-b445-81e45973f5d0</t>
  </si>
  <si>
    <t>Disposal, control and wiring, central unit {CH}</t>
  </si>
  <si>
    <t>e1c045a8-dc31-4c39-bf3f-2bd33fe077a6</t>
  </si>
  <si>
    <t>Disposal, control and wiring, decentralized unit {CH}</t>
  </si>
  <si>
    <t>2dfa67ad-c011-4af1-bffe-5a8bf854c652</t>
  </si>
  <si>
    <t>Disposal, convector radiator {CH}</t>
  </si>
  <si>
    <t>05d5ce8b-5fac-4362-9b59-1c9f41f445e7</t>
  </si>
  <si>
    <t>Disposal, cooker hood, kitchen {CH}</t>
  </si>
  <si>
    <t>89214ded-0cb2-3119-80ce-d1d9bf9cbca4</t>
  </si>
  <si>
    <t>Disposal, copper in car shredder residue, 0% water, to municipal incineration {CH}</t>
  </si>
  <si>
    <t>7c33eb3d-7fa7-4625-a791-6e4954400b3b</t>
  </si>
  <si>
    <t>Disposal, copper, 0% water, to municipal incineration {CH}</t>
  </si>
  <si>
    <t>4190924c-2686-4c3b-91b4-80772bdd9a01</t>
  </si>
  <si>
    <t>Disposal, cork board as building waste, to municipal waste incineration {CH}</t>
  </si>
  <si>
    <t>7e7bc97a-c7a1-48ab-b9ad-4a8ba8556e2a</t>
  </si>
  <si>
    <t>Disposal, cork board, as building waste {CH}</t>
  </si>
  <si>
    <t>0386dc6f-ffe2-495d-867d-9b83a90c5737</t>
  </si>
  <si>
    <t>Disposal, cork flooring PVC coated as building waste, to municipal waste incineration {CH}</t>
  </si>
  <si>
    <t>6b0af2e1-05dd-4879-b4a1-e20371863b7d</t>
  </si>
  <si>
    <t>Disposal, cork flooring PVC coated, as building waste {CH}</t>
  </si>
  <si>
    <t>35b3e8b0-8612-4b96-9439-1e2dea30c47a</t>
  </si>
  <si>
    <t>Disposal, cork parquet as building waste, to municipal waste incineration {CH}</t>
  </si>
  <si>
    <t>547b0fc1-b40c-4ebf-98b3-50d0020c236a</t>
  </si>
  <si>
    <t>Disposal, cork parquet, as building waste {CH}</t>
  </si>
  <si>
    <t>a28bff00-ea0c-45e1-aa1f-d239b0802397</t>
  </si>
  <si>
    <t>Disposal, crossbar-pole facade, as building waste {CH}</t>
  </si>
  <si>
    <t>e24fbcd4-e263-4b97-9e67-22d64dd3c956</t>
  </si>
  <si>
    <t>Disposal, decarbonising waste, 30% water, to residual material landfill {CH}</t>
  </si>
  <si>
    <t>32cefe22-dac9-45c6-8c49-c14cc6e7610d</t>
  </si>
  <si>
    <t>Disposal, delivery and return well for groundwater heat pump, 9m {CH}</t>
  </si>
  <si>
    <t>04f26133-203e-4705-bdf6-a992d2993c94</t>
  </si>
  <si>
    <t>Disposal, desktop computer, to WEEE treatment {CH}</t>
  </si>
  <si>
    <t>9d4409e7-2033-437d-9caf-dee8ac2f63b9</t>
  </si>
  <si>
    <t>Disposal, dewatering, building pit, pumping head 10m {CH}</t>
  </si>
  <si>
    <t>1235dd03-7474-3d7f-b485-0e6a044e3141</t>
  </si>
  <si>
    <t>Disposal, dewatering, building pit, pumping head 2.5m {CH}</t>
  </si>
  <si>
    <t>d94926a6-e577-3705-ade5-0f698578281a</t>
  </si>
  <si>
    <t>Disposal, dewatering, building pit, pumping head 5m {CH}</t>
  </si>
  <si>
    <t>378a73b8-5af9-3c36-844a-504bf72e3d0e</t>
  </si>
  <si>
    <t>Disposal, dewatering, building pit, pumping head 7.5m {CH}</t>
  </si>
  <si>
    <t>9a48cbda-9677-321f-a355-027ee77c472f</t>
  </si>
  <si>
    <t>Disposal, diaphragm wall, 400mm {CH}</t>
  </si>
  <si>
    <t>cc3839bd-b2d9-421f-a0bf-eba1fa03ee14</t>
  </si>
  <si>
    <t>Disposal, diaphragm wall, 800mm {CH}</t>
  </si>
  <si>
    <t>82b65607-4973-4ba3-8449-637f475db991</t>
  </si>
  <si>
    <t>Disposal, diaphragm wall, 800mm, Bauer Spezialtiefbau Schweiz {CH}</t>
  </si>
  <si>
    <t>e25d6aa2-ca60-3f1c-b359-84e450579e3b</t>
  </si>
  <si>
    <t>Disposal, diaphragm wall, 800mm, Implenia {CH}</t>
  </si>
  <si>
    <t>e66c4108-89ef-30f6-ba8f-4afc7d244e72</t>
  </si>
  <si>
    <t>Disposal, digester sludge, to municipal incineration {CH}</t>
  </si>
  <si>
    <t>8cdeb2cb-3a8c-4cd4-8034-ebc0668e88ea</t>
  </si>
  <si>
    <t>Disposal, displacement pile, concrete 520mm, high reinforced, Integra Wohnen Wallisellen {CH}</t>
  </si>
  <si>
    <t>fa5dc34a-0933-37f9-adb7-10968218fafb</t>
  </si>
  <si>
    <t>Disposal, displacement pile, concrete 520mm, Integra Wohnen Wallisellen {CH}</t>
  </si>
  <si>
    <t>da2445c9-e591-31bb-a447-bb765c7c988a</t>
  </si>
  <si>
    <t>Disposal, displacement pile, concrete 520mm, low reinforced, Integra Wohnen Wallisellen {CH}</t>
  </si>
  <si>
    <t>7d280c65-720d-3bea-9275-2a5a9d80e146</t>
  </si>
  <si>
    <t>Disposal, displacement pile, concrete 620mm, high reinforced, Integra Wohnen Wallisellen {CH}</t>
  </si>
  <si>
    <t>a0ef0384-861e-34b7-b515-13f4f1356e07</t>
  </si>
  <si>
    <t>Disposal, displacement pile, concrete 620mm, Integra Wohnen Wallisellen {CH}</t>
  </si>
  <si>
    <t>eb81c446-d411-3444-be24-b995dc753785</t>
  </si>
  <si>
    <t>Disposal, displacement pile, concrete 620mm, low reinforced, Integra Wohnen Wallisellen {CH}</t>
  </si>
  <si>
    <t>7c659ecd-c63a-3748-82b7-fcdd521da5ce</t>
  </si>
  <si>
    <t>Disposal, door frame, inner, wood, to final disposal {CH}</t>
  </si>
  <si>
    <t>3fd993f0-5e89-44d4-9bb1-6272901611a9</t>
  </si>
  <si>
    <t>Disposal, door frame, outer, wood, to final disposal {CH}</t>
  </si>
  <si>
    <t>6043e739-28f7-4640-87b8-e4870e268092</t>
  </si>
  <si>
    <t>Disposal, door leaf, functional, inner, wood, to final disposal {CH}</t>
  </si>
  <si>
    <t>b5a30897-0371-44fd-a8b1-db8c1e97f7b7</t>
  </si>
  <si>
    <t>Disposal, door leaf, outer, wood-glass, to final disposal {CH}</t>
  </si>
  <si>
    <t>2fbc4441-e2b5-4d67-940d-128a097f209e</t>
  </si>
  <si>
    <t>Disposal, door leaf, outer, wood, to final disposal {CH}</t>
  </si>
  <si>
    <t>6de41304-0c5a-472e-94ad-956ccec849df</t>
  </si>
  <si>
    <t>Disposal, door leaf, room, inner, wood-glass, to final disposal {CH}</t>
  </si>
  <si>
    <t>9f14ff2b-dbb4-4dcf-999d-f2cc6bf55eed</t>
  </si>
  <si>
    <t>Disposal, door leaf, room, inner, wood, to final disposal {CH}</t>
  </si>
  <si>
    <t>6b75efac-f5ea-478e-9ff9-507c4cce2313</t>
  </si>
  <si>
    <t>Disposal, door, inner, aluminium, transparent filling, to final disposal {CH}</t>
  </si>
  <si>
    <t>29407d01-833d-406e-a8d9-45199f9db894</t>
  </si>
  <si>
    <t>Disposal, door, outer, aluminium, opaque filling, to final disposal {CH}</t>
  </si>
  <si>
    <t>7a286c7c-383d-4f5a-ba1f-7e2f0549294b</t>
  </si>
  <si>
    <t>Disposal, door, outer, aluminium, transparent filling, to final disposal {CH}</t>
  </si>
  <si>
    <t>00abc63c-5d5b-4360-95cb-a0078d3413cc</t>
  </si>
  <si>
    <t>Disposal, drilling waste, 71.5% water, to landfarming {CH}</t>
  </si>
  <si>
    <t>bfe6fa34-144b-455c-9ccf-c72cf0b3a497</t>
  </si>
  <si>
    <t>Disposal, drilling waste, 71.5% water, to residual material landfill {CH}</t>
  </si>
  <si>
    <t>9097e0db-8752-4f28-80f0-f4004afef212</t>
  </si>
  <si>
    <t>Disposal, drop-arm awning, as building waste {CH}</t>
  </si>
  <si>
    <t>93512cba-918a-4c4f-98ed-6a189c491abf</t>
  </si>
  <si>
    <t>Disposal, dust, alloyed EAF steel, 15.4% water, to residual material landfill {CH}</t>
  </si>
  <si>
    <t>902c33b3-6c17-489a-b652-69f29f2d2367</t>
  </si>
  <si>
    <t>Disposal, dust, unalloyed EAF steel, 15.4% water, to residual material landfill {CH}</t>
  </si>
  <si>
    <t>d1ca3d5f-519a-4577-9579-e94dd5e964c6</t>
  </si>
  <si>
    <t>Disposal, EI 30 fire insulation, 50mm, 120kg/m3, reinforced alumium foil {CH}</t>
  </si>
  <si>
    <t>4e9dcc2a-b4c2-4dcf-a607-094a5438cea0</t>
  </si>
  <si>
    <t>Disposal, EI 60 fire insulation, 70mm, 120kg/m3, reinforced alumium foil {CH}</t>
  </si>
  <si>
    <t>fbde96a5-158a-4025-9d69-00144a44d138</t>
  </si>
  <si>
    <t>Disposal, EI 90 fire insulation, 100mm, 120kg/m3, reinforced alumium foil {CH}</t>
  </si>
  <si>
    <t>d2dcef5f-8d36-458f-9b36-10131d0e652b</t>
  </si>
  <si>
    <t>Disposal, electric bicycle {CH}</t>
  </si>
  <si>
    <t>086f5539-d038-42b7-aa16-b3a7a340c380</t>
  </si>
  <si>
    <t>Disposal, electric bicycle, LiNCM battery {CH}</t>
  </si>
  <si>
    <t>d23226a5-60f0-4a8d-b9e9-b0ef7bf3183c</t>
  </si>
  <si>
    <t>Disposal, electric scooter {CH}</t>
  </si>
  <si>
    <t>39e4df6b-4552-4531-9ef0-4daf111e500b</t>
  </si>
  <si>
    <t>Disposal, electric storage heater, 5kW {CH}</t>
  </si>
  <si>
    <t>943fe6fd-7e84-4cb0-bbe0-d10301d6c89e</t>
  </si>
  <si>
    <t>Disposal, electric storage heater, per kg {CH}</t>
  </si>
  <si>
    <t>8c31234d-8e85-4a13-88ba-70c1789adf78</t>
  </si>
  <si>
    <t>Disposal, electric vehicle, LiMn2O4 {RER}</t>
  </si>
  <si>
    <t>321bfc1b-037e-47e7-af78-2231a0d4f484</t>
  </si>
  <si>
    <t>4951feb6-9a4b-4946-941e-a9ce25fbff3c</t>
  </si>
  <si>
    <t>Disposal, emulsion paint remains, 0% water, to hazardous waste incineration {CH}</t>
  </si>
  <si>
    <t>7d15b5ea-0ff3-4e33-8da0-9a4037f1e717</t>
  </si>
  <si>
    <t>Disposal, emulsion paint, 0% water, to construction waste landfill {CH}</t>
  </si>
  <si>
    <t>702934dd-4570-434b-a9bc-57a5cb91e72a</t>
  </si>
  <si>
    <t>Disposal, emulsion paint, 0% water, to municipal incineration {CH}</t>
  </si>
  <si>
    <t>d55bdfd9-e60c-4ea3-82a9-2e9c2549f46d</t>
  </si>
  <si>
    <t>Disposal, emulsion paint, 0% water, to sanitary landfill {CH}</t>
  </si>
  <si>
    <t>86903d8e-e4ea-47ab-8777-1943fe9cdb73</t>
  </si>
  <si>
    <t>Disposal, energy saving bulb, burnable, 0.6% water, to municipal incineration {CH}</t>
  </si>
  <si>
    <t>b78f16f9-d82c-419f-bb93-591163d5a8e7</t>
  </si>
  <si>
    <t>Disposal, energy saving bulb, inert, 0% water, to municipal incineration {CH}</t>
  </si>
  <si>
    <t>a20596a5-68ee-4a7a-81e1-bbc5b86c9387</t>
  </si>
  <si>
    <t>Disposal, EPDM seal sheeting, to municipal waste incineration {CH}</t>
  </si>
  <si>
    <t>22a9dacc-ce7a-4022-bd38-d35e46cf9e58</t>
  </si>
  <si>
    <t>Disposal, EPDM sealing sheet, as building waste {CH}</t>
  </si>
  <si>
    <t>8ebb87ef-2c3f-45d2-8fc3-f72b017ac67a</t>
  </si>
  <si>
    <t>Disposal, excavation material, clean, 20% water, to excavation landfill {CH}</t>
  </si>
  <si>
    <t>waste management\excavation landfill</t>
  </si>
  <si>
    <t>36842efe-0d9f-4350-a05d-8080512f8f9c</t>
  </si>
  <si>
    <t>Disposal, exhaust air roof hood, steel, DN 400 {CH}</t>
  </si>
  <si>
    <t>33f686d9-db24-49b2-acf9-5e0ac51365ab</t>
  </si>
  <si>
    <t>Disposal, exhaust air system for kitchen and bathroom in appartment buildings {CH}</t>
  </si>
  <si>
    <t>7b296f96-3549-4e99-9aed-c2a058a646b3</t>
  </si>
  <si>
    <t>Disposal, exhaust air system for kitchen in appartment buildings {CH}</t>
  </si>
  <si>
    <t>dd696759-bc88-48b7-b41c-18a5e91bfb5d</t>
  </si>
  <si>
    <t>Disposal, exhaust air valve, in-wall housing, plastic/steel, DN 125 {CH}</t>
  </si>
  <si>
    <t>6351410c-7338-42b0-9083-de371b2f361a</t>
  </si>
  <si>
    <t>Disposal, expanded polystyrene, 5% water, to municipal incineration {CH}</t>
  </si>
  <si>
    <t>f563a449-4027-49bf-b7e7-72235318dbe9</t>
  </si>
  <si>
    <t>Disposal, facade substructure, integrated, average, Ecolite, to final disposal {CH}</t>
  </si>
  <si>
    <t>8598e50e-fcff-3dc2-bb59-a85ac8f99c3f</t>
  </si>
  <si>
    <t>Disposal, facade substructure, integrated, brick substrate, Ecolite, to final disposal {CH}</t>
  </si>
  <si>
    <t>c17e4d24-00bd-3de9-a8d4-f4fcf35e72f1</t>
  </si>
  <si>
    <t>Disposal, facade substructure, integrated, concrete substrate, Ecolite, to final disposal {CH}</t>
  </si>
  <si>
    <t>cfae3c4a-18dd-3fe2-9a58-db22375ba319</t>
  </si>
  <si>
    <t>Disposal, facade substructure, integrated, Eternit, to final disposal {CH}</t>
  </si>
  <si>
    <t>a249ce19-9fb3-39d1-ba3a-999225e409a5</t>
  </si>
  <si>
    <t>Disposal, facade substructure, integrated, large, GFT, to final disposal {CH}</t>
  </si>
  <si>
    <t>f373bcd2-0cfa-31c6-b9f6-7911210355f8</t>
  </si>
  <si>
    <t>Disposal, facade substructure, integrated, medium, GFT, to final disposal {CH}</t>
  </si>
  <si>
    <t>71bd4823-5f0f-368b-a1a1-19dbf9aae96e</t>
  </si>
  <si>
    <t>Disposal, facade substructure, integrated, small, GFT, to final disposal {CH}</t>
  </si>
  <si>
    <t>a28f0b25-2084-3b8b-a87f-0d6f461b22bd</t>
  </si>
  <si>
    <t>Disposal, facade substructure, integrated, Ventec Artline inlay, Sto, to final disposal {CH}</t>
  </si>
  <si>
    <t>1efc7986-0ceb-3eb1-b94d-42339ba66054</t>
  </si>
  <si>
    <t>Disposal, facade substructure, integrated, Ventec Artline invisible, Sto, to final disposal {CH}</t>
  </si>
  <si>
    <t>0470b0e0-e3c8-3cb3-addb-55598aa26278</t>
  </si>
  <si>
    <t>Disposal, facade substructure, integrated, Vogelsang, to final disposal {CH}</t>
  </si>
  <si>
    <t>7468713a-c633-37f0-b3cf-9c3728c76979</t>
  </si>
  <si>
    <t>Disposal, facilities, chemical production {RER}</t>
  </si>
  <si>
    <t>e181eeac-9e2b-476f-a1ce-2432386c0999</t>
  </si>
  <si>
    <t>Disposal, fibre cement, as building waste {CH}</t>
  </si>
  <si>
    <t>33e80b4e-6c0a-4bda-a545-db574e2842d9</t>
  </si>
  <si>
    <t>Disposal, fibre gypsum boards, as building waste {CH}</t>
  </si>
  <si>
    <t>5993bae8-43ca-416d-8bf8-f73dd3c11ef5</t>
  </si>
  <si>
    <t>Disposal, fibreboard soft as building waste, to municipal waste incineration {CH}</t>
  </si>
  <si>
    <t>77ec4953-166a-4e66-8693-60f2b7bef5dd</t>
  </si>
  <si>
    <t>Disposal, fibreboard soft, as building waste {CH}</t>
  </si>
  <si>
    <t>f63157c5-5894-4429-bc57-e13235b10ae6</t>
  </si>
  <si>
    <t>Disposal, filter dust Al electrolysis, 0% water, to residual material landfill {CH}</t>
  </si>
  <si>
    <t>68b7ae3b-f314-454a-be8d-31cafd534114</t>
  </si>
  <si>
    <t>Disposal, flat glass as construction waste, to final disposal type E {CH}</t>
  </si>
  <si>
    <t>5f71199b-809d-46f1-95e9-a3b41e4799bd</t>
  </si>
  <si>
    <t>Disposal, flat glass as construction waste, to municipal waste incineration {CH}</t>
  </si>
  <si>
    <t>14ed26ef-c83a-4972-ae95-b185b8783303</t>
  </si>
  <si>
    <t>Disposal, flat glass, as building waste {CH}</t>
  </si>
  <si>
    <t>fab2d001-a3c1-41d6-a008-4b62f1631a34</t>
  </si>
  <si>
    <t>Disposal, flax insulation {CH}</t>
  </si>
  <si>
    <t>construction materials\flax insulation</t>
  </si>
  <si>
    <t>b3520083-2e0d-3af9-92ab-37a107aefad2</t>
  </si>
  <si>
    <t>Disposal, flax insulation as building waste, to municipal waste incineration {CH}</t>
  </si>
  <si>
    <t>e647e60d-d44b-4e18-bc48-375d50275bf4</t>
  </si>
  <si>
    <t>Disposal, flax insulation, as building waste {CH}</t>
  </si>
  <si>
    <t>88c47183-f5cd-4909-9f64-7161944307f7</t>
  </si>
  <si>
    <t>Disposal, flexible duct, aluminum/PET, DN of 125 {CH}</t>
  </si>
  <si>
    <t>c404ea01-5944-4c0a-92b1-0dd063529463</t>
  </si>
  <si>
    <t>Disposal, floor heating tube {CH}</t>
  </si>
  <si>
    <t>4bf2acec-99a2-4184-8f02-26adc1fe8ff4</t>
  </si>
  <si>
    <t>Disposal, flooring, granolithic concrete, one layer, as building waste {CH}</t>
  </si>
  <si>
    <t>ca9842f8-255e-4da6-a8c4-b3c497f8c612</t>
  </si>
  <si>
    <t>Disposal, flooring, granolithic concrete, two layers, as building waste {CH}</t>
  </si>
  <si>
    <t>42af86ac-0dfb-4d8b-b0a7-7cc39fe55cce</t>
  </si>
  <si>
    <t>Disposal, fluorescent lamps {GLO}</t>
  </si>
  <si>
    <t>65639582-0c12-4215-bf83-7a1b3de529de</t>
  </si>
  <si>
    <t>Disposal, fossil organic-anorganic compound materials as construction waste, to municipal waste incineration {CH}</t>
  </si>
  <si>
    <t>297e85ff-7c29-4d50-b2fb-1a314a351845</t>
  </si>
  <si>
    <t>Disposal, fossil organic-mineral composite materials, as building waste {CH}</t>
  </si>
  <si>
    <t>f030e584-5432-4d44-a85d-962ab3f46de5</t>
  </si>
  <si>
    <t>Disposal, frame extension, particle board, to final disposal {CH}</t>
  </si>
  <si>
    <t>e3a8e21f-6523-474c-8739-08ef92d18767</t>
  </si>
  <si>
    <t>Disposal, frame extension, PVC, to final disposal {CH}</t>
  </si>
  <si>
    <t>cd53def5-3484-40ea-b998-13c69d6fc144</t>
  </si>
  <si>
    <t>Disposal, frit for CRT tube production, to residual material landfill {CH}</t>
  </si>
  <si>
    <t>da26f8ab-3b0a-4765-8d6a-d0ab4d173bb1</t>
  </si>
  <si>
    <t>Disposal, glass fibre-reinforced polymer panel, polyester resin, as building waste {CH}</t>
  </si>
  <si>
    <t>a9aea75b-6820-42e8-9a31-c97f489877d3</t>
  </si>
  <si>
    <t>Disposal, glass fibre-reinforced polymer panel, polyester resin, to municipal incineration {CH}</t>
  </si>
  <si>
    <t>c99a264b-0fb9-4f74-a1e0-a485df7f72ce</t>
  </si>
  <si>
    <t>Disposal, glass, 0% water, to construction waste landfill {CH}</t>
  </si>
  <si>
    <t>dbee0b6f-fa14-4509-8412-80231b42232a</t>
  </si>
  <si>
    <t>Disposal, glass, 0% water, to municipal incineration {CH}</t>
  </si>
  <si>
    <t>d327a50f-7ecb-4fd3-97f6-5bc8e4975972</t>
  </si>
  <si>
    <t>Disposal, glazing, 2-IV, U=1.1 W/m2K, 4 Float / 10 Kr / 4 Low E 1.1, as building waste {CH}</t>
  </si>
  <si>
    <t>c64abda1-714d-4087-81fb-24d7931ef1a7</t>
  </si>
  <si>
    <t>Disposal, glazing, 2-IV, U=1.1 W/m2K, 4 Float or ESG / 16 Ar / 4 Low E 1.1 Float, as building waste {CH}</t>
  </si>
  <si>
    <t>1f0ea96a-f409-459a-85fb-a461dd8a66f0</t>
  </si>
  <si>
    <t>Disposal, glazing, 2-IV, U=1.1 W/m2K, 4 Float or ESG / 16 Ar / VSG 2x4, 0.76 PVB, Low E 1.1, as building waste {CH}</t>
  </si>
  <si>
    <t>6624740b-79cf-4d09-bd67-96c9ad203bdf</t>
  </si>
  <si>
    <t>Disposal, glazing, 3-IV, U=0.5 W/m2K, 4 Low E 1.1 Float / 12 Kr / 4 Float / 12 Kr / 4 Low E 1.1 Float, as building waste {CH}</t>
  </si>
  <si>
    <t>6ee9fd9e-4a22-4e62-8534-af3bda57aada</t>
  </si>
  <si>
    <t>Disposal, glazing, 3-IV, U=0.6 W/m2K, 4 Low E 1.1 Float or ESG / 14 Ar / 4 Float / 14 Ar / VSG 2x4, 0.76 PVB, Low E 1.1 Float, as building waste {CH}</t>
  </si>
  <si>
    <t>0017b758-86e7-499e-b582-8cd4f2a1256d</t>
  </si>
  <si>
    <t>Disposal, glazing, 3-IV, U=0.6 W/m2K, 4 Low E 1.1 Float or ESG / 14 Ar / 4 Float or ESG / 14 Ar / 4 Low E 1.1 Float, as building waste {CH}</t>
  </si>
  <si>
    <t>bd03c6cf-4e1b-48f2-846d-39451356f81d</t>
  </si>
  <si>
    <t>Disposal, glider, for electric scooter {RER}</t>
  </si>
  <si>
    <t>9c9194be-10e2-34b2-a77b-d8a8e5a5d8df</t>
  </si>
  <si>
    <t>Disposal, glider, for passenger car {RER}</t>
  </si>
  <si>
    <t>d0a5ab89-9134-36c5-a56a-bf1f83c204ae</t>
  </si>
  <si>
    <t>Disposal, glued laminated timbre, 2.5% binder, as building waste {CH}</t>
  </si>
  <si>
    <t>6115742f-acf5-4561-a6aa-b86b797a3aa5</t>
  </si>
  <si>
    <t>Disposal, glued laminated timbre, 2.5% binder, exported to incineration {RER}</t>
  </si>
  <si>
    <t>b8b6cb98-09ee-44b3-8720-f931fc9597b8</t>
  </si>
  <si>
    <t>Disposal, glued laminated timbre, 2.5% binder, to final disposal type E {CH}</t>
  </si>
  <si>
    <t>995153f6-41f1-4efe-a21f-46fe59d6127d</t>
  </si>
  <si>
    <t>Disposal, glued laminated timbre, 2.5% binder, to municipal waste incineration {CH}</t>
  </si>
  <si>
    <t>d7667c3d-5de7-40b2-9df8-8d55e5b015e4</t>
  </si>
  <si>
    <t>Disposal, granite-acrylresin, to municipal incineration {CH}</t>
  </si>
  <si>
    <t>7acefdd8-e487-4ec8-bbb8-70ab91e4f470</t>
  </si>
  <si>
    <t>Disposal, gravel and sand, as building waste {CH}</t>
  </si>
  <si>
    <t>559b748b-6eef-4096-8fb9-109acf1bdc1d</t>
  </si>
  <si>
    <t>Disposal, gravel, 0.2% water, to construction waste landfill {CH}</t>
  </si>
  <si>
    <t>fabc49d1-577c-4234-910a-2e0f40e84ba5</t>
  </si>
  <si>
    <t>Disposal, green liquor dregs, 25% water, to residual material landfill {CH}</t>
  </si>
  <si>
    <t>0b55d5ac-b73a-4ee2-900f-cf3fe5701600</t>
  </si>
  <si>
    <t>Disposal, ground heat exchanger for appartment buildings, PE ducts {CH}</t>
  </si>
  <si>
    <t>db4c854e-518e-4adc-81d8-fb7638a93806</t>
  </si>
  <si>
    <t>Disposal, ground heat exchanger for office buildings, short: 0.267 m {CH}</t>
  </si>
  <si>
    <t>9997100c-5ee6-434d-9c98-d99d9d3ec196</t>
  </si>
  <si>
    <t>Disposal, ground heat exchanger for office buildings, short: 0.667 m {CH}</t>
  </si>
  <si>
    <t>358940bd-a0bd-4077-86b7-4b4a50915d47</t>
  </si>
  <si>
    <t>Disposal, gypsum block as building waste, to municipal waste incineration {CH}</t>
  </si>
  <si>
    <t>311df2c7-3fb7-4170-b4f4-8d166876733a</t>
  </si>
  <si>
    <t>Disposal, gypsum block, as building waste {CH}</t>
  </si>
  <si>
    <t>f780d26d-961d-4550-b676-4b5320a1bacd</t>
  </si>
  <si>
    <t>Disposal, gypsum board with ivory paper face as building waste, to municipal waste incineration {CH}</t>
  </si>
  <si>
    <t>cb948d4c-d2b7-4c6e-8ccd-c5f1ba46be0e</t>
  </si>
  <si>
    <t>Disposal, gypsum board with ivory paper face, as building waste {CH}</t>
  </si>
  <si>
    <t>2336bffa-8b51-413c-bec9-4425c9c208b3</t>
  </si>
  <si>
    <t>Disposal, gypsum materials as building waste, to final disposal type E {CH}</t>
  </si>
  <si>
    <t>b0c63dd2-c5d4-4f81-8887-4bfad0c11770</t>
  </si>
  <si>
    <t>Disposal, gypsum materials as building waste, to municipal waste incineration {CH}</t>
  </si>
  <si>
    <t>124e129e-b77f-4759-915a-677145d4171e</t>
  </si>
  <si>
    <t>Disposal, gypsum, 19.4% water, to construction waste landfill {CH}</t>
  </si>
  <si>
    <t>d32cfebd-db2a-420d-bc6a-577b9f739ff2</t>
  </si>
  <si>
    <t>Disposal, gypsum, 19.4% water, to sanitary landfill {CH}</t>
  </si>
  <si>
    <t>420612e0-4998-40e0-9f04-92e1f2be752b</t>
  </si>
  <si>
    <t>Disposal, H3PO4 purification residue, 0% water, to residual material landfill {CH}</t>
  </si>
  <si>
    <t>0ce1a71b-4ce6-47ae-bac1-76b73b083bed</t>
  </si>
  <si>
    <t>Disposal, hard coal ash from stove, 0% water, to municipal incineration {CH}</t>
  </si>
  <si>
    <t>db4c8fce-e692-4b2e-a0e7-d08f0bd730c2</t>
  </si>
  <si>
    <t>Disposal, hard coal ash, 0% water, to residual material landfill {AT}</t>
  </si>
  <si>
    <t>f419fd59-6523-40be-8246-1558fe4d0334</t>
  </si>
  <si>
    <t>Disposal, hard coal ash, 0% water, to residual material landfill {BE}</t>
  </si>
  <si>
    <t>1f323bf9-127a-40d8-a574-4dbc3d52393d</t>
  </si>
  <si>
    <t>Disposal, hard coal ash, 0% water, to residual material landfill {CZ}</t>
  </si>
  <si>
    <t>d81412cb-1649-4c48-9d63-4a279682fde7</t>
  </si>
  <si>
    <t>Disposal, hard coal ash, 0% water, to residual material landfill {DE}</t>
  </si>
  <si>
    <t>04d0b024-fbca-4cbc-9237-cfa9f69a1006</t>
  </si>
  <si>
    <t>Disposal, hard coal ash, 0% water, to residual material landfill {ES}</t>
  </si>
  <si>
    <t>b8498ae9-284e-4d9e-8594-6f4939447f89</t>
  </si>
  <si>
    <t>Disposal, hard coal ash, 0% water, to residual material landfill {FR}</t>
  </si>
  <si>
    <t>7a352cc1-4491-4024-8451-c8d5437c68e3</t>
  </si>
  <si>
    <t>Disposal, hard coal ash, 0% water, to residual material landfill {HR}</t>
  </si>
  <si>
    <t>40bc1e25-194f-4d40-bd68-9f9ca47c9b79</t>
  </si>
  <si>
    <t>Disposal, hard coal ash, 0% water, to residual material landfill {IT}</t>
  </si>
  <si>
    <t>87a0e03a-ba71-48f8-a8ed-0777b5c3be47</t>
  </si>
  <si>
    <t>Disposal, hard coal ash, 0% water, to residual material landfill {NL}</t>
  </si>
  <si>
    <t>edff3fa4-8680-4217-98df-99233e485b80</t>
  </si>
  <si>
    <t>Disposal, hard coal ash, 0% water, to residual material landfill {PL}</t>
  </si>
  <si>
    <t>e739f3a2-d0a9-4905-9308-33e8f2d4c543</t>
  </si>
  <si>
    <t>Disposal, hard coal ash, 0% water, to residual material landfill {PT}</t>
  </si>
  <si>
    <t>13999244-080e-41b4-ac64-373e2d0284bf</t>
  </si>
  <si>
    <t>Disposal, hard coal ash, 0% water, to residual material landfill {SK}</t>
  </si>
  <si>
    <t>9d85cce0-50a5-467a-a09b-c52dd6ad3f20</t>
  </si>
  <si>
    <t>6f8566eb-457a-4589-b974-75b0846cb086</t>
  </si>
  <si>
    <t>2e9b12dd-3611-491a-bc92-a33b5874aa73</t>
  </si>
  <si>
    <t>Disposal, heat distribution system, air heating, specific heat demand 10W {CH}</t>
  </si>
  <si>
    <t>10246ffa-63d4-4a45-accd-a89dd0f35cfc</t>
  </si>
  <si>
    <t>Disposal, heat production system, specific heat demand 10W {CH}</t>
  </si>
  <si>
    <t>e1b2afc7-1847-4b8c-b698-e2a16308dd82</t>
  </si>
  <si>
    <t>Disposal, heat production system, specific heat demand 30W {CH}</t>
  </si>
  <si>
    <t>db8e09ad-7f13-4a53-b76f-10a80ea1d4c5</t>
  </si>
  <si>
    <t>Disposal, heat production system, specific heat demand 50W {CH}</t>
  </si>
  <si>
    <t>862c0fe8-5a5e-4bd0-8af7-7da2d1fb3f6c</t>
  </si>
  <si>
    <t>Disposal, heat pump, air-water, 7kW {CH}</t>
  </si>
  <si>
    <t>6d8abbac-2a52-498f-9081-9d8f9500a6a5</t>
  </si>
  <si>
    <t>Disposal, heat pump, air-water, per kg {CH}</t>
  </si>
  <si>
    <t>bb75c7b8-cb0a-45fe-8889-8b3cbffe5a26</t>
  </si>
  <si>
    <t>Disposal, heat pump, brine-water, 7kW {CH}</t>
  </si>
  <si>
    <t>7493dee4-1a7f-410d-b50e-b987b7f83354</t>
  </si>
  <si>
    <t>Disposal, heat pump, brine-water, per kg {CH}</t>
  </si>
  <si>
    <t>e9d5438f-8f73-4330-abd1-6e1b634bcc2a</t>
  </si>
  <si>
    <t>Disposal, heat pump, Limmatschulhaus {CH}</t>
  </si>
  <si>
    <t>e1355b15-00c7-3cd0-be1a-7aefbdd6f73d</t>
  </si>
  <si>
    <t>Disposal, heating-cooling ceiling, capillary tube mat {CH}</t>
  </si>
  <si>
    <t>8671ce39-e2f0-404b-beb5-45f9c140dac3</t>
  </si>
  <si>
    <t>Disposal, heating-cooling ceiling, metal {CH}</t>
  </si>
  <si>
    <t>c593d9c6-0a23-4c84-b0ce-22fa19f5a339</t>
  </si>
  <si>
    <t>Disposal, heating-cooling ceiling, plasterboard {CH}</t>
  </si>
  <si>
    <t>2ec4486b-cba0-4771-8ff6-c741434009ea</t>
  </si>
  <si>
    <t>Disposal, hemp lime concrete {CH}</t>
  </si>
  <si>
    <t>construction materials\hemp lime concrete</t>
  </si>
  <si>
    <t>ed5c2271-7ad0-35a8-b6fd-b84e2a130f4d</t>
  </si>
  <si>
    <t>Disposal, high pressure laminate outdoor use, as building waste {CH}</t>
  </si>
  <si>
    <t>2950c621-527d-4952-8859-cbda5b2c34bf</t>
  </si>
  <si>
    <t>Disposal, high pressure laminate outdoor use, to municipal waste incineration {CH}</t>
  </si>
  <si>
    <t>f56a0c77-7085-4fab-8c40-19157076d1b8</t>
  </si>
  <si>
    <t>Disposal, ICE {DE}</t>
  </si>
  <si>
    <t>876cb063-8b88-4171-94d0-ca1e388c1b91</t>
  </si>
  <si>
    <t>Disposal, industrial devices, to WEEE treatment {CH}</t>
  </si>
  <si>
    <t>75aede4f-36f3-49e0-8e4e-1e284e0c9e17</t>
  </si>
  <si>
    <t>Disposal, industrial flooring 2K, as building waste {CH}</t>
  </si>
  <si>
    <t>d1fe3aae-c6db-42ff-9ea7-43f8eff8f352</t>
  </si>
  <si>
    <t>Disposal, inert material, 0% water, to sanitary landfill {CH}</t>
  </si>
  <si>
    <t>06b79ab9-2ea0-4ea2-8e0c-d06c96a0cd84</t>
  </si>
  <si>
    <t>2be08541-6444-47e0-9d93-5fc9f7e3e9c8</t>
  </si>
  <si>
    <t>Disposal, insulation spiral-seam duct, rockwool, DN 400, 30 mm {CH}</t>
  </si>
  <si>
    <t>a4921bc0-b0a9-4980-8811-03d498dbde8d</t>
  </si>
  <si>
    <t>Disposal, internal combustion engine, for passenger car {RER}</t>
  </si>
  <si>
    <t>e05efc01-a536-3337-a408-aa2241f2fbe9</t>
  </si>
  <si>
    <t>Disposal, keyboard, standard version, to WEEE treatment {CH}</t>
  </si>
  <si>
    <t>df0aabd4-62bd-4f41-9ad0-7b628573bc65</t>
  </si>
  <si>
    <t>Disposal, kitchen cupboard, front profile melamin resin {CH}</t>
  </si>
  <si>
    <t>c4bc647a-930b-3f90-af55-5e0cbb5d252d</t>
  </si>
  <si>
    <t>Disposal, kitchen cupboard, front profile metal {CH}</t>
  </si>
  <si>
    <t>6d882021-d75c-3872-83f3-1360fa88827b</t>
  </si>
  <si>
    <t>Disposal, kitchen cupboard, front profile paint {CH}</t>
  </si>
  <si>
    <t>58ad1b7f-7c69-353f-ae29-a02c6e444644</t>
  </si>
  <si>
    <t>Disposal, kitchen cupboard, front profile solid wood {CH}</t>
  </si>
  <si>
    <t>e7786cdd-1698-3ce7-99e4-b294afb8f049</t>
  </si>
  <si>
    <t>Disposal, kitchen cupboard, front profile wood {CH}</t>
  </si>
  <si>
    <t>1f01eb3a-6535-328c-82b9-33e122153ada</t>
  </si>
  <si>
    <t>Disposal, kitchen worktop, aluminiumtrihydroxide-acrylic glass, as building waste {CH}</t>
  </si>
  <si>
    <t>7782d76a-1032-479f-b856-978235377902</t>
  </si>
  <si>
    <t>Disposal, kitchen worktop, chromium steel, high-end, as building waste {CH}</t>
  </si>
  <si>
    <t>3ad20773-7d6d-415d-9cb1-b4303e1813ee</t>
  </si>
  <si>
    <t>Disposal, kitchen worktop, chromium steel, standard, as building waste {CH}</t>
  </si>
  <si>
    <t>a91b1bcb-6d4c-4245-b598-5371c918d9c6</t>
  </si>
  <si>
    <t>Disposal, kitchen worktop, solid wood, as building waste {CH}</t>
  </si>
  <si>
    <t>54d5ea14-796d-4628-9607-4110bd5eea52</t>
  </si>
  <si>
    <t>Disposal, kitchen, front profile metal, as building waste {CH}</t>
  </si>
  <si>
    <t>abe2f845-8049-4903-93ef-c44981bff4a5</t>
  </si>
  <si>
    <t>Disposal, kitchen, front profile particle board, as building waste {CH}</t>
  </si>
  <si>
    <t>345ceb9f-be65-4b3f-a9db-fe1ddd8a421a</t>
  </si>
  <si>
    <t>Disposal, kitchen, front profile solid wood, as building waste {CH}</t>
  </si>
  <si>
    <t>c110fff6-621b-4aaa-8ed0-f7b61448853e</t>
  </si>
  <si>
    <t>Disposal, kraft paper, as building waste {CH}</t>
  </si>
  <si>
    <t>572bd0e1-16ea-4c99-b854-0855e522e2cd</t>
  </si>
  <si>
    <t>Disposal, laminate flooring 5% binder as building waste, to final disposal type E {CH}</t>
  </si>
  <si>
    <t>718de3ef-51dc-4b13-8fb7-1610c964db0f</t>
  </si>
  <si>
    <t>Disposal, laminate flooring 5% binder as building waste, to municipal waste incineration {CH}</t>
  </si>
  <si>
    <t>dbce35e7-6bd0-4184-ac28-06ddeb894bc6</t>
  </si>
  <si>
    <t>Disposal, laminate flooring, 5% binder, as building waste {CH}</t>
  </si>
  <si>
    <t>46c1ba5b-b5a6-4abf-9d91-448500fe9cd4</t>
  </si>
  <si>
    <t>Disposal, laptop computer, to WEEE treatment {CH}</t>
  </si>
  <si>
    <t>2332c6d2-16da-4187-aa72-29e8e1235ef9</t>
  </si>
  <si>
    <t>Disposal, LCD module,  to municipal waste incineration {CH}</t>
  </si>
  <si>
    <t>67ab7964-00b2-41d5-9ff1-1aa29b2354ea</t>
  </si>
  <si>
    <t>Disposal, lead in car shredder residue, 0% water, to municipal incineration {CH}</t>
  </si>
  <si>
    <t>d96f102f-c53e-4b1f-824a-ead18a29991e</t>
  </si>
  <si>
    <t>Disposal, lead smelter slag, 0% water, to residual material landfill {GLO}</t>
  </si>
  <si>
    <t>8adee341-8fc9-4369-9d86-94afdf916d9d</t>
  </si>
  <si>
    <t>Disposal, Li-ions batteries, hydrometallurgical {GLO}</t>
  </si>
  <si>
    <t>52097b11-de7d-47ca-98fc-fd462c3b8fcf</t>
  </si>
  <si>
    <t>Disposal, Li-ions batteries, mixed technology {GLO}</t>
  </si>
  <si>
    <t>74817152-7fd9-4177-8a26-8de14e680098</t>
  </si>
  <si>
    <t>Disposal, Li-ions batteries, pyrometallurgical {GLO}</t>
  </si>
  <si>
    <t>188856e2-076e-488a-b733-36d6f4cd400e</t>
  </si>
  <si>
    <t>Disposal, lignite ash from stove, 0% water, to municipal incineration {CH}</t>
  </si>
  <si>
    <t>9c19b5bf-4c26-4c97-a7c6-e54c385a8397</t>
  </si>
  <si>
    <t>Disposal, lignite ash, 0% water, to opencast refill {AT}</t>
  </si>
  <si>
    <t>e4e2e5d1-7e8c-4ee7-b001-146a7d3d82b7</t>
  </si>
  <si>
    <t>Disposal, lignite ash, 0% water, to opencast refill {BA}</t>
  </si>
  <si>
    <t>7d282d6d-e568-44d4-8357-e238e557bb2f</t>
  </si>
  <si>
    <t>Disposal, lignite ash, 0% water, to opencast refill {CS}</t>
  </si>
  <si>
    <t>c5f634ab-83fd-4bbc-af8a-98662ff59f95</t>
  </si>
  <si>
    <t>Disposal, lignite ash, 0% water, to opencast refill {CZ}</t>
  </si>
  <si>
    <t>b88c2878-8262-4c75-921e-96346e94c7ac</t>
  </si>
  <si>
    <t>Disposal, lignite ash, 0% water, to opencast refill {DE}</t>
  </si>
  <si>
    <t>6dc70c0a-8316-4ffc-a152-28a8105f3ade</t>
  </si>
  <si>
    <t>Disposal, lignite ash, 0% water, to opencast refill {ES}</t>
  </si>
  <si>
    <t>f584f285-8366-43b0-bb09-d280e9502726</t>
  </si>
  <si>
    <t>Disposal, lignite ash, 0% water, to opencast refill {FR}</t>
  </si>
  <si>
    <t>d5323715-4e43-4024-8bf8-2f434f92a97d</t>
  </si>
  <si>
    <t>Disposal, lignite ash, 0% water, to opencast refill {GR}</t>
  </si>
  <si>
    <t>48d841f7-2de8-4036-a09a-52bacb6b5405</t>
  </si>
  <si>
    <t>Disposal, lignite ash, 0% water, to opencast refill {HU}</t>
  </si>
  <si>
    <t>40946f12-8120-4784-b922-8d0c1be955c9</t>
  </si>
  <si>
    <t>Disposal, lignite ash, 0% water, to opencast refill {MK}</t>
  </si>
  <si>
    <t>20db29f1-5b7c-484d-892c-c63cea130d2a</t>
  </si>
  <si>
    <t>Disposal, lignite ash, 0% water, to opencast refill {PL}</t>
  </si>
  <si>
    <t>4c5feadd-69bf-4282-a59e-127a5d5a4c7f</t>
  </si>
  <si>
    <t>Disposal, lignite ash, 0% water, to opencast refill {SI}</t>
  </si>
  <si>
    <t>e3cebe3c-0344-45ba-8d2b-e060fb7b1426</t>
  </si>
  <si>
    <t>Disposal, lignite ash, 0% water, to opencast refill {SK}</t>
  </si>
  <si>
    <t>48c6464c-2d30-48db-86cf-a84cdbf19fd0</t>
  </si>
  <si>
    <t>Disposal, limestone residue, 5% water, to construction waste landfill {CH}</t>
  </si>
  <si>
    <t>941425e7-ad7c-452f-b2bb-3afa1ed0b47f</t>
  </si>
  <si>
    <t>Disposal, linoleum flooring, 15% binder, as building waste {CH}</t>
  </si>
  <si>
    <t>b503def4-e4e1-4dae-a2c3-f1b4deac49c3</t>
  </si>
  <si>
    <t>Disposal, locomotive {RER}</t>
  </si>
  <si>
    <t>901f899e-3660-464e-8213-ba238dd431b3</t>
  </si>
  <si>
    <t>Disposal, long-distance train {CH}</t>
  </si>
  <si>
    <t>c76e1273-d1ca-4c50-bbc6-295a976b063a</t>
  </si>
  <si>
    <t>Disposal, lorry 16t {CH}</t>
  </si>
  <si>
    <t>510aa2c1-3d9f-40a1-938a-2d397443dd74</t>
  </si>
  <si>
    <t>Disposal, lorry 28t {CH}</t>
  </si>
  <si>
    <t>3f16b5f7-318a-4cc5-8c22-d41f7b47e549</t>
  </si>
  <si>
    <t>Disposal, lorry 40t {CH}</t>
  </si>
  <si>
    <t>72fd7eaf-8a74-46d9-9961-6e522456ac01</t>
  </si>
  <si>
    <t>Disposal, mastic asphalt, as building waste {CH}</t>
  </si>
  <si>
    <t>328532a2-c339-4cdd-935a-66e692474616</t>
  </si>
  <si>
    <t>Disposal, medium density fibre board 15% binder as building waste, exported to incineration {RER}</t>
  </si>
  <si>
    <t>c09ea8f7-1618-4fae-b163-15742c4c0db3</t>
  </si>
  <si>
    <t>Disposal, medium density fibre board 15% binder as building waste, to final disposal type E {CH}</t>
  </si>
  <si>
    <t>0575c4d1-170c-47dd-beda-5fbf917376fe</t>
  </si>
  <si>
    <t>Disposal, medium density fibre board 15% binder as building waste, to municipal waste incineration {CH}</t>
  </si>
  <si>
    <t>c4c93370-f310-4976-ba75-df3ba5f54bca</t>
  </si>
  <si>
    <t>Disposal, medium density fibre board 15% binder, as building waste {CH}</t>
  </si>
  <si>
    <t>733c4333-7c07-45fb-a65e-9e99e2494fe0</t>
  </si>
  <si>
    <t>Disposal, melamin coated kitchen worktop, as building waste {CH}</t>
  </si>
  <si>
    <t>fd2acc86-e991-4b49-9835-309cf06770d5</t>
  </si>
  <si>
    <t>Disposal, mineral thermal insulation as construction waste, to final disposal type E {CH}</t>
  </si>
  <si>
    <t>d582f138-8e5c-4d0c-bb76-059687190379</t>
  </si>
  <si>
    <t>Disposal, mineral thermal insulation as construction waste, to municipal waste incineration {CH}</t>
  </si>
  <si>
    <t>599ab149-6675-4bbb-9199-bb6d1cb83a69</t>
  </si>
  <si>
    <t>Disposal, mineral thermal insulation, as building waste {CH}</t>
  </si>
  <si>
    <t>e58d68fa-3034-46ba-9101-cb9d9f25a0a2</t>
  </si>
  <si>
    <t>Disposal, mineral wall cladding, limestone, as building waste {CH}</t>
  </si>
  <si>
    <t>59794895-587e-4173-b0da-874a85f5c38d</t>
  </si>
  <si>
    <t>Disposal, mineral wool insulation 100mm, cladding with aluminium sheet {CH}</t>
  </si>
  <si>
    <t>63f15ca6-9be9-4568-a484-6e14277abb78</t>
  </si>
  <si>
    <t>Disposal, mineral wool insulation 100mm, cladding with reinforced alumium foil {CH}</t>
  </si>
  <si>
    <t>0f0d0b21-0f8f-46fc-accf-b0944ada0708</t>
  </si>
  <si>
    <t>Disposal, mineral wool insulation 100mm, cladding with structured aluminium foil {CH}</t>
  </si>
  <si>
    <t>573e6b28-ea9d-4357-a180-ca9e2a616b0c</t>
  </si>
  <si>
    <t>Disposal, mineral wool insulation 40mm, cladding with aluminium sheet {CH}</t>
  </si>
  <si>
    <t>88c5d23d-0cf4-4cf5-a87f-315c1d330269</t>
  </si>
  <si>
    <t>Disposal, mineral wool insulation 40mm, cladding with reinforced alumium foil {CH}</t>
  </si>
  <si>
    <t>352df4a2-7ccc-4c34-9156-382a5cd1736d</t>
  </si>
  <si>
    <t>Disposal, mineral wool insulation 40mm, cladding with structured aluminium foil {CH}</t>
  </si>
  <si>
    <t>0d7c2dee-8078-48a7-96d7-8c64e12f7b11</t>
  </si>
  <si>
    <t>Disposal, mineral wool insulation 50mm, cladding with aluminium sheet {CH}</t>
  </si>
  <si>
    <t>400bdd66-bf62-4904-a5f1-12931de946ce</t>
  </si>
  <si>
    <t>Disposal, mineral wool insulation 50mm, cladding with reinforced alumium foil {CH}</t>
  </si>
  <si>
    <t>da909c04-0f47-4446-8fa3-6680ef3bd96b</t>
  </si>
  <si>
    <t>Disposal, mineral wool insulation 50mm, cladding with structured aluminium foil {CH}</t>
  </si>
  <si>
    <t>74adf5eb-8c90-4e26-aaaa-f1a5548b59dc</t>
  </si>
  <si>
    <t>Disposal, mineral wool insulation 60mm, cladding with aluminium sheet {CH}</t>
  </si>
  <si>
    <t>604c1bfd-7367-42de-824f-43e6feee2ba3</t>
  </si>
  <si>
    <t>Disposal, mineral wool insulation 60mm, cladding with reinforced alumium foil {CH}</t>
  </si>
  <si>
    <t>d6ed3bb6-e2fb-4da0-927f-2c4b1b9af69f</t>
  </si>
  <si>
    <t>Disposal, mineral wool insulation 60mm, cladding with structured aluminium foil {CH}</t>
  </si>
  <si>
    <t>9f698994-0b28-4c74-8b30-ede090b575cf</t>
  </si>
  <si>
    <t>Disposal, mineral wool insulation 80mm, cladding with aluminium sheet {CH}</t>
  </si>
  <si>
    <t>98d1291d-2158-4cc6-968e-8f288fd0e1b5</t>
  </si>
  <si>
    <t>Disposal, mineral wool insulation 80mm, cladding with reinforced alumium foil {CH}</t>
  </si>
  <si>
    <t>4bca187f-a076-4df7-a733-8512d48202e6</t>
  </si>
  <si>
    <t>Disposal, mineral wool insulation 80mm, cladding with structured aluminium foil {CH}</t>
  </si>
  <si>
    <t>abdaf23e-6ca0-4c3f-a852-a2d8ad1dab90</t>
  </si>
  <si>
    <t>Disposal, mineral wool insulation with PVC cladding, insulation thickness 100mm {CH}</t>
  </si>
  <si>
    <t>889edfe6-f104-4187-aba9-153a114f251c</t>
  </si>
  <si>
    <t>Disposal, mineral wool insulation with PVC cladding, insulation thickness 40mm {CH}</t>
  </si>
  <si>
    <t>4e85a047-0d77-4051-a30a-656f4d8db72d</t>
  </si>
  <si>
    <t>Disposal, mineral wool insulation with PVC cladding, insulation thickness 50mm {CH}</t>
  </si>
  <si>
    <t>075fda6f-eae7-4dba-8e37-16d135d282d9</t>
  </si>
  <si>
    <t>Disposal, mineral wool insulation with PVC cladding, insulation thickness 60mm {CH}</t>
  </si>
  <si>
    <t>dd48de83-6486-4b8a-af9d-40c05486ec50</t>
  </si>
  <si>
    <t>Disposal, mineral wool insulation with PVC cladding, insulation thickness 80mm {CH}</t>
  </si>
  <si>
    <t>3bd87b9d-72c9-4425-b717-5022372b39a8</t>
  </si>
  <si>
    <t>Disposal, mineral wool, 0% water, to construction waste landfill {CH}</t>
  </si>
  <si>
    <t>248ed302-3b4d-4a0b-a3f9-f3982be54e5d</t>
  </si>
  <si>
    <t>Disposal, mixed demolition, at plant {CH}</t>
  </si>
  <si>
    <t>d25c4b44-285d-4122-8a63-f271628e14f1</t>
  </si>
  <si>
    <t>Disposal, mouse device, optical, with cable, to WEEE treatment {CH}</t>
  </si>
  <si>
    <t>e1d4eaae-69a6-42e6-8ca5-7ada6b62ec73</t>
  </si>
  <si>
    <t>Disposal, multicolumn radiator {CH}</t>
  </si>
  <si>
    <t>17dbfe84-e6c9-4048-adb3-db32c21997eb</t>
  </si>
  <si>
    <t>061ad0be-0da4-4a9f-8e90-4f133c3c3b35</t>
  </si>
  <si>
    <t>Disposal, municipal solid waste, 22.9% water, to sanitary landfill {CH}</t>
  </si>
  <si>
    <t>d945c4fe-a169-4132-930c-94d1be1116ea</t>
  </si>
  <si>
    <t>Disposal, natural gas pipeline, 0% water, to construction waste landfill {CH}</t>
  </si>
  <si>
    <t>4a9ac923-e819-4e8b-9da1-fc3fc7e48e20</t>
  </si>
  <si>
    <t>Disposal, natural organic-anorganic compound materials as construction waste, to municipal waste incineration {CH}</t>
  </si>
  <si>
    <t>e99790fc-5e7a-4150-94f7-e21c708145ff</t>
  </si>
  <si>
    <t>Disposal, natural rubber flooring as building waste, to municipal waste incineration {CH}</t>
  </si>
  <si>
    <t>7f320447-4537-48b2-a6d4-402c25b8717d</t>
  </si>
  <si>
    <t>Disposal, natural rubber flooring, as building waste {CH}</t>
  </si>
  <si>
    <t>ca385e4b-01bb-4c86-9f4b-a67f28103358</t>
  </si>
  <si>
    <t>Disposal, natural stone tiles, as building waste {CH}</t>
  </si>
  <si>
    <t>155afe50-eda4-4357-b6ad-c38dc055fc6e</t>
  </si>
  <si>
    <t>Disposal, needle felt carpet, as building waste {CH}</t>
  </si>
  <si>
    <t>617a4d4e-0c90-4933-a6b3-e72b562e8785</t>
  </si>
  <si>
    <t>Disposal, newspaper, 14.7% water, to municipal incineration {CH}</t>
  </si>
  <si>
    <t>e5c86db7-715d-4ef0-875e-569428335679</t>
  </si>
  <si>
    <t>Disposal, newspaper, 14.7% water, to sanitary landfill {CH}</t>
  </si>
  <si>
    <t>44a7e483-eb5e-4b76-9585-caebf1e6f5ed</t>
  </si>
  <si>
    <t>Disposal, nickel smelter slag, 0% water, to residual material landfill {CH}</t>
  </si>
  <si>
    <t>cce6c130-cdff-46a1-b833-2367b7a71967</t>
  </si>
  <si>
    <t>Disposal, NiMH batteries {GLO}</t>
  </si>
  <si>
    <t>cbf43d46-5efa-4b34-865d-3af5e1f4741f</t>
  </si>
  <si>
    <t>Disposal, non-ferrous metals, as building waste {CH}</t>
  </si>
  <si>
    <t>dd5bb8e5-0f4f-4ff5-912c-558bcef209fe</t>
  </si>
  <si>
    <t>Disposal, non-specific mineral building materials, as building waste {CH}</t>
  </si>
  <si>
    <t>0920d915-49ba-4b95-8b20-43e5eca90b71</t>
  </si>
  <si>
    <t>Disposal, non-sulfidic overburden, off-site {GLO}</t>
  </si>
  <si>
    <t>314f2efe-06ba-4864-826a-449ed9200162</t>
  </si>
  <si>
    <t>Disposal, non-sulfidic tailings, off-site {GLO}</t>
  </si>
  <si>
    <t>6a24b9f4-1c35-4293-bc2b-ceb264aff2ed</t>
  </si>
  <si>
    <t>Disposal, organic-anorganic compound materials as building waste, to sanitary landfill {CH}</t>
  </si>
  <si>
    <t>7b442f07-fbce-4384-9716-3ec034586e95</t>
  </si>
  <si>
    <t>Disposal, organic-mineral composite materials, as building waste {CH}</t>
  </si>
  <si>
    <t>53bf7507-a1f2-4097-aa50-de844e03a94e</t>
  </si>
  <si>
    <t>Disposal, organic floor covering as construction waste, to municipal waste incineration, synthetic rubber {CH}</t>
  </si>
  <si>
    <t>de8c848b-8187-4963-b56e-401f6ddb7db9</t>
  </si>
  <si>
    <t>Disposal, organic floor covering as construction waste, to sanitary landfill, cork {CH}</t>
  </si>
  <si>
    <t>eccd4e83-a379-4b06-b0d8-53bb57c1b9a7</t>
  </si>
  <si>
    <t>Disposal, organic floor covering as construction waste, to sanitary landfill, synthetic rubber {CH}</t>
  </si>
  <si>
    <t>85d384f5-fba5-4a48-8950-01f7beceffc7</t>
  </si>
  <si>
    <t>Disposal, outside air intake, stainless steel, DN 370 {CH}</t>
  </si>
  <si>
    <t>724ecdfe-4d8e-42c1-aeb4-f0744f4d3602</t>
  </si>
  <si>
    <t>Disposal, overflow element, steel, approx. 40 m3/h {CH}</t>
  </si>
  <si>
    <t>7cf7b6f3-3d1c-47e3-b55d-706a54502ae2</t>
  </si>
  <si>
    <t>Disposal, packaging cardboard, 19.6% water, to construction waste landfill {CH}</t>
  </si>
  <si>
    <t>db67fd55-4579-49fe-8cde-5fe99e62c4fd</t>
  </si>
  <si>
    <t>Disposal, packaging cardboard, 19.6% water, to municipal incineration {CH}</t>
  </si>
  <si>
    <t>bfb79163-9a45-489e-bd17-5f807cd26f0f</t>
  </si>
  <si>
    <t>Disposal, packaging cardboard, 19.6% water, to sanitary landfill {CH}</t>
  </si>
  <si>
    <t>dafa2367-62cf-4ecb-9d3c-09ddbff27c2e</t>
  </si>
  <si>
    <t>Disposal, packaging paper, 13.7% water, to municipal incineration {CH}</t>
  </si>
  <si>
    <t>f14ec39c-0806-4fe0-ba59-2ee0d1f11173</t>
  </si>
  <si>
    <t>Disposal, paint remains, 0% water, to construction waste landfill {CH}</t>
  </si>
  <si>
    <t>bd53155c-236a-4614-8ac0-efc51388d9e0</t>
  </si>
  <si>
    <t>Disposal, paint remains, 0% water, to hazardous waste incineration {CH}</t>
  </si>
  <si>
    <t>c36e82c0-d3c0-428e-a133-8d8da0f81f83</t>
  </si>
  <si>
    <t>Disposal, paint, 0% water, to municipal incineration {CH}</t>
  </si>
  <si>
    <t>045e9dab-95e1-4aaa-9d37-b2c0ebeb88d9</t>
  </si>
  <si>
    <t>Disposal, paint, 0% water, to sanitary landfill {CH}</t>
  </si>
  <si>
    <t>8044d99b-e07b-4a80-9312-8b5bcc8e2b2e</t>
  </si>
  <si>
    <t>Disposal, paint, 1 coat, as building waste {CH}</t>
  </si>
  <si>
    <t>b3d59e1e-07f2-43a3-8dc1-51aca74933e2</t>
  </si>
  <si>
    <t>Disposal, paint, 2 coats, as building waste {CH}</t>
  </si>
  <si>
    <t>27776006-f965-46b6-b04b-0a87219d8579</t>
  </si>
  <si>
    <t>Disposal, paper as building waste, to municipal waste incineration {CH}</t>
  </si>
  <si>
    <t>d4edc234-e7e7-4bd8-a52b-e8a2a5196fdf</t>
  </si>
  <si>
    <t>Disposal, paper as construction waste, to final disposal type E {CH}</t>
  </si>
  <si>
    <t>1196507f-063e-4275-bd1a-a54c9d26d34a</t>
  </si>
  <si>
    <t>Disposal, paper, 11.2% water, to municipal incineration {CH}</t>
  </si>
  <si>
    <t>46eeff89-f26d-44ad-91ac-9974927741c0</t>
  </si>
  <si>
    <t>Disposal, paper, 11.2% water, to sanitary landfill {CH}</t>
  </si>
  <si>
    <t>73157ac3-d1d9-4c9e-8a75-98328242167c</t>
  </si>
  <si>
    <t>Disposal, paper, as building waste {CH}</t>
  </si>
  <si>
    <t>ae9a61e8-afc5-4dfd-a127-eb821604ab66</t>
  </si>
  <si>
    <t>Disposal, particle board, melamin coated (200 g/m2) {CH}</t>
  </si>
  <si>
    <t>64fbb443-eb9c-335f-b5f9-ec33d64b03a5</t>
  </si>
  <si>
    <t>Disposal, particle board, melamin coated (90 g/m2) {CH}</t>
  </si>
  <si>
    <t>6aab12d3-8ee1-3795-9d4f-717955398ef7</t>
  </si>
  <si>
    <t>Disposal, particle board, veneered {CH}</t>
  </si>
  <si>
    <t>14465778-8116-3e50-833e-c6f70da93648</t>
  </si>
  <si>
    <t>Disposal, passenger car {RER}</t>
  </si>
  <si>
    <t>adec71af-053d-469e-9792-0761162fdff5</t>
  </si>
  <si>
    <t>Disposal, passenger car, diesel EURO5, city car {RER}</t>
  </si>
  <si>
    <t>541db91d-4f3a-4394-b777-d50d4643a87b</t>
  </si>
  <si>
    <t>Disposal, passenger car, electric, city car, without battery {RER}</t>
  </si>
  <si>
    <t>dbc15a96-fce4-4659-92ff-51bff5f6e974</t>
  </si>
  <si>
    <t>Disposal, passenger car, electric, LiMn2O4, city car {RER}</t>
  </si>
  <si>
    <t>2b87e6ca-434b-49ee-a42a-33fc94232792</t>
  </si>
  <si>
    <t>Disposal, PE 50% flame retarded, to municipal waste incineration {CH}</t>
  </si>
  <si>
    <t>6766d146-d07c-44e0-b0d9-7f571b59ffe1</t>
  </si>
  <si>
    <t>Disposal, PE sealing sheet, 4% water, to municipal incineration {CH}</t>
  </si>
  <si>
    <t>fba06f32-c976-4172-8582-899c2d0e9e47</t>
  </si>
  <si>
    <t>Disposal, PE sealing sheet, as building waste {CH}</t>
  </si>
  <si>
    <t>e328890f-0af3-4ab8-af91-27d3c215baea</t>
  </si>
  <si>
    <t>Disposal, pipe, stainless steel {CH}</t>
  </si>
  <si>
    <t>d4a1094c-dd95-4b21-ad40-0179fb5590b8</t>
  </si>
  <si>
    <t>Disposal, PIR insulation with PVC cladding, insulation thickness 30mm {CH}</t>
  </si>
  <si>
    <t>1cfb8d0a-9e8b-4fcf-90ed-34e75b053ca5</t>
  </si>
  <si>
    <t>Disposal, PIR insulation with PVC cladding, insulation thickness 40mm {CH}</t>
  </si>
  <si>
    <t>c650253c-fa2b-481c-8827-a079c42895d3</t>
  </si>
  <si>
    <t>Disposal, PIR insulation with PVC cladding, insulation thickness 50mm {CH}</t>
  </si>
  <si>
    <t>17801387-4122-4de8-9c94-8d0a63e0e450</t>
  </si>
  <si>
    <t>Disposal, PIR insulation with PVC cladding, insulation thickness 60mm {CH}</t>
  </si>
  <si>
    <t>582e5c05-f521-4438-8523-75beeb42efcb</t>
  </si>
  <si>
    <t>Disposal, PIR insulation with PVC cladding, insulation thickness 80mm {CH}</t>
  </si>
  <si>
    <t>f48f7b06-2503-4c2a-886b-a24b60022693</t>
  </si>
  <si>
    <t>Disposal, plaster, mortar, as building waste {CH}</t>
  </si>
  <si>
    <t>5f050e77-2878-466b-b0e8-1d59da8da227</t>
  </si>
  <si>
    <t>Disposal, plastic conduits, as building waste {CH}</t>
  </si>
  <si>
    <t>bdf82b27-b28f-4312-87c0-f875f7702a23</t>
  </si>
  <si>
    <t>Disposal, plastic plaster {CH}</t>
  </si>
  <si>
    <t>ba4289fa-3b54-45af-aa4f-197b41297a15</t>
  </si>
  <si>
    <t>Disposal, plastic plaster, 0% water, to construction waste landfill {CH}</t>
  </si>
  <si>
    <t>395c8e16-fc60-4de8-9544-483ab9b80f7b</t>
  </si>
  <si>
    <t>Disposal, plastic plaster, 0% water, to sanitary landfill {CH}</t>
  </si>
  <si>
    <t>8f5fe6ba-5a3e-4ee7-aa65-77ff99e0cd30</t>
  </si>
  <si>
    <t>Disposal, plastic, consumer electronics, 15.3% water, to municipal incineration {CH}</t>
  </si>
  <si>
    <t>a9dadfda-ee97-493f-999c-e45758089253</t>
  </si>
  <si>
    <t>Disposal, plastic, industr. electronics, 15.3% water, to municipal incineration {CH}</t>
  </si>
  <si>
    <t>af32c0d6-0595-424a-936d-4b0b54a3f8d7</t>
  </si>
  <si>
    <t>Disposal, plastics as construction waste, to final disposal type E {CH}</t>
  </si>
  <si>
    <t>99eebee4-a5a8-4230-8cd4-14c2ccf7b76e</t>
  </si>
  <si>
    <t>Disposal, plastics as construction waste, to municipal waste incineration {CH}</t>
  </si>
  <si>
    <t>bb6654d1-1297-42ad-8455-3939daa491e1</t>
  </si>
  <si>
    <t>Disposal, plastics bucket 18 l {CH}</t>
  </si>
  <si>
    <t>2ea4b8eb-1e56-3624-b5d1-1588087db428</t>
  </si>
  <si>
    <t>Disposal, plastics conduits ABS as building waste, to municipal waste incineration {CH}</t>
  </si>
  <si>
    <t>a860090f-193e-4fca-80f4-e49a89271a0d</t>
  </si>
  <si>
    <t>Disposal, plastics conduits ABS, as building waste {CH}</t>
  </si>
  <si>
    <t>90d54e30-3feb-4b3b-94f2-b0a7d47c245e</t>
  </si>
  <si>
    <t>Disposal, plastics conduits as building waste, to municipal waste incineration {CH}</t>
  </si>
  <si>
    <t>0032afa5-e71a-4470-a197-396ad6133daf</t>
  </si>
  <si>
    <t>Disposal, plastics conduits PE or PP as building waste, to municipal waste incineration {CH}</t>
  </si>
  <si>
    <t>874c27dc-917e-4f2c-893d-44d9e73bec61</t>
  </si>
  <si>
    <t>Disposal, plastics conduits PE or PP, as building waste {CH}</t>
  </si>
  <si>
    <t>54ac0c9d-8229-4cb2-b9bc-365e16b668b2</t>
  </si>
  <si>
    <t>Disposal, plastics conduits polyvinylchloride, as building waste {CH}</t>
  </si>
  <si>
    <t>865723f0-921f-4974-8463-1c31ccc809b5</t>
  </si>
  <si>
    <t>Disposal, plastics conduits PVC as building waste, to municipal waste incineration {CH}</t>
  </si>
  <si>
    <t>598144c3-df1d-43bb-9dc0-c91ef7718abc</t>
  </si>
  <si>
    <t>Disposal, plastics containing nitrogen (ABS, PU, polyamide), as building waste {CH}</t>
  </si>
  <si>
    <t>590abce7-523d-4cf2-9843-41c84c5167b4</t>
  </si>
  <si>
    <t>Disposal, plastics containing nitrogen (PU, polyamide) as building waste, to final disposal type E {CH}</t>
  </si>
  <si>
    <t>84d9eeb4-d754-49c1-978d-1c5f68505515</t>
  </si>
  <si>
    <t>Disposal, plastics containing nitrogen (PU, polyamide) as building waste, to municipal waste incineration {CH}</t>
  </si>
  <si>
    <t>cb060e53-8f78-4e15-bcec-7b90480c0c91</t>
  </si>
  <si>
    <t>Disposal, plastics containing nitrogen (PU, polyamide), 40% filled as building waste, to municipal waste incineration {CH}</t>
  </si>
  <si>
    <t>7589f31c-06ec-4c34-aee0-10a3d6f694bd</t>
  </si>
  <si>
    <t>Disposal, plastics containing nitrogen (PU, polyamide), 60% filled as building waste, to municipal waste incineration {CH}</t>
  </si>
  <si>
    <t>83b0dd3f-7167-43b0-a94e-bb5b9c4f7dd4</t>
  </si>
  <si>
    <t>Disposal, plastics mixture, as building waste {CH}</t>
  </si>
  <si>
    <t>08731d95-bec3-4a70-92c4-03df0655595a</t>
  </si>
  <si>
    <t>Disposal, plastics polyvinylchloride, as building waste {CH}</t>
  </si>
  <si>
    <t>f8dd8235-1439-4159-a009-ae3739f93323</t>
  </si>
  <si>
    <t>3cef9fc0-0cf8-42ba-88f5-0ff65ef6169f</t>
  </si>
  <si>
    <t>Disposal, plastics, mixture, 15.3% water, to sanitary landfill {CH}</t>
  </si>
  <si>
    <t>e8828bdf-675f-4add-933f-66d2ed424341</t>
  </si>
  <si>
    <t>Disposal, pollutants from rail ballast, 0% water, to residual material landfill {CH}</t>
  </si>
  <si>
    <t>8391250f-bb2f-4c9b-abef-0a2a7f383e3a</t>
  </si>
  <si>
    <t>Disposal, polyethylene terephtalate, 0.2% water, to municipal incineration {CH}</t>
  </si>
  <si>
    <t>43268043-3dcf-45a5-ac35-45ea38d1412c</t>
  </si>
  <si>
    <t>Disposal, polyethylene, 0.4% water, to municipal incineration {CH}</t>
  </si>
  <si>
    <t>418f911c-33e1-4fe6-a3d4-6c4b7974f139</t>
  </si>
  <si>
    <t>Disposal, polyethylene, 0.4% water, to sanitary landfill {CH}</t>
  </si>
  <si>
    <t>0efe3d57-8aa2-4e6d-897e-ffa27f11c65e</t>
  </si>
  <si>
    <t>Disposal, polyethylene/polypropylene products, to municipal waste incineration {CH}</t>
  </si>
  <si>
    <t>1f45147c-a4b8-497d-aeb6-a25143be761a</t>
  </si>
  <si>
    <t>Disposal, polyolefin flooring, as building waste {CH}</t>
  </si>
  <si>
    <t>b70b1d7e-1838-47ad-b684-442cee7b4f09</t>
  </si>
  <si>
    <t>Disposal, polyolefin sealing sheet, as building waste {CH}</t>
  </si>
  <si>
    <t>db5cc8a6-d2d6-4d31-87ca-3c93ea7c2402</t>
  </si>
  <si>
    <t>Disposal, polypropylene, 15.9% water, to municipal incineration {CH}</t>
  </si>
  <si>
    <t>e63ed999-179a-4a0d-beca-cc77a07d1486</t>
  </si>
  <si>
    <t>Disposal, polystyrene plastics as building waste, to final disposal type E {CH}</t>
  </si>
  <si>
    <t>288b0066-4226-43c6-adcf-bd8ff53b4bc6</t>
  </si>
  <si>
    <t>Disposal, polystyrene plastics as building waste, to municipal waste incineration {CH}</t>
  </si>
  <si>
    <t>d81ef5ac-f4b6-4ae0-a8e9-f6bab4cc7a97</t>
  </si>
  <si>
    <t>Disposal, polystyrene plastics, as building waste {CH}</t>
  </si>
  <si>
    <t>36cdedac-18f1-4c06-870e-b957fdb26503</t>
  </si>
  <si>
    <t>Disposal, polystyrene thermal insulation as building waste, to municipal waste incineration {CH}</t>
  </si>
  <si>
    <t>83c9dd42-e686-4cd5-b138-227e7224f09f</t>
  </si>
  <si>
    <t>Disposal, polystyrene thermal insulation as building waste, to sanitary landfill {CH}</t>
  </si>
  <si>
    <t>57269d5e-0a03-4eb4-be50-dd5ee2ca53f0</t>
  </si>
  <si>
    <t>Disposal, polystyrene thermal insulation, as building waste {CH}</t>
  </si>
  <si>
    <t>9f87c4dc-0299-478b-b90a-9a4bc5cbfbdb</t>
  </si>
  <si>
    <t>Disposal, polystyrene, 0.2% water, to municipal incineration {CH}</t>
  </si>
  <si>
    <t>d678fd52-8e22-44c7-b147-cb7e2cd8ba69</t>
  </si>
  <si>
    <t>Disposal, polystyrene, 0.2% water, to sanitary landfill {CH}</t>
  </si>
  <si>
    <t>9d084eda-6526-40e8-bd8b-c380e4dbba06</t>
  </si>
  <si>
    <t>Disposal, polyurethane foam as building waste, to municipal waste incineration {CH}</t>
  </si>
  <si>
    <t>604acb4f-1daa-4e88-8e72-f6d2ea44855e</t>
  </si>
  <si>
    <t>Disposal, polyurethane foam as building waste, to sanitary landfill {CH}</t>
  </si>
  <si>
    <t>d1d5347e-d54b-4abc-b9aa-48e89c0cffc8</t>
  </si>
  <si>
    <t>Disposal, polyurethane foam, as building waste {CH}</t>
  </si>
  <si>
    <t>0d07c6d7-11b0-4395-b7eb-2e37e2907f8a</t>
  </si>
  <si>
    <t>Disposal, polyurethane, 0.2% water, to construction waste landfill {CH}</t>
  </si>
  <si>
    <t>7595db50-05ef-433c-b32d-3aceb559a022</t>
  </si>
  <si>
    <t>Disposal, polyurethane, 0.2% water, to municipal incineration {CH}</t>
  </si>
  <si>
    <t>c4c65d31-c9b2-402c-93f6-6b3cec250c36</t>
  </si>
  <si>
    <t>Disposal, polyurethane, 0.2% water, to sanitary landfill {CH}</t>
  </si>
  <si>
    <t>5829ea02-5871-4088-9024-f4428ab68d17</t>
  </si>
  <si>
    <t>Disposal, polyvinylchloride, 0.2% water, to municipal incineration {CH}</t>
  </si>
  <si>
    <t>90d54204-8205-40b4-bc13-8a679096e428</t>
  </si>
  <si>
    <t>Disposal, polyvinylchloride, 0.2% water, to sanitary landfill {CH}</t>
  </si>
  <si>
    <t>ee4253e0-cfc8-4f86-8477-6a8607cece0c</t>
  </si>
  <si>
    <t>Disposal, polyvinylfluoride, 0.2% water, to municipal incineration {CH}</t>
  </si>
  <si>
    <t>1d3df1a0-1c83-4922-bf4e-b5752c66e9aa</t>
  </si>
  <si>
    <t>Disposal, power adapter, external, for laptop, to WEEE treatment {CH}</t>
  </si>
  <si>
    <t>4818a4bc-a95f-4f68-b74a-cbfc1faff781</t>
  </si>
  <si>
    <t>Disposal, powertrain, for electric passenger car {RER}</t>
  </si>
  <si>
    <t>cbaefd7f-b375-321c-a535-16c618ef9d29</t>
  </si>
  <si>
    <t>Disposal, powertrain, for electric scooter {RER}</t>
  </si>
  <si>
    <t>cedf5dd7-8a33-35a4-a87c-309d691ec658</t>
  </si>
  <si>
    <t>Disposal, prefabricated driven pile, concrete, average {CH}</t>
  </si>
  <si>
    <t>d9110121-633a-32e3-b73d-ce9de7f29fee</t>
  </si>
  <si>
    <t>Disposal, prefabricated driven pile, concrete, rectangular cross-section 240 x 240 mm {CH}</t>
  </si>
  <si>
    <t>fccbed88-313f-34e0-80af-583de3b1686b</t>
  </si>
  <si>
    <t>Disposal, prefabricated driven pile, concrete, rectangular cross-section 300 x 300 mm {CH}</t>
  </si>
  <si>
    <t>1d017d09-cb5b-3863-b657-8dfbade77de9</t>
  </si>
  <si>
    <t>Disposal, prefabricated driven pile, concrete, round cross-section 550mm {CH}</t>
  </si>
  <si>
    <t>02e4f1e7-0a33-38ed-ad90-31da95b17c07</t>
  </si>
  <si>
    <t>Disposal, printer, laser jet, b/w, to WEEE treatment {CH}</t>
  </si>
  <si>
    <t>2b9b5978-d7ec-448d-8d1b-b96eec7dad0a</t>
  </si>
  <si>
    <t>Disposal, printer, laser jet, colour, to WEEE treatment {CH}</t>
  </si>
  <si>
    <t>863a0921-d64a-42a2-9d00-3b494afbe100</t>
  </si>
  <si>
    <t>Disposal, pure hydrocarbon plastics (PE, PP, PMMA, PC, polyester), as building waste {CH}</t>
  </si>
  <si>
    <t>8369a330-0981-4f0b-bfea-0470269f01f8</t>
  </si>
  <si>
    <t>Disposal, pure hydrocarbon plastics as building waste, to final disposal type E {CH}</t>
  </si>
  <si>
    <t>df3e59c0-5320-4936-98ec-1ec192622767</t>
  </si>
  <si>
    <t>Disposal, pure hydrocarbon plastics as building waste, to municipal waste incineration {CH}</t>
  </si>
  <si>
    <t>d76ebeca-7633-465f-bb90-14d28aa118bc</t>
  </si>
  <si>
    <t>Disposal, pushed pile, 113mm MFH Wildbachstrasse Zürich {CH}</t>
  </si>
  <si>
    <t>0dffea9e-aa1e-3d0b-b980-123552236766</t>
  </si>
  <si>
    <t>Disposal, pushed pile, 178mm, piped, MFH Waltersbach Zürich {CH}</t>
  </si>
  <si>
    <t>815ee3ac-dec7-338e-a7ca-9a0faea6fe1e</t>
  </si>
  <si>
    <t>Disposal, pushed pile, 178mm, piped, Schule Waldmannstrasse Zürich {CH}</t>
  </si>
  <si>
    <t>7ff0e89c-2709-3720-af85-0cf21162318b</t>
  </si>
  <si>
    <t>Disposal, pushed pile, average {CH}</t>
  </si>
  <si>
    <t>c0c1dee1-2f84-3397-a7c0-96110993766a</t>
  </si>
  <si>
    <t>Disposal, PVC as construction waste, to final disposal type E {CH}</t>
  </si>
  <si>
    <t>abfee831-d1b1-46df-acec-bd7134d9915f</t>
  </si>
  <si>
    <t>Disposal, PVC as construction waste, to municipal waste incineration {CH}</t>
  </si>
  <si>
    <t>d95ffae8-1c9e-4d80-9b78-390375c61cfc</t>
  </si>
  <si>
    <t>Disposal, PVC sealing sheet, 1.64% water, to municipal incineration {CH}</t>
  </si>
  <si>
    <t>c00a820d-8f0a-4b2b-b367-4e271adaadf9</t>
  </si>
  <si>
    <t>Disposal, railway track {CH}</t>
  </si>
  <si>
    <t>2f8cf21b-3cfd-4836-9ab7-f68a607bb1ac</t>
  </si>
  <si>
    <t>Disposal, rammed earth wall {CH}</t>
  </si>
  <si>
    <t>0e5b1b3f-e47a-31e0-b204-9fc58e3e7120</t>
  </si>
  <si>
    <t>Disposal, raw sewage sludge, to municipal incineration {CH}</t>
  </si>
  <si>
    <t>b7e0ce4d-ac88-4e14-901d-3d55f0348c6f</t>
  </si>
  <si>
    <t>Disposal, rectangular straw bale {CH}</t>
  </si>
  <si>
    <t>construction materials\straw bale wall</t>
  </si>
  <si>
    <t>b38d398d-60d0-3e39-9b8c-0c2dc0bcdee1</t>
  </si>
  <si>
    <t>Disposal, redmud from bauxite digestion, 0% water, to residual material landfill {CH}</t>
  </si>
  <si>
    <t>2955bf0c-36fe-4840-971b-4cbdf820857e</t>
  </si>
  <si>
    <t>Disposal, refinery sludge, 89.5% water, to hazardous waste incineration {CH}</t>
  </si>
  <si>
    <t>cf21cb6f-fd39-49b3-bb3b-70581f9fa170</t>
  </si>
  <si>
    <t>Disposal, refinery sludge, 89.5% water, to sanitary landfill {CH}</t>
  </si>
  <si>
    <t>cc5e3c45-b619-4cad-9e88-926efeab0731</t>
  </si>
  <si>
    <t>Disposal, refractory SPL, Al elec.lysis, 0% water, to residual material landfill {CH}</t>
  </si>
  <si>
    <t>64732c6b-cb49-4441-8893-7e645095d63f</t>
  </si>
  <si>
    <t>Disposal, regional train {CH}</t>
  </si>
  <si>
    <t>16aa36bb-6c31-48a8-9522-4ee6bf5e6696</t>
  </si>
  <si>
    <t>Disposal, reinforcing steel, as building waste {CH}</t>
  </si>
  <si>
    <t>781cad76-9546-4dc5-9373-5fe3096a65cb</t>
  </si>
  <si>
    <t>Disposal, render carrier board, cement bound, as building waste {CH}</t>
  </si>
  <si>
    <t>ce17485e-f6b3-485f-8e9a-95e4102440dc</t>
  </si>
  <si>
    <t>Disposal, render carrier board, resin bound, as building waste {CH}</t>
  </si>
  <si>
    <t>38d4f2f4-38c0-470c-a260-c4ea70dd7852</t>
  </si>
  <si>
    <t>Disposal, residential flooring 2K, as building waste {CH}</t>
  </si>
  <si>
    <t>894125ac-6de0-4b8a-a2b2-35262e9cb163</t>
  </si>
  <si>
    <t>Disposal, residue from cooling tower, 30% water, to sanitary landfill {CH}</t>
  </si>
  <si>
    <t>6671a961-21d8-411a-a1d5-cbb425da8a3e</t>
  </si>
  <si>
    <t>Disposal, residues Na-dichromate prod., 0% water, to residual material landfill {CH}</t>
  </si>
  <si>
    <t>3530c0d5-a060-46ed-a2d3-46ae5c19e192</t>
  </si>
  <si>
    <t>Disposal, residues, mechanical treatment, CRT screen, in MSWI {CH}</t>
  </si>
  <si>
    <t>3ef6297f-1532-44e5-82f9-0fc96be9692e</t>
  </si>
  <si>
    <t>Disposal, residues, mechanical treatment, desktop computer, in MSWI {CH}</t>
  </si>
  <si>
    <t>2e458a59-54ad-4c16-80a3-a708cf33996e</t>
  </si>
  <si>
    <t>Disposal, residues, mechanical treatment, industrial device, in MSWI {CH}</t>
  </si>
  <si>
    <t>59749a72-ae97-43a8-afb8-07f30f2e7694</t>
  </si>
  <si>
    <t>Disposal, residues, mechanical treatment, IT accessoires, in MSWI {CH}</t>
  </si>
  <si>
    <t>9e153893-4828-4a77-a7cf-f46cc839bd19</t>
  </si>
  <si>
    <t>Disposal, residues, mechanical treatment, laptop computer, in MSWI {CH}</t>
  </si>
  <si>
    <t>994cf410-f3eb-4db7-8980-1b2637d214a0</t>
  </si>
  <si>
    <t>Disposal, residues, mechanical treatment, laser printer, in MSWI {CH}</t>
  </si>
  <si>
    <t>d2f0ffcf-487a-4280-9485-386b3fa28118</t>
  </si>
  <si>
    <t>Disposal, residues, mechanical treatment, LCD screen, in MSWI {CH}</t>
  </si>
  <si>
    <t>416226b7-1ab0-4bee-86f8-a99d058d473e</t>
  </si>
  <si>
    <t>Disposal, residues, shredder fraction from manual dismantling, in MSWI {CH}</t>
  </si>
  <si>
    <t>5f83082d-ee21-4670-b71b-69dfd5196920</t>
  </si>
  <si>
    <t>Disposal, resin flooring system, as building waste {GLO}</t>
  </si>
  <si>
    <t>5805622d-fa95-4373-bcff-b3a5aee55834</t>
  </si>
  <si>
    <t>Disposal, road {RER}</t>
  </si>
  <si>
    <t>c7af311d-422f-4f44-8a44-53d0ffc21fe3</t>
  </si>
  <si>
    <t>Disposal, rock wool, Flumroc, at plant {CH}</t>
  </si>
  <si>
    <t>Others\other waste treatment</t>
  </si>
  <si>
    <t>241477dc-65fc-319a-80d3-37090983f81a</t>
  </si>
  <si>
    <t>Disposal, roller shutters, as building waste {CH}</t>
  </si>
  <si>
    <t>a51dc818-6296-488d-9795-0b418b37b604</t>
  </si>
  <si>
    <t>Disposal, roof construction, integrated, small, GFT, to final disposal {CH}</t>
  </si>
  <si>
    <t>44c5fde8-da55-3c02-b9a2-c294aa47178c</t>
  </si>
  <si>
    <t>Disposal, roof tiles, as building waste {CH}</t>
  </si>
  <si>
    <t>cd9156ff-3fd8-4a2f-9275-92d56ff17eb6</t>
  </si>
  <si>
    <t>Disposal, rubber granulate flooring as building waste, to municipal waste incineration {CH}</t>
  </si>
  <si>
    <t>43439b55-dac5-4350-b6f2-3b2baa2e6a9b</t>
  </si>
  <si>
    <t>Disposal, rubber granulate flooring, as building waste {CH}</t>
  </si>
  <si>
    <t>46401c3e-be08-4c95-917f-4bc1b1dce12d</t>
  </si>
  <si>
    <t>Disposal, rubber, unspecified, 0% water, to municipal incineration {CH}</t>
  </si>
  <si>
    <t>46c98b0b-1ece-4b13-a182-ca82a1a318aa</t>
  </si>
  <si>
    <t>Disposal, salt tailings potash mining, 0% water, to residual material landfill {CH}</t>
  </si>
  <si>
    <t>77acda95-1484-4213-8019-928652495790</t>
  </si>
  <si>
    <t>Disposal, sawn timber, hardwood, moist {CH}</t>
  </si>
  <si>
    <t>03b2f799-bf9f-444a-abed-8ffd66953e5b</t>
  </si>
  <si>
    <t>Disposal, scooter {CH}</t>
  </si>
  <si>
    <t>1e0a35ab-8166-4c06-8c73-6d6e3881583c</t>
  </si>
  <si>
    <t>Disposal, seal sheeting as construction waste, to final disposal type E {CH}</t>
  </si>
  <si>
    <t>0a712931-19b5-49b9-a876-28dd3060289e</t>
  </si>
  <si>
    <t>Disposal, seal sheeting as construction waste, to municipal waste incineration {CH}</t>
  </si>
  <si>
    <t>9b4b029f-2000-488e-855b-6e724ce9c949</t>
  </si>
  <si>
    <t>Disposal, sealing sheets, average from bitumen and TPO/FPO seals, as building waste {CH}</t>
  </si>
  <si>
    <t>59a73d32-4fd0-412b-98a7-c747f9e0466e</t>
  </si>
  <si>
    <t>Disposal, sealing tape, aluminum/PE, 50 mm wide {CH}</t>
  </si>
  <si>
    <t>4bb53fc8-84ca-4a01-94d4-f51fea2cb1cc</t>
  </si>
  <si>
    <t>Disposal, separator sludge, 90% water, to hazardous waste incineration {CH}</t>
  </si>
  <si>
    <t>ccd01f34-c9a4-4117-a716-ba41332a7e36</t>
  </si>
  <si>
    <t>Disposal, sheet pile wall, anchored {CH}</t>
  </si>
  <si>
    <t>38846cdd-9b04-428f-bcd0-2fd6dc2e2e91</t>
  </si>
  <si>
    <t>Disposal, sheet pile wall, projecting, vibrated {CH}</t>
  </si>
  <si>
    <t>ba84aa3f-996c-40ac-b0a7-f059b1d002d6</t>
  </si>
  <si>
    <t>Disposal, sheet pile wall, strutted apart {CH}</t>
  </si>
  <si>
    <t>07dc2a45-7a6e-485e-bd8c-55a114d87aa8</t>
  </si>
  <si>
    <t>Disposal, sheet pile wall, strutted apart, pre-drilled, Landesmuseum Zürich {CH}</t>
  </si>
  <si>
    <t>9037d762-b250-34df-935f-fa1e2bb25a25</t>
  </si>
  <si>
    <t>Disposal, sheet pile wall, strutted apart, vibrated, MFH Rapperswil {CH}</t>
  </si>
  <si>
    <t>7dc4abf0-8a56-3a5e-9820-a9204f56b8e9</t>
  </si>
  <si>
    <t>Disposal, sheet pile wall, strutted apart, vibrated, Schulhaus Sandgruben Basel {CH}</t>
  </si>
  <si>
    <t>964decb1-f82c-3191-ae18-591377d44ef1</t>
  </si>
  <si>
    <t>Disposal, silencer for ventilator unit 13000 m3/h, modular {CH}</t>
  </si>
  <si>
    <t>2014ce9d-e9c7-467c-a3b5-6a8fd24bb2cf</t>
  </si>
  <si>
    <t>Disposal, silencer for ventilator unit 1800 m3/h, modular {CH}</t>
  </si>
  <si>
    <t>b7a43181-2b80-41ab-94ad-faeddb54854a</t>
  </si>
  <si>
    <t>Disposal, silencer for ventilator unit 1800 m3/h, modular, Device {CH}</t>
  </si>
  <si>
    <t>25fbcb5a-0489-43f4-9628-74a1081c3a4a</t>
  </si>
  <si>
    <t>Disposal, silencer for ventilator unit 3500 m3/h, modular {CH}</t>
  </si>
  <si>
    <t>cdab6388-4019-41c3-a650-e003efaddffd</t>
  </si>
  <si>
    <t>Disposal, silencer for ventilator unit 6700 m3/h, modular {CH}</t>
  </si>
  <si>
    <t>ed572d6c-4788-4b0c-8894-09fa6b1036bd</t>
  </si>
  <si>
    <t>Disposal, silencer for ventilator unit 6700 m3/h, modular, Device {CH}</t>
  </si>
  <si>
    <t>7ae1c07b-dce4-45b9-babd-62791883743b</t>
  </si>
  <si>
    <t>Disposal, silencer, steel, DN 125 {CH}</t>
  </si>
  <si>
    <t>e9e8d962-04ae-43be-a9de-af8c8bbed1a9</t>
  </si>
  <si>
    <t>Disposal, silencer, steel, DN 315, 50 mm {CH}</t>
  </si>
  <si>
    <t>5c0a5959-c8e9-4f70-a6c8-2e46519e13e2</t>
  </si>
  <si>
    <t>Disposal, single room ventilator with heat recovery window frame model {CH}</t>
  </si>
  <si>
    <t>98e9156f-38f6-40ff-a5cc-b347ac0becc1</t>
  </si>
  <si>
    <t>Disposal, sink, chromium steel, as building waste {CH}</t>
  </si>
  <si>
    <t>a6829a20-674f-4c6e-b3f7-2e56969aadd8</t>
  </si>
  <si>
    <t>Disposal, sink, granite-acrylresin, as building waste {CH}</t>
  </si>
  <si>
    <t>c10b0ae3-3780-4d67-b5de-18146efb2d6f</t>
  </si>
  <si>
    <t>Disposal, slag from MG silicon prod., 0% water, to construction waste landfill {CH}</t>
  </si>
  <si>
    <t>b28909af-0e9d-4c09-a2e1-73d2d1033c20</t>
  </si>
  <si>
    <t>Disposal, slag, unalloyed electr. steel, 0% water, to residual material landfill {CH}</t>
  </si>
  <si>
    <t>894adf51-a434-49a7-9bfb-a777a03b45c0</t>
  </si>
  <si>
    <t>Disposal, sludge from FeCl3 production, 30% water, to underground deposit {DE}</t>
  </si>
  <si>
    <t>d5be22b0-a997-41ee-9e3a-0523588a0f0c</t>
  </si>
  <si>
    <t>Disposal, sludge from pulp and paper production, 25% water, to sanitary landfill {CH}</t>
  </si>
  <si>
    <t>cf2ade2f-d2b7-4453-97a7-6c1a21136541</t>
  </si>
  <si>
    <t>Disposal, sludge from steel rolling, 20% water, to residual material landfill {CH}</t>
  </si>
  <si>
    <t>d59e4bf5-0f9e-4654-871c-9e277330fcd1</t>
  </si>
  <si>
    <t>Disposal, sludge, NaCl electrolysis Hg, 0% water, to residual material landfill {CH}</t>
  </si>
  <si>
    <t>803088e0-09f1-49a4-b75c-0c02848dbf23</t>
  </si>
  <si>
    <t>Disposal, sludge, NaCl electrolysis, 0% water, to residual material landfill {CH}</t>
  </si>
  <si>
    <t>f42b0948-b685-43aa-bea6-1b72c18c24a3</t>
  </si>
  <si>
    <t>Disposal, sludge, pig iron production, 8.6% water, to residual material landfill {CH}</t>
  </si>
  <si>
    <t>c0021adc-4853-4cad-9880-b4f1097241eb</t>
  </si>
  <si>
    <t>Disposal, softwood, moist {CH}</t>
  </si>
  <si>
    <t>6cda7b6b-81d7-49ba-9151-f2593c34000b</t>
  </si>
  <si>
    <t>Disposal, soil nailing, sprayed concrete, reinforced {CH}</t>
  </si>
  <si>
    <t>8ed9b97d-7a71-44e8-994b-6f746a656be2</t>
  </si>
  <si>
    <t>Disposal, soil nailing, sprayed concrete, reinforced, Bushof Jona {CH}</t>
  </si>
  <si>
    <t>5cdfe6c6-d8d0-3326-85f1-413c7341bce4</t>
  </si>
  <si>
    <t>Disposal, soil nailing, sprayed concrete, reinforced, MFH Tiechestrasse Zürich {CH}</t>
  </si>
  <si>
    <t>c2a07b48-08db-3e52-a191-2c74643b4a1b</t>
  </si>
  <si>
    <t>Disposal, soil nailing, sprayed concrete, reinforced, Notfall Waidspital Zürich {CH}</t>
  </si>
  <si>
    <t>6483113f-9193-3587-98ed-8ac7d363b694</t>
  </si>
  <si>
    <t>Disposal, soil nailing, sprayed concrete, reinforced, Schulhaus Sandgruben Basel {CH}</t>
  </si>
  <si>
    <t>927cc8fd-8824-3d10-bf43-8fdd00333500</t>
  </si>
  <si>
    <t>Disposal, solid wood, as building waste {CH}</t>
  </si>
  <si>
    <t>9fe156eb-e430-404a-bdab-625799ca4b9f</t>
  </si>
  <si>
    <t>Disposal, solvents mixture, 16.5% water, to hazardous waste incineration {CH}</t>
  </si>
  <si>
    <t>5603e594-cc40-4c59-8aaf-625bf939228e</t>
  </si>
  <si>
    <t>Disposal, spent activated carbon with mercury, 0% water, to underground deposit {DE}</t>
  </si>
  <si>
    <t>c1f54b70-52e6-47a1-a617-14e0d7bec995</t>
  </si>
  <si>
    <t>Disposal, spiral-seam duct, stainless steel, s= 0.5mm {CH}</t>
  </si>
  <si>
    <t>ac498c11-ef69-4ef2-b0fe-f1c212227719</t>
  </si>
  <si>
    <t>Disposal, spiral-seam duct, stainless steel, s= 0.6mm {CH}</t>
  </si>
  <si>
    <t>b69b2c54-9a69-4065-889e-864d948b2c2c</t>
  </si>
  <si>
    <t>Disposal, spiral-seam duct, stainless steel, s= 0.8mm {CH}</t>
  </si>
  <si>
    <t>524a5fdd-65ba-466c-8b5b-f516d3efac07</t>
  </si>
  <si>
    <t>Disposal, spiral-seam duct, stainless steel, s= 1.0mm {CH}</t>
  </si>
  <si>
    <t>0e1c1c34-077a-4ae0-8ca2-11c39879a265</t>
  </si>
  <si>
    <t>Disposal, spiral-seam duct, steel, zinc coated, s= 0.5mm {CH}</t>
  </si>
  <si>
    <t>f97eaeef-3ddf-488c-9926-dffaa0ea143b</t>
  </si>
  <si>
    <t>Disposal, spiral-seam duct, steel, zinc coated, s= 0.6mm {CH}</t>
  </si>
  <si>
    <t>b83ad5ef-0d90-4134-ba1c-89f5fbb17c69</t>
  </si>
  <si>
    <t>Disposal, spiral-seam duct, steel, zinc coated, s= 0.8mm {CH}</t>
  </si>
  <si>
    <t>34b79684-e99b-4833-b463-7679b1539a57</t>
  </si>
  <si>
    <t>Disposal, spiral-seam duct, steel, zinc coated, s= 1.0mm {CH}</t>
  </si>
  <si>
    <t>3325f200-9291-442d-b876-66caf428fb24</t>
  </si>
  <si>
    <t>Disposal, spoil from coal mining, in surface landfill {GLO}</t>
  </si>
  <si>
    <t>36fc181c-13da-4792-aa29-e2012c405ccd</t>
  </si>
  <si>
    <t>Disposal, spoil from lignite mining, in surface landfill {GLO}</t>
  </si>
  <si>
    <t>e6c7fd1b-ca1c-45f5-8220-6d9594dd093e</t>
  </si>
  <si>
    <t>Disposal, steel board, 10 mm, powder coated, cardboard filled {CH}</t>
  </si>
  <si>
    <t>96bf95cc-1b01-3227-802e-f7c86ce80651</t>
  </si>
  <si>
    <t>Disposal, steel board, 20 mm, powder coated, cardboard filled {CH}</t>
  </si>
  <si>
    <t>e5e68fdf-cb9f-34c4-94dc-c32b766caacf</t>
  </si>
  <si>
    <t>Disposal, steel in car shredder residue, 0% water, to municipal incineration {CH}</t>
  </si>
  <si>
    <t>1f42208b-3378-4fab-94fd-959045e779d0</t>
  </si>
  <si>
    <t>Disposal, steel pipe, black, primed {CH}</t>
  </si>
  <si>
    <t>a0d0ad83-716a-458e-846c-c083cf8108a5</t>
  </si>
  <si>
    <t>Disposal, steel, 0% water, to construction waste landfill {CH}</t>
  </si>
  <si>
    <t>949272b2-a8c0-4fdb-a276-9e475aacc469</t>
  </si>
  <si>
    <t>Disposal, steel, 0% water, to municipal incineration {CH}</t>
  </si>
  <si>
    <t>0f1a02cd-9d0c-404e-b233-a810d32a1e85</t>
  </si>
  <si>
    <t>Disposal, steel, as building waste {CH}</t>
  </si>
  <si>
    <t>45166015-a02b-4e6e-b29d-a81ccfeeaeb3</t>
  </si>
  <si>
    <t>Disposal, stone columns, 500-600mm, Implenia {CH}</t>
  </si>
  <si>
    <t>6648c2d0-75ed-3215-92ed-c1a175805c24</t>
  </si>
  <si>
    <t>Disposal, stone columns, 500-600mm, Keller-MTS {CH}</t>
  </si>
  <si>
    <t>b42dc766-3769-3e62-995a-bbd8e380d0c8</t>
  </si>
  <si>
    <t>Disposal, stone columns, average {CH}</t>
  </si>
  <si>
    <t>7f408ba7-8866-3d2e-a102-6ae4e5f060c5</t>
  </si>
  <si>
    <t>Disposal, sulfidic tailings, off-site {GLO}</t>
  </si>
  <si>
    <t>ff7d71b2-b5be-40d1-a1b7-92dcdbfe6663</t>
  </si>
  <si>
    <t>Disposal, surface treatment, inner door, natural, to final disposal {CH}</t>
  </si>
  <si>
    <t>aa29e5e4-5f3e-4ba4-bc39-4e20539e066d</t>
  </si>
  <si>
    <t>Disposal, surface treatment, inner door, opaquely painted, to final disposal {CH}</t>
  </si>
  <si>
    <t>930e3dea-376f-4b4c-9bd8-405162dc454c</t>
  </si>
  <si>
    <t>Disposal, surface treatment, outer door, natural, to final disposal {CH}</t>
  </si>
  <si>
    <t>7a4c037f-0674-4e9e-859b-4f19ac59c6f1</t>
  </si>
  <si>
    <t>Disposal, surface treatment, outer door, opaquely painted, to final disposal {CH}</t>
  </si>
  <si>
    <t>254732cc-8c14-42f8-a854-ed0be258ddc7</t>
  </si>
  <si>
    <t>Disposal, synthetic resin flooring as construction waste, to final disposal type E {CH}</t>
  </si>
  <si>
    <t>efc941ac-dae2-46dc-9de7-3bbf0c01033e</t>
  </si>
  <si>
    <t>Disposal, synthetic resin flooring as construction waste, to municipal waste incineration {CH}</t>
  </si>
  <si>
    <t>b8a455ae-5717-45c9-94ac-db1091c0c8ea</t>
  </si>
  <si>
    <t>Disposal, tailings from hard coal milling, in impoundment {GLO}</t>
  </si>
  <si>
    <t>impoundment\unspecified</t>
  </si>
  <si>
    <t>95ff20e4-7e2c-4531-910e-d0d8eeb072c4</t>
  </si>
  <si>
    <t>Disposal, terrazzo flooring, as building waste {CH}</t>
  </si>
  <si>
    <t>a53693a6-45b1-43fc-9a4f-4e03faf4bc9a</t>
  </si>
  <si>
    <t>Disposal, textiles, soiled, 25% water, to municipal incineration {CH}</t>
  </si>
  <si>
    <t>24b94d5b-8af7-4dbe-a78b-cf621e5571de</t>
  </si>
  <si>
    <t>Disposal, thermal insulation, 100mm, 40kg/m3, alumium cladding {CH}</t>
  </si>
  <si>
    <t>c2c7462d-9de4-48d6-8db3-036f7c8f693a</t>
  </si>
  <si>
    <t>Disposal, thermal insulation, 100mm, 40kg/m3, reinforced alumium foil {CH}</t>
  </si>
  <si>
    <t>b4a5dc8f-fba4-4f0c-98e1-5f7e95c0f32d</t>
  </si>
  <si>
    <t>Disposal, thermal insulation, 100mm, 40kg/m3, stainless steel cladding {CH}</t>
  </si>
  <si>
    <t>709e8b36-3557-49e9-bbd4-94c308bfd261</t>
  </si>
  <si>
    <t>Disposal, thermal insulation, 30mm, 40kg/m3, alumium cladding {CH}</t>
  </si>
  <si>
    <t>95558e32-41f3-41eb-9552-3aaf6ae97005</t>
  </si>
  <si>
    <t>Disposal, thermal insulation, 30mm, 40kg/m3, reinforced alumium foil {CH}</t>
  </si>
  <si>
    <t>85ff2dfc-3789-4cba-aeb9-bdde60e78763</t>
  </si>
  <si>
    <t>Disposal, thermal insulation, 30mm, 40kg/m3, stainless steel cladding {CH}</t>
  </si>
  <si>
    <t>9c905149-3b3a-4b1e-9a81-ef4ab66d96eb</t>
  </si>
  <si>
    <t>Disposal, thermal insulation, 60mm, 40kg/m3, alumium cladding {CH}</t>
  </si>
  <si>
    <t>79958277-b896-4285-8261-720f0cd364b5</t>
  </si>
  <si>
    <t>Disposal, thermal insulation, 60mm, 40kg/m3, reinforced alumium foil {CH}</t>
  </si>
  <si>
    <t>bfa7b0bb-bc72-4bee-bb82-9d59154010a3</t>
  </si>
  <si>
    <t>Disposal, thermal insulation, 60mm, 40kg/m3, stainless steel cladding {CH}</t>
  </si>
  <si>
    <t>fcb69f9d-a673-46c1-8871-a0dc25ea8c51</t>
  </si>
  <si>
    <t>Disposal, tin sheet, 0% water, to municipal incineration {CH}</t>
  </si>
  <si>
    <t>fc53d381-228b-4004-b0bc-7618adceee0d</t>
  </si>
  <si>
    <t>Disposal, tin sheet, 0% water, to sanitary landfill {CH}</t>
  </si>
  <si>
    <t>46195a80-a86e-4649-81ad-83a75c3c36bb</t>
  </si>
  <si>
    <t>Disposal, tram {CH}</t>
  </si>
  <si>
    <t>362343f1-e0dd-4c36-8821-f7805163315e</t>
  </si>
  <si>
    <t>Disposal, tram track {CH}</t>
  </si>
  <si>
    <t>fb35fc89-5960-43c9-b5d0-30dabaa9526b</t>
  </si>
  <si>
    <t>Disposal, treatment of batteries {GLO}</t>
  </si>
  <si>
    <t>3a832a9c-37df-4f7b-ad70-5bb00a8e677b</t>
  </si>
  <si>
    <t>Disposal, treatment of cables {GLO}</t>
  </si>
  <si>
    <t>0e44ee17-a5fb-43fa-b2f8-fa8ef8d6323c</t>
  </si>
  <si>
    <t>Disposal, treatment of CRT glass {GLO}</t>
  </si>
  <si>
    <t>42db73c9-dd58-4089-bbbe-50f6cce3855f</t>
  </si>
  <si>
    <t>Disposal, treatment of printed wiring boards {GLO}</t>
  </si>
  <si>
    <t>8399296e-6131-4ceb-889e-7a6fb74cd3cc</t>
  </si>
  <si>
    <t>Disposal, tufted carpet with textile fabric backs, as building waste {CH}</t>
  </si>
  <si>
    <t>46903ba4-23aa-4d25-a6b2-26b8e2f7f47e</t>
  </si>
  <si>
    <t>Disposal, uranium tailings, non-radioactive emissions {GLO}</t>
  </si>
  <si>
    <t>nuclear waste\unspecified</t>
  </si>
  <si>
    <t>bc6967a3-2916-4fbc-a3f5-2b0e5029ee93</t>
  </si>
  <si>
    <t>Disposal, used mineral oil, 10% water, to hazardous waste incineration {CH}</t>
  </si>
  <si>
    <t>be69d35d-4a8e-4e4c-88c0-c5df0c7db472</t>
  </si>
  <si>
    <t>Disposal, vapour barrier, flame-retarded, 4.5% water, to municipal incineration {CH}</t>
  </si>
  <si>
    <t>1f59a31f-373c-4d24-bcfc-970b22b98d14</t>
  </si>
  <si>
    <t>Disposal, various components for heating system {CH}</t>
  </si>
  <si>
    <t>3e96a3d3-a4fe-40b0-ab51-9548926777e4</t>
  </si>
  <si>
    <t>Disposal, ventilated ceiling system, commercial kitchen {CH}</t>
  </si>
  <si>
    <t>327246ff-511a-4427-ad91-bff204285fbc</t>
  </si>
  <si>
    <t>Disposal, ventilation duct, stainless steel, s= 0.62mm {CH}</t>
  </si>
  <si>
    <t>d17e582b-25a5-4d3c-82a5-f3bbc233cbcc</t>
  </si>
  <si>
    <t>Disposal, ventilation duct, stainless steel, s= 0.75mm {CH}</t>
  </si>
  <si>
    <t>0e98a9fd-32a5-4ac7-8d44-730c7d40c8c8</t>
  </si>
  <si>
    <t>Disposal, ventilation duct, stainless steel, s= 0.87mm {CH}</t>
  </si>
  <si>
    <t>faa49ef1-7076-44b1-b028-92f0941eb15d</t>
  </si>
  <si>
    <t>Disposal, ventilation duct, stainless steel, s= 1.0mm {CH}</t>
  </si>
  <si>
    <t>3fb344ca-fa14-48a4-bb9b-ea35a0a17965</t>
  </si>
  <si>
    <t>Disposal, ventilation duct, stainless steel, s= 1.25mm {CH}</t>
  </si>
  <si>
    <t>2b9eefa5-0339-4dc4-b0db-febce6d71812</t>
  </si>
  <si>
    <t>Disposal, ventilation duct, stainless steel, s= 1.5mm {CH}</t>
  </si>
  <si>
    <t>d3ebc636-2ff9-4984-86c1-d61105266f6f</t>
  </si>
  <si>
    <t>Disposal, ventilation duct, steel, zinc coated, s= 0.62mm {CH}</t>
  </si>
  <si>
    <t>a5b150f7-dee6-4f7c-91bf-488aa52493cc</t>
  </si>
  <si>
    <t>Disposal, ventilation duct, steel, zinc coated, s= 0.75mm {CH}</t>
  </si>
  <si>
    <t>8786d83f-7d0e-4a98-ab59-2267fccf1331</t>
  </si>
  <si>
    <t>Disposal, ventilation duct, steel, zinc coated, s= 0.87mm {CH}</t>
  </si>
  <si>
    <t>bdb54bb8-e62c-4399-990d-fca6117a652b</t>
  </si>
  <si>
    <t>Disposal, ventilation duct, steel, zinc coated, s= 1.0mm {CH}</t>
  </si>
  <si>
    <t>e505f2e5-a671-4940-bcf7-1a2e728b77f6</t>
  </si>
  <si>
    <t>Disposal, ventilation duct, steel, zinc coated, s= 1.25mm {CH}</t>
  </si>
  <si>
    <t>4b3bf86c-07f3-4e80-beba-65e87061a9b7</t>
  </si>
  <si>
    <t>Disposal, ventilation duct, steel, zinc coated, s= 1.5mm {CH}</t>
  </si>
  <si>
    <t>ad0a43c9-07cd-4cae-9d53-c79235c2302d</t>
  </si>
  <si>
    <t>Disposal, ventilation equipment, central, 600-1200 m3/h {CH}</t>
  </si>
  <si>
    <t>3c45b4eb-2da4-4760-8772-dc0721ee548a</t>
  </si>
  <si>
    <t>Disposal, ventilation equipment, decentralized, 180-250 m3 {CH}</t>
  </si>
  <si>
    <t>41a3c3a0-ed41-4590-8f00-ed8bb47b5420</t>
  </si>
  <si>
    <t>Disposal, ventilation equipment, KWL 250 {CH}</t>
  </si>
  <si>
    <t>7274049c-3590-4dfa-9073-f5f05397997c</t>
  </si>
  <si>
    <t>Disposal, ventilation equipment, KWLC 1200 {CH}</t>
  </si>
  <si>
    <t>a890d2cc-fec5-4ce7-bac1-9e5baa8e9716</t>
  </si>
  <si>
    <t>Disposal, ventilation system for appartment buildings, PE ducts, without GHE {CH}</t>
  </si>
  <si>
    <t>7f3ffa87-0e85-42ed-8d39-adb8b2a5d6ec</t>
  </si>
  <si>
    <t>Disposal, ventilation system for appartment buildings, steel ducts, without GHE {CH}</t>
  </si>
  <si>
    <t>62698e20-cc0e-4926-b549-73a47a009d0e</t>
  </si>
  <si>
    <t>Disposal, ventilation system, Altersheim Dorflinde {CH}</t>
  </si>
  <si>
    <t>1907244c-1647-4054-b5e9-429ca99b9b6a</t>
  </si>
  <si>
    <t>Disposal, ventilation system, Altersheim Dorflinde, special components {CH}</t>
  </si>
  <si>
    <t>ad974c67-9be1-405d-98c7-8c40e5121377</t>
  </si>
  <si>
    <t>Disposal, ventilation system, Altersheim Dorflinde, various components {CH}</t>
  </si>
  <si>
    <t>5bb336e1-f4a3-4371-8b86-07877070c7d6</t>
  </si>
  <si>
    <t>Disposal, ventilation system, Alterswohnungen Geeren {CH}</t>
  </si>
  <si>
    <t>f2d64d5e-e9f5-4173-947d-af617fa3583c</t>
  </si>
  <si>
    <t>Disposal, ventilation system, Alterswohnungen Geeren, various components {CH}</t>
  </si>
  <si>
    <t>78566107-df21-4346-af45-819fc00931fb</t>
  </si>
  <si>
    <t>Disposal, ventilation system, Bürogebäude Verenastrasse, Baden {CH}</t>
  </si>
  <si>
    <t>8ec3aded-88de-4450-b962-32a59b431a9f</t>
  </si>
  <si>
    <t>Disposal, ventilation system, Bürogebäude Verenastrasse, Baden, special comp. {CH}</t>
  </si>
  <si>
    <t>52074243-da42-4480-8837-45545d48da53</t>
  </si>
  <si>
    <t>Disposal, ventilation system, Bürogebäude Verenastrasse, Baden, various comp. {CH}</t>
  </si>
  <si>
    <t>8bc6ecc8-e0ae-4c2c-b84a-bf0077f4ea75</t>
  </si>
  <si>
    <t>Disposal, ventilation system, Bürohaus Fribourg {CH}</t>
  </si>
  <si>
    <t>5f51097c-7943-4c6c-ac11-f169541964d9</t>
  </si>
  <si>
    <t>Disposal, ventilation system, Bürohaus Fribourg, special components {CH}</t>
  </si>
  <si>
    <t>8b17ff57-5831-4d59-ad25-a3e0ce1d7f7c</t>
  </si>
  <si>
    <t>Disposal, ventilation system, Bürohaus Fribourg, various components {CH}</t>
  </si>
  <si>
    <t>5f22b9a5-6d82-4f47-bab0-1125ba5f445c</t>
  </si>
  <si>
    <t>Disposal, ventilation system, centralized, average for 1 m3/(hm2) {CH}</t>
  </si>
  <si>
    <t>3e3dd205-ded3-46a5-adc2-9dcfc0dc968b</t>
  </si>
  <si>
    <t>Disposal, ventilation system, centralized, average for 2 m3(hm2) {CH}</t>
  </si>
  <si>
    <t>a837fed7-bcca-44e7-87b1-ceab6d95c579</t>
  </si>
  <si>
    <t>Disposal, ventilation system, centralized, average for 4 m3(hm2) {CH}</t>
  </si>
  <si>
    <t>26a06d15-a1ae-4469-b8e4-6455ed591d47</t>
  </si>
  <si>
    <t>Disposal, ventilation system, centralized, average for 6 m3(hm2) {CH}</t>
  </si>
  <si>
    <t>0fdc2e7e-1c8b-4337-a15a-de11b03799ac</t>
  </si>
  <si>
    <t>Disposal, ventilation system, centralized, average for 8 m3(hm2) {CH}</t>
  </si>
  <si>
    <t>01d372b7-33bc-494e-871d-7ea2c971b540</t>
  </si>
  <si>
    <t>Disposal, ventilation system, Geschäftshaus B, Esslingen {CH}</t>
  </si>
  <si>
    <t>820bc149-bee7-4c6b-953f-cbc5aa6e0e69</t>
  </si>
  <si>
    <t>Disposal, ventilation system, Geschäftshaus B, Esslingen, various components {CH}</t>
  </si>
  <si>
    <t>8b7af501-6c2f-4011-9b6c-9cf8ffd090ea</t>
  </si>
  <si>
    <t>Disposal, ventilation system, Geschäftshaus C, Esslingen {CH}</t>
  </si>
  <si>
    <t>5dde58b3-c849-40e0-b53b-daa668404a40</t>
  </si>
  <si>
    <t>Disposal, ventilation system, Geschäftshaus C, Esslingen, special components {CH}</t>
  </si>
  <si>
    <t>483c8d29-e040-414a-a1ca-c50e74ab577e</t>
  </si>
  <si>
    <t>Disposal, ventilation system, Geschäftshaus C, Esslingen, various components {CH}</t>
  </si>
  <si>
    <t>d8d4decd-e811-4f31-89fa-5ccec8abb9dc</t>
  </si>
  <si>
    <t>Disposal, ventilation system, Pflegezentrum Witikon {CH}</t>
  </si>
  <si>
    <t>041e12fb-6361-40ef-9a9f-5e383f3dae12</t>
  </si>
  <si>
    <t>Disposal, ventilation system, Pflegezentrum Witikon, special components {CH}</t>
  </si>
  <si>
    <t>81b41b12-f47e-4f85-829c-2a67951664d0</t>
  </si>
  <si>
    <t>Disposal, ventilation system, Pflegezentrum Witikon, various components {CH}</t>
  </si>
  <si>
    <t>65a5250b-ce18-4424-9cb2-81308b360adc</t>
  </si>
  <si>
    <t>Disposal, ventilation system, Schulhaus Albisriederplatz {CH}</t>
  </si>
  <si>
    <t>936b393d-86ea-48d2-946a-cd7d431f580c</t>
  </si>
  <si>
    <t>Disposal, ventilation system, Schulhaus Albisriederplatz, special components {CH}</t>
  </si>
  <si>
    <t>f8eeb76b-f3d4-4a88-9657-07addcacf2e8</t>
  </si>
  <si>
    <t>Disposal, ventilation system, Schulhaus Albisriederplatz, various components {CH}</t>
  </si>
  <si>
    <t>93f9090e-46db-46d3-8741-e78aea9de6a9</t>
  </si>
  <si>
    <t>Disposal, ventilation system, Schulhaus Fallätsche {CH}</t>
  </si>
  <si>
    <t>ea2047f4-5331-4555-b115-4b343401bb2c</t>
  </si>
  <si>
    <t>Disposal, ventilation system, Schulhaus Fallätsche, various components {CH}</t>
  </si>
  <si>
    <t>ab41a04b-3319-4795-915e-c1b31e2dfeee</t>
  </si>
  <si>
    <t>Disposal, ventilation system, Schulhaus Heslibach {CH}</t>
  </si>
  <si>
    <t>d2439a5f-6e06-4363-8025-7e674f5f622d</t>
  </si>
  <si>
    <t>Disposal, ventilation system, Schulhaus Heslibach, various components {CH}</t>
  </si>
  <si>
    <t>94bf3ef8-9a72-4745-bd82-f94efa8b2538</t>
  </si>
  <si>
    <t>Disposal, ventilation system, various components, m2 {CH}</t>
  </si>
  <si>
    <t>c16363ac-dfb1-4415-8c61-7b87a4d13023</t>
  </si>
  <si>
    <t>Disposal, ventilation system, various components, m3/h {CH}</t>
  </si>
  <si>
    <t>3fd2478c-39bc-4ede-b7e0-4bf086b14d57</t>
  </si>
  <si>
    <t>Disposal, ventilation unit 13000 m3/h, w. circuit connected heat exchanger {CH}</t>
  </si>
  <si>
    <t>55c6f2af-d0a4-4bdb-9d7d-ae8f5ae8bca5</t>
  </si>
  <si>
    <t>Disposal, ventilation unit 13000 m3/h, w. cross plate heat excanger {CH}</t>
  </si>
  <si>
    <t>9ee0e60b-c3ac-4c86-b0b6-2dbc40c04c44</t>
  </si>
  <si>
    <t>Disposal, ventilation unit 13000 m3/h, w. rotary heat exchanger {CH}</t>
  </si>
  <si>
    <t>9fb343bb-b9a7-4cd7-9bad-4993cac00cdd</t>
  </si>
  <si>
    <t>Disposal, ventilation unit 1800 m3/h, w. circuit connected heat exchanger {CH}</t>
  </si>
  <si>
    <t>bb4798dd-ff70-4b12-90fe-cae330b17340</t>
  </si>
  <si>
    <t>Disposal, ventilation unit 1800 m3/h, w. cross plate heat excanger {CH}</t>
  </si>
  <si>
    <t>d7079cf8-e300-4beb-89fe-a031ee4987fa</t>
  </si>
  <si>
    <t>Disposal, ventilation unit 1800 m3/h, w. heat excanger {CH}</t>
  </si>
  <si>
    <t>c076e77d-5112-4c9a-8b92-684043713441</t>
  </si>
  <si>
    <t>Disposal, ventilation unit 1800 m3/h, w. rotary heat exchanger {CH}</t>
  </si>
  <si>
    <t>6bd83b32-6ff8-4710-bdc2-52a7336e12d1</t>
  </si>
  <si>
    <t>Disposal, ventilation unit 3500 m3/h, w. circuit connected heat exchanger {CH}</t>
  </si>
  <si>
    <t>b5fb9f97-cdea-488a-b515-bac2283a0ef6</t>
  </si>
  <si>
    <t>Disposal, ventilation unit 3500 m3/h, w. cross plate heat excanger {CH}</t>
  </si>
  <si>
    <t>afef64c2-e7d5-425d-b533-b4b5a6c0e734</t>
  </si>
  <si>
    <t>Disposal, ventilation unit 3500 m3/h, w. rotary heat exchanger {CH}</t>
  </si>
  <si>
    <t>d6a18cc5-6216-47ae-b280-545178794874</t>
  </si>
  <si>
    <t>Disposal, ventilation unit 6700 m3/h, w. circuit connected heat exchanger {CH}</t>
  </si>
  <si>
    <t>e1b32d3c-4768-496b-a5de-4ee7d3c3723a</t>
  </si>
  <si>
    <t>Disposal, ventilation unit 6700 m3/h, w. cross plate heat excanger {CH}</t>
  </si>
  <si>
    <t>1a650551-e093-4d68-ae5c-30ae903d3680</t>
  </si>
  <si>
    <t>Disposal, ventilation unit 6700 m3/h, w. heat excanger {CH}</t>
  </si>
  <si>
    <t>34529094-389f-4202-a09f-8c7138b9726e</t>
  </si>
  <si>
    <t>Disposal, ventilation unit 6700 m3/h, w. rotary heat exchanger {CH}</t>
  </si>
  <si>
    <t>500e87b6-f478-4424-9ec5-cd6ef33d5be0</t>
  </si>
  <si>
    <t>Disposal, ventilator unit 13000 m3/h, modular, w. filter, without silencer {CH}</t>
  </si>
  <si>
    <t>4452ca3c-fe4e-4333-941a-93f829d99e0f</t>
  </si>
  <si>
    <t>Disposal, ventilator unit 1800 m3/h, modular, w. filter, without silencer {CH}</t>
  </si>
  <si>
    <t>8d6aecb3-3231-45c7-ac86-5a9ffdb3ffd8</t>
  </si>
  <si>
    <t>Disposal, ventilator unit 1800 m3/h, modular, w. filter, without silencer, Device {CH}</t>
  </si>
  <si>
    <t>7f17d055-ad77-421e-92ac-bbfc124d0044</t>
  </si>
  <si>
    <t>Disposal, ventilator unit 3500 m3/h, modular, w. filter, without silencer {CH}</t>
  </si>
  <si>
    <t>a09e30eb-05d8-4547-a631-6ea97636b44f</t>
  </si>
  <si>
    <t>Disposal, ventilator unit 6700 m3/h, modular, w. filter, without silencer {CH}</t>
  </si>
  <si>
    <t>03622fc1-e009-45d1-b567-7fad089fccb3</t>
  </si>
  <si>
    <t>Disposal, ventilator unit 6700 m3/h, modular, w. filter, without silencer, Device {CH}</t>
  </si>
  <si>
    <t>e1ca0767-af7c-4eac-a7e8-7f35824b671e</t>
  </si>
  <si>
    <t>Disposal, waste separation system, as building waste {CH}</t>
  </si>
  <si>
    <t>1a32b8d8-b705-4329-81ea-0249b639a0f1</t>
  </si>
  <si>
    <t>Disposal, waste, Si waferprod., inorg, 9.4% water, to residual material landfill {CH}</t>
  </si>
  <si>
    <t>0c0c63b8-935a-41a8-975a-11cbde8589bc</t>
  </si>
  <si>
    <t>Disposal, waste, silicon wafer production, 0% water, to underground deposit {DE}</t>
  </si>
  <si>
    <t>30fc8df6-21f4-4cbc-aebf-61a3a8a0d85a</t>
  </si>
  <si>
    <t>Disposal, wire plastic, 3.55% water, to municipal incineration {CH}</t>
  </si>
  <si>
    <t>75533b76-818c-425b-b242-7e8537aef3f2</t>
  </si>
  <si>
    <t>Disposal, wood and wood materials as construction waste, exported to incineration {RER}</t>
  </si>
  <si>
    <t>6d562871-a738-4002-a96a-85b11b833535</t>
  </si>
  <si>
    <t>Disposal, wood and wood materials as construction waste, to final disposal type E {CH}</t>
  </si>
  <si>
    <t>4d1c9554-952a-4749-a910-32eb2fffa9ea</t>
  </si>
  <si>
    <t>Disposal, wood and wood materials as construction waste, to municipal waste incineration, solid wood {CH}</t>
  </si>
  <si>
    <t>2aa93afc-a3fe-4341-bdee-881dae30f9c2</t>
  </si>
  <si>
    <t>Disposal, wood and wood materials as construction waste, wood incineration process {CH}</t>
  </si>
  <si>
    <t>1af03aa4-4883-4a85-92b3-d0cbeff8fa2d</t>
  </si>
  <si>
    <t>Disposal, wood ash mixture, pure, 0% water, to landfarming {CH}</t>
  </si>
  <si>
    <t>370fd3e8-203b-40f7-9ff6-28a770d1cbc3</t>
  </si>
  <si>
    <t>Disposal, wood ash mixture, pure, 0% water, to municipal incineration {CH}</t>
  </si>
  <si>
    <t>b1e507f4-56ec-4420-8a83-725ed160a761</t>
  </si>
  <si>
    <t>Disposal, wood ash mixture, pure, 0% water, to sanitary landfill {CH}</t>
  </si>
  <si>
    <t>38305d9e-5801-40bd-9b03-d888155ee2e7</t>
  </si>
  <si>
    <t>Disposal, wood fibre board 1.25% binder as building waste, exported to incineration {RER}</t>
  </si>
  <si>
    <t>1f2b2478-8bdb-4f51-b4db-9057300d7cff</t>
  </si>
  <si>
    <t>Disposal, wood fibre board 1.25% binder as building waste, to final disposal type E {CH}</t>
  </si>
  <si>
    <t>647aaf51-56a8-4ad5-91bd-2fbf96552713</t>
  </si>
  <si>
    <t>Disposal, wood fibre board 1.25% binder as building waste, to municipal waste incineration {CH}</t>
  </si>
  <si>
    <t>02c4c6f9-3e5c-4b8d-8e1d-ec69c02a4b65</t>
  </si>
  <si>
    <t>Disposal, wood fibre board, 1.25% binder, as building waste {CH}</t>
  </si>
  <si>
    <t>16ebf28f-f375-4b7b-b58f-3425f3181a40</t>
  </si>
  <si>
    <t>Disposal, wood mix, industrial wood scrap and softwood {CH}</t>
  </si>
  <si>
    <t>6df48a82-f17d-4fb1-b8cf-ce19aa8589a6</t>
  </si>
  <si>
    <t>Disposal, wood parquet 2-layer, as building waste {CH}</t>
  </si>
  <si>
    <t>50dd50fc-4645-4f90-b08e-0bf2f607b151</t>
  </si>
  <si>
    <t>Disposal, wood parquet 3-layer, as building waste {CH}</t>
  </si>
  <si>
    <t>6befb70f-fa12-4b26-a645-a32513e746a7</t>
  </si>
  <si>
    <t>Disposal, wood parquet mosaic, as building waste {CH}</t>
  </si>
  <si>
    <t>3e40f735-0ff0-4c04-a681-81907db2fd50</t>
  </si>
  <si>
    <t>Disposal, wood particle board 10% binder 3.5% MF resin as building waste, exported to incineration {RER}</t>
  </si>
  <si>
    <t>5540b963-a076-41b6-94a9-ddfa39209305</t>
  </si>
  <si>
    <t>Disposal, wood particle board 10% binder 3.5% MF resin as building waste, to final disposal type E {CH}</t>
  </si>
  <si>
    <t>69555a50-48f2-4330-b94a-86f6840eda96</t>
  </si>
  <si>
    <t>Disposal, wood particle board 10% binder 3.5% MF resin as building waste, to municipal waste incineration {CH}</t>
  </si>
  <si>
    <t>a0f5909e-6f17-4b3b-95a0-76fc89e47983</t>
  </si>
  <si>
    <t>Disposal, wood particle board 10% binder as building waste, exported to incineration {RER}</t>
  </si>
  <si>
    <t>e1c1fb32-911e-4d57-a365-f07638d079b7</t>
  </si>
  <si>
    <t>Disposal, wood particle board 10% binder as building waste, to final disposal type E {CH}</t>
  </si>
  <si>
    <t>35c7d166-b296-4482-84f8-b5b81e5f7ebf</t>
  </si>
  <si>
    <t>Disposal, wood particle board 10% binder as building waste, to municipal waste incineration {CH}</t>
  </si>
  <si>
    <t>cbe92053-24fb-4813-9810-0510ec6b46bf</t>
  </si>
  <si>
    <t>Disposal, wood particle board, 10% binder, 3.5% MF resin, as building waste {CH}</t>
  </si>
  <si>
    <t>e94b7a72-dad5-49e1-8857-2a52b61551c8</t>
  </si>
  <si>
    <t>Disposal, wood particle board, 10% binder, as building waste {CH}</t>
  </si>
  <si>
    <t>d8b02b34-7c23-477b-a8a7-8c7a1fb9379b</t>
  </si>
  <si>
    <t>Disposal, wood pole, chrome preserved, 20% water, to municipal incineration {CH}</t>
  </si>
  <si>
    <t>9c0372d8-d97f-418e-a734-adb0ab6c9a6c</t>
  </si>
  <si>
    <t>Disposal, wood untreated, 20% water, to municipal incineration {CH}</t>
  </si>
  <si>
    <t>c03df82a-e3d3-408f-8f7e-7c03e10bf8bf</t>
  </si>
  <si>
    <t>Disposal, wood untreated, 20% water, to sanitary landfill {CH}</t>
  </si>
  <si>
    <t>79b15173-875f-4cef-848d-5121d4e4c305</t>
  </si>
  <si>
    <t>Disposal, xylolite flooring, as building waste {CH}</t>
  </si>
  <si>
    <t>45e78ecf-459c-40bb-9f1b-8fbab97ba0fd</t>
  </si>
  <si>
    <t>Disposal, zeolite, 5% water, to construction waste landfill {CH}</t>
  </si>
  <si>
    <t>1e9bc15d-fb34-47c0-afc6-f04a1125405f</t>
  </si>
  <si>
    <t>Disposal, zinc in car shredder residue, 0% water, to municipal incineration {CH}</t>
  </si>
  <si>
    <t>e007076b-a628-43b3-b403-6782e4474936</t>
  </si>
  <si>
    <t>Distribution network, electricity, low voltage {CH}</t>
  </si>
  <si>
    <t>electricity\distribution</t>
  </si>
  <si>
    <t>89ae5562-73eb-37ce-a835-2055cb7e9c7d</t>
  </si>
  <si>
    <t>Distribution sheds {RER}</t>
  </si>
  <si>
    <t>e9bc7a1b-958c-3890-a2e4-b5d188ee9023</t>
  </si>
  <si>
    <t>District heat, at consumer, biomethane cogen 1MWth, allocation exergy {CH}</t>
  </si>
  <si>
    <t>heat\district heat</t>
  </si>
  <si>
    <t>82fc5365-5794-3f52-8bb7-00d40539f384</t>
  </si>
  <si>
    <t>District heat, at consumer, biomethane cogen 1MWth, economic allocation {CH}</t>
  </si>
  <si>
    <t>b0116b28-aeb6-3fb5-a22d-a2d91f4910da</t>
  </si>
  <si>
    <t>District heat, at consumer, biomethane in industrial furnace 1MW {CH}</t>
  </si>
  <si>
    <t>cceddd61-8473-31b0-aa3c-59c81d67abe3</t>
  </si>
  <si>
    <t>District heat, at consumer, borehole heat pump 50kW {CH}</t>
  </si>
  <si>
    <t>heat\heat pumps\district heat</t>
  </si>
  <si>
    <t>c526d740-d6f4-3ed3-a2e8-e915d07d4812</t>
  </si>
  <si>
    <t>District heat, at consumer, diesel cogen 1MWth, allocation exergy {CH}</t>
  </si>
  <si>
    <t>9f2d6e0b-5897-3f3c-b6f7-6f883017136f</t>
  </si>
  <si>
    <t>District heat, at consumer, diesel cogen 1MWth, economic allocation {CH}</t>
  </si>
  <si>
    <t>2408ecfb-7e8f-3d8f-bc15-b22f6075b6ab</t>
  </si>
  <si>
    <t>District heat, at consumer, ground water heat pump 50kW {CH}</t>
  </si>
  <si>
    <t>98535d50-aab1-3916-8745-f1cbe865aadd</t>
  </si>
  <si>
    <t>District heat, at consumer, heat from nuclear power plant, allocation exergy {CH}</t>
  </si>
  <si>
    <t>heat\nuclear power\district heat</t>
  </si>
  <si>
    <t>a48a6963-60a3-3f2d-a618-4da8b229db2d</t>
  </si>
  <si>
    <t>District heat, at consumer, heat from nuclear power plant, economic allocation {CH}</t>
  </si>
  <si>
    <t>3fac81fa-3ab3-33bc-90eb-ae19983ac3bf</t>
  </si>
  <si>
    <t>District heat, at consumer, light fuel oil in industrial furnace 1MW {CH}</t>
  </si>
  <si>
    <t>2a08ae78-ec98-35ee-a391-2a002bb2873c</t>
  </si>
  <si>
    <t>District heat, at consumer, natural gas cogen 1MWth, allocation exergy {CH}</t>
  </si>
  <si>
    <t>ed8a8d8b-3455-3992-9d93-508a3f83cc0c</t>
  </si>
  <si>
    <t>District heat, at consumer, natural gas cogen 1MWth, economic allocation {CH}</t>
  </si>
  <si>
    <t>d74b8a58-fd7e-32ce-91bc-c5181828dbc6</t>
  </si>
  <si>
    <t>District heat, at consumer, natural gas in industrial furnace 1MW {CH}</t>
  </si>
  <si>
    <t>e8c316e3-ddf2-395f-b110-a70e130a9145</t>
  </si>
  <si>
    <t>District heat, at consumer, swiss average, allocation exergy {CH}</t>
  </si>
  <si>
    <t>05bc9e52-5649-3fa0-8e18-1876d1bc8e59</t>
  </si>
  <si>
    <t>District heat, at consumer, swiss average, economic allocation {CH}</t>
  </si>
  <si>
    <t>45038c76-24b7-3c6e-9bf9-0a3343dcd779</t>
  </si>
  <si>
    <t>District heat, at consumer, waste from municipal waste incineration {CH}</t>
  </si>
  <si>
    <t>heat\waste\district heat</t>
  </si>
  <si>
    <t>44c06df9-31b2-3696-b9db-a1bd2dfda28d</t>
  </si>
  <si>
    <t>District heat, at consumer, wood chips cogen 1MWth, allocation exergy {CH}</t>
  </si>
  <si>
    <t>6031ccda-37ae-3318-861e-45c12c9c2f08</t>
  </si>
  <si>
    <t>District heat, at consumer, wood chips cogen 1MWth, economic allocation {CH}</t>
  </si>
  <si>
    <t>0480eca3-3749-3f2d-83d3-b75e9f44572f</t>
  </si>
  <si>
    <t>District heat, at consumer, wood chips in industrial furnace 1MW {CH}</t>
  </si>
  <si>
    <t>cb288729-3502-346a-ba2a-807b71945f0b</t>
  </si>
  <si>
    <t>District heat, from biogas cogen engine, agricultural covered, alloc. exergy {CH}</t>
  </si>
  <si>
    <t>energy supply, kbob recommendation\district heat, delivered</t>
  </si>
  <si>
    <t>c09c626e-3314-3904-8b9d-1c05a86fb007</t>
  </si>
  <si>
    <t>District heat, from sewage heat exchanger {CH}</t>
  </si>
  <si>
    <t>72683ba8-5d9d-3a9a-9978-7b8804ca074a</t>
  </si>
  <si>
    <t>Dithiocarbamate-compounds, at regional storehouse {CH}</t>
  </si>
  <si>
    <t>2cdc4d89-5b48-305d-8094-a7970bc2bb18</t>
  </si>
  <si>
    <t>Dithiocarbamate-compounds, at regional storehouse {RER}</t>
  </si>
  <si>
    <t>90d8feb2-4fc5-3927-ae4e-15d8369f0d3b</t>
  </si>
  <si>
    <t>Diuron, at regional storehouse {CH}</t>
  </si>
  <si>
    <t>9e24397e-d2e3-3ccf-b896-74bdf444cc8b</t>
  </si>
  <si>
    <t>Diuron, at regional storehouse {RER}</t>
  </si>
  <si>
    <t>e124c694-dafc-3187-bcee-2871699d70ac</t>
  </si>
  <si>
    <t>Docking station, at plant {GLO}</t>
  </si>
  <si>
    <t>7968fc52-e18a-375f-8642-61dbe3acd126</t>
  </si>
  <si>
    <t>Dolomite, at plant {RER}</t>
  </si>
  <si>
    <t>633c6310-6b84-330b-bb26-e836f6eba2bd</t>
  </si>
  <si>
    <t>Door frame, inner, steel, at plant {CH}</t>
  </si>
  <si>
    <t>building components\doors</t>
  </si>
  <si>
    <t>abe7515a-1847-3bfa-8070-9ff014dae409</t>
  </si>
  <si>
    <t>Door frame, inner, wood, at plant {CH}</t>
  </si>
  <si>
    <t>7f32400a-22ab-3987-aa30-3d5c62244a43</t>
  </si>
  <si>
    <t>Door frame, outer, wood, at plant {CH}</t>
  </si>
  <si>
    <t>7509327b-fdf6-3a43-b24b-eb7922ad109b</t>
  </si>
  <si>
    <t>Door leaf, functional, inner, wood, at plant {CH}</t>
  </si>
  <si>
    <t>8fe52960-0fc3-3118-a163-29fc27624393</t>
  </si>
  <si>
    <t>Door leaf, outer, wood-glass, at plant {CH}</t>
  </si>
  <si>
    <t>7d6338e2-8674-3387-b6ce-234458b4cfdb</t>
  </si>
  <si>
    <t>Door leaf, outer, wood, at plant {CH}</t>
  </si>
  <si>
    <t>d0a8a8dc-a97c-31f9-b4c8-0a5f2e02af61</t>
  </si>
  <si>
    <t>Door leaf, room, inner, wood-glass, at plant {CH}</t>
  </si>
  <si>
    <t>904295fc-cc1c-3e70-ad9d-442d2c1bd03b</t>
  </si>
  <si>
    <t>Door leaf, room, inner, wood, at plant {CH}</t>
  </si>
  <si>
    <t>c58dc8e4-f7ec-3b56-aa61-c8be6a91bb29</t>
  </si>
  <si>
    <t>Door, inner, aluminium, transparent filling, at plant {CH}</t>
  </si>
  <si>
    <t>9b0eb861-40a8-389c-99aa-ce5dc1fcfd1a</t>
  </si>
  <si>
    <t>Door, inner, aluminium, transparent filling, at plant {RER}</t>
  </si>
  <si>
    <t>e97aa280-b31a-3ceb-bfd6-a99df525dc3f</t>
  </si>
  <si>
    <t>Door, inner, aluminium, transparent filling, at regional storage {CH}</t>
  </si>
  <si>
    <t>e0ee9db1-667d-3e92-9b7c-9bd5ce89d0c5</t>
  </si>
  <si>
    <t>Door, inner, aluminium, transparent filling, total {CH}</t>
  </si>
  <si>
    <t>45a0b3b5-7aed-3239-ace1-79558e0a7b2b</t>
  </si>
  <si>
    <t>Door, inner, functional, wood, steel frame, at plant {CH}</t>
  </si>
  <si>
    <t>682a2262-71b9-30b5-91a4-7bd440dc9ae5</t>
  </si>
  <si>
    <t>Door, inner, functional, wood, wooden frame, at plant {CH}</t>
  </si>
  <si>
    <t>02af4487-f60c-3119-9ffa-d9a90cf9756d</t>
  </si>
  <si>
    <t>Door, inner, room, glass-wood, steel frame, at plant {CH}</t>
  </si>
  <si>
    <t>025cc8eb-e486-3f4e-b220-74bb3fa6e9d1</t>
  </si>
  <si>
    <t>Door, inner, room, glass-wood, wooden frame, at plant {CH}</t>
  </si>
  <si>
    <t>723498eb-7fed-3998-a7b2-4a5a819304c8</t>
  </si>
  <si>
    <t>Door, inner, room, wood, steel frame , at plant {CH}</t>
  </si>
  <si>
    <t>24f2adc6-2f88-3444-b236-9e85bd4beb91</t>
  </si>
  <si>
    <t>Door, inner, room, wood, wooden frame, at plant {CH}</t>
  </si>
  <si>
    <t>e0ea9d78-b8f1-3ab0-94e6-b0780d5447fa</t>
  </si>
  <si>
    <t>Door, outer, aluminium, opaque filling, at plant {CH}</t>
  </si>
  <si>
    <t>8e647194-34df-374c-ba58-b55b6d311b77</t>
  </si>
  <si>
    <t>Door, outer, aluminium, opaque filling, at plant {RER}</t>
  </si>
  <si>
    <t>cba014b5-8b07-3bf6-aeb7-1dc097d8d325</t>
  </si>
  <si>
    <t>Door, outer, aluminium, opaque filling, at regional storage {CH}</t>
  </si>
  <si>
    <t>da70640b-e2aa-397d-b81d-ce5b17ec44bd</t>
  </si>
  <si>
    <t>Door, outer, aluminium, opaque filling, total {CH}</t>
  </si>
  <si>
    <t>d375ed4e-956e-3c8a-8a01-5d863b5fd54a</t>
  </si>
  <si>
    <t>Door, outer, aluminium, transparent filling, at plant {CH}</t>
  </si>
  <si>
    <t>6e47c2ad-842d-3632-af32-bd9ce911dc12</t>
  </si>
  <si>
    <t>Door, outer, aluminium, transparent filling, at plant {RER}</t>
  </si>
  <si>
    <t>35cad452-b920-31a9-a68a-4afc93117198</t>
  </si>
  <si>
    <t>Door, outer, aluminium, transparent filling, at regional storage {CH}</t>
  </si>
  <si>
    <t>700938bb-f702-3154-a966-6a618f87916d</t>
  </si>
  <si>
    <t>Door, outer, aluminium, transparent filling, total {CH}</t>
  </si>
  <si>
    <t>81552f5b-560c-35be-91ff-9366bb3543c0</t>
  </si>
  <si>
    <t>Door, outer, glass-wood, U=0.7 W/m2K, wooden frame, at plant {CH}</t>
  </si>
  <si>
    <t>108492c3-c3a3-3e44-a1b0-dfc1c16e116f</t>
  </si>
  <si>
    <t>Door, outer, wood-aluminium, wooden frame, at plant {CH}</t>
  </si>
  <si>
    <t>aaaeae53-2893-349d-b04d-6e09631b7a1b</t>
  </si>
  <si>
    <t>Door, outer, wood, U=1.0 W/m2K, wooden frame, at plant {CH}</t>
  </si>
  <si>
    <t>7b4210ab-ff62-319e-bac7-0c4b20da520d</t>
  </si>
  <si>
    <t>Drawing of pipes, steel {RER}</t>
  </si>
  <si>
    <t>ac58ca30-f75f-3935-9a20-ff1f52047114</t>
  </si>
  <si>
    <t>Dried roughage store, air dried, solar {CH}</t>
  </si>
  <si>
    <t>39397a61-95e5-354e-b858-2b2f8f0b6d71</t>
  </si>
  <si>
    <t>Dried roughage store, cold-air dried, conventional {CH}</t>
  </si>
  <si>
    <t>37054425-8d95-384b-be96-a924dac9edc6</t>
  </si>
  <si>
    <t>Dried roughage store, cold-air dried, conventional, operation {CH}</t>
  </si>
  <si>
    <t>agricultural\operations</t>
  </si>
  <si>
    <t>ffcb318a-9215-3be9-ab3f-5c328dcc45a4</t>
  </si>
  <si>
    <t>Dried roughage store, non ventilated {CH}</t>
  </si>
  <si>
    <t>585ea5d0-6ec7-3bd0-a251-f441cbe9d6a3</t>
  </si>
  <si>
    <t>Dried roughage store, non ventilated, operation {CH}</t>
  </si>
  <si>
    <t>254143c0-4217-3a9f-ae25-62a57883b53e</t>
  </si>
  <si>
    <t>Drilling, deep borehole {CH}</t>
  </si>
  <si>
    <t>8e24e77f-9e26-3129-964e-b1d83d070572</t>
  </si>
  <si>
    <t>Drilling, deep borehole {RER}</t>
  </si>
  <si>
    <t>55957973-eab7-3b72-ad4c-bac29feca3bf</t>
  </si>
  <si>
    <t>Drop-arm awning, at plant {CH}</t>
  </si>
  <si>
    <t>c8c4b538-5f27-386f-a03f-c0e3e0e3a74a</t>
  </si>
  <si>
    <t>Drop-arm awning, at plant, with resource correction {CH}</t>
  </si>
  <si>
    <t>3ba4ea19-956a-3ab2-b549-aa9f8a3054d7</t>
  </si>
  <si>
    <t>Drying of food, 1 kg water {CH}</t>
  </si>
  <si>
    <t>11308590-fa2a-36c2-af1b-9010b0fa5630</t>
  </si>
  <si>
    <t>Drying, natural gas {NO}</t>
  </si>
  <si>
    <t>fuels\natural gas\produced gas\processes</t>
  </si>
  <si>
    <t>29c41380-c322-36a6-b309-365255ba535d</t>
  </si>
  <si>
    <t>DTPA, diethylenetriaminepentaacetic acid, at plant {RER}</t>
  </si>
  <si>
    <t>50b44dba-c838-3e7d-9e28-2bfc4e5419ff</t>
  </si>
  <si>
    <t>DummyWasteTreatment U</t>
  </si>
  <si>
    <t>Others\unspecified_wt</t>
  </si>
  <si>
    <t>b987210b-b45b-4e03-843e-cbd3f3e8e4e3</t>
  </si>
  <si>
    <t>Dung slab {CH}</t>
  </si>
  <si>
    <t>5c8a8bd3-7fb4-3566-9ca2-3ab4e633ab9c</t>
  </si>
  <si>
    <t>EDTA, ethylenediaminetetraacetic acid, at plant {RER}</t>
  </si>
  <si>
    <t>f92679c2-49f5-3221-a2bc-f02d92134957</t>
  </si>
  <si>
    <t>EI 30 fire insulation, 50mm, 120kg/m3, reinforced alumium foil, at plant {CH}</t>
  </si>
  <si>
    <t>ventilation\production of components</t>
  </si>
  <si>
    <t>fd150af7-2147-3f8e-a3a1-361e46382b1c</t>
  </si>
  <si>
    <t>EI 60 fire insulation, 70mm, 120kg/m3, reinforced alumium foil, at plant {CH}</t>
  </si>
  <si>
    <t>2499123a-36cc-3113-b10f-d7b9885f200b</t>
  </si>
  <si>
    <t>EI 90 fire insulation, 100mm, 120kg/m3, reinforced alumium foil, at plant {CH}</t>
  </si>
  <si>
    <t>081caaaf-c3ff-3ca6-8200-16b4dedfaf9e</t>
  </si>
  <si>
    <t>EKG I, electrical system, office building, construction {CH}</t>
  </si>
  <si>
    <t>construction processes\buildings</t>
  </si>
  <si>
    <t>ac4fb5f0-36d8-3a44-b51b-9ad8355c9796</t>
  </si>
  <si>
    <t>EKG I, electrical system, office building, deconstruction {CH}</t>
  </si>
  <si>
    <t>61e72e84-22c9-3f10-b25c-de85dfbfb0de</t>
  </si>
  <si>
    <t>EKG I, electrical system, residental building, construction {CH}</t>
  </si>
  <si>
    <t>e297949c-b756-3727-a256-cfcca08aae59</t>
  </si>
  <si>
    <t>EKG I, electrical system, residental building, deconstruction {CH}</t>
  </si>
  <si>
    <t>279202ec-262c-3d07-b5b3-2015afcefda3</t>
  </si>
  <si>
    <t>EKG I, sanitary facilities, office building, construction {CH}</t>
  </si>
  <si>
    <t>4793adc6-8053-35f8-a4f2-3c54f910d6bd</t>
  </si>
  <si>
    <t>EKG I, sanitary facilities, office building, deconstruction {CH}</t>
  </si>
  <si>
    <t>f136f531-8014-3cbe-b5eb-51efd3148ca7</t>
  </si>
  <si>
    <t>EKG I, sanitary facilities, residental building, construction {CH}</t>
  </si>
  <si>
    <t>8effe812-32de-3928-947c-6d441ce6a91f</t>
  </si>
  <si>
    <t>EKG I, sanitary facilities, residental building, deconstruction {CH}</t>
  </si>
  <si>
    <t>18d8e87f-2342-33fa-8d0f-bbd9e457fed9</t>
  </si>
  <si>
    <t>Elbow 90°, steel, 100x50 mm, at plant {RER}</t>
  </si>
  <si>
    <t>ef826900-0eb5-3dbe-b8dd-4d9ae4ad5eed</t>
  </si>
  <si>
    <t>Electric arc furnace converter {RER}</t>
  </si>
  <si>
    <t>a215ee01-c34d-3479-b1bb-c036766ad0a9</t>
  </si>
  <si>
    <t>Electric arc furnace slag, alloyed, 23MnCrSiMoF66, at plant {CH}</t>
  </si>
  <si>
    <t>519f1476-d27f-3619-afcc-2ad8faeb1642</t>
  </si>
  <si>
    <t>Electric arc furnace slag, alloyed, 42CrMoS4, at plant {CH}</t>
  </si>
  <si>
    <t>59050da3-e750-3b18-8323-05d626fa6254</t>
  </si>
  <si>
    <t>Electric arc furnace slag, alloyed, 44FMn28, at plant {CH}</t>
  </si>
  <si>
    <t>9e7fb42e-4930-3c36-b784-322bd7cf10e6</t>
  </si>
  <si>
    <t>Electric arc furnace slag, at plant {RER}</t>
  </si>
  <si>
    <t>1aaaf8ed-85ad-3f42-b7b7-5056d43a5e55</t>
  </si>
  <si>
    <t>Electric arc furnace slag, low-alloyed, at plant {CH}</t>
  </si>
  <si>
    <t>a6177709-3611-387e-93b4-a9850850ddec</t>
  </si>
  <si>
    <t>Electric arc furnace slag, low-alloyed, at plant, best plants (min. values) {RER}</t>
  </si>
  <si>
    <t>56fbc508-14ac-32ba-b1fc-4edc5d6ff2da</t>
  </si>
  <si>
    <t>Electric arc furnace slag, low-alloyed, at plant, worst plants (max. values) {RER}</t>
  </si>
  <si>
    <t>8e3945d6-ecd6-3754-9949-ca13077bc4c8</t>
  </si>
  <si>
    <t>Electric arc furnace slag, unalloyed, at plant {CH}</t>
  </si>
  <si>
    <t>0ee042bb-dc9d-38e7-a791-8ce2af7cf3f1</t>
  </si>
  <si>
    <t>Electric bicycle production, without battery and motor {RER}</t>
  </si>
  <si>
    <t>6a69ba15-1581-31e0-ba97-4ab8b38be2b0</t>
  </si>
  <si>
    <t>Electric bicycle, at regional storage {RER}</t>
  </si>
  <si>
    <t>3aa52919-7b30-3ca4-92f8-4f2d169fdec5</t>
  </si>
  <si>
    <t>Electric bicycle, LiNCM battery, at regional storage {RER}</t>
  </si>
  <si>
    <t>1dbaee31-d64d-3a9e-8a4f-a7b08b2660ac</t>
  </si>
  <si>
    <t>Electric cargo bicycle production, without battery and motor {RER}</t>
  </si>
  <si>
    <t>af874476-8ae3-32e4-accb-b005abfc0fe7</t>
  </si>
  <si>
    <t>Electric installation, 1.3 MWp photovoltaic plant, at plant {CH}</t>
  </si>
  <si>
    <t>03bcb48a-f359-3e79-8512-299b3e145fa3</t>
  </si>
  <si>
    <t>Electric installation, 156 kWp photovoltaic plant, at plant {CH}</t>
  </si>
  <si>
    <t>6cd53d31-ad3b-321f-b672-8c42aeeb54cc</t>
  </si>
  <si>
    <t>Electric installation, 280 kWp photovoltaic plant, at plant {CH}</t>
  </si>
  <si>
    <t>c744fd02-807e-319f-9ed7-34753cbd40ec</t>
  </si>
  <si>
    <t>Electric installation, 324 kWp photovoltaic plant, at plant {DE}</t>
  </si>
  <si>
    <t>c45bb967-234c-3b76-a76d-6682bc0530d6</t>
  </si>
  <si>
    <t>Electric installation, 450 kWp photovoltaic plant, at plant {DE}</t>
  </si>
  <si>
    <t>4b359604-ee22-36ba-bdc4-48a554215a77</t>
  </si>
  <si>
    <t>Electric installation, 560 kWp photovoltaic plant, at plant {CH}</t>
  </si>
  <si>
    <t>4f3d5819-3790-3871-87d1-a7469dd802fc</t>
  </si>
  <si>
    <t>Electric installation, 570 kWp photovoltaic plant, at plant {ES}</t>
  </si>
  <si>
    <t>6cc309bd-4808-3280-bc42-57a83c8ab6ed</t>
  </si>
  <si>
    <t>Electric installation, 93 kWp photovoltaic plant, at plant {CH}</t>
  </si>
  <si>
    <t>1d1d5042-f8e6-3fd3-9246-ace1861de036</t>
  </si>
  <si>
    <t>Electric installation, photovoltaic plant, at plant {CH}</t>
  </si>
  <si>
    <t>6e910062-f919-3dbe-b24f-96eee8f43df8</t>
  </si>
  <si>
    <t>Electric motor, electric vehicle, at plant {RER}</t>
  </si>
  <si>
    <t>6ee61f10-65a1-39e6-bf86-8207c2c1fb93</t>
  </si>
  <si>
    <t>Electric motor, for electric passenger car {RER}</t>
  </si>
  <si>
    <t>f937e3b1-e1ee-32f8-b582-8a044ad51323</t>
  </si>
  <si>
    <t>Electric motor, for electric scooter {RER}</t>
  </si>
  <si>
    <t>460f10ae-9ff6-3c63-86b2-2a93d972c9ac</t>
  </si>
  <si>
    <t>Electric parts of cogen unit 160kWe {RER}</t>
  </si>
  <si>
    <t>06c58ec8-1ae0-3d44-baa9-913a77f2454e</t>
  </si>
  <si>
    <t>Electric parts of Mini CHP plant {CH}</t>
  </si>
  <si>
    <t>033c2e16-6df5-3977-a829-869d40fa6dab</t>
  </si>
  <si>
    <t>Electric scooter, at regional storage {RER}</t>
  </si>
  <si>
    <t>771e9b72-d823-3500-b8e8-e34e9efc7265</t>
  </si>
  <si>
    <t>Electric storage heater, 5kW {CH}</t>
  </si>
  <si>
    <t>f0049a79-7a30-32fa-afab-864243056ec1</t>
  </si>
  <si>
    <t>Electric storage heater, per kg {CH}</t>
  </si>
  <si>
    <t>83c7f05f-4e2d-3ff1-9a3b-f310fc63a053</t>
  </si>
  <si>
    <t>Electrical equipment {RER}</t>
  </si>
  <si>
    <t>2a978392-b537-3eac-9cec-71997c74e57f</t>
  </si>
  <si>
    <t>Electricity from waste, at municipal waste incineration plant {CH}</t>
  </si>
  <si>
    <t>electricity by fuel\waste</t>
  </si>
  <si>
    <t>a9f81d35-ac75-3917-8e35-e9c000a104e6</t>
  </si>
  <si>
    <t>Electricity imports {AR}</t>
  </si>
  <si>
    <t>electricity\Electricity imports</t>
  </si>
  <si>
    <t>5e582a67-d9fd-33e1-9d88-a08c1194a9fd</t>
  </si>
  <si>
    <t>Electricity imports {AT}</t>
  </si>
  <si>
    <t>16ca9f5a-f9ac-3985-9af2-81818b21f48b</t>
  </si>
  <si>
    <t>Electricity imports {BA}</t>
  </si>
  <si>
    <t>32e403b2-ca24-3192-a933-2831d9958c76</t>
  </si>
  <si>
    <t>Electricity imports {BE}</t>
  </si>
  <si>
    <t>569f4f20-44d7-31e8-a06e-8753b8d945bf</t>
  </si>
  <si>
    <t>Electricity imports {BG}</t>
  </si>
  <si>
    <t>b9bdd999-5536-3ab2-91b6-43f53b661306</t>
  </si>
  <si>
    <t>Electricity imports {BR}</t>
  </si>
  <si>
    <t>054c8090-ad79-3a2f-a4bf-df3ce788bb3c</t>
  </si>
  <si>
    <t>Electricity imports {CA}</t>
  </si>
  <si>
    <t>10d85bc4-b484-3878-b38d-1c614ff6151e</t>
  </si>
  <si>
    <t>Electricity imports {CH}</t>
  </si>
  <si>
    <t>92087dad-4344-31ed-9458-596224dd2dbc</t>
  </si>
  <si>
    <t>Electricity imports {CN}</t>
  </si>
  <si>
    <t>d60f31dd-ad1c-372e-926d-072ba28dcb22</t>
  </si>
  <si>
    <t>Electricity imports {CZ}</t>
  </si>
  <si>
    <t>177af032-d39f-3df0-a72d-fd78da63db50</t>
  </si>
  <si>
    <t>Electricity imports {DE}</t>
  </si>
  <si>
    <t>7bc13c67-3ab5-3d32-890f-7f24e7f467bf</t>
  </si>
  <si>
    <t>Electricity imports {DK}</t>
  </si>
  <si>
    <t>1d3d3ea6-b4e8-3218-b268-4aeb7f02db51</t>
  </si>
  <si>
    <t>Electricity imports {EE}</t>
  </si>
  <si>
    <t>c63ddb05-f428-3c9a-b1c0-6fffba482599</t>
  </si>
  <si>
    <t>Electricity imports {ES}</t>
  </si>
  <si>
    <t>d653f952-cce2-32eb-90af-ecc5cbc8f8ab</t>
  </si>
  <si>
    <t>Electricity imports {FI}</t>
  </si>
  <si>
    <t>18563e51-abb5-3be8-be73-119f0f6a28d9</t>
  </si>
  <si>
    <t>Electricity imports {FR}</t>
  </si>
  <si>
    <t>e364f6d8-5e36-3dd2-899a-51a9761e2660</t>
  </si>
  <si>
    <t>Electricity imports {GB}</t>
  </si>
  <si>
    <t>f7d8ed81-9591-33c9-ba24-a2b63bc86259</t>
  </si>
  <si>
    <t>Electricity imports {GR}</t>
  </si>
  <si>
    <t>92631b92-124e-3d6c-b398-f6e0f53d14c9</t>
  </si>
  <si>
    <t>Electricity imports {HR}</t>
  </si>
  <si>
    <t>10febe98-d5a2-3b65-a971-5a2d3c1a9512</t>
  </si>
  <si>
    <t>Electricity imports {HU}</t>
  </si>
  <si>
    <t>77c31c87-390b-3f77-b08b-a21e4ed7e3c1</t>
  </si>
  <si>
    <t>Electricity imports {ID}</t>
  </si>
  <si>
    <t>795446fb-ca24-32e1-b11c-42bcefe8c96b</t>
  </si>
  <si>
    <t>Electricity imports {IE}</t>
  </si>
  <si>
    <t>b9240e4a-eec1-3bce-872a-113b3fb9ff29</t>
  </si>
  <si>
    <t>Electricity imports {IT}</t>
  </si>
  <si>
    <t>621830a7-f075-3ac8-888a-4ae7eb794b20</t>
  </si>
  <si>
    <t>Electricity imports {KZ}</t>
  </si>
  <si>
    <t>45b8ba25-b552-3378-8ff6-07d66c841a07</t>
  </si>
  <si>
    <t>Electricity imports {LT}</t>
  </si>
  <si>
    <t>8339b862-8cc5-34bc-9837-4be681f1a1ce</t>
  </si>
  <si>
    <t>Electricity imports {LU}</t>
  </si>
  <si>
    <t>6233f373-eb28-3be0-bb69-ee5817a8c1c7</t>
  </si>
  <si>
    <t>Electricity imports {LV}</t>
  </si>
  <si>
    <t>1182bef7-c195-342a-999f-38685406ed74</t>
  </si>
  <si>
    <t>Electricity imports {MA}</t>
  </si>
  <si>
    <t>95f6436b-8df8-3bd8-a0b7-b930e9cd5b7f</t>
  </si>
  <si>
    <t>Electricity imports {MK}</t>
  </si>
  <si>
    <t>ec2a498e-3a72-3519-94c2-5a003f1ea9f4</t>
  </si>
  <si>
    <t>Electricity imports {MX}</t>
  </si>
  <si>
    <t>b061f2ae-4420-3271-9f39-0283a28bf6e6</t>
  </si>
  <si>
    <t>Electricity imports {MY}</t>
  </si>
  <si>
    <t>87573194-91e1-3d0d-b24e-a6a4400ad9a7</t>
  </si>
  <si>
    <t>Electricity imports {NL}</t>
  </si>
  <si>
    <t>76c6b18f-67d1-3fe8-a88b-f6cf59b93b3b</t>
  </si>
  <si>
    <t>Electricity imports {NO}</t>
  </si>
  <si>
    <t>db71e480-d527-3f74-a3a9-70fe60695332</t>
  </si>
  <si>
    <t>Electricity imports {PK}</t>
  </si>
  <si>
    <t>92122018-e44b-3b5f-b58f-c5d53cbfb50d</t>
  </si>
  <si>
    <t>Electricity imports {PL}</t>
  </si>
  <si>
    <t>27d409ae-32ac-37b7-aa47-f70541e42acc</t>
  </si>
  <si>
    <t>Electricity imports {PT}</t>
  </si>
  <si>
    <t>fe90e92c-5d4b-3e3e-a753-b072ceb0efa0</t>
  </si>
  <si>
    <t>Electricity imports {RO}</t>
  </si>
  <si>
    <t>bd4d3eef-c739-30ea-aec3-6fb8163a4c51</t>
  </si>
  <si>
    <t>Electricity imports {RS}</t>
  </si>
  <si>
    <t>0421a283-748a-3359-bf74-d3a9f8f77bd7</t>
  </si>
  <si>
    <t>Electricity imports {SE}</t>
  </si>
  <si>
    <t>632f79c8-9872-38d9-aa96-0ee52f21090a</t>
  </si>
  <si>
    <t>Electricity imports {SI}</t>
  </si>
  <si>
    <t>7a3d293b-ff47-3ada-a4e3-e09769319375</t>
  </si>
  <si>
    <t>Electricity imports {SK}</t>
  </si>
  <si>
    <t>c1eb5b37-1aa5-3abe-bb05-4c844daa72a3</t>
  </si>
  <si>
    <t>Electricity imports {TH}</t>
  </si>
  <si>
    <t>f84906c0-973d-36fe-a6ba-0be094bae919</t>
  </si>
  <si>
    <t>Electricity imports {TR}</t>
  </si>
  <si>
    <t>14bbb9ba-733c-32f4-b183-272f087894c1</t>
  </si>
  <si>
    <t>Electricity imports {UA}</t>
  </si>
  <si>
    <t>c9ce8541-f2e3-3b5f-ac98-8b22ff549dcd</t>
  </si>
  <si>
    <t>Electricity imports {US}</t>
  </si>
  <si>
    <t>c5f45a16-3a83-3492-85c3-6b5520898cfb</t>
  </si>
  <si>
    <t>Electricity imports {VN}</t>
  </si>
  <si>
    <t>513b09aa-177f-3377-8003-4d8d6206b1bd</t>
  </si>
  <si>
    <t>Electricity mix {AE}</t>
  </si>
  <si>
    <t>electricity\supply mix</t>
  </si>
  <si>
    <t>820ccdc7-14f6-3ea4-84c9-2f4eda55c81c</t>
  </si>
  <si>
    <t>Electricity mix {AR}</t>
  </si>
  <si>
    <t>09393ed6-4117-403d-bc9b-0b083092cbd2</t>
  </si>
  <si>
    <t>Electricity mix {AT}</t>
  </si>
  <si>
    <t>68aca81a-c572-36bd-889b-2caeaf8d4182</t>
  </si>
  <si>
    <t>Electricity mix {AU}</t>
  </si>
  <si>
    <t>b3838bd5-66e3-38c3-ab48-e288e3a6e0d1</t>
  </si>
  <si>
    <t>Electricity mix {BA}</t>
  </si>
  <si>
    <t>726bfaf4-4a8d-3e5a-8088-9c51d45a9698</t>
  </si>
  <si>
    <t>Electricity mix {BD}</t>
  </si>
  <si>
    <t>e379a91d-246c-3d5e-a9f9-18e736b23d53</t>
  </si>
  <si>
    <t>Electricity mix {BE}</t>
  </si>
  <si>
    <t>2d843963-780e-34f0-8f5f-875aa8e6d801</t>
  </si>
  <si>
    <t>Electricity mix {BG}</t>
  </si>
  <si>
    <t>b334dbd3-01d2-4e3c-a8dc-05a88ec25c62</t>
  </si>
  <si>
    <t>Electricity mix {BR}</t>
  </si>
  <si>
    <t>40ce0078-37f5-3e7d-8fe2-851ef1f01177</t>
  </si>
  <si>
    <t>Electricity mix {CA}</t>
  </si>
  <si>
    <t>cefa41f0-126e-3478-8e18-08cc47acfd20</t>
  </si>
  <si>
    <t>Electricity mix {CH}</t>
  </si>
  <si>
    <t>3dd9f4d2-ebc3-32d6-8138-ba4253c4ebc3</t>
  </si>
  <si>
    <t>Electricity mix {CL}</t>
  </si>
  <si>
    <t>ae391410-bb73-3882-b368-1c19fe7ba5ff</t>
  </si>
  <si>
    <t>Electricity mix {CN}</t>
  </si>
  <si>
    <t>0d7192e8-d719-4da9-aa12-2e8224842f6a</t>
  </si>
  <si>
    <t>Electricity mix {CO}</t>
  </si>
  <si>
    <t>8baf257b-5310-3182-995b-0a68cf2cc786</t>
  </si>
  <si>
    <t>Electricity mix {CZ}</t>
  </si>
  <si>
    <t>3ff44eea-4da5-3573-bfeb-49f22e55e468</t>
  </si>
  <si>
    <t>Electricity mix {DE}</t>
  </si>
  <si>
    <t>54942657-285a-383e-a6fc-2c98a0984f4f</t>
  </si>
  <si>
    <t>Electricity mix {DK}</t>
  </si>
  <si>
    <t>7f44fe17-4344-3cee-a74f-fe1f769d1808</t>
  </si>
  <si>
    <t>Electricity mix {DZ}</t>
  </si>
  <si>
    <t>b981e178-fadb-3915-a24c-757220ebe6b5</t>
  </si>
  <si>
    <t>Electricity mix {EE}</t>
  </si>
  <si>
    <t>09c881fb-e1c8-3d5c-85d3-9e331f78c143</t>
  </si>
  <si>
    <t>Electricity mix {EG}</t>
  </si>
  <si>
    <t>5f5cc329-fe0a-3b83-b719-4cd455ee6a51</t>
  </si>
  <si>
    <t>Electricity mix {ENTSO-E}</t>
  </si>
  <si>
    <t>8c46916d-68dd-3e82-b687-d71d17a06de9</t>
  </si>
  <si>
    <t>Electricity mix {ES}</t>
  </si>
  <si>
    <t>c9de9740-9eb0-300b-a232-e807a9a52907</t>
  </si>
  <si>
    <t>Electricity mix {ET}</t>
  </si>
  <si>
    <t>4439781b-c11a-3e50-98db-9613fbbe72cb</t>
  </si>
  <si>
    <t>Electricity mix {FI}</t>
  </si>
  <si>
    <t>882f6f60-b2fb-3b5c-8910-663828ef7eb6</t>
  </si>
  <si>
    <t>Electricity mix {FR}</t>
  </si>
  <si>
    <t>c748adec-4e85-35a3-b80c-dee46f6ce01e</t>
  </si>
  <si>
    <t>Electricity mix {GB}</t>
  </si>
  <si>
    <t>a376e2cd-43a6-32db-9a47-b27e9c6b6253</t>
  </si>
  <si>
    <t>Electricity mix {GLO}</t>
  </si>
  <si>
    <t>d0ea0a9b-47d8-3670-99ae-9000ea0811f1</t>
  </si>
  <si>
    <t>Electricity mix {GR}</t>
  </si>
  <si>
    <t>e8f60e85-abbd-332e-ab2b-f135c7924c37</t>
  </si>
  <si>
    <t>Electricity mix {HR}</t>
  </si>
  <si>
    <t>a370efda-e2e1-333c-8082-1ec64df8c47e</t>
  </si>
  <si>
    <t>Electricity mix {HU}</t>
  </si>
  <si>
    <t>fc8803dd-3d34-3ec6-961f-c74808323c90</t>
  </si>
  <si>
    <t>Electricity mix {ID}</t>
  </si>
  <si>
    <t>57c047a9-435e-3e53-afd5-cad25030e367</t>
  </si>
  <si>
    <t>Electricity mix {IE}</t>
  </si>
  <si>
    <t>89f170fc-9b3b-368a-99cd-72ef8cc88bf0</t>
  </si>
  <si>
    <t>Electricity mix {IL}</t>
  </si>
  <si>
    <t>87654a95-07e6-3789-9ee6-895b589f4b4d</t>
  </si>
  <si>
    <t>Electricity mix {IN}</t>
  </si>
  <si>
    <t>57567d09-3798-38d3-ae2c-acd557ef8b60</t>
  </si>
  <si>
    <t>Electricity mix {IQ}</t>
  </si>
  <si>
    <t>403a1df7-3190-3ea7-a1ae-ac1a6ef70fb3</t>
  </si>
  <si>
    <t>Electricity mix {IR}</t>
  </si>
  <si>
    <t>daa6b12c-58dc-37c9-bfa1-0e7f5349c862</t>
  </si>
  <si>
    <t>Electricity mix {IS}</t>
  </si>
  <si>
    <t>ce2bbcc6-b3ec-3a7a-9cf1-bb96e326cba6</t>
  </si>
  <si>
    <t>Electricity mix {IT}</t>
  </si>
  <si>
    <t>1ab327c7-a632-3469-bc47-f6973878845c</t>
  </si>
  <si>
    <t>Electricity mix {JP}</t>
  </si>
  <si>
    <t>681289bf-d235-3b7e-a72c-235dbe175cb2</t>
  </si>
  <si>
    <t>Electricity mix {KR}</t>
  </si>
  <si>
    <t>3a7c5e48-2506-3b0f-9864-6bf8dae18d41</t>
  </si>
  <si>
    <t>Electricity mix {KZ}</t>
  </si>
  <si>
    <t>d1f2052f-fdea-3015-aef9-d116e5665c76</t>
  </si>
  <si>
    <t>Electricity mix {LT}</t>
  </si>
  <si>
    <t>e8867d70-fc48-496a-8e99-adee0dd75855</t>
  </si>
  <si>
    <t>Electricity mix {LU}</t>
  </si>
  <si>
    <t>0425d8d1-5c0b-374c-95c5-e8bc0f1d729d</t>
  </si>
  <si>
    <t>Electricity mix {LV}</t>
  </si>
  <si>
    <t>6aaf4450-8075-3c27-b405-6479b99f918d</t>
  </si>
  <si>
    <t>Electricity mix {MA}</t>
  </si>
  <si>
    <t>a134273d-aed2-4303-ab6a-696478a08a05</t>
  </si>
  <si>
    <t>Electricity mix {MK}</t>
  </si>
  <si>
    <t>8b625fca-4d53-32ad-8fa2-0893da51e631</t>
  </si>
  <si>
    <t>Electricity mix {MX}</t>
  </si>
  <si>
    <t>b94ea919-6d0f-352e-a5e9-672ff5cee901</t>
  </si>
  <si>
    <t>Electricity mix {MY}</t>
  </si>
  <si>
    <t>5a197f96-9e7e-347c-8420-4b755f97b4ce</t>
  </si>
  <si>
    <t>Electricity mix {NG}</t>
  </si>
  <si>
    <t>294bc68e-a3e3-38e0-95b4-08bce4c4879d</t>
  </si>
  <si>
    <t>Electricity mix {NL}</t>
  </si>
  <si>
    <t>1e1ab8a9-4ce8-351d-9a2f-ddc2fcb05d03</t>
  </si>
  <si>
    <t>Electricity mix {NO}</t>
  </si>
  <si>
    <t>1ab83d2e-3baa-3a74-8cf4-3da0a34046a2</t>
  </si>
  <si>
    <t>Electricity mix {NZ}</t>
  </si>
  <si>
    <t>5670367a-e868-3b7e-80b2-98b1e4e4f353</t>
  </si>
  <si>
    <t>Electricity mix {PE}</t>
  </si>
  <si>
    <t>04bdecaa-532b-379e-9d73-77557f19e3a9</t>
  </si>
  <si>
    <t>Electricity mix {PH}</t>
  </si>
  <si>
    <t>7a2eb306-86ba-3e0a-a784-7d68cb4e6cf3</t>
  </si>
  <si>
    <t>Electricity mix {PK}</t>
  </si>
  <si>
    <t>771ef91f-8c8e-3cff-938b-bd844f78c26c</t>
  </si>
  <si>
    <t>Electricity mix {PL}</t>
  </si>
  <si>
    <t>075acff7-185a-3539-b825-cb156a50e6af</t>
  </si>
  <si>
    <t>Electricity mix {PT}</t>
  </si>
  <si>
    <t>c908cd1b-b9a4-3220-849c-0633c2b756ff</t>
  </si>
  <si>
    <t>Electricity mix {QA}</t>
  </si>
  <si>
    <t>d93a663e-e41c-3637-b3d0-416f7ac64c36</t>
  </si>
  <si>
    <t>Electricity mix {RAF}</t>
  </si>
  <si>
    <t>91d0c37a-40b2-3743-abab-051c071ebc1a</t>
  </si>
  <si>
    <t>Electricity mix {RAS}</t>
  </si>
  <si>
    <t>49bf7b9b-ed23-38aa-8eb1-b120efe00aac</t>
  </si>
  <si>
    <t>Electricity mix {RER}</t>
  </si>
  <si>
    <t>70b4fdde-6b7f-3123-aadd-0d319d5e688d</t>
  </si>
  <si>
    <t>Electricity mix {RLA}</t>
  </si>
  <si>
    <t>9c2c612e-5c4c-3680-b419-0ebd5f928c54</t>
  </si>
  <si>
    <t>Electricity mix {RME}</t>
  </si>
  <si>
    <t>291cdf47-85d8-3dfd-8c14-2e99676470b4</t>
  </si>
  <si>
    <t>Electricity mix {RNA}</t>
  </si>
  <si>
    <t>9997cbd5-a16e-35ca-999a-c19c68db64a4</t>
  </si>
  <si>
    <t>Electricity mix {RO}</t>
  </si>
  <si>
    <t>0d672bc5-ff73-40ab-903a-ca9e4b64a141</t>
  </si>
  <si>
    <t>Electricity mix {RS}</t>
  </si>
  <si>
    <t>c4174ba7-ac65-4c3c-a4ed-4f4273dd204e</t>
  </si>
  <si>
    <t>Electricity mix {RU}</t>
  </si>
  <si>
    <t>968526b9-a220-4b82-b2ce-166b6f9592d7</t>
  </si>
  <si>
    <t>Electricity mix {SA}</t>
  </si>
  <si>
    <t>700b33a8-151d-37fd-b986-44ee6a72b769</t>
  </si>
  <si>
    <t>Electricity mix {SE}</t>
  </si>
  <si>
    <t>de0d2e55-011d-373d-bbad-07e3b47ffaab</t>
  </si>
  <si>
    <t>Electricity mix {SG}</t>
  </si>
  <si>
    <t>6f44c411-bce5-3558-8d75-b78cfdeae5a8</t>
  </si>
  <si>
    <t>Electricity mix {SI}</t>
  </si>
  <si>
    <t>961ac543-20c6-3a1f-9159-a68d17effbad</t>
  </si>
  <si>
    <t>Electricity mix {SK}</t>
  </si>
  <si>
    <t>2fcfa25c-51e0-330c-8fc1-ce484859a122</t>
  </si>
  <si>
    <t>Electricity mix {TH}</t>
  </si>
  <si>
    <t>d81027ac-b94d-3fb3-a1c1-4311a2ea2d68</t>
  </si>
  <si>
    <t>Electricity mix {TN}</t>
  </si>
  <si>
    <t>2386ad14-2119-3834-a127-90bfe4510df4</t>
  </si>
  <si>
    <t>Electricity mix {TR}</t>
  </si>
  <si>
    <t>0b501d85-e841-33af-b1ef-d7dd1985669a</t>
  </si>
  <si>
    <t>Electricity mix {TW}</t>
  </si>
  <si>
    <t>c7962628-72e5-49a3-897c-76e341928cb7</t>
  </si>
  <si>
    <t>Electricity mix {TZ}</t>
  </si>
  <si>
    <t>dc2fc4ac-a96a-33ba-b964-5d261eefd53f</t>
  </si>
  <si>
    <t>Electricity mix {UA}</t>
  </si>
  <si>
    <t>310f563d-7f03-4c3f-b003-ae3b0fe2df72</t>
  </si>
  <si>
    <t>Electricity mix {US}</t>
  </si>
  <si>
    <t>192e3dde-2f54-3a31-8303-6f5ff7e894c8</t>
  </si>
  <si>
    <t>Electricity mix {VN}</t>
  </si>
  <si>
    <t>9c589e6a-09eb-366a-b75e-ec5e34d530c8</t>
  </si>
  <si>
    <t>Electricity mix {ZA}</t>
  </si>
  <si>
    <t>7351e698-ab94-36f4-8c52-b8f7d5b334ba</t>
  </si>
  <si>
    <t>Electricity mix, aluminium industry {GLO}</t>
  </si>
  <si>
    <t>a2fc5230-3198-3adf-979b-15820fe9b72a</t>
  </si>
  <si>
    <t>Electricity mix, consumer, according to BFE 2005, at plant {CH}</t>
  </si>
  <si>
    <t>energy supply, kbob recommendation\electricity, delivered via network</t>
  </si>
  <si>
    <t>c386d9c0-b050-3c17-a4a3-7f603b6e5d7c</t>
  </si>
  <si>
    <t>Electricity mix, DB {DE}</t>
  </si>
  <si>
    <t>7af072a0-dd17-3094-b0f0-e10659604b4c</t>
  </si>
  <si>
    <t>Electricity mix, electric utility Obwalden, at plant {CH}</t>
  </si>
  <si>
    <t>c4a7d825-6b6c-3dcb-89de-2d64882db7f6</t>
  </si>
  <si>
    <t>Electricity mix, ÖBB {AT}</t>
  </si>
  <si>
    <t>c5d05720-49b2-32d0-bd1a-a84cfaca73c4</t>
  </si>
  <si>
    <t>Electricity mix, operation storage pumps, ENTSO, 2020, at plant {AT}</t>
  </si>
  <si>
    <t>electricity\production mix</t>
  </si>
  <si>
    <t>6797625a-7596-32d3-a0a0-8e61abeb0387</t>
  </si>
  <si>
    <t>Electricity mix, operation storage pumps, ENTSO, 2020, at plant {CH}</t>
  </si>
  <si>
    <t>729a0dd2-5a2b-3b5e-8960-df2240b7629f</t>
  </si>
  <si>
    <t>Electricity mix, operation storage pumps, ENTSO, 2020, at plant {DE}</t>
  </si>
  <si>
    <t>cff117a7-78f8-3ab0-b2df-40fded781954</t>
  </si>
  <si>
    <t>Electricity mix, operation storage pumps, ENTSO, 2020, at plant {FR}</t>
  </si>
  <si>
    <t>b3264fd1-1e55-348c-b5ca-b72613b9c3d1</t>
  </si>
  <si>
    <t>Electricity mix, operation storage pumps, ENTSO, 2020, at plant {IT}</t>
  </si>
  <si>
    <t>68d68a59-1717-3ecb-95af-0499ca2c8e5f</t>
  </si>
  <si>
    <t>Electricity mix, operation storage pumps, ENTSO, summer 2018, at plant {AT}</t>
  </si>
  <si>
    <t>ed244bb5-17dd-371e-9c56-b8c6d3b5d953</t>
  </si>
  <si>
    <t>Electricity mix, operation storage pumps, ENTSO, summer 2018, at plant {CH}</t>
  </si>
  <si>
    <t>a20c2c75-8b24-3ce2-97df-13fecc404ef6</t>
  </si>
  <si>
    <t>Electricity mix, operation storage pumps, ENTSO, summer 2018, at plant {DE}</t>
  </si>
  <si>
    <t>a69780ce-1863-3558-bd4c-1fa345535ebf</t>
  </si>
  <si>
    <t>Electricity mix, operation storage pumps, ENTSO, summer 2018, at plant {FR}</t>
  </si>
  <si>
    <t>74233067-20b1-3e3c-91eb-a5a85b08e045</t>
  </si>
  <si>
    <t>Electricity mix, operation storage pumps, ENTSO, summer 2018, at plant {IT}</t>
  </si>
  <si>
    <t>84ceb6d3-4958-3ccc-ac66-4d92bbe8b706</t>
  </si>
  <si>
    <t>Electricity mix, operation storage pumps, ENTSO, winter 2018, at plant {AT}</t>
  </si>
  <si>
    <t>9b2cae89-3028-3946-9346-b892d03fd6df</t>
  </si>
  <si>
    <t>Electricity mix, operation storage pumps, ENTSO, winter 2018, at plant {CH}</t>
  </si>
  <si>
    <t>11d53ec9-71ce-34ae-a6cf-8fb4c092e426</t>
  </si>
  <si>
    <t>Electricity mix, operation storage pumps, ENTSO, winter 2018, at plant {DE}</t>
  </si>
  <si>
    <t>dffba01e-94f8-3adf-b23c-9493f2b409e4</t>
  </si>
  <si>
    <t>Electricity mix, operation storage pumps, ENTSO, winter 2018, at plant {FR}</t>
  </si>
  <si>
    <t>b3c707b7-6cea-3219-b8d4-885d71840b48</t>
  </si>
  <si>
    <t>Electricity mix, operation storage pumps, ENTSO, winter 2018, at plant {IT}</t>
  </si>
  <si>
    <t>fb1c4abb-1382-3f63-8be5-901711828aff</t>
  </si>
  <si>
    <t>Electricity mix, railway {FR}</t>
  </si>
  <si>
    <t>5399945c-fb9c-3ac4-b229-bf3d4acdc8a5</t>
  </si>
  <si>
    <t>Electricity mix, railway {IT}</t>
  </si>
  <si>
    <t>60c3266c-fbc8-39e0-9ae6-cb903dcb470b</t>
  </si>
  <si>
    <t>Electricity mix, SBB {CH}</t>
  </si>
  <si>
    <t>baa46904-44f5-324f-b6ea-149b4f96b03a</t>
  </si>
  <si>
    <t>Electricity mix, summer 2018 {CH}</t>
  </si>
  <si>
    <t>90820dd6-cb49-35a3-ac20-426b74f5fdac</t>
  </si>
  <si>
    <t>Electricity mix, water utility Zug, at plant {CH}</t>
  </si>
  <si>
    <t>fe4c2b06-51af-3d53-8d12-5ce9bd0e0b5d</t>
  </si>
  <si>
    <t>Electricity mix, winter 2018 {CH}</t>
  </si>
  <si>
    <t>fdc628a0-bb09-3da8-b2e0-a46e584af7ab</t>
  </si>
  <si>
    <t>Electricity, at 1005MW wind farm, offshore, 15MW turbines {RER}</t>
  </si>
  <si>
    <t>electricity by fuel\wind</t>
  </si>
  <si>
    <t>350a9796-22ba-37ac-8733-4dba1db18e3b</t>
  </si>
  <si>
    <t>Electricity, at 100MW wind farm, onshore, 2.3MW turbines {RER}</t>
  </si>
  <si>
    <t>79a7b7d6-d0eb-48f2-bae7-da98facdae0f</t>
  </si>
  <si>
    <t>Electricity, at 100MW wind farm, onshore, 4.5 MW turbines {RER}</t>
  </si>
  <si>
    <t>8a41b822-3ac8-372e-904e-ef4190c05f41</t>
  </si>
  <si>
    <t>Electricity, at 100MW wind farm, onshore, 6.2MW turbines {RER}</t>
  </si>
  <si>
    <t>414b2eda-6015-3e40-b0ea-b36d4c8e0c96</t>
  </si>
  <si>
    <t>Electricity, at 150MW wind farm, offshore, 5MW turbines {RER}</t>
  </si>
  <si>
    <t>7fed9d35-290b-3514-9d8e-95dd9d71d7f2</t>
  </si>
  <si>
    <t>Electricity, at 200MW wind farm, onshore, 3.4MW turbines {RER}</t>
  </si>
  <si>
    <t>e279b386-d58f-3b89-bd34-e6758b20f7fc</t>
  </si>
  <si>
    <t>Electricity, at 740MW wind farm, offshore, 10MW turbines {RER}</t>
  </si>
  <si>
    <t>ddfac649-b18a-36e8-87be-b909a40d2b6d</t>
  </si>
  <si>
    <t>Electricity, at cogen 15kWth, biomethane, allocation exergy {CH}</t>
  </si>
  <si>
    <t>electricity by fuel\biomethane\cogeneration</t>
  </si>
  <si>
    <t>c92cfdf5-9d6e-3995-ab57-0962d8f423f7</t>
  </si>
  <si>
    <t>Electricity, at cogen 15kWth, biomethane, economic allocation {CH}</t>
  </si>
  <si>
    <t>f528b6c5-d2de-3329-b5d6-db3a399ea9df</t>
  </si>
  <si>
    <t>Electricity, at cogen 15kWth, diesel, allocation exergy {CH}</t>
  </si>
  <si>
    <t>electricity by fuel\oil\cogeneration</t>
  </si>
  <si>
    <t>b85454b8-8bc5-348d-b2c3-efa72948df3d</t>
  </si>
  <si>
    <t>Electricity, at cogen 15kWth, diesel, economic allocation {CH}</t>
  </si>
  <si>
    <t>7ee60011-7278-32a5-83ad-8d7fe6469e3a</t>
  </si>
  <si>
    <t>Electricity, at cogen 15kWth, natural gas, allocation exergy {CH}</t>
  </si>
  <si>
    <t>electricity by fuel\natural gas\cogeneration</t>
  </si>
  <si>
    <t>491a1415-b92c-3e42-a5ae-efd7fa292da5</t>
  </si>
  <si>
    <t>Electricity, at cogen 15kWth, natural gas, economic allocation {CH}</t>
  </si>
  <si>
    <t>facedb50-77bd-33e3-a39e-bc0d3ef12015</t>
  </si>
  <si>
    <t>Electricity, at cogen 160kWe Jakobsberg, allocation electricity {CH}</t>
  </si>
  <si>
    <t>9d1c739f-4d6f-346a-8348-0dbc3fd8fc7f</t>
  </si>
  <si>
    <t>Electricity, at cogen 160kWe Jakobsberg, allocation energy {CH}</t>
  </si>
  <si>
    <t>58aa72c6-bad3-333b-b24f-da76367956cf</t>
  </si>
  <si>
    <t>Electricity, at cogen 160kWe Jakobsberg, allocation exergy {CH}</t>
  </si>
  <si>
    <t>c8d6ac64-29d2-3ab3-adec-079eca39cc12</t>
  </si>
  <si>
    <t>Electricity, at cogen 160kWe Jakobsberg, allocation heat {CH}</t>
  </si>
  <si>
    <t>9c69ef3c-2f50-329c-90c9-c5c9a32e9535</t>
  </si>
  <si>
    <t>Electricity, at cogen 160kWe Jakobsberg, allocation price {CH}</t>
  </si>
  <si>
    <t>9ead0f39-f3e6-39a7-8a3b-ecaf66542dd6</t>
  </si>
  <si>
    <t>Electricity, at cogen 1MWe lean burn, allocation exergy {RER}</t>
  </si>
  <si>
    <t>36e49088-3ad7-312e-a2db-9a5ec3ea984a</t>
  </si>
  <si>
    <t>Electricity, at cogen 1MWth, biomethane, allocation exergy {CH}</t>
  </si>
  <si>
    <t>7e6517bc-caf0-362e-a104-1c9007353275</t>
  </si>
  <si>
    <t>Electricity, at cogen 1MWth, biomethane, economic allocation {CH}</t>
  </si>
  <si>
    <t>5bf0320e-ad8f-3f17-82cb-33fd82fd60e7</t>
  </si>
  <si>
    <t>Electricity, at cogen 1MWth, diesel, allocation exergy {CH}</t>
  </si>
  <si>
    <t>81a546af-86a9-3f87-8e76-9b98fe1bbf42</t>
  </si>
  <si>
    <t>Electricity, at cogen 1MWth, diesel, economic allocation {CH}</t>
  </si>
  <si>
    <t>606b750a-6e19-35d5-88ec-5cc8e467e5ac</t>
  </si>
  <si>
    <t>Electricity, at cogen 1MWth, natural gas, allocation exergy {CH}</t>
  </si>
  <si>
    <t>d1c86f4a-5d63-3762-8b21-a103fa453547</t>
  </si>
  <si>
    <t>Electricity, at cogen 1MWth, natural gas, economic allocation {CH}</t>
  </si>
  <si>
    <t>deaa2ea0-1790-3d24-8f9a-92053841361a</t>
  </si>
  <si>
    <t>Electricity, at cogen 1MWth, wood chips, allocation exergy {CH}</t>
  </si>
  <si>
    <t>electricity by fuel\wood\cogeneration</t>
  </si>
  <si>
    <t>f566629f-cb3c-361b-a2f1-ad710225f81d</t>
  </si>
  <si>
    <t>Electricity, at cogen 1MWth, wood chips, economic allocation {CH}</t>
  </si>
  <si>
    <t>10d0f8ad-0559-3528-a8be-f4c0c48c9343</t>
  </si>
  <si>
    <t>Electricity, at cogen 300kWth, biomethane, allocation exergy {CH}</t>
  </si>
  <si>
    <t>e153215e-5b20-3008-8366-76412dad6b2a</t>
  </si>
  <si>
    <t>Electricity, at cogen 300kWth, biomethane, economic allocation {CH}</t>
  </si>
  <si>
    <t>a0edd725-ced9-3cab-8932-d03806bdf84b</t>
  </si>
  <si>
    <t>Electricity, at cogen 300kWth, diesel, allocation exergy {CH}</t>
  </si>
  <si>
    <t>29612bfe-5e20-37df-a2d4-e255324c5dbe</t>
  </si>
  <si>
    <t>Electricity, at cogen 300kWth, diesel, economic allocation {CH}</t>
  </si>
  <si>
    <t>1d1a8d84-b450-3ed2-89c8-fa888bb6e0a7</t>
  </si>
  <si>
    <t>Electricity, at cogen 300kWth, natural gas, allocation exergy {CH}</t>
  </si>
  <si>
    <t>9f45632f-737f-39a6-8b59-3c82c5bfc6b8</t>
  </si>
  <si>
    <t>Electricity, at cogen 300kWth, natural gas, economic allocation {CH}</t>
  </si>
  <si>
    <t>2076491d-bc07-318c-9e18-73e512c9f753</t>
  </si>
  <si>
    <t>Electricity, at cogen 300kWth, pellets, allocation exergy {CH}</t>
  </si>
  <si>
    <t>8a8d5d47-a812-3dd6-9e23-0c2088dbbbd8</t>
  </si>
  <si>
    <t>Electricity, at cogen 300kWth, pellets, economic allocation {CH}</t>
  </si>
  <si>
    <t>1405002d-df8d-3923-98e7-854366b04cef</t>
  </si>
  <si>
    <t>Electricity, at cogen 300kWth, wood chips, allocation exergy {CH}</t>
  </si>
  <si>
    <t>41bbbb31-5043-3ba2-947f-204d46113bdd</t>
  </si>
  <si>
    <t>Electricity, at cogen 300kWth, wood chips, economic allocation {CH}</t>
  </si>
  <si>
    <t>53dcce7a-e483-3e77-aec1-bf5056634ab0</t>
  </si>
  <si>
    <t>Electricity, at cogen 50kWth, biomethane, allocation exergy {CH}</t>
  </si>
  <si>
    <t>b6be93f7-2811-30ee-946d-45fbe95bdc92</t>
  </si>
  <si>
    <t>Electricity, at cogen 50kWth, biomethane, economic allocation {CH}</t>
  </si>
  <si>
    <t>51a3bcc8-538c-30a6-a103-1ff9eba008d8</t>
  </si>
  <si>
    <t>Electricity, at cogen 50kWth, diesel, allocation exergy {CH}</t>
  </si>
  <si>
    <t>3047953f-4ac3-3993-a42f-38c2bf70c3a0</t>
  </si>
  <si>
    <t>Electricity, at cogen 50kWth, diesel, economic allocation {CH}</t>
  </si>
  <si>
    <t>17f72d1b-4fa0-3773-b915-12cfc0cedc5e</t>
  </si>
  <si>
    <t>Electricity, at cogen 50kWth, natural gas, allocation exergy {CH}</t>
  </si>
  <si>
    <t>c7a22a73-db43-3e18-b979-01a3d7062860</t>
  </si>
  <si>
    <t>Electricity, at cogen 50kWth, natural gas, economic allocation {CH}</t>
  </si>
  <si>
    <t>b4b0614d-ffbe-3bfa-945d-35b429ae0ed4</t>
  </si>
  <si>
    <t>Electricity, at cogen 50kWth, wood pellets, allocation exergy {CH}</t>
  </si>
  <si>
    <t>acdc97b3-2168-3309-a515-6c7562b328f5</t>
  </si>
  <si>
    <t>Electricity, at cogen 50kWth, wood pellets, economic allocation {CH}</t>
  </si>
  <si>
    <t>f97174cd-27d5-34d6-a886-96940a9592b0</t>
  </si>
  <si>
    <t>Electricity, at cogen ORC 1400kWth, wood, allocation exergy {CH}</t>
  </si>
  <si>
    <t>2bb98c84-88dd-3723-8c41-7d1e3bd3e89b</t>
  </si>
  <si>
    <t>Electricity, at cogen with biogas engine, agricultural covered, alloc. exergy {CH}</t>
  </si>
  <si>
    <t>electricity by fuel\biomass\cogeneration</t>
  </si>
  <si>
    <t>f750cb25-3801-38c0-a8e1-454eec70b8f5</t>
  </si>
  <si>
    <t>Electricity, at cogen with biogas engine, agricultural, alloc. exergy {CH}</t>
  </si>
  <si>
    <t>eb561ac6-5f25-3105-87ac-62ab98a2d41e</t>
  </si>
  <si>
    <t>Electricity, at cogen with biogas engine, allocation exergy {CH}</t>
  </si>
  <si>
    <t>aeb0fb1c-e3e4-371c-802e-7513e1b69faa</t>
  </si>
  <si>
    <t>Electricity, at cogen with ignition biogas engine, agric. covered, alloc. exergy {CH}</t>
  </si>
  <si>
    <t>7de59e8c-d9a9-3385-b471-2b839a91d438</t>
  </si>
  <si>
    <t>Electricity, at cogen with ignition biogas engine, allocation exergy {CH}</t>
  </si>
  <si>
    <t>04878023-d350-312e-9d4a-5f7c030ef0a8</t>
  </si>
  <si>
    <t>Electricity, at Mini CHP plant, allocation energy {CH}</t>
  </si>
  <si>
    <t>bc7a3319-a164-32fe-8a87-89682c574d71</t>
  </si>
  <si>
    <t>Electricity, at Mini CHP plant, allocation heat {CH}</t>
  </si>
  <si>
    <t>baa5adf6-1695-3aee-a42a-508802b8aac5</t>
  </si>
  <si>
    <t>Electricity, at wind farm {CH}</t>
  </si>
  <si>
    <t>542e8ae5-f22c-39fe-8d11-7681851e9dfc</t>
  </si>
  <si>
    <t>Electricity, at wind farm {RER}</t>
  </si>
  <si>
    <t>b35b43a0-cf11-3cf1-ba91-54faaf294f6c</t>
  </si>
  <si>
    <t>Electricity, bagasse, sugarcane, at fermentation plant {BR}</t>
  </si>
  <si>
    <t>23bd1893-5632-364e-9dbe-06f91fb128bb</t>
  </si>
  <si>
    <t>Electricity, biogas from beet residues, at cogen {CH}</t>
  </si>
  <si>
    <t>b541c7a9-21ad-338a-b9f4-0e3793e49d55</t>
  </si>
  <si>
    <t>Electricity, biogas from fodder beet, at cogen {CH}</t>
  </si>
  <si>
    <t>6404669c-fbd5-3652-ad05-6ae47bbac084</t>
  </si>
  <si>
    <t>Electricity, biogas from glycerine, at cogen {CH}</t>
  </si>
  <si>
    <t>74c85b02-afdd-3439-ad95-8876b0b408ae</t>
  </si>
  <si>
    <t>Electricity, biogas from glycerine, at cogen, scenario vegetable oil {CH}</t>
  </si>
  <si>
    <t>04002f13-cd81-3674-83b6-e63d9f86b165</t>
  </si>
  <si>
    <t>Electricity, biogas from maize silage, at cogen {CH}</t>
  </si>
  <si>
    <t>149b0dba-2d22-349a-a428-894e19f2c6ff</t>
  </si>
  <si>
    <t>Electricity, biogas from molasses, at cogen {CH}</t>
  </si>
  <si>
    <t>1449361b-7409-3794-a4c1-2a422e727c07</t>
  </si>
  <si>
    <t>Electricity, biogas from sugar beet, at cogen {CH}</t>
  </si>
  <si>
    <t>9fb5849c-e939-3256-8773-afb516c0405f</t>
  </si>
  <si>
    <t>Electricity, certified eletricity {CH}</t>
  </si>
  <si>
    <t>0fe4e8a5-06b0-373e-821f-850d4b13d9d4</t>
  </si>
  <si>
    <t>Electricity, consumer mix GO {CH}</t>
  </si>
  <si>
    <t>7b3cad13-b69b-345d-a201-0d82f2f8b520</t>
  </si>
  <si>
    <t>Electricity, european attribute mix, at plant {RER}</t>
  </si>
  <si>
    <t>47725cfc-acb8-3419-b22e-dd4896eb9b0d</t>
  </si>
  <si>
    <t>Electricity, from natural gas {AT}</t>
  </si>
  <si>
    <t>electricity by fuel\gas</t>
  </si>
  <si>
    <t>23cd53af-d8de-357f-a06a-f84a5d6ca655</t>
  </si>
  <si>
    <t>Electricity, from natural gas {BE}</t>
  </si>
  <si>
    <t>b362c432-2cc4-3aa8-a638-9e786ad7e804</t>
  </si>
  <si>
    <t>Electricity, from natural gas {BG}</t>
  </si>
  <si>
    <t>904b3b33-f2f0-30d9-9b15-7498c01560f4</t>
  </si>
  <si>
    <t>Electricity, from natural gas {CH}</t>
  </si>
  <si>
    <t>c1e21d70-b18b-3ce8-ac17-697937934389</t>
  </si>
  <si>
    <t>Electricity, from natural gas {CN}</t>
  </si>
  <si>
    <t>70684fda-1a13-3594-a93b-dcfefe86ff57</t>
  </si>
  <si>
    <t>Electricity, from natural gas {CZ}</t>
  </si>
  <si>
    <t>ddb4f1b1-d0ef-3c29-bd01-69585e5aee29</t>
  </si>
  <si>
    <t>Electricity, from natural gas {DE}</t>
  </si>
  <si>
    <t>dad4ba2f-4ab9-3f04-abda-c509befed9db</t>
  </si>
  <si>
    <t>Electricity, from natural gas {DK}</t>
  </si>
  <si>
    <t>dfd5f5ba-84e4-3095-bb0b-0656022b96de</t>
  </si>
  <si>
    <t>Electricity, from natural gas {EE}</t>
  </si>
  <si>
    <t>380f5762-44ef-398a-a484-9729d0b49850</t>
  </si>
  <si>
    <t>Electricity, from natural gas {ENTSO-E}</t>
  </si>
  <si>
    <t>6e6e5583-44b7-38c8-8f92-8dc8f85dbf1e</t>
  </si>
  <si>
    <t>Electricity, from natural gas {ES}</t>
  </si>
  <si>
    <t>f6a13bf4-70e0-343f-b9be-0daa0d112cf8</t>
  </si>
  <si>
    <t>Electricity, from natural gas {FI}</t>
  </si>
  <si>
    <t>3e049476-cbde-34dd-8779-bfcd53819834</t>
  </si>
  <si>
    <t>Electricity, from natural gas {FR}</t>
  </si>
  <si>
    <t>6c106198-12ea-3125-863e-f8b4f6e89dce</t>
  </si>
  <si>
    <t>Electricity, from natural gas {GB}</t>
  </si>
  <si>
    <t>c2cf9137-85bb-3d99-ac86-91ca0df833c8</t>
  </si>
  <si>
    <t>Electricity, from natural gas {GR}</t>
  </si>
  <si>
    <t>1531cc3b-cade-3543-9fe8-d5af0e45314c</t>
  </si>
  <si>
    <t>Electricity, from natural gas {HR}</t>
  </si>
  <si>
    <t>73c6e95a-e6c5-338a-92bc-ad5216386bf1</t>
  </si>
  <si>
    <t>Electricity, from natural gas {HU}</t>
  </si>
  <si>
    <t>eae1e551-8902-3f6c-b66b-b377b9009796</t>
  </si>
  <si>
    <t>Electricity, from natural gas {IE}</t>
  </si>
  <si>
    <t>aa4dc7b0-478a-3cbf-9573-5976656b847d</t>
  </si>
  <si>
    <t>Electricity, from natural gas {IN}</t>
  </si>
  <si>
    <t>83e2a8ac-3a7f-3a42-bd5b-df290a033d23</t>
  </si>
  <si>
    <t>Electricity, from natural gas {IT}</t>
  </si>
  <si>
    <t>a3a52c7b-d7e8-3e90-9189-b16326567ebc</t>
  </si>
  <si>
    <t>Electricity, from natural gas {JP}</t>
  </si>
  <si>
    <t>d119779a-cd95-30d1-9430-45af09226ceb</t>
  </si>
  <si>
    <t>Electricity, from natural gas {KR}</t>
  </si>
  <si>
    <t>68275a0e-32fe-341c-b60c-0f32f7fee12f</t>
  </si>
  <si>
    <t>Electricity, from natural gas {LT}</t>
  </si>
  <si>
    <t>bb023a7b-1a48-36a8-aaeb-96595dd8ddde</t>
  </si>
  <si>
    <t>Electricity, from natural gas {LU}</t>
  </si>
  <si>
    <t>65f0e47e-02cc-3a00-9f88-63eca35f638b</t>
  </si>
  <si>
    <t>Electricity, from natural gas {LV}</t>
  </si>
  <si>
    <t>3b5d36d5-2920-361b-b159-1968054855e7</t>
  </si>
  <si>
    <t>Electricity, from natural gas {MT}</t>
  </si>
  <si>
    <t>72a6863b-c8ce-323c-b708-4e378fbda583</t>
  </si>
  <si>
    <t>Electricity, from natural gas {MY}</t>
  </si>
  <si>
    <t>d08fa663-9b05-37e0-9f69-0774ff6b4234</t>
  </si>
  <si>
    <t>Electricity, from natural gas {NL}</t>
  </si>
  <si>
    <t>31a563ca-8281-3f95-b2d3-cf1ebfd78d89</t>
  </si>
  <si>
    <t>Electricity, from natural gas {PL}</t>
  </si>
  <si>
    <t>ed2955a2-d79a-319c-9914-a6dac04df735</t>
  </si>
  <si>
    <t>Electricity, from natural gas {PT}</t>
  </si>
  <si>
    <t>e2c2521c-f263-3e16-bd45-d22ac51bf76b</t>
  </si>
  <si>
    <t>Electricity, from natural gas {RME}</t>
  </si>
  <si>
    <t>83bc2867-b738-325b-8756-6477a7933429</t>
  </si>
  <si>
    <t>Electricity, from natural gas {RO}</t>
  </si>
  <si>
    <t>bead4e06-5a75-3273-886e-8c559f1cb0c4</t>
  </si>
  <si>
    <t>Electricity, from natural gas {RU}</t>
  </si>
  <si>
    <t>eeec4129-92f0-3b2e-8c72-ee08d312ed9e</t>
  </si>
  <si>
    <t>Electricity, from natural gas {SE}</t>
  </si>
  <si>
    <t>45b5a6f0-4bf5-39d1-9a38-dd27dd39ddf5</t>
  </si>
  <si>
    <t>Electricity, from natural gas {SI}</t>
  </si>
  <si>
    <t>0f78fa9c-2999-3455-a0a2-88c3b77bc84a</t>
  </si>
  <si>
    <t>Electricity, from natural gas {SK}</t>
  </si>
  <si>
    <t>9f3ee368-d330-3f73-90c6-0ad3697d53d1</t>
  </si>
  <si>
    <t>Electricity, from natural gas {TW}</t>
  </si>
  <si>
    <t>1b03a9ea-98ed-3b91-ba8c-aaa64b41f15c</t>
  </si>
  <si>
    <t>Electricity, from natural gas {US}</t>
  </si>
  <si>
    <t>ebe4a137-c13e-3473-8f1a-1ab61186bc6f</t>
  </si>
  <si>
    <t>Electricity, hard coal, at coal mine power plant {CN}</t>
  </si>
  <si>
    <t>electricity by fuel\coal</t>
  </si>
  <si>
    <t>02850375-8380-36a7-a0fd-f68d5e9aab45</t>
  </si>
  <si>
    <t>Electricity, hard coal, at power plant {AT}</t>
  </si>
  <si>
    <t>e90357b6-913c-3ada-982f-fed274f10e46</t>
  </si>
  <si>
    <t>Electricity, hard coal, at power plant {BE}</t>
  </si>
  <si>
    <t>a2606599-aea3-3187-9594-72fba555a8ef</t>
  </si>
  <si>
    <t>Electricity, hard coal, at power plant {CENTREL}</t>
  </si>
  <si>
    <t>7f9aa4f1-ba01-30c1-b8df-55ba770d6a83</t>
  </si>
  <si>
    <t>Electricity, hard coal, at power plant {CN}</t>
  </si>
  <si>
    <t>9f96a454-371d-39ec-92e2-393e7a374d24</t>
  </si>
  <si>
    <t>Electricity, hard coal, at power plant {CZ}</t>
  </si>
  <si>
    <t>265d5001-8382-33a2-b8af-839cafd1576c</t>
  </si>
  <si>
    <t>Electricity, hard coal, at power plant {DE}</t>
  </si>
  <si>
    <t>ee0f9f93-524a-380a-963a-5eb4a78b8d92</t>
  </si>
  <si>
    <t>Electricity, hard coal, at power plant {ENTSO-E}</t>
  </si>
  <si>
    <t>b522f7ba-5216-307f-97a0-7191577bd624</t>
  </si>
  <si>
    <t>Electricity, hard coal, at power plant {ERCOT}</t>
  </si>
  <si>
    <t>1ec5d56d-0b07-31b2-88c6-8d36932f1125</t>
  </si>
  <si>
    <t>Electricity, hard coal, at power plant {ES}</t>
  </si>
  <si>
    <t>a3b8fd88-053f-38ce-b819-2a7905118255</t>
  </si>
  <si>
    <t>Electricity, hard coal, at power plant {FR}</t>
  </si>
  <si>
    <t>fc352d10-a249-3235-98a5-dc928cd06daf</t>
  </si>
  <si>
    <t>Electricity, hard coal, at power plant {FRCC}</t>
  </si>
  <si>
    <t>84c15d21-025f-3f75-96f0-104f43507d09</t>
  </si>
  <si>
    <t>Electricity, hard coal, at power plant {HR}</t>
  </si>
  <si>
    <t>53f0a077-87a5-334e-8155-cc3dc6f8b249</t>
  </si>
  <si>
    <t>Electricity, hard coal, at power plant {IN}</t>
  </si>
  <si>
    <t>01ceb72b-3185-3f95-9190-d920bc7a1462</t>
  </si>
  <si>
    <t>Electricity, hard coal, at power plant {IT}</t>
  </si>
  <si>
    <t>1e061819-aa03-343b-955b-cc856ed06788</t>
  </si>
  <si>
    <t>Electricity, hard coal, at power plant {MRO}</t>
  </si>
  <si>
    <t>4ce64c67-65ec-376c-b27c-59fd227f3058</t>
  </si>
  <si>
    <t>Electricity, hard coal, at power plant {NL}</t>
  </si>
  <si>
    <t>9cea8bf1-9715-368a-b5ec-fe4c70d61b66</t>
  </si>
  <si>
    <t>Electricity, hard coal, at power plant {NORDEL}</t>
  </si>
  <si>
    <t>a7de413f-be74-32c4-85a0-9a15f6b2f896</t>
  </si>
  <si>
    <t>Electricity, hard coal, at power plant {NPCC}</t>
  </si>
  <si>
    <t>86cfc55f-f38b-3f03-9868-5fea06a23a3b</t>
  </si>
  <si>
    <t>Electricity, hard coal, at power plant {PL}</t>
  </si>
  <si>
    <t>1f1ea2ec-17bb-3e24-b377-e27ba9608a9b</t>
  </si>
  <si>
    <t>Electricity, hard coal, at power plant {PT}</t>
  </si>
  <si>
    <t>5855a1e3-e92d-356f-83ee-f5af6583ed0d</t>
  </si>
  <si>
    <t>Electricity, hard coal, at power plant {RFC}</t>
  </si>
  <si>
    <t>f71819e0-21e4-359b-a6da-0980308d87ba</t>
  </si>
  <si>
    <t>Electricity, hard coal, at power plant {RU}</t>
  </si>
  <si>
    <t>ce372e79-c947-3238-84cc-d9e3fd055d30</t>
  </si>
  <si>
    <t>Electricity, hard coal, at power plant {SERC}</t>
  </si>
  <si>
    <t>197e99c2-1750-3d45-8398-df29d9356475</t>
  </si>
  <si>
    <t>Electricity, hard coal, at power plant {SK}</t>
  </si>
  <si>
    <t>1cc60476-0ba4-3fc7-8bd6-cec7b83dc18c</t>
  </si>
  <si>
    <t>Electricity, hard coal, at power plant {SPP}</t>
  </si>
  <si>
    <t>ba3ab9a4-f617-3642-b887-154e5d9502ee</t>
  </si>
  <si>
    <t>Electricity, hard coal, at power plant {UCTE}</t>
  </si>
  <si>
    <t>52d3c8c4-69ce-35f4-84dc-2b987a362267</t>
  </si>
  <si>
    <t>Electricity, hard coal, at power plant {US}</t>
  </si>
  <si>
    <t>474d908c-bf5c-36ca-893b-af6e91c2676e</t>
  </si>
  <si>
    <t>Electricity, hard coal, at power plant {WECC}</t>
  </si>
  <si>
    <t>398d29df-8aea-37c1-8c3f-3e2c74de39df</t>
  </si>
  <si>
    <t>Electricity, hard coal, at power plant, merged {IN}</t>
  </si>
  <si>
    <t>4d29644e-ee30-3def-8d83-7648eb00d944</t>
  </si>
  <si>
    <t>Electricity, high voltage, aluminium industry, at grid {GLO}</t>
  </si>
  <si>
    <t>20a8634b-9644-33b3-a3bc-15d530df605f</t>
  </si>
  <si>
    <t>Electricity, high voltage, at grid {AE}</t>
  </si>
  <si>
    <t>f8540f3b-4c67-3a15-aa32-9110d0c11cb7</t>
  </si>
  <si>
    <t>Electricity, high voltage, at grid {AR}</t>
  </si>
  <si>
    <t>c0df7ce6-e478-30fe-afff-b097aec5b823</t>
  </si>
  <si>
    <t>Electricity, high voltage, at grid {AT}</t>
  </si>
  <si>
    <t>06f33ea9-5462-3843-be47-5b06980912d1</t>
  </si>
  <si>
    <t>Electricity, high voltage, at grid {AU}</t>
  </si>
  <si>
    <t>ca095e22-7d48-325f-b3c1-fc6c2b4f28c5</t>
  </si>
  <si>
    <t>Electricity, high voltage, at grid {BA}</t>
  </si>
  <si>
    <t>e8e0c690-2663-3263-a5bb-0bcfeef584f2</t>
  </si>
  <si>
    <t>Electricity, high voltage, at grid {BD}</t>
  </si>
  <si>
    <t>a3db3f0c-24a2-3989-b19d-2619f3558f72</t>
  </si>
  <si>
    <t>Electricity, high voltage, at grid {BE}</t>
  </si>
  <si>
    <t>76d30040-c0df-3d6f-a9dd-c16b2022a32a</t>
  </si>
  <si>
    <t>Electricity, high voltage, at grid {BG}</t>
  </si>
  <si>
    <t>02966a18-15a6-3f45-a56f-31d84a1064f6</t>
  </si>
  <si>
    <t>Electricity, high voltage, at grid {BR}</t>
  </si>
  <si>
    <t>5a642540-4b0d-3caa-b2a1-0f4f9833c430</t>
  </si>
  <si>
    <t>Electricity, high voltage, at grid {CA}</t>
  </si>
  <si>
    <t>4ed2facc-340f-36f4-8c8c-8915ea3fe0ab</t>
  </si>
  <si>
    <t>Electricity, high voltage, at grid {CH}</t>
  </si>
  <si>
    <t>b29c2511-45c2-33b2-b08e-39580e0fe346</t>
  </si>
  <si>
    <t>Electricity, high voltage, at grid {CL}</t>
  </si>
  <si>
    <t>e2a58e75-84da-3dad-a33d-d444f9e41cf4</t>
  </si>
  <si>
    <t>Electricity, high voltage, at grid {CN}</t>
  </si>
  <si>
    <t>06a87974-7a67-3d38-8b05-c336e4309f4d</t>
  </si>
  <si>
    <t>Electricity, high voltage, at grid {CO}</t>
  </si>
  <si>
    <t>54512658-bcff-3be5-88b4-e06c104b7a77</t>
  </si>
  <si>
    <t>Electricity, high voltage, at grid {CZ}</t>
  </si>
  <si>
    <t>6d954f32-84f1-311a-af26-a7632128ab96</t>
  </si>
  <si>
    <t>Electricity, high voltage, at grid {DE}</t>
  </si>
  <si>
    <t>16676735-1f10-3b5e-920a-b7b257bf2bd9</t>
  </si>
  <si>
    <t>Electricity, high voltage, at grid {DK}</t>
  </si>
  <si>
    <t>e2f85b6a-a377-37c9-91fe-14285cefc86e</t>
  </si>
  <si>
    <t>Electricity, high voltage, at grid {DZ}</t>
  </si>
  <si>
    <t>1bbe49b2-eb50-312d-a7a1-2113fab5250f</t>
  </si>
  <si>
    <t>Electricity, high voltage, at grid {EE}</t>
  </si>
  <si>
    <t>24902d91-6cb9-3a45-9de6-20a47d8bc676</t>
  </si>
  <si>
    <t>Electricity, high voltage, at grid {EG}</t>
  </si>
  <si>
    <t>2881f800-6dcc-3803-bf73-c866f0f6ca0b</t>
  </si>
  <si>
    <t>Electricity, high voltage, at grid {ENTSO-E}</t>
  </si>
  <si>
    <t>cfb5419b-bd56-368d-83a9-692c119ca961</t>
  </si>
  <si>
    <t>Electricity, high voltage, at grid {ES}</t>
  </si>
  <si>
    <t>23b80bd5-10cd-3d0f-9ee8-b3851b6a1102</t>
  </si>
  <si>
    <t>Electricity, high voltage, at grid {ET}</t>
  </si>
  <si>
    <t>2bd4a8a7-9533-3b97-ac60-811dae00fa2f</t>
  </si>
  <si>
    <t>Electricity, high voltage, at grid {FI}</t>
  </si>
  <si>
    <t>bd430bc2-8606-3489-8af2-ddf86d83e9f1</t>
  </si>
  <si>
    <t>Electricity, high voltage, at grid {FR}</t>
  </si>
  <si>
    <t>9c90f0ed-b14a-3e52-8fa1-49de0a2d42e4</t>
  </si>
  <si>
    <t>Electricity, high voltage, at grid {GB}</t>
  </si>
  <si>
    <t>a1c44ce4-05ce-3941-859a-c77c43a109a9</t>
  </si>
  <si>
    <t>Electricity, high voltage, at grid {GLO}</t>
  </si>
  <si>
    <t>38b6e537-9e81-3a81-b603-3c792bdf3ef9</t>
  </si>
  <si>
    <t>Electricity, high voltage, at grid {GR}</t>
  </si>
  <si>
    <t>808d81fb-698e-3d10-91bb-9f02fa51b887</t>
  </si>
  <si>
    <t>Electricity, high voltage, at grid {HR}</t>
  </si>
  <si>
    <t>b7c8e30e-2950-337b-a9d6-54a1e538efa8</t>
  </si>
  <si>
    <t>Electricity, high voltage, at grid {HU}</t>
  </si>
  <si>
    <t>7cb473fc-2443-3beb-a89c-8589dbd20802</t>
  </si>
  <si>
    <t>Electricity, high voltage, at grid {ID}</t>
  </si>
  <si>
    <t>c335dd65-b82b-311a-af1a-07620c48d24f</t>
  </si>
  <si>
    <t>Electricity, high voltage, at grid {IE}</t>
  </si>
  <si>
    <t>39818524-bc51-3ed7-919a-9857d09dcf98</t>
  </si>
  <si>
    <t>Electricity, high voltage, at grid {IL}</t>
  </si>
  <si>
    <t>183024e0-46a3-33b8-b9ea-d6deaea9e9cd</t>
  </si>
  <si>
    <t>Electricity, high voltage, at grid {IN}</t>
  </si>
  <si>
    <t>b61742b8-6544-3ba5-9c03-b295040a0cdb</t>
  </si>
  <si>
    <t>Electricity, high voltage, at grid {IQ}</t>
  </si>
  <si>
    <t>8253fc15-e175-3669-8acd-f80c79fb0edf</t>
  </si>
  <si>
    <t>Electricity, high voltage, at grid {IR}</t>
  </si>
  <si>
    <t>7b048736-1b87-3b7d-9799-bd2b91b025f3</t>
  </si>
  <si>
    <t>Electricity, high voltage, at grid {IS}</t>
  </si>
  <si>
    <t>6703dec8-2c42-31f6-94cb-4f0409fc2e94</t>
  </si>
  <si>
    <t>Electricity, high voltage, at grid {IT}</t>
  </si>
  <si>
    <t>556f98dc-0fbb-37ad-be06-9ec094e94743</t>
  </si>
  <si>
    <t>Electricity, high voltage, at grid {JP}</t>
  </si>
  <si>
    <t>1f82e598-ed52-327f-8da0-bde30564d614</t>
  </si>
  <si>
    <t>Electricity, high voltage, at grid {KR}</t>
  </si>
  <si>
    <t>047915b6-fda3-339f-8092-3dd01bba62c4</t>
  </si>
  <si>
    <t>Electricity, high voltage, at grid {KZ}</t>
  </si>
  <si>
    <t>af27be92-a568-3469-ba51-60f7912b40da</t>
  </si>
  <si>
    <t>Electricity, high voltage, at grid {LT}</t>
  </si>
  <si>
    <t>76d514ad-16c3-3e03-bc96-56aa0d731bcb</t>
  </si>
  <si>
    <t>Electricity, high voltage, at grid {LU}</t>
  </si>
  <si>
    <t>c5d923b1-a07f-3754-b340-69877bdb2f67</t>
  </si>
  <si>
    <t>Electricity, high voltage, at grid {LV}</t>
  </si>
  <si>
    <t>29040661-2d50-3bca-890f-ba897c9c93ea</t>
  </si>
  <si>
    <t>Electricity, high voltage, at grid {MA}</t>
  </si>
  <si>
    <t>53ab6c80-e219-3e78-b4a6-7699a8c3870b</t>
  </si>
  <si>
    <t>Electricity, high voltage, at grid {MK}</t>
  </si>
  <si>
    <t>a127a03a-acac-3eee-9bf1-cbb39417bd3c</t>
  </si>
  <si>
    <t>Electricity, high voltage, at grid {MX}</t>
  </si>
  <si>
    <t>7305658c-6619-39c0-bc70-396e7859843c</t>
  </si>
  <si>
    <t>Electricity, high voltage, at grid {MY}</t>
  </si>
  <si>
    <t>fd793deb-0494-306d-9829-02feb135237b</t>
  </si>
  <si>
    <t>Electricity, high voltage, at grid {NG}</t>
  </si>
  <si>
    <t>ba82fce0-defa-3ba0-839c-9826c5ea36ed</t>
  </si>
  <si>
    <t>Electricity, high voltage, at grid {NL}</t>
  </si>
  <si>
    <t>437a439d-1994-3496-b51f-23868b6987aa</t>
  </si>
  <si>
    <t>Electricity, high voltage, at grid {NO}</t>
  </si>
  <si>
    <t>9f2bd57c-25b0-367d-8fa3-3c2b23a8de4f</t>
  </si>
  <si>
    <t>Electricity, high voltage, at grid {NZ}</t>
  </si>
  <si>
    <t>fe29e4f1-e0a3-3969-8082-b1be7d7e41a3</t>
  </si>
  <si>
    <t>Electricity, high voltage, at grid {PE}</t>
  </si>
  <si>
    <t>cf052161-5d11-3c9b-8f0e-598c6e71ad9b</t>
  </si>
  <si>
    <t>Electricity, high voltage, at grid {PH}</t>
  </si>
  <si>
    <t>4fb5efcb-f93b-3bed-8ae2-e7b409c20a06</t>
  </si>
  <si>
    <t>Electricity, high voltage, at grid {PK}</t>
  </si>
  <si>
    <t>458fdbf8-2916-3a78-894b-fd5c2c656b7d</t>
  </si>
  <si>
    <t>Electricity, high voltage, at grid {PL}</t>
  </si>
  <si>
    <t>57e26ec7-130e-322b-b51f-328b1a95fb31</t>
  </si>
  <si>
    <t>Electricity, high voltage, at grid {PT}</t>
  </si>
  <si>
    <t>fb2a9581-6cdc-383b-b58e-caa760281b11</t>
  </si>
  <si>
    <t>Electricity, high voltage, at grid {QA}</t>
  </si>
  <si>
    <t>71ab9028-f1ea-33bd-aa62-c9c4d0d0b229</t>
  </si>
  <si>
    <t>Electricity, high voltage, at grid {RAF}</t>
  </si>
  <si>
    <t>d1356aaa-76f7-34a5-b195-99fb1a067f6b</t>
  </si>
  <si>
    <t>Electricity, high voltage, at grid {RAS}</t>
  </si>
  <si>
    <t>6b55fc93-e2dd-3bd1-9ac4-a1a371332eff</t>
  </si>
  <si>
    <t>Electricity, high voltage, at grid {RER}</t>
  </si>
  <si>
    <t>5c40be39-7138-3b60-8d16-54298bca1926</t>
  </si>
  <si>
    <t>Electricity, high voltage, at grid {RLA}</t>
  </si>
  <si>
    <t>418ce577-a7e1-3794-a5d8-6bed3ead32ff</t>
  </si>
  <si>
    <t>Electricity, high voltage, at grid {RME}</t>
  </si>
  <si>
    <t>65342aed-1502-33c1-9a24-093d9f9b7a4c</t>
  </si>
  <si>
    <t>Electricity, high voltage, at grid {RNA}</t>
  </si>
  <si>
    <t>d2cd4d8a-0484-34bd-86b7-93edd08d4fd6</t>
  </si>
  <si>
    <t>Electricity, high voltage, at grid {RO}</t>
  </si>
  <si>
    <t>42d8496e-b770-374a-9993-bdc0081361ab</t>
  </si>
  <si>
    <t>Electricity, high voltage, at grid {RS}</t>
  </si>
  <si>
    <t>6cb44e32-454d-355f-a40a-4520e04ffec0</t>
  </si>
  <si>
    <t>Electricity, high voltage, at grid {RU}</t>
  </si>
  <si>
    <t>02f1b24d-e12e-3466-a601-1d3ed9f809ea</t>
  </si>
  <si>
    <t>Electricity, high voltage, at grid {SA}</t>
  </si>
  <si>
    <t>7da3e672-5651-37e0-9b22-221d43a4da72</t>
  </si>
  <si>
    <t>Electricity, high voltage, at grid {SE}</t>
  </si>
  <si>
    <t>b3532bf8-678f-3c4f-abb8-dbb35b92836e</t>
  </si>
  <si>
    <t>Electricity, high voltage, at grid {SG}</t>
  </si>
  <si>
    <t>e3e3f090-6245-390f-9542-55d38d42c476</t>
  </si>
  <si>
    <t>Electricity, high voltage, at grid {SI}</t>
  </si>
  <si>
    <t>ef260c37-1507-3837-a24e-2b4cf4df6cdb</t>
  </si>
  <si>
    <t>Electricity, high voltage, at grid {SK}</t>
  </si>
  <si>
    <t>67e15f3e-d3d0-3e07-915a-594fda3a6e2d</t>
  </si>
  <si>
    <t>Electricity, high voltage, at grid {TH}</t>
  </si>
  <si>
    <t>9ac7cff8-216a-3c4c-bdc5-cb5065a61098</t>
  </si>
  <si>
    <t>Electricity, high voltage, at grid {TN}</t>
  </si>
  <si>
    <t>0ac23011-cd6b-398f-9b0b-66dc1a7d28c3</t>
  </si>
  <si>
    <t>Electricity, high voltage, at grid {TR}</t>
  </si>
  <si>
    <t>e929c56a-e1d7-37bc-bcf5-094a5e870dde</t>
  </si>
  <si>
    <t>Electricity, high voltage, at grid {TW}</t>
  </si>
  <si>
    <t>91b80f0b-7d7e-323d-9d77-dc1b6246824b</t>
  </si>
  <si>
    <t>Electricity, high voltage, at grid {TZ}</t>
  </si>
  <si>
    <t>e73191d3-7732-3563-a422-7ee0ca3a6a49</t>
  </si>
  <si>
    <t>Electricity, high voltage, at grid {UA}</t>
  </si>
  <si>
    <t>504d7218-b066-33a3-94b8-8e9644113d36</t>
  </si>
  <si>
    <t>Electricity, high voltage, at grid {US}</t>
  </si>
  <si>
    <t>a7115db6-c982-3d1d-ae5c-ff639a01a726</t>
  </si>
  <si>
    <t>Electricity, high voltage, at grid {VN}</t>
  </si>
  <si>
    <t>9b755d39-1b63-3883-9225-983697878250</t>
  </si>
  <si>
    <t>Electricity, high voltage, at grid {ZA}</t>
  </si>
  <si>
    <t>9ddbffa7-7126-33b6-9b58-3bb4395ebbde</t>
  </si>
  <si>
    <t>Electricity, high voltage, certified electricity, at grid {CH}</t>
  </si>
  <si>
    <t>bf4f4a95-95f7-3522-a16e-4e4fcd116852</t>
  </si>
  <si>
    <t>Electricity, high voltage, cogen biogas, methane 96%-vol, at grid {CH}</t>
  </si>
  <si>
    <t>36482291-144d-3511-b5d4-7379ea44833a</t>
  </si>
  <si>
    <t>Electricity, high voltage, consumer mix GO, at grid {CH}</t>
  </si>
  <si>
    <t>18d2e782-25a2-3d96-87a0-de7292350721</t>
  </si>
  <si>
    <t>Electricity, high voltage, consumer, according to BFE 2005, at grid {CH}</t>
  </si>
  <si>
    <t>109ddd62-142d-3dcd-928c-46038ed44171</t>
  </si>
  <si>
    <t>Electricity, high voltage, DB, at grid {DE}</t>
  </si>
  <si>
    <t>3769a510-2556-306a-8ea7-3ce33d558996</t>
  </si>
  <si>
    <t>Electricity, high voltage, electric utility Obwalden, at grid {CH}</t>
  </si>
  <si>
    <t>a628a91b-4f91-3f17-82cc-1949c553f471</t>
  </si>
  <si>
    <t>Electricity, high voltage, import AT, at grid {CH}</t>
  </si>
  <si>
    <t>3b8061ae-efbc-38eb-93da-7ff3a2502597</t>
  </si>
  <si>
    <t>Electricity, high voltage, import CENTREL, at grid {CH}</t>
  </si>
  <si>
    <t>3d12e880-a6f1-39d9-8298-c14d382851db</t>
  </si>
  <si>
    <t>Electricity, high voltage, import DE, at grid {CH}</t>
  </si>
  <si>
    <t>5592081b-7488-31a9-891b-b325b4e5ac74</t>
  </si>
  <si>
    <t>Electricity, high voltage, import ENTSO, at grid {CH}</t>
  </si>
  <si>
    <t>b38528d2-cb70-3658-8404-120f40105b30</t>
  </si>
  <si>
    <t>Electricity, high voltage, import FR, at grid {CH}</t>
  </si>
  <si>
    <t>37d4ba7e-a989-30ac-8fe9-b26646bae02d</t>
  </si>
  <si>
    <t>Electricity, high voltage, import IT, at grid {CH}</t>
  </si>
  <si>
    <t>6ead7c10-1a92-3bb5-9edb-caf02f3bdeb9</t>
  </si>
  <si>
    <t>Electricity, high voltage, ÖBB, at grid {AT}</t>
  </si>
  <si>
    <t>3d70838f-c906-3464-826d-d88d12a8ec21</t>
  </si>
  <si>
    <t>Electricity, high voltage, operation storage pumps, ENTSO, 2020, at grid {AT}</t>
  </si>
  <si>
    <t>4da57614-8ef8-3c66-af99-b4d5df310fa1</t>
  </si>
  <si>
    <t>Electricity, high voltage, operation storage pumps, ENTSO, 2020, at grid {CH}</t>
  </si>
  <si>
    <t>a385e319-d4d9-3903-864a-ac27f73b4871</t>
  </si>
  <si>
    <t>Electricity, high voltage, operation storage pumps, ENTSO, 2020, at grid {DE}</t>
  </si>
  <si>
    <t>9d2751da-9114-3e85-9726-3f21810c1d21</t>
  </si>
  <si>
    <t>Electricity, high voltage, operation storage pumps, ENTSO, 2020, at grid {FR}</t>
  </si>
  <si>
    <t>6f34c1e9-4c9c-32f0-ab7e-ea2ceb0da1c7</t>
  </si>
  <si>
    <t>Electricity, high voltage, operation storage pumps, ENTSO, 2020, at grid {IT}</t>
  </si>
  <si>
    <t>3608db9c-f299-343f-ab9c-629b0f6589b2</t>
  </si>
  <si>
    <t>Electricity, high voltage, operation storage pumps, ENTSO, summer 2018, at grid {AT}</t>
  </si>
  <si>
    <t>bf96a041-29df-34fb-82a1-fc9f97ef5935</t>
  </si>
  <si>
    <t>Electricity, high voltage, operation storage pumps, ENTSO, summer 2018, at grid {CH}</t>
  </si>
  <si>
    <t>8e12b334-3292-3483-86e9-6be599368a1c</t>
  </si>
  <si>
    <t>Electricity, high voltage, operation storage pumps, ENTSO, summer 2018, at grid {DE}</t>
  </si>
  <si>
    <t>fd30a3b2-8df0-38c1-98b5-2064b303bb1f</t>
  </si>
  <si>
    <t>Electricity, high voltage, operation storage pumps, ENTSO, summer 2018, at grid {FR}</t>
  </si>
  <si>
    <t>ce04364e-f9d7-34b5-9207-5d8fa5b35e3e</t>
  </si>
  <si>
    <t>Electricity, high voltage, operation storage pumps, ENTSO, summer 2018, at grid {IT}</t>
  </si>
  <si>
    <t>4a48186b-2452-3720-9dc1-a3183cfb9235</t>
  </si>
  <si>
    <t>Electricity, high voltage, operation storage pumps, ENTSO, winter 2018, at grid {AT}</t>
  </si>
  <si>
    <t>07db37b3-506a-3126-9f98-2f11065cd20d</t>
  </si>
  <si>
    <t>Electricity, high voltage, operation storage pumps, ENTSO, winter 2018, at grid {CH}</t>
  </si>
  <si>
    <t>d1b41bf9-ef6a-38f2-a14a-fe7a241a30ac</t>
  </si>
  <si>
    <t>Electricity, high voltage, operation storage pumps, ENTSO, winter 2018, at grid {DE}</t>
  </si>
  <si>
    <t>46bf704c-552a-366e-8256-441e979577d3</t>
  </si>
  <si>
    <t>Electricity, high voltage, operation storage pumps, ENTSO, winter 2018, at grid {FR}</t>
  </si>
  <si>
    <t>84b3ad25-db59-3518-bcab-cca3bffaae0c</t>
  </si>
  <si>
    <t>Electricity, high voltage, operation storage pumps, ENTSO, winter 2018, at grid {IT}</t>
  </si>
  <si>
    <t>15423f6c-029e-3d5e-a2c6-7e2079416935</t>
  </si>
  <si>
    <t>Electricity, high voltage, photovoltaic mix facade, at grid {CH}</t>
  </si>
  <si>
    <t>0b5772f3-f89e-3210-8711-8ad2738ba10b</t>
  </si>
  <si>
    <t>Electricity, high voltage, photovoltaic mix flat-roof, at grid {CH}</t>
  </si>
  <si>
    <t>1745274c-48a5-3a82-8ac7-4eaee9300fe9</t>
  </si>
  <si>
    <t>Electricity, high voltage, photovoltaic mix slanted-roof, at grid {CH}</t>
  </si>
  <si>
    <t>4f59949a-a454-3c73-b19f-423d296b2c92</t>
  </si>
  <si>
    <t>Electricity, high voltage, production AE, at grid {AE}</t>
  </si>
  <si>
    <t>455ae933-1c30-35ae-a105-93dc55f66ebb</t>
  </si>
  <si>
    <t>Electricity, high voltage, production AR, at grid {AR}</t>
  </si>
  <si>
    <t>09e38e8e-d98e-34a1-a834-050af03afc05</t>
  </si>
  <si>
    <t>Electricity, high voltage, production AT, at grid {AT}</t>
  </si>
  <si>
    <t>264e7d33-b948-3b7c-a404-04aff6e9535b</t>
  </si>
  <si>
    <t>Electricity, high voltage, production AU, at grid {AU}</t>
  </si>
  <si>
    <t>54ff7315-534a-3305-8935-775feed567f0</t>
  </si>
  <si>
    <t>Electricity, high voltage, production BA, at grid {BA}</t>
  </si>
  <si>
    <t>fbe83cd9-cc28-3056-ab62-c84dca854c7c</t>
  </si>
  <si>
    <t>Electricity, high voltage, production BD, at grid {BD}</t>
  </si>
  <si>
    <t>68adc721-354b-360e-9581-ab67b6538df8</t>
  </si>
  <si>
    <t>Electricity, high voltage, production BE, at grid {BE}</t>
  </si>
  <si>
    <t>90c2a0f6-a7a0-33a2-a897-a5a8da23b9ea</t>
  </si>
  <si>
    <t>Electricity, high voltage, production BG, at grid {BG}</t>
  </si>
  <si>
    <t>81c0b5e2-9079-3601-b51f-5d8a7bf12e97</t>
  </si>
  <si>
    <t>Electricity, high voltage, production BR, at grid {BR}</t>
  </si>
  <si>
    <t>dd3a7353-624c-3a40-b8a5-e6856c62d0e7</t>
  </si>
  <si>
    <t>Electricity, high voltage, production CA, at grid {CA}</t>
  </si>
  <si>
    <t>838230d7-d3bd-3cf5-b111-c05a70d8ab60</t>
  </si>
  <si>
    <t>Electricity, high voltage, production CH, at grid {CH}</t>
  </si>
  <si>
    <t>dfc3847b-28b1-3ac0-8b1e-00b2123f2332</t>
  </si>
  <si>
    <t>Electricity, high voltage, production CL, at grid {CL}</t>
  </si>
  <si>
    <t>fb0c2ba1-9c80-3376-8277-b35ca5f5027f</t>
  </si>
  <si>
    <t>Electricity, high voltage, production CN, at grid {CN}</t>
  </si>
  <si>
    <t>76411e67-e665-3469-a4ed-1cfa18ed8b47</t>
  </si>
  <si>
    <t>Electricity, high voltage, production CO, at grid {CO}</t>
  </si>
  <si>
    <t>0f2d86f9-e038-3acc-a466-e9cb5ea5f975</t>
  </si>
  <si>
    <t>Electricity, high voltage, production CZ, at grid {CZ}</t>
  </si>
  <si>
    <t>b774247f-8158-365f-8438-149db55317af</t>
  </si>
  <si>
    <t>Electricity, high voltage, production DE, at grid {DE}</t>
  </si>
  <si>
    <t>9d14f8da-7de0-3b28-b31a-e49b900f9c8b</t>
  </si>
  <si>
    <t>Electricity, high voltage, production DK, at grid {DK}</t>
  </si>
  <si>
    <t>1e8e8760-ce4b-331b-aff2-4c67bbd6a710</t>
  </si>
  <si>
    <t>Electricity, high voltage, production DZ, at grid {DZ}</t>
  </si>
  <si>
    <t>bc76bb71-3654-3e6e-b318-86bd132ef8ce</t>
  </si>
  <si>
    <t>Electricity, high voltage, production EE, at grid {EE}</t>
  </si>
  <si>
    <t>de3b4052-a5ab-3f99-802e-0bed794ece60</t>
  </si>
  <si>
    <t>Electricity, high voltage, production EG, at grid {EG}</t>
  </si>
  <si>
    <t>fd563e04-8a7c-3888-a9f4-895695cc60aa</t>
  </si>
  <si>
    <t>Electricity, high voltage, production ENTSO-E, at grid {ENTSO-E}</t>
  </si>
  <si>
    <t>d7cd364e-1d5c-4f92-8c81-942cad46c4bd</t>
  </si>
  <si>
    <t>Electricity, high voltage, production ES, at grid {ES}</t>
  </si>
  <si>
    <t>d066412b-64df-3584-98e7-5aad51653151</t>
  </si>
  <si>
    <t>Electricity, high voltage, production ET, at grid {ET}</t>
  </si>
  <si>
    <t>d88952c6-522b-3a80-91b4-16179f1d2e00</t>
  </si>
  <si>
    <t>Electricity, high voltage, production FI, at grid {FI}</t>
  </si>
  <si>
    <t>fe7ed570-6488-3cd3-9067-89cbeb16d0ee</t>
  </si>
  <si>
    <t>Electricity, high voltage, production FR, at grid {FR}</t>
  </si>
  <si>
    <t>7d4f26fd-138a-3a16-95cc-faa6a85ed487</t>
  </si>
  <si>
    <t>Electricity, high voltage, production from biogas, at grid {CH}</t>
  </si>
  <si>
    <t>df6b2b99-4e5a-39d8-8c28-a414a3c6dad6</t>
  </si>
  <si>
    <t>Electricity, high voltage, production from CHP diesel, at grid {CH}</t>
  </si>
  <si>
    <t>5f0d5b7f-4d3b-3bdd-8f0f-0adf86adbb73</t>
  </si>
  <si>
    <t>Electricity, high voltage, production from CHP natural gas, at grid {CH}</t>
  </si>
  <si>
    <t>e7a1f436-1b51-38dd-b1db-f10d64df0983</t>
  </si>
  <si>
    <t>Electricity, high voltage, production from CHP wood RER, at grid {CH}</t>
  </si>
  <si>
    <t>61c2d826-f11d-35de-9eb7-2ee4a18a80b8</t>
  </si>
  <si>
    <t>Electricity, high voltage, production from CHP wood, at grid {CH}</t>
  </si>
  <si>
    <t>81634ce3-aa0d-3c58-96f8-7a0e46c5bcc8</t>
  </si>
  <si>
    <t>Electricity, high voltage, production from hard coal, at grid {CH}</t>
  </si>
  <si>
    <t>43915748-65f0-3038-9c91-a76f404c54c2</t>
  </si>
  <si>
    <t>Electricity, high voltage, production from hard coal, UCTE at grid {CH}</t>
  </si>
  <si>
    <t>1ece0747-b9fc-3a4d-a2c4-1ee2ada877b4</t>
  </si>
  <si>
    <t>Electricity, high voltage, production from hydro power FR, at grid {CH}</t>
  </si>
  <si>
    <t>cc58d5b5-69ae-33e9-bb9b-cd4c7db066eb</t>
  </si>
  <si>
    <t>Electricity, high voltage, production from hydro power, at grid {CH}</t>
  </si>
  <si>
    <t>f911b34d-02e2-3bd2-ac68-530470dfe9e2</t>
  </si>
  <si>
    <t>Electricity, high voltage, production from hydro power, pumped stor., at grid {CH}</t>
  </si>
  <si>
    <t>e44227f1-f700-3879-a4c0-13293112b518</t>
  </si>
  <si>
    <t>Electricity, high voltage, production from hydro power, reservoir RER, at grid {CH}</t>
  </si>
  <si>
    <t>533cd0fa-2df8-354d-878a-8f8a7f4ab17f</t>
  </si>
  <si>
    <t>Electricity, high voltage, production from hydro power, reservoir, at grid {CH}</t>
  </si>
  <si>
    <t>7fd6fbdb-99b5-3b27-8291-2fec64623535</t>
  </si>
  <si>
    <t>Electricity, high voltage, production from hydro power, run-of-river RER, at grid {CH}</t>
  </si>
  <si>
    <t>f164a671-ec48-3847-9142-58e6426b5625</t>
  </si>
  <si>
    <t>Electricity, high voltage, production from hydro power, run-of-river, at grid {CH}</t>
  </si>
  <si>
    <t>76b044ce-cb78-339b-8045-511115565c79</t>
  </si>
  <si>
    <t>Electricity, high voltage, production from lignite, DE at grid {CH}</t>
  </si>
  <si>
    <t>ca8d8c78-4de8-3a22-9a6c-82ad5e2c0d11</t>
  </si>
  <si>
    <t>Electricity, high voltage, production from natural gas DE, at grid {CH}</t>
  </si>
  <si>
    <t>337efc85-1011-3bbb-a15f-9b43e0b65406</t>
  </si>
  <si>
    <t>Electricity, high voltage, production from natural gas, combined cycle, at grid {CH}</t>
  </si>
  <si>
    <t>6ee4fb19-ac5e-3af1-a4d4-42f46c1a0804</t>
  </si>
  <si>
    <t>Electricity, high voltage, production from natural gas, UCTE at grid {CH}</t>
  </si>
  <si>
    <t>f51b5db0-b896-3965-a86d-d3a362989945</t>
  </si>
  <si>
    <t>Electricity, high voltage, production from nuclear power BWR, at grid {CH}</t>
  </si>
  <si>
    <t>f17a5694-2908-3e4d-8c2b-ed7e97281739</t>
  </si>
  <si>
    <t>Electricity, high voltage, production from nuclear power FR, at grid {CH}</t>
  </si>
  <si>
    <t>bb9f3c10-0489-32cb-a688-4cf9211acf62</t>
  </si>
  <si>
    <t>Electricity, high voltage, production from nuclear power PWR, at grid {CH}</t>
  </si>
  <si>
    <t>bcc91ae1-af6b-3459-9512-4d7489a88ada</t>
  </si>
  <si>
    <t>Electricity, high voltage, production from nuclear power PWR, FR at grid {CH}</t>
  </si>
  <si>
    <t>e46f090d-7c5d-31d7-aa3e-8f8fa1a05027</t>
  </si>
  <si>
    <t>Electricity, high voltage, production from nuclear power, at grid {CH}</t>
  </si>
  <si>
    <t>10a89673-2318-3b4e-95fc-bc25445fd87b</t>
  </si>
  <si>
    <t>Electricity, high voltage, production from oil, at grid {CH}</t>
  </si>
  <si>
    <t>e56f06c4-c2c0-3150-9064-d9aea880f93b</t>
  </si>
  <si>
    <t>Electricity, high voltage, production from oil, UCTE at grid {CH}</t>
  </si>
  <si>
    <t>24774a69-7164-3874-8836-32ac881af030</t>
  </si>
  <si>
    <t>Electricity, high voltage, production from photovoltaic DE, at grid {CH}</t>
  </si>
  <si>
    <t>431337c2-4aa4-37d3-b1c6-4118fa5f67c0</t>
  </si>
  <si>
    <t>Electricity, high voltage, production from photovoltaic mix DE, at grid {CH}</t>
  </si>
  <si>
    <t>f75a5890-9bc8-3773-8d83-f500d599cf2f</t>
  </si>
  <si>
    <t>Electricity, high voltage, production from photovoltaic, at grid {CH}</t>
  </si>
  <si>
    <t>fc7a75d3-b3d7-3e89-82dd-420c7e676f6c</t>
  </si>
  <si>
    <t>Electricity, high voltage, production from small hydro power, at grid {CH}</t>
  </si>
  <si>
    <t>e557fb00-b811-3720-b1c6-9ce713446f11</t>
  </si>
  <si>
    <t>Electricity, high voltage, production from waste incineration, at grid {CH}</t>
  </si>
  <si>
    <t>203c5b0f-b8e6-3a33-a089-1e69aa03068c</t>
  </si>
  <si>
    <t>Electricity, high voltage, production from wind power RER, at grid {CH}</t>
  </si>
  <si>
    <t>3f58dff5-481b-3a74-aeb8-3a8e63a8516b</t>
  </si>
  <si>
    <t>Electricity, high voltage, production from wind power, at grid {CH}</t>
  </si>
  <si>
    <t>6a9304f5-bf28-3f31-9360-42f8c590a670</t>
  </si>
  <si>
    <t>Electricity, high voltage, production GB, at grid {GB}</t>
  </si>
  <si>
    <t>f5781ff9-ad55-3f9f-a14e-787f79261628</t>
  </si>
  <si>
    <t>Electricity, high voltage, production GLO, at grid {GLO}</t>
  </si>
  <si>
    <t>bcf28fd5-a971-301d-b200-391272a383c5</t>
  </si>
  <si>
    <t>Electricity, high voltage, production GR, at grid {GR}</t>
  </si>
  <si>
    <t>9a58d3d2-19f7-3a5e-bf2a-0db41cd045ac</t>
  </si>
  <si>
    <t>Electricity, high voltage, production HR, at grid {HR}</t>
  </si>
  <si>
    <t>e81797cf-cb18-3fb5-8f5a-63f4bd8d9f01</t>
  </si>
  <si>
    <t>Electricity, high voltage, production HU, at grid {HU}</t>
  </si>
  <si>
    <t>745b308c-f36b-39b6-a2d8-12ee1fc5735f</t>
  </si>
  <si>
    <t>Electricity, high voltage, production ID, at grid {ID}</t>
  </si>
  <si>
    <t>4411be67-580e-33ad-8adc-ee0a4e32989a</t>
  </si>
  <si>
    <t>Electricity, high voltage, production IE, at grid {IE}</t>
  </si>
  <si>
    <t>d282201a-7b8b-34e1-8652-7bac0ad367c2</t>
  </si>
  <si>
    <t>Electricity, high voltage, production IL, at grid {IL}</t>
  </si>
  <si>
    <t>01116b30-0db8-3db8-9760-6b295bfc367b</t>
  </si>
  <si>
    <t>Electricity, high voltage, production IN, at grid {IN}</t>
  </si>
  <si>
    <t>0f2adb4c-1dfe-3a87-8202-af473180e49a</t>
  </si>
  <si>
    <t>Electricity, high voltage, production IQ, at grid {IQ}</t>
  </si>
  <si>
    <t>cdaf077c-a9d2-358f-8c7d-68d693291575</t>
  </si>
  <si>
    <t>Electricity, high voltage, production IR, at grid {IR}</t>
  </si>
  <si>
    <t>d11e695d-9549-3658-aaae-375a3e937c79</t>
  </si>
  <si>
    <t>Electricity, high voltage, production IS, at grid {IS}</t>
  </si>
  <si>
    <t>45e8ee61-224e-3cf2-a640-ccf9a261b2d3</t>
  </si>
  <si>
    <t>Electricity, high voltage, production IT, at grid {IT}</t>
  </si>
  <si>
    <t>d98ae3cf-57a2-36b3-ae85-ec08408b70d3</t>
  </si>
  <si>
    <t>Electricity, high voltage, production JP, at grid {JP}</t>
  </si>
  <si>
    <t>76cceeb8-1b39-36c0-8675-f81e96abb84e</t>
  </si>
  <si>
    <t>Electricity, high voltage, production KR, at grid {KR}</t>
  </si>
  <si>
    <t>8c5094f7-7d5f-3903-8372-38c3a21ee801</t>
  </si>
  <si>
    <t>Electricity, high voltage, production KZ, at grid {KZ}</t>
  </si>
  <si>
    <t>2b05597a-a40d-3b8f-9d79-567ec56bd1b1</t>
  </si>
  <si>
    <t>Electricity, high voltage, production LT, at grid {LT}</t>
  </si>
  <si>
    <t>d537148e-a770-3850-a45f-b31ef0c868cf</t>
  </si>
  <si>
    <t>Electricity, high voltage, production LU, at grid {LU}</t>
  </si>
  <si>
    <t>ebed6aec-3927-390e-9d07-e773769a8719</t>
  </si>
  <si>
    <t>Electricity, high voltage, production LV, at grid {LV}</t>
  </si>
  <si>
    <t>be10cc3c-bb07-3e0d-8e4e-a6188d046ee3</t>
  </si>
  <si>
    <t>Electricity, high voltage, production MA, at grid {MA}</t>
  </si>
  <si>
    <t>c34c15a8-f03d-3f7e-ac07-e16384e2428e</t>
  </si>
  <si>
    <t>Electricity, high voltage, production MK, at grid {MK}</t>
  </si>
  <si>
    <t>1680f498-5566-3f3d-ada2-1dd8bae4349a</t>
  </si>
  <si>
    <t>Electricity, high voltage, production MX, at grid {MX}</t>
  </si>
  <si>
    <t>6f3155bd-d500-3d6e-87a2-df962b7bc0be</t>
  </si>
  <si>
    <t>Electricity, high voltage, production MY, at grid {MY}</t>
  </si>
  <si>
    <t>d7dd24ee-c701-3292-a0c2-bb3b25c43edc</t>
  </si>
  <si>
    <t>Electricity, high voltage, production NG, at grid {NG}</t>
  </si>
  <si>
    <t>678986b1-26ac-3233-bb70-6aff85d43dd8</t>
  </si>
  <si>
    <t>Electricity, high voltage, production NL, at grid {NL}</t>
  </si>
  <si>
    <t>0d812f49-cc1a-30d9-afc0-eb5851b67b6c</t>
  </si>
  <si>
    <t>Electricity, high voltage, production NO, at grid {NO}</t>
  </si>
  <si>
    <t>70ab3d2e-cdc0-3046-b137-73555cb804f6</t>
  </si>
  <si>
    <t>Electricity, high voltage, production NORDEL, at grid {NORDEL}</t>
  </si>
  <si>
    <t>047ab1f6-a749-3f87-b6f8-9e7b058e85af</t>
  </si>
  <si>
    <t>Electricity, high voltage, production NZ, at grid {NZ}</t>
  </si>
  <si>
    <t>ecdfcd9e-6a06-30f9-b5df-f6a5367b8446</t>
  </si>
  <si>
    <t>Electricity, high voltage, production PE, at grid {PE}</t>
  </si>
  <si>
    <t>a57d2a6d-7f99-31bd-b916-2057a3efa267</t>
  </si>
  <si>
    <t>Electricity, high voltage, production PH, at grid {PH}</t>
  </si>
  <si>
    <t>a8dc7171-3944-31d2-a15e-788e99ad44af</t>
  </si>
  <si>
    <t>Electricity, high voltage, production PK, at grid {PK}</t>
  </si>
  <si>
    <t>20942d3f-13a7-3c1b-9d94-33ddbdd5fc29</t>
  </si>
  <si>
    <t>Electricity, high voltage, production PL, at grid {PL}</t>
  </si>
  <si>
    <t>6bafdaca-4bb7-39dd-b665-9d78a26bdb0f</t>
  </si>
  <si>
    <t>Electricity, high voltage, production PT, at grid {PT}</t>
  </si>
  <si>
    <t>41a8eb5a-df7c-3d9e-860b-3c32799da415</t>
  </si>
  <si>
    <t>Electricity, high voltage, production QA, at grid {QA}</t>
  </si>
  <si>
    <t>d154df7d-a56d-3d83-9c8c-60daa8237972</t>
  </si>
  <si>
    <t>Electricity, high voltage, production RAF, at grid {RAF}</t>
  </si>
  <si>
    <t>93a3f6ae-540a-3e44-8b69-447a69c58e1c</t>
  </si>
  <si>
    <t>Electricity, high voltage, production RAS, at grid {RAS}</t>
  </si>
  <si>
    <t>7b13ca06-e31b-30e0-9834-01932d035476</t>
  </si>
  <si>
    <t>Electricity, high voltage, production RER, at grid {RER}</t>
  </si>
  <si>
    <t>f3f4e880-c159-3cbb-999b-cc0609b13319</t>
  </si>
  <si>
    <t>Electricity, high voltage, production RLA, at grid {RLA}</t>
  </si>
  <si>
    <t>f07207af-ed56-36fb-9b10-1371cd553ef7</t>
  </si>
  <si>
    <t>Electricity, high voltage, production RME, at grid {RME}</t>
  </si>
  <si>
    <t>6a1fc43d-e6a0-36ca-8222-9a095860531d</t>
  </si>
  <si>
    <t>Electricity, high voltage, production RNA, at grid {RNA}</t>
  </si>
  <si>
    <t>fee169c3-208b-37ce-8495-2206c31055a0</t>
  </si>
  <si>
    <t>Electricity, high voltage, production RO, at grid {RO}</t>
  </si>
  <si>
    <t>2cc3cb3b-cdaa-3057-ba54-2d0bd06afbdb</t>
  </si>
  <si>
    <t>Electricity, high voltage, production RS, at grid {RS}</t>
  </si>
  <si>
    <t>d6878ef3-1548-3dc8-9583-d88b25e79816</t>
  </si>
  <si>
    <t>Electricity, high voltage, production RU, at grid {RU}</t>
  </si>
  <si>
    <t>73cc1ff1-b51b-3bb6-ba0b-4a547d6d6ed7</t>
  </si>
  <si>
    <t>Electricity, high voltage, production SA, at grid {SA}</t>
  </si>
  <si>
    <t>eb61f5d3-9110-3b24-9cbf-3fdb4ed1ff34</t>
  </si>
  <si>
    <t>Electricity, high voltage, production SE, at grid {SE}</t>
  </si>
  <si>
    <t>cd929383-a661-31bd-83e0-1aeec00ea328</t>
  </si>
  <si>
    <t>Electricity, high voltage, production SG, at grid {SG}</t>
  </si>
  <si>
    <t>094d912d-4edf-3c2b-9c94-9b88073a6af0</t>
  </si>
  <si>
    <t>Electricity, high voltage, production SI, at grid {SI}</t>
  </si>
  <si>
    <t>009419a4-b0e8-32f1-be68-6be9e45ee860</t>
  </si>
  <si>
    <t>Electricity, high voltage, production SK, at grid {SK}</t>
  </si>
  <si>
    <t>b2196fad-e5b3-34c2-9fbf-7d595573ce9a</t>
  </si>
  <si>
    <t>Electricity, high voltage, production TH, at grid {TH}</t>
  </si>
  <si>
    <t>f2804512-320e-3069-95e7-793681608b2b</t>
  </si>
  <si>
    <t>Electricity, high voltage, production TN, at grid {TN}</t>
  </si>
  <si>
    <t>1b3d7031-c121-3886-8925-e49737513d1a</t>
  </si>
  <si>
    <t>Electricity, high voltage, production TR, at grid {TR}</t>
  </si>
  <si>
    <t>13fd0021-6847-3642-8d72-29b63e36f50f</t>
  </si>
  <si>
    <t>Electricity, high voltage, production TW, at grid {TW}</t>
  </si>
  <si>
    <t>4a5bdb72-c66c-3092-bfaf-43b0aa677130</t>
  </si>
  <si>
    <t>Electricity, high voltage, production TZ, at grid {TZ}</t>
  </si>
  <si>
    <t>deac2af8-824a-3830-957b-f0331928884d</t>
  </si>
  <si>
    <t>Electricity, high voltage, production UA, at grid {UA}</t>
  </si>
  <si>
    <t>33365b36-487a-3228-a98b-43939a68fbd1</t>
  </si>
  <si>
    <t>Electricity, high voltage, production US, at grid {US}</t>
  </si>
  <si>
    <t>0337c4d7-8371-3d5c-a8ec-d7378f166b9d</t>
  </si>
  <si>
    <t>Electricity, high voltage, production VN, at grid {VN}</t>
  </si>
  <si>
    <t>3f2056ec-4d4f-35ea-904d-4c8e141469e8</t>
  </si>
  <si>
    <t>Electricity, high voltage, production ZA, at grid {ZA}</t>
  </si>
  <si>
    <t>0e8c0cd9-20a0-3ffa-9a28-250833539be6</t>
  </si>
  <si>
    <t>Electricity, high voltage, PV, at 3kWp slanted-roof, CdTe, panel, mounted, at grid {CH}</t>
  </si>
  <si>
    <t>0a696620-61ad-3619-bfbe-c3320ab27133</t>
  </si>
  <si>
    <t>Electricity, high voltage, PV, at 3kWp slanted-roof, CIS, panel, mounted, at grid {CH}</t>
  </si>
  <si>
    <t>2da2c36d-6cc3-3649-acff-b5125336d142</t>
  </si>
  <si>
    <t>Electricity, high voltage, PV, at 3kWp slanted-roof, multi-Si, panel, mounted, at grid {CH}</t>
  </si>
  <si>
    <t>0a4548de-b1db-3865-9e73-6e9717a6cf22</t>
  </si>
  <si>
    <t>Electricity, high voltage, PV, at 3kWp slanted-roof, single-Si, panel, mounted, at grid {CH}</t>
  </si>
  <si>
    <t>5b15904a-ffa1-3b79-98f4-d36980ad9d62</t>
  </si>
  <si>
    <t>Electricity, high voltage, PV, facade, multi-Si, panel {CH}</t>
  </si>
  <si>
    <t>bd492bf8-41d1-34ef-b04b-6619f275a6ce</t>
  </si>
  <si>
    <t>Electricity, high voltage, PV, open ground , single-Si {CH}</t>
  </si>
  <si>
    <t>4e234409-c55d-32f2-b7a3-d3f03026bf02</t>
  </si>
  <si>
    <t>Electricity, high voltage, PV, slanted roof, a-Si, panel {CH}</t>
  </si>
  <si>
    <t>97886f41-974d-386f-ba89-6079b5909db8</t>
  </si>
  <si>
    <t>Electricity, high voltage, PV, slanted roof, CdTe, laminated {CH}</t>
  </si>
  <si>
    <t>8eacb62d-151c-31e6-9b8d-a65edb6b0560</t>
  </si>
  <si>
    <t>Electricity, high voltage, railway, at grid {FR}</t>
  </si>
  <si>
    <t>ef6489b9-3def-3d21-b073-0ffff84ea3b0</t>
  </si>
  <si>
    <t>Electricity, high voltage, railway, at grid {IT}</t>
  </si>
  <si>
    <t>af7e7410-c93b-3ab5-be6b-6cbca9affda2</t>
  </si>
  <si>
    <t>Electricity, high voltage, residual mix {CH}</t>
  </si>
  <si>
    <t>6ec0af52-d44d-34a5-95b5-1eca084d33c7</t>
  </si>
  <si>
    <t>Electricity, high voltage, SBB, at grid {CH}</t>
  </si>
  <si>
    <t>a41a39be-629e-3ef0-854e-b5a252060f5c</t>
  </si>
  <si>
    <t>Electricity, high voltage, supply mix GO, at grid {CH}</t>
  </si>
  <si>
    <t>ecce65a4-87b1-355d-9f3b-e754605c3887</t>
  </si>
  <si>
    <t>Electricity, high voltage, water utility Zug, at grid {CH}</t>
  </si>
  <si>
    <t>c65ceb83-5a36-351e-873d-98bfe043f94f</t>
  </si>
  <si>
    <t>Electricity, high voltage,PV, slanted roof, multi-Si, panel {CH}</t>
  </si>
  <si>
    <t>67792dff-f137-3df6-bc2b-d4648c5def7a</t>
  </si>
  <si>
    <t>Electricity, hydropower, at power plant {AT}</t>
  </si>
  <si>
    <t>electricity by fuel\hydro</t>
  </si>
  <si>
    <t>2bc529b8-f832-35c0-9150-6ce279875162</t>
  </si>
  <si>
    <t>Electricity, hydropower, at power plant {BA}</t>
  </si>
  <si>
    <t>80e85f2b-4117-3606-82db-c14fe5deba1a</t>
  </si>
  <si>
    <t>Electricity, hydropower, at power plant {BE}</t>
  </si>
  <si>
    <t>aaaf5c45-6a17-3edf-9251-873eccdacb1a</t>
  </si>
  <si>
    <t>Electricity, hydropower, at power plant {CH}</t>
  </si>
  <si>
    <t>2f208687-8d64-3c8a-999c-fd66d725a120</t>
  </si>
  <si>
    <t>Electricity, hydropower, at power plant {CS}</t>
  </si>
  <si>
    <t>9dac5b45-e2ab-34f1-8f92-f9240b1df09c</t>
  </si>
  <si>
    <t>Electricity, hydropower, at power plant {CZ}</t>
  </si>
  <si>
    <t>f1d587a4-b8ae-3869-b5fb-1c1ac2c1f6eb</t>
  </si>
  <si>
    <t>Electricity, hydropower, at power plant {DE}</t>
  </si>
  <si>
    <t>1a559be6-7f67-37be-aa1e-e8ce53dc304e</t>
  </si>
  <si>
    <t>Electricity, hydropower, at power plant {DK}</t>
  </si>
  <si>
    <t>6fde0d5d-34ae-3810-8ba1-060c7c4f3d24</t>
  </si>
  <si>
    <t>Electricity, hydropower, at power plant {ES}</t>
  </si>
  <si>
    <t>a654b674-bf84-3e20-b336-2cc646f8ee74</t>
  </si>
  <si>
    <t>Electricity, hydropower, at power plant {FI}</t>
  </si>
  <si>
    <t>07bbcbaa-3476-3542-942a-cbcf5b477742</t>
  </si>
  <si>
    <t>Electricity, hydropower, at power plant {FR}</t>
  </si>
  <si>
    <t>e38bc33f-25f6-359a-94f3-521467a7f9e2</t>
  </si>
  <si>
    <t>Electricity, hydropower, at power plant {GB}</t>
  </si>
  <si>
    <t>de2caffc-13ab-32ae-be46-370bc6fad3cd</t>
  </si>
  <si>
    <t>Electricity, hydropower, at power plant {GR}</t>
  </si>
  <si>
    <t>c5f2e496-1f16-387f-bdb0-e60b586afaaf</t>
  </si>
  <si>
    <t>Electricity, hydropower, at power plant {HR}</t>
  </si>
  <si>
    <t>2a933926-49dc-3fed-b41f-b5150e737138</t>
  </si>
  <si>
    <t>Electricity, hydropower, at power plant {HU}</t>
  </si>
  <si>
    <t>ce25ce56-bda3-35c4-b460-c4d44d565fb4</t>
  </si>
  <si>
    <t>Electricity, hydropower, at power plant {IE}</t>
  </si>
  <si>
    <t>f5189356-feda-3751-9065-057776320a58</t>
  </si>
  <si>
    <t>Electricity, hydropower, at power plant {IT}</t>
  </si>
  <si>
    <t>f89d1d8f-e230-3dcd-8024-159747049f96</t>
  </si>
  <si>
    <t>Electricity, hydropower, at power plant {LU}</t>
  </si>
  <si>
    <t>7348bb20-34f6-3a6f-8475-344d9b475c78</t>
  </si>
  <si>
    <t>Electricity, hydropower, at power plant {MK}</t>
  </si>
  <si>
    <t>d7773515-3daf-3825-aa69-034b744cccff</t>
  </si>
  <si>
    <t>Electricity, hydropower, at power plant {NL}</t>
  </si>
  <si>
    <t>8515f7bd-5b6d-31a8-8261-f67be5e92b3e</t>
  </si>
  <si>
    <t>Electricity, hydropower, at power plant {NO}</t>
  </si>
  <si>
    <t>40b28eff-638b-34fb-a54b-09496b9c99a2</t>
  </si>
  <si>
    <t>Electricity, hydropower, at power plant {PL}</t>
  </si>
  <si>
    <t>412f9071-4bc6-365d-a741-07a36db90f02</t>
  </si>
  <si>
    <t>Electricity, hydropower, at power plant {PT}</t>
  </si>
  <si>
    <t>e7acc2a4-c4fc-389e-9e84-78a52396dc37</t>
  </si>
  <si>
    <t>Electricity, hydropower, at power plant {SE}</t>
  </si>
  <si>
    <t>bebfe15a-6478-3119-810b-0b4b9820d3b7</t>
  </si>
  <si>
    <t>Electricity, hydropower, at power plant {SI}</t>
  </si>
  <si>
    <t>067117c4-0ec6-3683-8aad-893eabed8b1a</t>
  </si>
  <si>
    <t>Electricity, hydropower, at power plant {SK}</t>
  </si>
  <si>
    <t>7131e0b2-2672-3944-94f3-65998e3825cc</t>
  </si>
  <si>
    <t>Electricity, hydropower, at pumped storage plant, ENTSO, 2020 {AT}</t>
  </si>
  <si>
    <t>electricity by fuel\hydro\power plants</t>
  </si>
  <si>
    <t>b6bab09e-bb87-3700-bfb4-09f032fe2ccb</t>
  </si>
  <si>
    <t>Electricity, hydropower, at pumped storage plant, ENTSO, 2020 {CH}</t>
  </si>
  <si>
    <t>323be085-bd1d-365a-9acb-c6665d52d315</t>
  </si>
  <si>
    <t>Electricity, hydropower, at pumped storage plant, ENTSO, 2020 {DE}</t>
  </si>
  <si>
    <t>18d6458c-55da-3f60-b11e-16e65eaa63c4</t>
  </si>
  <si>
    <t>Electricity, hydropower, at pumped storage plant, ENTSO, 2020 {FR}</t>
  </si>
  <si>
    <t>eb065c43-5395-3e34-988a-b719f07cf4fd</t>
  </si>
  <si>
    <t>Electricity, hydropower, at pumped storage plant, ENTSO, 2020 {IT}</t>
  </si>
  <si>
    <t>2aac0b06-cd94-3774-91a9-f1385d026c3c</t>
  </si>
  <si>
    <t>Electricity, hydropower, at pumped storage plant, ENTSO, summer 2018 {AT}</t>
  </si>
  <si>
    <t>3d927dab-70de-3df4-9720-b0e187213824</t>
  </si>
  <si>
    <t>Electricity, hydropower, at pumped storage plant, ENTSO, summer 2018 {CH}</t>
  </si>
  <si>
    <t>3d6017bf-c6c6-3461-b8e9-ee836ba32020</t>
  </si>
  <si>
    <t>Electricity, hydropower, at pumped storage plant, ENTSO, summer 2018 {DE}</t>
  </si>
  <si>
    <t>0ba7e3d1-aa4e-351f-81d4-14941b982441</t>
  </si>
  <si>
    <t>Electricity, hydropower, at pumped storage plant, ENTSO, summer 2018 {FR}</t>
  </si>
  <si>
    <t>e163c0bf-3dfe-31f7-8c97-71c77b54c14f</t>
  </si>
  <si>
    <t>Electricity, hydropower, at pumped storage plant, ENTSO, summer 2018 {IT}</t>
  </si>
  <si>
    <t>d7f02261-f8e0-3e6a-9e44-b95ee17782e7</t>
  </si>
  <si>
    <t>Electricity, hydropower, at pumped storage plant, ENTSO, winter 2018 {AT}</t>
  </si>
  <si>
    <t>81f208ac-7133-38b3-94eb-cb6354437ac8</t>
  </si>
  <si>
    <t>Electricity, hydropower, at pumped storage plant, ENTSO, winter 2018 {CH}</t>
  </si>
  <si>
    <t>84e9d3bc-8b3c-3444-ae81-80beba5d3d49</t>
  </si>
  <si>
    <t>Electricity, hydropower, at pumped storage plant, ENTSO, winter 2018 {DE}</t>
  </si>
  <si>
    <t>69261fe8-77e9-347a-a623-4e6584ebb70f</t>
  </si>
  <si>
    <t>Electricity, hydropower, at pumped storage plant, ENTSO, winter 2018 {FR}</t>
  </si>
  <si>
    <t>5ad22b27-614a-3413-8f83-e0df7a12277e</t>
  </si>
  <si>
    <t>Electricity, hydropower, at pumped storage plant, ENTSO, winter 2018 {IT}</t>
  </si>
  <si>
    <t>fe8aae34-3f3d-3ef4-881e-bc94443aa00e</t>
  </si>
  <si>
    <t>Electricity, hydropower, at pumped storage power plant {AR}</t>
  </si>
  <si>
    <t>electricity by fuel\hydro\pumping storage</t>
  </si>
  <si>
    <t>803baf06-3e13-312a-9f3c-d283a9a011f0</t>
  </si>
  <si>
    <t>Electricity, hydropower, at pumped storage power plant {AT}</t>
  </si>
  <si>
    <t>7776bf3c-109c-30d1-b409-6f12a35c3b06</t>
  </si>
  <si>
    <t>Electricity, hydropower, at pumped storage power plant {AU}</t>
  </si>
  <si>
    <t>009e65ff-e3ec-35fc-85be-c4afb6ad2907</t>
  </si>
  <si>
    <t>Electricity, hydropower, at pumped storage power plant {BA}</t>
  </si>
  <si>
    <t>60b537bc-f020-366f-888e-2b041af00c07</t>
  </si>
  <si>
    <t>Electricity, hydropower, at pumped storage power plant {BE}</t>
  </si>
  <si>
    <t>776c610c-dbaf-39fe-9288-0718ba4e00e8</t>
  </si>
  <si>
    <t>Electricity, hydropower, at pumped storage power plant {BG}</t>
  </si>
  <si>
    <t>6b1b001e-2301-3690-8f42-ce6992cb886e</t>
  </si>
  <si>
    <t>Electricity, hydropower, at pumped storage power plant {CA}</t>
  </si>
  <si>
    <t>93b8722f-2499-3935-8b5c-018075472b61</t>
  </si>
  <si>
    <t>Electricity, hydropower, at pumped storage power plant {CH}</t>
  </si>
  <si>
    <t>4b51f8cf-017a-34ea-ba6d-f2db10740a97</t>
  </si>
  <si>
    <t>Electricity, hydropower, at pumped storage power plant {CN}</t>
  </si>
  <si>
    <t>fce67509-3f74-3400-8a56-e06e24a2de89</t>
  </si>
  <si>
    <t>Electricity, hydropower, at pumped storage power plant {CS}</t>
  </si>
  <si>
    <t>4f9b9686-335a-37f7-9402-3f18778dda76</t>
  </si>
  <si>
    <t>Electricity, hydropower, at pumped storage power plant {CZ}</t>
  </si>
  <si>
    <t>05fba4d5-0909-375f-878b-93c2b7016e62</t>
  </si>
  <si>
    <t>Electricity, hydropower, at pumped storage power plant {DE}</t>
  </si>
  <si>
    <t>ebbd7d52-14b8-3798-85ae-915fd40643ab</t>
  </si>
  <si>
    <t>Electricity, hydropower, at pumped storage power plant {DK}</t>
  </si>
  <si>
    <t>1ce5cf08-5e2d-31b5-98d9-3c41a591a65b</t>
  </si>
  <si>
    <t>Electricity, hydropower, at pumped storage power plant {ES}</t>
  </si>
  <si>
    <t>6022022f-1191-3aa4-9d4a-cf40488daf59</t>
  </si>
  <si>
    <t>Electricity, hydropower, at pumped storage power plant {FI}</t>
  </si>
  <si>
    <t>ea665bb9-38d7-3895-a65a-f32f262b68dc</t>
  </si>
  <si>
    <t>Electricity, hydropower, at pumped storage power plant {FR}</t>
  </si>
  <si>
    <t>ab004aae-7f0c-30f4-bd0a-0ec840b58b8e</t>
  </si>
  <si>
    <t>Electricity, hydropower, at pumped storage power plant {GB}</t>
  </si>
  <si>
    <t>404ded37-f1da-38bd-9812-88a9ed60e6ed</t>
  </si>
  <si>
    <t>Electricity, hydropower, at pumped storage power plant {GR}</t>
  </si>
  <si>
    <t>692ceab3-6bb2-3ee9-b2f3-1e3babed7aaf</t>
  </si>
  <si>
    <t>Electricity, hydropower, at pumped storage power plant {HR}</t>
  </si>
  <si>
    <t>60cc625f-1a81-3fcc-998f-d624583895c2</t>
  </si>
  <si>
    <t>Electricity, hydropower, at pumped storage power plant {HU}</t>
  </si>
  <si>
    <t>5d1d79cd-f69d-322f-ab84-d4f84fd0ba3b</t>
  </si>
  <si>
    <t>Electricity, hydropower, at pumped storage power plant {IE}</t>
  </si>
  <si>
    <t>6cf10041-755c-3276-8edb-b5f0e51059d3</t>
  </si>
  <si>
    <t>Electricity, hydropower, at pumped storage power plant {IL}</t>
  </si>
  <si>
    <t>82c2222d-1fc3-3eb9-bbea-312d16a2b69d</t>
  </si>
  <si>
    <t>Electricity, hydropower, at pumped storage power plant {IN}</t>
  </si>
  <si>
    <t>bf1b354b-15da-32d1-8100-131260a44533</t>
  </si>
  <si>
    <t>Electricity, hydropower, at pumped storage power plant {IT}</t>
  </si>
  <si>
    <t>72448e03-6c7d-3f25-baf7-fb94b30062a2</t>
  </si>
  <si>
    <t>Electricity, hydropower, at pumped storage power plant {JP}</t>
  </si>
  <si>
    <t>dfeedd37-d9ab-3727-874f-d4eac1cf950d</t>
  </si>
  <si>
    <t>Electricity, hydropower, at pumped storage power plant {KR}</t>
  </si>
  <si>
    <t>7a67f50c-fa69-305c-bc00-37125466d9fc</t>
  </si>
  <si>
    <t>Electricity, hydropower, at pumped storage power plant {LT}</t>
  </si>
  <si>
    <t>2cc05866-f73b-3f5f-876f-8707e7643220</t>
  </si>
  <si>
    <t>Electricity, hydropower, at pumped storage power plant {LU}</t>
  </si>
  <si>
    <t>f21f2f68-abfa-3e72-8a89-dd6393731cf3</t>
  </si>
  <si>
    <t>Electricity, hydropower, at pumped storage power plant {MA}</t>
  </si>
  <si>
    <t>6c230691-02e1-3ee3-94bd-946cb42ecac1</t>
  </si>
  <si>
    <t>Electricity, hydropower, at pumped storage power plant {MK}</t>
  </si>
  <si>
    <t>effd96c9-060e-3a51-a139-f2fbbd661b0e</t>
  </si>
  <si>
    <t>Electricity, hydropower, at pumped storage power plant {MY}</t>
  </si>
  <si>
    <t>a1e9cc40-27f4-3944-8480-c5f0848619a8</t>
  </si>
  <si>
    <t>Electricity, hydropower, at pumped storage power plant {NL}</t>
  </si>
  <si>
    <t>4f96fd19-e24d-3747-8d23-d3db976337ab</t>
  </si>
  <si>
    <t>Electricity, hydropower, at pumped storage power plant {NO}</t>
  </si>
  <si>
    <t>87fc578d-5ac3-3536-946e-364daca94bfe</t>
  </si>
  <si>
    <t>Electricity, hydropower, at pumped storage power plant {NZ}</t>
  </si>
  <si>
    <t>d35d08aa-b118-35fe-adb6-ec65cbf81f1f</t>
  </si>
  <si>
    <t>Electricity, hydropower, at pumped storage power plant {PL}</t>
  </si>
  <si>
    <t>4b092a9e-4259-3fb2-bbcc-146f11d56f17</t>
  </si>
  <si>
    <t>Electricity, hydropower, at pumped storage power plant {PT}</t>
  </si>
  <si>
    <t>7f30d925-3948-3570-8e5e-d9a248d9575a</t>
  </si>
  <si>
    <t>Electricity, hydropower, at pumped storage power plant {RER}</t>
  </si>
  <si>
    <t>cf7c501c-6ead-3df9-91a7-17a1d83f2eac</t>
  </si>
  <si>
    <t>Electricity, hydropower, at pumped storage power plant {RO}</t>
  </si>
  <si>
    <t>f6b0c647-c4fb-3736-8c11-360d92be114f</t>
  </si>
  <si>
    <t>Electricity, hydropower, at pumped storage power plant {RS}</t>
  </si>
  <si>
    <t>78639111-58ae-3aab-aa29-2d1e3aae97d6</t>
  </si>
  <si>
    <t>Electricity, hydropower, at pumped storage power plant {RU}</t>
  </si>
  <si>
    <t>d1fd54ad-b901-32d3-9ff3-04c1fc369e9b</t>
  </si>
  <si>
    <t>Electricity, hydropower, at pumped storage power plant {SE}</t>
  </si>
  <si>
    <t>7363d80d-7364-384a-b041-3b2452882975</t>
  </si>
  <si>
    <t>Electricity, hydropower, at pumped storage power plant {SI}</t>
  </si>
  <si>
    <t>b5139ccb-0bda-3e25-aa2f-981f85586174</t>
  </si>
  <si>
    <t>Electricity, hydropower, at pumped storage power plant {SK}</t>
  </si>
  <si>
    <t>2cd6361a-a17d-3922-a171-544dc51d161c</t>
  </si>
  <si>
    <t>Electricity, hydropower, at pumped storage power plant {TW}</t>
  </si>
  <si>
    <t>24cefb8d-75b0-340d-abc7-885901678ee5</t>
  </si>
  <si>
    <t>Electricity, hydropower, at pumped storage power plant {UA}</t>
  </si>
  <si>
    <t>546dfe1d-6c58-3e3f-9145-6b07da35efe4</t>
  </si>
  <si>
    <t>Electricity, hydropower, at pumped storage power plant {US}</t>
  </si>
  <si>
    <t>c56ea39f-83d8-3c6c-8368-0d7d12e55da9</t>
  </si>
  <si>
    <t>Electricity, hydropower, at pumped storage power plant {ZA}</t>
  </si>
  <si>
    <t>601ff0d8-6830-3dc7-b2ee-12f2ac756b0e</t>
  </si>
  <si>
    <t>Electricity, hydropower, at reservoir power plant {BR}</t>
  </si>
  <si>
    <t>electricity by fuel\hydro\reservoir</t>
  </si>
  <si>
    <t>e0a1e90a-da44-3f54-9187-3bdf139975d7</t>
  </si>
  <si>
    <t>Electricity, hydropower, at reservoir power plant {CH}</t>
  </si>
  <si>
    <t>43245de8-b7b8-3ecc-8144-400373b2f846</t>
  </si>
  <si>
    <t>Electricity, hydropower, at reservoir power plant {FI}</t>
  </si>
  <si>
    <t>12bbcef6-63fe-322d-86d9-0ac443a318fc</t>
  </si>
  <si>
    <t>Electricity, hydropower, at reservoir power plant, alpine region {RER}</t>
  </si>
  <si>
    <t>0c726eb1-b5f2-36ef-9a0e-5824059731e8</t>
  </si>
  <si>
    <t>Electricity, hydropower, at reservoir power plant, non alpine regions {RER}</t>
  </si>
  <si>
    <t>fbd1f9e7-9b53-32ce-b7b5-29dd0a7a66bf</t>
  </si>
  <si>
    <t>Electricity, hydropower, at run-of-river power plant {CH}</t>
  </si>
  <si>
    <t>electricity by fuel\hydro\flow through</t>
  </si>
  <si>
    <t>4ee29e29-9e37-376e-9340-831e6fbe5b37</t>
  </si>
  <si>
    <t>Electricity, hydropower, at run-of-river power plant {RER}</t>
  </si>
  <si>
    <t>9c67c892-d289-3a7d-bf72-cbfd7d0b3484</t>
  </si>
  <si>
    <t>Electricity, hydropower, at run-of-river power plant with reservoir {CH}</t>
  </si>
  <si>
    <t>b34c3c41-226c-398d-8754-2d14f351afe2</t>
  </si>
  <si>
    <t>Electricity, hydropower, at run-of-river power plant with reservoir {RER}</t>
  </si>
  <si>
    <t>f74d4fd8-12d1-383d-adb8-6f9e096b86c8</t>
  </si>
  <si>
    <t>Electricity, hydropower, at run-of-river power plant without reservoir {CH}</t>
  </si>
  <si>
    <t>7057ceb6-10bc-3ca2-9f03-8a85629ea0d5</t>
  </si>
  <si>
    <t>Electricity, hydropower, at run-of-river power plant without reservoir {RER}</t>
  </si>
  <si>
    <t>eb8d2bfa-989d-4543-a505-45dedf6ff3a6</t>
  </si>
  <si>
    <t>Electricity, hydropower, at small hydropower plant {CH}</t>
  </si>
  <si>
    <t>fcc4a324-b55c-3c58-9c7d-2fbc96cf4121</t>
  </si>
  <si>
    <t>Electricity, hydropower, at small hydropower plant {RER}</t>
  </si>
  <si>
    <t>3233c113-410b-3bc3-8068-5aa3f28d9e92</t>
  </si>
  <si>
    <t>Electricity, hydropower, at small hydropower plant, in waterworks infrastructure {CH}</t>
  </si>
  <si>
    <t>30dac72c-febd-339b-8353-beb18bc6aaa6</t>
  </si>
  <si>
    <t>Electricity, hydropower, at small hydropower plant, in waterworks infrastructure {RER}</t>
  </si>
  <si>
    <t>fbf86ff0-3e7e-318d-a66a-d3c364ac0631</t>
  </si>
  <si>
    <t>Electricity, hydropower, net, at reservoir power plant {CH}</t>
  </si>
  <si>
    <t>8b83697e-270a-36ef-bcd0-c913b8ee67be</t>
  </si>
  <si>
    <t>Electricity, industrial gas, at power plant {AT}</t>
  </si>
  <si>
    <t>46e83e9e-a0a0-3cf1-91ac-05ee8541de96</t>
  </si>
  <si>
    <t>Electricity, industrial gas, at power plant {BE}</t>
  </si>
  <si>
    <t>87591918-a1c0-3559-b2b7-e1987b3215b1</t>
  </si>
  <si>
    <t>Electricity, industrial gas, at power plant {CENTREL}</t>
  </si>
  <si>
    <t>1888999e-fbf9-3465-92b2-73d26ed917e0</t>
  </si>
  <si>
    <t>Electricity, industrial gas, at power plant {DE}</t>
  </si>
  <si>
    <t>ed68b9a9-e120-315c-8bc6-9161b9e775f0</t>
  </si>
  <si>
    <t>Electricity, industrial gas, at power plant {ES}</t>
  </si>
  <si>
    <t>d1603317-548d-30ea-ab4f-b5447d845e84</t>
  </si>
  <si>
    <t>Electricity, industrial gas, at power plant {FR}</t>
  </si>
  <si>
    <t>50a27d95-1918-3831-b8d4-8fd1bb875c00</t>
  </si>
  <si>
    <t>Electricity, industrial gas, at power plant {IT}</t>
  </si>
  <si>
    <t>e04bebff-1430-37e9-b9dd-c04d1a166aa8</t>
  </si>
  <si>
    <t>Electricity, industrial gas, at power plant {NL}</t>
  </si>
  <si>
    <t>a6dd6839-b98e-373a-a6be-ebac05f65e11</t>
  </si>
  <si>
    <t>Electricity, industrial gas, at power plant {NORDEL}</t>
  </si>
  <si>
    <t>dda724b1-81c3-34b4-9c1b-d43289de071b</t>
  </si>
  <si>
    <t>Electricity, industrial gas, at power plant {UCTE}</t>
  </si>
  <si>
    <t>7a867564-11ea-3172-9706-695603d27548</t>
  </si>
  <si>
    <t>Electricity, lignite, at power plant {AT}</t>
  </si>
  <si>
    <t>electricity by fuel\lignite</t>
  </si>
  <si>
    <t>ec2c7e68-3eb4-328f-8c11-8acff48c458d</t>
  </si>
  <si>
    <t>Electricity, lignite, at power plant {BA}</t>
  </si>
  <si>
    <t>53230d54-ebed-339b-8362-48cd441f23f3</t>
  </si>
  <si>
    <t>Electricity, lignite, at power plant {CENTREL}</t>
  </si>
  <si>
    <t>cf530ea3-cbf7-3254-91e3-af565005c2cd</t>
  </si>
  <si>
    <t>Electricity, lignite, at power plant {CS}</t>
  </si>
  <si>
    <t>e5356c5b-271b-3081-a72e-f5a78fde4410</t>
  </si>
  <si>
    <t>Electricity, lignite, at power plant {CZ}</t>
  </si>
  <si>
    <t>ea5f4163-34ba-3091-a361-6ae594fbbf27</t>
  </si>
  <si>
    <t>Electricity, lignite, at power plant {DE}</t>
  </si>
  <si>
    <t>016d490f-79c5-3c87-b3fb-165aa94757f4</t>
  </si>
  <si>
    <t>Electricity, lignite, at power plant {ENTSO-E}</t>
  </si>
  <si>
    <t>701e2ba6-036b-35b5-badf-7b6d1ebe50d1</t>
  </si>
  <si>
    <t>Electricity, lignite, at power plant {ES}</t>
  </si>
  <si>
    <t>97776331-7f5e-331c-8c9f-809fdd57db3f</t>
  </si>
  <si>
    <t>Electricity, lignite, at power plant {FR}</t>
  </si>
  <si>
    <t>aeae67ed-795e-38cb-a978-006d801c4df2</t>
  </si>
  <si>
    <t>Electricity, lignite, at power plant {GR}</t>
  </si>
  <si>
    <t>2480b5f4-c924-34a7-b67a-2001eaf34cf7</t>
  </si>
  <si>
    <t>Electricity, lignite, at power plant {HU}</t>
  </si>
  <si>
    <t>0bae600e-2d67-3dfb-9fda-21c37365745f</t>
  </si>
  <si>
    <t>Electricity, lignite, at power plant {MK}</t>
  </si>
  <si>
    <t>3c286cd3-114d-360c-a9ca-6a049bfc26a2</t>
  </si>
  <si>
    <t>Electricity, lignite, at power plant {PL}</t>
  </si>
  <si>
    <t>7ecc1d3d-f519-31f9-8b86-9737f94416ce</t>
  </si>
  <si>
    <t>Electricity, lignite, at power plant {RS}</t>
  </si>
  <si>
    <t>a5505eee-6831-3b3e-8374-d16845813c10</t>
  </si>
  <si>
    <t>Electricity, lignite, at power plant {SI}</t>
  </si>
  <si>
    <t>648a9a0c-e893-3a71-a4e7-f38042cc1597</t>
  </si>
  <si>
    <t>Electricity, lignite, at power plant {SK}</t>
  </si>
  <si>
    <t>524f94ad-4114-38c5-b985-6a9eaf323fb7</t>
  </si>
  <si>
    <t>Electricity, lignite, at power plant {UCTE}</t>
  </si>
  <si>
    <t>218d2763-62d7-3e0d-aa39-fb273a2163a5</t>
  </si>
  <si>
    <t>Electricity, low voltage, aluminium industry, at grid {GLO}</t>
  </si>
  <si>
    <t>0b9a5395-b103-38a6-a8d3-8649e9fc0dfd</t>
  </si>
  <si>
    <t>Electricity, low voltage, at grid {AE}</t>
  </si>
  <si>
    <t>0ce36596-ddec-38e1-b92d-4f459c65ab4c</t>
  </si>
  <si>
    <t>Electricity, low voltage, at grid {AR}</t>
  </si>
  <si>
    <t>be4eb8f5-2546-3509-b2c7-229892866d2f</t>
  </si>
  <si>
    <t>Electricity, low voltage, at grid {AT}</t>
  </si>
  <si>
    <t>5617f1b7-ae42-3dd2-b088-167ff35854cc</t>
  </si>
  <si>
    <t>Electricity, low voltage, at grid {AU}</t>
  </si>
  <si>
    <t>b7b9ccfa-287e-3fb3-9d86-dffb1f23e174</t>
  </si>
  <si>
    <t>Electricity, low voltage, at grid {BA}</t>
  </si>
  <si>
    <t>35b4186c-48e5-3822-a744-ecfb9d7fbde2</t>
  </si>
  <si>
    <t>Electricity, low voltage, at grid {BD}</t>
  </si>
  <si>
    <t>8d8219fc-bdc0-3c01-9b23-728dfede526c</t>
  </si>
  <si>
    <t>Electricity, low voltage, at grid {BE}</t>
  </si>
  <si>
    <t>295efb4b-18be-301e-ad42-e590054777c4</t>
  </si>
  <si>
    <t>Electricity, low voltage, at grid {BG}</t>
  </si>
  <si>
    <t>0417514a-e31a-3bbe-bee8-1f7433fe24a0</t>
  </si>
  <si>
    <t>Electricity, low voltage, at grid {BR}</t>
  </si>
  <si>
    <t>5a27b466-1e3f-32db-a92f-fabe20b097ed</t>
  </si>
  <si>
    <t>Electricity, low voltage, at grid {CA}</t>
  </si>
  <si>
    <t>8934ac84-8240-3fca-b2d0-8ddf4386fa36</t>
  </si>
  <si>
    <t>Electricity, low voltage, at grid {CH}</t>
  </si>
  <si>
    <t>c4a92617-9f99-3d7b-95c0-15fb110b80ad</t>
  </si>
  <si>
    <t>Electricity, low voltage, at grid {CL}</t>
  </si>
  <si>
    <t>b18cabea-b50a-3cd5-bb9b-8e60d2d731da</t>
  </si>
  <si>
    <t>Electricity, low voltage, at grid {CN}</t>
  </si>
  <si>
    <t>5baadde8-417c-39b3-aaff-cf9d64263201</t>
  </si>
  <si>
    <t>Electricity, low voltage, at grid {CO}</t>
  </si>
  <si>
    <t>d691ddb1-9af9-39b8-90ca-c9a66af24f2a</t>
  </si>
  <si>
    <t>Electricity, low voltage, at grid {CZ}</t>
  </si>
  <si>
    <t>21e78e78-8790-3021-938d-258dd4d53a55</t>
  </si>
  <si>
    <t>Electricity, low voltage, at grid {DE}</t>
  </si>
  <si>
    <t>401b861e-9831-3e75-ad81-68c9a7e0cd67</t>
  </si>
  <si>
    <t>Electricity, low voltage, at grid {DK}</t>
  </si>
  <si>
    <t>c457c993-b9a4-353b-8001-fe4e434ec065</t>
  </si>
  <si>
    <t>Electricity, low voltage, at grid {DZ}</t>
  </si>
  <si>
    <t>96722f73-6a2b-3193-b1ad-47fa4ad9694d</t>
  </si>
  <si>
    <t>Electricity, low voltage, at grid {EE}</t>
  </si>
  <si>
    <t>597091e1-daf6-3087-aed3-61a938eaa07d</t>
  </si>
  <si>
    <t>Electricity, low voltage, at grid {EG}</t>
  </si>
  <si>
    <t>a7f78d95-639e-3ce5-97ed-6c8b4fd44b54</t>
  </si>
  <si>
    <t>Electricity, low voltage, at grid {ENTSO-E}</t>
  </si>
  <si>
    <t>1a5e55e9-4d19-3fa6-9e89-fabb32fa5760</t>
  </si>
  <si>
    <t>Electricity, low voltage, at grid {ES}</t>
  </si>
  <si>
    <t>2dac255c-e13a-3161-a718-a2c86649092e</t>
  </si>
  <si>
    <t>Electricity, low voltage, at grid {ET}</t>
  </si>
  <si>
    <t>385709ed-fb6c-3ef5-92bb-7e0f0cfb9b0e</t>
  </si>
  <si>
    <t>Electricity, low voltage, at grid {FI}</t>
  </si>
  <si>
    <t>98bc911c-62b4-353d-9452-2d5f6eba15cc</t>
  </si>
  <si>
    <t>Electricity, low voltage, at grid {FR}</t>
  </si>
  <si>
    <t>e9f036ac-dad2-3df3-96f8-5c442a7da084</t>
  </si>
  <si>
    <t>Electricity, low voltage, at grid {GB}</t>
  </si>
  <si>
    <t>b10a47e4-f925-3af3-a8ba-d9105491b40f</t>
  </si>
  <si>
    <t>Electricity, low voltage, at grid {GLO}</t>
  </si>
  <si>
    <t>c80c0167-a223-35ac-829c-a3ef9299d30a</t>
  </si>
  <si>
    <t>Electricity, low voltage, at grid {GR}</t>
  </si>
  <si>
    <t>2446b055-24c4-3506-b27f-8bd3c9cb6b71</t>
  </si>
  <si>
    <t>Electricity, low voltage, at grid {HR}</t>
  </si>
  <si>
    <t>03484078-362e-35ef-afed-fdf5c1c57b98</t>
  </si>
  <si>
    <t>Electricity, low voltage, at grid {HU}</t>
  </si>
  <si>
    <t>3bc6d472-e3c8-31d8-badb-737c9654c616</t>
  </si>
  <si>
    <t>Electricity, low voltage, at grid {ID}</t>
  </si>
  <si>
    <t>bc7f8934-072e-3209-8a92-1a7a61ae4b3a</t>
  </si>
  <si>
    <t>Electricity, low voltage, at grid {IE}</t>
  </si>
  <si>
    <t>3f5ad27c-279c-3de0-b4c6-66b4bf2333bd</t>
  </si>
  <si>
    <t>Electricity, low voltage, at grid {IL}</t>
  </si>
  <si>
    <t>adf4fb2b-bf43-348b-9776-e903aa72d2b0</t>
  </si>
  <si>
    <t>Electricity, low voltage, at grid {IN}</t>
  </si>
  <si>
    <t>b9db6f95-fcd9-38bc-a60b-7cc2c693c76a</t>
  </si>
  <si>
    <t>Electricity, low voltage, at grid {IQ}</t>
  </si>
  <si>
    <t>f83d99e0-b961-3944-9a25-3b2950f4100f</t>
  </si>
  <si>
    <t>Electricity, low voltage, at grid {IR}</t>
  </si>
  <si>
    <t>f6670d17-e007-3e4e-9206-dbd16ec817dd</t>
  </si>
  <si>
    <t>Electricity, low voltage, at grid {IS}</t>
  </si>
  <si>
    <t>fe9616d9-7c35-3335-9db3-0bf59797d81a</t>
  </si>
  <si>
    <t>Electricity, low voltage, at grid {IT}</t>
  </si>
  <si>
    <t>e293761b-d7cb-3a36-9800-289854957fb9</t>
  </si>
  <si>
    <t>Electricity, low voltage, at grid {JP}</t>
  </si>
  <si>
    <t>2489d4d7-3129-3a5c-8f9e-79469e2521d6</t>
  </si>
  <si>
    <t>Electricity, low voltage, at grid {KR}</t>
  </si>
  <si>
    <t>a540d2bc-2442-3559-99a7-56b7cd9ca3d1</t>
  </si>
  <si>
    <t>Electricity, low voltage, at grid {KZ}</t>
  </si>
  <si>
    <t>08bc6fad-a161-3277-99af-46c6a126903b</t>
  </si>
  <si>
    <t>Electricity, low voltage, at grid {LT}</t>
  </si>
  <si>
    <t>bdf54f15-b7bd-3773-a875-ea6e3d5a3e8e</t>
  </si>
  <si>
    <t>Electricity, low voltage, at grid {LU}</t>
  </si>
  <si>
    <t>e293ccc3-723b-3beb-a4a5-329608418070</t>
  </si>
  <si>
    <t>Electricity, low voltage, at grid {LV}</t>
  </si>
  <si>
    <t>30d39240-0fb2-3e7d-aacf-5947a165a805</t>
  </si>
  <si>
    <t>Electricity, low voltage, at grid {MA}</t>
  </si>
  <si>
    <t>8de5d3c5-9780-3d57-b155-a76522db5562</t>
  </si>
  <si>
    <t>Electricity, low voltage, at grid {MK}</t>
  </si>
  <si>
    <t>91a669d8-b455-31a7-92f1-655ca3f43e98</t>
  </si>
  <si>
    <t>Electricity, low voltage, at grid {MX}</t>
  </si>
  <si>
    <t>20186557-4f12-3050-9481-3f744491bc70</t>
  </si>
  <si>
    <t>Electricity, low voltage, at grid {MY}</t>
  </si>
  <si>
    <t>23ad5ceb-c501-3c89-9723-690d4b73eb0e</t>
  </si>
  <si>
    <t>Electricity, low voltage, at grid {NG}</t>
  </si>
  <si>
    <t>ab18b25c-d9f7-33a4-8e77-8790f6f280dc</t>
  </si>
  <si>
    <t>Electricity, low voltage, at grid {NL}</t>
  </si>
  <si>
    <t>53996c5d-bba0-3c62-a027-6624bf998d68</t>
  </si>
  <si>
    <t>Electricity, low voltage, at grid {NO}</t>
  </si>
  <si>
    <t>225d94c3-40e5-3096-9e74-46eae71ea3ce</t>
  </si>
  <si>
    <t>Electricity, low voltage, at grid {NZ}</t>
  </si>
  <si>
    <t>aff4b37b-2a86-387d-91c8-3b6df8583d0c</t>
  </si>
  <si>
    <t>Electricity, low voltage, at grid {PE}</t>
  </si>
  <si>
    <t>3aa0e34f-029b-3b35-88e2-8a4d3055d71b</t>
  </si>
  <si>
    <t>Electricity, low voltage, at grid {PH}</t>
  </si>
  <si>
    <t>1045229b-7e63-3cb1-a869-9631c0c95c88</t>
  </si>
  <si>
    <t>Electricity, low voltage, at grid {PK}</t>
  </si>
  <si>
    <t>246c207f-ece4-3558-9671-5a15dfc71e41</t>
  </si>
  <si>
    <t>Electricity, low voltage, at grid {PL}</t>
  </si>
  <si>
    <t>3a85add1-590c-3a70-979b-9ad44cae9963</t>
  </si>
  <si>
    <t>Electricity, low voltage, at grid {PT}</t>
  </si>
  <si>
    <t>f10673cf-062a-3af2-90dd-c05bcce790c3</t>
  </si>
  <si>
    <t>Electricity, low voltage, at grid {QA}</t>
  </si>
  <si>
    <t>83dad41d-e359-3544-8392-7d761c87f5ca</t>
  </si>
  <si>
    <t>Electricity, low voltage, at grid {RAF}</t>
  </si>
  <si>
    <t>eff1e71e-2fce-34f9-8cb7-e032f64e3503</t>
  </si>
  <si>
    <t>Electricity, low voltage, at grid {RAS}</t>
  </si>
  <si>
    <t>dd7ea4e9-da5e-30fa-8f53-b039b735ec95</t>
  </si>
  <si>
    <t>Electricity, low voltage, at grid {RER}</t>
  </si>
  <si>
    <t>0c5cc00d-0625-3fd0-bc34-5df18f4cfd77</t>
  </si>
  <si>
    <t>Electricity, low voltage, at grid {RLA}</t>
  </si>
  <si>
    <t>3a95ae92-9d0d-384e-b55c-d02114a398ae</t>
  </si>
  <si>
    <t>Electricity, low voltage, at grid {RME}</t>
  </si>
  <si>
    <t>e98e15fa-99ef-3107-8db9-fe430e90bc5b</t>
  </si>
  <si>
    <t>Electricity, low voltage, at grid {RNA}</t>
  </si>
  <si>
    <t>298d8e00-a13f-36bc-b026-e1e5a330acc2</t>
  </si>
  <si>
    <t>Electricity, low voltage, at grid {RO}</t>
  </si>
  <si>
    <t>4acf9249-92a3-3b9e-abfe-4a620ecc38ea</t>
  </si>
  <si>
    <t>Electricity, low voltage, at grid {RS}</t>
  </si>
  <si>
    <t>cc0f2950-c01b-375d-9f73-70b2c3ef0305</t>
  </si>
  <si>
    <t>Electricity, low voltage, at grid {RU}</t>
  </si>
  <si>
    <t>cf9a1edb-ae94-34c3-8fff-8e3354ebac5a</t>
  </si>
  <si>
    <t>Electricity, low voltage, at grid {SA}</t>
  </si>
  <si>
    <t>05b219c3-28b8-36cf-b3de-ae71fbac7dee</t>
  </si>
  <si>
    <t>Electricity, low voltage, at grid {SE}</t>
  </si>
  <si>
    <t>c24ed596-d30d-3048-a28f-b1f7416ae480</t>
  </si>
  <si>
    <t>Electricity, low voltage, at grid {SG}</t>
  </si>
  <si>
    <t>d5196812-55db-321e-a24d-a23275d2a961</t>
  </si>
  <si>
    <t>Electricity, low voltage, at grid {SI}</t>
  </si>
  <si>
    <t>f16b611f-e6a6-37f5-939d-7d949c73d2d0</t>
  </si>
  <si>
    <t>Electricity, low voltage, at grid {SK}</t>
  </si>
  <si>
    <t>88cc13e4-e48b-303e-8919-94b871a2ad8e</t>
  </si>
  <si>
    <t>Electricity, low voltage, at grid {TH}</t>
  </si>
  <si>
    <t>3556d40c-4992-35d3-997b-2668f3af91a2</t>
  </si>
  <si>
    <t>Electricity, low voltage, at grid {TN}</t>
  </si>
  <si>
    <t>c726b002-4abb-3d4e-bb9f-ba4f3b44dbe6</t>
  </si>
  <si>
    <t>Electricity, low voltage, at grid {TR}</t>
  </si>
  <si>
    <t>bdd5f1a4-d650-3691-b28d-0ffbe36918f2</t>
  </si>
  <si>
    <t>Electricity, low voltage, at grid {TW}</t>
  </si>
  <si>
    <t>6c844eac-293f-3cac-8385-4583e18b65cb</t>
  </si>
  <si>
    <t>Electricity, low voltage, at grid {TZ}</t>
  </si>
  <si>
    <t>4ea1cc1f-85c0-3cef-9613-f55c824ca76b</t>
  </si>
  <si>
    <t>Electricity, low voltage, at grid {UA}</t>
  </si>
  <si>
    <t>0904657a-a7f9-3ce0-8227-bb6967258fc5</t>
  </si>
  <si>
    <t>Electricity, low voltage, at grid {US}</t>
  </si>
  <si>
    <t>dcc091bf-46e8-3de4-9856-7c421be301e9</t>
  </si>
  <si>
    <t>Electricity, low voltage, at grid {VN}</t>
  </si>
  <si>
    <t>cf9f6e36-5d08-3ba9-bc77-826a06260b42</t>
  </si>
  <si>
    <t>Electricity, low voltage, at grid {ZA}</t>
  </si>
  <si>
    <t>07f42914-018b-310c-8b18-b6a71b256fb4</t>
  </si>
  <si>
    <t>Electricity, low voltage, certified electricity, at grid {CH}</t>
  </si>
  <si>
    <t>78327c83-89cb-3796-a197-8b013043eea9</t>
  </si>
  <si>
    <t>Electricity, low voltage, cogen biogas, methane 96%-vol, at grid {CH}</t>
  </si>
  <si>
    <t>0b873df2-083f-360e-9794-78ca6ce0447f</t>
  </si>
  <si>
    <t>Electricity, low voltage, consumer mix GO, at grid {CH}</t>
  </si>
  <si>
    <t>f98818a0-7b28-3b5c-8f43-9d2c250eb620</t>
  </si>
  <si>
    <t>Electricity, low voltage, consumer, according to BFE 2005, at grid {CH}</t>
  </si>
  <si>
    <t>f47303fc-f50e-3237-82af-e96f079f4435</t>
  </si>
  <si>
    <t>Electricity, low voltage, electric utility Obwalden, at grid {CH}</t>
  </si>
  <si>
    <t>bb064aa8-08f6-3d0b-aa1e-9270f15022e4</t>
  </si>
  <si>
    <t>Electricity, low voltage, import AT, at grid {CH}</t>
  </si>
  <si>
    <t>fcb5696e-6875-36cf-a0e0-968e5970fe5a</t>
  </si>
  <si>
    <t>Electricity, low voltage, import CENTREL, at grid {CH}</t>
  </si>
  <si>
    <t>fc30b2d7-785a-36ce-92e3-7cb93c02a93b</t>
  </si>
  <si>
    <t>Electricity, low voltage, import DE, at grid {CH}</t>
  </si>
  <si>
    <t>be6ad6b7-7165-3c29-a0b9-eecf77d6d274</t>
  </si>
  <si>
    <t>Electricity, low voltage, import ENTSO, at grid {CH}</t>
  </si>
  <si>
    <t>28c82521-cc80-308b-a9f4-5fb52bb2f1a1</t>
  </si>
  <si>
    <t>Electricity, low voltage, import FR, at grid {CH}</t>
  </si>
  <si>
    <t>f94ce31e-219c-30c3-b114-e09c8bb9aaa6</t>
  </si>
  <si>
    <t>Electricity, low voltage, import IT, at grid {CH}</t>
  </si>
  <si>
    <t>a404f37d-5e10-3352-9a48-d1cccb7762e4</t>
  </si>
  <si>
    <t>Electricity, low voltage, photovoltaic mix facade, at grid {CH}</t>
  </si>
  <si>
    <t>be5ced23-4ad1-3167-a9f1-bb2674a0ef0d</t>
  </si>
  <si>
    <t>Electricity, low voltage, photovoltaic mix facade, at house {CH}</t>
  </si>
  <si>
    <t>energy supply, kbob recommendation\electricity, on site</t>
  </si>
  <si>
    <t>34633ef9-e363-30ec-970a-0fdad4b21310</t>
  </si>
  <si>
    <t>Electricity, low voltage, photovoltaic mix flat-roof, at grid {CH}</t>
  </si>
  <si>
    <t>dd066677-16d9-38c7-b722-c0d335efc61a</t>
  </si>
  <si>
    <t>Electricity, low voltage, photovoltaic mix flatroof, at house {CH}</t>
  </si>
  <si>
    <t>d26bb5fd-a488-3aa9-a885-9b227f98df4b</t>
  </si>
  <si>
    <t>Electricity, low voltage, photovoltaic mix slanted-roof, at grid {CH}</t>
  </si>
  <si>
    <t>c3c79677-a1df-32f6-b8bb-eccfc83a9896</t>
  </si>
  <si>
    <t>Electricity, low voltage, photovoltaic mix slanted-roof, at house {CH}</t>
  </si>
  <si>
    <t>3c0abf39-b502-3265-a8ee-a4f51b60f431</t>
  </si>
  <si>
    <t>Electricity, low voltage, production AE, at grid {AE}</t>
  </si>
  <si>
    <t>1ab7a05e-fa14-3f41-b913-e02abd94c319</t>
  </si>
  <si>
    <t>Electricity, low voltage, production AR, at grid {AR}</t>
  </si>
  <si>
    <t>9d74eb5f-71a3-3a28-869f-f1974d9b005b</t>
  </si>
  <si>
    <t>Electricity, low voltage, production AT, at grid {AT}</t>
  </si>
  <si>
    <t>28538b5a-6633-3bc4-a6d9-e3d7998ffef0</t>
  </si>
  <si>
    <t>Electricity, low voltage, production AU, at grid {AU}</t>
  </si>
  <si>
    <t>701d77cf-ba63-3759-bbe2-18bb42fe0e72</t>
  </si>
  <si>
    <t>Electricity, low voltage, production BA, at grid {BA}</t>
  </si>
  <si>
    <t>20e798e3-7fd6-322e-8401-be06899beaab</t>
  </si>
  <si>
    <t>Electricity, low voltage, production BD, at grid {BD}</t>
  </si>
  <si>
    <t>232d0e98-97bd-3e57-8cd0-9903698863d1</t>
  </si>
  <si>
    <t>Electricity, low voltage, production BE, at grid {BE}</t>
  </si>
  <si>
    <t>8d3c7d2b-cd67-3aaf-bec7-b569b3165537</t>
  </si>
  <si>
    <t>Electricity, low voltage, production BG, at grid {BG}</t>
  </si>
  <si>
    <t>59ba3b71-cecc-3a7c-b8ec-8a86ee893b13</t>
  </si>
  <si>
    <t>Electricity, low voltage, production BR, at grid {BR}</t>
  </si>
  <si>
    <t>0f4470f3-87c8-373f-a0ed-6b721a5b5f32</t>
  </si>
  <si>
    <t>Electricity, low voltage, production CA, at grid {CA}</t>
  </si>
  <si>
    <t>40962691-3f26-3bc2-afa0-d02c63f48e03</t>
  </si>
  <si>
    <t>Electricity, low voltage, production CH, at grid {CH}</t>
  </si>
  <si>
    <t>19346bf2-f651-324a-904c-9b4f835d3d48</t>
  </si>
  <si>
    <t>Electricity, low voltage, production CL, at grid {CL}</t>
  </si>
  <si>
    <t>113ea2ea-65cc-3e3f-970a-ea027ece2a17</t>
  </si>
  <si>
    <t>Electricity, low voltage, production CN, at grid {CN}</t>
  </si>
  <si>
    <t>73581394-4da9-365e-8702-37250565dd99</t>
  </si>
  <si>
    <t>Electricity, low voltage, production CO, at grid {CO}</t>
  </si>
  <si>
    <t>1e07ea24-7a31-397c-b931-c439b0e6fd61</t>
  </si>
  <si>
    <t>Electricity, low voltage, production CZ, at grid {CZ}</t>
  </si>
  <si>
    <t>6fd00528-eceb-3420-aba8-645e22c94ad8</t>
  </si>
  <si>
    <t>Electricity, low voltage, production DE, at grid {DE}</t>
  </si>
  <si>
    <t>5171f059-68e3-3381-8cf1-3d22274a5c28</t>
  </si>
  <si>
    <t>Electricity, low voltage, production DK, at grid {DK}</t>
  </si>
  <si>
    <t>cd36d71c-d26c-3724-b02f-91d629485166</t>
  </si>
  <si>
    <t>Electricity, low voltage, production DZ, at grid {DZ}</t>
  </si>
  <si>
    <t>eb56f664-480f-31a8-b298-c7e5476d154e</t>
  </si>
  <si>
    <t>Electricity, low voltage, production EE, at grid {EE}</t>
  </si>
  <si>
    <t>d15addbb-c479-3be8-ad94-fdec08f666b7</t>
  </si>
  <si>
    <t>Electricity, low voltage, production EG, at grid {EG}</t>
  </si>
  <si>
    <t>3398b2bc-5067-3746-9c77-1e143d477db5</t>
  </si>
  <si>
    <t>Electricity, low voltage, production ENTSO-E, at grid {ENTSO-E}</t>
  </si>
  <si>
    <t>8cebe831-b6c1-4854-a5ab-a08a7ba3e50d</t>
  </si>
  <si>
    <t>Electricity, low voltage, production ES, at grid {ES}</t>
  </si>
  <si>
    <t>debc0b89-755a-379f-b9f6-00ac84802411</t>
  </si>
  <si>
    <t>Electricity, low voltage, production ET, at grid {ET}</t>
  </si>
  <si>
    <t>575e355c-db8b-322d-ae3c-73e1c24d15ef</t>
  </si>
  <si>
    <t>Electricity, low voltage, production FI, at grid {FI}</t>
  </si>
  <si>
    <t>707ffb3f-70e0-3124-887c-bb2b24bdafab</t>
  </si>
  <si>
    <t>Electricity, low voltage, production FR, at grid {FR}</t>
  </si>
  <si>
    <t>c8a1aca7-c368-3abb-8fd0-9c48c67f4fb9</t>
  </si>
  <si>
    <t>Electricity, low voltage, production from biogas, at grid {CH}</t>
  </si>
  <si>
    <t>be93267c-2cb1-3cfa-b483-31f1f1c4b5fd</t>
  </si>
  <si>
    <t>Electricity, low voltage, production from biogas, at house {CH}</t>
  </si>
  <si>
    <t>a4c22937-c512-3c32-bd5f-21f25f2691c8</t>
  </si>
  <si>
    <t>Electricity, low voltage, production from CHP diesel, at grid {CH}</t>
  </si>
  <si>
    <t>3adecfd5-1d1f-359a-a410-7529cf703f60</t>
  </si>
  <si>
    <t>Electricity, low voltage, production from CHP natural gas, at grid {CH}</t>
  </si>
  <si>
    <t>edb7588c-8ba9-3239-b5ff-a5ed712447cd</t>
  </si>
  <si>
    <t>Electricity, low voltage, production from CHP wood RER, at grid {CH}</t>
  </si>
  <si>
    <t>243a607e-7bc0-33cd-b6b1-de80ae15fa7a</t>
  </si>
  <si>
    <t>Electricity, low voltage, production from CHP wood, at grid {CH}</t>
  </si>
  <si>
    <t>32db4cdc-2ee3-386e-9295-58f061e15640</t>
  </si>
  <si>
    <t>Electricity, low voltage, production from hard coal, at grid {CH}</t>
  </si>
  <si>
    <t>02fd8be4-a33b-3cb5-a1ca-40bcbddb251a</t>
  </si>
  <si>
    <t>Electricity, low voltage, production from hard coal, UCTE, at grid {CH}</t>
  </si>
  <si>
    <t>1699bfe1-d5b0-3433-b5d3-07fd9d3f11f5</t>
  </si>
  <si>
    <t>Electricity, low voltage, production from hydro power FR, at grid {CH}</t>
  </si>
  <si>
    <t>9af1dd23-a924-3912-acc7-183100201a23</t>
  </si>
  <si>
    <t>Electricity, low voltage, production from hydro power, at grid {CH}</t>
  </si>
  <si>
    <t>d2ac0a2b-1673-36f8-be5e-9519eded54e5</t>
  </si>
  <si>
    <t>Electricity, low voltage, production from hydro power, pumped stor., at grid {CH}</t>
  </si>
  <si>
    <t>537fd313-dcdb-39d4-8add-2cee2cff0f74</t>
  </si>
  <si>
    <t>Electricity, low voltage, production from hydro power, reservoir RER, at grid {CH}</t>
  </si>
  <si>
    <t>cf9ff036-8ffa-3d3a-92c4-4c307393384f</t>
  </si>
  <si>
    <t>Electricity, low voltage, production from hydro power, reservoir, at grid {CH}</t>
  </si>
  <si>
    <t>d054435a-2720-31d2-9a79-1b5392c03c9e</t>
  </si>
  <si>
    <t>Electricity, low voltage, production from hydro power, run-of-river RER, at grid {CH}</t>
  </si>
  <si>
    <t>4f78e232-e608-3aee-99ca-0f333144f501</t>
  </si>
  <si>
    <t>Electricity, low voltage, production from hydro power, run-of-river, at grid {CH}</t>
  </si>
  <si>
    <t>d7106965-242a-321f-ae6b-50433527cd8d</t>
  </si>
  <si>
    <t>Electricity, low voltage, production from lignite, DE, at grid {CH}</t>
  </si>
  <si>
    <t>47c3f462-de77-39be-8b04-9143d1705050</t>
  </si>
  <si>
    <t>Electricity, low voltage, production from natural gas DE, at grid {CH}</t>
  </si>
  <si>
    <t>25774ad9-d529-3613-8944-082a99129880</t>
  </si>
  <si>
    <t>Electricity, low voltage, production from natural gas, comb. cycle, at grid {CH}</t>
  </si>
  <si>
    <t>73c774ed-6e2d-32f9-aafb-0fdda464d81d</t>
  </si>
  <si>
    <t>Electricity, low voltage, production from natural gas, UCTE, at grid {CH}</t>
  </si>
  <si>
    <t>1ea72aaa-4ae5-3c4c-97d7-4369ce0d45b5</t>
  </si>
  <si>
    <t>Electricity, low voltage, production from nuclear power BWR, at grid {CH}</t>
  </si>
  <si>
    <t>dd2049f4-d87e-3110-9e57-6c3f71b2b166</t>
  </si>
  <si>
    <t>Electricity, low voltage, production from nuclear power FR, at grid {CH}</t>
  </si>
  <si>
    <t>f237ff80-7030-3716-a468-84fd88eac3bc</t>
  </si>
  <si>
    <t>Electricity, low voltage, production from nuclear power PWR, at grid {CH}</t>
  </si>
  <si>
    <t>32bed658-b1af-36f1-9108-c126897a6fe3</t>
  </si>
  <si>
    <t>Electricity, low voltage, production from nuclear power PWR, FR, at grid {CH}</t>
  </si>
  <si>
    <t>ad6eafac-7bf3-3a4b-b620-b1a82f2fa96a</t>
  </si>
  <si>
    <t>Electricity, low voltage, production from nuclear power, at grid {CH}</t>
  </si>
  <si>
    <t>cf94ccb5-b95a-3851-9722-be8d981875ce</t>
  </si>
  <si>
    <t>Electricity, low voltage, production from oil, at grid {CH}</t>
  </si>
  <si>
    <t>44e011f8-83e7-3b5f-8df3-976b1d8448b2</t>
  </si>
  <si>
    <t>Electricity, low voltage, production from oil, UCTE, at grid {CH}</t>
  </si>
  <si>
    <t>a2600749-fb21-3a89-98b8-179f30b6cf77</t>
  </si>
  <si>
    <t>Electricity, low voltage, production from photovoltaic DE, at grid {CH}</t>
  </si>
  <si>
    <t>2d0670f6-953f-3299-9ca6-904275d00fb3</t>
  </si>
  <si>
    <t>Electricity, low voltage, production from photovoltaic mix DE, at grid {CH}</t>
  </si>
  <si>
    <t>b7a0224c-18ff-3693-a7a6-8fd78acc4d4b</t>
  </si>
  <si>
    <t>Electricity, low voltage, production from photovoltaic, at grid {CH}</t>
  </si>
  <si>
    <t>4fa190e7-4489-38ac-802d-9b1a7a7032c6</t>
  </si>
  <si>
    <t>Electricity, low voltage, production from photovoltaic, at house {CH}</t>
  </si>
  <si>
    <t>1ab45445-9f20-382d-917e-b328886c21c2</t>
  </si>
  <si>
    <t>Electricity, low voltage, production from small hydro power, at grid {CH}</t>
  </si>
  <si>
    <t>6aaf8549-4e04-3809-b939-81aac4a21686</t>
  </si>
  <si>
    <t>Electricity, low voltage, production from waste incineration, at grid {CH}</t>
  </si>
  <si>
    <t>881e5f8c-5546-34bd-9f98-6b0446767032</t>
  </si>
  <si>
    <t>Electricity, low voltage, production from wind power RER, at grid {CH}</t>
  </si>
  <si>
    <t>9741ed13-0fc1-3498-98d0-51fc605787fd</t>
  </si>
  <si>
    <t>Electricity, low voltage, production from wind power, at grid {CH}</t>
  </si>
  <si>
    <t>69b4357e-7bdc-399a-932b-7080ac9f0502</t>
  </si>
  <si>
    <t>Electricity, low voltage, production from wind power, at house {CH}</t>
  </si>
  <si>
    <t>7116e42b-2918-3f43-9756-e3a4acdd5a59</t>
  </si>
  <si>
    <t>Electricity, low voltage, production GB, at grid {GB}</t>
  </si>
  <si>
    <t>e3b9041f-0f36-3a42-bff7-9c05aaa22aef</t>
  </si>
  <si>
    <t>Electricity, low voltage, production GLO, at grid {GLO}</t>
  </si>
  <si>
    <t>4c1b2ea4-dc7e-3719-a54a-a27add61afb1</t>
  </si>
  <si>
    <t>Electricity, low voltage, production GR, at grid {GR}</t>
  </si>
  <si>
    <t>14ce40bb-50c5-3499-a660-849820751c77</t>
  </si>
  <si>
    <t>Electricity, low voltage, production HR, at grid {HR}</t>
  </si>
  <si>
    <t>a0791fa2-039c-321f-bb7f-75753bfdad9d</t>
  </si>
  <si>
    <t>Electricity, low voltage, production HU, at grid {HU}</t>
  </si>
  <si>
    <t>3f4032d7-5322-3ac7-bbf8-6b10c396712f</t>
  </si>
  <si>
    <t>Electricity, low voltage, production ID, at grid {ID}</t>
  </si>
  <si>
    <t>91e6092e-623b-3707-87e2-2b099ecde0b6</t>
  </si>
  <si>
    <t>Electricity, low voltage, production IE, at grid {IE}</t>
  </si>
  <si>
    <t>bcf23063-1ac5-342f-815c-e825b436c191</t>
  </si>
  <si>
    <t>Electricity, low voltage, production IL, at grid {IL}</t>
  </si>
  <si>
    <t>53ad81e5-0432-3983-8d28-a68b75b5b7d1</t>
  </si>
  <si>
    <t>Electricity, low voltage, production IN, at grid {IN}</t>
  </si>
  <si>
    <t>abbcb664-693f-3d29-81d0-a5296f5967a8</t>
  </si>
  <si>
    <t>Electricity, low voltage, production IQ, at grid {IQ}</t>
  </si>
  <si>
    <t>c9c9d13e-1dcf-38f1-a156-53b03388b1fc</t>
  </si>
  <si>
    <t>Electricity, low voltage, production IR, at grid {IR}</t>
  </si>
  <si>
    <t>4ea5da1b-4c9b-3c27-a6b2-4ae97bfc29aa</t>
  </si>
  <si>
    <t>Electricity, low voltage, production IS, at grid {IS}</t>
  </si>
  <si>
    <t>164c0256-6a6f-3ef5-8564-6d12bb23e99d</t>
  </si>
  <si>
    <t>Electricity, low voltage, production IT, at grid {IT}</t>
  </si>
  <si>
    <t>74f79d73-f742-35a8-af7c-f0a75eb9c404</t>
  </si>
  <si>
    <t>Electricity, low voltage, production JP, at grid {JP}</t>
  </si>
  <si>
    <t>189e78e9-de83-32f5-9e13-83de4f907f33</t>
  </si>
  <si>
    <t>Electricity, low voltage, production KR, at grid {KR}</t>
  </si>
  <si>
    <t>8ed2c8bc-8ad4-3bbb-93aa-8726d39f211b</t>
  </si>
  <si>
    <t>Electricity, low voltage, production KZ, at grid {KZ}</t>
  </si>
  <si>
    <t>959777e7-0c2e-3eaf-b519-db48ef285a5c</t>
  </si>
  <si>
    <t>Electricity, low voltage, production LT, at grid {LT}</t>
  </si>
  <si>
    <t>36bbfccf-0154-3f7e-b6fe-ab469ed602d1</t>
  </si>
  <si>
    <t>Electricity, low voltage, production LU, at grid {LU}</t>
  </si>
  <si>
    <t>c6d7b489-7968-3bc4-ab7c-0873f87f1aff</t>
  </si>
  <si>
    <t>Electricity, low voltage, production LV, at grid {LV}</t>
  </si>
  <si>
    <t>bb74253c-4ea2-3bac-a64c-6978ae8db295</t>
  </si>
  <si>
    <t>Electricity, low voltage, production MA, at grid {MA}</t>
  </si>
  <si>
    <t>d5e64231-92e3-3ec6-b5ec-a11efd984eed</t>
  </si>
  <si>
    <t>Electricity, low voltage, production MK, at grid {MK}</t>
  </si>
  <si>
    <t>b2321f88-f29a-33f6-9efa-3f9377431e76</t>
  </si>
  <si>
    <t>Electricity, low voltage, production MX, at grid {MX}</t>
  </si>
  <si>
    <t>6a5cdeed-c715-32ac-8110-cbf4e3376363</t>
  </si>
  <si>
    <t>Electricity, low voltage, production MY, at grid {MY}</t>
  </si>
  <si>
    <t>91c063c4-6ede-3ccb-a32c-41a07168510b</t>
  </si>
  <si>
    <t>Electricity, low voltage, production NG, at grid {NG}</t>
  </si>
  <si>
    <t>ffc21aa2-663f-37ff-9dc7-c624d8647891</t>
  </si>
  <si>
    <t>Electricity, low voltage, production NL, at grid {NL}</t>
  </si>
  <si>
    <t>15148e0f-b27b-3928-9a21-a00b10ceb9fa</t>
  </si>
  <si>
    <t>Electricity, low voltage, production NO, at grid {NO}</t>
  </si>
  <si>
    <t>07c38b51-e858-3e22-bc7f-742d229c1220</t>
  </si>
  <si>
    <t>Electricity, low voltage, production NORDEL, at grid {NORDEL}</t>
  </si>
  <si>
    <t>f40c1c3c-18e1-3c7b-8e63-26836e426a81</t>
  </si>
  <si>
    <t>Electricity, low voltage, production NZ, at grid {NZ}</t>
  </si>
  <si>
    <t>97da954d-2ad7-3e3a-9cf5-e5c1a62e3d26</t>
  </si>
  <si>
    <t>Electricity, low voltage, production PE, at grid {PE}</t>
  </si>
  <si>
    <t>b0e7c554-8076-3ccd-9de7-813ef61503bd</t>
  </si>
  <si>
    <t>Electricity, low voltage, production PH, at grid {PH}</t>
  </si>
  <si>
    <t>51823ea3-fce8-3ec4-82d1-87fdb51ec73d</t>
  </si>
  <si>
    <t>Electricity, low voltage, production PK, at grid {PK}</t>
  </si>
  <si>
    <t>fbbb18d7-580f-3f14-92ad-7bb280ccbeb5</t>
  </si>
  <si>
    <t>Electricity, low voltage, production PL, at grid {PL}</t>
  </si>
  <si>
    <t>9d0253f7-e32f-3af4-b788-7647198ef278</t>
  </si>
  <si>
    <t>Electricity, low voltage, production PT, at grid {PT}</t>
  </si>
  <si>
    <t>491e01d1-86df-31e6-a90f-ae4f34dd4882</t>
  </si>
  <si>
    <t>Electricity, low voltage, production QA, at grid {QA}</t>
  </si>
  <si>
    <t>01840484-84b5-3ad2-aae4-0cda0d03781e</t>
  </si>
  <si>
    <t>Electricity, low voltage, production RAF, at grid {RAF}</t>
  </si>
  <si>
    <t>24c96d42-c3e8-39ba-a0b5-52f9e5609abf</t>
  </si>
  <si>
    <t>Electricity, low voltage, production RAS, at grid {RAS}</t>
  </si>
  <si>
    <t>abfca8a1-09f0-3ad5-aeef-e18362fc3a0c</t>
  </si>
  <si>
    <t>Electricity, low voltage, production RER, at grid {RER}</t>
  </si>
  <si>
    <t>97497fca-e14a-364d-a74d-af0bcb5027a8</t>
  </si>
  <si>
    <t>Electricity, low voltage, production RLA, at grid {RLA}</t>
  </si>
  <si>
    <t>47c97e35-6c25-3efc-8498-382fb7831f42</t>
  </si>
  <si>
    <t>Electricity, low voltage, production RME, at grid {RME}</t>
  </si>
  <si>
    <t>6db422b9-f72e-3bab-83ac-c92523a324a7</t>
  </si>
  <si>
    <t>Electricity, low voltage, production RNA, at grid {RNA}</t>
  </si>
  <si>
    <t>62b2a671-2924-36a7-ab35-01029f3216e1</t>
  </si>
  <si>
    <t>Electricity, low voltage, production RO, at grid {RO}</t>
  </si>
  <si>
    <t>23440908-66f4-32de-a756-78c3189f228e</t>
  </si>
  <si>
    <t>Electricity, low voltage, production RS, at grid {RS}</t>
  </si>
  <si>
    <t>f4517dfd-22b4-3cc6-9d24-cca54349fd30</t>
  </si>
  <si>
    <t>Electricity, low voltage, production RU, at grid {RU}</t>
  </si>
  <si>
    <t>dd127ed5-33ae-3f39-a82c-bb7b3fad02df</t>
  </si>
  <si>
    <t>Electricity, low voltage, production SA, at grid {SA}</t>
  </si>
  <si>
    <t>05d3f0a9-e141-3765-bf73-e6ade605d68c</t>
  </si>
  <si>
    <t>Electricity, low voltage, production SE, at grid {SE}</t>
  </si>
  <si>
    <t>f5c35fff-4cf6-334c-879f-fc10901f7bbe</t>
  </si>
  <si>
    <t>Electricity, low voltage, production SG, at grid {SG}</t>
  </si>
  <si>
    <t>68ac3895-e762-3334-82bf-50c1b04a3bf6</t>
  </si>
  <si>
    <t>Electricity, low voltage, production SI, at grid {SI}</t>
  </si>
  <si>
    <t>9c793217-a48f-3889-a6ed-23f05f8c0566</t>
  </si>
  <si>
    <t>Electricity, low voltage, production SK, at grid {SK}</t>
  </si>
  <si>
    <t>cef40adb-58e1-3943-8add-f99e698364ab</t>
  </si>
  <si>
    <t>Electricity, low voltage, production TH, at grid {TH}</t>
  </si>
  <si>
    <t>f94d9b4a-84be-3c0e-b3f9-c0189e8cfb5e</t>
  </si>
  <si>
    <t>Electricity, low voltage, production TN, at grid {TN}</t>
  </si>
  <si>
    <t>ca985178-2883-358e-b371-a1fa3d7f2acd</t>
  </si>
  <si>
    <t>Electricity, low voltage, production TR, at grid {TR}</t>
  </si>
  <si>
    <t>c0a13b12-afd4-384a-b521-d4e781af7d17</t>
  </si>
  <si>
    <t>Electricity, low voltage, production TW, at grid {TW}</t>
  </si>
  <si>
    <t>e34c667e-bc47-380f-a811-621ab1a33691</t>
  </si>
  <si>
    <t>Electricity, low voltage, production TZ, at grid {TZ}</t>
  </si>
  <si>
    <t>92f53ef7-0d6a-3a2c-9541-6da2dbeecaff</t>
  </si>
  <si>
    <t>Electricity, low voltage, production UA, at grid {UA}</t>
  </si>
  <si>
    <t>ceec0ab2-896e-3977-b4bc-355c2c563f20</t>
  </si>
  <si>
    <t>Electricity, low voltage, production US, at grid {US}</t>
  </si>
  <si>
    <t>e6ba7f4e-fc75-3536-8dc8-7f08293ba03c</t>
  </si>
  <si>
    <t>Electricity, low voltage, production VN, at grid {VN}</t>
  </si>
  <si>
    <t>55b08019-8d20-30d5-bed8-7e27ba34bed0</t>
  </si>
  <si>
    <t>Electricity, low voltage, production ZA, at grid {ZA}</t>
  </si>
  <si>
    <t>af94be12-c3af-302c-b33e-d144e52d03d5</t>
  </si>
  <si>
    <t>Electricity, low voltage, PV, at 3kWp slanted-roof, CdTe, panel, mounted, at grid {CH}</t>
  </si>
  <si>
    <t>11a932af-69d9-3475-83a0-c9502817d5fc</t>
  </si>
  <si>
    <t>Electricity, low voltage, PV, at 3kWp slanted-roof, CdTe, panel, mounted, at house {CH}</t>
  </si>
  <si>
    <t>electricity by fuel\photovoltaic</t>
  </si>
  <si>
    <t>a0f8937b-98ea-33ec-84d2-c2d38178025d</t>
  </si>
  <si>
    <t>Electricity, low voltage, PV, at 3kWp slanted-roof, CIS, panel, mounted, at grid {CH}</t>
  </si>
  <si>
    <t>402c14bd-9064-364c-a4bf-1a606740d728</t>
  </si>
  <si>
    <t>Electricity, low voltage, PV, at 3kWp slanted-roof, CIS, panel, mounted, at house {CH}</t>
  </si>
  <si>
    <t>1c52f2fc-2057-3eb4-8791-962f5922bbe8</t>
  </si>
  <si>
    <t>Electricity, low voltage, PV, at 3kWp slanted-roof, multi-Si, panel, mounted, at grid {CH}</t>
  </si>
  <si>
    <t>17adfc94-da25-3335-82a4-d0eba24427b6</t>
  </si>
  <si>
    <t>Electricity, low voltage, PV, at 3kWp slanted-roof, multi-Si, panel, mounted, at house {CH}</t>
  </si>
  <si>
    <t>3ff629de-31ff-3a95-97f6-4695233b9253</t>
  </si>
  <si>
    <t>Electricity, low voltage, PV, at 3kWp slanted-roof, single-Si, panel, mounted, at grid {CH}</t>
  </si>
  <si>
    <t>eb9dc64f-0ff3-33b8-8dba-199deeeddcb3</t>
  </si>
  <si>
    <t>Electricity, low voltage, PV, at 3kWp slanted-roof, single-Si, panel, mounted, at house {CH}</t>
  </si>
  <si>
    <t>348a55e6-828f-3f99-b423-2c7bd3afbaf8</t>
  </si>
  <si>
    <t>Electricity, low voltage, PV, facade, multi-Si, panel {CH}</t>
  </si>
  <si>
    <t>5043bdea-ec18-34cf-ac74-ec9e342ece88</t>
  </si>
  <si>
    <t>Electricity, low voltage, PV, open ground, single-Si {CH}</t>
  </si>
  <si>
    <t>71faf469-4b25-3a51-98b0-799d0d0ebaad</t>
  </si>
  <si>
    <t>Electricity, low voltage, PV, slanted roof, a-Si, panel {CH}</t>
  </si>
  <si>
    <t>fecba1a9-1a31-3ebd-af91-ac14030ab4f8</t>
  </si>
  <si>
    <t>Electricity, low voltage, PV, slanted roof, CdTe, laminated {CH}</t>
  </si>
  <si>
    <t>974e57f6-a080-37dc-885c-9873bb838a80</t>
  </si>
  <si>
    <t>Electricity, low voltage, PV, slanted roof, multi-Si, panel {CH}</t>
  </si>
  <si>
    <t>94b3573b-fe7d-3754-bd24-734ccafcd424</t>
  </si>
  <si>
    <t>Electricity, low voltage, residual mix {CH}</t>
  </si>
  <si>
    <t>79a45f97-737e-3721-ac9f-28f7ff4f5078</t>
  </si>
  <si>
    <t>Electricity, low voltage, SBB, at grid {CH}</t>
  </si>
  <si>
    <t>e57307b0-3020-3d54-921f-ed143cf17787</t>
  </si>
  <si>
    <t>Electricity, low voltage, supply mix GO, at grid {CH}</t>
  </si>
  <si>
    <t>ba889c1a-3fae-3489-94ef-97a4b6f552ef</t>
  </si>
  <si>
    <t>Electricity, low voltage, water utility Zug, at grid {CH}</t>
  </si>
  <si>
    <t>35a6dcfb-7e24-38ee-8ace-ef27dcfbe571</t>
  </si>
  <si>
    <t>Electricity, medium voltage, aluminium industry, at grid {GLO}</t>
  </si>
  <si>
    <t>bddaebbf-2c6c-3e2c-a714-c6ffb4507b88</t>
  </si>
  <si>
    <t>Electricity, medium voltage, at grid {AE}</t>
  </si>
  <si>
    <t>dae8d150-012a-3ec8-95f2-d8b9c177e399</t>
  </si>
  <si>
    <t>Electricity, medium voltage, at grid {AR}</t>
  </si>
  <si>
    <t>ea9b7014-68bb-3bbd-a986-4d4354df7b29</t>
  </si>
  <si>
    <t>Electricity, medium voltage, at grid {AT}</t>
  </si>
  <si>
    <t>633815d1-2485-344e-9825-099df5ce56b4</t>
  </si>
  <si>
    <t>Electricity, medium voltage, at grid {AU}</t>
  </si>
  <si>
    <t>4d41cd0e-f729-368e-a3eb-7fb811a5b897</t>
  </si>
  <si>
    <t>Electricity, medium voltage, at grid {BA}</t>
  </si>
  <si>
    <t>8df30066-aacb-3413-a5b0-d32c27a6fb05</t>
  </si>
  <si>
    <t>Electricity, medium voltage, at grid {BD}</t>
  </si>
  <si>
    <t>f7ff26eb-97a4-3cc5-aeeb-c7d003adb3f4</t>
  </si>
  <si>
    <t>Electricity, medium voltage, at grid {BE}</t>
  </si>
  <si>
    <t>b6494067-a3e8-3a3d-8db4-8b859f465890</t>
  </si>
  <si>
    <t>Electricity, medium voltage, at grid {BG}</t>
  </si>
  <si>
    <t>94708be4-01ff-375d-9c7e-1fcc176f77cd</t>
  </si>
  <si>
    <t>Electricity, medium voltage, at grid {BR}</t>
  </si>
  <si>
    <t>b389e458-7d8b-344f-9de0-f27309967e47</t>
  </si>
  <si>
    <t>Electricity, medium voltage, at grid {CA}</t>
  </si>
  <si>
    <t>260fbe48-f299-31f1-9326-c2bae6290036</t>
  </si>
  <si>
    <t>Electricity, medium voltage, at grid {CH}</t>
  </si>
  <si>
    <t>df605f09-34c5-3b3f-94ea-227f7a3c06a7</t>
  </si>
  <si>
    <t>Electricity, medium voltage, at grid {CL}</t>
  </si>
  <si>
    <t>b9e574ad-8a4d-3311-9347-27a1414f5637</t>
  </si>
  <si>
    <t>Electricity, medium voltage, at grid {CN}</t>
  </si>
  <si>
    <t>d3642304-ea36-3184-b782-d2f743f42a6c</t>
  </si>
  <si>
    <t>Electricity, medium voltage, at grid {CO}</t>
  </si>
  <si>
    <t>7177aa7f-30a3-3d0a-a515-2fefa793ec73</t>
  </si>
  <si>
    <t>Electricity, medium voltage, at grid {CZ}</t>
  </si>
  <si>
    <t>a6a980e8-cde3-322f-ac41-7051d9c94847</t>
  </si>
  <si>
    <t>Electricity, medium voltage, at grid {DE}</t>
  </si>
  <si>
    <t>76a85da2-7e4e-3e7e-a3df-f3df5951c9ec</t>
  </si>
  <si>
    <t>Electricity, medium voltage, at grid {DK}</t>
  </si>
  <si>
    <t>907bfa93-c9e9-30a7-ab98-d7427817a6e1</t>
  </si>
  <si>
    <t>Electricity, medium voltage, at grid {DZ}</t>
  </si>
  <si>
    <t>bbce80fb-67de-3f9a-9b48-979eb1a3edbd</t>
  </si>
  <si>
    <t>Electricity, medium voltage, at grid {EE}</t>
  </si>
  <si>
    <t>8c8361a6-b275-3c25-9e4d-ea7cea2fed61</t>
  </si>
  <si>
    <t>Electricity, medium voltage, at grid {EG}</t>
  </si>
  <si>
    <t>75be3e5e-fa7d-36b7-9e31-12ac070fc776</t>
  </si>
  <si>
    <t>Electricity, medium voltage, at grid {ENTSO-E}</t>
  </si>
  <si>
    <t>42bb7cec-c51f-38e9-abb8-190e104a82c9</t>
  </si>
  <si>
    <t>Electricity, medium voltage, at grid {ES}</t>
  </si>
  <si>
    <t>bd2f732e-a959-3ee5-8d81-7bbf716d8c24</t>
  </si>
  <si>
    <t>Electricity, medium voltage, at grid {ET}</t>
  </si>
  <si>
    <t>53d71e76-6661-3e4c-98d1-966079e79553</t>
  </si>
  <si>
    <t>Electricity, medium voltage, at grid {FI}</t>
  </si>
  <si>
    <t>78ea67d6-9821-33fc-9df1-a2170a2cbabe</t>
  </si>
  <si>
    <t>Electricity, medium voltage, at grid {FR}</t>
  </si>
  <si>
    <t>06ea6263-20cc-348b-820b-0d375941c7c3</t>
  </si>
  <si>
    <t>Electricity, medium voltage, at grid {GB}</t>
  </si>
  <si>
    <t>5e4c0386-6946-3c53-81d3-6e11cd2347c7</t>
  </si>
  <si>
    <t>Electricity, medium voltage, at grid {GLO}</t>
  </si>
  <si>
    <t>021b3e4e-ed9e-3ef8-87e0-a103773678e1</t>
  </si>
  <si>
    <t>Electricity, medium voltage, at grid {GR}</t>
  </si>
  <si>
    <t>174992c0-a0c9-3845-b063-7db198f85596</t>
  </si>
  <si>
    <t>Electricity, medium voltage, at grid {HR}</t>
  </si>
  <si>
    <t>0a64a56a-804f-3663-ab9d-d4ac39bfc1b4</t>
  </si>
  <si>
    <t>Electricity, medium voltage, at grid {HU}</t>
  </si>
  <si>
    <t>c392dd88-9aec-3f5b-98f9-9b6ba57c5e20</t>
  </si>
  <si>
    <t>Electricity, medium voltage, at grid {ID}</t>
  </si>
  <si>
    <t>133493fc-e49f-323b-91db-cf868a4cf341</t>
  </si>
  <si>
    <t>Electricity, medium voltage, at grid {IE}</t>
  </si>
  <si>
    <t>f822f014-0671-3c93-9ba7-9f80d914f72a</t>
  </si>
  <si>
    <t>Electricity, medium voltage, at grid {IL}</t>
  </si>
  <si>
    <t>404b8d43-56f6-3197-8aa0-c610cf447066</t>
  </si>
  <si>
    <t>Electricity, medium voltage, at grid {IN}</t>
  </si>
  <si>
    <t>eb71ba0e-db87-316c-9984-3690668dbcf9</t>
  </si>
  <si>
    <t>Electricity, medium voltage, at grid {IQ}</t>
  </si>
  <si>
    <t>762d2015-b439-3bca-bbda-04089459ccb4</t>
  </si>
  <si>
    <t>Electricity, medium voltage, at grid {IR}</t>
  </si>
  <si>
    <t>8b23ef5c-d36f-3d90-bddb-3be4df18cedf</t>
  </si>
  <si>
    <t>Electricity, medium voltage, at grid {IS}</t>
  </si>
  <si>
    <t>ed059858-53ac-32cb-b5dd-835c88fc115c</t>
  </si>
  <si>
    <t>Electricity, medium voltage, at grid {IT}</t>
  </si>
  <si>
    <t>feb134cb-eaaa-33ff-aa5d-313ce1d5f023</t>
  </si>
  <si>
    <t>Electricity, medium voltage, at grid {JP}</t>
  </si>
  <si>
    <t>a58982f8-69c1-3c12-956b-808708dd1e5e</t>
  </si>
  <si>
    <t>Electricity, medium voltage, at grid {KR}</t>
  </si>
  <si>
    <t>99ec075a-87c7-32db-9c68-97ffd2fc15f6</t>
  </si>
  <si>
    <t>Electricity, medium voltage, at grid {KZ}</t>
  </si>
  <si>
    <t>904e241d-78ee-3c7c-a811-5106c44f245d</t>
  </si>
  <si>
    <t>Electricity, medium voltage, at grid {LT}</t>
  </si>
  <si>
    <t>7f7fcaf5-736e-3c25-8113-df29bbf68412</t>
  </si>
  <si>
    <t>Electricity, medium voltage, at grid {LU}</t>
  </si>
  <si>
    <t>abbfa0da-bdc7-3190-8185-99f045b4e984</t>
  </si>
  <si>
    <t>Electricity, medium voltage, at grid {LV}</t>
  </si>
  <si>
    <t>f47103b3-38f1-3c20-be08-8ceea9a10d7f</t>
  </si>
  <si>
    <t>Electricity, medium voltage, at grid {MA}</t>
  </si>
  <si>
    <t>340f4c2e-0558-3bbd-adb2-243a15c018ca</t>
  </si>
  <si>
    <t>Electricity, medium voltage, at grid {MK}</t>
  </si>
  <si>
    <t>40ae4c2a-e879-3db9-8159-5ad6309dd14a</t>
  </si>
  <si>
    <t>Electricity, medium voltage, at grid {MX}</t>
  </si>
  <si>
    <t>4e69e5c4-100f-3670-b2e6-91c6fd55e193</t>
  </si>
  <si>
    <t>Electricity, medium voltage, at grid {MY}</t>
  </si>
  <si>
    <t>2b8ad241-286d-3505-aa3d-43f7edf7f90c</t>
  </si>
  <si>
    <t>Electricity, medium voltage, at grid {NG}</t>
  </si>
  <si>
    <t>b4304a01-3e3e-38c4-8dbe-3f4ce07f7379</t>
  </si>
  <si>
    <t>Electricity, medium voltage, at grid {NL}</t>
  </si>
  <si>
    <t>4a14a419-ef2b-332c-9cee-cc38a442e0c6</t>
  </si>
  <si>
    <t>Electricity, medium voltage, at grid {NO}</t>
  </si>
  <si>
    <t>54a720bd-ed4e-3a77-a822-ad248d6d8047</t>
  </si>
  <si>
    <t>Electricity, medium voltage, at grid {NZ}</t>
  </si>
  <si>
    <t>d6a80a77-427d-38e6-ad3f-d0f7bb664081</t>
  </si>
  <si>
    <t>Electricity, medium voltage, at grid {PE}</t>
  </si>
  <si>
    <t>bda2ec25-8dc1-31e9-bf18-64963a9c7c5b</t>
  </si>
  <si>
    <t>Electricity, medium voltage, at grid {PH}</t>
  </si>
  <si>
    <t>7aac3c17-3123-3a99-9d8a-45ea4ce89dde</t>
  </si>
  <si>
    <t>Electricity, medium voltage, at grid {PK}</t>
  </si>
  <si>
    <t>e78f5331-40a8-3340-9879-2d6c993eafa7</t>
  </si>
  <si>
    <t>Electricity, medium voltage, at grid {PL}</t>
  </si>
  <si>
    <t>3e6e75ab-6f22-31f2-b88e-14ddcc02a85d</t>
  </si>
  <si>
    <t>Electricity, medium voltage, at grid {PT}</t>
  </si>
  <si>
    <t>0f02aac0-7111-3a18-97ae-08c9fc052d7a</t>
  </si>
  <si>
    <t>Electricity, medium voltage, at grid {QA}</t>
  </si>
  <si>
    <t>52c6e9d5-8e33-3f34-8fb9-a4fa9fb07ac6</t>
  </si>
  <si>
    <t>Electricity, medium voltage, at grid {RAF}</t>
  </si>
  <si>
    <t>58286163-84f0-3d4e-b68c-6c6d16339455</t>
  </si>
  <si>
    <t>Electricity, medium voltage, at grid {RAS}</t>
  </si>
  <si>
    <t>cb178bc3-784e-3e65-80cb-bdf420956b6d</t>
  </si>
  <si>
    <t>Electricity, medium voltage, at grid {RER}</t>
  </si>
  <si>
    <t>32561f87-8481-30ba-867c-16bb0219c0b5</t>
  </si>
  <si>
    <t>Electricity, medium voltage, at grid {RLA}</t>
  </si>
  <si>
    <t>9a6fdba0-eae6-361c-8d1c-8bfc5db5ea2b</t>
  </si>
  <si>
    <t>Electricity, medium voltage, at grid {RME}</t>
  </si>
  <si>
    <t>f0d27d7e-72c7-39ed-9d16-eb3d95ce8811</t>
  </si>
  <si>
    <t>Electricity, medium voltage, at grid {RNA}</t>
  </si>
  <si>
    <t>8352045c-6c89-3f5b-b5a7-58c5ce1236b9</t>
  </si>
  <si>
    <t>Electricity, medium voltage, at grid {RO}</t>
  </si>
  <si>
    <t>4441fe33-1d54-385f-b6ba-c2cb95ad70f6</t>
  </si>
  <si>
    <t>Electricity, medium voltage, at grid {RS}</t>
  </si>
  <si>
    <t>e60b92de-a668-3888-ab0f-786163c55375</t>
  </si>
  <si>
    <t>Electricity, medium voltage, at grid {RU}</t>
  </si>
  <si>
    <t>41bba8a5-103e-38ca-bd05-8dc5482b08f3</t>
  </si>
  <si>
    <t>Electricity, medium voltage, at grid {SA}</t>
  </si>
  <si>
    <t>06e55389-afc2-3b4f-8810-014dedf8799a</t>
  </si>
  <si>
    <t>Electricity, medium voltage, at grid {SE}</t>
  </si>
  <si>
    <t>7bef884c-8127-3dc5-963b-6d5785cfa995</t>
  </si>
  <si>
    <t>Electricity, medium voltage, at grid {SG}</t>
  </si>
  <si>
    <t>3c788965-17c8-3ebe-941d-59b312f73204</t>
  </si>
  <si>
    <t>Electricity, medium voltage, at grid {SI}</t>
  </si>
  <si>
    <t>7ae13ec7-11f5-367b-9e1b-176fbc07ee3f</t>
  </si>
  <si>
    <t>Electricity, medium voltage, at grid {SK}</t>
  </si>
  <si>
    <t>d9c749e7-ca9e-3d2d-b8ae-9d785d4662e4</t>
  </si>
  <si>
    <t>Electricity, medium voltage, at grid {TH}</t>
  </si>
  <si>
    <t>53d97b42-ee6f-3160-a5ed-7c1775462d0b</t>
  </si>
  <si>
    <t>Electricity, medium voltage, at grid {TN}</t>
  </si>
  <si>
    <t>15939611-4ad7-34d8-bcd5-8b7be0e2c139</t>
  </si>
  <si>
    <t>Electricity, medium voltage, at grid {TR}</t>
  </si>
  <si>
    <t>161cd3f8-579a-3893-881c-2c6fb1c94499</t>
  </si>
  <si>
    <t>Electricity, medium voltage, at grid {TW}</t>
  </si>
  <si>
    <t>dbbeee1f-a11e-3168-a8d8-f9876508e7f3</t>
  </si>
  <si>
    <t>Electricity, medium voltage, at grid {TZ}</t>
  </si>
  <si>
    <t>4ae9b4f1-1f3f-36f7-af79-3eafa7ef0ab7</t>
  </si>
  <si>
    <t>Electricity, medium voltage, at grid {UA}</t>
  </si>
  <si>
    <t>96f6a560-dc17-39c6-9868-4fe1ca5fb705</t>
  </si>
  <si>
    <t>Electricity, medium voltage, at grid {US}</t>
  </si>
  <si>
    <t>07bfe6d5-faf5-3444-b762-9e5a5caf9539</t>
  </si>
  <si>
    <t>Electricity, medium voltage, at grid {VN}</t>
  </si>
  <si>
    <t>e886aee4-87a8-30e9-97f4-6ac8da4f5a09</t>
  </si>
  <si>
    <t>Electricity, medium voltage, at grid {ZA}</t>
  </si>
  <si>
    <t>316c1bbf-de8c-3b8c-81b5-f99b050f8fa8</t>
  </si>
  <si>
    <t>Electricity, medium voltage, certified electricity, at grid {CH}</t>
  </si>
  <si>
    <t>3a2d5af5-4847-3b2b-ba4d-115b67948899</t>
  </si>
  <si>
    <t>Electricity, medium voltage, consumer mix GO, at grid {CH}</t>
  </si>
  <si>
    <t>b94eb7b0-2642-30e8-934b-1706365b5d1d</t>
  </si>
  <si>
    <t>Electricity, medium voltage, consumer, according to BFE 2005, at grid {CH}</t>
  </si>
  <si>
    <t>8c3d9e4b-f020-314a-b754-060ed787c122</t>
  </si>
  <si>
    <t>Electricity, medium voltage, DB, at grid {DE}</t>
  </si>
  <si>
    <t>de757a30-21d0-335e-909a-de809815603b</t>
  </si>
  <si>
    <t>Electricity, medium voltage, electric utility Obwalden, at grid {CH}</t>
  </si>
  <si>
    <t>aedcf71f-c18b-37ea-9795-c562114dfe36</t>
  </si>
  <si>
    <t>Electricity, medium voltage, import AT, at grid {CH}</t>
  </si>
  <si>
    <t>92431b15-bc02-3ba7-afab-5f14d171c38c</t>
  </si>
  <si>
    <t>Electricity, medium voltage, import CENTREL, at grid {CH}</t>
  </si>
  <si>
    <t>af3cc502-fa5e-3735-89d6-3ee40c2e8e03</t>
  </si>
  <si>
    <t>Electricity, medium voltage, import DE, at grid {CH}</t>
  </si>
  <si>
    <t>a707300e-7961-3d09-820b-af8ed1e99b18</t>
  </si>
  <si>
    <t>Electricity, medium voltage, import ENTSO, at grid {CH}</t>
  </si>
  <si>
    <t>af14fe43-a6f5-3a9e-a2b5-fd94c26ecbdf</t>
  </si>
  <si>
    <t>Electricity, medium voltage, import FR, at grid {CH}</t>
  </si>
  <si>
    <t>1cf78a24-91fd-3655-a21f-363098b182c9</t>
  </si>
  <si>
    <t>Electricity, medium voltage, import IT, at grid {CH}</t>
  </si>
  <si>
    <t>dcc7c45e-3625-34aa-8937-9ea6cca6b436</t>
  </si>
  <si>
    <t>Electricity, medium voltage, ÖBB, at grid {AT}</t>
  </si>
  <si>
    <t>fe91f1cc-0e6b-3452-913f-914f81acb575</t>
  </si>
  <si>
    <t>Electricity, medium voltage, photovoltaic mix facade, at grid {CH}</t>
  </si>
  <si>
    <t>111687d5-4595-33f1-8642-85a411a3ae6f</t>
  </si>
  <si>
    <t>Electricity, medium voltage, photovoltaic mix flat-roof, at grid {CH}</t>
  </si>
  <si>
    <t>8848cd5e-3fa1-3881-8f49-6ec9348c4892</t>
  </si>
  <si>
    <t>Electricity, medium voltage, photovoltaic mix slanted-roof, at grid {CH}</t>
  </si>
  <si>
    <t>d431f1c2-5fba-3f45-94fe-e1ea9eda090b</t>
  </si>
  <si>
    <t>Electricity, medium voltage, production AE, at grid {AE}</t>
  </si>
  <si>
    <t>dc6fc471-9c91-35e7-9ad1-f8ccb97a3121</t>
  </si>
  <si>
    <t>Electricity, medium voltage, production AR, at grid {AR}</t>
  </si>
  <si>
    <t>f28358a9-25d2-3645-b511-55a0c32376c4</t>
  </si>
  <si>
    <t>Electricity, medium voltage, production AT, at grid {AT}</t>
  </si>
  <si>
    <t>18234cb4-6524-3dcb-a578-136edf24e03c</t>
  </si>
  <si>
    <t>Electricity, medium voltage, production AU, at grid {AU}</t>
  </si>
  <si>
    <t>710da790-e8fa-3b4c-8576-0e7fe7dcdd7d</t>
  </si>
  <si>
    <t>Electricity, medium voltage, production BA, at grid {BA}</t>
  </si>
  <si>
    <t>2c5cb598-cc37-32ac-97b2-afc9c5ff36e9</t>
  </si>
  <si>
    <t>Electricity, medium voltage, production BD, at grid {BD}</t>
  </si>
  <si>
    <t>c65b2292-1e9d-3475-8adb-824b3dcf9d63</t>
  </si>
  <si>
    <t>Electricity, medium voltage, production BE, at grid {BE}</t>
  </si>
  <si>
    <t>59bfe970-b195-3419-941a-38c8efe581ce</t>
  </si>
  <si>
    <t>Electricity, medium voltage, production BG, at grid {BG}</t>
  </si>
  <si>
    <t>00d64b5f-6dee-39c5-9424-85c04cdfda20</t>
  </si>
  <si>
    <t>Electricity, medium voltage, production BR, at grid {BR}</t>
  </si>
  <si>
    <t>aa69865b-f9ff-347e-9f59-ccb56a1cc3ed</t>
  </si>
  <si>
    <t>Electricity, medium voltage, production CA, at grid {CA}</t>
  </si>
  <si>
    <t>54ea69cf-d4a2-30d2-9f61-43e77f9ecdd5</t>
  </si>
  <si>
    <t>Electricity, medium voltage, production CH, at grid {CH}</t>
  </si>
  <si>
    <t>2afce460-3ee7-3145-89c8-d3fc8a899ddc</t>
  </si>
  <si>
    <t>Electricity, medium voltage, production CL, at grid {CL}</t>
  </si>
  <si>
    <t>1cf7deae-3e41-3556-8009-f2937491db3a</t>
  </si>
  <si>
    <t>Electricity, medium voltage, production CN, at grid {CN}</t>
  </si>
  <si>
    <t>18a19f09-2547-3f35-8ca0-65718be7f659</t>
  </si>
  <si>
    <t>Electricity, medium voltage, production CO, at grid {CO}</t>
  </si>
  <si>
    <t>c7299deb-345b-38a5-a02e-e6f2b09324e5</t>
  </si>
  <si>
    <t>Electricity, medium voltage, production CZ, at grid {CZ}</t>
  </si>
  <si>
    <t>999b6051-c071-3b65-9f9f-3f7e62092c01</t>
  </si>
  <si>
    <t>Electricity, medium voltage, production DE, at grid {DE}</t>
  </si>
  <si>
    <t>30c656e8-4823-3fd1-a232-b2cfed1b88e2</t>
  </si>
  <si>
    <t>Electricity, medium voltage, production DK, at grid {DK}</t>
  </si>
  <si>
    <t>82c7ce2e-1e65-39fb-ac0d-2cc4e7a3e834</t>
  </si>
  <si>
    <t>Electricity, medium voltage, production DZ, at grid {DZ}</t>
  </si>
  <si>
    <t>7bceaa7f-9f9b-33f2-b1fd-9783d18b1ef5</t>
  </si>
  <si>
    <t>Electricity, medium voltage, production EE, at grid {EE}</t>
  </si>
  <si>
    <t>a344f11a-eeb9-3fec-a2ec-4884a815ca49</t>
  </si>
  <si>
    <t>Electricity, medium voltage, production EG, at grid {EG}</t>
  </si>
  <si>
    <t>c6872761-48ea-3f8e-8b10-1f949b882d74</t>
  </si>
  <si>
    <t>Electricity, medium voltage, production ENTSO-E, at grid {ENTSO-E}</t>
  </si>
  <si>
    <t>648e3bb3-7b98-46f8-9da1-f45627c309ef</t>
  </si>
  <si>
    <t>Electricity, medium voltage, production ES, at grid {ES}</t>
  </si>
  <si>
    <t>8b7bf641-63d3-3d64-8687-21a6f222b186</t>
  </si>
  <si>
    <t>Electricity, medium voltage, production ET, at grid {ET}</t>
  </si>
  <si>
    <t>426be481-1c18-371e-ac3e-63d1e10eba2f</t>
  </si>
  <si>
    <t>Electricity, medium voltage, production FI, at grid {FI}</t>
  </si>
  <si>
    <t>d4d0508f-94f9-30b7-ac1e-cc026276a1a1</t>
  </si>
  <si>
    <t>Electricity, medium voltage, production FR, at grid {FR}</t>
  </si>
  <si>
    <t>8cbeb0fd-1ee9-393f-97f5-6c0aae92484c</t>
  </si>
  <si>
    <t>Electricity, medium voltage, production from biogas, at grid {CH}</t>
  </si>
  <si>
    <t>5b09b2f2-d180-3b61-b4d3-bf828fc5bdc5</t>
  </si>
  <si>
    <t>Electricity, medium voltage, production from CHP diesel, at grid {CH}</t>
  </si>
  <si>
    <t>e2380762-409b-3ebd-a9a0-1f3d8002915c</t>
  </si>
  <si>
    <t>Electricity, medium voltage, production from CHP natural gas, at grid {CH}</t>
  </si>
  <si>
    <t>8d2bc6cb-112d-3398-8490-0a0164b75477</t>
  </si>
  <si>
    <t>Electricity, medium voltage, production from CHP wood RER, at grid {CH}</t>
  </si>
  <si>
    <t>238f1b86-9dd6-32bb-87b4-f14e2e9a6aa7</t>
  </si>
  <si>
    <t>Electricity, medium voltage, production from CHP wood, at grid {CH}</t>
  </si>
  <si>
    <t>96ec53a1-9e49-3231-9a2c-5573b70ee9c3</t>
  </si>
  <si>
    <t>Electricity, medium voltage, production from hard coal, at grid {CH}</t>
  </si>
  <si>
    <t>ea1cf6f4-3cff-3bba-9d7d-a23dc6c778e9</t>
  </si>
  <si>
    <t>Electricity, medium voltage, production from hard coal, UCTE, at grid {CH}</t>
  </si>
  <si>
    <t>608ceb4f-7158-352e-a079-73cfb53529fa</t>
  </si>
  <si>
    <t>Electricity, medium voltage, production from hydro power FR, at grid {CH}</t>
  </si>
  <si>
    <t>08ca17d2-8de1-3d6a-ae6e-0224de1af5ee</t>
  </si>
  <si>
    <t>Electricity, medium voltage, production from hydro power, at grid {CH}</t>
  </si>
  <si>
    <t>6d712d0d-b1d2-3752-ad48-03e76ca79bce</t>
  </si>
  <si>
    <t>Electricity, medium voltage, production from hydro power, pumped stor., at grid {CH}</t>
  </si>
  <si>
    <t>5cb79060-5d71-3a92-835a-0e3733041713</t>
  </si>
  <si>
    <t>Electricity, medium voltage, production from hydro power, reservoir RER, at grid {CH}</t>
  </si>
  <si>
    <t>b269a501-f622-393d-a4a6-037330a8a6df</t>
  </si>
  <si>
    <t>Electricity, medium voltage, production from hydro power, reservoir, at grid {CH}</t>
  </si>
  <si>
    <t>9132f187-c939-346d-a4ce-f412ea2cd7eb</t>
  </si>
  <si>
    <t>Electricity, medium voltage, production from hydro power, run-of-river RER, at grid {CH}</t>
  </si>
  <si>
    <t>c56be60b-13fd-3dfa-9558-2b52cb4f728b</t>
  </si>
  <si>
    <t>Electricity, medium voltage, production from hydro power, run-of-river, at grid {CH}</t>
  </si>
  <si>
    <t>0612ec40-ae00-34a3-b5ba-186bec40a9ea</t>
  </si>
  <si>
    <t>Electricity, medium voltage, production from lignite, DE, at grid {CH}</t>
  </si>
  <si>
    <t>a1c139f6-cae7-3b05-b5d6-12c1595c9d2f</t>
  </si>
  <si>
    <t>Electricity, medium voltage, production from natural gas DE, at grid {CH}</t>
  </si>
  <si>
    <t>3901f5e3-fd07-31d9-adbc-c704a4c1c311</t>
  </si>
  <si>
    <t>Electricity, medium voltage, production from natural gas, comb. cycle, at grid {CH}</t>
  </si>
  <si>
    <t>86d4c1b2-7780-386c-8f39-9d59ab9d45d9</t>
  </si>
  <si>
    <t>Electricity, medium voltage, production from natural gas, UCTE, at grid {CH}</t>
  </si>
  <si>
    <t>d696a934-874f-3cba-82a4-5ba9eccfc434</t>
  </si>
  <si>
    <t>Electricity, medium voltage, production from nuclear power BWR, at grid {CH}</t>
  </si>
  <si>
    <t>2da464c6-6e45-3fdc-b689-775bbf0e4433</t>
  </si>
  <si>
    <t>Electricity, medium voltage, production from nuclear power FR, at grid {CH}</t>
  </si>
  <si>
    <t>c929f278-3505-348d-b1eb-e4fa4abfe903</t>
  </si>
  <si>
    <t>Electricity, medium voltage, production from nuclear power PWR, at grid {CH}</t>
  </si>
  <si>
    <t>0e9a349c-4b1c-31b3-8ee8-5427ea72b8db</t>
  </si>
  <si>
    <t>Electricity, medium voltage, production from nuclear power PWR, FR, at grid {CH}</t>
  </si>
  <si>
    <t>6b6daa04-845a-3014-8af1-e2bd14517de7</t>
  </si>
  <si>
    <t>Electricity, medium voltage, production from nuclear power, at grid {CH}</t>
  </si>
  <si>
    <t>e804c702-d0fe-3c16-a434-1e3acc0dcf9f</t>
  </si>
  <si>
    <t>Electricity, medium voltage, production from oil, at grid {CH}</t>
  </si>
  <si>
    <t>73d86c62-ca5a-39f4-a322-e60e633fedfa</t>
  </si>
  <si>
    <t>Electricity, medium voltage, production from oil, UCTE, at grid {CH}</t>
  </si>
  <si>
    <t>a7f07dec-39cb-32cc-ba9b-ae998d4bf8ce</t>
  </si>
  <si>
    <t>Electricity, medium voltage, production from photovoltaic DE, at grid {CH}</t>
  </si>
  <si>
    <t>2539adf8-e2cd-351a-b35b-a3e09bec7acf</t>
  </si>
  <si>
    <t>Electricity, medium voltage, production from photovoltaic mix DE, at grid {CH}</t>
  </si>
  <si>
    <t>8defaf03-0fa5-3818-b8ba-80b2f7938682</t>
  </si>
  <si>
    <t>Electricity, medium voltage, production from photovoltaic, at grid {CH}</t>
  </si>
  <si>
    <t>b91b1756-e9ab-3fbc-9215-19acfbd21b90</t>
  </si>
  <si>
    <t>Electricity, medium voltage, production from small hydro power, at grid {CH}</t>
  </si>
  <si>
    <t>19287f00-47a2-39b8-a912-7fdcb30ccea0</t>
  </si>
  <si>
    <t>Electricity, medium voltage, production from waste incineration, at grid {CH}</t>
  </si>
  <si>
    <t>6c629a19-a0eb-3770-aeb4-e5c5803b8986</t>
  </si>
  <si>
    <t>Electricity, medium voltage, production from wind power RER, at grid {CH}</t>
  </si>
  <si>
    <t>258f3ced-441d-3e7a-ae24-dc01095f39ac</t>
  </si>
  <si>
    <t>Electricity, medium voltage, production from wind power, at grid {CH}</t>
  </si>
  <si>
    <t>49217163-3c26-37b8-ac04-22fee42abadb</t>
  </si>
  <si>
    <t>Electricity, medium voltage, production GB, at grid {GB}</t>
  </si>
  <si>
    <t>147ffc79-d5e3-3c45-b8e0-e04fdd21e06e</t>
  </si>
  <si>
    <t>Electricity, medium voltage, production GLO, at grid {GLO}</t>
  </si>
  <si>
    <t>b7985b38-0d38-39f0-9676-5be4036b483f</t>
  </si>
  <si>
    <t>Electricity, medium voltage, production GR, at grid {GR}</t>
  </si>
  <si>
    <t>f58d92d7-02a0-3167-af86-584ae1e512e5</t>
  </si>
  <si>
    <t>Electricity, medium voltage, production HR, at grid {HR}</t>
  </si>
  <si>
    <t>fdd86ecf-5fa0-307d-a29a-ce75d72b4669</t>
  </si>
  <si>
    <t>Electricity, medium voltage, production HU, at grid {HU}</t>
  </si>
  <si>
    <t>6dd00042-8131-3079-96f2-51fe795d173a</t>
  </si>
  <si>
    <t>Electricity, medium voltage, production ID, at grid {ID}</t>
  </si>
  <si>
    <t>e110990b-04b7-3e23-97ce-aa61bf03891e</t>
  </si>
  <si>
    <t>Electricity, medium voltage, production IE, at grid {IE}</t>
  </si>
  <si>
    <t>e2cb6980-77f7-3930-a06e-211303f5a5b1</t>
  </si>
  <si>
    <t>Electricity, medium voltage, production IL, at grid {IL}</t>
  </si>
  <si>
    <t>e99a254a-81d0-326c-a453-d4d57befe3f4</t>
  </si>
  <si>
    <t>Electricity, medium voltage, production IN, at grid {IN}</t>
  </si>
  <si>
    <t>55a4a0c0-c52d-3647-bd3c-79cbce78e409</t>
  </si>
  <si>
    <t>Electricity, medium voltage, production IQ, at grid {IQ}</t>
  </si>
  <si>
    <t>a1ef79f4-7c17-316e-bdb5-d4fa749a38cd</t>
  </si>
  <si>
    <t>Electricity, medium voltage, production IR, at grid {IR}</t>
  </si>
  <si>
    <t>5fd86a2d-42e0-3af8-adbc-1caec40aa967</t>
  </si>
  <si>
    <t>Electricity, medium voltage, production IS, at grid {IS}</t>
  </si>
  <si>
    <t>f739d5f3-4440-36a6-87d3-6d57f406b7f8</t>
  </si>
  <si>
    <t>Electricity, medium voltage, production IT, at grid {IT}</t>
  </si>
  <si>
    <t>e4d6c489-db72-359c-8814-557936f6f702</t>
  </si>
  <si>
    <t>Electricity, medium voltage, production JP, at grid {JP}</t>
  </si>
  <si>
    <t>142319ef-b583-3c6f-b02c-6e8d8ff07169</t>
  </si>
  <si>
    <t>Electricity, medium voltage, production KR, at grid {KR}</t>
  </si>
  <si>
    <t>0ad20a2d-2532-3967-8a5c-f137b83862c9</t>
  </si>
  <si>
    <t>Electricity, medium voltage, production KZ, at grid {KZ}</t>
  </si>
  <si>
    <t>8e347b78-c85c-38b9-bc43-7d536b3116b0</t>
  </si>
  <si>
    <t>Electricity, medium voltage, production LT, at grid {LT}</t>
  </si>
  <si>
    <t>f6bbaefd-b130-384e-a02d-cccdec4313a3</t>
  </si>
  <si>
    <t>Electricity, medium voltage, production LU, at grid {LU}</t>
  </si>
  <si>
    <t>2e1f6d40-d77d-3634-9fdc-52b2ceae6b19</t>
  </si>
  <si>
    <t>Electricity, medium voltage, production LV, at grid {LV}</t>
  </si>
  <si>
    <t>54237dc1-5b3c-3a25-b2b2-1547e688f630</t>
  </si>
  <si>
    <t>Electricity, medium voltage, production MA, at grid {MA}</t>
  </si>
  <si>
    <t>35cdb8ae-17ab-34f4-b680-b3ba032de881</t>
  </si>
  <si>
    <t>Electricity, medium voltage, production MK, at grid {MK}</t>
  </si>
  <si>
    <t>c08dfb3f-0342-33a7-8380-868cbbf588b6</t>
  </si>
  <si>
    <t>Electricity, medium voltage, production MX, at grid {MX}</t>
  </si>
  <si>
    <t>1bdc22d0-1c7f-300f-82ff-e5303390e70e</t>
  </si>
  <si>
    <t>Electricity, medium voltage, production MY, at grid {MY}</t>
  </si>
  <si>
    <t>2d58302f-85aa-30c3-935c-4ac7e67edc46</t>
  </si>
  <si>
    <t>Electricity, medium voltage, production NG, at grid {NG}</t>
  </si>
  <si>
    <t>63c03786-f302-3d7e-9d91-dd1d08916211</t>
  </si>
  <si>
    <t>Electricity, medium voltage, production NL, at grid {NL}</t>
  </si>
  <si>
    <t>e30ea5fc-0d55-35c2-82eb-cfabbd03a8a8</t>
  </si>
  <si>
    <t>Electricity, medium voltage, production NO, at grid {NO}</t>
  </si>
  <si>
    <t>52e54a7e-4ad1-3f06-b93e-177250f883ba</t>
  </si>
  <si>
    <t>Electricity, medium voltage, production NORDEL, at grid {NORDEL}</t>
  </si>
  <si>
    <t>99552213-b046-3fcb-82a9-f03d9a2c5711</t>
  </si>
  <si>
    <t>Electricity, medium voltage, production NZ, at grid {NZ}</t>
  </si>
  <si>
    <t>ebe7fdf8-9a3a-3a29-87d8-156a3feec4fa</t>
  </si>
  <si>
    <t>Electricity, medium voltage, production PE, at grid {PE}</t>
  </si>
  <si>
    <t>bfd04fa0-2e42-3544-8828-10e44edeb88f</t>
  </si>
  <si>
    <t>Electricity, medium voltage, production PH, at grid {PH}</t>
  </si>
  <si>
    <t>41eb286a-bedc-38a1-8792-d872f4400e38</t>
  </si>
  <si>
    <t>Electricity, medium voltage, production PK, at grid {PK}</t>
  </si>
  <si>
    <t>e6250c6b-96ad-365e-b4d6-aaef27d4b881</t>
  </si>
  <si>
    <t>Electricity, medium voltage, production PL, at grid {PL}</t>
  </si>
  <si>
    <t>07b44db0-08a3-373f-8b58-e29837bf3c30</t>
  </si>
  <si>
    <t>Electricity, medium voltage, production PT, at grid {PT}</t>
  </si>
  <si>
    <t>1b61f70a-1459-3dc9-ba9d-ca038e70214c</t>
  </si>
  <si>
    <t>Electricity, medium voltage, production QA, at grid {QA}</t>
  </si>
  <si>
    <t>3ecc66ad-d98b-3bb0-a35d-0e67444966d9</t>
  </si>
  <si>
    <t>Electricity, medium voltage, production RAF, at grid {RAF}</t>
  </si>
  <si>
    <t>481a3ba4-3384-3ffa-8521-ded01bc2ef0b</t>
  </si>
  <si>
    <t>Electricity, medium voltage, production RAS, at grid {RAS}</t>
  </si>
  <si>
    <t>18b3b539-ee3b-3bd8-a5bd-7da3a00bffc9</t>
  </si>
  <si>
    <t>Electricity, medium voltage, production RER, at grid {RER}</t>
  </si>
  <si>
    <t>9943e4e9-f9b5-3a26-bc7b-de605554e6de</t>
  </si>
  <si>
    <t>Electricity, medium voltage, production RLA, at grid {RLA}</t>
  </si>
  <si>
    <t>4f2e3ef9-2566-32b2-8f61-6911689d32a6</t>
  </si>
  <si>
    <t>Electricity, medium voltage, production RME, at grid {RME}</t>
  </si>
  <si>
    <t>d9da34e8-c907-34cd-8783-10513a7a077e</t>
  </si>
  <si>
    <t>Electricity, medium voltage, production RNA, at grid {RNA}</t>
  </si>
  <si>
    <t>f920813c-5ecb-35f7-ba0f-70dc532a66e1</t>
  </si>
  <si>
    <t>Electricity, medium voltage, production RO, at grid {RO}</t>
  </si>
  <si>
    <t>80b8619b-dfb7-3092-a40f-97cb7963473b</t>
  </si>
  <si>
    <t>Electricity, medium voltage, production RS, at grid {RS}</t>
  </si>
  <si>
    <t>3cfa1040-5c51-3f07-bd20-11a03ab16ce6</t>
  </si>
  <si>
    <t>Electricity, medium voltage, production RU, at grid {RU}</t>
  </si>
  <si>
    <t>ec54549e-4dc3-3655-a21a-9c9c49e9675b</t>
  </si>
  <si>
    <t>Electricity, medium voltage, production SA, at grid {SA}</t>
  </si>
  <si>
    <t>e6832e3b-da7a-381f-8e67-d22c0944d700</t>
  </si>
  <si>
    <t>Electricity, medium voltage, production SE, at grid {SE}</t>
  </si>
  <si>
    <t>c20b530e-b37e-3ff3-a756-1826b276a79c</t>
  </si>
  <si>
    <t>Electricity, medium voltage, production SG, at grid {SG}</t>
  </si>
  <si>
    <t>a945af59-c771-347a-b6d4-e4533ede5274</t>
  </si>
  <si>
    <t>Electricity, medium voltage, production SI, at grid {SI}</t>
  </si>
  <si>
    <t>7a17b767-3525-38e3-88ef-bf7f80cb0cf2</t>
  </si>
  <si>
    <t>Electricity, medium voltage, production SK, at grid {SK}</t>
  </si>
  <si>
    <t>793311e1-50f7-339e-8c74-264f17b90902</t>
  </si>
  <si>
    <t>Electricity, medium voltage, production TH, at grid {TH}</t>
  </si>
  <si>
    <t>b2bebabb-2c02-32a0-b3b5-5f413c7dd888</t>
  </si>
  <si>
    <t>Electricity, medium voltage, production TN, at grid {TN}</t>
  </si>
  <si>
    <t>d03e9c59-ae44-3651-a2ad-6649483979df</t>
  </si>
  <si>
    <t>Electricity, medium voltage, production TR, at grid {TR}</t>
  </si>
  <si>
    <t>108a41c9-8c9d-3767-a4ea-b0c2fb5d1db0</t>
  </si>
  <si>
    <t>Electricity, medium voltage, production TW, at grid {TW}</t>
  </si>
  <si>
    <t>aa06d7fc-000a-39ac-b12d-6503acd197f5</t>
  </si>
  <si>
    <t>Electricity, medium voltage, production TZ, at grid {TZ}</t>
  </si>
  <si>
    <t>40f0cc61-b1ab-3cb0-bd9b-8a59b6f310fd</t>
  </si>
  <si>
    <t>Electricity, medium voltage, production UA, at grid {UA}</t>
  </si>
  <si>
    <t>8a3fe2b3-e3c4-35eb-b685-95f50f384668</t>
  </si>
  <si>
    <t>Electricity, medium voltage, production US, at grid {US}</t>
  </si>
  <si>
    <t>0b47c987-eee0-3eef-87c5-998f42be23c2</t>
  </si>
  <si>
    <t>Electricity, medium voltage, production VN, at grid {VN}</t>
  </si>
  <si>
    <t>1c5cab81-486c-3303-9beb-123550e56905</t>
  </si>
  <si>
    <t>Electricity, medium voltage, production ZA, at grid {ZA}</t>
  </si>
  <si>
    <t>cb0245ff-b6bb-35ea-b5dd-95120e92e806</t>
  </si>
  <si>
    <t>Electricity, medium voltage, PV, at 3kWp slanted-roof, CdTe, panel, mounted, at grid {CH}</t>
  </si>
  <si>
    <t>a64b6699-8654-3786-b80f-37cc4a7de239</t>
  </si>
  <si>
    <t>Electricity, medium voltage, PV, at 3kWp slanted-roof, CIS, panel, mounted, at grid {CH}</t>
  </si>
  <si>
    <t>7471241d-7313-3232-91d4-8520c80f2233</t>
  </si>
  <si>
    <t>Electricity, medium voltage, PV, at 3kWp slanted-roof, multi-Si, panel, mounted, at grid {CH}</t>
  </si>
  <si>
    <t>2026ec6d-7a90-36a0-9373-6581194dcf79</t>
  </si>
  <si>
    <t>Electricity, medium voltage, PV, at 3kWp slanted-roof, single-Si, panel, mounted, at grid {CH}</t>
  </si>
  <si>
    <t>6e223838-ffc9-30b0-8c56-88d0136c5bfd</t>
  </si>
  <si>
    <t>Electricity, medium voltage, PV, facade, multi-Si, panel {CH}</t>
  </si>
  <si>
    <t>1b125d24-c9da-3515-95a9-3e9860d3196a</t>
  </si>
  <si>
    <t>Electricity, medium voltage, PV, open ground, single-Si {CH}</t>
  </si>
  <si>
    <t>3519e4f2-62bc-37eb-8007-6cad62b282b2</t>
  </si>
  <si>
    <t>Electricity, medium voltage, PV, slanted roof, a-Si, panel {CH}</t>
  </si>
  <si>
    <t>13f70149-135b-3717-8756-a2ddf09518e9</t>
  </si>
  <si>
    <t>Electricity, medium voltage, PV, slanted roof, CdTe, laminated {CH}</t>
  </si>
  <si>
    <t>28fefadc-5bd1-30d4-a7b9-9d1781ed1ebe</t>
  </si>
  <si>
    <t>Electricity, medium voltage, PV, slanted roof, multi-Si, panel {CH}</t>
  </si>
  <si>
    <t>39d15ce9-0f5d-3378-8a46-e8a345035d62</t>
  </si>
  <si>
    <t>Electricity, medium voltage, railway, at grid {FR}</t>
  </si>
  <si>
    <t>fb970fb1-6df9-3a6b-84c1-15961858a748</t>
  </si>
  <si>
    <t>Electricity, medium voltage, railway, at grid {IT}</t>
  </si>
  <si>
    <t>cc29f9fd-7479-3ba0-9237-0dfe314acaf0</t>
  </si>
  <si>
    <t>Electricity, medium voltage, residual mix {CH}</t>
  </si>
  <si>
    <t>982def76-ac2d-31f8-863e-345a725af988</t>
  </si>
  <si>
    <t>Electricity, medium voltage, SBB, at grid {CH}</t>
  </si>
  <si>
    <t>27e791d7-abd8-399c-a405-41b994be6cc1</t>
  </si>
  <si>
    <t>Electricity, medium voltage, supply mix GO, at grid {CH}</t>
  </si>
  <si>
    <t>baf52276-8f3a-3683-b0df-77e80f0748dc</t>
  </si>
  <si>
    <t>Electricity, medium voltage, water utility Zug, at grid {CH}</t>
  </si>
  <si>
    <t>c9ba89c8-6fbb-3777-bee1-69af770cc331</t>
  </si>
  <si>
    <t>Electricity, medium voltage,cogen biogas, methane 96%-vol, at grid {CH}</t>
  </si>
  <si>
    <t>4eb05014-5d0a-3355-89d2-b4a2d89d77cd</t>
  </si>
  <si>
    <t>Electricity, natural gas, at CHP power plant {AT}</t>
  </si>
  <si>
    <t>f3707691-e899-383a-9526-a7e4fbe2c319</t>
  </si>
  <si>
    <t>Electricity, natural gas, at CHP power plant {BE}</t>
  </si>
  <si>
    <t>67d12540-b34f-3392-9170-ada81e227ea7</t>
  </si>
  <si>
    <t>Electricity, natural gas, at CHP power plant {BG}</t>
  </si>
  <si>
    <t>829f96a3-0a4a-38e5-ac1b-385c91759fe3</t>
  </si>
  <si>
    <t>Electricity, natural gas, at CHP power plant {CH}</t>
  </si>
  <si>
    <t>232f17bb-c08f-3f54-a8d4-a8429fea148b</t>
  </si>
  <si>
    <t>Electricity, natural gas, at CHP power plant {CN}</t>
  </si>
  <si>
    <t>f31a80c2-2b91-3bee-a7e5-9250c8916aa2</t>
  </si>
  <si>
    <t>Electricity, natural gas, at CHP power plant {CZ}</t>
  </si>
  <si>
    <t>989c98ba-b6a8-30b0-a2c6-5f00e4b97c2e</t>
  </si>
  <si>
    <t>Electricity, natural gas, at CHP power plant {DE}</t>
  </si>
  <si>
    <t>0bb1c1a1-c5e5-3756-af13-07da8260274e</t>
  </si>
  <si>
    <t>Electricity, natural gas, at CHP power plant {DK}</t>
  </si>
  <si>
    <t>c9087375-ad99-3ea3-be8c-446f7b9593df</t>
  </si>
  <si>
    <t>Electricity, natural gas, at CHP power plant {EE}</t>
  </si>
  <si>
    <t>3e61125e-900c-3f9d-921d-1bb08b6db8e8</t>
  </si>
  <si>
    <t>Electricity, natural gas, at CHP power plant {ES}</t>
  </si>
  <si>
    <t>1672efbd-a07d-43dd-a951-842405a27c9d</t>
  </si>
  <si>
    <t>Electricity, natural gas, at CHP power plant {FI}</t>
  </si>
  <si>
    <t>a14680a6-ceb0-37f0-b223-579ba3aa4848</t>
  </si>
  <si>
    <t>Electricity, natural gas, at CHP power plant {FR}</t>
  </si>
  <si>
    <t>86f4c599-8d20-31ca-8a62-1fe7411b9a19</t>
  </si>
  <si>
    <t>Electricity, natural gas, at CHP power plant {GB}</t>
  </si>
  <si>
    <t>da132188-4772-389f-b13f-79ccb0f6451c</t>
  </si>
  <si>
    <t>Electricity, natural gas, at CHP power plant {GR}</t>
  </si>
  <si>
    <t>f0c50cf1-99ab-35d9-8a3a-6bf1020f280d</t>
  </si>
  <si>
    <t>Electricity, natural gas, at CHP power plant {HR}</t>
  </si>
  <si>
    <t>ddb7b287-dd0f-3571-a698-8349cdb6f1a1</t>
  </si>
  <si>
    <t>Electricity, natural gas, at CHP power plant {HU}</t>
  </si>
  <si>
    <t>cd069eea-265a-375d-88f9-033748aed12a</t>
  </si>
  <si>
    <t>Electricity, natural gas, at CHP power plant {IE}</t>
  </si>
  <si>
    <t>70e4dd71-e760-317b-8930-ea1c67cdf2a9</t>
  </si>
  <si>
    <t>Electricity, natural gas, at CHP power plant {IT}</t>
  </si>
  <si>
    <t>aba2b92b-a3f5-3035-8b5a-3bf22d46c676</t>
  </si>
  <si>
    <t>Electricity, natural gas, at CHP power plant {KR}</t>
  </si>
  <si>
    <t>16f638ba-295f-3fac-899c-bf6e90a3123b</t>
  </si>
  <si>
    <t>Electricity, natural gas, at CHP power plant {LT}</t>
  </si>
  <si>
    <t>3aa532a4-0041-31b4-b1a3-3863e6bbfe78</t>
  </si>
  <si>
    <t>Electricity, natural gas, at CHP power plant {LU}</t>
  </si>
  <si>
    <t>94a30000-1202-33b8-b397-ed8801577573</t>
  </si>
  <si>
    <t>Electricity, natural gas, at CHP power plant {LV}</t>
  </si>
  <si>
    <t>90c8f8c3-48bd-3658-9ff2-6c4fc3a82b49</t>
  </si>
  <si>
    <t>Electricity, natural gas, at CHP power plant {NL}</t>
  </si>
  <si>
    <t>4bdf2a0a-422c-3f56-924c-0c96b3a0b9f6</t>
  </si>
  <si>
    <t>Electricity, natural gas, at CHP power plant {PL}</t>
  </si>
  <si>
    <t>1a259645-5fac-3e00-824c-dd45fc8e74fa</t>
  </si>
  <si>
    <t>Electricity, natural gas, at CHP power plant {PT}</t>
  </si>
  <si>
    <t>b223548a-819c-3cd7-bedf-65c7e41d3c30</t>
  </si>
  <si>
    <t>Electricity, natural gas, at CHP power plant {RO}</t>
  </si>
  <si>
    <t>259aeb0f-9aec-3a4f-81bd-c6021d6ee7c1</t>
  </si>
  <si>
    <t>Electricity, natural gas, at CHP power plant {RU}</t>
  </si>
  <si>
    <t>5512c3a6-c98a-395f-81e4-d279f9731ef1</t>
  </si>
  <si>
    <t>Electricity, natural gas, at CHP power plant {SE} - SE U</t>
  </si>
  <si>
    <t>a86e10c3-bc26-49dd-8afa-608028264d2d</t>
  </si>
  <si>
    <t>Electricity, natural gas, at CHP power plant {SI}</t>
  </si>
  <si>
    <t>705b32a0-9c08-3f74-9dab-fdf9a379a336</t>
  </si>
  <si>
    <t>Electricity, natural gas, at CHP power plant {SK}</t>
  </si>
  <si>
    <t>8e25cc52-2d86-3c94-862e-d60cef768df3</t>
  </si>
  <si>
    <t>Electricity, natural gas, at CHP power plant {TW}</t>
  </si>
  <si>
    <t>1097a1c3-08fc-3302-a510-f15dc0130ff7</t>
  </si>
  <si>
    <t>Electricity, natural gas, at CHP power plant {US}</t>
  </si>
  <si>
    <t>89ac4a6f-e124-3b24-ac86-117f9e4a6314</t>
  </si>
  <si>
    <t>Electricity, natural gas, at combined cycle plant, best technology {RER}</t>
  </si>
  <si>
    <t>5c20cc72-a844-3917-be86-b1c45b58cab4</t>
  </si>
  <si>
    <t>Electricity, natural gas, at power plant {AT}</t>
  </si>
  <si>
    <t>cd8c256e-1e08-391f-97c3-9391dbdd5768</t>
  </si>
  <si>
    <t>Electricity, natural gas, at power plant {BE}</t>
  </si>
  <si>
    <t>95b1f390-49ae-3c85-b133-600b7ffd464b</t>
  </si>
  <si>
    <t>Electricity, natural gas, at power plant {BG}</t>
  </si>
  <si>
    <t>c056cfe9-1cd2-3d28-9086-5b8992a751f4</t>
  </si>
  <si>
    <t>Electricity, natural gas, at power plant {CN}</t>
  </si>
  <si>
    <t>bf7a8990-bbfe-3859-a71b-b858663f532f</t>
  </si>
  <si>
    <t>Electricity, natural gas, at power plant {CZ}</t>
  </si>
  <si>
    <t>3d91c9fe-dfc2-359a-b29c-87b521541ee6</t>
  </si>
  <si>
    <t>Electricity, natural gas, at power plant {DE}</t>
  </si>
  <si>
    <t>b63ac3b6-a7b3-30eb-b18f-e385832342ad</t>
  </si>
  <si>
    <t>Electricity, natural gas, at power plant {ENTSO-E}</t>
  </si>
  <si>
    <t>8aef2cf6-bd87-3d11-83ad-ae47b5a89131</t>
  </si>
  <si>
    <t>Electricity, natural gas, at power plant {ES}</t>
  </si>
  <si>
    <t>3c419829-c414-3fff-8a0c-a7d3d4cf8e3a</t>
  </si>
  <si>
    <t>Electricity, natural gas, at power plant {FI}</t>
  </si>
  <si>
    <t>c1f04203-96ec-320c-85f5-e56aaa86729b</t>
  </si>
  <si>
    <t>Electricity, natural gas, at power plant {FR}</t>
  </si>
  <si>
    <t>50abc47e-b63f-3ed0-9963-1ea4373f1dbd</t>
  </si>
  <si>
    <t>Electricity, natural gas, at power plant {GB}</t>
  </si>
  <si>
    <t>5537a6ba-ac4b-35ff-a6c5-041d1ebf27f5</t>
  </si>
  <si>
    <t>Electricity, natural gas, at power plant {GR}</t>
  </si>
  <si>
    <t>6a445947-24cc-3b8a-9fb4-4b1316cbc25b</t>
  </si>
  <si>
    <t>Electricity, natural gas, at power plant {HR}</t>
  </si>
  <si>
    <t>6f0fb54c-a57b-3fcd-ba59-14062b04df03</t>
  </si>
  <si>
    <t>Electricity, natural gas, at power plant {HU}</t>
  </si>
  <si>
    <t>361bab44-fe43-3210-8de1-23cfa890c6d3</t>
  </si>
  <si>
    <t>Electricity, natural gas, at power plant {IE}</t>
  </si>
  <si>
    <t>12003bf7-143b-30fd-91e6-9ab202a27c10</t>
  </si>
  <si>
    <t>Electricity, natural gas, at power plant {IN}</t>
  </si>
  <si>
    <t>10c666c0-d48f-3cc1-958a-267fb2b9057d</t>
  </si>
  <si>
    <t>Electricity, natural gas, at power plant {IT}</t>
  </si>
  <si>
    <t>f0e6c460-e587-307c-95d1-624f091f75f0</t>
  </si>
  <si>
    <t>Electricity, natural gas, at power plant {JP}</t>
  </si>
  <si>
    <t>3e34b0a0-e656-39c0-b4cb-2b1df180db76</t>
  </si>
  <si>
    <t>Electricity, natural gas, at power plant {KR}</t>
  </si>
  <si>
    <t>8573bd2f-15cf-37b4-9fdd-340826d80df1</t>
  </si>
  <si>
    <t>Electricity, natural gas, at power plant {MT}</t>
  </si>
  <si>
    <t>95ddd139-8a29-35ac-9666-a20af65493cb</t>
  </si>
  <si>
    <t>Electricity, natural gas, at power plant {MY}</t>
  </si>
  <si>
    <t>9db2dce0-c3f0-316a-9848-b4e545d6f1d7</t>
  </si>
  <si>
    <t>Electricity, natural gas, at power plant {NL}</t>
  </si>
  <si>
    <t>15923ee9-790a-3c6d-aa0f-1c9f4a0fcd93</t>
  </si>
  <si>
    <t>Electricity, natural gas, at power plant {PT}</t>
  </si>
  <si>
    <t>21e5eecb-39e2-3ab9-b48a-894daa0364d7</t>
  </si>
  <si>
    <t>Electricity, natural gas, at power plant {RME}</t>
  </si>
  <si>
    <t>9b78046c-90fc-34c3-9dd9-3eaca7337b6b</t>
  </si>
  <si>
    <t>Electricity, natural gas, at power plant {RO}</t>
  </si>
  <si>
    <t>61cab0cf-8084-320b-b7fa-7ca1a84fd6e4</t>
  </si>
  <si>
    <t>Electricity, natural gas, at power plant {RU}</t>
  </si>
  <si>
    <t>edd5461d-24ed-3d64-9b94-2cf6400c4c16</t>
  </si>
  <si>
    <t>Electricity, natural gas, at power plant {SI}</t>
  </si>
  <si>
    <t>58de3369-99cb-3b93-831a-9df3ef3b8ccb</t>
  </si>
  <si>
    <t>Electricity, natural gas, at power plant {SK}</t>
  </si>
  <si>
    <t>de594fb9-ce83-35ab-8f93-f864c1cf84ca</t>
  </si>
  <si>
    <t>Electricity, natural gas, at power plant {TW}</t>
  </si>
  <si>
    <t>6afc3bc5-0122-305d-a543-aa4d0ece34f3</t>
  </si>
  <si>
    <t>Electricity, natural gas, at power plant {US}</t>
  </si>
  <si>
    <t>c5383ecb-e210-37b9-ae02-455dbb09ec86</t>
  </si>
  <si>
    <t>Electricity, nuclear, at power plant {CH}</t>
  </si>
  <si>
    <t>electricity by fuel\waste\nuclear</t>
  </si>
  <si>
    <t>f7654254-5dba-3302-af6d-e7a74b01bebf</t>
  </si>
  <si>
    <t>Electricity, nuclear, at power plant {DE}</t>
  </si>
  <si>
    <t>0108a517-7311-3f83-a805-e653f5bd2c89</t>
  </si>
  <si>
    <t>Electricity, nuclear, at power plant {UCTE}</t>
  </si>
  <si>
    <t>d563c212-31f6-39e6-9fa9-1f54a9aceda2</t>
  </si>
  <si>
    <t>Electricity, nuclear, at power plant {US}</t>
  </si>
  <si>
    <t>5c4ed618-d952-3a8e-a8d9-04f3927f12d6</t>
  </si>
  <si>
    <t>Electricity, nuclear, at power plant boiling water reactor {CH}</t>
  </si>
  <si>
    <t>electricity by fuel\waste\nuclear\bwr</t>
  </si>
  <si>
    <t>a6c6744d-d6e7-3804-87b2-e1efa1a9146b</t>
  </si>
  <si>
    <t>Electricity, nuclear, at power plant boiling water reactor {DE}</t>
  </si>
  <si>
    <t>ecf35b33-e186-3b5a-9bd5-d60bd87f9518</t>
  </si>
  <si>
    <t>Electricity, nuclear, at power plant boiling water reactor {UCTE}</t>
  </si>
  <si>
    <t>7a156483-a4ef-3d1b-a9c3-b5dc590e799f</t>
  </si>
  <si>
    <t>Electricity, nuclear, at power plant boiling water reactor {US}</t>
  </si>
  <si>
    <t>6000730d-55b4-3617-8097-d8f8d33f30d1</t>
  </si>
  <si>
    <t>Electricity, nuclear, at power plant pressure water reactor {CH}</t>
  </si>
  <si>
    <t>electricity by fuel\waste\nuclear\pwr</t>
  </si>
  <si>
    <t>b5fde38b-ee84-39b8-bed7-216d51f4a90e</t>
  </si>
  <si>
    <t>Electricity, nuclear, at power plant pressure water reactor {CN}</t>
  </si>
  <si>
    <t>45c5821e-cf95-3d4d-a8f1-525a18bfe93d</t>
  </si>
  <si>
    <t>Electricity, nuclear, at power plant pressure water reactor {DE}</t>
  </si>
  <si>
    <t>6ee93188-b1d9-3659-a6a9-f708e741ddfd</t>
  </si>
  <si>
    <t>Electricity, nuclear, at power plant pressure water reactor {FR}</t>
  </si>
  <si>
    <t>f70df649-dd9e-3fef-b46e-6a867c000041</t>
  </si>
  <si>
    <t>Electricity, nuclear, at power plant pressure water reactor {UCTE}</t>
  </si>
  <si>
    <t>cff2cccb-d316-34bd-94d6-0be8cf16a688</t>
  </si>
  <si>
    <t>Electricity, nuclear, at power plant pressure water reactor {US}</t>
  </si>
  <si>
    <t>bb60a284-9cda-332e-8e2e-e0d3a26e85bf</t>
  </si>
  <si>
    <t>Electricity, oil, at power plant {AT}</t>
  </si>
  <si>
    <t>electricity by fuel\oil</t>
  </si>
  <si>
    <t>4e5ffd30-7d76-3d77-81cb-b2c5a88b9599</t>
  </si>
  <si>
    <t>Electricity, oil, at power plant {BE}</t>
  </si>
  <si>
    <t>6bd5d308-c300-3b13-827c-985be0ba3ad1</t>
  </si>
  <si>
    <t>Electricity, oil, at power plant {CS}</t>
  </si>
  <si>
    <t>e6e5fe02-e78c-35e8-8440-5b6bc1aefd92</t>
  </si>
  <si>
    <t>Electricity, oil, at power plant {CZ}</t>
  </si>
  <si>
    <t>a2d692d8-0af5-3bb8-ae7b-8f9db42c9301</t>
  </si>
  <si>
    <t>Electricity, oil, at power plant {DE}</t>
  </si>
  <si>
    <t>10452abe-20fb-3f80-a31c-96dea9abd177</t>
  </si>
  <si>
    <t>Electricity, oil, at power plant {DK}</t>
  </si>
  <si>
    <t>32d7527e-06e5-3981-af87-5e3998f7bf42</t>
  </si>
  <si>
    <t>Electricity, oil, at power plant {ES}</t>
  </si>
  <si>
    <t>59d7b81b-1acb-3861-916c-bad19e939b61</t>
  </si>
  <si>
    <t>Electricity, oil, at power plant {FI}</t>
  </si>
  <si>
    <t>718bf706-f5a4-3bb1-bb91-dd5573b368b7</t>
  </si>
  <si>
    <t>Electricity, oil, at power plant {FR}</t>
  </si>
  <si>
    <t>20c73089-24e6-3782-ab75-d76df32fec06</t>
  </si>
  <si>
    <t>Electricity, oil, at power plant {GB}</t>
  </si>
  <si>
    <t>5fae962b-f88c-3ac4-a587-f976654f70b8</t>
  </si>
  <si>
    <t>Electricity, oil, at power plant {GR}</t>
  </si>
  <si>
    <t>3e1f3a74-b1aa-33a2-8123-4a0c6332cb42</t>
  </si>
  <si>
    <t>Electricity, oil, at power plant {HR}</t>
  </si>
  <si>
    <t>b09bb03a-d07b-38da-9d26-105ff5065358</t>
  </si>
  <si>
    <t>Electricity, oil, at power plant {HU}</t>
  </si>
  <si>
    <t>bd63179a-3884-38a0-ba76-e6c3776f4867</t>
  </si>
  <si>
    <t>Electricity, oil, at power plant {IE}</t>
  </si>
  <si>
    <t>973e1d4a-97dd-3530-afbb-f331fd0a1568</t>
  </si>
  <si>
    <t>Electricity, oil, at power plant {IT}</t>
  </si>
  <si>
    <t>798b61a3-7340-3600-a874-39c9bc2d45db</t>
  </si>
  <si>
    <t>Electricity, oil, at power plant {NL}</t>
  </si>
  <si>
    <t>1a5f6848-cce5-3602-b068-19d92b8a3e9d</t>
  </si>
  <si>
    <t>Electricity, oil, at power plant {PT}</t>
  </si>
  <si>
    <t>dac43dc1-1641-3b88-8ec0-c4f1723d4750</t>
  </si>
  <si>
    <t>Electricity, oil, at power plant {SE}</t>
  </si>
  <si>
    <t>d4e80cae-f1ae-3393-9b32-7f8d00a44c10</t>
  </si>
  <si>
    <t>Electricity, oil, at power plant {SI}</t>
  </si>
  <si>
    <t>5a5d8d28-5c9d-3012-8f7b-5bb13f3f7692</t>
  </si>
  <si>
    <t>Electricity, oil, at power plant {SK}</t>
  </si>
  <si>
    <t>e96d7c51-4875-305a-8ce5-ef5e70c83347</t>
  </si>
  <si>
    <t>Electricity, oil, at power plant {UCTE}</t>
  </si>
  <si>
    <t>3cb9f95d-ef33-32fd-8f41-db2974cd10ed</t>
  </si>
  <si>
    <t>Electricity, peat, at power plant {ENTSO-E}</t>
  </si>
  <si>
    <t>8cad752f-d0a7-3756-99f2-f6d1b64a1606</t>
  </si>
  <si>
    <t>Electricity, peat, at power plant {NORDEL}</t>
  </si>
  <si>
    <t>electricity by fuel\peat</t>
  </si>
  <si>
    <t>183c1890-9dc2-3141-a8de-6aafca48711d</t>
  </si>
  <si>
    <t>Electricity, photovoltaic mix facade, at plant {CH}</t>
  </si>
  <si>
    <t>85b2378e-5b5b-303f-ba28-36226a6b1464</t>
  </si>
  <si>
    <t>Electricity, photovoltaic mix flat-roof, at plant {CH}</t>
  </si>
  <si>
    <t>503171ce-5755-3370-9532-47ceeb684247</t>
  </si>
  <si>
    <t>Electricity, photovoltaic mix slanted-roof, at plant {CH}</t>
  </si>
  <si>
    <t>180412fe-7ef9-38c1-9dc4-c2563886f73b</t>
  </si>
  <si>
    <t>Electricity, production from hydro power, at plant {CH}</t>
  </si>
  <si>
    <t>d23a83b9-848e-3994-8d22-2cf9f725aa47</t>
  </si>
  <si>
    <t>Electricity, production mix {AE}</t>
  </si>
  <si>
    <t>eca77e67-2566-3a53-a6c7-0174f07625d2</t>
  </si>
  <si>
    <t>Electricity, production mix {AR}</t>
  </si>
  <si>
    <t>10f05a86-6c45-376f-8bb2-09730d8053ff</t>
  </si>
  <si>
    <t>Electricity, production mix {AT}</t>
  </si>
  <si>
    <t>3b57d4fa-57b3-3581-94ad-e99ad63d26d9</t>
  </si>
  <si>
    <t>Electricity, production mix {AU}</t>
  </si>
  <si>
    <t>e8726ca2-0f04-367e-b08a-d8b5bf92e3d0</t>
  </si>
  <si>
    <t>Electricity, production mix {BA}</t>
  </si>
  <si>
    <t>ad00602a-a3eb-3f3d-a8d2-595c63217b68</t>
  </si>
  <si>
    <t>Electricity, production mix {BD}</t>
  </si>
  <si>
    <t>ece3bbb9-62cf-3893-8142-5b6f7aebf1fb</t>
  </si>
  <si>
    <t>Electricity, production mix {BE}</t>
  </si>
  <si>
    <t>10e2e93b-efcb-3936-bb73-092462b10380</t>
  </si>
  <si>
    <t>Electricity, production mix {BG}</t>
  </si>
  <si>
    <t>a039c874-accf-3c17-90f1-2b3019459475</t>
  </si>
  <si>
    <t>Electricity, production mix {BR}</t>
  </si>
  <si>
    <t>0fa7a820-ad3a-359e-8a56-a3590266d68e</t>
  </si>
  <si>
    <t>Electricity, production mix {CA}</t>
  </si>
  <si>
    <t>c6fd925a-cbc3-340d-9940-399b663d8751</t>
  </si>
  <si>
    <t>Electricity, production mix {CH}</t>
  </si>
  <si>
    <t>d246bab4-7011-3a8a-af43-3a93d1934a55</t>
  </si>
  <si>
    <t>Electricity, production mix {CL}</t>
  </si>
  <si>
    <t>7a5f9747-2089-3eb5-9890-adc947a8d6c4</t>
  </si>
  <si>
    <t>Electricity, production mix {CN}</t>
  </si>
  <si>
    <t>dfbfee49-2137-3d20-937b-e34d0e0edacd</t>
  </si>
  <si>
    <t>Electricity, production mix {CO}</t>
  </si>
  <si>
    <t>78993990-3016-3afb-9c29-3b147ff290d2</t>
  </si>
  <si>
    <t>Electricity, production mix {CZ}</t>
  </si>
  <si>
    <t>5cd520e8-88c2-3d70-a3a0-d50cc2befd45</t>
  </si>
  <si>
    <t>Electricity, production mix {DE}</t>
  </si>
  <si>
    <t>7239749d-810d-3b25-a84d-9966d18c4b36</t>
  </si>
  <si>
    <t>Electricity, production mix {DK}</t>
  </si>
  <si>
    <t>6793e034-47bc-3803-8530-f4ebc4447678</t>
  </si>
  <si>
    <t>Electricity, production mix {DZ}</t>
  </si>
  <si>
    <t>72eef7dd-c237-3c4f-90ad-5c7cd5142657</t>
  </si>
  <si>
    <t>Electricity, production mix {EE}</t>
  </si>
  <si>
    <t>a52f3b01-a9a0-3379-b5c4-74e61a12a55e</t>
  </si>
  <si>
    <t>Electricity, production mix {EG}</t>
  </si>
  <si>
    <t>649faa62-59ca-31ba-be2e-6eb0c479dd25</t>
  </si>
  <si>
    <t>Electricity, production mix {ENTSO-E}</t>
  </si>
  <si>
    <t>290844ec-8f4e-45b2-b4f8-845a777e83a7</t>
  </si>
  <si>
    <t>Electricity, production mix {ES}</t>
  </si>
  <si>
    <t>802ad76d-32f8-33d7-aee7-32354f8276cc</t>
  </si>
  <si>
    <t>Electricity, production mix {ET}</t>
  </si>
  <si>
    <t>0f74d230-4271-38bd-888b-6a9dfe664d09</t>
  </si>
  <si>
    <t>Electricity, production mix {FI}</t>
  </si>
  <si>
    <t>d1a150a3-c15c-314f-8d55-3f6157ad4c15</t>
  </si>
  <si>
    <t>Electricity, production mix {FR}</t>
  </si>
  <si>
    <t>fe4e545c-6c31-3fc4-b256-97ae214eaf2f</t>
  </si>
  <si>
    <t>Electricity, production mix {GB}</t>
  </si>
  <si>
    <t>d476b242-67c9-3aa6-be3e-3232c55fdea9</t>
  </si>
  <si>
    <t>Electricity, production mix {GLO}</t>
  </si>
  <si>
    <t>2ec62ea6-8a5e-3164-94d0-55a157b8d228</t>
  </si>
  <si>
    <t>Electricity, production mix {GR}</t>
  </si>
  <si>
    <t>bd6131ac-acde-34f5-86a3-b8beee97fa38</t>
  </si>
  <si>
    <t>Electricity, production mix {HR}</t>
  </si>
  <si>
    <t>38705bf2-ace2-33cc-9405-bec9e4c3d9fe</t>
  </si>
  <si>
    <t>Electricity, production mix {HU}</t>
  </si>
  <si>
    <t>5899f3bf-ca7a-3727-8f53-4f0e5599d810</t>
  </si>
  <si>
    <t>Electricity, production mix {ID}</t>
  </si>
  <si>
    <t>a8e1b8a9-a6a9-3404-aecf-d397da57a1c2</t>
  </si>
  <si>
    <t>Electricity, production mix {IE}</t>
  </si>
  <si>
    <t>55bc847a-dbaa-3c94-8e97-fe4933497b49</t>
  </si>
  <si>
    <t>Electricity, production mix {IL}</t>
  </si>
  <si>
    <t>473fe220-760b-3bec-b817-9fd9f8cba585</t>
  </si>
  <si>
    <t>Electricity, production mix {IN}</t>
  </si>
  <si>
    <t>9eab59b7-6fc4-3c7b-acd4-72be64861840</t>
  </si>
  <si>
    <t>Electricity, production mix {IQ}</t>
  </si>
  <si>
    <t>bbe576e8-23b6-3c00-9155-46dfffc46d5e</t>
  </si>
  <si>
    <t>Electricity, production mix {IR}</t>
  </si>
  <si>
    <t>26d915b8-4c4e-3b90-b305-454d53839594</t>
  </si>
  <si>
    <t>Electricity, production mix {IS}</t>
  </si>
  <si>
    <t>eb570622-7f11-3963-b509-7460b9d841ec</t>
  </si>
  <si>
    <t>Electricity, production mix {IT}</t>
  </si>
  <si>
    <t>547b0a15-2d3b-3499-8814-7b964f004b34</t>
  </si>
  <si>
    <t>Electricity, production mix {JP}</t>
  </si>
  <si>
    <t>24dbe27b-ef84-39d4-ba22-04664a92b5b9</t>
  </si>
  <si>
    <t>Electricity, production mix {KR}</t>
  </si>
  <si>
    <t>9434b8cc-355e-384b-8dd1-d55d143878cb</t>
  </si>
  <si>
    <t>Electricity, production mix {KZ}</t>
  </si>
  <si>
    <t>375437cb-67d8-3aef-8403-984c741dde37</t>
  </si>
  <si>
    <t>Electricity, production mix {LT}</t>
  </si>
  <si>
    <t>c56cd5d9-5d96-3c19-be27-b0f0c8c2acb9</t>
  </si>
  <si>
    <t>Electricity, production mix {LU}</t>
  </si>
  <si>
    <t>381d7ed0-9bd5-39f1-9a2b-478ba771ad22</t>
  </si>
  <si>
    <t>Electricity, production mix {LV}</t>
  </si>
  <si>
    <t>23f7bf84-3520-3d03-bc90-0d0536d4d3b1</t>
  </si>
  <si>
    <t>Electricity, production mix {MA}</t>
  </si>
  <si>
    <t>ac530f3e-a238-3db6-b1f4-64de6244ff3f</t>
  </si>
  <si>
    <t>Electricity, production mix {MK}</t>
  </si>
  <si>
    <t>d63284c6-2684-3ef2-a720-5fb1b0a4cb98</t>
  </si>
  <si>
    <t>Electricity, production mix {MX}</t>
  </si>
  <si>
    <t>b12e1295-ac29-3cde-b732-ee1fcf9eef71</t>
  </si>
  <si>
    <t>Electricity, production mix {MY}</t>
  </si>
  <si>
    <t>82737497-435f-32d0-ac5c-b371f1b0ca5b</t>
  </si>
  <si>
    <t>Electricity, production mix {NG}</t>
  </si>
  <si>
    <t>1842cbdd-181e-3079-8240-ae687e5b2bff</t>
  </si>
  <si>
    <t>Electricity, production mix {NL}</t>
  </si>
  <si>
    <t>5b3b968c-8f0c-3738-a99a-d5c32ebfb45f</t>
  </si>
  <si>
    <t>Electricity, production mix {NO}</t>
  </si>
  <si>
    <t>3ad60b2d-2396-3b41-96f3-c129f872c2f1</t>
  </si>
  <si>
    <t>Electricity, production mix {NZ}</t>
  </si>
  <si>
    <t>81ab4f2e-6df5-3fe1-b0ff-7ccd69f1e0d5</t>
  </si>
  <si>
    <t>Electricity, production mix {PE}</t>
  </si>
  <si>
    <t>238c933b-8e3c-3c6e-8f72-93007cd689ee</t>
  </si>
  <si>
    <t>Electricity, production mix {PH}</t>
  </si>
  <si>
    <t>47a787ab-af41-3b82-813b-1de539911633</t>
  </si>
  <si>
    <t>Electricity, production mix {PK}</t>
  </si>
  <si>
    <t>abe96392-2398-331b-af69-86b8b0f94dd8</t>
  </si>
  <si>
    <t>Electricity, production mix {PL}</t>
  </si>
  <si>
    <t>a8578913-4d94-3baf-bd0e-e862a220826b</t>
  </si>
  <si>
    <t>Electricity, production mix {PT}</t>
  </si>
  <si>
    <t>76cf8900-5cd2-3039-8f00-591835fb0f13</t>
  </si>
  <si>
    <t>Electricity, production mix {QA}</t>
  </si>
  <si>
    <t>48820d15-f58e-3bf4-b59e-4ded44d22ed7</t>
  </si>
  <si>
    <t>Electricity, production mix {RAF}</t>
  </si>
  <si>
    <t>26f2d1d6-0ec6-316b-9a46-45eb923bf715</t>
  </si>
  <si>
    <t>Electricity, production mix {RAS}</t>
  </si>
  <si>
    <t>2f23cadb-1e5c-39f4-9d50-b283abcd0a57</t>
  </si>
  <si>
    <t>Electricity, production mix {RER}</t>
  </si>
  <si>
    <t>9810926e-492f-30d9-9e88-29a4afff3bb6</t>
  </si>
  <si>
    <t>Electricity, production mix {RLA}</t>
  </si>
  <si>
    <t>7a7e4a48-a98b-3e18-a1b2-ad244bf11515</t>
  </si>
  <si>
    <t>Electricity, production mix {RME}</t>
  </si>
  <si>
    <t>f8c493da-6a73-3b10-9c44-0378c037a423</t>
  </si>
  <si>
    <t>Electricity, production mix {RNA}</t>
  </si>
  <si>
    <t>6c564b0f-b245-3217-a5a7-2f75fa9f8adc</t>
  </si>
  <si>
    <t>Electricity, production mix {RO}</t>
  </si>
  <si>
    <t>ed30283f-f6e0-3b05-ab78-7149b9fdbd0d</t>
  </si>
  <si>
    <t>Electricity, production mix {RS}</t>
  </si>
  <si>
    <t>de1dbae2-987c-3ac0-8db2-a7b8be37b186</t>
  </si>
  <si>
    <t>Electricity, production mix {RU}</t>
  </si>
  <si>
    <t>65d4e1ab-c84e-39a1-a60a-2dab5538cefc</t>
  </si>
  <si>
    <t>Electricity, production mix {SA}</t>
  </si>
  <si>
    <t>145ccdb9-4ecf-3092-a3fe-b64f7752ffa5</t>
  </si>
  <si>
    <t>Electricity, production mix {SE}</t>
  </si>
  <si>
    <t>ac4949f6-1e94-3f9f-a692-540f1a788a91</t>
  </si>
  <si>
    <t>Electricity, production mix {SG}</t>
  </si>
  <si>
    <t>59a8c91e-f4cd-39f6-be1d-112384c9561c</t>
  </si>
  <si>
    <t>Electricity, production mix {SI}</t>
  </si>
  <si>
    <t>c7a4b334-a9f6-3840-8eb3-87ccdd283993</t>
  </si>
  <si>
    <t>Electricity, production mix {SK}</t>
  </si>
  <si>
    <t>c45ea3d5-5a8f-37c7-8aa7-918db9a58a7a</t>
  </si>
  <si>
    <t>Electricity, production mix {TH}</t>
  </si>
  <si>
    <t>3ecb36cf-5ff1-39cf-a987-b02d95c9226c</t>
  </si>
  <si>
    <t>Electricity, production mix {TN}</t>
  </si>
  <si>
    <t>4dd297ea-af42-3313-8711-a25613855fdd</t>
  </si>
  <si>
    <t>Electricity, production mix {TR}</t>
  </si>
  <si>
    <t>8446f9f9-dc69-3c38-8330-6e53067c4259</t>
  </si>
  <si>
    <t>Electricity, production mix {TW}</t>
  </si>
  <si>
    <t>f0d02a99-3fd2-3dc0-ad81-72d217f671c5</t>
  </si>
  <si>
    <t>Electricity, production mix {TZ}</t>
  </si>
  <si>
    <t>e3d36177-3f3e-3e3b-bc9e-98cf7ec625da</t>
  </si>
  <si>
    <t>Electricity, production mix {UA}</t>
  </si>
  <si>
    <t>c848a461-9a8e-3c2e-aa9c-86f877d47056</t>
  </si>
  <si>
    <t>Electricity, production mix {US}</t>
  </si>
  <si>
    <t>58c47f1d-3fad-3a13-9caf-27490c433060</t>
  </si>
  <si>
    <t>Electricity, production mix {VN}</t>
  </si>
  <si>
    <t>f7c34a1f-295f-3f3f-aef9-05084bee5ef9</t>
  </si>
  <si>
    <t>Electricity, production mix {ZA}</t>
  </si>
  <si>
    <t>6c8ac502-c6c3-315d-b1b6-23694fbc0242</t>
  </si>
  <si>
    <t>Electricity, production mix CH {CH}</t>
  </si>
  <si>
    <t>50d4ab1d-354a-302a-9de7-9e1410783092</t>
  </si>
  <si>
    <t>Electricity, production mix NORDEL {NORDEL}</t>
  </si>
  <si>
    <t>9565ff56-c6d9-3bb5-b10b-9046cd64ffaa</t>
  </si>
  <si>
    <t>Electricity, production mix photovoltaic, at plant {AT}</t>
  </si>
  <si>
    <t>377a7d5d-c39a-3e60-a106-0739a0f45e32</t>
  </si>
  <si>
    <t>Electricity, production mix photovoltaic, at plant {AU}</t>
  </si>
  <si>
    <t>5468106e-1510-3912-b014-852c66250362</t>
  </si>
  <si>
    <t>Electricity, production mix photovoltaic, at plant {BE}</t>
  </si>
  <si>
    <t>1aebffab-b9cb-30b8-9c38-0be5406a8fa0</t>
  </si>
  <si>
    <t>Electricity, production mix photovoltaic, at plant {CA}</t>
  </si>
  <si>
    <t>4183e03e-4e1a-3acf-bed7-9ba0a99030c6</t>
  </si>
  <si>
    <t>Electricity, production mix photovoltaic, at plant {CH}</t>
  </si>
  <si>
    <t>d2ecb765-db25-37a5-b678-26606f6e2cf1</t>
  </si>
  <si>
    <t>Electricity, production mix photovoltaic, at plant {CL}</t>
  </si>
  <si>
    <t>50a3ea68-73e2-3a25-b1c8-0564f712a75c</t>
  </si>
  <si>
    <t>Electricity, production mix photovoltaic, at plant {CN}</t>
  </si>
  <si>
    <t>a46fb984-8d73-36bd-a702-85533ecee76d</t>
  </si>
  <si>
    <t>Electricity, production mix photovoltaic, at plant {CZ}</t>
  </si>
  <si>
    <t>b7434dd9-1e33-30a3-b9f4-a2ed1f1357e4</t>
  </si>
  <si>
    <t>Electricity, production mix photovoltaic, at plant {DE}</t>
  </si>
  <si>
    <t>98d8c27e-4603-3c15-b75a-fe61a5997d33</t>
  </si>
  <si>
    <t>Electricity, production mix photovoltaic, at plant {DK}</t>
  </si>
  <si>
    <t>98c2f03e-61a7-3093-9540-f1b88f2fdf99</t>
  </si>
  <si>
    <t>Electricity, production mix photovoltaic, at plant {ES}</t>
  </si>
  <si>
    <t>c37e1028-858d-3bbb-a52b-443561fa9c72</t>
  </si>
  <si>
    <t>Electricity, production mix photovoltaic, at plant {FI}</t>
  </si>
  <si>
    <t>6c1b7e50-a37d-3fe9-a0e7-505923633f09</t>
  </si>
  <si>
    <t>Electricity, production mix photovoltaic, at plant {FR}</t>
  </si>
  <si>
    <t>cffe4292-f7c8-3891-a83d-7c1529c3ff78</t>
  </si>
  <si>
    <t>Electricity, production mix photovoltaic, at plant {GB}</t>
  </si>
  <si>
    <t>0e4ea7c2-8e72-3658-b30d-f88ac17366f8</t>
  </si>
  <si>
    <t>Electricity, production mix photovoltaic, at plant {GR}</t>
  </si>
  <si>
    <t>f8b48385-6499-3f14-8004-42e748edcd2d</t>
  </si>
  <si>
    <t>Electricity, production mix photovoltaic, at plant {HU}</t>
  </si>
  <si>
    <t>34260a79-7235-3fe0-bed1-4d88c646d484</t>
  </si>
  <si>
    <t>Electricity, production mix photovoltaic, at plant {IE}</t>
  </si>
  <si>
    <t>abb5756e-522b-3f5e-95b8-4b21e31a55d7</t>
  </si>
  <si>
    <t>Electricity, production mix photovoltaic, at plant {IL}</t>
  </si>
  <si>
    <t>1ebb9406-55bd-3e51-98ff-f4f2c482f286</t>
  </si>
  <si>
    <t>Electricity, production mix photovoltaic, at plant {IT}</t>
  </si>
  <si>
    <t>aef63a73-dad2-3f17-9e8f-35e8e91cdd81</t>
  </si>
  <si>
    <t>Electricity, production mix photovoltaic, at plant {JP}</t>
  </si>
  <si>
    <t>3757058d-2596-3b1b-8cbb-1b2556bd1c57</t>
  </si>
  <si>
    <t>Electricity, production mix photovoltaic, at plant {KR}</t>
  </si>
  <si>
    <t>4aa664d4-0541-3f11-b579-98a9156f3dc3</t>
  </si>
  <si>
    <t>Electricity, production mix photovoltaic, at plant {LU}</t>
  </si>
  <si>
    <t>8ad18206-854f-3686-b52d-d32b2ebedfb7</t>
  </si>
  <si>
    <t>Electricity, production mix photovoltaic, at plant {MX}</t>
  </si>
  <si>
    <t>c5497f52-a5e4-3da9-8b20-fb829ed78b31</t>
  </si>
  <si>
    <t>Electricity, production mix photovoltaic, at plant {MY}</t>
  </si>
  <si>
    <t>a365e4a6-f49d-3d37-8273-0761b8a640a0</t>
  </si>
  <si>
    <t>Electricity, production mix photovoltaic, at plant {NL}</t>
  </si>
  <si>
    <t>9d73dbba-69c9-3b9b-a7c2-63be328479e9</t>
  </si>
  <si>
    <t>Electricity, production mix photovoltaic, at plant {NO}</t>
  </si>
  <si>
    <t>16fe6704-9ef1-3ba5-86da-ddff085eae08</t>
  </si>
  <si>
    <t>Electricity, production mix photovoltaic, at plant {NZ}</t>
  </si>
  <si>
    <t>79016921-f24f-3160-abe4-c9bbf8b564e2</t>
  </si>
  <si>
    <t>Electricity, production mix photovoltaic, at plant {PT}</t>
  </si>
  <si>
    <t>a52c8862-1050-31e2-9b0e-aecf5c0ba357</t>
  </si>
  <si>
    <t>Electricity, production mix photovoltaic, at plant {SE}</t>
  </si>
  <si>
    <t>aacb9404-aa84-3770-afcc-089920851b27</t>
  </si>
  <si>
    <t>Electricity, production mix photovoltaic, at plant {TH}</t>
  </si>
  <si>
    <t>3d630389-4329-3cf4-8183-90568dae357d</t>
  </si>
  <si>
    <t>Electricity, production mix photovoltaic, at plant {TR}</t>
  </si>
  <si>
    <t>4a76104d-e61b-372b-ae59-d2d8cc2d24e0</t>
  </si>
  <si>
    <t>Electricity, production mix photovoltaic, at plant {US}</t>
  </si>
  <si>
    <t>69bc1ccd-1dc2-3a3f-9e59-6e06962e630d</t>
  </si>
  <si>
    <t>Electricity, production mix photovoltaic, at plant {ZA}</t>
  </si>
  <si>
    <t>7f3b81e2-200a-3e86-ae89-47f8e5a3603e</t>
  </si>
  <si>
    <t>Electricity, production mix ZA {ZA}</t>
  </si>
  <si>
    <t>1d9ed2e5-7666-3719-a728-45f43cb44c00</t>
  </si>
  <si>
    <t>Electricity, PV in PVT-System, 16.7kWp,  single-Si,  slanted-roof {CH}</t>
  </si>
  <si>
    <t>e10948cd-8c10-36ac-a10b-e7009660c5c2</t>
  </si>
  <si>
    <t>Electricity, PV, at 1.3 MWp slanted-roof, multi-Si, panel, mounted {CH}</t>
  </si>
  <si>
    <t>aa0782d6-2e7c-39d2-a1b5-68d0f9318d2b</t>
  </si>
  <si>
    <t>Electricity, PV, at 156 kWp flat-roof, multi-Si {CH}</t>
  </si>
  <si>
    <t>d1375835-c2ed-3a67-ad14-3ef445b345ee</t>
  </si>
  <si>
    <t>Electricity, PV, at 156 kWp flat-roof, single-Si {CH}</t>
  </si>
  <si>
    <t>9f8b1802-8f4c-3d11-8d3f-f130810332d4</t>
  </si>
  <si>
    <t>Electricity, PV, at 280 kWp flat-roof, multi-Si {CH}</t>
  </si>
  <si>
    <t>2e6aadf3-128f-3fca-84a1-41d72d0fdf40</t>
  </si>
  <si>
    <t>Electricity, PV, at 280 kWp flat-roof, single-Si {CH}</t>
  </si>
  <si>
    <t>115f0fa9-3fb0-3497-bcd4-7c8a8a7a5273</t>
  </si>
  <si>
    <t>Electricity, PV, at 3.5 MWp open ground, multi-Si {US}</t>
  </si>
  <si>
    <t>48d170f2-4335-3203-bf73-c4dd2606438b</t>
  </si>
  <si>
    <t>Electricity, PV, at 324 kWp flat-roof, multi-Si {DE}</t>
  </si>
  <si>
    <t>ea887e00-315c-3d29-a1fc-4aaa3191a7b3</t>
  </si>
  <si>
    <t>Electricity, PV, at 3kWp facade installation, multi-Si, panel, mounted {CH}</t>
  </si>
  <si>
    <t>fe16c5a3-afbe-32dd-944c-f4c44302730c</t>
  </si>
  <si>
    <t>Electricity, PV, at 3kWp facade installation, single-Si, panel, mounted {CH}</t>
  </si>
  <si>
    <t>26e4f210-ee55-38e5-9d85-63443354d90f</t>
  </si>
  <si>
    <t>Electricity, PV, at 3kWp facade, multi-Si, laminated, integrated {CH}</t>
  </si>
  <si>
    <t>e807e6a7-3b90-3dbd-b05e-05a24ea2a411</t>
  </si>
  <si>
    <t>Electricity, PV, at 3kWp facade, single-Si, laminated, integrated {CH}</t>
  </si>
  <si>
    <t>9ec6c9fb-cefe-3a97-ac98-a5ae8a9b07d0</t>
  </si>
  <si>
    <t>Electricity, PV, at 3kWp flat roof installation, multi-Si {CH}</t>
  </si>
  <si>
    <t>3ee53b90-021d-3fa3-b3d7-450fa30f1bc7</t>
  </si>
  <si>
    <t>Electricity, PV, at 3kWp flat roof installation, single-Si {CH}</t>
  </si>
  <si>
    <t>6d04432e-4dd5-3441-91a4-f98ba65766d0</t>
  </si>
  <si>
    <t>Electricity, PV, at 3kWp slanted-roof, a-Si, lam., integrated {CH}</t>
  </si>
  <si>
    <t>4f6e0607-392c-37aa-b17c-92ab5c43c2db</t>
  </si>
  <si>
    <t>Electricity, PV, at 3kWp slanted-roof, a-Si, panel, mounted {CH}</t>
  </si>
  <si>
    <t>2b979cc9-d939-3be0-9fb0-363a95828efa</t>
  </si>
  <si>
    <t>Electricity, PV, at 3kWp slanted-roof, CdTe, laminated, integrated {CH}</t>
  </si>
  <si>
    <t>8d9bb3b1-5c0e-3633-bc92-9630ff9b3949</t>
  </si>
  <si>
    <t>Electricity, PV, at 3kWp slanted-roof, CdTe, panel, mounted {CH}</t>
  </si>
  <si>
    <t>27c55801-6887-385f-a254-de67ce14dc11</t>
  </si>
  <si>
    <t>Electricity, PV, at 3kWp slanted-roof, CIS, laminated, integrated {CH}</t>
  </si>
  <si>
    <t>f512176f-544f-36b1-814a-a7697efabd89</t>
  </si>
  <si>
    <t>Electricity, PV, at 3kWp slanted-roof, CIS, panel, mounted {CH}</t>
  </si>
  <si>
    <t>b625fe38-4310-3b91-8e6a-e66f9a9ee3fd</t>
  </si>
  <si>
    <t>Electricity, PV, at 3kWp slanted-roof, multi-Si, laminated, integrated {CH}</t>
  </si>
  <si>
    <t>e9d86e37-2fe5-392d-b48d-87ecbd77e5bf</t>
  </si>
  <si>
    <t>Electricity, PV, at 3kWp slanted-roof, multi-Si, panel, mounted {CH}</t>
  </si>
  <si>
    <t>f5c4769e-396f-3412-8a09-096dcf886188</t>
  </si>
  <si>
    <t>Electricity, PV, at 3kWp slanted-roof, ribbon-Si, lam., integrated {CH}</t>
  </si>
  <si>
    <t>72dffbdc-8b42-35d0-bebd-8ce487d8e806</t>
  </si>
  <si>
    <t>Electricity, PV, at 3kWp slanted-roof, ribbon-Si, panel, mounted {CH}</t>
  </si>
  <si>
    <t>c81a4158-b0d6-30e2-a407-e92527377347</t>
  </si>
  <si>
    <t>Electricity, PV, at 3kWp slanted-roof, single-Si, laminated, integrated {CH}</t>
  </si>
  <si>
    <t>b2eb7add-9891-3ff4-9bfe-745c2fc9123f</t>
  </si>
  <si>
    <t>Electricity, PV, at 3kWp slanted-roof, single-Si, panel, mounted {CH}</t>
  </si>
  <si>
    <t>59f4d427-7f7b-30e8-a432-9218ec1b20a2</t>
  </si>
  <si>
    <t>Electricity, PV, at 450 kWp flat-roof, single-Si {DE}</t>
  </si>
  <si>
    <t>5b6674f5-0de2-3b4e-9ccd-9478ac117655</t>
  </si>
  <si>
    <t>Electricity, PV, at 560 kWp open ground, single-Si {CH}</t>
  </si>
  <si>
    <t>9ed3eef8-ec25-3b17-8eb0-cd4556b53448</t>
  </si>
  <si>
    <t>Electricity, PV, at 569 kWp open ground, multi-Si {ES}</t>
  </si>
  <si>
    <t>66f5a4d3-740c-3e6a-8b94-f1acc534fef4</t>
  </si>
  <si>
    <t>Electricity, PV, at 570 kWp open ground, multi-Si {ES}</t>
  </si>
  <si>
    <t>6c48a312-fefb-3fc1-8982-6f336186b558</t>
  </si>
  <si>
    <t>Electricity, PV, at 93 kWp slanted-roof, multi-Si, laminated, integrated {CH}</t>
  </si>
  <si>
    <t>48c3091a-968a-372c-9244-72487c6cc606</t>
  </si>
  <si>
    <t>Electricity, PV, at 93 kWp slanted-roof, multi-Si, panel, mounted {CH}</t>
  </si>
  <si>
    <t>660db6e6-0993-3c96-bbe4-4c57a2a3ab7f</t>
  </si>
  <si>
    <t>Electricity, PV, at 93 kWp slanted-roof, single-Si, laminated, integrated {CH}</t>
  </si>
  <si>
    <t>260bec08-2122-38ea-89b3-0699c33c9f3d</t>
  </si>
  <si>
    <t>Electricity, PV, at 93 kWp slanted-roof, single-Si, panel, mounted {CH}</t>
  </si>
  <si>
    <t>9249422a-f294-37c4-9260-97e54e41695c</t>
  </si>
  <si>
    <t>Electricity, residential, by combustion of hydrogen using CHP, allocated by exergy, distributed by pipeline, produced by Auto-thermal reforming using natural gas from Switzerland {CH}</t>
  </si>
  <si>
    <t>heat\synthetic\transformation</t>
  </si>
  <si>
    <t>3d325506-f224-3475-962b-4352875acb40</t>
  </si>
  <si>
    <t>Electricity, residential, by combustion of hydrogen using CHP, allocated by exergy, distributed by pipeline, produced by Auto-thermal reforming, with CCS using natural gas from Switzerland {CH}</t>
  </si>
  <si>
    <t>c7d25614-90ef-3ad1-8618-6be0ffbe3ab0</t>
  </si>
  <si>
    <t>Electricity, residential, by combustion of hydrogen using CHP, allocated by exergy, distributed by pipeline, produced by Electrolysis, AEC using electricity from grid {CH}</t>
  </si>
  <si>
    <t>b0bd101a-4c98-3fdd-a887-b574af48d69d</t>
  </si>
  <si>
    <t>Electricity, residential, by combustion of hydrogen using CHP, allocated by exergy, distributed by pipeline, produced by Electrolysis, PEM using electricity from grid {CH}</t>
  </si>
  <si>
    <t>b46a23ba-e68a-3a09-9613-2b5b4d01f54e</t>
  </si>
  <si>
    <t>Electricity, residential, by combustion of hydrogen using CHP, allocated by exergy, distributed by pipeline, produced by Electrolysis, PEM using electricity from Solar PV + Wind (MA) {CH}</t>
  </si>
  <si>
    <t>438bc027-1cd6-3aff-ab0a-54c061c6c1d7</t>
  </si>
  <si>
    <t>Electricity, residential, by combustion of hydrogen using CHP, allocated by exergy, distributed by pipeline, produced by Electrolysis, SOEC using electricity from grid {CH}</t>
  </si>
  <si>
    <t>9beda5cc-287f-3bd7-9299-1f399acc5332</t>
  </si>
  <si>
    <t>Electricity, residential, by combustion of hydrogen using CHP, allocated by exergy, distributed by pipeline, produced by Electrolysis, SOEC with steam input using electricity from grid {CH}</t>
  </si>
  <si>
    <t>4a0e1196-ea7b-39f3-9f56-ad9abb2803a7</t>
  </si>
  <si>
    <t>Electricity, residential, by combustion of hydrogen using CHP, allocated by exergy, distributed by pipeline, produced by Pyrolysis using liquefied natural gas from Algeria {CH}</t>
  </si>
  <si>
    <t>ca76af14-98bb-3681-9f9c-94dbe105f90a</t>
  </si>
  <si>
    <t>Electricity, residential, by combustion of hydrogen using CHP, allocated by exergy, distributed by pipeline, produced by Pyrolysis using natural gas from Switzerland {CH}</t>
  </si>
  <si>
    <t>607f5d33-4736-3733-9441-bdcedfa67fe6</t>
  </si>
  <si>
    <t>Electricity, residential, by combustion of hydrogen using CHP, allocated by exergy, distributed by pipeline, produced by Steam Methane Reforming using liquefied natural gas from Algeria {CH}</t>
  </si>
  <si>
    <t>e140216d-0e2e-3e5f-9288-5baeb793d835</t>
  </si>
  <si>
    <t>Electricity, residential, by combustion of hydrogen using CHP, allocated by exergy, distributed by pipeline, produced by Steam Methane Reforming using natural gas from Switzerland {CH}</t>
  </si>
  <si>
    <t>2535c167-8954-3311-93a9-ad36b3570d02</t>
  </si>
  <si>
    <t>Electricity, residential, by combustion of hydrogen using CHP, allocated by exergy, distributed by pipeline, produced by Steam Methane Reforming, with CCS using liquefied natural gas from Algeria {CH}</t>
  </si>
  <si>
    <t>8bdbdecd-ac2f-319b-819b-e8f1b5bfb967</t>
  </si>
  <si>
    <t>Electricity, residential, by combustion of hydrogen using CHP, allocated by exergy, distributed by pipeline, produced by Steam Methane Reforming, with CCS using natural gas from Switzerland {CH}</t>
  </si>
  <si>
    <t>57aa8433-034d-3f62-8382-58ed6d517ecb</t>
  </si>
  <si>
    <t>Electricity, residential, by combustion of hydrogen using CHP, allocated by exergy, distributed by truck, produced by Electrolysis, AEC using electricity from grid {CH}</t>
  </si>
  <si>
    <t>684f680a-9d05-355e-9db3-341c0c5436a7</t>
  </si>
  <si>
    <t>Electricity, residential, by combustion of hydrogen using CHP, allocated by exergy, distributed by truck, produced by Electrolysis, PEM using electricity from grid {CH}</t>
  </si>
  <si>
    <t>a2b4f889-0d78-33db-8e54-61587531cf53</t>
  </si>
  <si>
    <t>Electricity, residential, by combustion of hydrogen using CHP, allocated by exergy, distributed by truck, produced by Electrolysis, SOEC using electricity from grid {CH}</t>
  </si>
  <si>
    <t>820f92cb-7853-3ab9-b159-e7ff8c2c0651</t>
  </si>
  <si>
    <t>Electricity, residential, by combustion of hydrogen using CHP, allocated by exergy, distributed by truck, produced by Electrolysis, SOEC with steam input using electricity from grid {CH}</t>
  </si>
  <si>
    <t>ec876ea1-f748-3899-b9e7-d3b8f5929d95</t>
  </si>
  <si>
    <t>Electricity, residential, by conversion of hydrogen using fuel cell, PEM, allocated by exergy, distributed by pipeline, produced by Auto-thermal reforming using natural gas from Switzerland {CH}</t>
  </si>
  <si>
    <t>23a55f41-787f-33a7-84e2-50b5959dbe54</t>
  </si>
  <si>
    <t>Electricity, residential, by conversion of hydrogen using fuel cell, PEM, allocated by exergy, distributed by pipeline, produced by Auto-thermal reforming, with CCS using natural gas from Switzerland {CH}</t>
  </si>
  <si>
    <t>581c417d-609e-309b-918c-b236852843f4</t>
  </si>
  <si>
    <t>Electricity, residential, by conversion of hydrogen using fuel cell, PEM, allocated by exergy, distributed by pipeline, produced by Electrolysis, AEC using electricity from grid {CH}</t>
  </si>
  <si>
    <t>00737c31-6bf3-3952-a6db-81dc64aa69b3</t>
  </si>
  <si>
    <t>Electricity, residential, by conversion of hydrogen using fuel cell, PEM, allocated by exergy, distributed by pipeline, produced by Electrolysis, PEM using electricity from grid {CH}</t>
  </si>
  <si>
    <t>8df2fee3-9936-3a02-8513-32004640d4ca</t>
  </si>
  <si>
    <t>Electricity, residential, by conversion of hydrogen using fuel cell, PEM, allocated by exergy, distributed by pipeline, produced by Electrolysis, PEM using electricity from Solar PV + Wind (MA) {CH}</t>
  </si>
  <si>
    <t>3ad53529-7aea-3aa6-8590-33ebfbcdfd58</t>
  </si>
  <si>
    <t>Electricity, residential, by conversion of hydrogen using fuel cell, PEM, allocated by exergy, distributed by pipeline, produced by Electrolysis, SOEC using electricity from grid {CH}</t>
  </si>
  <si>
    <t>6e0417cc-0813-3134-aa44-416977fb4b55</t>
  </si>
  <si>
    <t>Electricity, residential, by conversion of hydrogen using fuel cell, PEM, allocated by exergy, distributed by pipeline, produced by Electrolysis, SOEC with steam input using electricity from grid {CH}</t>
  </si>
  <si>
    <t>ab9f4f6c-4c71-3da2-aafb-e6aef59e0ed8</t>
  </si>
  <si>
    <t>Electricity, residential, by conversion of hydrogen using fuel cell, PEM, allocated by exergy, distributed by pipeline, produced by Pyrolysis using liquefied natural gas from Algeria {CH}</t>
  </si>
  <si>
    <t>6ba615ac-d91e-3aba-865c-a7f53fd028d2</t>
  </si>
  <si>
    <t>Electricity, residential, by conversion of hydrogen using fuel cell, PEM, allocated by exergy, distributed by pipeline, produced by Pyrolysis using natural gas from Switzerland {CH}</t>
  </si>
  <si>
    <t>86fdf9eb-bd0f-32f6-9d9e-51760e2e9f27</t>
  </si>
  <si>
    <t>Electricity, residential, by conversion of hydrogen using fuel cell, PEM, allocated by exergy, distributed by pipeline, produced by Steam Methane Reforming using liquefied natural gas from Algeria {CH}</t>
  </si>
  <si>
    <t>9840455a-0a3a-3a0f-9e47-7cf3ec51bcd3</t>
  </si>
  <si>
    <t>Electricity, residential, by conversion of hydrogen using fuel cell, PEM, allocated by exergy, distributed by pipeline, produced by Steam Methane Reforming using natural gas from Switzerland {CH}</t>
  </si>
  <si>
    <t>3de61cda-abcd-35b8-a873-b0c239beb1a6</t>
  </si>
  <si>
    <t>Electricity, residential, by conversion of hydrogen using fuel cell, PEM, allocated by exergy, distributed by pipeline, produced by Steam Methane Reforming, with CCS using liquefied natural gas from Algeria {CH}</t>
  </si>
  <si>
    <t>eca8dbdb-6fc4-3257-8ffc-eccec9a3bdc5</t>
  </si>
  <si>
    <t>Electricity, residential, by conversion of hydrogen using fuel cell, PEM, allocated by exergy, distributed by pipeline, produced by Steam Methane Reforming, with CCS using natural gas from Switzerland {CH}</t>
  </si>
  <si>
    <t>573eef07-7ee5-3f64-9289-96ccfa165b21</t>
  </si>
  <si>
    <t>Electricity, residential, by conversion of hydrogen using fuel cell, PEM, allocated by exergy, distributed by truck, produced by Electrolysis, AEC using electricity from grid {CH}</t>
  </si>
  <si>
    <t>13eafdfa-3a13-3107-841b-7d4ab54cee72</t>
  </si>
  <si>
    <t>Electricity, residential, by conversion of hydrogen using fuel cell, PEM, allocated by exergy, distributed by truck, produced by Electrolysis, PEM using electricity from grid {CH}</t>
  </si>
  <si>
    <t>09fd443a-a40d-321a-bb95-b5d61ef2d3b5</t>
  </si>
  <si>
    <t>Electricity, residential, by conversion of hydrogen using fuel cell, PEM, allocated by exergy, distributed by truck, produced by Electrolysis, SOEC using electricity from grid {CH}</t>
  </si>
  <si>
    <t>afef6620-dd44-3fea-a698-71b9dbef57a3</t>
  </si>
  <si>
    <t>Electricity, residential, by conversion of hydrogen using fuel cell, PEM, allocated by exergy, distributed by truck, produced by Electrolysis, SOEC with steam input using electricity from grid {CH}</t>
  </si>
  <si>
    <t>703c04e0-6eac-3804-90bc-c63ee19b01a1</t>
  </si>
  <si>
    <t>Electricity, residential, by conversion of hydrogen using fuel cell, SOFC, allocated by exergy, distributed by pipeline, produced by Auto-thermal reforming using natural gas from Switzerland {CH}</t>
  </si>
  <si>
    <t>916ca01a-aaf0-35d2-a262-d2752c1f87f2</t>
  </si>
  <si>
    <t>Electricity, residential, by conversion of hydrogen using fuel cell, SOFC, allocated by exergy, distributed by pipeline, produced by Auto-thermal reforming, with CCS using natural gas from Switzerland {CH}</t>
  </si>
  <si>
    <t>f4d164d7-609d-3bcb-9e5e-5a47d8d34911</t>
  </si>
  <si>
    <t>Electricity, residential, by conversion of hydrogen using fuel cell, SOFC, allocated by exergy, distributed by pipeline, produced by Electrolysis, AEC using electricity from grid {CH}</t>
  </si>
  <si>
    <t>fc8236d2-5b90-30d6-be91-f29d98d0bf94</t>
  </si>
  <si>
    <t>Electricity, residential, by conversion of hydrogen using fuel cell, SOFC, allocated by exergy, distributed by pipeline, produced by Electrolysis, PEM using electricity from grid {CH}</t>
  </si>
  <si>
    <t>f0b80b65-ba18-3606-a226-bba1302c3faa</t>
  </si>
  <si>
    <t>Electricity, residential, by conversion of hydrogen using fuel cell, SOFC, allocated by exergy, distributed by pipeline, produced by Electrolysis, PEM using electricity from Solar PV + Wind (MA) {CH}</t>
  </si>
  <si>
    <t>2b3939c6-15cb-3ee0-9e01-293d32716f9f</t>
  </si>
  <si>
    <t>Electricity, residential, by conversion of hydrogen using fuel cell, SOFC, allocated by exergy, distributed by pipeline, produced by Electrolysis, SOEC using electricity from grid {CH}</t>
  </si>
  <si>
    <t>2147c0d2-ebb1-3b4d-84db-3f8896a25ab3</t>
  </si>
  <si>
    <t>Electricity, residential, by conversion of hydrogen using fuel cell, SOFC, allocated by exergy, distributed by pipeline, produced by Electrolysis, SOEC with steam input using electricity from grid {CH}</t>
  </si>
  <si>
    <t>d1897824-8bb9-3a64-8616-7a03cbffa645</t>
  </si>
  <si>
    <t>Electricity, residential, by conversion of hydrogen using fuel cell, SOFC, allocated by exergy, distributed by pipeline, produced by Pyrolysis using liquefied natural gas from Algeria {CH}</t>
  </si>
  <si>
    <t>71cf5e88-6f99-3dff-a626-171d53760c6e</t>
  </si>
  <si>
    <t>Electricity, residential, by conversion of hydrogen using fuel cell, SOFC, allocated by exergy, distributed by pipeline, produced by Pyrolysis using natural gas from Switzerland {CH}</t>
  </si>
  <si>
    <t>ad3d4f96-9f9e-3656-ba8d-2eb38056aa55</t>
  </si>
  <si>
    <t>Electricity, residential, by conversion of hydrogen using fuel cell, SOFC, allocated by exergy, distributed by pipeline, produced by Steam Methane Reforming using liquefied natural gas from Algeria {CH}</t>
  </si>
  <si>
    <t>0cfd3dce-9573-33f4-aaed-cc1e117d5f9c</t>
  </si>
  <si>
    <t>Electricity, residential, by conversion of hydrogen using fuel cell, SOFC, allocated by exergy, distributed by pipeline, produced by Steam Methane Reforming using natural gas from Switzerland {CH}</t>
  </si>
  <si>
    <t>8d43df76-2376-3216-9236-1eb4040615f5</t>
  </si>
  <si>
    <t>Electricity, residential, by conversion of hydrogen using fuel cell, SOFC, allocated by exergy, distributed by pipeline, produced by Steam Methane Reforming, with CCS using liquefied natural gas from Algeria {CH}</t>
  </si>
  <si>
    <t>c6ef276d-0fc2-3c8c-bc3b-08718755ab75</t>
  </si>
  <si>
    <t>Electricity, residential, by conversion of hydrogen using fuel cell, SOFC, allocated by exergy, distributed by pipeline, produced by Steam Methane Reforming, with CCS using natural gas from Switzerland {CH}</t>
  </si>
  <si>
    <t>5a0a0fd4-ebf4-33b1-bf60-b391fce87ba9</t>
  </si>
  <si>
    <t>Electricity, residential, by conversion of hydrogen using fuel cell, SOFC, allocated by exergy, distributed by truck, produced by Electrolysis, AEC using electricity from grid {CH}</t>
  </si>
  <si>
    <t>87de0233-decf-3f44-a135-d87acf98429d</t>
  </si>
  <si>
    <t>Electricity, residential, by conversion of hydrogen using fuel cell, SOFC, allocated by exergy, distributed by truck, produced by Electrolysis, PEM using electricity from grid {CH}</t>
  </si>
  <si>
    <t>31bde594-35a7-32c6-a986-30b8d3c6eb63</t>
  </si>
  <si>
    <t>Electricity, residential, by conversion of hydrogen using fuel cell, SOFC, allocated by exergy, distributed by truck, produced by Electrolysis, SOEC using electricity from grid {CH}</t>
  </si>
  <si>
    <t>a6b5752d-b312-307b-83cf-698c54a01dc0</t>
  </si>
  <si>
    <t>Electricity, residential, by conversion of hydrogen using fuel cell, SOFC, allocated by exergy, distributed by truck, produced by Electrolysis, SOEC with steam input using electricity from grid {CH}</t>
  </si>
  <si>
    <t>1c6f5aeb-5845-3d87-9e9a-59434fd00013</t>
  </si>
  <si>
    <t>Electricity, residential, by conversion of methanol using fuel cell, DMFC allocated by exergy, distributed by truck, produced by Electrolysis, PEM using electricity from grid and carbon sourced from Cement plant (100:0 alloc.) {CH}</t>
  </si>
  <si>
    <t>2ccd7859-0778-3671-88ad-1dde013fbfe5</t>
  </si>
  <si>
    <t>Electricity, residential, by conversion of methanol using fuel cell, DMFC allocated by exergy, distributed by truck, produced by Electrolysis, PEM using electricity from grid and carbon sourced from DAC {CH}</t>
  </si>
  <si>
    <t>98d2020d-4f0d-31be-8243-214622fdc72f</t>
  </si>
  <si>
    <t>Electricity, residential, by conversion of methanol using fuel cell, DMFC allocated by exergy, distributed by truck, produced by Electrolysis, PEM using electricity from grid and carbon sourced from MSWI (100:0 alloc.) {CH}</t>
  </si>
  <si>
    <t>87cc630d-0840-30de-834a-f3592164520c</t>
  </si>
  <si>
    <t>Electricity, residential, by conversion of methanol using fuel cell, DMFC allocated by exergy, distributed by truck, produced by Electrolysis, PEM using electricity from grid and carbon sourced from MSWI, with heat recovery (100:0 alloc.) {CH}</t>
  </si>
  <si>
    <t>dd854a1a-c443-356f-93d1-eb209a46fbe6</t>
  </si>
  <si>
    <t>Electricity, residential, by conversion of methanol using fuel cell, DMFC allocated by exergy, distributed by truck, produced by Electrolysis, PEM using electricity from Solar PV + Wind (MA) and carbon sourced from DAC {CH}</t>
  </si>
  <si>
    <t>e56327cf-e1eb-3ecd-a056-462f22241288</t>
  </si>
  <si>
    <t>Electricity, residual mix {CH}</t>
  </si>
  <si>
    <t>d1d1da4e-872e-31a3-9232-364044fde30f</t>
  </si>
  <si>
    <t>Electricity, supply mix GO {CH}</t>
  </si>
  <si>
    <t>7981d0dd-f80c-3508-8ba2-45cd7d99326a</t>
  </si>
  <si>
    <t>Electrode, negative, Ni, at plant {GLO}</t>
  </si>
  <si>
    <t>3cd438b7-bfc2-3000-8e6a-f6f86ba93f54</t>
  </si>
  <si>
    <t>Electrode, positive, LaNi5, at plant {GLO}</t>
  </si>
  <si>
    <t>bba5a68c-a2eb-34ee-94aa-5f3ffb278be8</t>
  </si>
  <si>
    <t>Electrolyte {GLO}</t>
  </si>
  <si>
    <t>a6507ee7-8da4-3819-ab32-69e21a82e1b1</t>
  </si>
  <si>
    <t>Electrolyte, KOH, LiOH additive, at plant {GLO}</t>
  </si>
  <si>
    <t>00240fd1-4fb6-3602-9d37-176288c85424</t>
  </si>
  <si>
    <t>Electrolyte, LFP {JP}</t>
  </si>
  <si>
    <t>52d287a1-d8f4-3491-b793-bb2b58fc18ef</t>
  </si>
  <si>
    <t>Electrolyte, LiPF6, at plant {RAS}</t>
  </si>
  <si>
    <t>d61d0390-b11c-3731-84dc-1da943837e27</t>
  </si>
  <si>
    <t>Electrolyte, LTO {JP}</t>
  </si>
  <si>
    <t>68ba92fb-353b-3e24-8b35-1c88ae1bd4c7</t>
  </si>
  <si>
    <t>Electrolyte, NCA {JP}</t>
  </si>
  <si>
    <t>f05d36b0-d25a-3204-9b60-a3190975c56a</t>
  </si>
  <si>
    <t>Electrolyzer production, 1MWe, AEC, Balance of Plant {RER}</t>
  </si>
  <si>
    <t>ec3912ad-d37f-3bb2-9f47-f1aff5b50f95</t>
  </si>
  <si>
    <t>Electrolyzer production, 1MWe, AEC, Stack {RER}</t>
  </si>
  <si>
    <t>ce312a7a-051e-3bce-a811-76e8661af2d0</t>
  </si>
  <si>
    <t>Electrolyzer production, 1MWe, PEM, Balance of Plant {RER}</t>
  </si>
  <si>
    <t>102ea13b-a309-3dc1-8ec4-cb6af7703e08</t>
  </si>
  <si>
    <t>Electrolyzer production, 1MWe, PEM, Stack {RER}</t>
  </si>
  <si>
    <t>f096f1ce-c80e-3dc4-89e2-d207aa45f336</t>
  </si>
  <si>
    <t>Electrolyzer production, 1MWe, SOEC, Balance of Plant {RER}</t>
  </si>
  <si>
    <t>a368d09e-a6f7-384d-a9f7-3f353d50948f</t>
  </si>
  <si>
    <t>Electrolyzer production, 1MWe, SOEC, Stack {RER}</t>
  </si>
  <si>
    <t>83908945-c01e-33ee-aa47-4fd3a4ab9730</t>
  </si>
  <si>
    <t>Electron gun, for CRT tube production, at plant {GLO}</t>
  </si>
  <si>
    <t>3c8a5468-6468-3c6d-9636-6cac45670fc1</t>
  </si>
  <si>
    <t>ba22510f-168d-3421-a40f-101f0429eb4b</t>
  </si>
  <si>
    <t>Electronic component production plant {GLO}</t>
  </si>
  <si>
    <t>132d38e7-b07e-30a8-8d66-fe05434e2256</t>
  </si>
  <si>
    <t>da6d0b4c-54ad-3388-8d07-38caeda40d00</t>
  </si>
  <si>
    <t>3bc3ee2f-7516-3efa-923c-20251484c334</t>
  </si>
  <si>
    <t>Electronic component, unspecified, at plant {GLO}</t>
  </si>
  <si>
    <t>5e87fea2-83fc-30d7-bb96-0782c3d685ac</t>
  </si>
  <si>
    <t>Electronic components, washing machine, at plant {CH}</t>
  </si>
  <si>
    <t>01b38117-37b0-311d-8609-6f9286d87759</t>
  </si>
  <si>
    <t>Electronic passive elements, washing machine, at plant {CH}</t>
  </si>
  <si>
    <t>9c0e2df6-7ee2-3b42-979d-55913ecb6ee9</t>
  </si>
  <si>
    <t>Electronics for control units {RER}</t>
  </si>
  <si>
    <t>c8b24e02-0143-3bd2-ac59-dae790a0451e</t>
  </si>
  <si>
    <t>Emulsion polymerisation, polyvinylchlorid {RER}</t>
  </si>
  <si>
    <t>7985ed3b-abaa-30e0-9589-c08bfd0d11cf</t>
  </si>
  <si>
    <t>Enamelling {RER}</t>
  </si>
  <si>
    <t>75f47ffd-f134-32e9-ac23-0111ef6614fb</t>
  </si>
  <si>
    <t>End-busbar aluminum {GLO}</t>
  </si>
  <si>
    <t>0dcdce5d-4db9-333e-8351-2fbc4e29cecf</t>
  </si>
  <si>
    <t>End-busbar copper {GLO}</t>
  </si>
  <si>
    <t>bea5fc72-8885-31c5-a867-898d7217d50d</t>
  </si>
  <si>
    <t>End plate {GLO}</t>
  </si>
  <si>
    <t>5ae2c633-9b96-3f43-bc4b-1e88edd1d948</t>
  </si>
  <si>
    <t>Energy-saving bulb, 11W, incl. integrated adapter, at plant {RER}</t>
  </si>
  <si>
    <t>private consumption\lighting</t>
  </si>
  <si>
    <t>76d3f641-3a58-3202-8cba-c5a8ba7e6dc9</t>
  </si>
  <si>
    <t>Energy wood harvester, at plant {RER}</t>
  </si>
  <si>
    <t>50888cb0-e1ba-3341-a6f5-a201ca843b74</t>
  </si>
  <si>
    <t>Epichlorohydrin, from hypochlorination of allyl chloride, at plant {RER}</t>
  </si>
  <si>
    <t>e5750fb3-9b49-38a8-89ee-3ac12d97b0a5</t>
  </si>
  <si>
    <t>Epoxy resin insulator (Al2O3), at plant {RER}</t>
  </si>
  <si>
    <t>11337941-2ef8-3372-b3df-fc8d6928a58f</t>
  </si>
  <si>
    <t>Epoxy resin insulator (SiO2), at plant {RER}</t>
  </si>
  <si>
    <t>99d2dd49-7f4b-323b-a722-eec8e419c8f5</t>
  </si>
  <si>
    <t>Epoxy resin, liquid, at plant {RER}</t>
  </si>
  <si>
    <t>c80b8e9e-8a0d-36f6-a4a2-1509d03e42c2</t>
  </si>
  <si>
    <t>6ac7f2be-a7fc-3bc4-b1ed-3f25e296b817</t>
  </si>
  <si>
    <t>Essential BoP {GLO}</t>
  </si>
  <si>
    <t>b0c1141a-3434-3e0e-9280-a803355ef328</t>
  </si>
  <si>
    <t>Esters of versatic acid, at plant {RER}</t>
  </si>
  <si>
    <t>6f509fd5-88e3-3e43-b96a-a91c2bace699</t>
  </si>
  <si>
    <t>Ethanol fermentation plant {CH}</t>
  </si>
  <si>
    <t>82771312-7ae9-3f97-bee8-a88e5e35512c</t>
  </si>
  <si>
    <t>Ethanol from ethylene, at plant {RER}</t>
  </si>
  <si>
    <t>7a3484b1-ea91-3d35-bbda-7acf3c548115</t>
  </si>
  <si>
    <t>Ethanol from wheat straw pellets {RER}</t>
  </si>
  <si>
    <t>fuels\biofuels\Ethanol\Transformation</t>
  </si>
  <si>
    <t>68a78591-8b65-30c4-a47d-d6bc7b4b70d5</t>
  </si>
  <si>
    <t>Ethanol, 95% in H2O, from corn, at distillery {US}</t>
  </si>
  <si>
    <t>fuels\biofuels\ethanol</t>
  </si>
  <si>
    <t>16ffb784-cc3a-3def-ae4d-1fc4d01f431c</t>
  </si>
  <si>
    <t>Ethanol, 95% in H2O, from grass, at fermentation plant {CH}</t>
  </si>
  <si>
    <t>4ab18659-5fcd-32ae-adc3-bd1de825de23</t>
  </si>
  <si>
    <t>Ethanol, 95% in H2O, from rye, at distillery {RER}</t>
  </si>
  <si>
    <t>62c1c9e4-bfb7-3bc8-bb5d-b321a29ff82d</t>
  </si>
  <si>
    <t>Ethanol, 95% in H2O, from sugar beets, at fermentation plant {CH}</t>
  </si>
  <si>
    <t>821d07ca-2c29-3922-8ef7-f5d52a16800d</t>
  </si>
  <si>
    <t>Ethanol, 95% in H2O, from sugar cane, at fermentation plant {BR}</t>
  </si>
  <si>
    <t>b98e195d-2f0e-3c6d-b4bd-35099111dc99</t>
  </si>
  <si>
    <t>Ethanol, 95% in H2O, from sugarcane molasses, at sugar refinery {BR}</t>
  </si>
  <si>
    <t>68e972eb-c5e2-3578-8ccb-5a56d88370d2</t>
  </si>
  <si>
    <t>Ethanol, 95% in H2O, from sweet sorghum, at distillery {CN}</t>
  </si>
  <si>
    <t>22ca3730-abae-3b3e-9cf4-38fce7883a55</t>
  </si>
  <si>
    <t>Ethanol, 95% in H2O, from whey, at fermentation plant {CH}</t>
  </si>
  <si>
    <t>b55236a2-4d63-3be7-bd20-e015a8636e58</t>
  </si>
  <si>
    <t>Ethanol, 95% in H2O, from wood, at distillery {SE}</t>
  </si>
  <si>
    <t>8d503cfd-fc2c-324b-9e7f-d23057408f97</t>
  </si>
  <si>
    <t>Ethanol, 99.7% in H2O, from biomass, at distillation {BR}</t>
  </si>
  <si>
    <t>542fbfb4-9a92-3689-ad84-9bc82d5b5bcd</t>
  </si>
  <si>
    <t>Ethanol, 99.7% in H2O, from biomass, at distillation {CH}</t>
  </si>
  <si>
    <t>c183a9d5-c077-3055-9dfe-d8066babb750</t>
  </si>
  <si>
    <t>Ethanol, 99.7% in H2O, from biomass, at distillation {CN}</t>
  </si>
  <si>
    <t>9d3eb68a-305e-3dd8-8ad3-56359164f4b7</t>
  </si>
  <si>
    <t>Ethanol, 99.7% in H2O, from biomass, at distillation {RER}</t>
  </si>
  <si>
    <t>fb923d91-9200-3946-a2bf-e6e7da5e82ca</t>
  </si>
  <si>
    <t>Ethanol, 99.7% in H2O, from biomass, at distillation {US}</t>
  </si>
  <si>
    <t>a300508a-93da-36c3-a391-43d4c6f5ad7c</t>
  </si>
  <si>
    <t>Ethanol, 99.7% in H2O, from biomass, at service station {CH}</t>
  </si>
  <si>
    <t>e37e233d-4a62-33af-83d3-a1e281eeb7d7</t>
  </si>
  <si>
    <t>Ethanol, 99.7% in H2O, from biomass, production BR, at service station {CH}</t>
  </si>
  <si>
    <t>4b9aea13-9f53-34c3-b0cf-15cba034815f</t>
  </si>
  <si>
    <t>Ethanol, 99.7% in H2O, from biomass, production RER, at service station {CH}</t>
  </si>
  <si>
    <t>f4a762c7-40fd-3040-943f-b9d036cbdc23</t>
  </si>
  <si>
    <t>Ethanol, 99.7% in H2O, from sugarcane molasses, at distillation {BR}</t>
  </si>
  <si>
    <t>a728783f-6d59-3c5b-809b-582055bcde5e</t>
  </si>
  <si>
    <t>Ethanol, 99.7% in H2O, from Swedish wood, at service station {CH}</t>
  </si>
  <si>
    <t>5df85e1d-7c50-342a-aba7-6ab1b8e9cfc2</t>
  </si>
  <si>
    <t>Ethanol, 99.7% in H2O, from wood, at distillation {SE}</t>
  </si>
  <si>
    <t>205025c5-2d87-3323-b579-eaeb57f9eb19</t>
  </si>
  <si>
    <t>Ethanol, from wheat straw pellets, at fuelling station {RER}</t>
  </si>
  <si>
    <t>e7519ade-60b1-3fbc-b11b-c1c9d8697155</t>
  </si>
  <si>
    <t>Ethanol, from wheat straw, at fuelling station {RER}</t>
  </si>
  <si>
    <t>46bd1af6-dde0-31ac-947e-11b48d3cd7a6</t>
  </si>
  <si>
    <t>Ethoxylated alcohols (AE3), coconut oil, at plant {RER}</t>
  </si>
  <si>
    <t>5668910e-9b28-3cfb-8235-f44e1a5f6f78</t>
  </si>
  <si>
    <t>Ethoxylated alcohols (AE3), palm kernel oil, at plant {RER}</t>
  </si>
  <si>
    <t>2761833b-50d6-3829-b059-331f06da3b8e</t>
  </si>
  <si>
    <t>50055dca-fab6-331b-aa49-83aed2647bd5</t>
  </si>
  <si>
    <t>Ethoxylated alcohols (AE7), coconut oil, at plant {RER}</t>
  </si>
  <si>
    <t>1f122ca4-23e9-3370-8da4-748cce50c4b8</t>
  </si>
  <si>
    <t>Ethoxylated alcohols (AE7), palm kernel oil, at plant {RER}</t>
  </si>
  <si>
    <t>2b1bedef-1294-3c4a-92cf-514a1a9f9db7</t>
  </si>
  <si>
    <t>Ethoxylated alcohols (AE7), petrochemical, at plant {RER}</t>
  </si>
  <si>
    <t>f481f5a8-98a5-3ee3-bf9d-f196c5b283a1</t>
  </si>
  <si>
    <t>Ethoxylated alcohols, unspecified, at plant {RER}</t>
  </si>
  <si>
    <t>5e054e82-41b8-3674-b41d-5bb931decd48</t>
  </si>
  <si>
    <t>Ethyl acetate from butane, at plant {RER}</t>
  </si>
  <si>
    <t>b56ec353-1236-35ad-a237-eb0ea6fc35a6</t>
  </si>
  <si>
    <t>Ethyl acetate, at plant {RER}</t>
  </si>
  <si>
    <t>94623f8e-f338-311a-a25f-e410d80dcd2a</t>
  </si>
  <si>
    <t>Ethyl benzene, at plant {RER}</t>
  </si>
  <si>
    <t>124f609a-2824-39ba-967b-efd153d443b4</t>
  </si>
  <si>
    <t>Ethyl tert-butyl ether, from bioethanol, at plant {RER}</t>
  </si>
  <si>
    <t>1196dd71-ef0f-31d8-9085-e58accfd9605</t>
  </si>
  <si>
    <t>Ethylene bromide, at plant {RER}</t>
  </si>
  <si>
    <t>87783998-93cd-37e3-a6e8-60ee21e04e49</t>
  </si>
  <si>
    <t>Ethylene carbonate, at plant {CN}</t>
  </si>
  <si>
    <t>8c478971-c3e4-3a3e-b017-706c11b12c55</t>
  </si>
  <si>
    <t>Ethylene dichloride, at plant {RER}</t>
  </si>
  <si>
    <t>19604545-58db-3f04-a28e-86b711df69ce</t>
  </si>
  <si>
    <t>Ethylene glycol monoethyl ether, at plant {RER}</t>
  </si>
  <si>
    <t>49736af1-0673-3434-85ba-83c877761413</t>
  </si>
  <si>
    <t>Ethylene glycol, at plant {RER}</t>
  </si>
  <si>
    <t>582ad303-7f18-3110-83c2-bccca0dc995f</t>
  </si>
  <si>
    <t>Ethylene oxide, at plant {RER}</t>
  </si>
  <si>
    <t>6ab29660-cc4e-30a3-aaa1-f175fa54dd61</t>
  </si>
  <si>
    <t>plastics\thermoplasts</t>
  </si>
  <si>
    <t>8a774518-1256-32a4-a096-0ebf6e1df474</t>
  </si>
  <si>
    <t>Ethylene, average, at plant {RER}</t>
  </si>
  <si>
    <t>298abdac-f564-358c-95a3-7a43418d2671</t>
  </si>
  <si>
    <t>Ethylenediamine, at plant {RER}</t>
  </si>
  <si>
    <t>8db934a5-1264-328d-84c4-fd595209fe6f</t>
  </si>
  <si>
    <t>1ef6ea99-4478-3315-b947-9ba1e37bd1e8</t>
  </si>
  <si>
    <t>Eucalyptus ssp., standing, under bark, u=50%, in plantation {TH}</t>
  </si>
  <si>
    <t>339cbd3f-5f30-3790-8654-455ed5efe331</t>
  </si>
  <si>
    <t>EUR-flat pallet {RER}</t>
  </si>
  <si>
    <t>wood\wooden materials\updated processes\other material</t>
  </si>
  <si>
    <t>0669988c-64e1-3574-931e-640b8ad2f246</t>
  </si>
  <si>
    <t>EV charger, level 3, plugin, 200 kW {RER}</t>
  </si>
  <si>
    <t>7d61c1d5-ea08-3f81-a3cc-81ad0d64fb6e</t>
  </si>
  <si>
    <t>EV charger, level 3, with pantograph, 450 kW {RER}</t>
  </si>
  <si>
    <t>f270e9a0-2883-3367-a9d9-c8d6e2ac4217</t>
  </si>
  <si>
    <t>Evacuated tube collector, at plant {GB}</t>
  </si>
  <si>
    <t>heat\solar\infrastructure</t>
  </si>
  <si>
    <t>1aceaa1b-748e-3a8c-b6ba-bb9ce60a3f78</t>
  </si>
  <si>
    <t>Excavation, hydraulic digger (proj. 500) {RER}</t>
  </si>
  <si>
    <t>construction processes\building equipment\unspecified</t>
  </si>
  <si>
    <t>4af488fe-42c2-319e-a559-8ddde43b396c</t>
  </si>
  <si>
    <t>Excavation, hydraulic digger, average {CH}</t>
  </si>
  <si>
    <t>de7e006b-f5dd-3d18-873a-23959012d5b9</t>
  </si>
  <si>
    <t>Excavation, hydraulic digger, average, Betrieb {CH}</t>
  </si>
  <si>
    <t>b080f011-a4b2-3ee4-856c-3ac1680e53d8</t>
  </si>
  <si>
    <t>Excavation, hydraulic digger, average, Fahrzeug {CH}</t>
  </si>
  <si>
    <t>66f7e14e-9044-362c-baa9-a1401958cdd9</t>
  </si>
  <si>
    <t>Excavation, hydraulic digger, average, without infrastructure {CH}</t>
  </si>
  <si>
    <t>1284547b-12fd-31cd-95bc-adad9dbf7acb</t>
  </si>
  <si>
    <t>Excavation, hydraulic digger, with particle filter {CH}</t>
  </si>
  <si>
    <t>1844a9b5-9a58-3f9c-921a-3732cf8b61f4</t>
  </si>
  <si>
    <t>Excavation, hydraulic digger, with particle filter, Betrieb {CH}</t>
  </si>
  <si>
    <t>d4ea90e1-6241-33c3-91d2-9424b28c4768</t>
  </si>
  <si>
    <t>Excavation, hydraulic digger, without infrastructure {CH}</t>
  </si>
  <si>
    <t>84afab58-ae8a-3e0e-94de-c40e35bdebcc</t>
  </si>
  <si>
    <t>Excavation, hydraulic digger, without particle filter {CH}</t>
  </si>
  <si>
    <t>0b7cbae3-37cd-365a-a5aa-04c4cccb75f5</t>
  </si>
  <si>
    <t>Excavation, hydraulic digger, without particle filter, Betrieb {CH}</t>
  </si>
  <si>
    <t>f1c87a23-1ccb-3b0e-af29-24f26df52f87</t>
  </si>
  <si>
    <t>Excavation, skid-steer loader {RER}</t>
  </si>
  <si>
    <t>ebf03a6f-4e4e-3d94-8c61-1b862c1161d0</t>
  </si>
  <si>
    <t>Exhaust air outlet, steel/aluminum, 85x365 mm, at plant {CH}</t>
  </si>
  <si>
    <t>dd375710-28cb-360b-ae52-a3d2e0bf97fc</t>
  </si>
  <si>
    <t>Exhaust air roof hood, steel, DN 400, at plant {CH}</t>
  </si>
  <si>
    <t>7a71f71c-a60a-3bbe-9deb-23134ef1cfe4</t>
  </si>
  <si>
    <t>Exhaust air system for kitchen and bathroom in appartment buildings {CH}</t>
  </si>
  <si>
    <t>ventilation\ventilation systems</t>
  </si>
  <si>
    <t>bcc728e2-7e14-3a16-9d19-e269439e61a8</t>
  </si>
  <si>
    <t>Exhaust air system for kitchen in appartment buildings {CH}</t>
  </si>
  <si>
    <t>84800d40-3065-39de-87ac-e0b3ef2f3eb9</t>
  </si>
  <si>
    <t>Exhaust air valve, in-wall housing, plastic/steel, DN 125, at plant {CH}</t>
  </si>
  <si>
    <t>a67fe4ea-84f3-3d37-8676-1b9c3a09cb37</t>
  </si>
  <si>
    <t>Exhaust gas treatment 1 {RER}</t>
  </si>
  <si>
    <t>d52e06dd-1242-30c0-90ed-b882be36e97b</t>
  </si>
  <si>
    <t>Exhaust gas treatment 2 {RER}</t>
  </si>
  <si>
    <t>e6ef6305-9898-31c0-b77a-1aa8479339e3</t>
  </si>
  <si>
    <t>Exhaust system, for lorry {RER}</t>
  </si>
  <si>
    <t>40928b14-13c1-3b60-8cfc-80243b0e6072</t>
  </si>
  <si>
    <t>Expanded clay, at plant {DE}</t>
  </si>
  <si>
    <t>4b8a04c6-3015-3f7c-aec0-7ba1b193e3f8</t>
  </si>
  <si>
    <t>Expanded perlite, at plant {CH}</t>
  </si>
  <si>
    <t>cc5a5489-57b7-3a3a-82a4-9c30825778e9</t>
  </si>
  <si>
    <t>Expanded vermiculite, at plant {CH}</t>
  </si>
  <si>
    <t>08f36cf9-cf14-319b-bcde-01f222230559</t>
  </si>
  <si>
    <t>Expansion vessel 25l, at plant {CH}</t>
  </si>
  <si>
    <t>79405824-8122-3059-9fdb-b7fdc25f6a41</t>
  </si>
  <si>
    <t>Expansion vessel 80l, at plant {CH}</t>
  </si>
  <si>
    <t>887e0288-8c09-3010-afa9-7a047212b020</t>
  </si>
  <si>
    <t>Explosive production plant {CH}</t>
  </si>
  <si>
    <t>chemicals\others\infrastructure</t>
  </si>
  <si>
    <t>261826e9-7124-3074-824e-ec8152b5b969</t>
  </si>
  <si>
    <t>Explosives, tovex, at plant {CH}</t>
  </si>
  <si>
    <t>8192cd30-4b43-3fa6-9bfe-57fd394849c5</t>
  </si>
  <si>
    <t>Export cable, 220kV, offshore wind farm {RER}</t>
  </si>
  <si>
    <t>b82390d4-b132-3b8a-a999-f80ad57b4e25</t>
  </si>
  <si>
    <t>External drive, at plant {GLO}</t>
  </si>
  <si>
    <t>c3b235ed-2a16-3419-9c61-dea339d5b88c</t>
  </si>
  <si>
    <t>Extrusion, plastic film {RER}</t>
  </si>
  <si>
    <t>c06a8970-8ec4-359e-887a-0bbf51d9ee6f</t>
  </si>
  <si>
    <t>Extrusion, plastic pipes {RER}</t>
  </si>
  <si>
    <t>0c4cff21-9b05-3ebf-bde2-fe4919628d27</t>
  </si>
  <si>
    <t>Facade construction, integrated, at building {RER}</t>
  </si>
  <si>
    <t>9bcc7b2c-04ec-3736-8f5b-42c41cde4ad4</t>
  </si>
  <si>
    <t>Facade construction, mounted, at building {RER}</t>
  </si>
  <si>
    <t>c2d778ad-95a1-3dd0-b2a9-808832cb5e84</t>
  </si>
  <si>
    <t>Facade substructure, integrated, average, Ecolite, at plant {CH}</t>
  </si>
  <si>
    <t>a4b31a08-3196-3b05-bddb-3e55236c9ebe</t>
  </si>
  <si>
    <t>Facade substructure, integrated, brick substrate, Ecolite, at plant {CH}</t>
  </si>
  <si>
    <t>09e5f20e-a085-3507-9540-100d7eda6104</t>
  </si>
  <si>
    <t>Facade substructure, integrated, concrete substrate, Ecolite, at plant {CH}</t>
  </si>
  <si>
    <t>fea9ce0b-a045-3f9c-97d2-0e100f5a7d00</t>
  </si>
  <si>
    <t>Facade substructure, integrated, Eternit, at plant {AT}</t>
  </si>
  <si>
    <t>3d36d2d4-4c0d-30f2-a964-0f000832599a</t>
  </si>
  <si>
    <t>Facade substructure, integrated, large, GFT, at plant {CH}</t>
  </si>
  <si>
    <t>37084936-57db-3d26-8789-f8ec489cc630</t>
  </si>
  <si>
    <t>Facade substructure, integrated, medium, GFT, at plant {CH}</t>
  </si>
  <si>
    <t>e07c7360-fa59-3fe9-9ac7-2fd1845e9c3f</t>
  </si>
  <si>
    <t>Facade substructure, integrated, small, GFT, at plant {CH}</t>
  </si>
  <si>
    <t>54436db2-a9db-369f-8767-dd2a66c5e6bc</t>
  </si>
  <si>
    <t>Facade substructure, integrated, Sto, Ventec Artline inlay, at plant {DE}</t>
  </si>
  <si>
    <t>1a860215-062a-3b2d-89ec-67d86c6e58cc</t>
  </si>
  <si>
    <t>Facade substructure, integrated, Sto, Ventec Artline invisible, at plant {DE}</t>
  </si>
  <si>
    <t>624ffa71-f469-3f1c-afb4-4952258b1f2b</t>
  </si>
  <si>
    <t>Facade substructure, integrated, Vogelsang, at plant {CH}</t>
  </si>
  <si>
    <t>9466609a-38ce-3d8b-ad5a-dbf571727224</t>
  </si>
  <si>
    <t>Facilities anode refinery, secondary copper {SE}</t>
  </si>
  <si>
    <t>ca401231-3411-3e61-9f2a-bacfe5756c45</t>
  </si>
  <si>
    <t>Facilities blister-copper conversion, secondary copper {SE}</t>
  </si>
  <si>
    <t>e1474a23-16a6-31c1-8fc5-6e132ba57f20</t>
  </si>
  <si>
    <t>Facilities for mechanical treatment of WEEE scrap {GLO}</t>
  </si>
  <si>
    <t>electronics\waste treatment</t>
  </si>
  <si>
    <t>4442b11b-d3bb-3168-8f20-178bb3b67c58</t>
  </si>
  <si>
    <t>Facilities precious metal refinery {SE}</t>
  </si>
  <si>
    <t>4764de46-218c-35ad-8191-f21c290946f3</t>
  </si>
  <si>
    <t>Facilities, chemical production {RER}</t>
  </si>
  <si>
    <t>f7f1e294-89ad-39af-b50d-50dbc5f79d96</t>
  </si>
  <si>
    <t>Facility of data center {GLO}</t>
  </si>
  <si>
    <t>c96074ca-7b22-31d1-9fa7-bc5f2cc902f7</t>
  </si>
  <si>
    <t>Fan, at plant {GLO}</t>
  </si>
  <si>
    <t>8af1c811-9706-3479-ae8f-fa82c0a63ef5</t>
  </si>
  <si>
    <t>Farming and supply of wheat straw {RER}</t>
  </si>
  <si>
    <t>b34b3f6f-0cef-385e-a696-1b97dd3dcace</t>
  </si>
  <si>
    <t>Fatty acids, from vegetarian oil, at plant {RER}</t>
  </si>
  <si>
    <t>c01e041a-1d02-3456-874d-164d6bc5d142</t>
  </si>
  <si>
    <t>Fatty alcohol sulfate, coconut oil, at plant {RER}</t>
  </si>
  <si>
    <t>51ba64b5-78ed-37e1-ac41-ec1b3fa99503</t>
  </si>
  <si>
    <t>770a944c-452c-31ad-b49e-f851aa5e448d</t>
  </si>
  <si>
    <t>Fatty alcohol sulfate, palm kernel oil, at plant {RER}</t>
  </si>
  <si>
    <t>18d38361-49fb-3a70-a317-c5b8455dc602</t>
  </si>
  <si>
    <t>Fatty alcohol sulfate, palm oil, at plant {RER}</t>
  </si>
  <si>
    <t>ffe8b92f-b1e3-30ca-acd8-527d7d901b98</t>
  </si>
  <si>
    <t>Fatty alcohol sulfate, petrochemical, at plant {RER}</t>
  </si>
  <si>
    <t>29caad78-3db5-3c41-9cfc-6a77e9442ebb</t>
  </si>
  <si>
    <t>Fatty alcohol, from coconut oil, at plant {RER}</t>
  </si>
  <si>
    <t>e7e7380c-c690-3859-86c4-4513c7a4ff38</t>
  </si>
  <si>
    <t>Fatty alcohol, from palm kernel oil, at plant {RER}</t>
  </si>
  <si>
    <t>672e13d1-bba5-3d71-9612-9a2e9c9fc23a</t>
  </si>
  <si>
    <t>Fatty alcohol, from palm oil, at plant {RER}</t>
  </si>
  <si>
    <t>9a2f8b96-562f-35b1-a64b-39e77d5aa5f2</t>
  </si>
  <si>
    <t>Fatty alcohol, petrochemical, at plant {RER}</t>
  </si>
  <si>
    <t>e50b9aa1-4308-3508-a140-79ee3d5691aa</t>
  </si>
  <si>
    <t>815b57da-e823-3819-b96d-699530e3a6c4</t>
  </si>
  <si>
    <t>Feldspar, at plant {RER}</t>
  </si>
  <si>
    <t>7fa67971-6cbc-3549-9ef2-f518ff87e652</t>
  </si>
  <si>
    <t>Ferrite, at plant {GLO}</t>
  </si>
  <si>
    <t>bc643030-bb51-3ff4-8300-9b1536a1fb09</t>
  </si>
  <si>
    <t>Ferrochromium, high-carbon, 68% Cr, at plant {GLO}</t>
  </si>
  <si>
    <t>9549ba71-7066-3a84-b022-42a220a9185a</t>
  </si>
  <si>
    <t>b896d2ec-abc9-3300-9394-10baf6b94365</t>
  </si>
  <si>
    <t>e9d3e6de-15d4-379c-99d8-40155ad01fca</t>
  </si>
  <si>
    <t>0b63f2b7-3997-3f27-bad0-37025357884e</t>
  </si>
  <si>
    <t>Fertilising, by broadcaster {CH}</t>
  </si>
  <si>
    <t>7fe98270-36fa-3fd5-ab4f-2d191c8fc271</t>
  </si>
  <si>
    <t>Fiber carbonization (high temp) {RER}</t>
  </si>
  <si>
    <t>9f6081b2-a16d-371a-a0e2-1f4d0532adac</t>
  </si>
  <si>
    <t>Fiber carbonization (low temp) {RER}</t>
  </si>
  <si>
    <t>590a7c9e-99bd-3317-9bfd-71eb5ead9235</t>
  </si>
  <si>
    <t>Fiber coagulation {RER}</t>
  </si>
  <si>
    <t>d51328dc-d510-3424-b1ac-96e975bd6751</t>
  </si>
  <si>
    <t>Fiber drying {RER}</t>
  </si>
  <si>
    <t>73403add-7a11-32e3-ab22-a16dfbb863a8</t>
  </si>
  <si>
    <t>Fiber drying 2 {RER}</t>
  </si>
  <si>
    <t>128cc174-350b-30fb-bf4d-097255c0b9e2</t>
  </si>
  <si>
    <t>Fiber drying 3 {RER}</t>
  </si>
  <si>
    <t>27df548d-7ace-3773-99a5-2856d18e0397</t>
  </si>
  <si>
    <t>Fiber electrolysis {RER}</t>
  </si>
  <si>
    <t>55ea4949-4b92-3f12-ad5b-d9841c2257e5</t>
  </si>
  <si>
    <t>Fiber relaxation {RER}</t>
  </si>
  <si>
    <t>f5262f4d-b94e-30c3-9d90-ce5a3699bacb</t>
  </si>
  <si>
    <t>Fiber sizing {RER}</t>
  </si>
  <si>
    <t>f6f6642c-3dfe-35f7-aa16-5640abe3cfe7</t>
  </si>
  <si>
    <t>Fiber sizing 2 {RER}</t>
  </si>
  <si>
    <t>4e7fe64c-b3fb-3978-a264-0f27f8212ed4</t>
  </si>
  <si>
    <t>Fiber sizing 3 {RER}</t>
  </si>
  <si>
    <t>14bfc88e-9111-3e09-ab0d-426c29b2ad08</t>
  </si>
  <si>
    <t>Fiber stabilization {RER}</t>
  </si>
  <si>
    <t>9dda4bb4-0f16-3b10-84e7-eb565940cf27</t>
  </si>
  <si>
    <t>Fiber stretching and washing {RER}</t>
  </si>
  <si>
    <t>c08375f2-a698-394f-811b-28cd6d283ed3</t>
  </si>
  <si>
    <t>Fiber unwinding {RER}</t>
  </si>
  <si>
    <t>0703ee9d-a273-39d9-aace-91fe9baffb7c</t>
  </si>
  <si>
    <t>Fiber washing {RER}</t>
  </si>
  <si>
    <t>5da82f50-9241-335e-80ff-64fb6987395a</t>
  </si>
  <si>
    <t>Fiber winding up {RER}</t>
  </si>
  <si>
    <t>c977b057-553c-3e71-a95d-ca10e062079e</t>
  </si>
  <si>
    <t>Fibre cement corrugated slab, at plant {CH}</t>
  </si>
  <si>
    <t>c1dfa5c4-3d47-3bcf-bad4-1bd1b62714ac</t>
  </si>
  <si>
    <t>Fibre cement facing tile, at plant {CH}</t>
  </si>
  <si>
    <t>aade61ac-44c0-3c4b-8f44-449a3debda1c</t>
  </si>
  <si>
    <t>Fibre cement facing tile, large format, at plant {CH}</t>
  </si>
  <si>
    <t>f6ffebb2-5823-3f30-acf6-3305f74f06f3</t>
  </si>
  <si>
    <t>Fibre cement facing tile, small format, at plant {CH}</t>
  </si>
  <si>
    <t>ceef0673-57e6-3161-bf8a-c2015bd75e44</t>
  </si>
  <si>
    <t>Fibre cement roof slate, at plant {CH}</t>
  </si>
  <si>
    <t>6949a386-feb8-3da5-8475-e9c846144198</t>
  </si>
  <si>
    <t>Fibreboard soft, at plant (u=7%) {CH}</t>
  </si>
  <si>
    <t>5e42b628-34b1-3eb8-8871-f2b334776018</t>
  </si>
  <si>
    <t>Fibreboard, hard, at plant {RER}</t>
  </si>
  <si>
    <t>bdc63a5e-72d8-3b60-8553-8d65fae36de3</t>
  </si>
  <si>
    <t>wood\wooden materials\at regional storage\other material</t>
  </si>
  <si>
    <t>7adec38f-f9cd-39fc-9a00-3b4c4f8ab9ea</t>
  </si>
  <si>
    <t>Fibreboard, hard, at regional storage, with resource correction {CH}</t>
  </si>
  <si>
    <t>f47e243b-0b1a-3c85-8c9a-4fc5b329e4af</t>
  </si>
  <si>
    <t>Fibreboard, soft, at regional storage {CH}</t>
  </si>
  <si>
    <t>a42998a8-f405-3589-90e3-a5b42da4c8a3</t>
  </si>
  <si>
    <t>Fibreboard, soft, at regional storage, with resource correction {CH}</t>
  </si>
  <si>
    <t>675de754-8733-3cb4-a5a4-125b858c8198</t>
  </si>
  <si>
    <t>Fibreboard, soft, from wet &amp; dry processes, at plant {RER}</t>
  </si>
  <si>
    <t>4ac67531-e948-3e5e-ae1b-80d3b51c1b2c</t>
  </si>
  <si>
    <t>Final repository for nuclear waste LLW {CH}</t>
  </si>
  <si>
    <t>waste\nuclear waste\infrastructure</t>
  </si>
  <si>
    <t>b66757e1-ad06-3abc-bbba-ee21323b9d1d</t>
  </si>
  <si>
    <t>Final repository for nuclear waste SF, HLW, and ILW {CH}</t>
  </si>
  <si>
    <t>0a5b5999-d064-3e3f-b0b6-bf9903a75c35</t>
  </si>
  <si>
    <t>Fireproof product {BE}</t>
  </si>
  <si>
    <t>cbf206bd-8545-3972-bdb7-4539d8fff72d</t>
  </si>
  <si>
    <t>Fireproofed flax tows from scutching {BE}</t>
  </si>
  <si>
    <t>615007ea-c23a-3883-87e0-c70a80cb15ea</t>
  </si>
  <si>
    <t>Fireproofed jute fibers, recycled {BE}</t>
  </si>
  <si>
    <t>0ed161a7-0fe7-35eb-8a90-ab50a100ac7d</t>
  </si>
  <si>
    <t>Fittings, door, inner, aluminium, at plant {CH}</t>
  </si>
  <si>
    <t>07563dd7-9cef-3b66-a2f0-7a1e9e802564</t>
  </si>
  <si>
    <t>Fittings, door, outer, aluminium, at plant {CH}</t>
  </si>
  <si>
    <t>e93f8fae-a3a2-37d9-8e09-40efc42018ca</t>
  </si>
  <si>
    <t>Flat glass plant {RER}</t>
  </si>
  <si>
    <t>glass\construction\infrastructure</t>
  </si>
  <si>
    <t>fcdd2055-16fc-34dc-ae0e-dd3cbb28d642</t>
  </si>
  <si>
    <t>glass\construction</t>
  </si>
  <si>
    <t>a409ab70-f348-3f2f-91b2-47d0a4e1adb9</t>
  </si>
  <si>
    <t>Flat glass, uncoated, at plant {RER}</t>
  </si>
  <si>
    <t>e33d282a-b69e-320e-825a-ddb5e7264ad5</t>
  </si>
  <si>
    <t>Flat plate collector for PVT, aluminium copper absorber, at plant {CH}</t>
  </si>
  <si>
    <t>a41f905b-d832-3044-b525-5e4db63906d7</t>
  </si>
  <si>
    <t>Flat plate collector, aluminium copper absorber, at plant {CH}</t>
  </si>
  <si>
    <t>baba6849-b3d0-344f-8cf0-2d9149369db9</t>
  </si>
  <si>
    <t>Flat plate collector, copper absorber, at plant {CH}</t>
  </si>
  <si>
    <t>646cf85a-0ca1-30dd-b77d-9da3b98578b5</t>
  </si>
  <si>
    <t>Flat roof construction, on roof {RER}</t>
  </si>
  <si>
    <t>2f54c187-23e8-3dee-8f78-031c99e568ea</t>
  </si>
  <si>
    <t>Flax culture, flax seeds {FR}</t>
  </si>
  <si>
    <t>a40c841b-2f93-3356-bbc3-c7e80c32e8b2</t>
  </si>
  <si>
    <t>Flax culture, flax straw {FR}</t>
  </si>
  <si>
    <t>ccf251da-b0ba-3978-a393-ff59629e8732</t>
  </si>
  <si>
    <t>Flax insulation, at plant {CH}</t>
  </si>
  <si>
    <t>3f7a8f51-30be-33fb-8062-8bcdfe305833</t>
  </si>
  <si>
    <t>Flax insulation, at regional storage {CH}</t>
  </si>
  <si>
    <t>1dde3a89-6123-3c70-aebd-25d06f726f26</t>
  </si>
  <si>
    <t>Flax insulation, fireproofed, at plant {CH}</t>
  </si>
  <si>
    <t>63edaf72-6c34-3461-bcfd-c06dd52a8fec</t>
  </si>
  <si>
    <t>Flax insulation, fireproofed, at regional storage {CH}</t>
  </si>
  <si>
    <t>1b03f99a-a91c-32a3-8c0b-a58031ec781f</t>
  </si>
  <si>
    <t>Flax straw scutching, long fibers {FR}</t>
  </si>
  <si>
    <t>c493e480-fb99-3ea8-b9d9-bb15a9cd76d1</t>
  </si>
  <si>
    <t>Flax straw scutching, seeds for fodder {FR}</t>
  </si>
  <si>
    <t>37bd8a07-89d4-3f9d-8fb9-eaf7c74c2b5a</t>
  </si>
  <si>
    <t>Flax straw scutching, shives {FR}</t>
  </si>
  <si>
    <t>f4eff67a-49f5-3c1d-bd6e-711e0cad54f5</t>
  </si>
  <si>
    <t>Flax straw scutching, tows from scutching {FR}</t>
  </si>
  <si>
    <t>7cd79b1c-82eb-3ed3-bbce-d72c0ed09f79</t>
  </si>
  <si>
    <t>Fleece production, polyethylene terephthalate {RER}</t>
  </si>
  <si>
    <t>4c359a32-7693-3e32-a710-c61c9acaef79</t>
  </si>
  <si>
    <t>76d6a372-a1cf-3d45-8110-592f01067753</t>
  </si>
  <si>
    <t>Flexible duct, aluminum/PET, DN of 125, at plant {RER}</t>
  </si>
  <si>
    <t>2e0c5286-81ca-307b-819e-9548c3bda8a8</t>
  </si>
  <si>
    <t>Float glass, at plant {RER}</t>
  </si>
  <si>
    <t>f14cf204-38f4-3670-ad3e-bffb9d82762a</t>
  </si>
  <si>
    <t>Float glass, coated, at plant {CH}</t>
  </si>
  <si>
    <t>56603914-7c6a-3f97-8b64-31c55986ccf4</t>
  </si>
  <si>
    <t>Float glass, coated, at plant {RER}</t>
  </si>
  <si>
    <t>aa21ea1c-d8df-3972-869e-890664980c57</t>
  </si>
  <si>
    <t>Floor heating tube {CH}</t>
  </si>
  <si>
    <t>bf37ffe3-1e0d-3275-991b-a9d64ac5c21a</t>
  </si>
  <si>
    <t>Flooring 2K, epoxy resin, industrial use, at plant {CH}</t>
  </si>
  <si>
    <t>flooring\flooring kbob</t>
  </si>
  <si>
    <t>2ace38e6-802a-39d5-aeb1-4c7626e7d741</t>
  </si>
  <si>
    <t>Flooring, 2K epoxy resin PU, living and administration, at plant {CH}</t>
  </si>
  <si>
    <t>ff572b21-7989-3f48-ac0b-e4ec833df29a</t>
  </si>
  <si>
    <t>Flooring, carpet from natural fibre, at regional storage {CH}</t>
  </si>
  <si>
    <t>bb858617-d261-3740-b89d-dc23540b273a</t>
  </si>
  <si>
    <t>Flooring, cork parquet, at regional storage {CH}</t>
  </si>
  <si>
    <t>a1b2135c-7f81-31f0-bcbc-ed149adeb7db</t>
  </si>
  <si>
    <t>Flooring, cork parquet, prefinished, multilayered, at regional storage {CH}</t>
  </si>
  <si>
    <t>53ffa397-7ef1-39c6-a941-c1861ce9e31a</t>
  </si>
  <si>
    <t>Flooring, cork, PVC coated, at regional storage {CH}</t>
  </si>
  <si>
    <t>e6c52b9a-9e98-3b2b-bceb-8351df3b972d</t>
  </si>
  <si>
    <t>Flooring, from rubber granulate, at plant {CH}</t>
  </si>
  <si>
    <t>81ae5bfd-5e81-3440-b021-8ba3e6c08c86</t>
  </si>
  <si>
    <t>Flooring, granolithic concrete, one layer, at plant {CH}</t>
  </si>
  <si>
    <t>33cc283a-4ff3-3502-a2cd-ca42ffcec871</t>
  </si>
  <si>
    <t>Flooring, granolithic concrete, two layers, at plant {CH}</t>
  </si>
  <si>
    <t>aebc3529-64b7-34c8-9237-18a799d43535</t>
  </si>
  <si>
    <t>Flooring, laminate, at regional storage {CH}</t>
  </si>
  <si>
    <t>f25a5842-ea1a-3315-b3f9-ea78dcff2dae</t>
  </si>
  <si>
    <t>Flooring, linoleum, at regional storage {CH}</t>
  </si>
  <si>
    <t>0ff838cf-d5f3-3a72-8596-379b23b7b97e</t>
  </si>
  <si>
    <t>Flooring, mosaic parquet, at regional storage {CH}</t>
  </si>
  <si>
    <t>c8fa2d2e-df60-31ad-9558-01b608c7fdf3</t>
  </si>
  <si>
    <t>Flooring, mosaic parquet, at regional storage, with resource correction {CH}</t>
  </si>
  <si>
    <t>59fc7406-f210-3331-9522-0a4fc5c2121f</t>
  </si>
  <si>
    <t>Flooring, natural rubber, at regional storage {CH}</t>
  </si>
  <si>
    <t>f5c90998-831c-3815-be9e-41e3e9af7f1d</t>
  </si>
  <si>
    <t>Flooring, needle felt, at regional storage {CH}</t>
  </si>
  <si>
    <t>3d0ac523-3be7-357d-86cd-37a27771840c</t>
  </si>
  <si>
    <t>Flooring, parquet, three layers, at regional storage {CH}</t>
  </si>
  <si>
    <t>c883880a-96d4-354e-bb32-23d15238ede6</t>
  </si>
  <si>
    <t>Flooring, parquet, three layers, at regional storage, with resource correction {CH}</t>
  </si>
  <si>
    <t>9369f4de-6ec3-3a0f-9267-0c6c5e486e26</t>
  </si>
  <si>
    <t>Flooring, parquet, two layers, at regional storage {CH}</t>
  </si>
  <si>
    <t>534219f2-e793-3718-ae1c-4b5b443c4908</t>
  </si>
  <si>
    <t>Flooring, parquet, two layers, at regional storage, with resource correction {CH}</t>
  </si>
  <si>
    <t>04bbdecb-26f0-3e7a-9b9d-504981749eef</t>
  </si>
  <si>
    <t>Flooring, polyolefins, at regional storage {CH}</t>
  </si>
  <si>
    <t>77bb004c-287a-3aef-9b42-fd9ccf4cb4b7</t>
  </si>
  <si>
    <t>Flooring, PVC homogeneous, at regional storage {CH}</t>
  </si>
  <si>
    <t>d4e370eb-4474-340e-9667-53c497e9721e</t>
  </si>
  <si>
    <t>Flooring, Terrazzo, at plant {CH}</t>
  </si>
  <si>
    <t>5d2f86fd-dd05-3795-83f8-f9b041c032bf</t>
  </si>
  <si>
    <t>Flooring, tufted carpet with textile fabric backs, at regional storage {CH}</t>
  </si>
  <si>
    <t>01afcdfc-807e-36f4-b201-b33dcde3b403</t>
  </si>
  <si>
    <t>Flooring, xylolite, at plant {CH}</t>
  </si>
  <si>
    <t>4bdbd091-bd20-3016-becf-0ac2395d1b5e</t>
  </si>
  <si>
    <t>Fluorescent whitening agent distyrylbiphenyl type, at plant {RER}</t>
  </si>
  <si>
    <t>d3f70cf6-1f16-3096-9e1a-212f70b17aa7</t>
  </si>
  <si>
    <t>Fluorine, liquid, at plant {RER}</t>
  </si>
  <si>
    <t>d4611a78-a764-3cfa-8920-1eeaf4cbea0d</t>
  </si>
  <si>
    <t>Fluorspar, 97%, at plant {GLO}</t>
  </si>
  <si>
    <t>cda2f091-4583-3bac-bfeb-fdbddeb5142c</t>
  </si>
  <si>
    <t>28ab68a2-4a2a-3deb-9595-dd31a7ac1e35</t>
  </si>
  <si>
    <t>Fluosilicic acid, 22% in H2O, at plant {RER}</t>
  </si>
  <si>
    <t>1eb9bb30-2a1b-3b56-a5a8-880d3fb8e899</t>
  </si>
  <si>
    <t>Fluosilicic acid, 22% in H2O, at plant {US}</t>
  </si>
  <si>
    <t>38a7f6fa-dd39-30f1-8602-a86efcd82e7c</t>
  </si>
  <si>
    <t>Flux, wave soldering, at plant {GLO}</t>
  </si>
  <si>
    <t>5e0796ab-7af3-3319-a2ca-0084830f14d0</t>
  </si>
  <si>
    <t>Foam glass plant {BE}</t>
  </si>
  <si>
    <t>construction\insulation\infrastructure</t>
  </si>
  <si>
    <t>a9ef24d1-f867-3b4c-91b4-3c50a7e031c7</t>
  </si>
  <si>
    <t>Foam glass, at plant {RER}</t>
  </si>
  <si>
    <t>de6ba86b-50ab-3ab2-8208-6c112921a8f8</t>
  </si>
  <si>
    <t>80db4da2-63b6-3e02-90dc-0c7228fcd732</t>
  </si>
  <si>
    <t>Foaming, expanding {RER}</t>
  </si>
  <si>
    <t>b3b41a43-872c-3ca4-be87-9ac9b9fdd1fd</t>
  </si>
  <si>
    <t>Fodder beets IP, at farm {CH}</t>
  </si>
  <si>
    <t>0866ff5a-8efd-3d8d-9798-947053ccf04c</t>
  </si>
  <si>
    <t>Fodder loading, by self-loading trailer {CH}</t>
  </si>
  <si>
    <t>3ab9e52d-a0ba-3c64-a782-153ae8096535</t>
  </si>
  <si>
    <t>Folding boxboard, FBB, at plant {RER}</t>
  </si>
  <si>
    <t>cardboard\unspecified</t>
  </si>
  <si>
    <t>2e6b70ac-b7b9-369b-9800-65f1ac82059c</t>
  </si>
  <si>
    <t>Forestry harvester, at plant {RER}</t>
  </si>
  <si>
    <t>cdf4beb9-ede8-3b75-bd1f-7e416501b675</t>
  </si>
  <si>
    <t>Formaldehyde, production mix, at plant {RER}</t>
  </si>
  <si>
    <t>cc69be77-6d77-3b80-b750-d870a31630e1</t>
  </si>
  <si>
    <t>Formic acid from butane, at plant {RER}</t>
  </si>
  <si>
    <t>27e4de09-da89-30cf-9e69-1f044dce95e2</t>
  </si>
  <si>
    <t>Formic acid from methyl formate, at plant {RER}</t>
  </si>
  <si>
    <t>38527c86-1e16-3ee5-8ae0-1bd0f11113b4</t>
  </si>
  <si>
    <t>bf52ea0c-a610-3c28-8681-c7baa98e8989</t>
  </si>
  <si>
    <t>Forwarder, at plant {RER}</t>
  </si>
  <si>
    <t>549b0b55-58f8-3e28-97de-4789f1ac8e93</t>
  </si>
  <si>
    <t>Forwarding, forwarder {RER}</t>
  </si>
  <si>
    <t>7ac8cf4c-17af-37c3-877a-ce359e8ed4de</t>
  </si>
  <si>
    <t>Frame extension, particle board, at plant {CH}</t>
  </si>
  <si>
    <t>7a7ceb6c-168d-34a5-965c-0e9ae2e661ed</t>
  </si>
  <si>
    <t>Frame extension, particle board, at plant, with resource correction {CH}</t>
  </si>
  <si>
    <t>8fe32e5b-770c-3e65-b433-4afea41453b6</t>
  </si>
  <si>
    <t>Frame extension, PVC, at plant {CH}</t>
  </si>
  <si>
    <t>3d5f5ca6-c6a8-39b6-8c29-3237032240a7</t>
  </si>
  <si>
    <t>Frame extension, PVC, at plant, with resource correction {CH}</t>
  </si>
  <si>
    <t>f870d6e1-16fd-3561-9aab-f041f538ed98</t>
  </si>
  <si>
    <t>Frame, blanks and saddle, for lorry {RER}</t>
  </si>
  <si>
    <t>18be4c5c-e3fa-3376-85e3-b0b59c4167fd</t>
  </si>
  <si>
    <t>Freezing of beans {CH}</t>
  </si>
  <si>
    <t>bdc90d83-3515-3b42-adbe-350e62aeebe8</t>
  </si>
  <si>
    <t>Frequency converter, for diaphragm compressor {GLO}</t>
  </si>
  <si>
    <t>d615a9de-41c6-396e-9c13-2ceee43c8c89</t>
  </si>
  <si>
    <t>Frit, for CRT tube production, at plant {GLO}</t>
  </si>
  <si>
    <t>06cce798-ea7c-348b-aea4-7bca75daefb5</t>
  </si>
  <si>
    <t>Fuel cell Balance of Plant production, 1 kWe, proton exchange membrane (PEM) {GLO}</t>
  </si>
  <si>
    <t>dcd9b86a-2d28-3330-b508-1b020a61916a</t>
  </si>
  <si>
    <t>Fuel cell stack production, 1 kWe, proton exchange membrane (PEM) {GLO}</t>
  </si>
  <si>
    <t>87b749d0-8738-3dc5-b3ed-c54badc35f99</t>
  </si>
  <si>
    <t>Fuel cell system assembly, 1 kWe, proton exchange membrane (PEM) {GLO}</t>
  </si>
  <si>
    <t>17f2eec9-4120-30a5-96ce-e0c9e8f5431b</t>
  </si>
  <si>
    <t>Fuel elements BWR, UO2 4.0% &amp; MOX, at nuclear fuel fabrication plant {DE}</t>
  </si>
  <si>
    <t>fuels\uranium\fuel element</t>
  </si>
  <si>
    <t>91c6a4b1-ee93-3e0e-8ed1-ab9fc2099edf</t>
  </si>
  <si>
    <t>Fuel elements BWR, UO2 4.0% &amp; MOX, at nuclear fuel fabrication plant {UCTE}</t>
  </si>
  <si>
    <t>5f352a4d-3415-3b2c-9166-a09a48ba74d7</t>
  </si>
  <si>
    <t>Fuel elements PWR, UO2 3.8% &amp; MOX, at nuclear fuel fabrication plant {FR}</t>
  </si>
  <si>
    <t>243d243a-10be-319b-97a7-65f725b59892</t>
  </si>
  <si>
    <t>Fuel elements PWR, UO2 3.9% &amp; MOX, at nuclear fuel fabrication plant {UCTE}</t>
  </si>
  <si>
    <t>3745932b-bacb-3289-8d98-95bc0a562824</t>
  </si>
  <si>
    <t>Fuel elements PWR, UO2 4.0% &amp; MOX, at nuclear fuel fabrication plant {DE}</t>
  </si>
  <si>
    <t>937aaab4-66c4-3270-97ff-70579c4180de</t>
  </si>
  <si>
    <t>Fuel elements PWR, UO2 4.2% centrifuge &amp; MOX, at nuclear fuel fabrication plant {CH}</t>
  </si>
  <si>
    <t>78c59748-2056-30cf-bc41-efa7d49b4e7c</t>
  </si>
  <si>
    <t>Fuel in building machine, excavation hydraulic digger {CH}</t>
  </si>
  <si>
    <t>energy supply, kbob recommendation\fuels (motors), fossil</t>
  </si>
  <si>
    <t>e0c03b62-89ed-3fa2-858a-2634bfc7fd0b</t>
  </si>
  <si>
    <t>Fuel in building machine, hydraulic digger, average {CH}</t>
  </si>
  <si>
    <t>7dd78068-d9a7-31ef-8018-3e0f4229457c</t>
  </si>
  <si>
    <t>Fuel in transport, aircraft, passenger {RER}</t>
  </si>
  <si>
    <t>transport systems\airplane</t>
  </si>
  <si>
    <t>af4f896e-6280-342e-9836-2f03f3de92b0</t>
  </si>
  <si>
    <t>Fuel supply for diesel vehicles {CH}</t>
  </si>
  <si>
    <t>548f161a-09ee-3a7d-ba65-b98397017379</t>
  </si>
  <si>
    <t>Fuel supply for diesel vehicles {RER}</t>
  </si>
  <si>
    <t>0ac05b55-9544-3be5-93c3-418722ecb8b7</t>
  </si>
  <si>
    <t>Fuel supply for gas vehicles {CH}</t>
  </si>
  <si>
    <t>a65a4bc3-d9dc-37c4-b769-02f959e2cb06</t>
  </si>
  <si>
    <t>Fuel supply for gas vehicles {RER}</t>
  </si>
  <si>
    <t>c61ee836-3f3c-3a80-80b5-a1b15e02140c</t>
  </si>
  <si>
    <t>Fuel supply for gasoline vehicles {CH}</t>
  </si>
  <si>
    <t>9aba9046-c431-3108-8f26-5ad97c55b0b9</t>
  </si>
  <si>
    <t>Fuel supply for gasoline vehicles {RER}</t>
  </si>
  <si>
    <t>c2a32427-e843-3281-8f57-e2ac079aa92b</t>
  </si>
  <si>
    <t>Fuel tank, compressed hydrogen gas, 700bar {GLO}</t>
  </si>
  <si>
    <t>c274699e-814c-3907-96e0-db377da20cbd</t>
  </si>
  <si>
    <t>Fuel tank, compressed hydrogen gas, 700bar, with aluminium liner {RER}</t>
  </si>
  <si>
    <t>d60a6987-696f-353b-b228-5f25da88f0e7</t>
  </si>
  <si>
    <t>Fuel tank, compressed hydrogen gas, 700bar, with HDPE liner {RER}</t>
  </si>
  <si>
    <t>643d42d8-aa3d-3689-beef-c83483cedf86</t>
  </si>
  <si>
    <t>Fuel tank, compressed natural gas, 200 bar {RER}</t>
  </si>
  <si>
    <t>transport systems\road\Vehicle components\Energy storage\CNG tank</t>
  </si>
  <si>
    <t>8f601c1a-53fa-3904-8f8a-348bf512dda1</t>
  </si>
  <si>
    <t>Fuel tank, for diesel vehicle {RER}</t>
  </si>
  <si>
    <t>02d34621-e606-3ecc-83a0-d527b2bb4288</t>
  </si>
  <si>
    <t>Funnel glass, CRT screen, at plant {GLO}</t>
  </si>
  <si>
    <t>123bcdf7-254d-3211-ab73-72452d74d1a6</t>
  </si>
  <si>
    <t>Furnace, logs, hardwood, 15kW {CH}</t>
  </si>
  <si>
    <t>heat\wood\heating systems</t>
  </si>
  <si>
    <t>09f64a54-71cf-38a2-92f1-57d9ee0f51b9</t>
  </si>
  <si>
    <t>Furnace, logs, hardwood, 50kW {CH}</t>
  </si>
  <si>
    <t>0ca4cd11-ca49-3569-9941-ca7f749664ae</t>
  </si>
  <si>
    <t>Furnace, logs, hardwood, 6kW {CH}</t>
  </si>
  <si>
    <t>7b3443c5-286d-39e1-9596-397430847155</t>
  </si>
  <si>
    <t>Furnace, logs, mixed, 15kW {CH}</t>
  </si>
  <si>
    <t>fead51f2-66f6-3407-8896-42a6e18311ce</t>
  </si>
  <si>
    <t>Furnace, logs, mixed, 50kW {CH}</t>
  </si>
  <si>
    <t>502132ae-19e0-39da-8046-cbad27aeae72</t>
  </si>
  <si>
    <t>Furnace, logs, mixed, 6kW {CH}</t>
  </si>
  <si>
    <t>2d510268-0525-3e67-bf03-fd9f83ef1ee6</t>
  </si>
  <si>
    <t>Furnace, logs, softwood, 15kW {CH}</t>
  </si>
  <si>
    <t>91982495-d107-301e-8326-d47efc311997</t>
  </si>
  <si>
    <t>Furnace, logs, softwood, 50kW {CH}</t>
  </si>
  <si>
    <t>fbdf01a7-300d-319d-a0e1-1309c5af5e1d</t>
  </si>
  <si>
    <t>Furnace, logs, softwood, 6kW {CH}</t>
  </si>
  <si>
    <t>b21a1790-7785-3f7d-8373-8a14d94d5500</t>
  </si>
  <si>
    <t>Furnace, pellets, 15kW {CH}</t>
  </si>
  <si>
    <t>7c0bd63d-6dbe-30f3-9437-f85769253afe</t>
  </si>
  <si>
    <t>Furnace, pellets, 300kW {CH}</t>
  </si>
  <si>
    <t>09fc7b9c-3c5d-325e-bf0d-a47a9ad132a9</t>
  </si>
  <si>
    <t>Furnace, pellets, 50kW {CH}</t>
  </si>
  <si>
    <t>5c06d656-3f74-3853-a28e-201b04d99edf</t>
  </si>
  <si>
    <t>Furnace, wood chips, hardwood, 1000kW {CH}</t>
  </si>
  <si>
    <t>203dd04a-bb55-3c57-811b-5ddaac241af4</t>
  </si>
  <si>
    <t>Furnace, wood chips, hardwood, 300kW {CH}</t>
  </si>
  <si>
    <t>7ef8a32c-b8de-39f7-8ec4-a4434bd723c4</t>
  </si>
  <si>
    <t>Furnace, wood chips, hardwood, 5000kW {CH}</t>
  </si>
  <si>
    <t>666d6e84-658f-31fc-a5dd-958af27b862a</t>
  </si>
  <si>
    <t>Furnace, wood chips, hardwood, 50kW {CH}</t>
  </si>
  <si>
    <t>b923cec8-edb7-36cc-a93d-868a50b5ec9c</t>
  </si>
  <si>
    <t>Furnace, wood chips, mixed, 1000kW {CH}</t>
  </si>
  <si>
    <t>4f86426a-e9a6-38c8-8eb1-b2d759e37b1b</t>
  </si>
  <si>
    <t>Furnace, wood chips, mixed, 300kW {CH}</t>
  </si>
  <si>
    <t>4f59644e-3c7a-34b9-86ff-b516e730577e</t>
  </si>
  <si>
    <t>Furnace, wood chips, mixed, 5000kW {CH}</t>
  </si>
  <si>
    <t>55105b98-f254-386b-8926-364e87449214</t>
  </si>
  <si>
    <t>Furnace, wood chips, mixed, 50kW {CH}</t>
  </si>
  <si>
    <t>48980777-0bd9-3eb0-968a-d935240fbf66</t>
  </si>
  <si>
    <t>Furnace, wood chips, softwood, 1000kW {CH}</t>
  </si>
  <si>
    <t>56a177b8-20e9-33a3-b01a-5f737afd5aa5</t>
  </si>
  <si>
    <t>Furnace, wood chips, softwood, 300kW {CH}</t>
  </si>
  <si>
    <t>6d51744a-ef46-3e63-855f-b66b424768c9</t>
  </si>
  <si>
    <t>Furnace, wood chips, softwood, 5000kW {CH}</t>
  </si>
  <si>
    <t>416cc44a-050c-3654-a5ee-506e61d3bb0b</t>
  </si>
  <si>
    <t>Furnace, wood chips, softwood, 50kW {CH}</t>
  </si>
  <si>
    <t>63f20fc4-8786-302e-b8e3-33461cc6fadd</t>
  </si>
  <si>
    <t>Gallium, in Bayer liquor from aluminium production, at plant {GLO}</t>
  </si>
  <si>
    <t>2976ff38-4e54-3e45-9402-069e51f51c7c</t>
  </si>
  <si>
    <t>Gallium, semiconductor-grade, at plant {GLO}</t>
  </si>
  <si>
    <t>86af7fa7-c7ea-3f7d-833f-748cbe8a29ff</t>
  </si>
  <si>
    <t>12b06d54-6ebe-3838-afc0-cba0caf2a388</t>
  </si>
  <si>
    <t>Gas-to-liquid plant construction {GLO}</t>
  </si>
  <si>
    <t>fuels\Synthetic\Transformation\Infrastructure</t>
  </si>
  <si>
    <t>5ee58431-614e-3d2a-8f46-168358409e0f</t>
  </si>
  <si>
    <t>heat\natural gas\heating systems</t>
  </si>
  <si>
    <t>71ea3dd8-28e7-382e-9551-4ac122d188a0</t>
  </si>
  <si>
    <t>Gas boiler 300kW {RER}</t>
  </si>
  <si>
    <t>ee910c5f-93d2-3c5b-92f3-3f8e180080fd</t>
  </si>
  <si>
    <t>4e14da1f-0c10-3658-88c8-af5f169a529b</t>
  </si>
  <si>
    <t>Gas combined cycle power plant, 400MWe {RER}</t>
  </si>
  <si>
    <t>c302aa8d-f0e5-3294-8855-ca6aea53e012</t>
  </si>
  <si>
    <t>Gas Diffusion Layer {GLO}</t>
  </si>
  <si>
    <t>b0882f7b-f13f-34db-a8b2-04fce8626601</t>
  </si>
  <si>
    <t>Gas motor 206kW {RER}</t>
  </si>
  <si>
    <t>738cc7e9-0399-3e9d-8407-520eb856c547</t>
  </si>
  <si>
    <t>Gas motor Mini CHP plant {CH}</t>
  </si>
  <si>
    <t>3a7b3e10-935c-3660-bc13-7b33f0aa62c4</t>
  </si>
  <si>
    <t>Gas power plant, 100MWe {RER}</t>
  </si>
  <si>
    <t>electricity by fuel\gas\power plant\infrastructure</t>
  </si>
  <si>
    <t>817e1ce5-814f-3226-8682-3d1c2967f59a</t>
  </si>
  <si>
    <t>Gas power plant, 300MWe {GLO}</t>
  </si>
  <si>
    <t>d1a2344c-04b8-35ff-af9c-1cad5926727f</t>
  </si>
  <si>
    <t>Gas turbine, 10MWe, at production plant {RER}</t>
  </si>
  <si>
    <t>electricity by fuel\gas\gas turbine\infrastructure</t>
  </si>
  <si>
    <t>098ea88a-716d-3420-88c9-76d9c4c41fcc</t>
  </si>
  <si>
    <t>Gearbox, for lorry {RER}</t>
  </si>
  <si>
    <t>543cb150-8524-38cc-81f1-3845129f7cc9</t>
  </si>
  <si>
    <t>Generator 200kWe {RER}</t>
  </si>
  <si>
    <t>82a1db74-b281-3c8e-804f-5eb2be908534</t>
  </si>
  <si>
    <t>Generator Mini CHP plant {CH}</t>
  </si>
  <si>
    <t>725ec9e3-f704-36a7-baa3-2dc2b4fff3fa</t>
  </si>
  <si>
    <t>Generator, for hybrid passenger car {RER}</t>
  </si>
  <si>
    <t>1ae3d114-3bc7-3335-a165-b728069a4b8a</t>
  </si>
  <si>
    <t>Geological hydrogen storage {CH}</t>
  </si>
  <si>
    <t>5461fa10-3e93-302b-9223-2ef9f3b41a0f</t>
  </si>
  <si>
    <t>Glass cullets, recovered from c-Si PV module treatment {RER}</t>
  </si>
  <si>
    <t>6659c5e9-9e22-43ec-8879-c047cbd85254</t>
  </si>
  <si>
    <t>Glass cullets, recovered from CdTe PV module treatment {DE}</t>
  </si>
  <si>
    <t>001b52f2-e932-45f9-a199-c82f584d8dab</t>
  </si>
  <si>
    <t>Glass cullets, sorted, at sorting plant {RER}</t>
  </si>
  <si>
    <t>glass\waste glass</t>
  </si>
  <si>
    <t>c06f3635-30f4-3fda-82da-6eef2408906d</t>
  </si>
  <si>
    <t>Glass etching plant {DK}</t>
  </si>
  <si>
    <t>97ba85a3-9362-3223-836a-bfa84186eb5a</t>
  </si>
  <si>
    <t>Glass fibre-reinforced polymer panel, polyester resin, at plant {TR}</t>
  </si>
  <si>
    <t>construction materials\fiberglass reinforced plastic sheets</t>
  </si>
  <si>
    <t>7e3d11ee-1a72-3a2c-b5cd-1981e692e63f</t>
  </si>
  <si>
    <t>Glass fibre-reinforced polymer panel, polyester resin, at regional storage {CH}</t>
  </si>
  <si>
    <t>78144887-e410-3d36-98ff-1698390b90a3</t>
  </si>
  <si>
    <t>Glass fibre-reinforced polymer panel, polyester resin, packaging {RER}</t>
  </si>
  <si>
    <t>af4443d9-1000-3909-8583-3aa814a4bfb3</t>
  </si>
  <si>
    <t>Glass fibre-reinforced polymer panel, transport TR-&gt;CH {RER}</t>
  </si>
  <si>
    <t>bae8a255-412d-3ef7-b25c-2f76d40e2eed</t>
  </si>
  <si>
    <t>19a9ce72-bdcb-3ea8-a600-9d88b3376b8c</t>
  </si>
  <si>
    <t>Glass fibre reinforced plastic, polyester resin, hand lay-up, at plant {RER}</t>
  </si>
  <si>
    <t>90349abd-4abc-3909-8011-412f58f4c81d</t>
  </si>
  <si>
    <t>Glass fibre, at plant {RER}</t>
  </si>
  <si>
    <t>e7c90a94-cb2d-34a0-bd20-1d755ba5f0a5</t>
  </si>
  <si>
    <t>Glass production site {RER}</t>
  </si>
  <si>
    <t>glass\packaging\infrastructure</t>
  </si>
  <si>
    <t>f922ca45-d058-3023-a86f-d034d697bbea</t>
  </si>
  <si>
    <t>Glass sorting site {RER}</t>
  </si>
  <si>
    <t>glass\waste glass\infrastructure</t>
  </si>
  <si>
    <t>e84ce84d-7de8-3b39-bf3f-ac9fddfa095b</t>
  </si>
  <si>
    <t>Glass tube plant {DE}</t>
  </si>
  <si>
    <t>f38fb1ba-57e1-3961-a8c5-0f473c79b45f</t>
  </si>
  <si>
    <t>Glass tube, borosilicate, at plant {DE}</t>
  </si>
  <si>
    <t>32409045-2a0b-35d9-b768-0075f65d8313</t>
  </si>
  <si>
    <t>3ae98d80-01bb-3de0-9021-a303378d8a99</t>
  </si>
  <si>
    <t>Glass wool mat, bio-based binder ISOVER, at plant {CH}</t>
  </si>
  <si>
    <t>a05e1447-7685-3530-827e-fe68feefb234</t>
  </si>
  <si>
    <t>Glass wool mat, phenolic binder ISOVER, at plant {CH}</t>
  </si>
  <si>
    <t>b3b66822-5c90-3dcd-aa2b-8a39dd2e5c10</t>
  </si>
  <si>
    <t>Glass wool, market mix, at regional storage {CH}</t>
  </si>
  <si>
    <t>4ed11776-6535-39f5-bd65-f89bc7a3eeac</t>
  </si>
  <si>
    <t>Glass wool, Supafil, at regional storage {CH}</t>
  </si>
  <si>
    <t>29e55a65-0712-3810-850e-0bf7e902b6f9</t>
  </si>
  <si>
    <t>Glass, from public collection, unsorted {RER}</t>
  </si>
  <si>
    <t>3a36045b-fc25-3ecc-8d54-00ed5a29f230</t>
  </si>
  <si>
    <t>Glazing, double (2-IV), U&lt;1.1 W/m2K, at plant {RER}</t>
  </si>
  <si>
    <t>d748dcfa-265f-397e-94d9-b44e7aafac60</t>
  </si>
  <si>
    <t>Glazing, double (2-IV), U=1.1 W/m2K, 4 ESG / 16 Ar / 4 Low E 1.1 Float, at plant {CH}</t>
  </si>
  <si>
    <t>3dd97672-d74d-3989-b699-8fea11f899b8</t>
  </si>
  <si>
    <t>Glazing, double (2-IV), U=1.1 W/m2K, 4 ESG / 16 Ar / VSG 2x4, 0.76 PVB, Low E 1.1 Float, at plant {CH}</t>
  </si>
  <si>
    <t>3efc9ce7-43ea-3e45-a664-0be4cd9434e9</t>
  </si>
  <si>
    <t>Glazing, double (2-IV), U=1.1 W/m2K, 4 Float / 10 Kr / 4 Low E 1.1 Float, at plant {CH}</t>
  </si>
  <si>
    <t>3d0e5a85-0e54-3c2a-a3a4-8c43e4da74ef</t>
  </si>
  <si>
    <t>Glazing, double (2-IV), U=1.1 W/m2K, 4 Float / 16 Ar / 4 Low E 1.1 Float, at plant {CH}</t>
  </si>
  <si>
    <t>51ce58d2-feaa-3f09-a86d-43c84288bf53</t>
  </si>
  <si>
    <t>Glazing, double (2-IV), U=1.1 W/m2K, 4 Float / 16 Ar / VSG 2x4, 0.76 PVB, Low E 1.1, at plant {CH}</t>
  </si>
  <si>
    <t>b946933b-f11a-3f5e-9d13-ec0536305de7</t>
  </si>
  <si>
    <t>Glazing, triple (3-IV), U=0.5 W/m2K, 4 Low E 1.1 Float / 12 Kr / 4 Float / 12 Kr / 4 Low E 1.1 Float, at plant {CH}</t>
  </si>
  <si>
    <t>a375e4bd-6d30-3da1-886a-aa7acf1f642f</t>
  </si>
  <si>
    <t>Glazing, triple (3-IV), U=0.6 W/m2K, 4 Low E 1.1 ESG / 14 Ar / 4 Float / 14 Ar / 4 Low E 1.1 ESG, at plant {CH}</t>
  </si>
  <si>
    <t>69e84754-1200-3090-b89e-f4976e48eb30</t>
  </si>
  <si>
    <t>Glazing, triple (3-IV), U=0.6 W/m2K, 4 Low E 1.1 ESG / 14 Ar / 4 Float / 14 Ar / VSG 2x4, 0.76 PVB, Low E 1.1 Float, at plant {CH}</t>
  </si>
  <si>
    <t>90abac5c-b2d2-3c77-91c9-64423bb13742</t>
  </si>
  <si>
    <t>Glazing, triple (3-IV), U=0.6 W/m2K, 4 Low E 1.1 Float / 14 Ar / 4 Float / 14 Ar / 4 Low E 1.1 Float, at plant {CH}</t>
  </si>
  <si>
    <t>eeb3f70e-f0b9-38a1-8633-0789bab62a29</t>
  </si>
  <si>
    <t>Glazing, triple (3-IV), U=0.6 W/m2K, 4 Low E 1.1 Float / 14 Ar / 4 Float / 14 Ar / VSG 2x4, 0.76 PVB, Low E 1.1 Float, at plant {CH}</t>
  </si>
  <si>
    <t>99c87903-c89d-390e-b8ec-f5ba573b86e0</t>
  </si>
  <si>
    <t>Glazing, triple (3-IV), U=0.6, W/m2K, 4 Low E 1.1 ESG / 14 Ar / 4 ESG / 14 Ar / 4 Low E 1.1 ESG, at plant {CH}</t>
  </si>
  <si>
    <t>1b043da0-ab4d-3353-a2cf-77bff36f2479</t>
  </si>
  <si>
    <t>Glider lightweighting {GLO}</t>
  </si>
  <si>
    <t>2bcae8e8-f381-3ec0-806f-b6b353654077</t>
  </si>
  <si>
    <t>Glider, for electric scooter {RER}</t>
  </si>
  <si>
    <t>1c1d080b-5eba-30a3-bdfd-6f49052e17c4</t>
  </si>
  <si>
    <t>Glider, for passenger car {RER}</t>
  </si>
  <si>
    <t>7ac1e22b-caaf-35bc-972f-827ae4d49296</t>
  </si>
  <si>
    <t>Glued laminated timber, average glue mix, at plant {CH}</t>
  </si>
  <si>
    <t>46323423-9542-3fa9-bd59-b8b2cad49165</t>
  </si>
  <si>
    <t>Glued laminated timber, average glue mix, at plant {RER}</t>
  </si>
  <si>
    <t>3c125a1e-df00-3aaf-bd53-103e0c1cdb42</t>
  </si>
  <si>
    <t>Glued laminated timber, average glue mix, at plant, with resource correction {CH}</t>
  </si>
  <si>
    <t>1c3376db-a2d7-3553-ad6f-1827e1a64bf9</t>
  </si>
  <si>
    <t>Glued laminated timber, average glue mix, at regional storage {CH}</t>
  </si>
  <si>
    <t>15721fbd-260f-3d48-ad19-47d920b60c19</t>
  </si>
  <si>
    <t>Glued laminated timber, average glue mix, at regional storage, with resource correction {CH}</t>
  </si>
  <si>
    <t>2fa9524a-9609-352f-860c-6537a8e5085d</t>
  </si>
  <si>
    <t>d7ebb38a-2e86-360f-82e3-3750e8621069</t>
  </si>
  <si>
    <t>Glued laminated timber, PUR adhesive, at plant {CH}</t>
  </si>
  <si>
    <t>bd106942-5987-323b-9e3f-72eeabe81384</t>
  </si>
  <si>
    <t>Glued solid timber, average glue mix, at plant {RER}</t>
  </si>
  <si>
    <t>de24ca27-2fbe-3779-a70c-f1b2b9d56117</t>
  </si>
  <si>
    <t>Glued solid timber, average glue mix, at plant CH {CH}</t>
  </si>
  <si>
    <t>bd1b5019-8b02-31c4-8766-188a9dd2a6f6</t>
  </si>
  <si>
    <t>Glued solid timber, average glue mix, at regional storage {CH}</t>
  </si>
  <si>
    <t>fece1ab9-014b-3ae2-b4c5-b11340a86779</t>
  </si>
  <si>
    <t>Glued solid timber, average glue mix, at regional storage, with resource correction {CH}</t>
  </si>
  <si>
    <t>bb9e7308-3c86-3c51-9ff1-ef40ef9155fb</t>
  </si>
  <si>
    <t>Glued solid timber, MUF adhesive, at plant {CH}</t>
  </si>
  <si>
    <t>4d43a325-d638-3ff9-b398-b06a53187a85</t>
  </si>
  <si>
    <t>Glued solid timber, PUR adhesive, at plant {CH}</t>
  </si>
  <si>
    <t>ce86ef5c-7cbd-3fe3-b370-f8491b6704bf</t>
  </si>
  <si>
    <t>Gluing mill {CH}</t>
  </si>
  <si>
    <t>39e181cc-6ada-3675-a7f6-cf5496fb2f66</t>
  </si>
  <si>
    <t>Glycerine, from rape oil, at esterification plant {CH}</t>
  </si>
  <si>
    <t>6c5fb39d-91e1-38bd-a380-a57b314831ee</t>
  </si>
  <si>
    <t>Glycerine, from vegetable oil, at esterification plant {FR}</t>
  </si>
  <si>
    <t>79ceeb7f-5aaa-3143-ae1e-552ef35b8551</t>
  </si>
  <si>
    <t>d81641dc-bbf6-35df-9318-c2514bc424a7</t>
  </si>
  <si>
    <t>Glyphosate, at regional storehouse {RER}</t>
  </si>
  <si>
    <t>f68721ec-d030-3086-abbc-f18f7655a491</t>
  </si>
  <si>
    <t>Gold, at refinery {AU}</t>
  </si>
  <si>
    <t>cff2f07c-1b00-3925-afc5-7f5f647d9b74</t>
  </si>
  <si>
    <t>Gold, at refinery {CA}</t>
  </si>
  <si>
    <t>d770c0e4-7b6a-3743-baa1-f8c3c0e7e39f</t>
  </si>
  <si>
    <t>Gold, at refinery {TZ}</t>
  </si>
  <si>
    <t>3ebf252f-2de6-330c-abc4-1374f56a3f16</t>
  </si>
  <si>
    <t>Gold, at refinery {US}</t>
  </si>
  <si>
    <t>8f784b52-8ff6-3128-a7a9-363314b8d605</t>
  </si>
  <si>
    <t>Gold, at refinery {ZA}</t>
  </si>
  <si>
    <t>2e735f49-3991-37b6-a08c-6b3300cb3619</t>
  </si>
  <si>
    <t>11feb7b6-02c2-39c7-9482-ec13915550f6</t>
  </si>
  <si>
    <t>Gold, from combined gold-silver production, at refinery {CL}</t>
  </si>
  <si>
    <t>e7f4437a-d754-3bcc-9c90-6c0226b49166</t>
  </si>
  <si>
    <t>Gold, from combined gold-silver production, at refinery {PE}</t>
  </si>
  <si>
    <t>9a1a176d-0f83-37b8-80a8-8a4a6d4b5a0e</t>
  </si>
  <si>
    <t>Gold, from combined gold-silver production, at refinery {PG}</t>
  </si>
  <si>
    <t>81de3381-4e7a-34f3-8e50-68715fffd8d6</t>
  </si>
  <si>
    <t>Gold, from combined metal production, at beneficiation {SE}</t>
  </si>
  <si>
    <t>2173491e-04be-3346-905c-a52225b736e0</t>
  </si>
  <si>
    <t>Gold, from combined metal production, at refinery {SE}</t>
  </si>
  <si>
    <t>ca6493a2-a161-3cf0-b7f2-be35892aef84</t>
  </si>
  <si>
    <t>Gold, primary, at refinery {GLO}</t>
  </si>
  <si>
    <t>ebbf5879-0db9-30c2-901e-eee79b408978</t>
  </si>
  <si>
    <t>Gold, secondary, at precious metal refinery {SE}</t>
  </si>
  <si>
    <t>e250eaf9-0468-395c-a364-e2f53b4e77d2</t>
  </si>
  <si>
    <t>Goods wagon {RER}</t>
  </si>
  <si>
    <t>87a0bc8c-737e-3f35-a044-ac749a266da5</t>
  </si>
  <si>
    <t>Grain drying, high temperature {CH}</t>
  </si>
  <si>
    <t>3785727e-28d8-3956-82f4-1e54e868677d</t>
  </si>
  <si>
    <t>Grain drying, low temperature {CH}</t>
  </si>
  <si>
    <t>db27700e-2bb8-3e75-ae16-b254d2815fea</t>
  </si>
  <si>
    <t>5b6f0481-157a-3d40-b181-6ed3b3ab35db</t>
  </si>
  <si>
    <t>Grain maize IP, at feed mill {CH}</t>
  </si>
  <si>
    <t>agricultural\animal production\animal foods</t>
  </si>
  <si>
    <t>dd8175b2-cdc5-38ed-83d8-c4bbc93f8b71</t>
  </si>
  <si>
    <t>Grain maize organic, at farm {CH}</t>
  </si>
  <si>
    <t>afa1d2e1-60c2-3a5a-9c67-548c75f86611</t>
  </si>
  <si>
    <t>Granite, natural stone council, at mine {CH}</t>
  </si>
  <si>
    <t>construction materials\additives</t>
  </si>
  <si>
    <t>346be187-5f5a-331d-acec-d8b35ac3ef2a</t>
  </si>
  <si>
    <t>Granite, natural stone council, crushed, for mill {CH}</t>
  </si>
  <si>
    <t>8394f00e-b021-36ce-9b50-56a635b6ab8d</t>
  </si>
  <si>
    <t>Granite, natural stone council, milled, loose, at plant {CH}</t>
  </si>
  <si>
    <t>6db7a9b5-cb6a-3e0c-bb0d-0d6b81a400a4</t>
  </si>
  <si>
    <t>80976703-5e65-34a4-94c1-b0e5b5075574</t>
  </si>
  <si>
    <t>Graphite, battery grade, at plant {CN}</t>
  </si>
  <si>
    <t>57d11a5a-f7de-367f-a6c8-0d60b655d830</t>
  </si>
  <si>
    <t>Grass from meadow intensive IP, at field {CH}</t>
  </si>
  <si>
    <t>7521559b-1ba5-3113-88de-95a1effa5532</t>
  </si>
  <si>
    <t>Grass from natural meadow extensive IP, at field {CH}</t>
  </si>
  <si>
    <t>8d7323c6-5302-3d77-9bb0-59e4c73e5035</t>
  </si>
  <si>
    <t>Grass from natural meadow intensive IP, at field {CH}</t>
  </si>
  <si>
    <t>a97b5600-4d88-326c-ab6b-db2a1ebfe5c6</t>
  </si>
  <si>
    <t>Grass seed IP, at farm {CH}</t>
  </si>
  <si>
    <t>422a6130-5b1a-3afb-8016-9a7764dded62</t>
  </si>
  <si>
    <t>Grass seed IP, at regional storehouse {CH}</t>
  </si>
  <si>
    <t>7313f4e7-ee7a-33b3-a159-f1eb3d370aa6</t>
  </si>
  <si>
    <t>Grass seed organic, at regional storehouse {CH}</t>
  </si>
  <si>
    <t>91ad53a6-0cbd-3efb-9631-11fc16e1e119</t>
  </si>
  <si>
    <t>Gravel, crushed, at mine {CH}</t>
  </si>
  <si>
    <t>3c80d851-fbd4-3d3d-a1bc-ec4348b57b23</t>
  </si>
  <si>
    <t>1d5b4602-52cb-388e-87df-703f4eb37e6f</t>
  </si>
  <si>
    <t>Gravel, crushed, market mix, at regional storage, with resource correction {CH}</t>
  </si>
  <si>
    <t>51fdca5e-d732-3aa8-a014-82eab2dce939</t>
  </si>
  <si>
    <t>Gravel, round, at mine {CH}</t>
  </si>
  <si>
    <t>8c20066c-bee9-384c-bf96-0c9cf2121d71</t>
  </si>
  <si>
    <t>Gravel, round, market mix, at regional storage {CH}</t>
  </si>
  <si>
    <t>21c85b7d-5493-3de8-9124-fae024d0d2e5</t>
  </si>
  <si>
    <t>Gravel, round, market mix, at regional storage, with resource correction {CH}</t>
  </si>
  <si>
    <t>e12ff86b-8450-39a9-981a-87f823201fce</t>
  </si>
  <si>
    <t>Gravel, unspecified, at mine {CH}</t>
  </si>
  <si>
    <t>d351b306-a280-3d79-8f47-848dc4c4fe5d</t>
  </si>
  <si>
    <t>Green beans conventional, at farm {KE}</t>
  </si>
  <si>
    <t>agricultural\agricultural production\plant protection</t>
  </si>
  <si>
    <t>c22aaca5-3bca-34a0-8a34-71c551ee0d56</t>
  </si>
  <si>
    <t>Green beans IP, at farm {CH}</t>
  </si>
  <si>
    <t>a29ed30b-9c6c-32af-b788-c1fa0bbdf854</t>
  </si>
  <si>
    <t>Green beans organic, at farm {CH}</t>
  </si>
  <si>
    <t>75b86c4b-7a83-35ef-8790-98717f13761b</t>
  </si>
  <si>
    <t>Green manure IP, until April {CH}</t>
  </si>
  <si>
    <t>91a36e7e-656c-311a-9eb2-f47d92c0c7b6</t>
  </si>
  <si>
    <t>e2582d59-fbf6-3a5a-9999-77bc3130c6f3</t>
  </si>
  <si>
    <t>Green manure IP, until January {CH}</t>
  </si>
  <si>
    <t>65e02689-7814-3ad1-98b1-dc520f33e0df</t>
  </si>
  <si>
    <t>Green manure IP, until march {CH}</t>
  </si>
  <si>
    <t>392fbd86-4199-3fe3-ae9c-9f89182a06c7</t>
  </si>
  <si>
    <t>Green manure organic, until April {CH}</t>
  </si>
  <si>
    <t>a2ab3098-ba38-3f3b-adae-06020123ad97</t>
  </si>
  <si>
    <t>Green manure organic, until January {CH}</t>
  </si>
  <si>
    <t>46a7d9ee-1def-3b80-9d84-022ed81673ce</t>
  </si>
  <si>
    <t>Green manure organic, until march {CH}</t>
  </si>
  <si>
    <t>11e76c0f-686a-3366-9d99-b00f7a5c11f0</t>
  </si>
  <si>
    <t>Greenhouse, glass walls and roof, metal tubes {CH}</t>
  </si>
  <si>
    <t>agricultural\agricultural means of production\buildings</t>
  </si>
  <si>
    <t>66d8967f-879f-3094-889c-f69a3e520fc0</t>
  </si>
  <si>
    <t>Ground granulated blast furnace slag, no burdens, at plant {RER}</t>
  </si>
  <si>
    <t>7622063d-6d0d-316d-8455-556556b1731a</t>
  </si>
  <si>
    <t>Ground granulated blast furnace slag, with burdens, at plant {RER}</t>
  </si>
  <si>
    <t>6f9f9a30-e31a-3684-ae6f-fa17a9b39ca0</t>
  </si>
  <si>
    <t>Ground heat exchanger for appartment buildings, PE ducts {CH}</t>
  </si>
  <si>
    <t>004d3e24-6a21-3f24-bfb6-ce12bb0156c2</t>
  </si>
  <si>
    <t>Ground heat exchanger for office buildings, long: 0.667 m {CH}</t>
  </si>
  <si>
    <t>2b5b7342-6d00-329e-9798-723f3e053bd2</t>
  </si>
  <si>
    <t>Ground heat exchanger for office buildings, short: 0.267 m {CH}</t>
  </si>
  <si>
    <t>be396122-a975-3256-acbb-f17d57099c22</t>
  </si>
  <si>
    <t>Ground heat exchanger, PE, DN 200, at plant {RER}</t>
  </si>
  <si>
    <t>234af1a4-2e01-3149-9b79-f97501cd8a5f</t>
  </si>
  <si>
    <t>Gypsum a-hemihydrate from FDG gypsum, at plant {DE}</t>
  </si>
  <si>
    <t>b30f2a5a-ba47-3b0c-96f2-82a517b8d1da</t>
  </si>
  <si>
    <t>Gypsum block, at plant {DE}</t>
  </si>
  <si>
    <t>f74423b2-f369-31e8-9f86-690eca53ab81</t>
  </si>
  <si>
    <t>Gypsum block, at regional storage {CH}</t>
  </si>
  <si>
    <t>67e0ce1b-3dac-3696-8013-28ba85e37533</t>
  </si>
  <si>
    <t>Gypsum block, packaging {DE}</t>
  </si>
  <si>
    <t>a0a27da5-992e-30f7-8667-539e981b373e</t>
  </si>
  <si>
    <t>Gypsum block, transport imports {RER}</t>
  </si>
  <si>
    <t>b69aa7fb-8c72-37db-9546-eaed6da5c576</t>
  </si>
  <si>
    <t>Gypsum fibre board, at plant {CH}</t>
  </si>
  <si>
    <t>be1ae3ac-175d-3a95-9a8f-ecacb6448f57</t>
  </si>
  <si>
    <t>Gypsum fibre board, at plant {DE}</t>
  </si>
  <si>
    <t>a061bf96-1dc6-3ab8-8dae-af476463276b</t>
  </si>
  <si>
    <t>Gypsum fibre board, at regional storage {CH}</t>
  </si>
  <si>
    <t>1ae0b014-05f7-3202-905d-06d02aa3e3ba</t>
  </si>
  <si>
    <t>Gypsum fibre board, transport imports {RER}</t>
  </si>
  <si>
    <t>7570ee22-36b3-3a86-a163-8b54eae0e348</t>
  </si>
  <si>
    <t>Gypsum fibreboard, in sorting plant {CH}</t>
  </si>
  <si>
    <t>ba55937e-62e5-45df-a597-7b98896a6236</t>
  </si>
  <si>
    <t>Gypsum lime plaster, at plant {CH}</t>
  </si>
  <si>
    <t>ef0d6337-8fb9-3975-a5b8-3d0c34bffe0b</t>
  </si>
  <si>
    <t>Gypsum lime plaster, matured {CH}</t>
  </si>
  <si>
    <t>910e1fa5-8f14-3ec0-9628-b0419757bfcb</t>
  </si>
  <si>
    <t>Gypsum plaster and gypsum fibre board, packaging {DE}</t>
  </si>
  <si>
    <t>e8427211-58be-3ed5-a742-4987b2733e32</t>
  </si>
  <si>
    <t>Gypsum plaster board, at plant {DE}</t>
  </si>
  <si>
    <t>909c9c24-8c69-3736-be51-699a03743352</t>
  </si>
  <si>
    <t>Gypsum plaster board, at regional storage {CH}</t>
  </si>
  <si>
    <t>b34dc63c-4b07-37a9-8b14-22246ea61e23</t>
  </si>
  <si>
    <t>Gypsum plaster board, transport imports {RER}</t>
  </si>
  <si>
    <t>39982571-3c1f-368d-ae96-d8aed621d853</t>
  </si>
  <si>
    <t>Gypsum plaster, at plant {CH}</t>
  </si>
  <si>
    <t>9dde0e93-b9ef-3b8b-a6f8-0cff98a10f19</t>
  </si>
  <si>
    <t>Gypsum plaster, matured {CH}</t>
  </si>
  <si>
    <t>c018b642-8314-378a-aad6-7c333e77a75f</t>
  </si>
  <si>
    <t>Gypsum plasterboard, in sorting plant {CH}</t>
  </si>
  <si>
    <t>9951331c-0a80-415e-acd5-64056ced0efb</t>
  </si>
  <si>
    <t>Gypsum ß-hemihydrate from FDG gypsum, at plant {DE}</t>
  </si>
  <si>
    <t>ab7b2024-6942-3955-bbfd-7368655b7345</t>
  </si>
  <si>
    <t>Gypsum ß-hemihydrate from natural gypsum, at plant {DE}</t>
  </si>
  <si>
    <t>5dbcd4cb-644a-306f-98af-26c7f8afe0fa</t>
  </si>
  <si>
    <t>Gypsum, mineral, at mine {CH}</t>
  </si>
  <si>
    <t>23d4e39c-14e5-3290-a4e2-931581ecbc7a</t>
  </si>
  <si>
    <t>Hard coal briquette, burned in stove 5-15kW (proj. 210) {RER}</t>
  </si>
  <si>
    <t>76105a46-57dc-327e-bf2e-5c6986b123af</t>
  </si>
  <si>
    <t>Hard coal briquette, burned in stove 5-15kW {RER}</t>
  </si>
  <si>
    <t>506181b5-c726-3ad4-bde7-9efc8e8b0899</t>
  </si>
  <si>
    <t>Hard coal briquettes production plant {RER}</t>
  </si>
  <si>
    <t>fuels\coal\cokes\briquets\infrastructure</t>
  </si>
  <si>
    <t>3aaccd14-3946-3922-97f9-49fd34ee33b4</t>
  </si>
  <si>
    <t>Hard coal briquettes, at plant {RER}</t>
  </si>
  <si>
    <t>fuels\coal\cokes\briquets</t>
  </si>
  <si>
    <t>2d6a2082-2a3f-3676-8ea3-b632165eee1e</t>
  </si>
  <si>
    <t>Hard coal coke production plant {RER}</t>
  </si>
  <si>
    <t>665ac602-abe6-3f2b-af01-a8c2f0a383f1</t>
  </si>
  <si>
    <t>Hard coal coke, at plant {GLO}</t>
  </si>
  <si>
    <t>f423649a-2e73-3da6-bd62-b9c03c07463d</t>
  </si>
  <si>
    <t>Hard coal coke, at plant {RER}</t>
  </si>
  <si>
    <t>c6077e2f-23fe-3114-a36f-475891a3ceae</t>
  </si>
  <si>
    <t>Hard coal coke, burned in stove 5-15kW (proj.210) {RER}</t>
  </si>
  <si>
    <t>db50cc62-7dce-3ec6-952d-dd9a1552dda9</t>
  </si>
  <si>
    <t>Hard coal coke, burned in stove 5-15kW {RER}</t>
  </si>
  <si>
    <t>324874a4-2362-3ac3-a9f1-f042a9b99507</t>
  </si>
  <si>
    <t>Hard coal mix, at regional storage {UCTE}</t>
  </si>
  <si>
    <t>fuels\coal\produced coal</t>
  </si>
  <si>
    <t>18a520da-7695-3a17-a667-0171824c6ccb</t>
  </si>
  <si>
    <t>Hard coal power plant {CN}</t>
  </si>
  <si>
    <t>electricity by fuel\coal\power plant\infrastructure</t>
  </si>
  <si>
    <t>15d5c6c0-1fd5-3995-b773-9127b5528e1e</t>
  </si>
  <si>
    <t>Hard coal power plant {RER}</t>
  </si>
  <si>
    <t>3eda40e9-b31e-3243-8c15-1a10e8605829</t>
  </si>
  <si>
    <t>Hard coal power plant, 100MW {GLO}</t>
  </si>
  <si>
    <t>03fe0303-98fe-3df7-8f17-bcb54cabb7d1</t>
  </si>
  <si>
    <t>Hard coal power plant, 500MW {GLO}</t>
  </si>
  <si>
    <t>9e902bb1-834b-3127-9fbe-bf9c1ee1864c</t>
  </si>
  <si>
    <t>Hard coal supply mix {AT}</t>
  </si>
  <si>
    <t>fuels\coal\coal by country</t>
  </si>
  <si>
    <t>683c1889-a510-3922-ae69-cd3c0764aee9</t>
  </si>
  <si>
    <t>Hard coal supply mix {BE}</t>
  </si>
  <si>
    <t>413abf4f-99ed-3c7f-95e8-810f6a6a1ed3</t>
  </si>
  <si>
    <t>Hard coal supply mix {CN}</t>
  </si>
  <si>
    <t>9c5a1939-fd35-35fc-a925-c9b14658448a</t>
  </si>
  <si>
    <t>Hard coal supply mix {CZ}</t>
  </si>
  <si>
    <t>9947400a-6b4b-3dd4-9e5f-192ca55c931c</t>
  </si>
  <si>
    <t>Hard coal supply mix {DE}</t>
  </si>
  <si>
    <t>4f15b98e-686a-3374-8122-90be33388c40</t>
  </si>
  <si>
    <t>Hard coal supply mix {ES}</t>
  </si>
  <si>
    <t>122a8ffe-8b1d-392c-9f78-220a2f51948c</t>
  </si>
  <si>
    <t>Hard coal supply mix {FR}</t>
  </si>
  <si>
    <t>e0a29cd6-8a4f-3df3-adcb-9a24af7729ae</t>
  </si>
  <si>
    <t>Hard coal supply mix {HR}</t>
  </si>
  <si>
    <t>6df628c1-6892-3523-80e1-7b9a71679020</t>
  </si>
  <si>
    <t>Hard coal supply mix {IN}</t>
  </si>
  <si>
    <t>fuels\coal\hard coal\production</t>
  </si>
  <si>
    <t>2f1982d7-789d-3aaa-9faf-90731c3f9a10</t>
  </si>
  <si>
    <t>Hard coal supply mix {IT}</t>
  </si>
  <si>
    <t>1dd5b373-29b1-3727-b596-66481506ca0a</t>
  </si>
  <si>
    <t>Hard coal supply mix {NL}</t>
  </si>
  <si>
    <t>d185557e-0345-31e9-822a-9d7a7ececdea</t>
  </si>
  <si>
    <t>Hard coal supply mix {PL}</t>
  </si>
  <si>
    <t>1d3f7407-e04a-3b45-a213-297f7f0ff953</t>
  </si>
  <si>
    <t>Hard coal supply mix {PT}</t>
  </si>
  <si>
    <t>18031b2e-041c-3984-9f5c-f483cb20c28e</t>
  </si>
  <si>
    <t>Hard coal supply mix {SK}</t>
  </si>
  <si>
    <t>ac2b9ae1-de89-3521-a433-e51ebbc38a1b</t>
  </si>
  <si>
    <t>Hard coal supply mix, at regional storage {US}</t>
  </si>
  <si>
    <t>e5e6d166-d9c5-3b25-9db3-26611a4439cd</t>
  </si>
  <si>
    <t>Hard coal, at mine {AU}</t>
  </si>
  <si>
    <t>fuels\coal\produced coal\mined coal</t>
  </si>
  <si>
    <t>6316f215-9ee3-344d-b940-42f2a17ab4e0</t>
  </si>
  <si>
    <t>Hard coal, at mine {CN}</t>
  </si>
  <si>
    <t>5a85ec8a-0bd9-3316-95fa-d68a40f47846</t>
  </si>
  <si>
    <t>Hard coal, at mine {CPA}</t>
  </si>
  <si>
    <t>e7c9caf1-4ddc-3a8b-a079-9f0f3e7e091e</t>
  </si>
  <si>
    <t>Hard coal, at mine {EEU}</t>
  </si>
  <si>
    <t>868b0efc-2499-33ec-b429-b48d68f7f415</t>
  </si>
  <si>
    <t>Hard coal, at mine {IN}</t>
  </si>
  <si>
    <t>7f843b6b-36fa-3a74-9734-5d4b18523c82</t>
  </si>
  <si>
    <t>Hard coal, at mine {RLA}</t>
  </si>
  <si>
    <t>f15c4cad-e3dc-3eaf-8b1c-f8c12b2f6edd</t>
  </si>
  <si>
    <t>Hard coal, at mine {RNA}</t>
  </si>
  <si>
    <t>ed563c02-afe3-3000-9d40-e2073bd7a8f9</t>
  </si>
  <si>
    <t>Hard coal, at mine {RU}</t>
  </si>
  <si>
    <t>34edd7fe-079c-30bb-abeb-64858a257a02</t>
  </si>
  <si>
    <t>Hard coal, at mine {US}</t>
  </si>
  <si>
    <t>8a8977d4-fdd1-3c94-a2f0-986515baa564</t>
  </si>
  <si>
    <t>Hard coal, at mine {WEU}</t>
  </si>
  <si>
    <t>d265b9fd-31e7-35ba-80a8-4751e833d113</t>
  </si>
  <si>
    <t>Hard coal, at mine {ZA}</t>
  </si>
  <si>
    <t>82840fe7-a9ff-3258-a10e-583c407d4dc3</t>
  </si>
  <si>
    <t>Hard coal, at regional storage {AU}</t>
  </si>
  <si>
    <t>fc12f043-0c97-3e66-a32d-41823e1afd35</t>
  </si>
  <si>
    <t>Hard coal, at regional storage {CPA}</t>
  </si>
  <si>
    <t>0926f65e-f914-3783-940a-5b695a72bae6</t>
  </si>
  <si>
    <t>Hard coal, at regional storage {EEU}</t>
  </si>
  <si>
    <t>a6ca5778-fb64-3170-9f49-90fdaad76913</t>
  </si>
  <si>
    <t>Hard coal, at regional storage {IN}</t>
  </si>
  <si>
    <t>fuels\coal\hard coal\fuels</t>
  </si>
  <si>
    <t>14dd2bcb-27e2-3bf8-863b-753b17b288b8</t>
  </si>
  <si>
    <t>Hard coal, at regional storage {RLA}</t>
  </si>
  <si>
    <t>dbeacd38-20e5-36ed-a781-8646dd319571</t>
  </si>
  <si>
    <t>Hard coal, at regional storage {RU}</t>
  </si>
  <si>
    <t>a13d4bd1-f448-3e3b-b46a-9ed63fdb67fe</t>
  </si>
  <si>
    <t>Hard coal, at regional storage {US}</t>
  </si>
  <si>
    <t>7130a1fb-513f-3cfa-929a-499cd4c1cbdb</t>
  </si>
  <si>
    <t>Hard coal, at regional storage {WEU}</t>
  </si>
  <si>
    <t>e711bb5c-450b-394f-89fc-889ab3d075c6</t>
  </si>
  <si>
    <t>Hard coal, at regional storage {ZA}</t>
  </si>
  <si>
    <t>8bce8e4f-45a9-392f-978a-1de6e9be5b34</t>
  </si>
  <si>
    <t>Hard coal, burned in coal mine power plant {CN}</t>
  </si>
  <si>
    <t>electricity by fuel\coal\power plant</t>
  </si>
  <si>
    <t>d838d412-0c1f-371b-bb52-daf1cedea15b</t>
  </si>
  <si>
    <t>Hard coal, burned in industrial furnace 1-10MW {RER}</t>
  </si>
  <si>
    <t>a7722f3b-b2df-3029-973c-0121d0822cee</t>
  </si>
  <si>
    <t>Hard coal, burned in power plant {AT}</t>
  </si>
  <si>
    <t>681ff759-e7f4-34c2-86e8-3d89af3d0a79</t>
  </si>
  <si>
    <t>Hard coal, burned in power plant {BE}</t>
  </si>
  <si>
    <t>06514d4e-95f8-3d4e-8f6b-0227b33d23ea</t>
  </si>
  <si>
    <t>Hard coal, burned in power plant {CN}</t>
  </si>
  <si>
    <t>4cb27d72-56ac-3d38-a200-541074d4e84d</t>
  </si>
  <si>
    <t>Hard coal, burned in power plant {CZ}</t>
  </si>
  <si>
    <t>b3ee60a8-df05-3365-a552-20fe0ff6ae0d</t>
  </si>
  <si>
    <t>Hard coal, burned in power plant {DE}</t>
  </si>
  <si>
    <t>1b1221a2-5ebb-3994-ad32-74c82c47583f</t>
  </si>
  <si>
    <t>Hard coal, burned in power plant {ERCOT}</t>
  </si>
  <si>
    <t>01f01965-7120-3ca6-abbe-e9bb74919fa1</t>
  </si>
  <si>
    <t>Hard coal, burned in power plant {ES}</t>
  </si>
  <si>
    <t>35436e11-58df-3402-b2fe-91b0fdc63e4f</t>
  </si>
  <si>
    <t>Hard coal, burned in power plant {FR}</t>
  </si>
  <si>
    <t>abf80533-637d-31b7-9b25-3514fcb105f1</t>
  </si>
  <si>
    <t>Hard coal, burned in power plant {FRCC}</t>
  </si>
  <si>
    <t>68fd21e3-e54e-3ac6-88cf-f9278ea0a157</t>
  </si>
  <si>
    <t>Hard coal, burned in power plant {HR}</t>
  </si>
  <si>
    <t>d13f654a-ff19-3986-8725-911d04c5281d</t>
  </si>
  <si>
    <t>Hard coal, burned in power plant {IN}</t>
  </si>
  <si>
    <t>a386aa6f-81d1-375a-ad3a-556bbdfba712</t>
  </si>
  <si>
    <t>Hard coal, burned in power plant {IT}</t>
  </si>
  <si>
    <t>caf4b9f7-b2c3-3651-9c94-a20fd6fb855d</t>
  </si>
  <si>
    <t>Hard coal, burned in power plant {MRO}</t>
  </si>
  <si>
    <t>c7beb59f-52a6-3e24-a213-1e3054f319ae</t>
  </si>
  <si>
    <t>Hard coal, burned in power plant {NL}</t>
  </si>
  <si>
    <t>65e8b00f-beca-34f7-b5e1-ca982f703d11</t>
  </si>
  <si>
    <t>Hard coal, burned in power plant {NORDEL}</t>
  </si>
  <si>
    <t>1e7a9532-eb4c-3b9e-b812-7b20d53895ac</t>
  </si>
  <si>
    <t>Hard coal, burned in power plant {NPCC}</t>
  </si>
  <si>
    <t>0a41e367-fac3-3de6-baac-ac3836f1e983</t>
  </si>
  <si>
    <t>Hard coal, burned in power plant {PL}</t>
  </si>
  <si>
    <t>9dee691c-7ca9-3edc-910e-85735a608995</t>
  </si>
  <si>
    <t>Hard coal, burned in power plant {PT}</t>
  </si>
  <si>
    <t>a8f3e844-1a44-372e-8d3d-ba8168e7f8ad</t>
  </si>
  <si>
    <t>Hard coal, burned in power plant {RFC}</t>
  </si>
  <si>
    <t>e0666da2-f97c-3450-958c-8c5e0b0b227d</t>
  </si>
  <si>
    <t>Hard coal, burned in power plant {RU}</t>
  </si>
  <si>
    <t>76d9aa74-42d0-3f83-9f5c-7e9ef89e9fdc</t>
  </si>
  <si>
    <t>Hard coal, burned in power plant {SERC}</t>
  </si>
  <si>
    <t>7ab13648-c731-37bb-a07d-b26b5a8aa6c1</t>
  </si>
  <si>
    <t>Hard coal, burned in power plant {SK}</t>
  </si>
  <si>
    <t>7ab8cbd4-fb20-3fdf-a6d9-a7b2dcf84e49</t>
  </si>
  <si>
    <t>Hard coal, burned in power plant {SPP}</t>
  </si>
  <si>
    <t>3ead48df-0c0a-3598-937e-36173dacb513</t>
  </si>
  <si>
    <t>Hard coal, burned in power plant {US}</t>
  </si>
  <si>
    <t>electricity by fuel\coal\power plant\power plant</t>
  </si>
  <si>
    <t>973462fd-dc45-3420-99af-880a331e7d5d</t>
  </si>
  <si>
    <t>Hard coal, burned in power plant {WECC}</t>
  </si>
  <si>
    <t>2d66cfe9-356c-333d-a840-42ab91f72b8a</t>
  </si>
  <si>
    <t>Hard sandstone, at mine {CH}</t>
  </si>
  <si>
    <t>7214be9d-a07b-393d-a8af-815bdfe16a72</t>
  </si>
  <si>
    <t>Hard sandstone, at plant {CH}</t>
  </si>
  <si>
    <t>cd25aa92-3398-3056-8806-b36688ca430a</t>
  </si>
  <si>
    <t>Hardwood, allocation correction, 1 {RER}</t>
  </si>
  <si>
    <t>1af534a0-e8bd-3f55-95f6-92b10b0cc367</t>
  </si>
  <si>
    <t>Harvester, production {CH}</t>
  </si>
  <si>
    <t>415e7a9c-26c4-38dd-a071-03440112355e</t>
  </si>
  <si>
    <t>Harvesting, bundling, energy wood harvester {RER}</t>
  </si>
  <si>
    <t>fc272ef4-2f17-3900-822e-108dba2973bb</t>
  </si>
  <si>
    <t>Harvesting, by complete harvester, beets {CH}</t>
  </si>
  <si>
    <t>1f88ae4d-756f-3501-a11d-35ce0cb4e3b9</t>
  </si>
  <si>
    <t>Harvesting, by complete harvester, potatoes {CH}</t>
  </si>
  <si>
    <t>20b0ecab-7be0-3113-aca4-3ce94d91d9e6</t>
  </si>
  <si>
    <t>Harvesting, forestry harvester {RER}</t>
  </si>
  <si>
    <t>6e60d365-26dd-32eb-92a6-eba365d2b56a</t>
  </si>
  <si>
    <t>Haying, by rotary tedder {CH}</t>
  </si>
  <si>
    <t>e646fc03-c656-3a51-8425-0fe6d895294a</t>
  </si>
  <si>
    <t>Hazardous waste incineration plant {CH}</t>
  </si>
  <si>
    <t>waste\infrastructure</t>
  </si>
  <si>
    <t>9ee33d34-8aa5-373b-9848-9f7253a264eb</t>
  </si>
  <si>
    <t>Hazardous waste, from combined oil and gas production, offshore {NO}</t>
  </si>
  <si>
    <t>f380201b-870e-3f66-a559-5cf563b8dc19</t>
  </si>
  <si>
    <t>HDD, desktop computer, at plant {GLO}</t>
  </si>
  <si>
    <t>115073e1-db4d-3bfe-a137-8dcfb83263c2</t>
  </si>
  <si>
    <t>HDD, laptop computer, at plant {GLO}</t>
  </si>
  <si>
    <t>2b9f4897-94f6-365b-be05-fc01a7651919</t>
  </si>
  <si>
    <t>HDMI cable, at plant {GLO}</t>
  </si>
  <si>
    <t>279bbcd8-c0a1-3bf3-ba9a-a851eea7b7af</t>
  </si>
  <si>
    <t>HDPE tank liner {RER}</t>
  </si>
  <si>
    <t>f0d10571-baf5-3808-b5de-7a478a511293</t>
  </si>
  <si>
    <t>Headset (bluetooth), for smartphone, at plant {GLO}</t>
  </si>
  <si>
    <t>822d22c5-0fae-3e09-b79c-c871e174e83e</t>
  </si>
  <si>
    <t>Headset (wired), for smartphone, at plant {GLO}</t>
  </si>
  <si>
    <t>667fe3b8-b358-3e6f-8691-d73bc77cdab8</t>
  </si>
  <si>
    <t>Heat at electric storage heater, 5kW, CH certified electricity {CH}</t>
  </si>
  <si>
    <t>4483a3c0-12da-3bcf-94c7-6a8747603899</t>
  </si>
  <si>
    <t>Heat at electric storage heater, 5kW, CH electricity mix {CH}</t>
  </si>
  <si>
    <t>c9286b64-492f-35d1-8fbc-4099b7ce729d</t>
  </si>
  <si>
    <t>Heat distribution system, air heating, specific heat demand 10W {CH}</t>
  </si>
  <si>
    <t>heating\heating systems</t>
  </si>
  <si>
    <t>52a6ec5f-77d1-35d3-b456-9920d15950d1</t>
  </si>
  <si>
    <t>Heat distribution, hydronic radiant floor heating, 150m2 {CH}</t>
  </si>
  <si>
    <t>d4f0b20e-20b9-322f-a0a8-71083885972b</t>
  </si>
  <si>
    <t>Heat exchanger of cogen unit 160kWe {RER}</t>
  </si>
  <si>
    <t>d49cecdc-f98d-32cb-972d-ef57d8b90820</t>
  </si>
  <si>
    <t>Heat exchanger of Mini CHP plant {CH}</t>
  </si>
  <si>
    <t>975b8a06-8b47-3003-833c-5c18bff909dc</t>
  </si>
  <si>
    <t>Heat exchanger, heat pump Limmatschulhaus {CH}</t>
  </si>
  <si>
    <t>571eeed3-cbb4-3b2e-9499-8343710cb065</t>
  </si>
  <si>
    <t>Heat from waste, at municipal waste incineration plant {CH}</t>
  </si>
  <si>
    <t>heat\waste</t>
  </si>
  <si>
    <t>cc476d2d-20a3-3064-a77e-8d173cc5ac5e</t>
  </si>
  <si>
    <t>Heat production system, specific heat demand 10W {CH}</t>
  </si>
  <si>
    <t>54855858-b600-38f1-9b08-a409264d0e2a</t>
  </si>
  <si>
    <t>Heat production system, specific heat demand 30W {CH}</t>
  </si>
  <si>
    <t>057cbf65-064e-3b78-a772-2333560db627</t>
  </si>
  <si>
    <t>Heat production system, specific heat demand 50W {CH}</t>
  </si>
  <si>
    <t>57d819f6-82c3-3df3-a2c6-cbeebf12135b</t>
  </si>
  <si>
    <t>Heat pump 10 kW production for air source heat pump system {CH}</t>
  </si>
  <si>
    <t>cd977659-b587-3e0d-8b69-ef85336c1865</t>
  </si>
  <si>
    <t>Heat pump 10 kW production for ground source heat pump system {CH}</t>
  </si>
  <si>
    <t>b30a4bdd-1d33-3758-842f-a997520ca5ae</t>
  </si>
  <si>
    <t>Heat pump 10 kW production for water source heat pump system {CH}</t>
  </si>
  <si>
    <t>87122af6-bca2-37a4-a58a-45bb70a1c2d2</t>
  </si>
  <si>
    <t>Heat pump 30kW {RER}</t>
  </si>
  <si>
    <t>0270c212-7e0c-34e9-a29a-9735820fff44</t>
  </si>
  <si>
    <t>Heat pump Limmatschulhaus {CH}</t>
  </si>
  <si>
    <t>7bd453ee-28f2-32c2-9878-20a82ed297da</t>
  </si>
  <si>
    <t>571f4171-b256-31f5-b54b-fe3b5cb0a5d5</t>
  </si>
  <si>
    <t>893b3fa6-edab-3d4c-907c-5e93ea5aa174</t>
  </si>
  <si>
    <t>Heat pump, air-water, 7kW {RER}</t>
  </si>
  <si>
    <t>8cddf964-9457-3e49-90bc-a607d4f7b4c5</t>
  </si>
  <si>
    <t>Heat pump, air-water, per kg {CH}</t>
  </si>
  <si>
    <t>heat\heat pumps\production of components</t>
  </si>
  <si>
    <t>f40697d5-d968-3129-8fbf-76d7e5304af8</t>
  </si>
  <si>
    <t>Heat pump, brine-water, 10kW {CH}</t>
  </si>
  <si>
    <t>c6b012a1-9b92-31c2-8ad2-deab5c0befcb</t>
  </si>
  <si>
    <t>d9e15717-0671-332b-bc52-ca5aa7e1bc49</t>
  </si>
  <si>
    <t>12bff562-96a8-3efe-b1dc-94ee21490e0e</t>
  </si>
  <si>
    <t>Heat pump, brine-water, 7kW {RER}</t>
  </si>
  <si>
    <t>af0bffe4-02de-3bd0-b5ca-c2eebb4c37fb</t>
  </si>
  <si>
    <t>Heat pump, brine-water, per kg {CH}</t>
  </si>
  <si>
    <t>fc37580e-9c3e-3776-8232-6f673e5a3024</t>
  </si>
  <si>
    <t>Heat sink for CPU, network equipment, at plant {GLO}</t>
  </si>
  <si>
    <t>c89a5c4e-eceb-3777-8959-486a5499ecba</t>
  </si>
  <si>
    <t>Heat storage 2000l, at plant {CH}</t>
  </si>
  <si>
    <t>5efdfbfc-b4c5-3444-8311-55dd455506dd</t>
  </si>
  <si>
    <t>Heat transfer plate {GLO}</t>
  </si>
  <si>
    <t>2ea8ab8a-cf9b-3e93-99d2-7f46469b7681</t>
  </si>
  <si>
    <t>Heat treatment, cold impact extrusion, aluminium {RER}</t>
  </si>
  <si>
    <t>e9daa91c-e005-3b9f-8648-0a06f354fc0e</t>
  </si>
  <si>
    <t>Heat treatment, cold impact extrusion, steel {RER}</t>
  </si>
  <si>
    <t>71bbd57d-7992-3633-8a13-2a0b85c368e6</t>
  </si>
  <si>
    <t>Heat treatment, hot impact extrusion, steel {RER}</t>
  </si>
  <si>
    <t>56b55e69-b195-303e-90cb-f804374d11ec</t>
  </si>
  <si>
    <t>Heat, at 10.5 m2 evacuated tube collector, glass-glass tube, one-family house, for combined system {CH}</t>
  </si>
  <si>
    <t>heat\solar</t>
  </si>
  <si>
    <t>dd89c76f-7e77-3cdb-b7d2-c18f314678f8</t>
  </si>
  <si>
    <t>Heat, at 10.5 m2 evacuated tube collector, heat pipe, one-family house, for combined system {CH}</t>
  </si>
  <si>
    <t>b5324f06-bba0-3542-a1e8-754db2d0a0f4</t>
  </si>
  <si>
    <t>Heat, at 100m2 solar collector in PVT system, Al-Cu, slanted roof, borehole for heat regeneration {CH}</t>
  </si>
  <si>
    <t>7b603065-78ef-3da5-b89e-fbb35faf086f</t>
  </si>
  <si>
    <t>Heat, at 100m2 solar collector in PVT system, Al-Cu, slanted roof, hot water heat storage {CH}</t>
  </si>
  <si>
    <t>f812489e-8512-31ca-9053-7c01cd040c59</t>
  </si>
  <si>
    <t>Heat, at 12 m2 Cu collector, one-family house, for combined system {CH}</t>
  </si>
  <si>
    <t>44440c79-83e8-335f-bf4e-0c98e6a48b1c</t>
  </si>
  <si>
    <t>Heat, at 20 m2 Cu collector, multiple dwelling, slanted roof, for hot water {CH}</t>
  </si>
  <si>
    <t>67546b0b-49cb-3bad-93a4-ecb6bf660767</t>
  </si>
  <si>
    <t>Heat, at 30 m2  Al-Cu collector, multiple dwelling, slanted roof, for hot water {CH}</t>
  </si>
  <si>
    <t>9142d38b-ae1b-3739-8a33-2f90fe9dc029</t>
  </si>
  <si>
    <t>Heat, at 30 m2 Cu collector, multiple dwelling, flat roof, for hot water {CH}</t>
  </si>
  <si>
    <t>77118480-7825-3740-b98e-28aa1e71384a</t>
  </si>
  <si>
    <t>Heat, at 30 m2 Cu collector, multiple dwelling, slanted roof, for hot water {CH}</t>
  </si>
  <si>
    <t>3e2c2582-cda3-3a6a-b8a9-5bbf708df866</t>
  </si>
  <si>
    <t>Heat, at 5 m2 Cu collector, one-family house, for hot water {CH}</t>
  </si>
  <si>
    <t>c886cfb3-186b-3bfb-af11-d2a217bc0ccb</t>
  </si>
  <si>
    <t>Heat, at 81 m2 Cu collector, multiple dwelling, for hot water {CH}</t>
  </si>
  <si>
    <t>6a184657-f2d3-3500-acdb-c368329f8aaa</t>
  </si>
  <si>
    <t>Heat, at air-water heat pump 10kW {RER}</t>
  </si>
  <si>
    <t>energy, obsolete\heat, obsolete\heat pumps, obsolete</t>
  </si>
  <si>
    <t>00589304-66c8-37b6-8d7a-117677d4ca06</t>
  </si>
  <si>
    <t>Heat, at borehole heat pump, brine-water, 15kW, cert. electr., in new building {CH}</t>
  </si>
  <si>
    <t>842e8376-983c-360c-9150-6049585ef03a</t>
  </si>
  <si>
    <t>Heat, at borehole heat pump, brine-water, 15kW, cert. electr., in old building {CH}</t>
  </si>
  <si>
    <t>bf567643-7d51-3f6e-8328-fed27addc7de</t>
  </si>
  <si>
    <t>Heat, at borehole heat pump, brine-water, 15kW, CH electricity, in new building {CH}</t>
  </si>
  <si>
    <t>444654d0-b65e-3a4e-ace5-8c34052b0e46</t>
  </si>
  <si>
    <t>Heat, at borehole heat pump, brine-water, 15kW, CH electricity, in old building {CH}</t>
  </si>
  <si>
    <t>27fabca5-327c-3273-b3c1-365d020fbc9a</t>
  </si>
  <si>
    <t>Heat, at borehole heat pump, brine-water, 50kW, cert. electr., in new building {CH}</t>
  </si>
  <si>
    <t>fec85012-938b-3408-8695-5ecff78e1452</t>
  </si>
  <si>
    <t>Heat, at borehole heat pump, brine-water, 50kW, cert. electr., in old building {CH}</t>
  </si>
  <si>
    <t>74f6b65e-d158-3eda-b999-55aad805bdf4</t>
  </si>
  <si>
    <t>Heat, at borehole heat pump, brine-water, 50kW, CH electricity, in new building {CH}</t>
  </si>
  <si>
    <t>d745d499-4854-3661-8944-c94d64d55ed5</t>
  </si>
  <si>
    <t>Heat, at borehole heat pump, brine-water, 50kW, CH electricity, in old building {CH}</t>
  </si>
  <si>
    <t>70698917-aab8-3ebb-b713-a317f1114de0</t>
  </si>
  <si>
    <t>Heat, at borehole heat pump, brine-water, 50kW, for district heating, CH electricity {CH}</t>
  </si>
  <si>
    <t>84349389-ccae-3213-a0d1-3b631d4d7fd6</t>
  </si>
  <si>
    <t>Heat, at borehole heat pump, brine-water, 7kW, cert. elec., in new building {CH}</t>
  </si>
  <si>
    <t>c64f4d7d-4e7c-36d9-a249-5a00d4166993</t>
  </si>
  <si>
    <t>Heat, at borehole heat pump, brine-water, 7kW, CH. elec., in new building {CH}</t>
  </si>
  <si>
    <t>e14c507f-7d69-3f3b-a210-edf658816d23</t>
  </si>
  <si>
    <t>Heat, at cogen 15kWth, biomethane, allocation exergy {CH}</t>
  </si>
  <si>
    <t>652d7aec-254b-3661-be53-47c80e9e7548</t>
  </si>
  <si>
    <t>Heat, at cogen 15kWth, biomethane, economic allocation {CH}</t>
  </si>
  <si>
    <t>d88b3f5d-0b71-3611-a1a7-1fc8475a0c03</t>
  </si>
  <si>
    <t>Heat, at cogen 15kWth, diesel, allocation exergy {CH}</t>
  </si>
  <si>
    <t>ae3a88aa-4068-3294-b508-470b39ac84e7</t>
  </si>
  <si>
    <t>Heat, at cogen 15kWth, diesel, economic allocation {CH}</t>
  </si>
  <si>
    <t>f3a11ef7-f31e-33ad-9288-df964c6cc4bc</t>
  </si>
  <si>
    <t>Heat, at cogen 15kWth, natural gas, allocation exergy {CH}</t>
  </si>
  <si>
    <t>heat\natural gas\cogeneration</t>
  </si>
  <si>
    <t>1e2ea0e5-3969-3262-a12c-44297fcbc3f2</t>
  </si>
  <si>
    <t>Heat, at cogen 15kWth, natural gas, economic allocation {CH}</t>
  </si>
  <si>
    <t>218f6872-1442-3922-842f-bf2f8d87cee7</t>
  </si>
  <si>
    <t>Heat, at cogen 160kWe Jakobsberg, allocation electricity {CH}</t>
  </si>
  <si>
    <t>c19e16c9-45b6-3795-8703-bb5f06fa6c8a</t>
  </si>
  <si>
    <t>Heat, at cogen 160kWe Jakobsberg, allocation energy {CH}</t>
  </si>
  <si>
    <t>264bc412-c300-300c-82b2-0bfdbd4834ac</t>
  </si>
  <si>
    <t>Heat, at cogen 160kWe Jakobsberg, allocation exergy {CH}</t>
  </si>
  <si>
    <t>a1d97f81-0932-3069-84cc-8ce236ae83f3</t>
  </si>
  <si>
    <t>Heat, at cogen 160kWe Jakobsberg, allocation heat {CH}</t>
  </si>
  <si>
    <t>1b55beb7-ca94-36b2-9cc6-0028820dc47d</t>
  </si>
  <si>
    <t>Heat, at cogen 160kWe Jakobsberg, allocation price {CH}</t>
  </si>
  <si>
    <t>8e7efd07-f748-32b0-a763-3081d47a1c1d</t>
  </si>
  <si>
    <t>Heat, at cogen 160kWe lambda=1, allocation exergy {CH}</t>
  </si>
  <si>
    <t>65f30b08-8a39-3492-9c4a-2a1914a48a06</t>
  </si>
  <si>
    <t>Heat, at cogen 1MWe lean burn, allocation exergy {RER}</t>
  </si>
  <si>
    <t>7618459b-c633-3378-89c3-44b74cf2d085</t>
  </si>
  <si>
    <t>Heat, at cogen 1MWe lean burn, allocation heat {RER}</t>
  </si>
  <si>
    <t>c7a0220a-a34b-3dbf-bf68-d5f8dceec8d2</t>
  </si>
  <si>
    <t>Heat, at cogen 1MWth, biomethane, allocation exergy {CH}</t>
  </si>
  <si>
    <t>e7808416-d2a6-3675-934d-99c959ec47ed</t>
  </si>
  <si>
    <t>Heat, at cogen 1MWth, biomethane, economic allocation {CH}</t>
  </si>
  <si>
    <t>d184d862-2e7d-3f12-893f-59ef9d0bce8c</t>
  </si>
  <si>
    <t>Heat, at cogen 1MWth, diesel, allocation exergy {CH}</t>
  </si>
  <si>
    <t>84ae5a48-75d1-3223-804c-9889b64e4202</t>
  </si>
  <si>
    <t>Heat, at cogen 1MWth, diesel, economic allocation {CH}</t>
  </si>
  <si>
    <t>6e688b33-5c21-3c74-82aa-d9e2f5b1e8bb</t>
  </si>
  <si>
    <t>Heat, at cogen 1MWth, natural gas, allocation exergy {CH}</t>
  </si>
  <si>
    <t>af0e1a24-c693-364b-bf6e-b9f666f5a9ab</t>
  </si>
  <si>
    <t>Heat, at cogen 1MWth, natural gas, economic allocation {CH}</t>
  </si>
  <si>
    <t>a6f7fc1e-c32f-3214-adb6-40cf68f0996d</t>
  </si>
  <si>
    <t>Heat, at cogen 1MWth, wood chips, allocation exergy {CH}</t>
  </si>
  <si>
    <t>heat\wood\cogeneration</t>
  </si>
  <si>
    <t>f1be790e-5a70-397f-85d5-2eefe20ff2d6</t>
  </si>
  <si>
    <t>Heat, at cogen 1MWth, wood chips, economic allocation {CH}</t>
  </si>
  <si>
    <t>38630142-ef62-39b3-98da-65a78d42749d</t>
  </si>
  <si>
    <t>Heat, at cogen 300kWth, biomethane, allocation exergy {CH}</t>
  </si>
  <si>
    <t>50d2c5ff-8413-3570-b7f6-d372931e5369</t>
  </si>
  <si>
    <t>Heat, at cogen 300kWth, biomethane, economic allocation {CH}</t>
  </si>
  <si>
    <t>ff675ba2-6f67-3237-aec6-8ef40bb10721</t>
  </si>
  <si>
    <t>Heat, at cogen 300kWth, diesel, allocation exergy {CH}</t>
  </si>
  <si>
    <t>c6d2f972-2b73-3449-9242-e801a8b7d1cf</t>
  </si>
  <si>
    <t>Heat, at cogen 300kWth, diesel, economic allocation {CH}</t>
  </si>
  <si>
    <t>c11cbb6c-ee54-3dcc-a484-d37a9755fb28</t>
  </si>
  <si>
    <t>Heat, at cogen 300kWth, natural gas, allocation exergy {CH}</t>
  </si>
  <si>
    <t>330a54d8-674f-3f39-b789-28e3c0639576</t>
  </si>
  <si>
    <t>Heat, at cogen 300kWth, natural gas, economic allocation {CH}</t>
  </si>
  <si>
    <t>f442f4cf-d588-33be-9359-c0cc4326abd2</t>
  </si>
  <si>
    <t>Heat, at cogen 300kWth, pellets, allocation exergy {CH}</t>
  </si>
  <si>
    <t>662f9fa8-dc24-3c82-b939-3fa631bf9457</t>
  </si>
  <si>
    <t>Heat, at cogen 300kWth, pellets, economic allocation {CH}</t>
  </si>
  <si>
    <t>7dd45a60-180a-3b63-8ca7-8655600d2e13</t>
  </si>
  <si>
    <t>Heat, at cogen 300kWth, wood chips, allocation exergy {CH}</t>
  </si>
  <si>
    <t>1169d155-9e8e-39da-9980-f36a2752d093</t>
  </si>
  <si>
    <t>Heat, at cogen 300kWth, wood chips, economic allocation {CH}</t>
  </si>
  <si>
    <t>aee9c496-f9d1-3887-9607-dc4c41f33dab</t>
  </si>
  <si>
    <t>Heat, at cogen 50kWth, biomethane, allocation exergy {CH}</t>
  </si>
  <si>
    <t>7171b234-9265-3797-a48c-dc79e8cd2fc3</t>
  </si>
  <si>
    <t>Heat, at cogen 50kWth, biomethane, economic allocation {CH}</t>
  </si>
  <si>
    <t>1948cd5c-e792-36ff-b303-0ba1cfe796a7</t>
  </si>
  <si>
    <t>Heat, at cogen 50kWth, diesel, allocation exergy {CH}</t>
  </si>
  <si>
    <t>2812c388-6863-35df-9f8b-a1a5899f463f</t>
  </si>
  <si>
    <t>Heat, at cogen 50kWth, diesel, economic allocation {CH}</t>
  </si>
  <si>
    <t>35354e6b-e86b-371f-aa4b-ddc1eba77950</t>
  </si>
  <si>
    <t>Heat, at cogen 50kWth, natural gas, allocation exergy {CH}</t>
  </si>
  <si>
    <t>36b196c4-9b80-3a83-a9ff-1555345b0543</t>
  </si>
  <si>
    <t>Heat, at cogen 50kWth, natural gas, economic allocation {CH}</t>
  </si>
  <si>
    <t>142013ae-e800-39e4-bbdf-8fd3ad475c0d</t>
  </si>
  <si>
    <t>Heat, at cogen 50kWth, wood pellets, allocation exergy {CH}</t>
  </si>
  <si>
    <t>d03edb4e-f3c1-3257-83f1-44263df7a977</t>
  </si>
  <si>
    <t>Heat, at cogen 50kWth, wood pellets, economic allocation {CH}</t>
  </si>
  <si>
    <t>d73e366b-1316-3729-9f60-725c8ac120e7</t>
  </si>
  <si>
    <t>Heat, at cogen with biogas engine, agricultural covered, allocation exergy {CH}</t>
  </si>
  <si>
    <t>heat\biomass\cogeneration</t>
  </si>
  <si>
    <t>2c089e30-1b8b-3071-91d5-da32372dbfaa</t>
  </si>
  <si>
    <t>Heat, at cogen with biogas engine, agricultural, allocation exergy {CH}</t>
  </si>
  <si>
    <t>8cce5374-ab49-35e2-a559-e2051fb6f5ab</t>
  </si>
  <si>
    <t>Heat, at cogen with biogas engine, allocation exergy {CH}</t>
  </si>
  <si>
    <t>ec20f738-0516-3cf9-82fc-b0d106ae2e0c</t>
  </si>
  <si>
    <t>Heat, at cogen with biogas engine, methane 96%-vol allocation exergy {CH}</t>
  </si>
  <si>
    <t>energy supply, kbob recommendation\fuels, renewable</t>
  </si>
  <si>
    <t>e3097da4-24af-374f-ac99-58ffc2f60372</t>
  </si>
  <si>
    <t>Heat, at cogen with ignition biogas engine, agricultural covered, alloc. exergy {CH}</t>
  </si>
  <si>
    <t>e8b828bf-8f9a-3eec-885c-6297617afdb6</t>
  </si>
  <si>
    <t>Heat, at cogen with ignition biogas engine, allocation exergy {CH}</t>
  </si>
  <si>
    <t>5d0ddf39-01a0-3bb8-a8bf-5611e46024a1</t>
  </si>
  <si>
    <t>Heat, at groundwater heat pump, brine-water, 15kW, cert. elec., in new building {CH}</t>
  </si>
  <si>
    <t>dd7f0575-e1c3-3491-98e7-924f08df27a9</t>
  </si>
  <si>
    <t>Heat, at groundwater heat pump, brine-water, 15kW, cert. elec., in old building {CH}</t>
  </si>
  <si>
    <t>6f05f241-dc25-321a-b426-d9375a047e3d</t>
  </si>
  <si>
    <t>Heat, at groundwater heat pump, brine-water, 15kW, CH electr., in new building {CH}</t>
  </si>
  <si>
    <t>b984b9b3-85ca-3fc5-84a0-e95d79f125bf</t>
  </si>
  <si>
    <t>Heat, at groundwater heat pump, brine-water, 15kW, CH electr., in old building {CH}</t>
  </si>
  <si>
    <t>3876f922-c42e-334c-80c0-be4a8ae0e8af</t>
  </si>
  <si>
    <t>Heat, at groundwater heat pump, brine-water, 50kW, cert. elec., in new building {CH}</t>
  </si>
  <si>
    <t>cd066fb2-b04a-30b6-b693-1b55c5e716d7</t>
  </si>
  <si>
    <t>Heat, at groundwater heat pump, brine-water, 50kW, cert. elec., in old building {CH}</t>
  </si>
  <si>
    <t>344abd3e-c7d6-357e-b883-e9a95acd1909</t>
  </si>
  <si>
    <t>Heat, at groundwater heat pump, brine-water, 50kW, CH electr., in new building {CH}</t>
  </si>
  <si>
    <t>5c6c72ba-da62-32b2-88f4-93008271d2b4</t>
  </si>
  <si>
    <t>Heat, at groundwater heat pump, brine-water, 50kW, CH electr., in old building {CH}</t>
  </si>
  <si>
    <t>e9fe48cf-22f3-3526-b47f-49dad3946c6c</t>
  </si>
  <si>
    <t>Heat, at groundwater heat pump, brine-water, 50kW, for district heating, CH electr. {CH}</t>
  </si>
  <si>
    <t>39abc2b1-3d46-3123-9bf7-6519e0083ba5</t>
  </si>
  <si>
    <t>Heat, at groundwater heat pump, brine-water, 7kW, cert. elec., in new building {CH}</t>
  </si>
  <si>
    <t>0e50ce5a-2d73-3bdc-bdd4-4e3d1419e18d</t>
  </si>
  <si>
    <t>Heat, at groundwater heat pump, brine-water, 7kW, CH elec., in new building {CH}</t>
  </si>
  <si>
    <t>067208c9-4749-3b98-b31e-ac19175a95d6</t>
  </si>
  <si>
    <t>Heat, at hard coal industrial furnace 1-10MW {RER}</t>
  </si>
  <si>
    <t>heat\coal</t>
  </si>
  <si>
    <t>78fa456f-a455-38b2-9332-67df26933a8c</t>
  </si>
  <si>
    <t>Heat, at heat pump 30kW, allocation electricity {CH}</t>
  </si>
  <si>
    <t>3086ceb8-c971-39c8-bb94-4e9cd7fd0fed</t>
  </si>
  <si>
    <t>Heat, at heat pump 30kW, allocation energy {CH}</t>
  </si>
  <si>
    <t>6e0b744c-335c-37a7-8103-0a372ab7ea00</t>
  </si>
  <si>
    <t>Heat, at heat pump 30kW, allocation exergy {CH}</t>
  </si>
  <si>
    <t>ce71934f-f039-3a6b-922b-052fb96dcbe5</t>
  </si>
  <si>
    <t>Heat, at heat pump 30kW, allocation heat {CH}</t>
  </si>
  <si>
    <t>1b5aa747-5401-3b35-9478-c2dc5c6772d9</t>
  </si>
  <si>
    <t>Heat, at heat pump 30kW, allocation price {CH}</t>
  </si>
  <si>
    <t>357087ab-7e3e-3eb2-afa1-389a288bb452</t>
  </si>
  <si>
    <t>Heat, at heat pump, air-water, 15kW, certified electricity, in new building (proj. 210) {CH}</t>
  </si>
  <si>
    <t>1f46b8d7-5d2d-3305-9648-1996f9fe22f1</t>
  </si>
  <si>
    <t>Heat, at heat pump, air-water, 15kW, certified electricity, in new building {CH}</t>
  </si>
  <si>
    <t>529ec932-ddd2-39cd-9e7e-01ec19d684ea</t>
  </si>
  <si>
    <t>Heat, at heat pump, air-water, 15kW, certified electricity, in old building (proj. 210) {CH}</t>
  </si>
  <si>
    <t>cb3f1eb5-3e2f-3e1d-9bb2-9d6c55f1df3c</t>
  </si>
  <si>
    <t>Heat, at heat pump, air-water, 15kW, certified electricity, in old building {CH}</t>
  </si>
  <si>
    <t>8b776c57-1f68-3c34-8df4-d75e85918c38</t>
  </si>
  <si>
    <t>Heat, at heat pump, air-water, 15kW, CH electricity, in new building (proj. 210) {CH}</t>
  </si>
  <si>
    <t>67987a53-51f3-35e8-97ee-607c90bd0b38</t>
  </si>
  <si>
    <t>Heat, at heat pump, air-water, 15kW, CH electricity, in new building {CH}</t>
  </si>
  <si>
    <t>42d98111-94d4-380f-ad40-87b14b897b83</t>
  </si>
  <si>
    <t>Heat, at heat pump, air-water, 15kW, CH electricity, in old building (proj. 210) {CH}</t>
  </si>
  <si>
    <t>6bde4d7d-ec71-320c-ac66-795ea75cf663</t>
  </si>
  <si>
    <t>Heat, at heat pump, air-water, 15kW, CH electricity, in old building {CH}</t>
  </si>
  <si>
    <t>f6ca9cc5-8ea0-3c02-8eda-233b0c291889</t>
  </si>
  <si>
    <t>Heat, at heat pump, air-water, 50kW, certified electricity, in new building {CH}</t>
  </si>
  <si>
    <t>cebc3ff1-5dc0-3467-8f51-4294cd6bf9b6</t>
  </si>
  <si>
    <t>Heat, at heat pump, air-water, 50kW, certified electricity, in old building {CH}</t>
  </si>
  <si>
    <t>6ac9ab97-9e01-375e-a8e4-36019942248f</t>
  </si>
  <si>
    <t>Heat, at heat pump, air-water, 50kW, CH electricity, in new building {CH}</t>
  </si>
  <si>
    <t>6cbf51a4-0d74-38f8-8ac3-88a097f327c2</t>
  </si>
  <si>
    <t>Heat, at heat pump, air-water, 50kW, CH electricity, in old building {CH}</t>
  </si>
  <si>
    <t>6044f547-291d-347a-a07c-620a38e22934</t>
  </si>
  <si>
    <t>Heat, at heat pump, air-water, 7kW, certified electricity, in new building {CH}</t>
  </si>
  <si>
    <t>892e7d55-11e9-374a-a26e-0ecf25691281</t>
  </si>
  <si>
    <t>Heat, at heat pump, air-water, 7kW, CH electricity, in new building {CH}</t>
  </si>
  <si>
    <t>3e1b572a-9648-3395-a1a9-2882c23f8cf6</t>
  </si>
  <si>
    <t>Heat, at ice storage heat pump, brine-water, 15kW, cert. elec., in new building {CH}</t>
  </si>
  <si>
    <t>f56451fe-9ad4-352e-9e65-70f02d784329</t>
  </si>
  <si>
    <t>Heat, at ice storage heat pump, brine-water, 15kW, cert. elec., in old building {CH}</t>
  </si>
  <si>
    <t>ad899e1e-deab-3a95-bc97-a30cf59997be</t>
  </si>
  <si>
    <t>Heat, at ice storage heat pump, brine-water, 15kW, CH electr., in new building {CH}</t>
  </si>
  <si>
    <t>3d6448d8-e60b-3a63-ac37-2fc78cc66706</t>
  </si>
  <si>
    <t>Heat, at ice storage heat pump, brine-water, 15kW, CH electr., in old building {CH}</t>
  </si>
  <si>
    <t>b288bd90-6f97-3528-8f78-b0480d5389bc</t>
  </si>
  <si>
    <t>Heat, at ice storage heat pump, brine-water, 50kW, cert. elec., in new building {CH}</t>
  </si>
  <si>
    <t>5c7455b2-df08-3206-9f10-de488ec1d98c</t>
  </si>
  <si>
    <t>Heat, at ice storage heat pump, brine-water, 50kW, cert. elec., in old building {CH}</t>
  </si>
  <si>
    <t>6a791bba-dc80-345e-9de5-02170c472bfc</t>
  </si>
  <si>
    <t>Heat, at ice storage heat pump, brine-water, 50kW, CH electr., in new building {CH}</t>
  </si>
  <si>
    <t>42644201-a724-3b5a-a71d-3ba6ef9f47aa</t>
  </si>
  <si>
    <t>Heat, at ice storage heat pump, brine-water, 50kW, CH electr., in old building {CH}</t>
  </si>
  <si>
    <t>f6c8c63f-f6ab-3c02-88fd-e0500fdc0c90</t>
  </si>
  <si>
    <t>Heat, at ice strorage heat pump, brine-water, 7kW, cert. elec., in new building {CH}</t>
  </si>
  <si>
    <t>5e452ee2-8e08-313b-ae22-ca77859b3a38</t>
  </si>
  <si>
    <t>Heat, at ice strorage heat pump, brine-water, 7kW, CH elec., in new building {CH}</t>
  </si>
  <si>
    <t>5fec6b64-d614-374a-9e90-3752b86442aa</t>
  </si>
  <si>
    <t>Heat, at module cogen 160kWe Jakobsberg, allocation electricity {CH}</t>
  </si>
  <si>
    <t>6fcc8cad-6170-3cf2-b80d-d841d7429e44</t>
  </si>
  <si>
    <t>Heat, at module cogen 160kWe Jakobsberg, allocation energy {CH}</t>
  </si>
  <si>
    <t>dd4c73f8-b410-3ca0-97d0-87327f926d8c</t>
  </si>
  <si>
    <t>Heat, at module cogen 160kWe Jakobsberg, allocation exergy {CH}</t>
  </si>
  <si>
    <t>12040cde-d152-3473-b22f-3b7c0aedc525</t>
  </si>
  <si>
    <t>Heat, at module cogen 160kWe Jakobsberg, allocation heat {CH}</t>
  </si>
  <si>
    <t>73409587-b116-3386-8410-b539b197f81a</t>
  </si>
  <si>
    <t>Heat, at module cogen 160kWe Jakobsberg, allocation price {CH}</t>
  </si>
  <si>
    <t>a34b94a5-638c-3283-bde2-d040991266e8</t>
  </si>
  <si>
    <t>Heat, at nuclear power plant, allocation exergy {CH}</t>
  </si>
  <si>
    <t>b9f7599f-a119-343b-97a9-dd29a6999a80</t>
  </si>
  <si>
    <t>Heat, at nuclear power plant, economic allocation {CH}</t>
  </si>
  <si>
    <t>cff77537-4513-397d-9082-d0feceb42d77</t>
  </si>
  <si>
    <t>Heat, at system cogen 160kWe Jakobsberg, allocation electricity {CH}</t>
  </si>
  <si>
    <t>ebb3b4eb-f0f7-34cb-bcfe-daad33d7ff35</t>
  </si>
  <si>
    <t>Heat, at system cogen 160kWe Jakobsberg, allocation energy {CH}</t>
  </si>
  <si>
    <t>f7a740d1-a1de-3112-8a41-415b8fd06d5c</t>
  </si>
  <si>
    <t>Heat, at system cogen 160kWe Jakobsberg, allocation exergy {CH}</t>
  </si>
  <si>
    <t>f59b6da2-7404-379a-b53a-422ce8600700</t>
  </si>
  <si>
    <t>Heat, at system cogen 160kWe Jakobsberg, allocation heat {CH}</t>
  </si>
  <si>
    <t>e1e448df-4c6c-3eda-8de2-885a9f13bdcd</t>
  </si>
  <si>
    <t>Heat, at system cogen 160kWe Jakobsberg, allocation price {CH}</t>
  </si>
  <si>
    <t>e4d26b45-2a5e-30e1-bf89-50f8d1205b4b</t>
  </si>
  <si>
    <t>Heat, biogas from beet residues, at cogen {CH}</t>
  </si>
  <si>
    <t>15bca911-3e5d-3055-b253-fe07728fb8ba</t>
  </si>
  <si>
    <t>Heat, biogas from fodder beet, at cogen {CH}</t>
  </si>
  <si>
    <t>447c5155-32c9-37b3-bdbc-18d3b3e4b49a</t>
  </si>
  <si>
    <t>Heat, biogas from glycerine, at cogen {CH}</t>
  </si>
  <si>
    <t>5e87e367-06f7-3d3b-885e-1d71abf149f5</t>
  </si>
  <si>
    <t>Heat, biogas from glycerine, at cogen, scenario vegetable oil {CH}</t>
  </si>
  <si>
    <t>02591631-9cc7-3336-85ab-b619cbea7c7c</t>
  </si>
  <si>
    <t>Heat, biogas from maize silage, at cogen {CH}</t>
  </si>
  <si>
    <t>cd6b5050-fb37-34ab-9d16-e129bdaf6aeb</t>
  </si>
  <si>
    <t>Heat, biogas from molasses, at cogen {CH}</t>
  </si>
  <si>
    <t>64f84d81-d63b-3966-bda5-200a94795fe0</t>
  </si>
  <si>
    <t>Heat, biogas from sugar beet, at cogen {CH}</t>
  </si>
  <si>
    <t>ff2cbbda-133e-362f-b423-9eaf4ef7da47</t>
  </si>
  <si>
    <t>Heat, biomethane, at boiler condensing modulating 15kW {CH}</t>
  </si>
  <si>
    <t>82ee9f21-232c-35a0-a569-c270943baf54</t>
  </si>
  <si>
    <t>Heat, biomethane, at boiler condensing modulating 300kW {CH}</t>
  </si>
  <si>
    <t>86a8f8e5-b876-3d59-9d58-eda59b2c9621</t>
  </si>
  <si>
    <t>Heat, biomethane, at boiler condensing modulating 50kW {CH}</t>
  </si>
  <si>
    <t>372ee17f-bca8-3127-bdcb-0a045187ac33</t>
  </si>
  <si>
    <t>Heat, biomethane, at diffusion absorption heat pump 15kW {CH}</t>
  </si>
  <si>
    <t>aacf2e48-8237-3db6-b762-68b0da53d120</t>
  </si>
  <si>
    <t>Heat, biomethane, at industrial furnace 1MW {CH}</t>
  </si>
  <si>
    <t>a62543c0-11b9-33fb-a5cb-18d9f90de65a</t>
  </si>
  <si>
    <t>Heat, borehole heat exchanger, at brine-water heat pump 10kW {RER}</t>
  </si>
  <si>
    <t>c5145e64-c144-3075-84ed-736c6ddef027</t>
  </si>
  <si>
    <t>Heat, coffee ground pellets, burned in furnace, ash to landfarming {CH}</t>
  </si>
  <si>
    <t>da6a26ff-b827-3c78-93a9-d9f402bdd862</t>
  </si>
  <si>
    <t>Heat, coffee ground pellets, burned in furnace, ash to municipal incineration {CH}</t>
  </si>
  <si>
    <t>4a44e2b1-a8eb-3f75-8513-a67f5f2c1740</t>
  </si>
  <si>
    <t>Heat, coffee ground pellets, burned in furnace, ash to sanitary landfill {CH}</t>
  </si>
  <si>
    <t>95b04b89-47ab-3e05-bb6e-fdffefdb3fd7</t>
  </si>
  <si>
    <t>Heat, coffee ground pellets, burned in furnace, produced on site {CH}</t>
  </si>
  <si>
    <t>d224349c-c288-33ae-945f-3f9f16b5d5e2</t>
  </si>
  <si>
    <t>Heat, coffee ground pellets, in wood furnace 25kW {CH}</t>
  </si>
  <si>
    <t>e17a0b9a-9b4f-35d5-b6a6-a0723daf629b</t>
  </si>
  <si>
    <t>Heat, digester sludge, at incineration plant, future, allocation price {CH}</t>
  </si>
  <si>
    <t>1f7aaeeb-adba-30d5-ab33-cc8353f1243e</t>
  </si>
  <si>
    <t>Heat, from natural gas {AT}</t>
  </si>
  <si>
    <t>heat\gas</t>
  </si>
  <si>
    <t>6e4b25a0-add4-3685-8c1e-5a826ce40f9b</t>
  </si>
  <si>
    <t>Heat, from natural gas {BE}</t>
  </si>
  <si>
    <t>03e78f87-184b-3086-9f57-a96b9b0aa012</t>
  </si>
  <si>
    <t>Heat, from natural gas {BG}</t>
  </si>
  <si>
    <t>eaa64ebf-36de-394c-9d24-ad7316c61e45</t>
  </si>
  <si>
    <t>Heat, from natural gas {CH}</t>
  </si>
  <si>
    <t>25340ab1-e235-3503-9816-a70dbe0750b2</t>
  </si>
  <si>
    <t>Heat, from natural gas {CN}</t>
  </si>
  <si>
    <t>5f5c5ec5-c159-339a-8269-5211aa8a931d</t>
  </si>
  <si>
    <t>Heat, from natural gas {CZ}</t>
  </si>
  <si>
    <t>598434b5-7c25-3c80-9001-928e15d0c2fb</t>
  </si>
  <si>
    <t>Heat, from natural gas {DE}</t>
  </si>
  <si>
    <t>242c87a4-90fd-3e13-874b-69c1547fb584</t>
  </si>
  <si>
    <t>Heat, from natural gas {DK}</t>
  </si>
  <si>
    <t>34df819d-d73d-3dbb-be88-0f725e9965e7</t>
  </si>
  <si>
    <t>Heat, from natural gas {EE}</t>
  </si>
  <si>
    <t>a74b567e-ba7f-3d1e-862d-62d162a4bd9f</t>
  </si>
  <si>
    <t>Heat, from natural gas {ENTSO-E}</t>
  </si>
  <si>
    <t>790796a1-9a99-3422-83a3-c4c8d42e2d78</t>
  </si>
  <si>
    <t>Heat, from natural gas {ES}</t>
  </si>
  <si>
    <t>85e04c74-918b-3d17-a51b-8618e1b2b964</t>
  </si>
  <si>
    <t>Heat, from natural gas {FI}</t>
  </si>
  <si>
    <t>54008ac5-87d7-3060-9065-6b927d366f9c</t>
  </si>
  <si>
    <t>Heat, from natural gas {FR}</t>
  </si>
  <si>
    <t>61a3c4f1-8f8d-3431-80d3-ecfbe1ec244f</t>
  </si>
  <si>
    <t>Heat, from natural gas {GB}</t>
  </si>
  <si>
    <t>5cff8016-1e69-378a-b2b0-c8dd5ba161b0</t>
  </si>
  <si>
    <t>Heat, from natural gas {GR}</t>
  </si>
  <si>
    <t>fca70759-ca5a-39b5-a921-b58bb4d66921</t>
  </si>
  <si>
    <t>Heat, from natural gas {HR}</t>
  </si>
  <si>
    <t>405ca9e3-d445-3d44-a018-30f3e2c1bae3</t>
  </si>
  <si>
    <t>Heat, from natural gas {HU}</t>
  </si>
  <si>
    <t>4446dd05-9eea-35a8-9f56-867f2dde9418</t>
  </si>
  <si>
    <t>Heat, from natural gas {IE}</t>
  </si>
  <si>
    <t>04be2d1a-48c4-327e-a7c0-24a9f8789b3f</t>
  </si>
  <si>
    <t>Heat, from natural gas {IT}</t>
  </si>
  <si>
    <t>1145fff7-4557-313a-a5c9-424f3263422f</t>
  </si>
  <si>
    <t>Heat, from natural gas {JP}</t>
  </si>
  <si>
    <t>3394f329-b562-39de-84d0-6579b10e96dd</t>
  </si>
  <si>
    <t>Heat, from natural gas {KR}</t>
  </si>
  <si>
    <t>b43178f1-3078-380a-98ef-4f99d8a417f4</t>
  </si>
  <si>
    <t>Heat, from natural gas {LT}</t>
  </si>
  <si>
    <t>9519f2bf-20c0-36fd-8e4e-4edf59aa2a95</t>
  </si>
  <si>
    <t>Heat, from natural gas {LU}</t>
  </si>
  <si>
    <t>183958a2-e1ee-3e9a-9c15-80b3f41bea7a</t>
  </si>
  <si>
    <t>Heat, from natural gas {LV}</t>
  </si>
  <si>
    <t>390f17cb-fdce-30fd-aae5-8be2c41d5041</t>
  </si>
  <si>
    <t>Heat, from natural gas {NL}</t>
  </si>
  <si>
    <t>68f9ec75-10ad-33a5-94bf-90b4722d4f94</t>
  </si>
  <si>
    <t>Heat, from natural gas {PL}</t>
  </si>
  <si>
    <t>f0325901-8368-3803-9cc4-36e31c14b953</t>
  </si>
  <si>
    <t>Heat, from natural gas {PT}</t>
  </si>
  <si>
    <t>cf56d501-bc4b-3002-ad86-b0846f3c9136</t>
  </si>
  <si>
    <t>Heat, from natural gas {RO}</t>
  </si>
  <si>
    <t>df9b2bdc-00b2-3eb5-ae99-bcbac5ba7d0a</t>
  </si>
  <si>
    <t>Heat, from natural gas {RU}</t>
  </si>
  <si>
    <t>bf8eb462-211e-302e-a6c4-7916f395dd79</t>
  </si>
  <si>
    <t>Heat, from natural gas {SE}</t>
  </si>
  <si>
    <t>34c52281-113d-31ec-b56c-5eecb9ea3e1d</t>
  </si>
  <si>
    <t>Heat, from natural gas {SI}</t>
  </si>
  <si>
    <t>39ac5f79-6fb9-33ec-bc76-a1131674a222</t>
  </si>
  <si>
    <t>Heat, from natural gas {SK}</t>
  </si>
  <si>
    <t>c65501ae-588a-3b3a-8082-843dd77ff649</t>
  </si>
  <si>
    <t>Heat, from natural gas {TW}</t>
  </si>
  <si>
    <t>dd7dfdec-dbd3-3ad3-b5e0-72a3f3ad37a1</t>
  </si>
  <si>
    <t>Heat, from natural gas {US}</t>
  </si>
  <si>
    <t>95a2c9fe-3881-36e1-bfca-1534c89aa7c0</t>
  </si>
  <si>
    <t>Heat, from sewage heat exchanger {CH}</t>
  </si>
  <si>
    <t>849132ed-5cdb-37ba-b696-98691fb20f58</t>
  </si>
  <si>
    <t>Heat, hard coal briquette, at stove 5-15kW {RER}</t>
  </si>
  <si>
    <t>4bf6aed0-0415-3a84-be3c-d71a0ffcf419</t>
  </si>
  <si>
    <t>Heat, hard coal coke, at stove 5-15kW {RER}</t>
  </si>
  <si>
    <t>97284c3f-4716-3676-be5d-a5c234910568</t>
  </si>
  <si>
    <t>Heat, hard coal, at cogen, allocation exergy {AT}</t>
  </si>
  <si>
    <t>ef0f6c84-c62b-35a8-afe1-a3a280ecbff1</t>
  </si>
  <si>
    <t>Heat, hard coal, at cogen, allocation exergy {BE}</t>
  </si>
  <si>
    <t>dc3dca18-37de-3d31-ad8b-95a1e001685d</t>
  </si>
  <si>
    <t>Heat, hard coal, at cogen, allocation exergy {CN}</t>
  </si>
  <si>
    <t>f46f391d-a40b-3d83-9e1b-030640c467d3</t>
  </si>
  <si>
    <t>Heat, hard coal, at cogen, allocation exergy {CZ}</t>
  </si>
  <si>
    <t>edcf6e01-f198-3f60-922e-f32f8fe31295</t>
  </si>
  <si>
    <t>Heat, hard coal, at cogen, allocation exergy {DE}</t>
  </si>
  <si>
    <t>6313e315-c12d-32d6-b88d-0962a8845cbb</t>
  </si>
  <si>
    <t>Heat, hard coal, at cogen, allocation exergy {ENTSO-E}</t>
  </si>
  <si>
    <t>35f42c49-da31-35ad-a207-0014d7f61e68</t>
  </si>
  <si>
    <t>Heat, hard coal, at cogen, allocation exergy {ES}</t>
  </si>
  <si>
    <t>8f329f6c-f519-3566-94ec-456173d6f3fb</t>
  </si>
  <si>
    <t>Heat, hard coal, at cogen, allocation exergy {FR}</t>
  </si>
  <si>
    <t>479f3340-2fdf-30fa-a01d-7beb63c90dfe</t>
  </si>
  <si>
    <t>Heat, hard coal, at cogen, allocation exergy {IT}</t>
  </si>
  <si>
    <t>2d1b6a2a-c5aa-3042-9ffc-91b4b056565e</t>
  </si>
  <si>
    <t>Heat, hard coal, at cogen, allocation exergy {NL}</t>
  </si>
  <si>
    <t>21a707e2-300a-3b1d-80ca-71e3e8990aab</t>
  </si>
  <si>
    <t>Heat, hard coal, at cogen, allocation exergy {PL}</t>
  </si>
  <si>
    <t>622a26f5-87e6-33cb-9a9b-077b687799d5</t>
  </si>
  <si>
    <t>Heat, hard coal, at cogen, allocation exergy {RU}</t>
  </si>
  <si>
    <t>9c996afd-ce35-38b6-ac5d-1c5f85cd9b7f</t>
  </si>
  <si>
    <t>Heat, hard coal, at cogen, allocation exergy {SK}</t>
  </si>
  <si>
    <t>a00e2266-0ee5-341c-bbfb-7faf3cc9b25f</t>
  </si>
  <si>
    <t>Heat, hard coal, at cogen, allocation exergy {US}</t>
  </si>
  <si>
    <t>2ba1f353-9dcf-38db-a6b2-885df0887e43</t>
  </si>
  <si>
    <t>Heat, hardwood chips from forest, at furnace 1000kW {CH}</t>
  </si>
  <si>
    <t>3992889d-ebdd-30f8-b73b-caa737679af7</t>
  </si>
  <si>
    <t>Heat, hardwood chips from forest, at furnace 300kW {CH}</t>
  </si>
  <si>
    <t>7db63b3b-e2bb-3f86-aca7-8469131c69dd</t>
  </si>
  <si>
    <t>Heat, hardwood chips from forest, at furnace 5000kW {CH}</t>
  </si>
  <si>
    <t>9300dd30-6a2b-3079-9530-1c689d074144</t>
  </si>
  <si>
    <t>Heat, hardwood chips from forest, at furnace 50kW {CH}</t>
  </si>
  <si>
    <t>9d44251f-cb4b-37b0-bde2-b733d5104388</t>
  </si>
  <si>
    <t>Heat, hardwood chips from industry, at furnace 1000kW {CH}</t>
  </si>
  <si>
    <t>260c012c-e1ca-3262-88b9-946fc2090a91</t>
  </si>
  <si>
    <t>Heat, hardwood chips from industry, at furnace 300kW {CH}</t>
  </si>
  <si>
    <t>3c7bfd5c-8c13-3393-86ae-305c8ff436df</t>
  </si>
  <si>
    <t>Heat, hardwood chips from industry, at furnace 5000kW {CH}</t>
  </si>
  <si>
    <t>bcd699e2-ed3d-377d-87c1-6a5c534752ec</t>
  </si>
  <si>
    <t>Heat, hardwood chips from industry, at furnace 50kW {CH}</t>
  </si>
  <si>
    <t>c75a1dae-2861-341c-9e96-ca1a81945a0f</t>
  </si>
  <si>
    <t>Heat, hardwood logs, at furnace 15kW {CH}</t>
  </si>
  <si>
    <t>f5ffb273-1144-3b12-be56-93e853850a0d</t>
  </si>
  <si>
    <t>Heat, hardwood logs, at furnace 50kW {CH}</t>
  </si>
  <si>
    <t>e66134ac-235a-3b7a-aec1-376001c18952</t>
  </si>
  <si>
    <t>Heat, hardwood logs, at wood heater 6kW {CH}</t>
  </si>
  <si>
    <t>80405c46-2fd4-3d99-beb1-e9461708892c</t>
  </si>
  <si>
    <t>Heat, heavy fuel oil, at industrial furnace 1MW {CH}</t>
  </si>
  <si>
    <t>6f791b2f-bd63-31d7-93f2-0dfd93f5e011</t>
  </si>
  <si>
    <t>Heat, heavy fuel oil, at industrial furnace 1MW {RER}</t>
  </si>
  <si>
    <t>1223f12d-41ed-32f2-a8fa-e9811708964f</t>
  </si>
  <si>
    <t>Heat, horse dung and waste wood chips, in grate furnace 500-600kW {CH}</t>
  </si>
  <si>
    <t>c2a1af82-3e6f-378b-8d2f-2dbb033398c5</t>
  </si>
  <si>
    <t>Heat, horse dung and wood chips, burned in furnace, ash to landfarming {CH}</t>
  </si>
  <si>
    <t>d64b6a1e-de6e-34c8-9ce6-90c125b3840c</t>
  </si>
  <si>
    <t>Heat, horse dung and wood chips, burned in furnace, ash to sanitary landfill {CH}</t>
  </si>
  <si>
    <t>27079438-2f47-33c0-80ba-797e7ce63ba4</t>
  </si>
  <si>
    <t>Heat, horse dung and wood chips, in furnace, ash to municipal incineration {CH}</t>
  </si>
  <si>
    <t>ffa28fd2-3230-3f88-94a0-cd55e4ac04b7</t>
  </si>
  <si>
    <t>Heat, light fuel oil, at boiler 100kW condensing, non-modulating {CH}</t>
  </si>
  <si>
    <t>3fc81225-a6c6-3ea9-b16f-764a39c9e76a</t>
  </si>
  <si>
    <t>Heat, light fuel oil, at boiler 100kW, average {CH}</t>
  </si>
  <si>
    <t>374e0758-62e6-343a-8a46-1add2cd10544</t>
  </si>
  <si>
    <t>Heat, light fuel oil, at boiler 100kW, condensing, modulating {CH}</t>
  </si>
  <si>
    <t>e20a64bf-8173-3e16-a978-31ff7672e165</t>
  </si>
  <si>
    <t>Heat, light fuel oil, at boiler 100kW, non-modulating {CH}</t>
  </si>
  <si>
    <t>aea3ca72-3cb0-3806-934a-01a2f22a4094</t>
  </si>
  <si>
    <t>Heat, light fuel oil, at boiler 10kW condensing, non-modulating {CH}</t>
  </si>
  <si>
    <t>4fd168a8-9188-39a0-a55e-a0196da00c0f</t>
  </si>
  <si>
    <t>Heat, light fuel oil, at boiler 10kW, average {CH}</t>
  </si>
  <si>
    <t>9aee9016-c738-3d86-8078-7478f78fc9c6</t>
  </si>
  <si>
    <t>Heat, light fuel oil, at boiler 10kW, condensing, modulating {CH}</t>
  </si>
  <si>
    <t>4640c83e-ac50-3fc1-821b-33fdfc7bbf9b</t>
  </si>
  <si>
    <t>Heat, light fuel oil, at boiler 10kW, non-modulating {CH}</t>
  </si>
  <si>
    <t>3dc4c019-1c64-33d2-962f-2e4de66707fa</t>
  </si>
  <si>
    <t>Heat, light fuel oil, at industrial furnace 1MW {CH}</t>
  </si>
  <si>
    <t>6c637b2c-5fc0-3116-809b-667e4ece6eec</t>
  </si>
  <si>
    <t>Heat, light fuel oil, at industrial furnace 1MW {RER}</t>
  </si>
  <si>
    <t>5c9a8f03-0938-3057-a036-97ae8a6f2fb7</t>
  </si>
  <si>
    <t>Heat, lignite, at cogen, allocation exergy {BA}</t>
  </si>
  <si>
    <t>heat\lignite</t>
  </si>
  <si>
    <t>7a9ce354-cc7f-3d05-8ad8-25f5fb0d6477</t>
  </si>
  <si>
    <t>Heat, lignite, at cogen, allocation exergy {CZ}</t>
  </si>
  <si>
    <t>5bf5f6e6-d52a-3263-be16-62d57b72d391</t>
  </si>
  <si>
    <t>Heat, lignite, at cogen, allocation exergy {DE}</t>
  </si>
  <si>
    <t>ee67117d-9a77-36c3-ba5b-27ef100fad38</t>
  </si>
  <si>
    <t>Heat, lignite, at cogen, allocation exergy {ENTSO-E}</t>
  </si>
  <si>
    <t>4e140f54-388f-32a8-8c69-41de18249dab</t>
  </si>
  <si>
    <t>Heat, lignite, at cogen, allocation exergy {GR}</t>
  </si>
  <si>
    <t>e2d7d299-a206-348e-8517-4a6a3fd4e14c</t>
  </si>
  <si>
    <t>Heat, lignite, at cogen, allocation exergy {HU}</t>
  </si>
  <si>
    <t>f029267f-aad4-3a61-8805-40502adbd912</t>
  </si>
  <si>
    <t>Heat, lignite, at cogen, allocation exergy {PL}</t>
  </si>
  <si>
    <t>c266e0e0-a1e9-3f35-ba2d-29bbf95e5986</t>
  </si>
  <si>
    <t>Heat, lignite, at cogen, allocation exergy {RS}</t>
  </si>
  <si>
    <t>e267a680-ecac-37fd-9fcf-12980a68944a</t>
  </si>
  <si>
    <t>Heat, lignite, at cogen, allocation exergy {SI}</t>
  </si>
  <si>
    <t>c5dc6310-8b26-3ac3-9443-4a56f3976ee6</t>
  </si>
  <si>
    <t>Heat, lignite, at cogen, allocation exergy {SK}</t>
  </si>
  <si>
    <t>39d7fe46-e0b5-3d99-a12c-d3095664ab5d</t>
  </si>
  <si>
    <t>Heat, mixed chips from forest, at furnace 1000kW {CH}</t>
  </si>
  <si>
    <t>4d188886-a3cb-3e45-92e6-8faf661d7a9d</t>
  </si>
  <si>
    <t>Heat, mixed chips from forest, at furnace 300kW {CH}</t>
  </si>
  <si>
    <t>99d8f737-7c27-34ae-8513-acf0c9a10564</t>
  </si>
  <si>
    <t>Heat, mixed chips from forest, at furnace 5000kW {CH}</t>
  </si>
  <si>
    <t>f278d736-b436-3e99-a331-89b6581f889d</t>
  </si>
  <si>
    <t>Heat, mixed chips from forest, at furnace 50kW {CH}</t>
  </si>
  <si>
    <t>d0aeb6fd-e1f1-342a-bdef-560324b7c66d</t>
  </si>
  <si>
    <t>Heat, mixed chips from industry, at furnace 1000kW {CH}</t>
  </si>
  <si>
    <t>61131822-3b87-371f-91d4-c0d01e25c3db</t>
  </si>
  <si>
    <t>Heat, mixed chips from industry, at furnace 300kW {CH}</t>
  </si>
  <si>
    <t>15c354b7-9a52-3691-b54c-af6ea5addb53</t>
  </si>
  <si>
    <t>Heat, mixed chips from industry, at furnace 5000kW {CH}</t>
  </si>
  <si>
    <t>f94cd1b8-3ea4-3b8d-a365-d4720489f12f</t>
  </si>
  <si>
    <t>Heat, mixed chips from industry, at furnace 50kW {CH}</t>
  </si>
  <si>
    <t>2d4b978b-3964-3cf1-9e52-62490882af1f</t>
  </si>
  <si>
    <t>Heat, mixed logs, at furnace 15kW {CH}</t>
  </si>
  <si>
    <t>24dc5afe-e707-3fe2-8a72-ee3fe16c46ff</t>
  </si>
  <si>
    <t>Heat, mixed logs, at furnace 50kW {CH}</t>
  </si>
  <si>
    <t>8def907b-b995-3ed7-856d-750d71d0f10e</t>
  </si>
  <si>
    <t>Heat, mixed logs, at wood heater 6kW {CH}</t>
  </si>
  <si>
    <t>3929dc16-ed82-319f-aa6e-e629079723e8</t>
  </si>
  <si>
    <t>Heat, natural gas, allocation exergy, at PEM fuel cell 2kWe, future {CH}</t>
  </si>
  <si>
    <t>67b9d212-8f17-36b0-bb3e-61361c26f0ad</t>
  </si>
  <si>
    <t>Heat, natural gas, at boiler condensing modulating &gt;100kW {RER}</t>
  </si>
  <si>
    <t>042b6bd1-3e1c-3227-a7c2-74d1b491348b</t>
  </si>
  <si>
    <t>Heat, natural gas, at boiler condensing modulating 15kW {CH}</t>
  </si>
  <si>
    <t>4902f3ec-6b33-37a3-aeac-b4542c4bd2bd</t>
  </si>
  <si>
    <t>Heat, natural gas, at boiler condensing modulating 300kW {CH}</t>
  </si>
  <si>
    <t>cc40bf11-962d-3503-9537-b656e8ff9d62</t>
  </si>
  <si>
    <t>Heat, natural gas, at boiler condensing modulating 50kW (proj. 388) {CH}</t>
  </si>
  <si>
    <t>80dd4250-eba1-3a84-8274-2490f5dc20a3</t>
  </si>
  <si>
    <t>Heat, natural gas, at boiler condensing modulating 50kW {CH}</t>
  </si>
  <si>
    <t>f9a96f35-a17a-3834-8e29-74b198153d89</t>
  </si>
  <si>
    <t>Heat, natural gas, at CHP power plant {AT}</t>
  </si>
  <si>
    <t>7acea637-7eee-3f02-a624-245f33caa967</t>
  </si>
  <si>
    <t>Heat, natural gas, at CHP power plant {BE}</t>
  </si>
  <si>
    <t>492f997d-3368-3082-80d8-b341da94d600</t>
  </si>
  <si>
    <t>Heat, natural gas, at CHP power plant {BG}</t>
  </si>
  <si>
    <t>c265061c-2f42-33ea-ae8f-6f206bebe081</t>
  </si>
  <si>
    <t>Heat, natural gas, at CHP power plant {CH}</t>
  </si>
  <si>
    <t>b5d093e4-0d62-32cd-bd2f-4c9022f5ff8b</t>
  </si>
  <si>
    <t>Heat, natural gas, at CHP power plant {CN}</t>
  </si>
  <si>
    <t>53a09884-10bf-3180-b3f4-40b866f8561b</t>
  </si>
  <si>
    <t>Heat, natural gas, at CHP power plant {CZ}</t>
  </si>
  <si>
    <t>9af69b4c-2e29-4621-a70f-2a3bb83d5575</t>
  </si>
  <si>
    <t>Heat, natural gas, at CHP power plant {DE}</t>
  </si>
  <si>
    <t>a6ea3760-45bb-3cd2-888f-2c7f73635676</t>
  </si>
  <si>
    <t>Heat, natural gas, at CHP power plant {DK}</t>
  </si>
  <si>
    <t>3f7a8736-76bb-3774-b2de-5df04c924226</t>
  </si>
  <si>
    <t>Heat, natural gas, at CHP power plant {EE}</t>
  </si>
  <si>
    <t>d0cb6aac-16bd-306d-8263-df1614b4cee6</t>
  </si>
  <si>
    <t>Heat, natural gas, at CHP power plant {ENTSO-E}</t>
  </si>
  <si>
    <t>3c846cfd-d03e-354a-86a3-ca5a76714ee4</t>
  </si>
  <si>
    <t>Heat, natural gas, at CHP power plant {ES}</t>
  </si>
  <si>
    <t>8093b149-5d4c-3f5d-85c0-cd9c9d199c59</t>
  </si>
  <si>
    <t>Heat, natural gas, at CHP power plant {FI}</t>
  </si>
  <si>
    <t>9f6f36f3-9ae8-341a-aec9-a13e8b4f7ad5</t>
  </si>
  <si>
    <t>Heat, natural gas, at CHP power plant {FR}</t>
  </si>
  <si>
    <t>5a3654ab-c803-3301-9bca-c52bb28136fb</t>
  </si>
  <si>
    <t>Heat, natural gas, at CHP power plant {GB}</t>
  </si>
  <si>
    <t>e5f50d49-3819-346c-aa8f-d34547ff2e70</t>
  </si>
  <si>
    <t>Heat, natural gas, at CHP power plant {GR}</t>
  </si>
  <si>
    <t>bea7c970-9210-3713-9be8-465ef83fa843</t>
  </si>
  <si>
    <t>Heat, natural gas, at CHP power plant {HR}</t>
  </si>
  <si>
    <t>4ccba083-dc3b-35fe-ac9d-d678bcee8599</t>
  </si>
  <si>
    <t>Heat, natural gas, at CHP power plant {HU}</t>
  </si>
  <si>
    <t>8a15a4bb-ba19-3824-ae8a-2233d9146fe8</t>
  </si>
  <si>
    <t>Heat, natural gas, at CHP power plant {IE}</t>
  </si>
  <si>
    <t>bdfc85d7-b098-313a-aa61-7a2e4b685d08</t>
  </si>
  <si>
    <t>Heat, natural gas, at CHP power plant {IT}</t>
  </si>
  <si>
    <t>826cf554-c98b-388a-a750-c76bd0c2fb86</t>
  </si>
  <si>
    <t>Heat, natural gas, at CHP power plant {JP}</t>
  </si>
  <si>
    <t>14674d11-92bd-3de5-8f42-afdadfa84f2d</t>
  </si>
  <si>
    <t>Heat, natural gas, at CHP power plant {KR}</t>
  </si>
  <si>
    <t>87f3ce7a-f477-3441-bd42-aa9628b200fa</t>
  </si>
  <si>
    <t>Heat, natural gas, at CHP power plant {LT}</t>
  </si>
  <si>
    <t>3dbfd5a2-f9f8-3815-b016-e6d5c3f54306</t>
  </si>
  <si>
    <t>Heat, natural gas, at CHP power plant {LU}</t>
  </si>
  <si>
    <t>c7533c2e-cc59-398e-99ec-25b41874fb1e</t>
  </si>
  <si>
    <t>Heat, natural gas, at CHP power plant {LV}</t>
  </si>
  <si>
    <t>8044fa1a-44ac-34a9-97f0-7d0383db3d6b</t>
  </si>
  <si>
    <t>Heat, natural gas, at CHP power plant {NL}</t>
  </si>
  <si>
    <t>e2c9e100-e9d2-322c-8513-cb9f2e441de7</t>
  </si>
  <si>
    <t>Heat, natural gas, at CHP power plant {PL}</t>
  </si>
  <si>
    <t>2016408d-ae95-33ba-816a-c596c7a4bb7c</t>
  </si>
  <si>
    <t>Heat, natural gas, at CHP power plant {PT}</t>
  </si>
  <si>
    <t>eb5615b7-1626-3326-ac5f-def0409dba17</t>
  </si>
  <si>
    <t>Heat, natural gas, at CHP power plant {RO}</t>
  </si>
  <si>
    <t>47428e0b-f97f-3fb5-a3d4-2578f4bb4d5d</t>
  </si>
  <si>
    <t>Heat, natural gas, at CHP power plant {RU}</t>
  </si>
  <si>
    <t>f8206ab6-71fa-3f2f-8c15-671c6275b2b9</t>
  </si>
  <si>
    <t>Heat, natural gas, at CHP power plant {SE}</t>
  </si>
  <si>
    <t>fe1f1911-309c-4d4c-bddb-9b46f17e7085</t>
  </si>
  <si>
    <t>Heat, natural gas, at CHP power plant {SI}</t>
  </si>
  <si>
    <t>6fff660d-1220-31fe-80d3-de5f7874601e</t>
  </si>
  <si>
    <t>Heat, natural gas, at CHP power plant {SK}</t>
  </si>
  <si>
    <t>67761948-992b-3a71-a2f0-965803571ee3</t>
  </si>
  <si>
    <t>Heat, natural gas, at CHP power plant {TW}</t>
  </si>
  <si>
    <t>6f6e8edc-48a0-323a-bd59-1465eb1c97af</t>
  </si>
  <si>
    <t>Heat, natural gas, at CHP power plant {US}</t>
  </si>
  <si>
    <t>74ba85d0-2bbe-37ee-8468-fc18973f6609</t>
  </si>
  <si>
    <t>Heat, natural gas, at diffusion absorption heat pump 15kW {CH}</t>
  </si>
  <si>
    <t>8a94d242-3ab1-384b-8ecf-63298780998c</t>
  </si>
  <si>
    <t>Heat, natural gas, at heat plant {AT}</t>
  </si>
  <si>
    <t>40cc7c95-ca68-36da-b28a-d97ac9854a92</t>
  </si>
  <si>
    <t>Heat, natural gas, at heat plant {BE}</t>
  </si>
  <si>
    <t>1b46f932-0c38-3127-86f4-c2dc71032f35</t>
  </si>
  <si>
    <t>Heat, natural gas, at heat plant {BG}</t>
  </si>
  <si>
    <t>651d8d75-68f2-3524-810b-20ec92df864a</t>
  </si>
  <si>
    <t>Heat, natural gas, at heat plant {CH}</t>
  </si>
  <si>
    <t>64bd564c-935d-333d-b97b-cb44a9745978</t>
  </si>
  <si>
    <t>Heat, natural gas, at heat plant {CZ}</t>
  </si>
  <si>
    <t>73901ca7-b799-3a64-bd5c-c8f9fd542465</t>
  </si>
  <si>
    <t>Heat, natural gas, at heat plant {DE}</t>
  </si>
  <si>
    <t>e528eee4-a1d7-3237-9a9a-2628557ce87a</t>
  </si>
  <si>
    <t>Heat, natural gas, at heat plant {DK}</t>
  </si>
  <si>
    <t>63eccaa7-cb1f-3458-867a-5b581488a539</t>
  </si>
  <si>
    <t>Heat, natural gas, at heat plant {EE}</t>
  </si>
  <si>
    <t>15fff3ae-f421-32ad-b68a-cebbadfbe6ba</t>
  </si>
  <si>
    <t>Heat, natural gas, at heat plant {ENTSO-E}</t>
  </si>
  <si>
    <t>48e053ec-f59d-3fae-8193-fd972cc7f0de</t>
  </si>
  <si>
    <t>Heat, natural gas, at heat plant {FI}</t>
  </si>
  <si>
    <t>c879622e-cd77-3c3c-8c27-c9f6ad943591</t>
  </si>
  <si>
    <t>Heat, natural gas, at heat plant {FR}</t>
  </si>
  <si>
    <t>a7269fd1-0a04-3f2f-9173-3dcdea542113</t>
  </si>
  <si>
    <t>Heat, natural gas, at heat plant {GB}</t>
  </si>
  <si>
    <t>806676bc-4944-33b4-a9ec-462429a1eaea</t>
  </si>
  <si>
    <t>Heat, natural gas, at heat plant {HR}</t>
  </si>
  <si>
    <t>d4074aa5-d094-3096-bc6e-3427c85ace80</t>
  </si>
  <si>
    <t>Heat, natural gas, at heat plant {HU}</t>
  </si>
  <si>
    <t>3255fd1f-7e44-3e42-a303-71974bb53828</t>
  </si>
  <si>
    <t>Heat, natural gas, at heat plant {IT}</t>
  </si>
  <si>
    <t>f9b15be7-2684-3d34-b72c-ab6009989ba7</t>
  </si>
  <si>
    <t>Heat, natural gas, at heat plant {JP}</t>
  </si>
  <si>
    <t>f46840d3-bec5-364d-829f-fce4e548f68b</t>
  </si>
  <si>
    <t>Heat, natural gas, at heat plant {KR}</t>
  </si>
  <si>
    <t>3c91676d-265f-3261-91c4-ff6014e7a9bd</t>
  </si>
  <si>
    <t>Heat, natural gas, at heat plant {LT}</t>
  </si>
  <si>
    <t>bb529331-26e1-3d82-96af-07bd7bdb67ec</t>
  </si>
  <si>
    <t>Heat, natural gas, at heat plant {LU}</t>
  </si>
  <si>
    <t>23744f6e-cfcd-37e8-846f-0a34c628469d</t>
  </si>
  <si>
    <t>Heat, natural gas, at heat plant {LV}</t>
  </si>
  <si>
    <t>74605a58-9a98-3f66-a33f-e0e2071e661e</t>
  </si>
  <si>
    <t>Heat, natural gas, at heat plant {NL}</t>
  </si>
  <si>
    <t>96db69fe-b29a-382c-bb58-4d9761ccb8bb</t>
  </si>
  <si>
    <t>Heat, natural gas, at heat plant {PL}</t>
  </si>
  <si>
    <t>7a2886a6-d13f-3c72-bda6-28b38ac8bff8</t>
  </si>
  <si>
    <t>Heat, natural gas, at heat plant {RO}</t>
  </si>
  <si>
    <t>9486dd1c-c8c1-3d3d-8899-def9e99439ec</t>
  </si>
  <si>
    <t>Heat, natural gas, at heat plant {RU}</t>
  </si>
  <si>
    <t>dbe67218-4ca6-3176-a35a-8a904ac74940</t>
  </si>
  <si>
    <t>Heat, natural gas, at heat plant {SE} - SE U</t>
  </si>
  <si>
    <t>d915a392-7258-480a-b219-b25ed1761c49</t>
  </si>
  <si>
    <t>Heat, natural gas, at heat plant {SI}</t>
  </si>
  <si>
    <t>230120ba-dd03-3329-a890-e8d7a7ce3d51</t>
  </si>
  <si>
    <t>Heat, natural gas, at heat plant {SK}</t>
  </si>
  <si>
    <t>baa1b601-5c51-37ea-9810-100f87ee227b</t>
  </si>
  <si>
    <t>Heat, natural gas, at industrial furnace 1MW {CH}</t>
  </si>
  <si>
    <t>2fcda415-e506-38d9-9c3e-8ce2c2e7c8f2</t>
  </si>
  <si>
    <t>Heat, olive pomace, at boiler furnace, in oil mill {CY}</t>
  </si>
  <si>
    <t>0e5e042b-f318-3b59-8bec-a5c5a7547e98</t>
  </si>
  <si>
    <t>Heat, olive pomace, burned in furnace, ash to landfarming {CY}</t>
  </si>
  <si>
    <t>97e63520-247b-3fde-877c-8b3aca95a076</t>
  </si>
  <si>
    <t>Heat, olive pomace, burned in furnace, ash to municipal incineration {CH}</t>
  </si>
  <si>
    <t>786cc1e5-dbd4-32e6-b702-132031af85f1</t>
  </si>
  <si>
    <t>Heat, olive pomace, burned in furnace, ash to sanitary landfill {CH}</t>
  </si>
  <si>
    <t>f5912c09-6cbb-3add-8496-adf279f03d6c</t>
  </si>
  <si>
    <t>Heat, peat, at cogen, allocation exergy {ENTSO-E}</t>
  </si>
  <si>
    <t>eb8f8b52-5836-3635-8156-1d7657332314</t>
  </si>
  <si>
    <t>Heat, poultry litter pellets, burned in furnace, ash to landfarming {CH}</t>
  </si>
  <si>
    <t>6a479d8e-1f3f-3d85-8b7f-9a4b2c0a6005</t>
  </si>
  <si>
    <t>Heat, poultry litter pellets, burned in furnace, ash to municipal incineration {CH}</t>
  </si>
  <si>
    <t>7829a847-d39d-3b31-a3f8-67b71b5288f4</t>
  </si>
  <si>
    <t>Heat, poultry litter pellets, burned in furnace, ash to sanitary landfill {CH}</t>
  </si>
  <si>
    <t>55e0c838-79eb-3ce0-a93d-77b9cef2f800</t>
  </si>
  <si>
    <t>Heat, poultry litter pellets, burned in furnace, produced on site {CH}</t>
  </si>
  <si>
    <t>32b5dae1-14ae-3a6a-9d22-586dca559349</t>
  </si>
  <si>
    <t>Heat, poultry litter pellets, in rotating grate furnace 250-350kW {CH}</t>
  </si>
  <si>
    <t>020dba78-04b1-39c5-974a-9d6db0c0c996</t>
  </si>
  <si>
    <t>Heat, propane/butane, at boiler condensing modulating 50kW {CH}</t>
  </si>
  <si>
    <t>03ffc4e6-43e4-3793-80d1-8b82ba3f2b6a</t>
  </si>
  <si>
    <t>Heat, residential, by combustion of hydrogen using boiler, distributed by pipeline, produced by Auto-thermal reforming using natural gas from Switzerland {CH}</t>
  </si>
  <si>
    <t>48b1c508-6663-30e2-8495-921de8f677bb</t>
  </si>
  <si>
    <t>Heat, residential, by combustion of hydrogen using boiler, distributed by pipeline, produced by Auto-thermal reforming, with CCS using natural gas from Switzerland {CH}</t>
  </si>
  <si>
    <t>f93b8295-dc50-3457-8184-1c7a71d74210</t>
  </si>
  <si>
    <t>Heat, residential, by combustion of hydrogen using boiler, distributed by pipeline, produced by Electrolysis, AEC using electricity from grid {CH}</t>
  </si>
  <si>
    <t>fc3ef50e-d706-334f-aec8-d60681988e03</t>
  </si>
  <si>
    <t>Heat, residential, by combustion of hydrogen using boiler, distributed by pipeline, produced by Electrolysis, PEM using electricity from grid {CH}</t>
  </si>
  <si>
    <t>7f010f86-6c21-307a-90b2-904e29aff0cc</t>
  </si>
  <si>
    <t>Heat, residential, by combustion of hydrogen using boiler, distributed by pipeline, produced by Electrolysis, PEM using electricity from Solar PV + Wind (MA) {CH}</t>
  </si>
  <si>
    <t>fd643023-1c1d-352d-9c2b-59ede489be93</t>
  </si>
  <si>
    <t>Heat, residential, by combustion of hydrogen using boiler, distributed by pipeline, produced by Electrolysis, SOEC using electricity from grid {CH}</t>
  </si>
  <si>
    <t>cdff0366-416d-3cc9-a16e-f6f319aa1f6a</t>
  </si>
  <si>
    <t>Heat, residential, by combustion of hydrogen using boiler, distributed by pipeline, produced by Electrolysis, SOEC with steam input using electricity from grid {CH}</t>
  </si>
  <si>
    <t>d9d16a22-91cf-3d9d-9718-670c5f300570</t>
  </si>
  <si>
    <t>Heat, residential, by combustion of hydrogen using boiler, distributed by pipeline, produced by Pyrolysis using liquefied natural gas from Algeria {CH}</t>
  </si>
  <si>
    <t>86dd74fe-5cca-363c-8c6a-0e45e07cb345</t>
  </si>
  <si>
    <t>Heat, residential, by combustion of hydrogen using boiler, distributed by pipeline, produced by Pyrolysis using natural gas from Switzerland {CH}</t>
  </si>
  <si>
    <t>8976e2b7-2818-39e7-bb59-18766f93033b</t>
  </si>
  <si>
    <t>Heat, residential, by combustion of hydrogen using boiler, distributed by pipeline, produced by Steam Methane Reforming using liquefied natural gas from Algeria {CH}</t>
  </si>
  <si>
    <t>4166cbbc-394e-37ee-b9c4-e0941d2d5fe5</t>
  </si>
  <si>
    <t>Heat, residential, by combustion of hydrogen using boiler, distributed by pipeline, produced by Steam Methane Reforming using natural gas from Switzerland {CH}</t>
  </si>
  <si>
    <t>6eb40aca-3eca-3d93-b9b5-314f51c650f9</t>
  </si>
  <si>
    <t>Heat, residential, by combustion of hydrogen using boiler, distributed by pipeline, produced by Steam Methane Reforming, with CCS using liquefied natural gas from Algeria {CH}</t>
  </si>
  <si>
    <t>9288ce55-4ad6-375b-9e32-ebe1b642d757</t>
  </si>
  <si>
    <t>Heat, residential, by combustion of hydrogen using boiler, distributed by pipeline, produced by Steam Methane Reforming, with CCS using natural gas from Switzerland {CH}</t>
  </si>
  <si>
    <t>6f8add85-5177-318a-869b-4c43aee6e1b6</t>
  </si>
  <si>
    <t>Heat, residential, by combustion of hydrogen using boiler, distributed by truck, produced by Electrolysis, AEC using electricity from grid {CH}</t>
  </si>
  <si>
    <t>db118b19-05c3-30e2-9e5c-b6277e207536</t>
  </si>
  <si>
    <t>Heat, residential, by combustion of hydrogen using boiler, distributed by truck, produced by Electrolysis, PEM using electricity from grid {CH}</t>
  </si>
  <si>
    <t>dd3f4729-d9e2-38d5-b8ad-e2fa1d498a8f</t>
  </si>
  <si>
    <t>Heat, residential, by combustion of hydrogen using boiler, distributed by truck, produced by Electrolysis, SOEC using electricity from grid {CH}</t>
  </si>
  <si>
    <t>7b702190-45e2-3ebc-8805-d29e8242dc70</t>
  </si>
  <si>
    <t>Heat, residential, by combustion of hydrogen using boiler, distributed by truck, produced by Electrolysis, SOEC with steam input using electricity from grid {CH}</t>
  </si>
  <si>
    <t>6b6f22ab-e769-3353-a27c-b5ff9ebfcfb6</t>
  </si>
  <si>
    <t>Heat, residential, by combustion of hydrogen using boiler, distributed by truck, stored in Type IV tank, produced by Electrolysis, PEM using electricity from grid {CH}</t>
  </si>
  <si>
    <t>755d55fd-2119-3955-82a0-bdfc8fb815b5</t>
  </si>
  <si>
    <t>Heat, residential, by combustion of hydrogen using CHP, allocated by exergy, distributed by pipeline, produced by Auto-thermal reforming using natural gas from Switzerland {CH}</t>
  </si>
  <si>
    <t>d78178a1-e51b-30fe-80e6-bdb2781b9576</t>
  </si>
  <si>
    <t>Heat, residential, by combustion of hydrogen using CHP, allocated by exergy, distributed by pipeline, produced by Auto-thermal reforming, with CCS using natural gas from Switzerland {CH}</t>
  </si>
  <si>
    <t>695a49df-c1c9-3b91-93a2-0112cfda3690</t>
  </si>
  <si>
    <t>Heat, residential, by combustion of hydrogen using CHP, allocated by exergy, distributed by pipeline, produced by Electrolysis, AEC using electricity from grid {CH}</t>
  </si>
  <si>
    <t>dfda9de4-acb0-390e-bd0c-bb0654b6ffb5</t>
  </si>
  <si>
    <t>Heat, residential, by combustion of hydrogen using CHP, allocated by exergy, distributed by pipeline, produced by Electrolysis, PEM using electricity from grid {CH}</t>
  </si>
  <si>
    <t>bacfe0bc-557e-36da-930b-f94a8d7c2b8e</t>
  </si>
  <si>
    <t>Heat, residential, by combustion of hydrogen using CHP, allocated by exergy, distributed by pipeline, produced by Electrolysis, PEM using electricity from Solar PV + Wind (MA) {CH}</t>
  </si>
  <si>
    <t>2b9e79db-07dc-35e0-b5ca-45815bb0f80f</t>
  </si>
  <si>
    <t>Heat, residential, by combustion of hydrogen using CHP, allocated by exergy, distributed by pipeline, produced by Electrolysis, SOEC using electricity from grid {CH}</t>
  </si>
  <si>
    <t>43ad73a9-5411-3ff1-a9d6-0cc107d263e1</t>
  </si>
  <si>
    <t>Heat, residential, by combustion of hydrogen using CHP, allocated by exergy, distributed by pipeline, produced by Electrolysis, SOEC with steam input using electricity from grid {CH}</t>
  </si>
  <si>
    <t>2dfa2dbe-c348-3ab5-a536-24e5a1755a02</t>
  </si>
  <si>
    <t>Heat, residential, by combustion of hydrogen using CHP, allocated by exergy, distributed by pipeline, produced by Pyrolysis using liquefied natural gas from Algeria {CH}</t>
  </si>
  <si>
    <t>475ff22e-c5da-3ed5-a861-0af706906c16</t>
  </si>
  <si>
    <t>Heat, residential, by combustion of hydrogen using CHP, allocated by exergy, distributed by pipeline, produced by Pyrolysis using natural gas from Switzerland {CH}</t>
  </si>
  <si>
    <t>2ef47cae-5151-3aba-8cf7-ddc8e2a640e9</t>
  </si>
  <si>
    <t>Heat, residential, by combustion of hydrogen using CHP, allocated by exergy, distributed by pipeline, produced by Steam Methane Reforming using liquefied natural gas from Algeria {CH}</t>
  </si>
  <si>
    <t>9efe1853-2c2b-382b-b230-0b2e2a4a1820</t>
  </si>
  <si>
    <t>Heat, residential, by combustion of hydrogen using CHP, allocated by exergy, distributed by pipeline, produced by Steam Methane Reforming using natural gas from Switzerland {CH}</t>
  </si>
  <si>
    <t>13c85345-dd67-35fd-98c2-0f060e9d182b</t>
  </si>
  <si>
    <t>Heat, residential, by combustion of hydrogen using CHP, allocated by exergy, distributed by pipeline, produced by Steam Methane Reforming, with CCS using liquefied natural gas from Algeria {CH}</t>
  </si>
  <si>
    <t>e544df7b-741e-3b26-9a41-14b25bc0f33a</t>
  </si>
  <si>
    <t>Heat, residential, by combustion of hydrogen using CHP, allocated by exergy, distributed by pipeline, produced by Steam Methane Reforming, with CCS using natural gas from Switzerland {CH}</t>
  </si>
  <si>
    <t>b35a6b99-bebd-3980-a42a-1002bd72f3f3</t>
  </si>
  <si>
    <t>Heat, residential, by combustion of hydrogen using CHP, allocated by exergy, distributed by truck, produced by Electrolysis, AEC using electricity from grid {CH}</t>
  </si>
  <si>
    <t>036903c4-5d95-3df1-958f-4da44ce05dfd</t>
  </si>
  <si>
    <t>Heat, residential, by combustion of hydrogen using CHP, allocated by exergy, distributed by truck, produced by Electrolysis, PEM using electricity from grid {CH}</t>
  </si>
  <si>
    <t>13c011e9-320c-35bd-83dd-e95c3c8bc780</t>
  </si>
  <si>
    <t>Heat, residential, by combustion of hydrogen using CHP, allocated by exergy, distributed by truck, produced by Electrolysis, SOEC using electricity from grid {CH}</t>
  </si>
  <si>
    <t>37d830d4-ac4c-3993-9fd4-a68901f91e24</t>
  </si>
  <si>
    <t>Heat, residential, by combustion of hydrogen using CHP, allocated by exergy, distributed by truck, produced by Electrolysis, SOEC with steam input using electricity from grid {CH}</t>
  </si>
  <si>
    <t>d8018213-8bcc-3c98-80d9-cde9dc99934e</t>
  </si>
  <si>
    <t>Heat, residential, by combustion of methanol using boiler, distributed by truck, produced by Electrolysis, PEM using electricity from grid and carbon sourced from Cement plant (100:0 alloc.) {CH}</t>
  </si>
  <si>
    <t>b9a645e1-432f-3d41-adbc-542954375611</t>
  </si>
  <si>
    <t>Heat, residential, by combustion of methanol using boiler, distributed by truck, produced by Electrolysis, PEM using electricity from grid and carbon sourced from DAC {CH}</t>
  </si>
  <si>
    <t>2decd40f-4556-3349-aaa8-f271ee543c32</t>
  </si>
  <si>
    <t>Heat, residential, by combustion of methanol using boiler, distributed by truck, produced by Electrolysis, PEM using electricity from grid and carbon sourced from MSWI (100:0 alloc.) {CH}</t>
  </si>
  <si>
    <t>697a4d64-2943-35d2-90e3-c7a3266621e4</t>
  </si>
  <si>
    <t>Heat, residential, by combustion of methanol using boiler, distributed by truck, produced by Electrolysis, PEM using electricity from grid and carbon sourced from MSWI, with heat recovery (100:0 alloc.) {CH}</t>
  </si>
  <si>
    <t>9b5b2a72-01a2-3288-af6c-c6ac97b58d45</t>
  </si>
  <si>
    <t>Heat, residential, by combustion of methanol using boiler, distributed by truck, produced by Electrolysis, PEM using electricity from Solar PV + Wind (MA) and carbon sourced from DAC {CH}</t>
  </si>
  <si>
    <t>114fe0e0-5454-336f-b426-68efdad5f987</t>
  </si>
  <si>
    <t>Heat, residential, by combustion of synthetic natural gas from biological methanation using boiler, distributed by pipeline, produced by Electrolysis, PEM using electricity from grid and carbon sourced from Cement plant (100:0 alloc.) {CH}</t>
  </si>
  <si>
    <t>ae2b6144-d4f6-3ae8-be25-b7083b28a8a6</t>
  </si>
  <si>
    <t>Heat, residential, by combustion of synthetic natural gas from biological methanation using boiler, distributed by pipeline, produced by Electrolysis, PEM using electricity from grid and carbon sourced from DAC {CH}</t>
  </si>
  <si>
    <t>11f223a0-1b61-36e0-a813-09de8cb88191</t>
  </si>
  <si>
    <t>Heat, residential, by combustion of synthetic natural gas from biological methanation using boiler, distributed by pipeline, produced by Electrolysis, PEM using electricity from grid and carbon sourced from MSWI (100:0 alloc.) {CH}</t>
  </si>
  <si>
    <t>0a341792-2f84-3a94-a5df-f36799a8bc28</t>
  </si>
  <si>
    <t>Heat, residential, by combustion of synthetic natural gas from biological methanation using boiler, distributed by pipeline, produced by Electrolysis, PEM using electricity from grid and carbon sourced from MSWI, with heat recovery (100:0 alloc.) {CH}</t>
  </si>
  <si>
    <t>08fd8daa-f93a-3fdd-99b4-c7c94d430ffc</t>
  </si>
  <si>
    <t>Heat, residential, by combustion of synthetic natural gas from biological methanation using boiler, distributed by pipeline, produced by Electrolysis, PEM using electricity from Solar PV + Wind (MA) and carbon sourced from DAC {CH}</t>
  </si>
  <si>
    <t>55fafb6c-1767-3365-9089-b59edb1dee42</t>
  </si>
  <si>
    <t>Heat, residential, by combustion of synthetic natural gas from catalytic methanation using boiler, distributed by pipeline, produced by Electrolysis, PEM using electricity from grid and carbon sourced from Cement plant (100:0 alloc.) {CH}</t>
  </si>
  <si>
    <t>be1364ab-b1f3-370f-83c6-fee50f2f5f72</t>
  </si>
  <si>
    <t>Heat, residential, by combustion of synthetic natural gas from catalytic methanation using boiler, distributed by pipeline, produced by Electrolysis, PEM using electricity from grid and carbon sourced from DAC {CH}</t>
  </si>
  <si>
    <t>0a2097ce-d752-3f50-a4a8-c781a3dc6d8e</t>
  </si>
  <si>
    <t>Heat, residential, by combustion of synthetic natural gas from catalytic methanation using boiler, distributed by pipeline, produced by Electrolysis, PEM using electricity from grid and carbon sourced from MSWI (100:0 alloc.) {CH}</t>
  </si>
  <si>
    <t>0abeca47-6be9-3454-9adf-60e2da2e6eae</t>
  </si>
  <si>
    <t>Heat, residential, by combustion of synthetic natural gas from catalytic methanation using boiler, distributed by pipeline, produced by Electrolysis, PEM using electricity from grid and carbon sourced from MSWI, with heat recovery (100:0 alloc.) {CH}</t>
  </si>
  <si>
    <t>90d67667-8501-3d83-989f-a5d48b97e085</t>
  </si>
  <si>
    <t>Heat, residential, by combustion of synthetic natural gas from catalytic methanation using boiler, distributed by pipeline, produced by Electrolysis, PEM using electricity from Solar PV + Wind (MA) and carbon sourced from DAC {CH}</t>
  </si>
  <si>
    <t>f80ab779-4e13-3ab6-a0c5-444cf597e1ca</t>
  </si>
  <si>
    <t>Heat, residential, by conversion of hydrogen using fuel cell, PEM, allocated by exergy, distributed by pipeline, produced by Auto-thermal reforming using natural gas from Switzerland {CH}</t>
  </si>
  <si>
    <t>2f1f5262-2098-3d2e-8789-a71dac9e36ff</t>
  </si>
  <si>
    <t>Heat, residential, by conversion of hydrogen using fuel cell, PEM, allocated by exergy, distributed by pipeline, produced by Auto-thermal reforming, with CCS using natural gas from Switzerland {CH}</t>
  </si>
  <si>
    <t>f67f86e3-c60c-3291-8161-b1f253feb14f</t>
  </si>
  <si>
    <t>Heat, residential, by conversion of hydrogen using fuel cell, PEM, allocated by exergy, distributed by pipeline, produced by Electrolysis, AEC using electricity from grid {CH}</t>
  </si>
  <si>
    <t>16f45ed0-4560-3ceb-b2b7-3c7ec1f11ee2</t>
  </si>
  <si>
    <t>Heat, residential, by conversion of hydrogen using fuel cell, PEM, allocated by exergy, distributed by pipeline, produced by Electrolysis, PEM using electricity from grid {CH}</t>
  </si>
  <si>
    <t>e480628e-008b-3462-9450-7ceb4351a548</t>
  </si>
  <si>
    <t>Heat, residential, by conversion of hydrogen using fuel cell, PEM, allocated by exergy, distributed by pipeline, produced by Electrolysis, PEM using electricity from Solar PV + Wind (MA) {CH}</t>
  </si>
  <si>
    <t>bbb57fec-9fc5-3501-9b49-3d541d6c83dc</t>
  </si>
  <si>
    <t>Heat, residential, by conversion of hydrogen using fuel cell, PEM, allocated by exergy, distributed by pipeline, produced by Electrolysis, SOEC using electricity from grid {CH}</t>
  </si>
  <si>
    <t>ca8f18ea-2761-3d83-afc1-2fd83d876ea1</t>
  </si>
  <si>
    <t>Heat, residential, by conversion of hydrogen using fuel cell, PEM, allocated by exergy, distributed by pipeline, produced by Electrolysis, SOEC with steam input using electricity from grid {CH}</t>
  </si>
  <si>
    <t>85a7da51-a14c-3882-9338-ffbb59a0f042</t>
  </si>
  <si>
    <t>Heat, residential, by conversion of hydrogen using fuel cell, PEM, allocated by exergy, distributed by pipeline, produced by Pyrolysis using liquefied natural gas from Algeria {CH}</t>
  </si>
  <si>
    <t>52e2f2a2-4ad8-393b-a48e-e7759934e89e</t>
  </si>
  <si>
    <t>Heat, residential, by conversion of hydrogen using fuel cell, PEM, allocated by exergy, distributed by pipeline, produced by Pyrolysis using natural gas from Switzerland {CH}</t>
  </si>
  <si>
    <t>9624ec7a-486e-311b-8d4d-431d83a91666</t>
  </si>
  <si>
    <t>Heat, residential, by conversion of hydrogen using fuel cell, PEM, allocated by exergy, distributed by pipeline, produced by Steam Methane Reforming using liquefied natural gas from Algeria {CH}</t>
  </si>
  <si>
    <t>b53f33f9-2bbf-3fd3-a9e4-ea481e6cf404</t>
  </si>
  <si>
    <t>Heat, residential, by conversion of hydrogen using fuel cell, PEM, allocated by exergy, distributed by pipeline, produced by Steam Methane Reforming using natural gas from Switzerland {CH}</t>
  </si>
  <si>
    <t>2bc2b6db-c0f9-3512-a45c-c7b0ef3bcdd7</t>
  </si>
  <si>
    <t>Heat, residential, by conversion of hydrogen using fuel cell, PEM, allocated by exergy, distributed by pipeline, produced by Steam Methane Reforming, with CCS using liquefied natural gas from Algeria {CH}</t>
  </si>
  <si>
    <t>3dc595e4-f7ba-3589-a38c-b7bb4b83d32a</t>
  </si>
  <si>
    <t>Heat, residential, by conversion of hydrogen using fuel cell, PEM, allocated by exergy, distributed by pipeline, produced by Steam Methane Reforming, with CCS using natural gas from Switzerland {CH}</t>
  </si>
  <si>
    <t>40d237c2-3730-33ef-b6d9-74deccc9a66e</t>
  </si>
  <si>
    <t>Heat, residential, by conversion of hydrogen using fuel cell, PEM, allocated by exergy, distributed by truck, produced by Electrolysis, AEC using electricity from grid {CH}</t>
  </si>
  <si>
    <t>93cd14a8-5c18-37ae-b8dc-77a07cd04b32</t>
  </si>
  <si>
    <t>Heat, residential, by conversion of hydrogen using fuel cell, PEM, allocated by exergy, distributed by truck, produced by Electrolysis, PEM using electricity from grid {CH}</t>
  </si>
  <si>
    <t>ba2c76bb-9fcb-3826-b864-1a09f8978cb7</t>
  </si>
  <si>
    <t>Heat, residential, by conversion of hydrogen using fuel cell, PEM, allocated by exergy, distributed by truck, produced by Electrolysis, SOEC using electricity from grid {CH}</t>
  </si>
  <si>
    <t>386f2d25-6195-32be-8889-43a4fedb082e</t>
  </si>
  <si>
    <t>Heat, residential, by conversion of hydrogen using fuel cell, PEM, allocated by exergy, distributed by truck, produced by Electrolysis, SOEC with steam input using electricity from grid {CH}</t>
  </si>
  <si>
    <t>c651f400-0333-3a1c-a85d-dd7232d67cc2</t>
  </si>
  <si>
    <t>Heat, residential, by conversion of hydrogen using fuel cell, SOFC, allocated by exergy, distributed by pipeline, produced by Auto-thermal reforming using natural gas from Switzerland {CH}</t>
  </si>
  <si>
    <t>e42042c8-0aad-372e-be9e-b1701d1caacd</t>
  </si>
  <si>
    <t>Heat, residential, by conversion of hydrogen using fuel cell, SOFC, allocated by exergy, distributed by pipeline, produced by Auto-thermal reforming, with CCS using natural gas from Switzerland {CH}</t>
  </si>
  <si>
    <t>0958312b-450c-3980-9cfc-bcc60e712024</t>
  </si>
  <si>
    <t>Heat, residential, by conversion of hydrogen using fuel cell, SOFC, allocated by exergy, distributed by pipeline, produced by Electrolysis, AEC using electricity from grid {CH}</t>
  </si>
  <si>
    <t>b7409c5d-2a21-31cf-8a1c-bdcab97e4291</t>
  </si>
  <si>
    <t>Heat, residential, by conversion of hydrogen using fuel cell, SOFC, allocated by exergy, distributed by pipeline, produced by Electrolysis, PEM using electricity from grid {CH}</t>
  </si>
  <si>
    <t>5fee7485-9f7d-3dfa-b414-c457dac4131c</t>
  </si>
  <si>
    <t>Heat, residential, by conversion of hydrogen using fuel cell, SOFC, allocated by exergy, distributed by pipeline, produced by Electrolysis, PEM using electricity from Solar PV + Wind (MA) {CH}</t>
  </si>
  <si>
    <t>405ca232-c566-37a2-98a7-913d686ea0e3</t>
  </si>
  <si>
    <t>Heat, residential, by conversion of hydrogen using fuel cell, SOFC, allocated by exergy, distributed by pipeline, produced by Electrolysis, SOEC using electricity from grid {CH}</t>
  </si>
  <si>
    <t>8c84e7a9-da1b-39df-80b2-e9809056d333</t>
  </si>
  <si>
    <t>Heat, residential, by conversion of hydrogen using fuel cell, SOFC, allocated by exergy, distributed by pipeline, produced by Electrolysis, SOEC with steam input using electricity from grid {CH}</t>
  </si>
  <si>
    <t>f662d1a5-3b77-373c-9d3e-26f3e158c32e</t>
  </si>
  <si>
    <t>Heat, residential, by conversion of hydrogen using fuel cell, SOFC, allocated by exergy, distributed by pipeline, produced by Pyrolysis using liquefied natural gas from Algeria {CH}</t>
  </si>
  <si>
    <t>c7aaf873-cb14-39b6-9653-e0ef49bd25da</t>
  </si>
  <si>
    <t>Heat, residential, by conversion of hydrogen using fuel cell, SOFC, allocated by exergy, distributed by pipeline, produced by Pyrolysis using natural gas from Switzerland {CH}</t>
  </si>
  <si>
    <t>022f9b98-687a-39c6-a91e-76ed4b3853fc</t>
  </si>
  <si>
    <t>Heat, residential, by conversion of hydrogen using fuel cell, SOFC, allocated by exergy, distributed by pipeline, produced by Steam Methane Reforming using liquefied natural gas from Algeria {CH}</t>
  </si>
  <si>
    <t>2ebb7a4a-022e-39db-a245-9f4e50f04800</t>
  </si>
  <si>
    <t>Heat, residential, by conversion of hydrogen using fuel cell, SOFC, allocated by exergy, distributed by pipeline, produced by Steam Methane Reforming using natural gas from Switzerland {CH}</t>
  </si>
  <si>
    <t>9f5eae59-8a82-3db6-bd07-c0cc63a63c11</t>
  </si>
  <si>
    <t>Heat, residential, by conversion of hydrogen using fuel cell, SOFC, allocated by exergy, distributed by pipeline, produced by Steam Methane Reforming, with CCS using liquefied natural gas from Algeria {CH}</t>
  </si>
  <si>
    <t>6e06aeb6-d8cc-382d-b52f-d3133c8b3799</t>
  </si>
  <si>
    <t>Heat, residential, by conversion of hydrogen using fuel cell, SOFC, allocated by exergy, distributed by pipeline, produced by Steam Methane Reforming, with CCS using natural gas from Switzerland {CH}</t>
  </si>
  <si>
    <t>824d5acc-22ef-38a9-973d-3c0d63dbce6f</t>
  </si>
  <si>
    <t>Heat, residential, by conversion of hydrogen using fuel cell, SOFC, allocated by exergy, distributed by truck, produced by Electrolysis, AEC using electricity from grid {CH}</t>
  </si>
  <si>
    <t>dec37649-229b-3f93-a7ea-54ee9182989c</t>
  </si>
  <si>
    <t>Heat, residential, by conversion of hydrogen using fuel cell, SOFC, allocated by exergy, distributed by truck, produced by Electrolysis, PEM using electricity from grid {CH}</t>
  </si>
  <si>
    <t>5cd1a5b9-6fc9-3b57-987f-3c2b197ff972</t>
  </si>
  <si>
    <t>Heat, residential, by conversion of hydrogen using fuel cell, SOFC, allocated by exergy, distributed by truck, produced by Electrolysis, SOEC using electricity from grid {CH}</t>
  </si>
  <si>
    <t>22d59e7a-51e8-3cf2-8513-2b1670c6c008</t>
  </si>
  <si>
    <t>Heat, residential, by conversion of hydrogen using fuel cell, SOFC, allocated by exergy, distributed by truck, produced by Electrolysis, SOEC with steam input using electricity from grid {CH}</t>
  </si>
  <si>
    <t>8ab29c74-4120-39ad-a0b1-078ef711847d</t>
  </si>
  <si>
    <t>Heat, residential, by conversion of methanol using fuel cell, DMFC allocated by exergy, distributed by truck, produced by Electrolysis, PEM using electricity from grid and carbon sourced from Cement plant (100:0 alloc.) {CH}</t>
  </si>
  <si>
    <t>e303a616-c3fe-3941-ab7d-8149ce89336e</t>
  </si>
  <si>
    <t>Heat, residential, by conversion of methanol using fuel cell, DMFC allocated by exergy, distributed by truck, produced by Electrolysis, PEM using electricity from grid and carbon sourced from DAC {CH}</t>
  </si>
  <si>
    <t>ab9cf6fd-7812-30ec-873f-a6f361d183c8</t>
  </si>
  <si>
    <t>Heat, residential, by conversion of methanol using fuel cell, DMFC allocated by exergy, distributed by truck, produced by Electrolysis, PEM using electricity from grid and carbon sourced from MSWI (100:0 alloc.) {CH}</t>
  </si>
  <si>
    <t>bc49ea93-9adb-3187-9863-d9d2c05d4219</t>
  </si>
  <si>
    <t>Heat, residential, by conversion of methanol using fuel cell, DMFC allocated by exergy, distributed by truck, produced by Electrolysis, PEM using electricity from grid and carbon sourced from MSWI, with heat recovery (100:0 alloc.) {CH}</t>
  </si>
  <si>
    <t>963d0c14-b404-3829-84d2-6a252a71f1fd</t>
  </si>
  <si>
    <t>Heat, residential, by conversion of methanol using fuel cell, DMFC allocated by exergy, distributed by truck, produced by Electrolysis, PEM using electricity from Solar PV + Wind (MA) and carbon sourced from DAC {CH}</t>
  </si>
  <si>
    <t>175273e9-3f69-359a-8e82-fb0188eea399</t>
  </si>
  <si>
    <t>Heat, residential, by transfer of geothermal heat using ground source heat pump using electricity from grid {CH}</t>
  </si>
  <si>
    <t>energy, obsolete\heat, obsolete\heat pumps, obsolete\transformation</t>
  </si>
  <si>
    <t>0700f5ce-f370-3cd5-9297-71b217c0de7e</t>
  </si>
  <si>
    <t>Heat, residential, by transfer of geothermal heat using ground source heat pump using electricity from Solar PV (CH) {CH}</t>
  </si>
  <si>
    <t>c9bd0b9f-561d-3135-a10f-4b8c9ac4e17a</t>
  </si>
  <si>
    <t>Heat, residential, by transfer of geothermal heat using water source heat pump using electricity from grid {CH}</t>
  </si>
  <si>
    <t>952a6a9b-77fa-3f02-a42e-45e650e25faa</t>
  </si>
  <si>
    <t>Heat, residential, by transfer of geothermal heat using water source heat pump using electricity from Solar PV (CH) {CH}</t>
  </si>
  <si>
    <t>2f2b177f-5aae-3f93-ae1b-1fd50d1ef584</t>
  </si>
  <si>
    <t>Heat, residential, by transfer of outdoor heat using air source heat pump using electricity from grid {CH}</t>
  </si>
  <si>
    <t>0e926f9f-1e9e-3f8a-a509-37fd4abe560b</t>
  </si>
  <si>
    <t>Heat, residential, by transfer of outdoor heat using air source heat pump using electricity from Solar PV (CH) {CH}</t>
  </si>
  <si>
    <t>5137f768-7211-33eb-9541-df678b6a8ed2</t>
  </si>
  <si>
    <t>Heat, slurry solids and bark chips, burned in furnace, ash to landfarming {CH}</t>
  </si>
  <si>
    <t>57487311-6f16-38bc-8bac-58db7da201f8</t>
  </si>
  <si>
    <t>Heat, slurry solids and bark chips, burned in furnace, ash to sanitary landfill {CH}</t>
  </si>
  <si>
    <t>f9289646-7846-3746-8041-1091eea5de0f</t>
  </si>
  <si>
    <t>Heat, slurry solids and bark chips, in bark furnace 1MW {CH}</t>
  </si>
  <si>
    <t>da2f9ba4-8cd1-3e78-b568-007011d93ec8</t>
  </si>
  <si>
    <t>Heat, slurry solids and bark chips, in furnace, ash to municipal incineration {CH}</t>
  </si>
  <si>
    <t>e24e56b4-51e0-3e06-85c9-3b80109df26e</t>
  </si>
  <si>
    <t>Heat, softwood chips from forest, at furnace 1000kW {CH}</t>
  </si>
  <si>
    <t>7a91dffc-50ed-374e-902b-4918e611f749</t>
  </si>
  <si>
    <t>Heat, softwood chips from forest, at furnace 300kW {CH}</t>
  </si>
  <si>
    <t>370b2a17-23b1-3933-a351-3c733dfd29e3</t>
  </si>
  <si>
    <t>Heat, softwood chips from forest, at furnace 5000kW {CH}</t>
  </si>
  <si>
    <t>04cc9312-2c43-3524-a388-156d3f4cb897</t>
  </si>
  <si>
    <t>Heat, softwood chips from forest, at furnace 50kW {CH}</t>
  </si>
  <si>
    <t>152df0cc-1050-3942-95c2-889cd3044830</t>
  </si>
  <si>
    <t>Heat, softwood chips from industry, at furnace 1000kW {CH}</t>
  </si>
  <si>
    <t>c2a6e051-05b4-3d76-bf27-9f9de575cf44</t>
  </si>
  <si>
    <t>Heat, softwood chips from industry, at furnace 300kW {CH}</t>
  </si>
  <si>
    <t>4596c88b-d5cf-3f17-b17a-8da41a578b71</t>
  </si>
  <si>
    <t>Heat, softwood chips from industry, at furnace 5000kW {CH}</t>
  </si>
  <si>
    <t>6a6ca599-4993-3aab-a70a-cd0c09dbd1fa</t>
  </si>
  <si>
    <t>Heat, softwood chips from industry, at furnace 50kW {CH}</t>
  </si>
  <si>
    <t>7d33fc35-24f0-3e8d-93ac-30bbc636472d</t>
  </si>
  <si>
    <t>Heat, softwood logs, at furnace 15kW {CH}</t>
  </si>
  <si>
    <t>47948a3b-351e-3fb3-a341-4124a402d8e2</t>
  </si>
  <si>
    <t>Heat, softwood logs, at furnace 50kW {CH}</t>
  </si>
  <si>
    <t>31d98575-41bc-360f-9fe2-e69f968152a0</t>
  </si>
  <si>
    <t>Heat, softwood logs, at wood heater 6kW {CH}</t>
  </si>
  <si>
    <t>c6d24609-ca75-30cf-b88b-0ec2bbca5643</t>
  </si>
  <si>
    <t>Heat, unspecific, in chemical plant {RER}</t>
  </si>
  <si>
    <t>heat\others</t>
  </si>
  <si>
    <t>af5e1165-acae-352e-a391-322c00c8a054</t>
  </si>
  <si>
    <t>Heat, wood pellets, at furnace 15kW {CH}</t>
  </si>
  <si>
    <t>a4c509d4-1787-33b7-bdb7-e7f0d286b7a1</t>
  </si>
  <si>
    <t>Heat, wood pellets, at furnace 300kW {CH}</t>
  </si>
  <si>
    <t>c8fd5808-3c7c-3bdb-a29d-8efa921960b7</t>
  </si>
  <si>
    <t>Heat, wood pellets, at furnace 50kW {CH}</t>
  </si>
  <si>
    <t>2adf95cf-96c0-3f81-85e6-d732653f6603</t>
  </si>
  <si>
    <t>Heating-cooling ceiling, capillary tube mat {CH}</t>
  </si>
  <si>
    <t>374a501a-c399-3cc4-8f3a-5da6e6b05db3</t>
  </si>
  <si>
    <t>Heating-cooling ceiling, metal {CH}</t>
  </si>
  <si>
    <t>48c975ca-a06f-3f6e-9abf-49b6ef0d03ed</t>
  </si>
  <si>
    <t>Heating-cooling ceiling, plasterboard {CH}</t>
  </si>
  <si>
    <t>ce309c81-0ce7-3e02-9947-bcbee1d40f4a</t>
  </si>
  <si>
    <t>Heating, sanitary equipment cogen unit 160kWe {RER}</t>
  </si>
  <si>
    <t>d11b7fe6-ef4f-316e-bafd-b7fff105bcf8</t>
  </si>
  <si>
    <t>Heating, sanitary equipment Mini CHP plant {CH}</t>
  </si>
  <si>
    <t>3fd18048-e000-374f-becb-e95a49b2eb57</t>
  </si>
  <si>
    <t>1d01e968-3b29-32a9-9348-45861a5a739d</t>
  </si>
  <si>
    <t>Heavy duty truck, battery electric, LFP battery, 32t gross weight, 2020, urban delivery {RER}</t>
  </si>
  <si>
    <t>18be508e-c646-36b5-9b7c-2fa18365d69f</t>
  </si>
  <si>
    <t>29b736ff-41f5-3b13-a48b-34020bd28b0c</t>
  </si>
  <si>
    <t>Heavy duty truck, battery electric, LFP battery, 40t gross weight, 2020, urban delivery {RER}</t>
  </si>
  <si>
    <t>65e1b507-5214-363c-80cc-bbee2988682f</t>
  </si>
  <si>
    <t>Heavy duty truck, battery electric, NCA battery, 32t gross weight, 2020, regional delivery {RER}</t>
  </si>
  <si>
    <t>9c4b0fbe-2669-3216-af05-8a85ee3ef7c0</t>
  </si>
  <si>
    <t>Heavy duty truck, battery electric, NCA battery, 32t gross weight, 2020, urban delivery {RER}</t>
  </si>
  <si>
    <t>61f815f4-4b43-3424-a175-655a42acaeaa</t>
  </si>
  <si>
    <t>Heavy duty truck, battery electric, NCA battery, 40t gross weight, 2020, regional delivery {RER}</t>
  </si>
  <si>
    <t>c10926b8-b13b-39cc-aa25-1a7d8aa735aa</t>
  </si>
  <si>
    <t>Heavy duty truck, battery electric, NCA battery, 40t gross weight, 2020, urban delivery {RER}</t>
  </si>
  <si>
    <t>7f853509-e4e6-36fc-af6d-2df6200b1b18</t>
  </si>
  <si>
    <t>Heavy duty truck, battery electric, NMC-622 battery, 32t gross weight, 2020, regional delivery {RER}</t>
  </si>
  <si>
    <t>3f4e892c-713a-3766-b355-f82ffeb5871d</t>
  </si>
  <si>
    <t>Heavy duty truck, battery electric, NMC-622 battery, 32t gross weight, 2020, urban delivery {RER}</t>
  </si>
  <si>
    <t>ae968358-603d-30a1-8b61-f56c896e2faa</t>
  </si>
  <si>
    <t>Heavy duty truck, battery electric, NMC-622 battery, 40t gross weight, 2020, regional delivery {RER}</t>
  </si>
  <si>
    <t>98e3233d-2693-3abd-ac66-7253ae4d468e</t>
  </si>
  <si>
    <t>Heavy duty truck, battery electric, NMC-622 battery, 40t gross weight, 2020, urban delivery {RER}</t>
  </si>
  <si>
    <t>316bdf16-d7ac-37a1-beea-0b89d3c924c6</t>
  </si>
  <si>
    <t>Heavy duty truck, compressed gas, 32t gross weight, 2020, EURO-VI, long haul {RER}</t>
  </si>
  <si>
    <t>7c208229-8164-397c-8dd8-2f2c4d3a7cf7</t>
  </si>
  <si>
    <t>Heavy duty truck, compressed gas, 32t gross weight, 2020, EURO-VI, regional delivery {RER}</t>
  </si>
  <si>
    <t>e25b98e4-a93b-39a9-898e-8fc12832fa4c</t>
  </si>
  <si>
    <t>Heavy duty truck, compressed gas, 32t gross weight, 2020, EURO-VI, urban delivery {RER}</t>
  </si>
  <si>
    <t>ff712016-b708-3bee-afa4-0aa3fdf70582</t>
  </si>
  <si>
    <t>Heavy duty truck, compressed gas, 40t gross weight, 2020, EURO-VI, long haul {RER}</t>
  </si>
  <si>
    <t>2a2ee1e0-10da-3d3a-a25e-3885c8bbb662</t>
  </si>
  <si>
    <t>Heavy duty truck, compressed gas, 40t gross weight, 2020, EURO-VI, regional delivery {RER}</t>
  </si>
  <si>
    <t>a1fa58d5-77b3-3dcb-b562-355eabcfba83</t>
  </si>
  <si>
    <t>Heavy duty truck, compressed gas, 40t gross weight, 2020, EURO-VI, urban delivery {RER}</t>
  </si>
  <si>
    <t>20dcbb26-6c19-32ae-8328-9324e1ba6cd6</t>
  </si>
  <si>
    <t>Heavy duty truck, diesel hybrid, 32t gross weight, 2020, EURO-VI, long haul {RER}</t>
  </si>
  <si>
    <t>3d9a890d-ffa5-3c0c-8ee8-ddc48aaca978</t>
  </si>
  <si>
    <t>58a9b53c-e3b3-327d-814f-64dc5fd9c6e8</t>
  </si>
  <si>
    <t>Heavy duty truck, diesel hybrid, 32t gross weight, 2020, EURO-VI, urban delivery {RER}</t>
  </si>
  <si>
    <t>aa4e0a87-b820-33d2-a86a-a188a7fa42d5</t>
  </si>
  <si>
    <t>Heavy duty truck, diesel hybrid, 40t gross weight, 2020, EURO-VI, long haul {RER}</t>
  </si>
  <si>
    <t>7bd35cb5-4207-349b-82c7-70f03de6cb79</t>
  </si>
  <si>
    <t>42c691a1-205c-37ca-919b-d8c3112d4506</t>
  </si>
  <si>
    <t>Heavy duty truck, diesel hybrid, 40t gross weight, 2020, EURO-VI, urban delivery {RER}</t>
  </si>
  <si>
    <t>e9ba2ce2-7ada-33dd-a2a4-ac86329f22d2</t>
  </si>
  <si>
    <t>Heavy duty truck, diesel, 32t gross weight, 2002, EURO-III, long haul {RER}</t>
  </si>
  <si>
    <t>7b26d24f-451d-3dce-b619-e18dc4caca9e</t>
  </si>
  <si>
    <t>Heavy duty truck, diesel, 32t gross weight, 2002, EURO-III, regional delivery {RER}</t>
  </si>
  <si>
    <t>d52d2e5e-fb11-38bb-bb7b-69c610233024</t>
  </si>
  <si>
    <t>Heavy duty truck, diesel, 32t gross weight, 2002, EURO-III, urban delivery {RER}</t>
  </si>
  <si>
    <t>5a831f91-e64c-3d1a-8ece-5c084be3ba4d</t>
  </si>
  <si>
    <t>Heavy duty truck, diesel, 32t gross weight, 2006, EURO-IV, long haul {RER}</t>
  </si>
  <si>
    <t>e8ce1c3c-7a4c-3880-90d6-452b8b7e82e7</t>
  </si>
  <si>
    <t>Heavy duty truck, diesel, 32t gross weight, 2006, EURO-IV, regional delivery {RER}</t>
  </si>
  <si>
    <t>139b5d42-d078-35aa-b38c-d02a544898d9</t>
  </si>
  <si>
    <t>Heavy duty truck, diesel, 32t gross weight, 2006, EURO-IV, urban delivery {RER}</t>
  </si>
  <si>
    <t>4ded7bcb-cc38-3386-ad37-a688efc020b5</t>
  </si>
  <si>
    <t>Heavy duty truck, diesel, 32t gross weight, 2010, EURO-V, long haul {RER}</t>
  </si>
  <si>
    <t>9d3780b8-d5ca-3418-9b33-7e3ccfa411a8</t>
  </si>
  <si>
    <t>Heavy duty truck, diesel, 32t gross weight, 2010, EURO-V, regional delivery {RER}</t>
  </si>
  <si>
    <t>1200e7ae-d6d4-32cd-9cf7-a3dc47eaae18</t>
  </si>
  <si>
    <t>Heavy duty truck, diesel, 32t gross weight, 2010, EURO-V, urban delivery {RER}</t>
  </si>
  <si>
    <t>98bcd774-bade-38ad-8851-995072e7e6e3</t>
  </si>
  <si>
    <t>Heavy duty truck, diesel, 32t gross weight, 2020, EURO-VI, long haul {RER}</t>
  </si>
  <si>
    <t>10fa6b02-418b-315b-9345-af29aa672e30</t>
  </si>
  <si>
    <t>Heavy duty truck, diesel, 32t gross weight, 2020, EURO-VI, regional delivery {RER}</t>
  </si>
  <si>
    <t>39b5a7fb-f49d-36a5-ac67-821f7c5838c9</t>
  </si>
  <si>
    <t>Heavy duty truck, diesel, 32t gross weight, 2020, EURO-VI, urban delivery {RER}</t>
  </si>
  <si>
    <t>62c82ee1-3f57-32c3-b04a-1ac40cf1112e</t>
  </si>
  <si>
    <t>Heavy duty truck, diesel, 40t gross weight, 2002, EURO-III, long haul {RER}</t>
  </si>
  <si>
    <t>7f403ccd-4b52-3f21-9378-c9a84af570f6</t>
  </si>
  <si>
    <t>Heavy duty truck, diesel, 40t gross weight, 2002, EURO-III, regional delivery {RER}</t>
  </si>
  <si>
    <t>38049b5b-8e9c-3770-960a-273d57286649</t>
  </si>
  <si>
    <t>Heavy duty truck, diesel, 40t gross weight, 2002, EURO-III, urban delivery {RER}</t>
  </si>
  <si>
    <t>483d2d1d-c60a-382f-ab2e-ce955f70b785</t>
  </si>
  <si>
    <t>Heavy duty truck, diesel, 40t gross weight, 2006, EURO-IV, long haul {RER}</t>
  </si>
  <si>
    <t>44607a1a-df0c-3303-a657-fe8767030612</t>
  </si>
  <si>
    <t>Heavy duty truck, diesel, 40t gross weight, 2006, EURO-IV, regional delivery {RER}</t>
  </si>
  <si>
    <t>0a56a43d-e095-3cc4-baa4-68006cf198ef</t>
  </si>
  <si>
    <t>Heavy duty truck, diesel, 40t gross weight, 2006, EURO-IV, urban delivery {RER}</t>
  </si>
  <si>
    <t>b52ab3b6-625e-3114-9590-956dc65cb4a0</t>
  </si>
  <si>
    <t>Heavy duty truck, diesel, 40t gross weight, 2010, EURO-V, long haul {RER}</t>
  </si>
  <si>
    <t>1844d6f7-e62a-357a-bc16-32628be9370a</t>
  </si>
  <si>
    <t>Heavy duty truck, diesel, 40t gross weight, 2010, EURO-V, regional delivery {RER}</t>
  </si>
  <si>
    <t>ba22cc99-7622-3d64-99aa-77f5485f34dd</t>
  </si>
  <si>
    <t>Heavy duty truck, diesel, 40t gross weight, 2010, EURO-V, urban delivery {RER}</t>
  </si>
  <si>
    <t>031db268-0fb8-3bee-8b03-81c43b928866</t>
  </si>
  <si>
    <t>Heavy duty truck, diesel, 40t gross weight, 2020, EURO-VI, long haul {RER}</t>
  </si>
  <si>
    <t>a9237bee-cdab-3684-ab5b-d766e909880e</t>
  </si>
  <si>
    <t>Heavy duty truck, diesel, 40t gross weight, 2020, EURO-VI, regional delivery {RER}</t>
  </si>
  <si>
    <t>0794bc82-4230-39dd-b84d-ef41cee2547c</t>
  </si>
  <si>
    <t>Heavy duty truck, diesel, 40t gross weight, 2020, EURO-VI, urban delivery {RER}</t>
  </si>
  <si>
    <t>a4f84677-7451-3125-955c-d61e265dda07</t>
  </si>
  <si>
    <t>Heavy duty truck, fuel cell electric, 32t gross weight, 2020, long haul {RER}</t>
  </si>
  <si>
    <t>6c788849-1c70-3fb0-ad46-5b2f2b117b99</t>
  </si>
  <si>
    <t>Heavy duty truck, fuel cell electric, 32t gross weight, 2020, regional delivery {RER}</t>
  </si>
  <si>
    <t>f4ffad83-db7f-3e33-92d7-a05d8422dcf3</t>
  </si>
  <si>
    <t>Heavy duty truck, fuel cell electric, 32t gross weight, 2020, urban delivery {RER}</t>
  </si>
  <si>
    <t>d4abf0f9-f93e-3fd0-bd11-cf1009b75340</t>
  </si>
  <si>
    <t>Heavy duty truck, fuel cell electric, 40t gross weight, 2020, long haul {RER}</t>
  </si>
  <si>
    <t>bb480046-588a-3044-a5f7-26584db9e5c5</t>
  </si>
  <si>
    <t>Heavy duty truck, fuel cell electric, 40t gross weight, 2020, regional delivery {RER}</t>
  </si>
  <si>
    <t>e5e1ee9a-2965-324a-bc93-9757766e24d2</t>
  </si>
  <si>
    <t>Heavy duty truck, fuel cell electric, 40t gross weight, 2020, urban delivery {RER}</t>
  </si>
  <si>
    <t>78769222-9feb-35d6-9c4e-0d451966e1aa</t>
  </si>
  <si>
    <t>Heavy duty truck, plugin diesel hybrid, 32t gross weight, 2020, EURO-VI, urban delivery {RER}</t>
  </si>
  <si>
    <t>cc05a2c1-0422-37f1-8e6e-3e0ddd4e834f</t>
  </si>
  <si>
    <t>Heavy duty truck, plugin diesel hybrid, 40t gross weight, 2020, EURO-VI, urban delivery {RER}</t>
  </si>
  <si>
    <t>a459fb70-752a-30cc-8167-f5737cf37b81</t>
  </si>
  <si>
    <t>Heavy fuel oil, at refinery {CH}</t>
  </si>
  <si>
    <t>6a533145-c344-3ebe-8a13-939fb8fc1a2d</t>
  </si>
  <si>
    <t>Heavy fuel oil, at refinery {RER}</t>
  </si>
  <si>
    <t>cfbcdf6f-a54e-372c-95f4-25c52cc79855</t>
  </si>
  <si>
    <t>Heavy fuel oil, at regional storage {CH}</t>
  </si>
  <si>
    <t>8203dcbb-a27f-3cfd-9e7b-944305d7d285</t>
  </si>
  <si>
    <t>Heavy fuel oil, at regional storage {RER}</t>
  </si>
  <si>
    <t>d3e849a4-c9c1-3474-8b09-a71f4d412130</t>
  </si>
  <si>
    <t>Heavy fuel oil, burned in industrial furnace 1MW, non-modulating {CH}</t>
  </si>
  <si>
    <t>8da866f1-f25d-305f-81ab-fa95dd2d25de</t>
  </si>
  <si>
    <t>Heavy fuel oil, burned in industrial furnace 1MW, non-modulating {RER}</t>
  </si>
  <si>
    <t>236c0236-e00a-3ac4-acdc-cbcbfcee85a2</t>
  </si>
  <si>
    <t>Heavy fuel oil, burned in power plant {AT}</t>
  </si>
  <si>
    <t>electricity by fuel\oil\power plant</t>
  </si>
  <si>
    <t>869120e0-9311-3a3c-8f29-9c2e6e903dff</t>
  </si>
  <si>
    <t>Heavy fuel oil, burned in power plant {BE}</t>
  </si>
  <si>
    <t>84ef6e92-9f8d-3fc2-8feb-3c0c5f11de0d</t>
  </si>
  <si>
    <t>Heavy fuel oil, burned in power plant {CS}</t>
  </si>
  <si>
    <t>9cab44e3-c764-32b4-a5d4-7730e6b85c40</t>
  </si>
  <si>
    <t>Heavy fuel oil, burned in power plant {CZ}</t>
  </si>
  <si>
    <t>bdaaa9bc-f32e-34bc-9eec-592f68332a57</t>
  </si>
  <si>
    <t>Heavy fuel oil, burned in power plant {DE}</t>
  </si>
  <si>
    <t>892cf525-c85a-392d-8124-46c326dee3cb</t>
  </si>
  <si>
    <t>Heavy fuel oil, burned in power plant {DK}</t>
  </si>
  <si>
    <t>6ec0b995-6a08-3a5b-b8b4-e2e1b6eb1f2d</t>
  </si>
  <si>
    <t>Heavy fuel oil, burned in power plant {ES}</t>
  </si>
  <si>
    <t>08a38074-2af8-373c-a5aa-15740ed29a50</t>
  </si>
  <si>
    <t>Heavy fuel oil, burned in power plant {FI}</t>
  </si>
  <si>
    <t>b6a55971-2410-309f-9689-c4aba393bb27</t>
  </si>
  <si>
    <t>Heavy fuel oil, burned in power plant {FR}</t>
  </si>
  <si>
    <t>db52443d-874d-336f-b7a6-5562eb9bc8a0</t>
  </si>
  <si>
    <t>Heavy fuel oil, burned in power plant {GB}</t>
  </si>
  <si>
    <t>42c4e379-a1a5-339a-a08b-bbfa77196acc</t>
  </si>
  <si>
    <t>Heavy fuel oil, burned in power plant {GR}</t>
  </si>
  <si>
    <t>912c0cfa-0567-36d1-847c-179bceb1d6e2</t>
  </si>
  <si>
    <t>Heavy fuel oil, burned in power plant {HR}</t>
  </si>
  <si>
    <t>3aae1dc0-459b-3dce-9894-c9000a914a09</t>
  </si>
  <si>
    <t>Heavy fuel oil, burned in power plant {HU}</t>
  </si>
  <si>
    <t>80ffa5f0-5925-31de-ba60-9e6e4a80ac4d</t>
  </si>
  <si>
    <t>Heavy fuel oil, burned in power plant {IE}</t>
  </si>
  <si>
    <t>7b1b2ed8-2a7d-33ad-9707-c58b2ffafb71</t>
  </si>
  <si>
    <t>Heavy fuel oil, burned in power plant {IT}</t>
  </si>
  <si>
    <t>6ec54ea7-fa2a-3988-aed6-181c77d4a6d2</t>
  </si>
  <si>
    <t>Heavy fuel oil, burned in power plant {NL}</t>
  </si>
  <si>
    <t>7a4b8188-98a4-3844-8ea3-11cecf9d6f84</t>
  </si>
  <si>
    <t>Heavy fuel oil, burned in power plant {PT}</t>
  </si>
  <si>
    <t>5bb9da87-f59e-361f-9978-09f2741e56cb</t>
  </si>
  <si>
    <t>Heavy fuel oil, burned in power plant {RER}</t>
  </si>
  <si>
    <t>206d1e35-af8a-3630-8e63-bbef87ba7eeb</t>
  </si>
  <si>
    <t>Heavy fuel oil, burned in power plant {SE}</t>
  </si>
  <si>
    <t>639c4bc0-8fb7-3ddb-9e13-2204de0af45d</t>
  </si>
  <si>
    <t>Heavy fuel oil, burned in power plant {SI}</t>
  </si>
  <si>
    <t>f51378e7-f119-316f-8645-85cf6256428d</t>
  </si>
  <si>
    <t>Heavy fuel oil, burned in power plant {SK}</t>
  </si>
  <si>
    <t>a5298458-a51b-30b9-bc67-faabd13a96dc</t>
  </si>
  <si>
    <t>Heavy fuel oil, burned in refinery furnace {CH}</t>
  </si>
  <si>
    <t>10607fcb-5422-33f1-8d46-098bdd0f10fc</t>
  </si>
  <si>
    <t>Heavy fuel oil, burned in refinery furnace {RER}</t>
  </si>
  <si>
    <t>bcbd8e8c-ced7-3edc-a277-7b275bbcc78c</t>
  </si>
  <si>
    <t>86e5102d-9067-3682-8e0a-caf56ddfdb2d</t>
  </si>
  <si>
    <t>Hemp culture, hemp seeds {FR}</t>
  </si>
  <si>
    <t>15a37765-e179-30c4-9256-6c8f951b530f</t>
  </si>
  <si>
    <t>Hemp culture, hemp straw {FR}</t>
  </si>
  <si>
    <t>59b63f91-98d6-3cb4-9d30-ecb7a381bfc2</t>
  </si>
  <si>
    <t>Hemp lime concrete, at building site {CH}</t>
  </si>
  <si>
    <t>b6c4df10-70fb-3247-86e8-062d5c9a1934</t>
  </si>
  <si>
    <t>Hemp lime concrete, at regional storage {CH}</t>
  </si>
  <si>
    <t>64e926e8-dd48-3704-b902-daaf546087c4</t>
  </si>
  <si>
    <t>Hemp straw scutching, dusts {FR}</t>
  </si>
  <si>
    <t>f33d1ed4-123b-3d4c-a52d-1482f7ab1117</t>
  </si>
  <si>
    <t>Hemp straw scutching, fibers {FR}</t>
  </si>
  <si>
    <t>8e2c534d-a7df-3c27-bdc7-7aa413cb8d6e</t>
  </si>
  <si>
    <t>Hemp straw scutching, hurds {FR}</t>
  </si>
  <si>
    <t>4837f31d-4e9b-37c7-8965-3ec5f35228fd</t>
  </si>
  <si>
    <t>Heptane, at plant {RER}</t>
  </si>
  <si>
    <t>f7dcc206-5835-3d29-bce2-cc757f608a04</t>
  </si>
  <si>
    <t>Hexafluorethane, at plant {GLO}</t>
  </si>
  <si>
    <t>486e062f-5482-3283-8055-84c76a6040bf</t>
  </si>
  <si>
    <t>Hexamethyldisilazane, at plant {GLO}</t>
  </si>
  <si>
    <t>39f94ac3-4f02-3fbe-8409-8a6e4e0005e4</t>
  </si>
  <si>
    <t>Hexane, at plant {RER}</t>
  </si>
  <si>
    <t>69bacaa7-20fe-3870-8a18-31c0b815f482</t>
  </si>
  <si>
    <t>High pressure hydrogen storage tank {GLO}</t>
  </si>
  <si>
    <t>b4739ad2-aa38-368d-8ada-63f5417c8b55</t>
  </si>
  <si>
    <t>High pressure hydrogen Type I storage tank production {GLO}</t>
  </si>
  <si>
    <t>a474cb10-cef2-35be-9d16-3a0e0318077e</t>
  </si>
  <si>
    <t>High pressure hydrogen Type IV storage tank production {GLO}</t>
  </si>
  <si>
    <t>ffb46227-8cee-3dfd-b9a4-fc5a0b38f7a3</t>
  </si>
  <si>
    <t>High pressure laminate HPL outdoor use, at regional storage {CH}</t>
  </si>
  <si>
    <t>construction materials\hpl</t>
  </si>
  <si>
    <t>3eeb39c6-1cd9-3779-92bd-5a08379e0401</t>
  </si>
  <si>
    <t>High pressure laminate HPL outdoor use, production AT, at plant {AT}</t>
  </si>
  <si>
    <t>5818b958-bee1-3eb2-9c12-e58b72000748</t>
  </si>
  <si>
    <t>High pressure laminate HPL outdoor use, production NL, at plant {NL}</t>
  </si>
  <si>
    <t>57ed8e4e-4f83-3e7e-8106-6d71bb58dbd4</t>
  </si>
  <si>
    <t>High pressure laminate HPL outdoor, packaging {RER}</t>
  </si>
  <si>
    <t>70dbabe6-fefc-3e6c-807b-3663d185b893</t>
  </si>
  <si>
    <t>High pressure laminate HPL, transport AT-&gt;CH {CH}</t>
  </si>
  <si>
    <t>e8236c1b-94f9-3486-98cf-dcae3f7b722b</t>
  </si>
  <si>
    <t>High pressure laminate HPL, transport NL-&gt;CH {CH}</t>
  </si>
  <si>
    <t>61055721-43a8-30d0-b4d2-cfd2afbc762c</t>
  </si>
  <si>
    <t>High voltage system {GLO}</t>
  </si>
  <si>
    <t>7cb06309-3846-38d9-9d86-c84772154274</t>
  </si>
  <si>
    <t>Hoeing {CH}</t>
  </si>
  <si>
    <t>c587c79f-170f-330c-b6cc-d6f7dbe5dad0</t>
  </si>
  <si>
    <t>Holzpur, softwood, raw, air, kiln dried, u=6%, at plant {CH}</t>
  </si>
  <si>
    <t>fab64652-dab5-33a1-add1-4194dc593866</t>
  </si>
  <si>
    <t>Holzpur, softwood, raw, air, kiln dried, u=6%, at plant, with resource correction {CH}</t>
  </si>
  <si>
    <t>872dc703-4252-3854-b4ee-31735eafbcdb</t>
  </si>
  <si>
    <t>Horse dung and waste wood chips, at farm {CH}</t>
  </si>
  <si>
    <t>f7bdc2c0-78c6-383a-b8c6-1cd4b761556f</t>
  </si>
  <si>
    <t>Horse dung and waste wood chips, burned in grate furnace 500-600kW {CH}</t>
  </si>
  <si>
    <t>e5bfb8f0-b26f-3fd8-87d9-1025d5a66fd5</t>
  </si>
  <si>
    <t>Horse dung and wood chips, burned in furnace, ash to landfarming {CH}</t>
  </si>
  <si>
    <t>789341eb-363a-3f9f-a00c-460dd1da1008</t>
  </si>
  <si>
    <t>Horse dung and wood chips, burned in furnace, ash to municipal incineration {CH}</t>
  </si>
  <si>
    <t>5131b814-999f-3b4f-bce8-7c533379f96c</t>
  </si>
  <si>
    <t>Horse dung and wood chips, burned in furnace, ash to sanitary landfill {CH}</t>
  </si>
  <si>
    <t>58894b7a-c85b-3f56-8a7d-46979db83e90</t>
  </si>
  <si>
    <t>Hot rolling, steel {CH}</t>
  </si>
  <si>
    <t>410bb294-5c41-3954-963d-51e9e00acba1</t>
  </si>
  <si>
    <t>Hot rolling, steel {RER}</t>
  </si>
  <si>
    <t>79cdf328-b4c5-3885-a6ed-fcf7b5c0afcd</t>
  </si>
  <si>
    <t>Hot water tank 600l, at plant {CH}</t>
  </si>
  <si>
    <t>505fdfd7-25a7-3d24-84a0-1ce879698ff4</t>
  </si>
  <si>
    <t>Hot water tank factory {CH}</t>
  </si>
  <si>
    <t>93f68195-fad9-31da-a551-ef1ee9ccbb6f</t>
  </si>
  <si>
    <t>Hot water tank, carbon dioxide capture process {RER}</t>
  </si>
  <si>
    <t>94307ad9-ee58-38ee-ae1a-ddeb593c0e06</t>
  </si>
  <si>
    <t>Household devices production plant {CH}</t>
  </si>
  <si>
    <t>3c1e3d57-33d8-3da5-b854-3a0b34990fac</t>
  </si>
  <si>
    <t>Housing system with fully-slatted floor, pig {CH}</t>
  </si>
  <si>
    <t>a5e66256-db26-332c-8a8a-01a840415f6d</t>
  </si>
  <si>
    <t>Husked nuts harvesting, at farm {PH}</t>
  </si>
  <si>
    <t>962188f9-bb82-3f58-8579-2930a04919dd</t>
  </si>
  <si>
    <t>Hybrid collector, slanted roof, borehole regeneration {CH}</t>
  </si>
  <si>
    <t>acbad08f-ddf3-3070-9286-6f4c703f8b46</t>
  </si>
  <si>
    <t>Hybrid collector, slanted roof, hot water heat storage {CH}</t>
  </si>
  <si>
    <t>073a1220-2843-38a8-a13e-b5fd5f462303</t>
  </si>
  <si>
    <t>Hydrated lime production, from quicklime with carbon capture and storage {CH}</t>
  </si>
  <si>
    <t>c6c9adf3-8958-3fce-98b4-363e59681669</t>
  </si>
  <si>
    <t>Hydraulic digger {RER}</t>
  </si>
  <si>
    <t>a6e81afd-7aab-35ed-9b9a-b305ac147359</t>
  </si>
  <si>
    <t>2f8b5baa-5930-3460-bca9-ad90d49c1d36</t>
  </si>
  <si>
    <t>Hydrochloric acid, from Mannheim process, at plant {RER}</t>
  </si>
  <si>
    <t>dc300e42-35a8-331f-bb6a-2d43be84e2de</t>
  </si>
  <si>
    <t>Hydrochloric acid, from the reaction of hydrogen with chlorine, at plant {RER}</t>
  </si>
  <si>
    <t>f17b8e60-689a-3d6c-8cd7-8574574a1767</t>
  </si>
  <si>
    <t>Hydrogen cyanide, at plant {RER}</t>
  </si>
  <si>
    <t>0f667d2d-2007-3185-8aeb-0b8e6fbdfb5c</t>
  </si>
  <si>
    <t>Hydrogen distribution pipeline construction {CH}</t>
  </si>
  <si>
    <t>c4a940e7-e1ee-3e3d-a1e7-689d05a5be45</t>
  </si>
  <si>
    <t>Hydrogen distribution pipeline installation {CH}</t>
  </si>
  <si>
    <t>8766868e-21cd-39f2-8906-1f4e17231561</t>
  </si>
  <si>
    <t>Hydrogen fluoride, at plant {GLO}</t>
  </si>
  <si>
    <t>3423baf7-2d25-3025-a6e8-94a7b7bc9da2</t>
  </si>
  <si>
    <t>f5f00599-78e8-3e05-911d-b79929630c6c</t>
  </si>
  <si>
    <t>Hydrogen plant construction, by methane reforming {CH}</t>
  </si>
  <si>
    <t>fuels\synthetic\transformation</t>
  </si>
  <si>
    <t>3b56bf15-829b-338d-900a-f899734019f5</t>
  </si>
  <si>
    <t>Hydrogen production, auto-thermal reforming of natural gas, 25 bar {CH}</t>
  </si>
  <si>
    <t>b78938aa-eecc-3b80-b95e-4c5c134424d8</t>
  </si>
  <si>
    <t>Hydrogen production, auto-thermal reforming of natural gas, with CCS, 25 bar {CH}</t>
  </si>
  <si>
    <t>9f6b50e7-6262-351e-a60d-add77e7d8e97</t>
  </si>
  <si>
    <t>Hydrogen production, gaseous, 1 bar, from SOEC electrolysis, from grid electricity {CH}</t>
  </si>
  <si>
    <t>8dccac56-aec6-3238-8c0c-9c3cb2fb0a50</t>
  </si>
  <si>
    <t>Hydrogen production, gaseous, 1 bar, from SOEC electrolysis, with steam input, from grid electricity {CH}</t>
  </si>
  <si>
    <t>798136ae-86e2-3b0f-9db5-e9bc1ef165b3</t>
  </si>
  <si>
    <t>Hydrogen production, gaseous, 100 bar, from methane pyrolysis {CH}</t>
  </si>
  <si>
    <t>6ffdee11-0404-3baa-b4cd-de6dd2aed4a9</t>
  </si>
  <si>
    <t>Hydrogen production, gaseous, 100 bar, from pyrolysis of liquefied natural gas {CH}</t>
  </si>
  <si>
    <t>18c46c0a-835f-3eaa-a960-31b7780a712e</t>
  </si>
  <si>
    <t>Hydrogen production, gaseous, 20 bar, from AEC electrolysis, from grid electricity {CH}</t>
  </si>
  <si>
    <t>e01d3162-41f7-3b3f-8da9-b035dac7f6f3</t>
  </si>
  <si>
    <t>Hydrogen production, gaseous, 30 bar, from PEM electrolysis, from autonomous hybrid plant {MA}</t>
  </si>
  <si>
    <t>96a6a42f-a9b8-38d0-9148-bf1bab6687ec</t>
  </si>
  <si>
    <t>Hydrogen production, gaseous, 30 bar, from PEM electrolysis, from grid electricity {CH}</t>
  </si>
  <si>
    <t>99a1af16-58cd-3f11-a877-c43d3c8e5d78</t>
  </si>
  <si>
    <t>Hydrogen production, steam methane reforming of liquefied natural gas, 25 bar {CH}</t>
  </si>
  <si>
    <t>b6ace541-d5f1-322f-9869-8914d266710b</t>
  </si>
  <si>
    <t>Hydrogen production, steam methane reforming of liquefied natural gas, with CCS, 25 bar {CH}</t>
  </si>
  <si>
    <t>46cdd0f9-4380-3f36-af38-bd067c059cbd</t>
  </si>
  <si>
    <t>Hydrogen production, steam methane reforming of natural gas, 25 bar {CH}</t>
  </si>
  <si>
    <t>9acd1558-464c-35c1-a301-26a850d8dc04</t>
  </si>
  <si>
    <t>Hydrogen production, steam methane reforming of natural gas, with CCS, 25 bar {CH}</t>
  </si>
  <si>
    <t>61a01110-6c56-35a0-acdc-3f2581480778</t>
  </si>
  <si>
    <t>Hydrogen refuelling station {GLO}</t>
  </si>
  <si>
    <t>23a92b7c-3e4a-384b-92df-ff88737d0355</t>
  </si>
  <si>
    <t>c4fb13df-afca-31f0-a6bc-c7e552b6020a</t>
  </si>
  <si>
    <t>Hydrogen supply, distributed by pipeline, produced by Auto-thermal reforming using natural gas from Switzerland {CH}</t>
  </si>
  <si>
    <t>1c139f7b-50b2-3f76-974e-cb1f7dfd39b8</t>
  </si>
  <si>
    <t>Hydrogen supply, distributed by pipeline, produced by Auto-thermal reforming, with CCS using natural gas from Switzerland {CH}</t>
  </si>
  <si>
    <t>c9e1bfc6-026b-366b-8323-cc0b04c26c56</t>
  </si>
  <si>
    <t>Hydrogen supply, distributed by pipeline, produced by Electrolysis, AEC using electricity from grid {CH}</t>
  </si>
  <si>
    <t>7266e210-a5eb-3a4e-b593-e43752a97d1d</t>
  </si>
  <si>
    <t>Hydrogen supply, distributed by pipeline, produced by Electrolysis, PEM using electricity from grid {CH}</t>
  </si>
  <si>
    <t>def44f32-461b-3b6f-9860-b92abe87fbd6</t>
  </si>
  <si>
    <t>Hydrogen supply, distributed by pipeline, produced by Electrolysis, PEM using electricity from Solar PV + Wind (MA) {CH}</t>
  </si>
  <si>
    <t>7dfebeb7-afde-39f3-b851-5780883f026c</t>
  </si>
  <si>
    <t>Hydrogen supply, distributed by pipeline, produced by Electrolysis, SOEC using electricity from grid {CH}</t>
  </si>
  <si>
    <t>36e6f443-05c6-34b3-8933-8312c81cbd9d</t>
  </si>
  <si>
    <t>Hydrogen supply, distributed by pipeline, produced by Electrolysis, SOEC with steam input using electricity from grid {CH}</t>
  </si>
  <si>
    <t>adc99729-e761-362c-bd24-01cbc68e2288</t>
  </si>
  <si>
    <t>Hydrogen supply, distributed by pipeline, produced by Pyrolysis using liquefied natural gas from Algeria {CH}</t>
  </si>
  <si>
    <t>ade47794-2f96-3af3-8199-dc52933bc06d</t>
  </si>
  <si>
    <t>Hydrogen supply, distributed by pipeline, produced by Pyrolysis using natural gas from Switzerland {CH}</t>
  </si>
  <si>
    <t>ebad736e-f9da-36c8-99bf-a633fad98552</t>
  </si>
  <si>
    <t>Hydrogen supply, distributed by pipeline, produced by Steam Methane Reforming using liquefied natural gas from Algeria {CH}</t>
  </si>
  <si>
    <t>372f473f-2df1-32b6-bdeb-2f58e948048c</t>
  </si>
  <si>
    <t>Hydrogen supply, distributed by pipeline, produced by Steam Methane Reforming using natural gas from Switzerland {CH}</t>
  </si>
  <si>
    <t>5363677c-9870-3dd9-ae0f-75bfdb924389</t>
  </si>
  <si>
    <t>Hydrogen supply, distributed by pipeline, produced by Steam Methane Reforming, with CCS using liquefied natural gas from Algeria {CH}</t>
  </si>
  <si>
    <t>230d6bff-f021-3547-b71c-64a177d95933</t>
  </si>
  <si>
    <t>Hydrogen supply, distributed by pipeline, produced by Steam Methane Reforming, with CCS using natural gas from Switzerland {CH}</t>
  </si>
  <si>
    <t>d2195a64-933d-3e22-b8da-fadb1e262f62</t>
  </si>
  <si>
    <t>Hydrogen supply, distributed by truck, produced by Electrolysis, AEC using electricity from grid {CH}</t>
  </si>
  <si>
    <t>46df2466-c293-3a0b-865c-612e1b891d17</t>
  </si>
  <si>
    <t>Hydrogen supply, distributed by truck, produced by Electrolysis, PEM using electricity from grid {CH}</t>
  </si>
  <si>
    <t>3ec84519-b4b9-3d54-97e0-9654e3913f20</t>
  </si>
  <si>
    <t>Hydrogen supply, distributed by truck, produced by Electrolysis, SOEC using electricity from grid {CH}</t>
  </si>
  <si>
    <t>4c18205f-20da-3a4b-bedc-76877ec87aad</t>
  </si>
  <si>
    <t>Hydrogen supply, distributed by truck, produced by Electrolysis, SOEC with steam input using electricity from grid {CH}</t>
  </si>
  <si>
    <t>f5c107ae-cdf1-33d0-9dbc-a23b3ec76b94</t>
  </si>
  <si>
    <t>Hydrogen transmission pipeline construction {CH}</t>
  </si>
  <si>
    <t>889094b4-40f6-3baf-9e5e-a7c5833f1073</t>
  </si>
  <si>
    <t>Hydrogen transmission pipeline installation {CH}</t>
  </si>
  <si>
    <t>e91a3fbf-1b48-3f32-a7bc-429cfe93700b</t>
  </si>
  <si>
    <t>Hydrogen, cracking, APME, at plant {RER}</t>
  </si>
  <si>
    <t>5ac0612d-cd34-3b83-bfc8-a9bf1983b68b</t>
  </si>
  <si>
    <t>Hydrogen, gaseous, 25 bar, from electrolysis {CH}</t>
  </si>
  <si>
    <t>fuels\hydrogen\Transformation</t>
  </si>
  <si>
    <t>9a8f07bb-a411-382d-b5a6-0c7f422000d4</t>
  </si>
  <si>
    <t>Hydrogen, gaseous, 25 bar, from electrolysis, from label-certified electricity {CH}</t>
  </si>
  <si>
    <t>47b70b94-f94d-3f2d-9a3e-0d65ef735e2c</t>
  </si>
  <si>
    <t>Hydrogen, gaseous, 700 bar, from electrolysis, at fuelling station {CH}</t>
  </si>
  <si>
    <t>242a6678-3aca-30d5-ae9a-c511993545df</t>
  </si>
  <si>
    <t>Hydrogen, gaseous, 700 bar, from electrolysis, from label-certified electricity, at fuelling station {CH}</t>
  </si>
  <si>
    <t>a7f0e28f-4316-3af0-923e-405fb4663681</t>
  </si>
  <si>
    <t>Hydrogen, gaseous, 700 bar, from SMR of NG, at fuelling station {CH}</t>
  </si>
  <si>
    <t>dc44f805-4af1-3cc2-b168-c7cced45140a</t>
  </si>
  <si>
    <t>5c8dc33f-bb23-3f2e-9628-c16695008af1</t>
  </si>
  <si>
    <t>Hydrogen, liquid, diaphragm cell, at plant {RER}</t>
  </si>
  <si>
    <t>9833ea28-32a2-398f-b84a-8974c80977e3</t>
  </si>
  <si>
    <t>Hydrogen, liquid, from chlorine electrolysis, production mix, at plant {RER}</t>
  </si>
  <si>
    <t>46aae406-7f01-391e-b980-f46ddd7814d7</t>
  </si>
  <si>
    <t>Hydrogen, liquid, membrane cell, at plant {RER}</t>
  </si>
  <si>
    <t>a3329960-91b0-39de-ae65-f576cc910116</t>
  </si>
  <si>
    <t>Hydrogen, liquid, mercury cell, at plant {RER}</t>
  </si>
  <si>
    <t>a9ba2bcb-4ff0-3d16-944a-0733f49f1395</t>
  </si>
  <si>
    <t>Hydroxide, for Li-ion NMC111 battery {GLO}</t>
  </si>
  <si>
    <t>a688c600-d553-37a2-90ce-ddb1645774fd</t>
  </si>
  <si>
    <t>IBIS {GLO}</t>
  </si>
  <si>
    <t>1edf896a-fa04-341c-b6ae-dc4e7d4f6066</t>
  </si>
  <si>
    <t>IBIS fasteners {GLO}</t>
  </si>
  <si>
    <t>b239d4b9-0b09-3715-b423-ce98d8ecf45f</t>
  </si>
  <si>
    <t>ICE {DE}</t>
  </si>
  <si>
    <t>9ad11933-2b25-3a00-a4c8-7fc646a1f022</t>
  </si>
  <si>
    <t>Ice storage tank with solar tube collector {CH}</t>
  </si>
  <si>
    <t>0eabf17e-d95c-3437-ac05-b2a4a64113b3</t>
  </si>
  <si>
    <t>be4379d0-79c5-3334-b62c-91e40c407195</t>
  </si>
  <si>
    <t>Inductor, low value multilayer chip type, LMCI, at plant {GLO}</t>
  </si>
  <si>
    <t>58f0b9ea-bfb8-3c2a-a314-b070a22d8711</t>
  </si>
  <si>
    <t>Inductor, miniature RF chip type, MRFI, at plant {GLO}</t>
  </si>
  <si>
    <t>68f54908-8f28-3591-b30d-8c9fd230bb8f</t>
  </si>
  <si>
    <t>Inductor, ring core choke type, at plant {GLO}</t>
  </si>
  <si>
    <t>949ee0e9-1cc3-3e3b-9e81-5a933a285bb3</t>
  </si>
  <si>
    <t>Inductor, unspecified, at plant {GLO}</t>
  </si>
  <si>
    <t>1fd61384-ca6c-39ae-a347-3d741e19a71b</t>
  </si>
  <si>
    <t>Industrial furnace 1MW, oil {CH}</t>
  </si>
  <si>
    <t>32d5ad53-5100-3354-ae51-93ac5b2e05bf</t>
  </si>
  <si>
    <t>Industrial furnace, 1MW, natural gas {RER}</t>
  </si>
  <si>
    <t>e9154ffd-5954-3b5b-95ab-bb2884ad78e5</t>
  </si>
  <si>
    <t>Industrial furnace, coal, 1-10 MW {RER}</t>
  </si>
  <si>
    <t>6c551dda-0d75-3965-9931-1ad15f594987</t>
  </si>
  <si>
    <t>Industrial machine, heavy, unspecified, at plant {RER}</t>
  </si>
  <si>
    <t>5906ff1f-2cd1-3951-9bfc-abd0cdbf8c75</t>
  </si>
  <si>
    <t>Industrial residue wood, softwood, air, kiln dried, u=6%, holzpur, at plant {CH}</t>
  </si>
  <si>
    <t>78072749-660e-33cd-9b22-f79e49cac4a7</t>
  </si>
  <si>
    <t>Industrial residue wood, softwood, plant-debarked, u=70%, holzpur, at plant {CH}</t>
  </si>
  <si>
    <t>0dfb6b78-ddc0-3179-8023-7fb2537d6eb8</t>
  </si>
  <si>
    <t>Industrial wood, softwood, under bark, u=140%, holzpur, at forest road {CH}</t>
  </si>
  <si>
    <t>aa54c503-edd5-36b5-817a-d181d89b08c5</t>
  </si>
  <si>
    <t>Infrastructure, air-water heat pump 10kW, for heat pump calculation {CH}</t>
  </si>
  <si>
    <t>energy supply, kbob recommendation\heat pumps</t>
  </si>
  <si>
    <t>9f23bca8-e7d3-36c6-ad93-32ba450a93e1</t>
  </si>
  <si>
    <t>Infrastructure, borehole heat exchanger, 10kW, for heat pump calculation {CH}</t>
  </si>
  <si>
    <t>06e4c59b-5f21-3499-b713-601cb884e658</t>
  </si>
  <si>
    <t>Infrastructure, sewage heat pump 140kW, for heat pump calculation {CH}</t>
  </si>
  <si>
    <t>5848bac1-d852-3eba-b3d8-e2bb70f76259</t>
  </si>
  <si>
    <t>Injection moulding {RER}</t>
  </si>
  <si>
    <t>f7ce1c49-0916-320e-9585-666388269b3d</t>
  </si>
  <si>
    <t>Inkjet cartridge, at plant {GLO}</t>
  </si>
  <si>
    <t>cadf25a9-db59-32dc-8c63-02c204b22baf</t>
  </si>
  <si>
    <t>Inner frame {GLO}</t>
  </si>
  <si>
    <t>aac15afe-936e-3ce4-b1ff-abdd1a458adb</t>
  </si>
  <si>
    <t>Installation for drip irrigation {CH}</t>
  </si>
  <si>
    <t>water\water supply\production</t>
  </si>
  <si>
    <t>4440fac8-85c3-3fe6-9314-45c033abd2b9</t>
  </si>
  <si>
    <t>Insulated gate bipolar transistor, electric vehicle application {RER}</t>
  </si>
  <si>
    <t>acba1dd1-2c49-3467-8a40-32d2f410cf05</t>
  </si>
  <si>
    <t>Insulation spiral-seam duct, rockwool, DN 400, 30 mm, at plant {RER}</t>
  </si>
  <si>
    <t>ff4db2e1-9cff-366c-8d0d-58c7b8c36e70</t>
  </si>
  <si>
    <t>Integrated circuit, IC, logic type, at plant {GLO}</t>
  </si>
  <si>
    <t>b9cb8b9e-539f-32ec-b096-046f3582e4df</t>
  </si>
  <si>
    <t>Integrated circuit, IC, memory type, at plant {GLO}</t>
  </si>
  <si>
    <t>bc7dfcbd-1656-3133-a481-81fd9f749183</t>
  </si>
  <si>
    <t>Integrated circuit, QFP, at plant {RER}</t>
  </si>
  <si>
    <t>electronics\production of components</t>
  </si>
  <si>
    <t>7725fea7-878d-3f25-b844-fb0ef7bda0b9</t>
  </si>
  <si>
    <t>Integrated circuit, SO, at plant {RER}</t>
  </si>
  <si>
    <t>b6b39995-c7f3-3da6-af7d-80263131f041</t>
  </si>
  <si>
    <t>Integrated circuit, SQFP, at plant {RER}</t>
  </si>
  <si>
    <t>be575de1-5cc7-3c28-b7fb-d894014aad65</t>
  </si>
  <si>
    <t>Interim storage, nuclear waste to dispose in final repository LLW {CH}</t>
  </si>
  <si>
    <t>76ea029b-f0e1-3784-a614-4bdcd7476ffd</t>
  </si>
  <si>
    <t>Interim storage, nuclear waste to dispose in final repository SF, HLW, and ILW {CH}</t>
  </si>
  <si>
    <t>1c0833ae-a813-319d-9848-98fd52816cc7</t>
  </si>
  <si>
    <t>Internal combustion engine, for lorry {RER}</t>
  </si>
  <si>
    <t>transport systems\road\Vehicle components\Powertrain\Internal combustion engine</t>
  </si>
  <si>
    <t>2097f76d-c5be-3bf5-9ebe-ec2dd8c5e2bc</t>
  </si>
  <si>
    <t>Internal combustion engine, for passenger car {RER}</t>
  </si>
  <si>
    <t>29334c85-7935-3a62-b632-82c8c5a593b8</t>
  </si>
  <si>
    <t>Inverter, 10 kW, average, at plant {RER}</t>
  </si>
  <si>
    <t>596c29ef-da3b-3425-8e2d-8f03223a9441</t>
  </si>
  <si>
    <t>Inverter, 2.5 kW, average, at plant {RER}</t>
  </si>
  <si>
    <t>7da39c9b-d38f-32f1-b0fa-676bd25fdaa7</t>
  </si>
  <si>
    <t>Inverter, 20 kW, average, at plant {RER}</t>
  </si>
  <si>
    <t>7da6b3e1-c5c7-30b7-9798-5c682c43691d</t>
  </si>
  <si>
    <t>Inverter, 2500W, at plant {RER}</t>
  </si>
  <si>
    <t>electronics\photovoltaic\infrastructure</t>
  </si>
  <si>
    <t>39068f0a-81e9-31c5-af5a-77a40e87c99b</t>
  </si>
  <si>
    <t>Inverter, 5 kW,  average, at plant {RER}</t>
  </si>
  <si>
    <t>9458681a-306b-37b8-b1bf-db7b95b0e1a8</t>
  </si>
  <si>
    <t>Inverter, 500kW, at plant {RER}</t>
  </si>
  <si>
    <t>c775edcd-8f2c-39ec-a81c-40a0463fe041</t>
  </si>
  <si>
    <t>Inverter, for electric passenger car {RER}</t>
  </si>
  <si>
    <t>934d7e9d-2c5c-3bed-bd39-25342412bd01</t>
  </si>
  <si>
    <t>Inverter, Mont Soleil installation, at plant {CH}</t>
  </si>
  <si>
    <t>2fd2afbe-7842-3234-a7aa-a40bdbf6d976</t>
  </si>
  <si>
    <t>Iodine {RER}</t>
  </si>
  <si>
    <t>e1e94d01-d5a0-313f-a50f-50375beaef3d</t>
  </si>
  <si>
    <t>Iridium production {GLO}</t>
  </si>
  <si>
    <t>8a6c655d-b743-3945-a1a6-e070f70c48b2</t>
  </si>
  <si>
    <t>684c56ad-b869-333f-8e27-c7f186c6bd3c</t>
  </si>
  <si>
    <t>Iron (III) chloride, 40% in H2O, at plant {CH}</t>
  </si>
  <si>
    <t>5f0851c6-b2f2-3e4d-b5a0-ab2dd7124638</t>
  </si>
  <si>
    <t>Iron ore, 46% Fe, at mine {GLO}</t>
  </si>
  <si>
    <t>c8e6ff81-43fd-3e04-892d-03d300a0add2</t>
  </si>
  <si>
    <t>Iron ore, 65% Fe, at beneficiation {GLO}</t>
  </si>
  <si>
    <t>c806993a-0dd6-366f-8aac-68f113941bf1</t>
  </si>
  <si>
    <t>Iron scrap, at plant {CH}</t>
  </si>
  <si>
    <t>fa50272e-fd02-3e21-9d1a-274eca2fbfe6</t>
  </si>
  <si>
    <t>Iron scrap, at plant {RER}</t>
  </si>
  <si>
    <t>083619e2-b4f7-3fc5-8075-1e78744c6d76</t>
  </si>
  <si>
    <t>Iron scrap, from concrete demolition, at plant {CH}</t>
  </si>
  <si>
    <t>d49a1e33-f3c2-4d3a-8d00-4c4d5b9c3132</t>
  </si>
  <si>
    <t>Iron sulphate, at plant {RER}</t>
  </si>
  <si>
    <t>1b541649-c28b-369b-a574-066c98648887</t>
  </si>
  <si>
    <t>Irrigating {CH}</t>
  </si>
  <si>
    <t>d208f545-cbc5-31d3-8edc-e26bfb2ebb96</t>
  </si>
  <si>
    <t>Irrigating {US}</t>
  </si>
  <si>
    <t>f6ea3291-55fe-3738-af23-943b7be1a4e3</t>
  </si>
  <si>
    <t>Irrigation, sprinkler {CH}</t>
  </si>
  <si>
    <t>3d01f105-002f-3cc0-8984-94389fe83bfc</t>
  </si>
  <si>
    <t>Isobutanol, at plant {RER}</t>
  </si>
  <si>
    <t>f4c2343a-c0c6-30b3-b62b-700c9b23977f</t>
  </si>
  <si>
    <t>cc16978e-b292-32be-bf38-472e5f5d4156</t>
  </si>
  <si>
    <t>ITO powder, for target production, at plant {RER}</t>
  </si>
  <si>
    <t>793848f3-164c-3e93-ab2e-41525a7e5a2b</t>
  </si>
  <si>
    <t>ITO, sintered target, at plant {RER}</t>
  </si>
  <si>
    <t>29569a22-72d9-3125-ba0d-ac7cf79adc1e</t>
  </si>
  <si>
    <t>Jute fibers, recycled {FR}</t>
  </si>
  <si>
    <t>b63735ed-5fe7-3b2a-9552-ae0269a2125c</t>
  </si>
  <si>
    <t>Jute fibres, irrigated system, at farm {IN}</t>
  </si>
  <si>
    <t>d96f314c-6671-3f93-8c79-bd5ad2b49a97</t>
  </si>
  <si>
    <t>Jute fibres, rainfed system, at farm {IN}</t>
  </si>
  <si>
    <t>11e918a7-f3d2-309e-ac7a-a01b4bd1ae2a</t>
  </si>
  <si>
    <t>4eeb3397-420b-3adc-8f5b-5db72d1a65af</t>
  </si>
  <si>
    <t>Kenaf fibres, at farm {IN}</t>
  </si>
  <si>
    <t>93114821-4443-3770-ad34-b3bb8b11ed93</t>
  </si>
  <si>
    <t>Kerosene, at refinery {CH}</t>
  </si>
  <si>
    <t>0e3dd977-2b05-3184-bae7-323ab449f4bd</t>
  </si>
  <si>
    <t>Kerosene, at refinery {RER}</t>
  </si>
  <si>
    <t>269b8c82-6dd0-39cd-a773-33608bbc5ebc</t>
  </si>
  <si>
    <t>Kerosene, at regional storage {CH}</t>
  </si>
  <si>
    <t>69ea4bf5-daf7-34d7-8f44-272d79749520</t>
  </si>
  <si>
    <t>Kerosene, at regional storage {RER}</t>
  </si>
  <si>
    <t>89f57412-3a81-3b81-a284-43cf740c5d7f</t>
  </si>
  <si>
    <t>Keyboard, standard version, at plant {GLO}</t>
  </si>
  <si>
    <t>9530d484-37b7-3e13-9430-a3a9a04d85ba</t>
  </si>
  <si>
    <t>Keyboard, wireless version, at plant {GLO}</t>
  </si>
  <si>
    <t>5382c34f-c048-39e3-9ded-28d4006322be</t>
  </si>
  <si>
    <t>Kick Scooter, electric, &lt;1kW, LFP battery, 2020 {CH}</t>
  </si>
  <si>
    <t>ac85817c-efcb-32e5-9919-1a110a63af62</t>
  </si>
  <si>
    <t>Kick Scooter, electric, &lt;1kW, NCA battery, 2020 {CH}</t>
  </si>
  <si>
    <t>94575999-f779-372c-af46-ee5da1112cfd</t>
  </si>
  <si>
    <t>Kick Scooter, electric, &lt;1kW, NMC battery, 2020 {CH}</t>
  </si>
  <si>
    <t>904f3b62-46c7-31e8-a867-b66484da313b</t>
  </si>
  <si>
    <t>Kitchen cupboard, front profile melamin resin, at plant {CH}</t>
  </si>
  <si>
    <t>0221ada2-f143-3f3f-8efc-4aa9ffabddc7</t>
  </si>
  <si>
    <t>Kitchen cupboard, front profile metal, at plant {CH}</t>
  </si>
  <si>
    <t>79a74d0a-1225-38ba-8f93-63fb3832e778</t>
  </si>
  <si>
    <t>Kitchen cupboard, front profile paint, at plant {CH}</t>
  </si>
  <si>
    <t>45819681-a83b-300f-bafa-5dee43efcf08</t>
  </si>
  <si>
    <t>Kitchen cupboard, front profile solid wood, at plant {CH}</t>
  </si>
  <si>
    <t>2883c861-67ee-3b68-9635-4a6008f981d2</t>
  </si>
  <si>
    <t>Kitchen cupboard, front profile wood, at plant {CH}</t>
  </si>
  <si>
    <t>611b7805-5526-32d0-b94c-f196c30805e1</t>
  </si>
  <si>
    <t>Kitchen worktop, aluminiumtrihydroxide-acrylic glass, at plant {CH}</t>
  </si>
  <si>
    <t>28b1b9e6-da8c-3fe3-83be-52cd77261f28</t>
  </si>
  <si>
    <t>Kitchen worktop, chromium steel, high-end, at plant {CH}</t>
  </si>
  <si>
    <t>a3cfa40d-832c-3cc9-a665-549f8257e96e</t>
  </si>
  <si>
    <t>Kitchen worktop, chromium steel, standard, at plant {CH}</t>
  </si>
  <si>
    <t>f7716d54-87ca-3d27-8f82-1ac17db640ae</t>
  </si>
  <si>
    <t>Kitchen worktop, melamin coated worktop, at plant {CH}</t>
  </si>
  <si>
    <t>e3e72f12-802e-36dc-a17a-868bd624fcd0</t>
  </si>
  <si>
    <t>Kitchen worktop, natural stone, granite, at plant {CH}</t>
  </si>
  <si>
    <t>8f029da8-263a-338a-a899-883782aa4bf8</t>
  </si>
  <si>
    <t>Kitchen worktop, wood, at plant {CH}</t>
  </si>
  <si>
    <t>644b41db-012e-3bd7-b158-cf0011cf339c</t>
  </si>
  <si>
    <t>Kitchen, front profile melamin resin, at plant {CH}</t>
  </si>
  <si>
    <t>df0f1341-341d-314d-baaf-3a37ed74fdbb</t>
  </si>
  <si>
    <t>Kitchen, front profile metal, at plant {CH}</t>
  </si>
  <si>
    <t>fb87fe14-410b-3cc7-b755-6eea7bf24d20</t>
  </si>
  <si>
    <t>Kitchen, front profile paint, at plant {CH}</t>
  </si>
  <si>
    <t>62a2af93-1122-3071-a845-f6faa45950f5</t>
  </si>
  <si>
    <t>Kitchen, front profile particle board, at plant {CH}</t>
  </si>
  <si>
    <t>38b2d072-d25b-35e4-a1fb-eeee2f421fc6</t>
  </si>
  <si>
    <t>Kitchen, front profile solid wood, at plant {CH}</t>
  </si>
  <si>
    <t>ffaed20e-f741-3998-8a8b-b20959b7edd4</t>
  </si>
  <si>
    <t>Kitchen, front profile wood, at plant {CH}</t>
  </si>
  <si>
    <t>1a6f9a2c-9ed0-3eb6-989e-c0053f0ff0ba</t>
  </si>
  <si>
    <t>paper+ board\packaging paper</t>
  </si>
  <si>
    <t>34858cf5-dfc3-3e40-9c72-1110ad57961b</t>
  </si>
  <si>
    <t>9026e9f3-88b3-307d-9b29-fe27eea7279c</t>
  </si>
  <si>
    <t>Krypton, gaseous, at plant {RER}</t>
  </si>
  <si>
    <t>1fa8641a-0436-3d8c-8ddd-7269844f37b5</t>
  </si>
  <si>
    <t>Krypton, gaseous, at regional storage {CH}</t>
  </si>
  <si>
    <t>57d3e0fb-83b1-382e-80c1-0982b0ee6d05</t>
  </si>
  <si>
    <t>Label housing system, pig {CH}</t>
  </si>
  <si>
    <t>b4f8a3f8-f053-3d3e-9fb4-65795da34d1b</t>
  </si>
  <si>
    <t>Laminated safety glass, at plant {CH}</t>
  </si>
  <si>
    <t>f3ca14d4-a90b-3788-9a5c-9d9f9d145ef8</t>
  </si>
  <si>
    <t>Laminated timber element, transversally prestressed, for outdoor use, at plant {RER}</t>
  </si>
  <si>
    <t>a769462c-cfa1-3e08-992b-c8d98247fe40</t>
  </si>
  <si>
    <t>Laminated timber element, transversally prestressed, for outdoor use, at plant, with resource correction {CH}</t>
  </si>
  <si>
    <t>80a27957-29b0-38e4-8f3f-9071f5183c01</t>
  </si>
  <si>
    <t>Laminating, foil, with acrylic binder {RER}</t>
  </si>
  <si>
    <t>b73dd0bf-3974-3459-b0f7-288fa24e7286</t>
  </si>
  <si>
    <t>Lanthanum oxide, at plant {CN}</t>
  </si>
  <si>
    <t>2ecfc3fa-fd3d-3d6d-83c8-4fc3503c7b08</t>
  </si>
  <si>
    <t>9d632221-4822-3b69-b3b4-125374d32853</t>
  </si>
  <si>
    <t>Latex, at plant {RER}</t>
  </si>
  <si>
    <t>b242dd8f-393a-36a6-b974-436e78f905a2</t>
  </si>
  <si>
    <t>LCD flat screen, 17 inches, at plant {GLO}</t>
  </si>
  <si>
    <t>a8a1011a-a710-327b-ac1f-27af1d16b5fb</t>
  </si>
  <si>
    <t>LCD glass, at plant {GLO}</t>
  </si>
  <si>
    <t>c9b36b13-2358-3a41-884b-d67bcabae555</t>
  </si>
  <si>
    <t>3d917e88-9896-3d82-a592-92ac2b569b77</t>
  </si>
  <si>
    <t>LCD screen, at plant {GLO}</t>
  </si>
  <si>
    <t>903ca879-a216-3393-8350-bc99e7860964</t>
  </si>
  <si>
    <t>Leaching residues, indium rich, from zinc circuit, at smelter {GLO}</t>
  </si>
  <si>
    <t>eec7e704-ad18-3a80-abd6-0aca2a59d70f</t>
  </si>
  <si>
    <t>Lead acid battery, for lorry {RER}</t>
  </si>
  <si>
    <t>transport systems\road\Vehicle components\Energy storage</t>
  </si>
  <si>
    <t>4c139231-bd9b-3813-a32a-9a6aa56f827b</t>
  </si>
  <si>
    <t>Lead concentrate, at beneficiation {GLO}</t>
  </si>
  <si>
    <t>f0e2d755-01a0-31f5-8882-1abfcaac5297</t>
  </si>
  <si>
    <t>5097fdf8-210b-3053-9e5a-98fbf73b914f</t>
  </si>
  <si>
    <t>Lead, at regional storage, with resource correction {CH}</t>
  </si>
  <si>
    <t>a0798bd2-ca01-3fc1-a7da-161d8fce0a0f</t>
  </si>
  <si>
    <t>Lead, from combined metal production, at beneficiation {SE}</t>
  </si>
  <si>
    <t>4d37730e-a6b8-34f7-b314-a39d1474ccd6</t>
  </si>
  <si>
    <t>Lead, primary, at plant {GLO}</t>
  </si>
  <si>
    <t>a4962e58-545e-3009-a563-9ad1754e8efa</t>
  </si>
  <si>
    <t>Lead, secondary, at plant {RER}</t>
  </si>
  <si>
    <t>4275c6d9-6d27-36af-9792-8f0bc1319834</t>
  </si>
  <si>
    <t>Lean concrete, CEM III, A, 100% RC-M, at plant {CH}</t>
  </si>
  <si>
    <t>30084dd8-a2e6-330b-b3c1-d1f689e818e0</t>
  </si>
  <si>
    <t>Lean concrete, CEM III, A, primary, at plan {CH}</t>
  </si>
  <si>
    <t>1f69bc89-b181-3c38-a4c1-f8ce82f55c21</t>
  </si>
  <si>
    <t>Lean concrete, CEM III, B, 100% RC-M, at plant {CH}</t>
  </si>
  <si>
    <t>902d22b2-880b-3530-b90c-5ed02e6f7ae3</t>
  </si>
  <si>
    <t>Lean concrete, CEM III, B, primary, at plant {CH}</t>
  </si>
  <si>
    <t>7a903405-3a76-381b-b07a-be8838ab5f13</t>
  </si>
  <si>
    <t>Lean concrete, only common base, at plant {CH}</t>
  </si>
  <si>
    <t>6b874bb3-a8d7-3e7c-bd6e-ae1ffff9f979</t>
  </si>
  <si>
    <t>3d3c71bd-bf3b-3e44-813f-0fc5cedf4370</t>
  </si>
  <si>
    <t>Lean concrete, unspecific, at plant, with resource correction {CH}</t>
  </si>
  <si>
    <t>39ddf169-ce2a-3471-b441-a9d8c56d538d</t>
  </si>
  <si>
    <t>LED module, at plant {GLO}</t>
  </si>
  <si>
    <t>58b553a2-ece3-32d6-b357-97fe2302213f</t>
  </si>
  <si>
    <t>026ac74b-d080-3f4e-b291-770eaf24350d</t>
  </si>
  <si>
    <t>ba8c524b-f3c3-32be-98db-2e9428ae7de8</t>
  </si>
  <si>
    <t>Light duty truck, battery electric, LFP battery, 3.5t gross weight, 2020, urban delivery {RER}</t>
  </si>
  <si>
    <t>2f9bf31e-05be-33ec-bc50-71938bb3f298</t>
  </si>
  <si>
    <t>22d79c80-a278-3834-b3ef-ad55a697efe4</t>
  </si>
  <si>
    <t>Light duty truck, battery electric, LFP battery, 7.5t gross weight, 2020, urban delivery {RER}</t>
  </si>
  <si>
    <t>328a5dad-7cf4-33f5-a5cb-6ec77ca5d95a</t>
  </si>
  <si>
    <t>Light duty truck, battery electric, NCA battery, 3.5t gross weight, 2020, urban delivery {RER}</t>
  </si>
  <si>
    <t>48a7204a-d784-3d87-bc23-6150c51c9356</t>
  </si>
  <si>
    <t>Light duty truck, battery electric, NCA battery, 7.5t gross weight, 2020, regional delivery {RER}</t>
  </si>
  <si>
    <t>c85b5d9d-2593-38f5-bbaf-0708ddad1017</t>
  </si>
  <si>
    <t>Light duty truck, battery electric, NCA battery, 7.5t gross weight, 2020, urban delivery {RER}</t>
  </si>
  <si>
    <t>120727b0-0a1d-3680-8ff7-10c484bf973c</t>
  </si>
  <si>
    <t>Light duty truck, battery electric, NMC-622 battery, 3.5t gross weight, 2020, urban delivery {RER}</t>
  </si>
  <si>
    <t>3319bdd9-84e9-37f5-ad4e-3ac88cbd3e68</t>
  </si>
  <si>
    <t>Light duty truck, battery electric, NMC-622 battery, 7.5t gross weight, 2020, regional delivery {RER}</t>
  </si>
  <si>
    <t>80f6e363-f48c-37df-b2e5-5f3beaef7e3b</t>
  </si>
  <si>
    <t>Light duty truck, battery electric, NMC-622 battery, 7.5t gross weight, 2020, urban delivery {RER}</t>
  </si>
  <si>
    <t>113eccc8-8abd-3744-af86-97502ff11bba</t>
  </si>
  <si>
    <t>Light duty truck, compressed gas, 3.5t gross weight, 2020, EURO-VI, long haul {RER}</t>
  </si>
  <si>
    <t>c87e7f8a-dde3-30af-8e58-f1edb1eb9feb</t>
  </si>
  <si>
    <t>Light duty truck, compressed gas, 3.5t gross weight, 2020, EURO-VI, regional delivery {RER}</t>
  </si>
  <si>
    <t>10ca1d1e-9520-3679-98fc-7665d8c33deb</t>
  </si>
  <si>
    <t>Light duty truck, compressed gas, 3.5t gross weight, 2020, EURO-VI, urban delivery {RER}</t>
  </si>
  <si>
    <t>5ded8f08-d348-34e7-9dbb-785e53cb5ece</t>
  </si>
  <si>
    <t>Light duty truck, compressed gas, 7.5t gross weight, 2020, EURO-VI, long haul {RER}</t>
  </si>
  <si>
    <t>f60f901d-e13a-35cf-882b-5dd7ac12ff11</t>
  </si>
  <si>
    <t>Light duty truck, compressed gas, 7.5t gross weight, 2020, EURO-VI, regional delivery {RER}</t>
  </si>
  <si>
    <t>bea6ddc6-8de7-3b37-9eba-800f71ed2a03</t>
  </si>
  <si>
    <t>Light duty truck, compressed gas, 7.5t gross weight, 2020, EURO-VI, urban delivery {RER}</t>
  </si>
  <si>
    <t>bc7a4405-b2f6-39f2-ae76-07926f25c0f0</t>
  </si>
  <si>
    <t>Light duty truck, diesel hybrid, 3.5t gross weight, 2020, EURO-VI, long haul {RER}</t>
  </si>
  <si>
    <t>308522ad-45b8-3b9e-9ad8-96bd49e9aeb3</t>
  </si>
  <si>
    <t>Light duty truck, diesel hybrid, 3.5t gross weight, 2020, EURO-VI, regional delivery {RER}</t>
  </si>
  <si>
    <t>12859853-0aa0-3eae-835b-7f60df6fd371</t>
  </si>
  <si>
    <t>Light duty truck, diesel hybrid, 3.5t gross weight, 2020, EURO-VI, urban delivery {RER}</t>
  </si>
  <si>
    <t>ce538f46-58b7-39ac-8774-f717703fbffe</t>
  </si>
  <si>
    <t>Light duty truck, diesel hybrid, 7.5t gross weight, 2020, EURO-VI, long haul {RER}</t>
  </si>
  <si>
    <t>d99c0541-7980-3647-a21e-cee8d14a8ef9</t>
  </si>
  <si>
    <t>Light duty truck, diesel hybrid, 7.5t gross weight, 2020, EURO-VI, regional delivery {RER}</t>
  </si>
  <si>
    <t>5834c45a-ed2f-388a-aa97-4eba5b825ec3</t>
  </si>
  <si>
    <t>Light duty truck, diesel hybrid, 7.5t gross weight, 2020, EURO-VI, urban delivery {RER}</t>
  </si>
  <si>
    <t>42649166-9678-3f56-8e88-d578479413dc</t>
  </si>
  <si>
    <t>Light duty truck, diesel, 3.5t gross weight, 2002, EURO-III, long haul {RER}</t>
  </si>
  <si>
    <t>0b66de84-f5ba-3866-93ba-c7d534802077</t>
  </si>
  <si>
    <t>Light duty truck, diesel, 3.5t gross weight, 2002, EURO-III, regional delivery {RER}</t>
  </si>
  <si>
    <t>e8812557-3705-319c-9932-0498fdab7980</t>
  </si>
  <si>
    <t>Light duty truck, diesel, 3.5t gross weight, 2002, EURO-III, urban delivery {RER}</t>
  </si>
  <si>
    <t>318cc9fe-ddf0-3a08-943e-03ec202f7bd9</t>
  </si>
  <si>
    <t>Light duty truck, diesel, 3.5t gross weight, 2006, EURO-IV, long haul {RER}</t>
  </si>
  <si>
    <t>f4048d3a-595a-357e-aced-d0c9d21eb2dc</t>
  </si>
  <si>
    <t>Light duty truck, diesel, 3.5t gross weight, 2006, EURO-IV, regional delivery {RER}</t>
  </si>
  <si>
    <t>81d238c4-4107-39ee-8709-a37b7349d1f5</t>
  </si>
  <si>
    <t>Light duty truck, diesel, 3.5t gross weight, 2006, EURO-IV, urban delivery {RER}</t>
  </si>
  <si>
    <t>94fc98e5-54e5-3da5-822d-df3a9365b846</t>
  </si>
  <si>
    <t>Light duty truck, diesel, 3.5t gross weight, 2010, EURO-V, long haul {RER}</t>
  </si>
  <si>
    <t>9a9db134-c432-3072-8f70-f1bcd1d5e4c6</t>
  </si>
  <si>
    <t>Light duty truck, diesel, 3.5t gross weight, 2010, EURO-V, regional delivery {RER}</t>
  </si>
  <si>
    <t>9906dafc-b150-3d41-9112-693404a445df</t>
  </si>
  <si>
    <t>Light duty truck, diesel, 3.5t gross weight, 2010, EURO-V, urban delivery {RER}</t>
  </si>
  <si>
    <t>c299b5d8-ba72-3d69-8eb7-dcf3e5d20677</t>
  </si>
  <si>
    <t>Light duty truck, diesel, 3.5t gross weight, 2020, EURO-VI, long haul {RER}</t>
  </si>
  <si>
    <t>a65ef625-c039-3839-9b9a-3a35cda6e352</t>
  </si>
  <si>
    <t>9f1f9ebd-3613-330d-ae78-60019b47ba31</t>
  </si>
  <si>
    <t>Light duty truck, diesel, 3.5t gross weight, 2020, EURO-VI, urban delivery {RER}</t>
  </si>
  <si>
    <t>bc057f6f-0495-3a10-834e-4939f1c4ef25</t>
  </si>
  <si>
    <t>Light duty truck, diesel, 7.5t gross weight, 2002, EURO-III, long haul {RER}</t>
  </si>
  <si>
    <t>14ec405e-857c-33c0-bbfc-2e10a3ed8b0f</t>
  </si>
  <si>
    <t>Light duty truck, diesel, 7.5t gross weight, 2002, EURO-III, regional delivery {RER}</t>
  </si>
  <si>
    <t>cf41b6df-8fde-3c52-8186-52fb2d292b79</t>
  </si>
  <si>
    <t>Light duty truck, diesel, 7.5t gross weight, 2002, EURO-III, urban delivery {RER}</t>
  </si>
  <si>
    <t>adc5a92b-e910-3527-898b-db0420f683a9</t>
  </si>
  <si>
    <t>Light duty truck, diesel, 7.5t gross weight, 2006, EURO-IV, long haul {RER}</t>
  </si>
  <si>
    <t>f2175e0f-2dec-30cc-a524-bd525b5719a7</t>
  </si>
  <si>
    <t>Light duty truck, diesel, 7.5t gross weight, 2006, EURO-IV, regional delivery {RER}</t>
  </si>
  <si>
    <t>ecc619fa-4389-3159-9848-46e55fa04ea4</t>
  </si>
  <si>
    <t>Light duty truck, diesel, 7.5t gross weight, 2006, EURO-IV, urban delivery {RER}</t>
  </si>
  <si>
    <t>40ff2898-c4e7-3060-b434-cbeb7cab1ae3</t>
  </si>
  <si>
    <t>Light duty truck, diesel, 7.5t gross weight, 2010, EURO-V, long haul {RER}</t>
  </si>
  <si>
    <t>0bfd3021-d4cd-36d9-9982-ac92fc2c52e7</t>
  </si>
  <si>
    <t>Light duty truck, diesel, 7.5t gross weight, 2010, EURO-V, regional delivery {RER}</t>
  </si>
  <si>
    <t>de62d3a4-e752-3426-afe3-d3ac303e96c8</t>
  </si>
  <si>
    <t>Light duty truck, diesel, 7.5t gross weight, 2010, EURO-V, urban delivery {RER}</t>
  </si>
  <si>
    <t>a2bd1fa5-c13d-3200-a4c9-116fef8c8549</t>
  </si>
  <si>
    <t>Light duty truck, diesel, 7.5t gross weight, 2020, EURO-VI, long haul {RER}</t>
  </si>
  <si>
    <t>f016cb30-c215-35b5-9a30-cfdaa0ebe0a5</t>
  </si>
  <si>
    <t>78673611-6d9e-303b-a989-d7f12ce11e38</t>
  </si>
  <si>
    <t>Light duty truck, diesel, 7.5t gross weight, 2020, EURO-VI, urban delivery {RER}</t>
  </si>
  <si>
    <t>d95932db-e3f1-386e-8e60-7aa70ab8417f</t>
  </si>
  <si>
    <t>Light duty truck, fuel cell electric, 3.5t gross weight, 2020, long haul {RER}</t>
  </si>
  <si>
    <t>c3fd0f2c-83d9-3625-88e6-e1ecf66d0420</t>
  </si>
  <si>
    <t>Light duty truck, fuel cell electric, 3.5t gross weight, 2020, regional delivery {RER}</t>
  </si>
  <si>
    <t>5e58f02e-5a66-32a7-8baf-c37e0a5c4fe9</t>
  </si>
  <si>
    <t>Light duty truck, fuel cell electric, 3.5t gross weight, 2020, urban delivery {RER}</t>
  </si>
  <si>
    <t>dda313ca-400e-326d-8f1d-adbf801b9322</t>
  </si>
  <si>
    <t>Light duty truck, fuel cell electric, 7.5t gross weight, 2020, long haul {RER}</t>
  </si>
  <si>
    <t>1a0dfefc-c9a6-392c-90c8-d9af281543a1</t>
  </si>
  <si>
    <t>Light duty truck, fuel cell electric, 7.5t gross weight, 2020, regional delivery {RER}</t>
  </si>
  <si>
    <t>c32f4959-d6a8-3c0a-909f-66058b5f941c</t>
  </si>
  <si>
    <t>Light duty truck, fuel cell electric, 7.5t gross weight, 2020, urban delivery {RER}</t>
  </si>
  <si>
    <t>c69ba6fc-58e6-348b-b17b-797c4c4f0dc8</t>
  </si>
  <si>
    <t>Light duty truck, plugin diesel hybrid, 3.5t gross weight, 2020, EURO-VI, urban delivery {RER}</t>
  </si>
  <si>
    <t>724c93e6-fffc-3fd5-b03a-505104d0a76a</t>
  </si>
  <si>
    <t>Light duty truck, plugin diesel hybrid, 7.5t gross weight, 2020, EURO-VI, urban delivery {RER}</t>
  </si>
  <si>
    <t>6106187c-ba62-3076-94e2-a357a1905f71</t>
  </si>
  <si>
    <t>Light emitting diode, LED, at plant {GLO}</t>
  </si>
  <si>
    <t>8d28990c-9337-3baa-ba17-8ada4878b29e</t>
  </si>
  <si>
    <t>Light fuel oil, at refinery {CH}</t>
  </si>
  <si>
    <t>5ecf40f8-df3c-3ad8-b950-2239c045e33f</t>
  </si>
  <si>
    <t>Light fuel oil, at refinery {RER}</t>
  </si>
  <si>
    <t>a396f331-e82c-32ec-9f81-41b1e04f92c8</t>
  </si>
  <si>
    <t>Light fuel oil, at regional storage {CH}</t>
  </si>
  <si>
    <t>43b38675-7c2b-37ae-bae1-8daa5c068821</t>
  </si>
  <si>
    <t>Light fuel oil, at regional storage {RER}</t>
  </si>
  <si>
    <t>80b22bf0-10cb-3af0-b63a-d3cf38d0ccb5</t>
  </si>
  <si>
    <t>Light fuel oil, burned in boiler 100kW condensing, non-modulating {CH}</t>
  </si>
  <si>
    <t>80d7ba83-0e98-32bb-a587-fa0e97825e15</t>
  </si>
  <si>
    <t>Light fuel oil, burned in boiler 100kW, average {CH}</t>
  </si>
  <si>
    <t>9d2f66ea-d5d2-3f91-981c-e7414a95dcbf</t>
  </si>
  <si>
    <t>Light fuel oil, burned in boiler 100kW, condensing, modulating {CH}</t>
  </si>
  <si>
    <t>c7d165f5-20e7-3919-9682-52e51f09b4c4</t>
  </si>
  <si>
    <t>Light fuel oil, burned in boiler 100kW, non-modulating {CH}</t>
  </si>
  <si>
    <t>09da51a8-f8ca-3270-bfa4-7749767952a7</t>
  </si>
  <si>
    <t>Light fuel oil, burned in boiler 10kW condensing, non-modulating {CH}</t>
  </si>
  <si>
    <t>5a33c438-71f1-3d06-a97b-bb1cc0f3c271</t>
  </si>
  <si>
    <t>Light fuel oil, burned in boiler 10kW, average {CH}</t>
  </si>
  <si>
    <t>33be9445-a5b8-3ba1-80c3-1aaec8e076eb</t>
  </si>
  <si>
    <t>Light fuel oil, burned in boiler 10kW, condensing, modulating {CH}</t>
  </si>
  <si>
    <t>ff80aca8-1655-3139-a6e7-a3a40333433e</t>
  </si>
  <si>
    <t>Light fuel oil, burned in boiler 10kW, non-modulating (proj. 210) {CH}</t>
  </si>
  <si>
    <t>b6ee8d07-a3d2-3b7d-b316-f9bc1fe7823b</t>
  </si>
  <si>
    <t>Light fuel oil, burned in boiler 10kW, non-modulating {CH}</t>
  </si>
  <si>
    <t>b1efd382-ddd3-3cac-a826-7c2943fc92b4</t>
  </si>
  <si>
    <t>Light fuel oil, burned in industrial furnace 1MW, non-modulating {CH}</t>
  </si>
  <si>
    <t>5f606dc3-b3f6-3e16-89cf-bb583dc2bf9c</t>
  </si>
  <si>
    <t>Light fuel oil, burned in industrial furnace 1MW, non-modulating {RER}</t>
  </si>
  <si>
    <t>82c07b68-8bf9-3537-9934-91924132e976</t>
  </si>
  <si>
    <t>93b1cea3-4c1f-3c26-84d1-7d333fd6461e</t>
  </si>
  <si>
    <t>Lightweight concrete block, pumice, at plant {DE}</t>
  </si>
  <si>
    <t>5b8d64e7-5f93-3c2d-8dd8-c510eef34b2d</t>
  </si>
  <si>
    <t>Lightweight plaster, mineral, at plant {CH}</t>
  </si>
  <si>
    <t>a397e166-7a30-3d37-acd4-cea5a1071859</t>
  </si>
  <si>
    <t>Lightweight plaster, mineral, matured {CH}</t>
  </si>
  <si>
    <t>103aa12d-6b40-3f24-82b4-68a8cebaea58</t>
  </si>
  <si>
    <t>Lignite briquette, burned in stove 5-15kW {RER}</t>
  </si>
  <si>
    <t>heat\lignite\furnace</t>
  </si>
  <si>
    <t>634e0bcd-5c20-3b87-b21a-34009a8f294e</t>
  </si>
  <si>
    <t>Lignite briquettes production plant {RER}</t>
  </si>
  <si>
    <t>fuels\lignite\mine\infrastructure</t>
  </si>
  <si>
    <t>edc46ef1-62d3-3e03-93b9-74936192e39c</t>
  </si>
  <si>
    <t>Lignite briquettes, at plant {DE}</t>
  </si>
  <si>
    <t>fuels\lignite</t>
  </si>
  <si>
    <t>721546ff-94ea-3d7b-a501-4b7fc3cb1ae5</t>
  </si>
  <si>
    <t>Lignite dust production plant {RER}</t>
  </si>
  <si>
    <t>1b12eb96-e566-31cb-9d86-5302e3bf9b87</t>
  </si>
  <si>
    <t>Lignite power plant {RER}</t>
  </si>
  <si>
    <t>electricity by fuel\lignite\power plant\infrastructure</t>
  </si>
  <si>
    <t>ed6f2525-3252-3f1c-a901-4021cfa4e1a1</t>
  </si>
  <si>
    <t>Lignite, at mine {RER}</t>
  </si>
  <si>
    <t>fuels\lignite\mine</t>
  </si>
  <si>
    <t>24449d7c-b4f6-388f-854f-ad3aa20e26e3</t>
  </si>
  <si>
    <t>Lignite, burned in power plant {AT}</t>
  </si>
  <si>
    <t>electricity by fuel\lignite\power plant</t>
  </si>
  <si>
    <t>64112c9c-6960-362b-bcde-6a7dd8756a96</t>
  </si>
  <si>
    <t>Lignite, burned in power plant {BA}</t>
  </si>
  <si>
    <t>b2bbc6f0-643d-3dd2-9a75-2ef0b66da2ee</t>
  </si>
  <si>
    <t>Lignite, burned in power plant {CS}</t>
  </si>
  <si>
    <t>057794d7-6290-38fb-b89d-59b326576c49</t>
  </si>
  <si>
    <t>Lignite, burned in power plant {CZ}</t>
  </si>
  <si>
    <t>06f9b3ac-70c4-3698-928c-05afaf3083b0</t>
  </si>
  <si>
    <t>Lignite, burned in power plant {DE}</t>
  </si>
  <si>
    <t>a479868b-6024-3035-8d1c-235756815d7b</t>
  </si>
  <si>
    <t>Lignite, burned in power plant {ES}</t>
  </si>
  <si>
    <t>b4619b8e-3da2-3ed9-89bf-270b898a97e8</t>
  </si>
  <si>
    <t>Lignite, burned in power plant {FR}</t>
  </si>
  <si>
    <t>e4aa6811-1660-31e4-ba48-c4b644ba76d6</t>
  </si>
  <si>
    <t>Lignite, burned in power plant {GR}</t>
  </si>
  <si>
    <t>f26baadf-00cf-3dd4-adc9-1ab257521a58</t>
  </si>
  <si>
    <t>Lignite, burned in power plant {HU}</t>
  </si>
  <si>
    <t>9cd4dc34-5783-3571-a35e-bf602048fbea</t>
  </si>
  <si>
    <t>Lignite, burned in power plant {MK}</t>
  </si>
  <si>
    <t>97d17dac-86e2-3d42-9863-bcc97c938b90</t>
  </si>
  <si>
    <t>Lignite, burned in power plant {PL}</t>
  </si>
  <si>
    <t>bff1f6c8-bc52-39cb-97bf-81900e7616a1</t>
  </si>
  <si>
    <t>Lignite, burned in power plant {RS}</t>
  </si>
  <si>
    <t>ed6194c6-7af7-3076-ae72-55a2c1cedfce</t>
  </si>
  <si>
    <t>Lignite, burned in power plant {SI}</t>
  </si>
  <si>
    <t>4a1ed478-2f13-312d-8b5e-6b75bb62afa2</t>
  </si>
  <si>
    <t>Lignite, burned in power plant {SK}</t>
  </si>
  <si>
    <t>a823db8e-106c-31eb-a858-75555cb8590d</t>
  </si>
  <si>
    <t>Lime, from carbonation, at regional storehouse {CH}</t>
  </si>
  <si>
    <t>2e3a6ccd-0c16-3510-8197-4d7c54a4f03a</t>
  </si>
  <si>
    <t>Lime, hydrated, loose, at plant {CH}</t>
  </si>
  <si>
    <t>720e71c3-5615-390c-b1f4-50eba3cd4d6d</t>
  </si>
  <si>
    <t>f50a4594-62e7-3818-8559-30e5fd8df4d6</t>
  </si>
  <si>
    <t>Lime, hydraulic, at plant {CH}</t>
  </si>
  <si>
    <t>ec899361-d3ca-33a7-a607-626c0a054295</t>
  </si>
  <si>
    <t>Limestone, at mine {CH}</t>
  </si>
  <si>
    <t>696f7ad4-9824-3c6a-ada5-eabe8d9aa544</t>
  </si>
  <si>
    <t>Limestone, crushed, for mill {CH}</t>
  </si>
  <si>
    <t>4cf11247-ece6-3e2f-b82a-908ed0b7cd5f</t>
  </si>
  <si>
    <t>5931e38d-b2fd-3cab-98b1-b463a605364b</t>
  </si>
  <si>
    <t>Limestone, milled, loose, at plant {CH}</t>
  </si>
  <si>
    <t>f8e122b3-92fb-37d6-aade-43ee2f2de640</t>
  </si>
  <si>
    <t>Limestone, milled, packed, at plant {CH}</t>
  </si>
  <si>
    <t>8eac0f20-7282-3186-a584-b89ad40e5b94</t>
  </si>
  <si>
    <t>Linuron, at regional storehouse {CH}</t>
  </si>
  <si>
    <t>cfba8e2a-3a07-35d9-91b6-6799a3997758</t>
  </si>
  <si>
    <t>Linuron, at regional storehouse {RER}</t>
  </si>
  <si>
    <t>67dfd0ae-fdb4-3f6f-a62e-4632f80c02f1</t>
  </si>
  <si>
    <t>Liquefied petroleum gas, at service station {CH}</t>
  </si>
  <si>
    <t>fuels\oil\propane\butane</t>
  </si>
  <si>
    <t>25d12163-8bd4-3937-96a3-eb46641aba34</t>
  </si>
  <si>
    <t>08502fe5-3c87-3969-b6b3-da822c8e0dc2</t>
  </si>
  <si>
    <t>Liquid storage tank, chemicals, organics {CH}</t>
  </si>
  <si>
    <t>37f6729c-9dd3-3809-800f-df00fa277970</t>
  </si>
  <si>
    <t>Lithium carbonate, at plant {GLO}</t>
  </si>
  <si>
    <t>2f4a8d1a-d27a-39c5-9370-8a2776ec7326</t>
  </si>
  <si>
    <t>Lithium chloride, at plant {GLO}</t>
  </si>
  <si>
    <t>5b825402-c959-3e1f-a3bf-96b278e4f513</t>
  </si>
  <si>
    <t>Lithium fluoride, at plant {CN}</t>
  </si>
  <si>
    <t>2d2359ec-2448-3873-9a03-d623df33ac95</t>
  </si>
  <si>
    <t>Lithium hexafluorophosphate, at plant {CN}</t>
  </si>
  <si>
    <t>4e1f9dc6-3979-370a-91f0-465f524145d3</t>
  </si>
  <si>
    <t>Lithium hydroxide, at plant {GLO}</t>
  </si>
  <si>
    <t>c952992c-f8ed-3c23-8e24-506b6181656f</t>
  </si>
  <si>
    <t>Lithium iron phosphate [LiFePO4] {JP}</t>
  </si>
  <si>
    <t>b5f885b4-ca0e-32e7-99e0-0c2bcca6e993</t>
  </si>
  <si>
    <t>Lithium manganese oxide, at plant {GLO}</t>
  </si>
  <si>
    <t>619a5d81-ba7c-39b7-9ae0-e1652984cf50</t>
  </si>
  <si>
    <t>edfd26b0-bb79-37a7-b0e5-b3a66fa7262f</t>
  </si>
  <si>
    <t>Loading bales {CH}</t>
  </si>
  <si>
    <t>2e54e4fe-8f1c-3f9a-908e-aab314340471</t>
  </si>
  <si>
    <t>Locomotive {RER}</t>
  </si>
  <si>
    <t>e9f8c142-1372-38e8-b6fd-28e16d130f90</t>
  </si>
  <si>
    <t>Logs, hardwood, burned in furnace 15kW {CH}</t>
  </si>
  <si>
    <t>9e886da3-8aab-3d02-8999-d7a4e7a58d3a</t>
  </si>
  <si>
    <t>Logs, hardwood, burned in furnace 50kW {CH}</t>
  </si>
  <si>
    <t>7f77b428-cb9d-3edb-92f0-eb2f454d11b4</t>
  </si>
  <si>
    <t>Logs, hardwood, burned in wood heater 6kW {CH}</t>
  </si>
  <si>
    <t>35f9f67f-66cd-36d2-adff-991c74ae9c51</t>
  </si>
  <si>
    <t>Logs, mixed, burned in furnace 15kW {CH}</t>
  </si>
  <si>
    <t>2e89f94f-9aab-3ca2-8116-5f545e729425</t>
  </si>
  <si>
    <t>Logs, mixed, burned in furnace 50kW (proj. 210) {CH}</t>
  </si>
  <si>
    <t>0184381c-10a7-334e-baf8-a45511a7b2c8</t>
  </si>
  <si>
    <t>Logs, mixed, burned in furnace 50kW {CH}</t>
  </si>
  <si>
    <t>e4102211-4102-3365-aaa3-45548cc6ecf2</t>
  </si>
  <si>
    <t>Logs, mixed, burned in wood heater 6kW {CH}</t>
  </si>
  <si>
    <t>e2329c92-2183-3174-b1ae-730a027658a7</t>
  </si>
  <si>
    <t>Logs, softwood, burned in furnace 15kW {CH}</t>
  </si>
  <si>
    <t>1094c277-d76f-3256-8a19-4c03556e0f7e</t>
  </si>
  <si>
    <t>Logs, softwood, burned in furnace 50kW {CH}</t>
  </si>
  <si>
    <t>2d9003c1-9f4b-3f74-8b1c-d15ea06982cc</t>
  </si>
  <si>
    <t>Logs, softwood, burned in wood heater 6kW {CH}</t>
  </si>
  <si>
    <t>409ef7ff-9ba0-318d-8584-3bb8cd5e41d6</t>
  </si>
  <si>
    <t>Long-distance train {CH}</t>
  </si>
  <si>
    <t>7bc9ba5f-0268-383b-972c-b7943329e993</t>
  </si>
  <si>
    <t>Loose housing system, cattle {CH}</t>
  </si>
  <si>
    <t>193c3cfb-bb02-3376-9e20-f3990cb74970</t>
  </si>
  <si>
    <t>Lorry 16t {RER}</t>
  </si>
  <si>
    <t>6b511ee1-b116-348d-9087-0b4b1c3d5c38</t>
  </si>
  <si>
    <t>Lorry 21t, municipal waste collection {CH}</t>
  </si>
  <si>
    <t>9c16216e-eaef-3d34-bd9c-80501381838b</t>
  </si>
  <si>
    <t>Lorry 28t {RER}</t>
  </si>
  <si>
    <t>09ea6f9e-c0cd-3819-ac1f-b57695ae1311</t>
  </si>
  <si>
    <t>Lorry 40t {RER}</t>
  </si>
  <si>
    <t>d73d6c0a-16bc-39bd-a1f8-2afd1166e89d</t>
  </si>
  <si>
    <t>Low active radioactive waste {CH}</t>
  </si>
  <si>
    <t>3c080289-ef2f-4848-ae59-d9938a1917ac</t>
  </si>
  <si>
    <t>Low voltage system {GLO}</t>
  </si>
  <si>
    <t>cd18b817-8f9b-39a5-93ca-8d84ce8a00fe</t>
  </si>
  <si>
    <t>Lower retention {GLO}</t>
  </si>
  <si>
    <t>cdf027bc-6bde-385f-a795-82a315c56a3b</t>
  </si>
  <si>
    <t>LTO electrode material (Li4Ti5O12) {GLO}</t>
  </si>
  <si>
    <t>092c0e07-9fb4-3fdd-b9ea-b20994a459aa</t>
  </si>
  <si>
    <t>0b14288a-dbf3-3dac-a570-83d083f4b600</t>
  </si>
  <si>
    <t>cb518d31-41bf-3501-b2db-2e8b0ad9e1d8</t>
  </si>
  <si>
    <t>Magnesium-alloy, AZ91, diecasting, at plant {RER}</t>
  </si>
  <si>
    <t>773fd4e8-5ca6-3af9-afc8-9d52c141231d</t>
  </si>
  <si>
    <t>Magnesium oxide, at plant {RER}</t>
  </si>
  <si>
    <t>f07e90df-b4b3-3b77-bd62-6298aea91d2f</t>
  </si>
  <si>
    <t>Magnesium plant {RER}</t>
  </si>
  <si>
    <t>c71a40a4-f2df-3dc8-b299-7e680c0287f1</t>
  </si>
  <si>
    <t>Magnesium sulphate, at plant {RER}</t>
  </si>
  <si>
    <t>9fbb887b-8d5a-34df-bca0-dbecc33a46b7</t>
  </si>
  <si>
    <t>a8da43dc-78aa-3945-a75e-474b4e87c7fb</t>
  </si>
  <si>
    <t>Magnetite, at plant {GLO}</t>
  </si>
  <si>
    <t>61b2da15-43af-38b2-ae66-d57ea7b5001a</t>
  </si>
  <si>
    <t>Maintenance micro gas turbine 100kWe {CH}</t>
  </si>
  <si>
    <t>heat\natural gas\cogeneration\power unit</t>
  </si>
  <si>
    <t>1b74dbcf-fbf6-33d3-9228-9fb7ac87cf7d</t>
  </si>
  <si>
    <t>Maintenance PEM fuel cell 2kWe {CH}</t>
  </si>
  <si>
    <t>5e33923f-e23d-3a6f-9213-df47ae88e921</t>
  </si>
  <si>
    <t>Maintenance SOFC-GT fuel cell 180kWe, future {CH}</t>
  </si>
  <si>
    <t>83329df7-bc2d-3294-b809-e97e7e8b71be</t>
  </si>
  <si>
    <t>Maintenance SOFC fuel cell 125kWe, future {CH}</t>
  </si>
  <si>
    <t>43bc11fa-35a2-3734-8f1a-87975c8a0780</t>
  </si>
  <si>
    <t>Maintenance stirling cogen unit 3kWe, wood pellets, future {CH}</t>
  </si>
  <si>
    <t>cb0fd74e-37b1-31c9-9835-4b3b9baf437e</t>
  </si>
  <si>
    <t>Maintenance, barge {RER}</t>
  </si>
  <si>
    <t>53684ee6-1fbd-3d61-b08d-0484fb1afc63</t>
  </si>
  <si>
    <t>Maintenance, bicycle {CH}</t>
  </si>
  <si>
    <t>4d0884d3-b8bb-3768-be9f-7c17ed9cfece</t>
  </si>
  <si>
    <t>Maintenance, bus {CH}</t>
  </si>
  <si>
    <t>3302d213-c31e-3bbf-bb0a-db9222a62d1f</t>
  </si>
  <si>
    <t>Maintenance, cogen unit 160kWe {RER}</t>
  </si>
  <si>
    <t>ccf8a4df-cecc-335a-ab25-b328a5c589a8</t>
  </si>
  <si>
    <t>Maintenance, electric bicycle {CH}</t>
  </si>
  <si>
    <t>6ee7bda3-dd14-3c58-8d14-5108a822b721</t>
  </si>
  <si>
    <t>Maintenance, electric bicycle, LiNCM battery {CH}</t>
  </si>
  <si>
    <t>1df4f5fe-9168-3f70-9f6d-a9b50958edb1</t>
  </si>
  <si>
    <t>Maintenance, electric bicycle, without battery {CH}</t>
  </si>
  <si>
    <t>c0ba8969-9bbe-33bd-9162-83c085298f50</t>
  </si>
  <si>
    <t>Maintenance, electric scooter {CH}</t>
  </si>
  <si>
    <t>a10add47-f58a-32ab-a9d0-63d0f24821f3</t>
  </si>
  <si>
    <t>Maintenance, electric scooter, without battery {CH}</t>
  </si>
  <si>
    <t>0eec6898-1c96-384d-9be5-9d8003c67cc9</t>
  </si>
  <si>
    <t>Maintenance, electric vehicle, LiMn2O4 {RER}</t>
  </si>
  <si>
    <t>2b8c1181-95d8-3a0b-9d28-a0b17d907a71</t>
  </si>
  <si>
    <t>Maintenance, goods wagon {RER}</t>
  </si>
  <si>
    <t>43a8ae30-553e-3e48-96b7-01c0cfe942b9</t>
  </si>
  <si>
    <t>Maintenance, ICE {DE}</t>
  </si>
  <si>
    <t>b9f11fe7-2a63-3b91-98fa-64280ea09493</t>
  </si>
  <si>
    <t>Maintenance, locomotive {RER}</t>
  </si>
  <si>
    <t>42aaa97a-9192-3817-941e-4e35ee1b6fe7</t>
  </si>
  <si>
    <t>Maintenance, long-distance train {CH}</t>
  </si>
  <si>
    <t>776ddafb-c8ed-34b2-b2ac-f9064cc855a4</t>
  </si>
  <si>
    <t>Maintenance, lorry 16t {CH}</t>
  </si>
  <si>
    <t>0d5ba48e-ca26-3d71-8ddb-51aa567fd3b9</t>
  </si>
  <si>
    <t>Maintenance, lorry 28t {CH}</t>
  </si>
  <si>
    <t>1d0aa30b-ad08-341d-b6d5-b8af2a44efbe</t>
  </si>
  <si>
    <t>Maintenance, lorry 40t {CH}</t>
  </si>
  <si>
    <t>9fb270a3-c3ac-3baa-9a25-bb788e166390</t>
  </si>
  <si>
    <t>Maintenance, Mini CHP plant {CH}</t>
  </si>
  <si>
    <t>4bcd06ff-70e6-3fc3-b5f0-a080e6028f85</t>
  </si>
  <si>
    <t>Maintenance, operation, canal {RER}</t>
  </si>
  <si>
    <t>aff347f1-609b-30a4-9bd8-316ccf244491</t>
  </si>
  <si>
    <t>Maintenance, passenger cable car {CH}</t>
  </si>
  <si>
    <t>8c84cb6f-0023-3cbe-bff6-e6708b6d3cdf</t>
  </si>
  <si>
    <t>Maintenance, passenger car {RER}</t>
  </si>
  <si>
    <t>96151dcf-d2fe-3a20-bbf4-ff542777285c</t>
  </si>
  <si>
    <t>Maintenance, passenger car, diesel, EURO5, city car {RER}</t>
  </si>
  <si>
    <t>c2293bb9-f020-30d5-b4db-13b1a3981ffc</t>
  </si>
  <si>
    <t>Maintenance, passenger car, electric, LiMn2O4, city car {RER}</t>
  </si>
  <si>
    <t>61d262a7-e3db-3d42-9bde-26369cafe46d</t>
  </si>
  <si>
    <t>Maintenance, regional train {CH}</t>
  </si>
  <si>
    <t>a549640c-0e48-3e75-a36d-e18a64c5901e</t>
  </si>
  <si>
    <t>Maintenance, scooter {CH}</t>
  </si>
  <si>
    <t>6bb14111-38a9-30f3-8550-efbee5943407</t>
  </si>
  <si>
    <t>Maintenance, tram {CH}</t>
  </si>
  <si>
    <t>fc296a01-4a07-3529-be9b-1f441cb549eb</t>
  </si>
  <si>
    <t>Maintenance, transoceanic freight ship {RER}</t>
  </si>
  <si>
    <t>17e93a2c-9e6c-3120-9947-be8326c5bc48</t>
  </si>
  <si>
    <t>Maintenance, van &lt; 3.5t {RER}</t>
  </si>
  <si>
    <t>02eccf23-5e44-37d2-b270-220b711b8705</t>
  </si>
  <si>
    <t>Maize drying {CH}</t>
  </si>
  <si>
    <t>23a24582-80fe-345e-ae2a-7329eb98e33c</t>
  </si>
  <si>
    <t>Maize seed IP, at farm {CH}</t>
  </si>
  <si>
    <t>4277f9d6-1fd4-3cec-bc96-4a11f45ea98f</t>
  </si>
  <si>
    <t>Maize seed IP, at regional storehouse {CH}</t>
  </si>
  <si>
    <t>7807c244-9a61-398d-ac00-5b5ba7f34c42</t>
  </si>
  <si>
    <t>Maize seed organic, at farm {CH}</t>
  </si>
  <si>
    <t>5f2c0918-8d22-3700-a54d-7aa1c47d1c1c</t>
  </si>
  <si>
    <t>Maize seed organic, at regional storehouse {CH}</t>
  </si>
  <si>
    <t>a15c3d6a-8254-305b-9b1d-474359811007</t>
  </si>
  <si>
    <t>Maize starch, at plant {DE}</t>
  </si>
  <si>
    <t>703dcb45-fd45-37c0-936e-ae7927cea410</t>
  </si>
  <si>
    <t>Maleic anhydride from catalytic oxidation of benzene, at plant {RER}</t>
  </si>
  <si>
    <t>429e4868-8129-3c0c-b3f9-32297b07b9d8</t>
  </si>
  <si>
    <t>Maleic anhydride from the direct oxidation of n-butane, at plant {RER}</t>
  </si>
  <si>
    <t>eb2de9bf-0353-315f-8fad-245f997d2549</t>
  </si>
  <si>
    <t>Maleic anhydride, at plant {RER}</t>
  </si>
  <si>
    <t>296c16a7-60b8-3ac4-ac72-9cc0a4d120c9</t>
  </si>
  <si>
    <t>Malusil, at plant {RER}</t>
  </si>
  <si>
    <t>9687d96e-3924-39d8-9f3d-5bafb50ee4ce</t>
  </si>
  <si>
    <t>Maneb, at regional storehouse {CH}</t>
  </si>
  <si>
    <t>c4a03b83-9614-3bb7-bdcd-aa10d406757a</t>
  </si>
  <si>
    <t>Manganese concentrate, at beneficiation {GLO}</t>
  </si>
  <si>
    <t>f2604d57-9474-36dc-9219-c04eedc6f657</t>
  </si>
  <si>
    <t>Manganese oxide (Mn2O3), at plant {CN}</t>
  </si>
  <si>
    <t>70ce107a-39a5-3b2e-a321-d2522517c70b</t>
  </si>
  <si>
    <t>00ff4acd-7e82-3d59-abc6-768375eba3ba</t>
  </si>
  <si>
    <t>Manifolds {GLO}</t>
  </si>
  <si>
    <t>a6f95ab8-3b97-3bdd-b2d5-c7c7f6cfed18</t>
  </si>
  <si>
    <t>Manual treatment plant, WEEE scrap {GLO}</t>
  </si>
  <si>
    <t>e09e23d9-b02d-3840-8c4a-797fbb0529b3</t>
  </si>
  <si>
    <t>Manufacturing, dry mortar, per kg mortar {CH}</t>
  </si>
  <si>
    <t>c4e55db1-ece9-3aba-927c-eb2e5c7c90cb</t>
  </si>
  <si>
    <t>Manufacturing, wet green mortar, per kg mortar {CH}</t>
  </si>
  <si>
    <t>d2d9204e-4e47-39c9-823f-9737e727dd98</t>
  </si>
  <si>
    <t>Marble pit lime plaster, at plant {CH}</t>
  </si>
  <si>
    <t>ffc67975-1200-3948-ae3e-7f7cb30b429b</t>
  </si>
  <si>
    <t>Marble pit lime plaster, matured {CH}</t>
  </si>
  <si>
    <t>57f00d56-5d99-3dc7-9f01-2591a1180da2</t>
  </si>
  <si>
    <t>Market for styrene butadiene rubber (SBR) {RER}</t>
  </si>
  <si>
    <t>cc71b907-9e75-3933-a5b6-3d2641333a8f</t>
  </si>
  <si>
    <t>Mastic asphalt, at plant {CH}</t>
  </si>
  <si>
    <t>715c8193-9bb9-3248-ad14-d6ff813baea7</t>
  </si>
  <si>
    <t>MCPA, at regional storehouse {CH}</t>
  </si>
  <si>
    <t>fc6f116f-1341-3b73-84ae-b6a5ef575226</t>
  </si>
  <si>
    <t>MCPA, at regional storehouse {RER}</t>
  </si>
  <si>
    <t>82362c8e-44ea-34b9-a787-e489b9be9911</t>
  </si>
  <si>
    <t>MEA hot pressing {GLO}</t>
  </si>
  <si>
    <t>3f1db07b-3ca1-3996-aeeb-6c6f81e8ea8d</t>
  </si>
  <si>
    <t>Mechanical treatment plant, WEEE scrap {GLO}</t>
  </si>
  <si>
    <t>4d3f2267-79d2-37be-aead-51e2c96b173f</t>
  </si>
  <si>
    <t>Medium density fibreboard, at regional storage {CH}</t>
  </si>
  <si>
    <t>43e4c37a-b703-3e46-97f6-efae1cbceea2</t>
  </si>
  <si>
    <t>Medium density fibreboard, at regional storage, with resource correction {CH}</t>
  </si>
  <si>
    <t>c402de6a-dcca-340a-b264-954ee7304e13</t>
  </si>
  <si>
    <t>Medium density fibreboard, uncoated, at plant {RER}</t>
  </si>
  <si>
    <t>750c1e49-bb50-3a54-9f1f-f73af4805db2</t>
  </si>
  <si>
    <t>fa1e9642-d7db-3e45-9f79-b46747e767ee</t>
  </si>
  <si>
    <t>Medium duty truck, battery electric, LFP battery, 18t gross weight, 2020, urban delivery {RER}</t>
  </si>
  <si>
    <t>7faeb300-0de1-30d0-953b-7806fb7358de</t>
  </si>
  <si>
    <t>0109b020-9e5b-356a-98df-ae08c1d1bcc7</t>
  </si>
  <si>
    <t>Medium duty truck, battery electric, LFP battery, 26t gross weight, 2020, urban delivery {RER}</t>
  </si>
  <si>
    <t>febe273f-880b-3b52-a2b3-dec4abbac270</t>
  </si>
  <si>
    <t>Medium duty truck, battery electric, NCA battery, 18t gross weight, 2020, regional delivery {RER}</t>
  </si>
  <si>
    <t>a11f6b58-3a85-3353-a29c-d5fdeabfca95</t>
  </si>
  <si>
    <t>Medium duty truck, battery electric, NCA battery, 18t gross weight, 2020, urban delivery {RER}</t>
  </si>
  <si>
    <t>6f5b5d15-702c-3f64-9014-930beabf5038</t>
  </si>
  <si>
    <t>Medium duty truck, battery electric, NCA battery, 26t gross weight, 2020, regional delivery {RER}</t>
  </si>
  <si>
    <t>8d376298-def2-35a8-af9b-f5c22f93e6b2</t>
  </si>
  <si>
    <t>Medium duty truck, battery electric, NCA battery, 26t gross weight, 2020, urban delivery {RER}</t>
  </si>
  <si>
    <t>989b0a60-0931-30f4-88b5-97e6259db7f5</t>
  </si>
  <si>
    <t>Medium duty truck, battery electric, NMC-622 battery, 18t gross weight, 2020, regional delivery {RER}</t>
  </si>
  <si>
    <t>085717f5-eb09-3110-bd02-8b24d0e43b67</t>
  </si>
  <si>
    <t>Medium duty truck, battery electric, NMC-622 battery, 18t gross weight, 2020, urban delivery {RER}</t>
  </si>
  <si>
    <t>cb621a74-95a8-378c-aa76-3c708761d7b2</t>
  </si>
  <si>
    <t>Medium duty truck, battery electric, NMC-622 battery, 26t gross weight, 2020, regional delivery {RER}</t>
  </si>
  <si>
    <t>56cf0e2c-654f-36b8-b352-386a7ef9e98e</t>
  </si>
  <si>
    <t>Medium duty truck, battery electric, NMC-622 battery, 26t gross weight, 2020, urban delivery {RER}</t>
  </si>
  <si>
    <t>b8dfd6e2-ed97-315e-9a42-8585d54a1084</t>
  </si>
  <si>
    <t>Medium duty truck, compressed gas, 18t gross weight, 2020, EURO-VI, long haul {RER}</t>
  </si>
  <si>
    <t>6e7b6320-49a2-33d8-90ad-464f49e0531f</t>
  </si>
  <si>
    <t>Medium duty truck, compressed gas, 18t gross weight, 2020, EURO-VI, regional delivery {RER}</t>
  </si>
  <si>
    <t>e3110013-2a03-3cc9-988f-fd6a6f07ffae</t>
  </si>
  <si>
    <t>Medium duty truck, compressed gas, 18t gross weight, 2020, EURO-VI, urban delivery {RER}</t>
  </si>
  <si>
    <t>68263326-ecb6-3b0a-b2e9-8145b1ee99f0</t>
  </si>
  <si>
    <t>Medium duty truck, compressed gas, 26t gross weight, 2020, EURO-VI, long haul {RER}</t>
  </si>
  <si>
    <t>2198190c-4069-3a38-b04f-8e008a1283f9</t>
  </si>
  <si>
    <t>Medium duty truck, compressed gas, 26t gross weight, 2020, EURO-VI, regional delivery {RER}</t>
  </si>
  <si>
    <t>be494e0c-746c-3f88-94c8-d26f69cb2f3f</t>
  </si>
  <si>
    <t>Medium duty truck, compressed gas, 26t gross weight, 2020, EURO-VI, urban delivery {RER}</t>
  </si>
  <si>
    <t>cab0d8ef-2873-33d8-b911-0628210fbb47</t>
  </si>
  <si>
    <t>Medium duty truck, diesel hybrid, 18t gross weight, 2020, EURO-VI, long haul {RER}</t>
  </si>
  <si>
    <t>931a5c53-078e-3a66-8e16-a02438220849</t>
  </si>
  <si>
    <t>7a8a190f-faf1-3538-b3ca-ae6229518899</t>
  </si>
  <si>
    <t>Medium duty truck, diesel hybrid, 18t gross weight, 2020, EURO-VI, urban delivery {RER}</t>
  </si>
  <si>
    <t>7d7644c3-935c-304b-bd1f-df5c2d013ec7</t>
  </si>
  <si>
    <t>Medium duty truck, diesel hybrid, 26t gross weight, 2020, EURO-VI, long haul {RER}</t>
  </si>
  <si>
    <t>717b5916-e386-3da5-9d61-4a4738cabd58</t>
  </si>
  <si>
    <t>048698e4-cb67-33d2-bc3c-7c322c820688</t>
  </si>
  <si>
    <t>Medium duty truck, diesel hybrid, 26t gross weight, 2020, EURO-VI, urban delivery {RER}</t>
  </si>
  <si>
    <t>8c889eb8-7af7-3836-b341-baae1d207161</t>
  </si>
  <si>
    <t>Medium duty truck, diesel, 18t gross weight, 2002, EURO-III, long haul {RER}</t>
  </si>
  <si>
    <t>ea6b78ac-c8bc-342f-8f56-a3d4f15eaca5</t>
  </si>
  <si>
    <t>Medium duty truck, diesel, 18t gross weight, 2002, EURO-III, regional delivery {RER}</t>
  </si>
  <si>
    <t>42b07fb4-aa52-38db-81b4-b4b0ed057363</t>
  </si>
  <si>
    <t>Medium duty truck, diesel, 18t gross weight, 2002, EURO-III, urban delivery {RER}</t>
  </si>
  <si>
    <t>bdcb01f8-4250-3220-88e7-0312446250ef</t>
  </si>
  <si>
    <t>Medium duty truck, diesel, 18t gross weight, 2006, EURO-IV, long haul {RER}</t>
  </si>
  <si>
    <t>0f0957bd-d70f-3bb6-8e01-900a0231a958</t>
  </si>
  <si>
    <t>Medium duty truck, diesel, 18t gross weight, 2006, EURO-IV, regional delivery {RER}</t>
  </si>
  <si>
    <t>74ea1d8b-7a7b-3dc9-8f04-981cea2e1ce4</t>
  </si>
  <si>
    <t>Medium duty truck, diesel, 18t gross weight, 2006, EURO-IV, urban delivery {RER}</t>
  </si>
  <si>
    <t>e6d260f7-d697-36c2-87ec-dc8e88eb6d91</t>
  </si>
  <si>
    <t>Medium duty truck, diesel, 18t gross weight, 2010, EURO-V, long haul {RER}</t>
  </si>
  <si>
    <t>e9e7ab58-b907-3221-9ffb-d9e9db3c75d2</t>
  </si>
  <si>
    <t>Medium duty truck, diesel, 18t gross weight, 2010, EURO-V, regional delivery {RER}</t>
  </si>
  <si>
    <t>547fb36b-3721-30be-8e16-6ae82b9219d9</t>
  </si>
  <si>
    <t>Medium duty truck, diesel, 18t gross weight, 2010, EURO-V, urban delivery {RER}</t>
  </si>
  <si>
    <t>7e79ed60-f2d1-335c-8335-3ea515194e4c</t>
  </si>
  <si>
    <t>Medium duty truck, diesel, 18t gross weight, 2020, EURO-VI, long haul {RER}</t>
  </si>
  <si>
    <t>3ab9ed58-f065-36a5-9709-96a05a8fb9c8</t>
  </si>
  <si>
    <t>Medium duty truck, diesel, 18t gross weight, 2020, EURO-VI, regional delivery {RER}</t>
  </si>
  <si>
    <t>4fcaf5b3-bea4-340a-be61-969226102c51</t>
  </si>
  <si>
    <t>Medium duty truck, diesel, 18t gross weight, 2020, EURO-VI, urban delivery {RER}</t>
  </si>
  <si>
    <t>d4e8b7c1-c49a-37c7-a9cc-18f7b41b5aa6</t>
  </si>
  <si>
    <t>Medium duty truck, diesel, 26t gross weight, 2002, EURO-III, long haul {RER}</t>
  </si>
  <si>
    <t>11f6fb75-c8d8-3cd6-b701-610df7a318f7</t>
  </si>
  <si>
    <t>Medium duty truck, diesel, 26t gross weight, 2002, EURO-III, regional delivery {RER}</t>
  </si>
  <si>
    <t>932cc942-2784-38da-aef5-32ed9e64df3c</t>
  </si>
  <si>
    <t>Medium duty truck, diesel, 26t gross weight, 2002, EURO-III, urban delivery {RER}</t>
  </si>
  <si>
    <t>09f84dbf-8c3b-3b1c-adc7-be5428be98c8</t>
  </si>
  <si>
    <t>Medium duty truck, diesel, 26t gross weight, 2006, EURO-IV, long haul {RER}</t>
  </si>
  <si>
    <t>18d86414-aa86-3592-a166-76e6c73a7a7d</t>
  </si>
  <si>
    <t>Medium duty truck, diesel, 26t gross weight, 2006, EURO-IV, regional delivery {RER}</t>
  </si>
  <si>
    <t>eb7ee88d-b8d1-3933-bbbd-e07ac20508aa</t>
  </si>
  <si>
    <t>Medium duty truck, diesel, 26t gross weight, 2006, EURO-IV, urban delivery {RER}</t>
  </si>
  <si>
    <t>8f1b72f6-40f3-3a4f-bbb1-aa1f9eee8b75</t>
  </si>
  <si>
    <t>Medium duty truck, diesel, 26t gross weight, 2010, EURO-V, long haul {RER}</t>
  </si>
  <si>
    <t>d06651e9-f6a0-3588-be4d-d217ddc2722d</t>
  </si>
  <si>
    <t>Medium duty truck, diesel, 26t gross weight, 2010, EURO-V, regional delivery {RER}</t>
  </si>
  <si>
    <t>b5983bfe-2ce2-3c9f-aae4-7fe462efc8bd</t>
  </si>
  <si>
    <t>Medium duty truck, diesel, 26t gross weight, 2010, EURO-V, urban delivery {RER}</t>
  </si>
  <si>
    <t>17afbb6e-ef66-3378-92fb-17d89c2ff65f</t>
  </si>
  <si>
    <t>Medium duty truck, diesel, 26t gross weight, 2020, EURO-VI, long haul {RER}</t>
  </si>
  <si>
    <t>676a1c1e-6850-3810-abc3-060f4393bbfc</t>
  </si>
  <si>
    <t>Medium duty truck, diesel, 26t gross weight, 2020, EURO-VI, regional delivery {RER}</t>
  </si>
  <si>
    <t>a63b2c19-520b-37b7-9bbc-86c9ed42ff63</t>
  </si>
  <si>
    <t>Medium duty truck, diesel, 26t gross weight, 2020, EURO-VI, urban delivery {RER}</t>
  </si>
  <si>
    <t>5c627c05-f53a-32aa-b3b5-63aba771d241</t>
  </si>
  <si>
    <t>Medium duty truck, fuel cell electric, 18t gross weight, 2020, long haul {RER}</t>
  </si>
  <si>
    <t>b5b4df8b-5e16-3b03-ba3d-d6a5c6c3eb5f</t>
  </si>
  <si>
    <t>Medium duty truck, fuel cell electric, 18t gross weight, 2020, regional delivery {RER}</t>
  </si>
  <si>
    <t>736743e7-81c2-353d-aa7e-4106cd210a56</t>
  </si>
  <si>
    <t>Medium duty truck, fuel cell electric, 18t gross weight, 2020, urban delivery {RER}</t>
  </si>
  <si>
    <t>983d585e-792c-3dae-938f-6ae434bf0e34</t>
  </si>
  <si>
    <t>Medium duty truck, fuel cell electric, 26t gross weight, 2020, long haul {RER}</t>
  </si>
  <si>
    <t>050dc00e-619d-3293-a001-3f7f085ab3ea</t>
  </si>
  <si>
    <t>Medium duty truck, fuel cell electric, 26t gross weight, 2020, regional delivery {RER}</t>
  </si>
  <si>
    <t>f4a22711-f440-3565-86b5-b0eef18bedec</t>
  </si>
  <si>
    <t>Medium duty truck, fuel cell electric, 26t gross weight, 2020, urban delivery {RER}</t>
  </si>
  <si>
    <t>afcdabaa-4829-3563-8c53-aee0d79c961f</t>
  </si>
  <si>
    <t>Medium duty truck, plugin diesel hybrid, 18t gross weight, 2020, EURO-VI, urban delivery {RER}</t>
  </si>
  <si>
    <t>53839ae6-278c-3f88-a4cf-c4e1dacfd7c4</t>
  </si>
  <si>
    <t>Medium duty truck, plugin diesel hybrid, 26t gross weight, 2020, EURO-VI, urban delivery {RER}</t>
  </si>
  <si>
    <t>e4ad3041-43ae-36fd-a38a-474010fbdc09</t>
  </si>
  <si>
    <t>Melamine formaldehyde resin, at plant {RER}</t>
  </si>
  <si>
    <t>b32ef554-1bd6-38ba-be42-4b6c572a019c</t>
  </si>
  <si>
    <t>Melamine, at plant {RER}</t>
  </si>
  <si>
    <t>5e053eee-adef-33b9-b5cb-40aa7fc67d8c</t>
  </si>
  <si>
    <t>Membrane {GLO}</t>
  </si>
  <si>
    <t>1c3455a2-d9da-399b-9293-fe209f40594e</t>
  </si>
  <si>
    <t>Meranti, standing, under bark, u=70%, in rainforest {MY}</t>
  </si>
  <si>
    <t>550c5916-4525-311f-b41b-1e88d6a039e4</t>
  </si>
  <si>
    <t>adf3b348-9ce5-379c-aa80-4dccbfee8a7a</t>
  </si>
  <si>
    <t>Metal coating plant {RER}</t>
  </si>
  <si>
    <t>metals\infrastructure</t>
  </si>
  <si>
    <t>8e53ab63-da9f-354d-9543-6c64ed7b6895</t>
  </si>
  <si>
    <t>Metal product manufacturing, average metal working {RER}</t>
  </si>
  <si>
    <t>4eb883f9-2a88-3a4b-91b4-531fe64806fe</t>
  </si>
  <si>
    <t>Metal values from electric waste, in blister-copper, at converter {SE}</t>
  </si>
  <si>
    <t>974cc78c-46b9-391e-b253-14555c9c488a</t>
  </si>
  <si>
    <t>Metal working factory {RER}</t>
  </si>
  <si>
    <t>fdb74cda-5905-32f0-a1fd-1d69b95fa5aa</t>
  </si>
  <si>
    <t>Metal working factory operation, average heat energy {RER}</t>
  </si>
  <si>
    <t>9fdd6dac-8b0a-3aca-be9a-bd6650349957</t>
  </si>
  <si>
    <t>Metal working machine operation, average process heat {RER}</t>
  </si>
  <si>
    <t>dcdfe583-38ad-3aa2-844f-d6c543271022</t>
  </si>
  <si>
    <t>07afbe46-7fce-34f9-ba0d-e293fe08cb0d</t>
  </si>
  <si>
    <t>Metaldehyde, at regional storage {RER}</t>
  </si>
  <si>
    <t>ef47b136-b147-321e-b468-d6eb2d00050f</t>
  </si>
  <si>
    <t>Metallization paste, back side, aluminium, at plant {RER}</t>
  </si>
  <si>
    <t>3e097e0d-157a-3752-9b5d-57f06fa55a54</t>
  </si>
  <si>
    <t>Metallization paste, back side, at plant {RER}</t>
  </si>
  <si>
    <t>a53a737b-3ed1-3c4d-80e7-7e2009aa595e</t>
  </si>
  <si>
    <t>Metallization paste, front side, at plant {RER}</t>
  </si>
  <si>
    <t>2b3d4095-59b3-30f7-9cf3-c5ec7fc47e56</t>
  </si>
  <si>
    <t>Methane, 96 vol-%, from biogas, at purification {CH}</t>
  </si>
  <si>
    <t>7110ecd2-1a49-3478-ba36-5d8d063afab6</t>
  </si>
  <si>
    <t>Methane, 96 vol-%, from biogas, high pressure, at consumer {CH}</t>
  </si>
  <si>
    <t>e68512db-8243-3bfb-b026-d378e9b9e248</t>
  </si>
  <si>
    <t>Methane, 96 vol-%, from biogas, low pressure, at consumer {CH}</t>
  </si>
  <si>
    <t>543d0375-0a21-3a93-b974-7cf4b3ce0013</t>
  </si>
  <si>
    <t>Methane, 96 vol-%, from biogas, production mix, at service station {CH}</t>
  </si>
  <si>
    <t>20037c83-0239-32bf-a222-654958745b8b</t>
  </si>
  <si>
    <t>Methane, 96 vol.-%, from synthetic gas, wood, at plant {CH}</t>
  </si>
  <si>
    <t>94299872-25f7-3ffa-a2f3-e05be3249864</t>
  </si>
  <si>
    <t>Methane, from biological methanation, with carbon from atmospheric CO2 capture {CH}</t>
  </si>
  <si>
    <t>900c70a3-af7d-3a94-80fd-c44c964afbee</t>
  </si>
  <si>
    <t>Methane, from biological methanation, with carbon from atmospheric CO2 capture, hydrogen from autonomous hybrid plant {CH}</t>
  </si>
  <si>
    <t>bd73a781-9dbc-35ec-b57c-5d2c4ff034c3</t>
  </si>
  <si>
    <t>Methane, from biological methanation, with carbon from cement plant (100:0 alloc.) {CH}</t>
  </si>
  <si>
    <t>8827ffb8-b336-387f-a4c8-76326e574cf6</t>
  </si>
  <si>
    <t>Methane, from biological methanation, with carbon from municipal waste incineration plant (100:0 alloc.) {CH}</t>
  </si>
  <si>
    <t>30454683-418c-3f43-9806-6dbdc2f6e91f</t>
  </si>
  <si>
    <t>Methane, from biological methanation, with carbon from municipal waste incineration plant, with heat recovery (100:0 alloc.) {CH}</t>
  </si>
  <si>
    <t>fb92538e-6c1c-37b6-be71-a7ddc1165ccb</t>
  </si>
  <si>
    <t>Methane, from electrochemical methanation, with carbon from atmospheric CO2 capture {CH}</t>
  </si>
  <si>
    <t>a202e20e-4d22-3e9a-96fd-83d98eca2736</t>
  </si>
  <si>
    <t>Methane, from electrochemical methanation, with carbon from atmospheric CO2 capture, hydrogen from autonomous hybrid plant {CH}</t>
  </si>
  <si>
    <t>4c5fe00d-c1a3-32c6-8799-ca9ea1f66a43</t>
  </si>
  <si>
    <t>Methane, from electrochemical methanation, with carbon from cement plant (100:0 alloc.) {CH}</t>
  </si>
  <si>
    <t>3d59abac-e301-38fa-8660-396f412429f5</t>
  </si>
  <si>
    <t>Methane, from electrochemical methanation, with carbon from municipal waste incineration plant (100:0 alloc.) {CH}</t>
  </si>
  <si>
    <t>420d97c1-9857-3f72-930b-c99c312387ed</t>
  </si>
  <si>
    <t>Methane, from electrochemical methanation, with carbon from municipal waste incineration plant, with heat recovery (100:0 alloc.) {CH}</t>
  </si>
  <si>
    <t>06804134-f8d2-3e06-9ae3-f10e5863aecd</t>
  </si>
  <si>
    <t>Methanol distillation, hydrogen from autonomous hybrid plant, CO2 from DAC {CH}</t>
  </si>
  <si>
    <t>29b7fe36-ea2e-3eaf-bcd9-108087a249f5</t>
  </si>
  <si>
    <t>Methanol distillation, hydrogen from electrolysis, CO2 from cement plant (100:0 alloc.) {CH}</t>
  </si>
  <si>
    <t>cf3d4df5-5548-33d1-b0a9-d9eb6061afa6</t>
  </si>
  <si>
    <t>Methanol distillation, hydrogen from electrolysis, CO2 from DAC {CH}</t>
  </si>
  <si>
    <t>be1d22d9-43a4-3316-b475-97857572f8bb</t>
  </si>
  <si>
    <t>Methanol distillation, hydrogen from electrolysis, CO2 from MSWI (100:0 alloc.) {CH}</t>
  </si>
  <si>
    <t>fbb5e56b-8b60-35ea-8216-49bf7d98e0e7</t>
  </si>
  <si>
    <t>Methanol distillation, hydrogen from electrolysis, CO2 from MSWI, with heat recovery (100:0 alloc.) {CH}</t>
  </si>
  <si>
    <t>23b0ba5a-f991-3621-8a54-31da9f503e6a</t>
  </si>
  <si>
    <t>Methanol plant {GLO}</t>
  </si>
  <si>
    <t>c601909c-477e-3a5b-8064-3829b0be443e</t>
  </si>
  <si>
    <t>Methanol supply, produced with hydrogen from Electrolysis, PEM using electricity from grid, and carbon from Cement plant (100:0 alloc.) {CH}</t>
  </si>
  <si>
    <t>25f2def8-8e80-309b-82a6-ae74ddb772e5</t>
  </si>
  <si>
    <t>Methanol supply, produced with hydrogen from Electrolysis, PEM using electricity from grid, and carbon from DAC {CH}</t>
  </si>
  <si>
    <t>f67c6566-2f9b-3f2b-b164-38e0730ce39f</t>
  </si>
  <si>
    <t>Methanol supply, produced with hydrogen from Electrolysis, PEM using electricity from grid, and carbon from MSWI (100:0 alloc.) {CH}</t>
  </si>
  <si>
    <t>3bb4c2f0-f404-37bf-b67a-83742fafade0</t>
  </si>
  <si>
    <t>Methanol supply, produced with hydrogen from Electrolysis, PEM using electricity from grid, and carbon from MSWI, with heat recovery (100:0 alloc.) {CH}</t>
  </si>
  <si>
    <t>1fc900e8-dc20-33c2-a5e4-116d368e9161</t>
  </si>
  <si>
    <t>Methanol supply, produced with hydrogen from Electrolysis, PEM using electricity from Solar PV + Wind (MA), and carbon from DAC {CH}</t>
  </si>
  <si>
    <t>a4116240-a572-3459-8e3a-aef78cd0423a</t>
  </si>
  <si>
    <t>Methanol synthesis, hydrogen from autonomous hybrid plant, CO2 from DAC {CH}</t>
  </si>
  <si>
    <t>49a4591d-4f3d-3524-a43b-3412c9abab4f</t>
  </si>
  <si>
    <t>Methanol synthesis, hydrogen from electrolysis, CO2 from cement plant (100:0 alloc.) {CH}</t>
  </si>
  <si>
    <t>985c65c9-92bf-3589-b751-ad8d6d1c590a</t>
  </si>
  <si>
    <t>Methanol synthesis, hydrogen from electrolysis, CO2 from DAC {CH}</t>
  </si>
  <si>
    <t>9f030725-2ff0-3037-8f27-363cf18ee0cb</t>
  </si>
  <si>
    <t>Methanol synthesis, hydrogen from electrolysis, CO2 from MSWI (100:0 alloc.) {CH}</t>
  </si>
  <si>
    <t>5db2829c-bf58-310c-b434-92fb0d7e798c</t>
  </si>
  <si>
    <t>Methanol synthesis, hydrogen from electrolysis, CO2 from MSWI, with heat recovery (100:0 alloc.) {CH}</t>
  </si>
  <si>
    <t>5048d7ff-2358-3cec-b3ea-0b82687eb3c9</t>
  </si>
  <si>
    <t>Methanol, at plant {GLO}</t>
  </si>
  <si>
    <t>1bf86f83-27bd-3271-9390-c280d9994184</t>
  </si>
  <si>
    <t>Methanol, at regional storage {CH}</t>
  </si>
  <si>
    <t>2dd8974d-9d0a-3975-a37d-62105f3a1bf3</t>
  </si>
  <si>
    <t>Methanol, from biomass, at regional storage {CH}</t>
  </si>
  <si>
    <t>86dbfed6-a17c-30a1-9ebf-7b9f07e8f8b6</t>
  </si>
  <si>
    <t>Methanol, from synthetic gas, at plant {CH}</t>
  </si>
  <si>
    <t>9e7b3598-ead8-3e3e-b7d4-cf6650dcf37a</t>
  </si>
  <si>
    <t>Methyl-3-methoxypropionate, at plant {GLO}</t>
  </si>
  <si>
    <t>177467d4-07ed-316b-92e5-c2e8fc45a167</t>
  </si>
  <si>
    <t>Methyl acetate, at plant {RER}</t>
  </si>
  <si>
    <t>6057bef0-19dd-37d7-b16d-82d77a36a319</t>
  </si>
  <si>
    <t>Methyl acrylate, at plant {GLO}</t>
  </si>
  <si>
    <t>a36006c3-a83c-360e-a0c5-0ca4f7309827</t>
  </si>
  <si>
    <t>Methyl ester, from biogenic oils, mix, at regional storage {RER}</t>
  </si>
  <si>
    <t>4290d583-d2ec-3572-b130-a8708c33f8b6</t>
  </si>
  <si>
    <t>Methyl ethyl ketone from butane, at plant {RER}</t>
  </si>
  <si>
    <t>fd52a961-a762-3cf5-b3c1-4e019a8590a5</t>
  </si>
  <si>
    <t>Methyl ethyl ketone, at plant {RER}</t>
  </si>
  <si>
    <t>7eed05a6-930e-3d40-aba5-751bce939166</t>
  </si>
  <si>
    <t>Methyl iodide {RER}</t>
  </si>
  <si>
    <t>8f8572bf-62ca-361f-b4bd-f7ee824aad8d</t>
  </si>
  <si>
    <t>Methyl methacrylate, at plant {RER}</t>
  </si>
  <si>
    <t>291b03c4-2679-3b22-afb9-60c0228619f2</t>
  </si>
  <si>
    <t>Methyl tert-butyl ether, at plant {RER}</t>
  </si>
  <si>
    <t>ec175545-9fcb-3b0c-9cb4-bccbe584d085</t>
  </si>
  <si>
    <t>Methylamine, at plant {RER}</t>
  </si>
  <si>
    <t>fd61d094-051e-3641-8749-6858e5175d84</t>
  </si>
  <si>
    <t>Methylchloride, at plant {WEU}</t>
  </si>
  <si>
    <t>a86e40e4-1bf1-3124-8798-38c0e6b6af64</t>
  </si>
  <si>
    <t>Methylchloride, at regional storage {CH}</t>
  </si>
  <si>
    <t>9c413516-1e9f-3b47-9785-b2af6e0ca427</t>
  </si>
  <si>
    <t>Methylene diphenyl diisocyanate, at plant {RER}</t>
  </si>
  <si>
    <t>c35b697b-e4d0-3d3b-874f-8e1554a6ad67</t>
  </si>
  <si>
    <t>Metolachlor, at regional storehouse {CH}</t>
  </si>
  <si>
    <t>5bd03ab4-5ad0-365e-8221-bad8d9dda1f4</t>
  </si>
  <si>
    <t>Metolachlor, at regional storehouse {RER}</t>
  </si>
  <si>
    <t>901fe44b-0fb8-3a0a-ba7f-a4e446547fe8</t>
  </si>
  <si>
    <t>MG-silicon, at plant {APAC}</t>
  </si>
  <si>
    <t>76b76162-f320-41ee-ad51-365c3e751dea</t>
  </si>
  <si>
    <t>MG-silicon, at plant {CN}</t>
  </si>
  <si>
    <t>062c1a76-7412-31ef-bd69-ab7d74efa175</t>
  </si>
  <si>
    <t>MG-silicon, at plant {NO}</t>
  </si>
  <si>
    <t>04621035-cc46-30a7-8c39-e3f0460da9fb</t>
  </si>
  <si>
    <t>MG-silicon, at plant {US}</t>
  </si>
  <si>
    <t>fcfa00da-9f55-33c9-bb3a-2eb63633257f</t>
  </si>
  <si>
    <t>Micro gas turbine 100kWe {CH}</t>
  </si>
  <si>
    <t>b9582f04-7fe5-378e-97af-efe0641fc67e</t>
  </si>
  <si>
    <t>Milking parlour {CH}</t>
  </si>
  <si>
    <t>f09727aa-969d-3bef-a4af-c7c945810ec5</t>
  </si>
  <si>
    <t>Mine, bauxite {GLO}</t>
  </si>
  <si>
    <t>minerals\infrastructure</t>
  </si>
  <si>
    <t>7f9aca30-e976-33cd-a1c9-0c263c0411a9</t>
  </si>
  <si>
    <t>Mine, bentonite {DE}</t>
  </si>
  <si>
    <t>0310eeca-4e5c-32af-b590-9ca274f6c5b4</t>
  </si>
  <si>
    <t>Mine, clay {CH}</t>
  </si>
  <si>
    <t>5e02b5cb-5c03-34ec-a70a-294b78b89cac</t>
  </si>
  <si>
    <t>Mine, gold-silver-zinc-lead-copper {SE}</t>
  </si>
  <si>
    <t>08c62db8-18d4-316e-9d7d-52e806db7720</t>
  </si>
  <si>
    <t>Mine, gold {AU}</t>
  </si>
  <si>
    <t>852b7fea-c76b-3bd9-9580-ab4ecc0c397e</t>
  </si>
  <si>
    <t>Mine, gold {CA}</t>
  </si>
  <si>
    <t>12c74e9d-e9f3-3e38-9c23-3d5428594029</t>
  </si>
  <si>
    <t>Mine, gold {TZ}</t>
  </si>
  <si>
    <t>2227bde7-b093-3b14-860c-a2a5161bcc8e</t>
  </si>
  <si>
    <t>Mine, gold {US}</t>
  </si>
  <si>
    <t>61ad874e-5f22-3c5b-bc7e-ca4e46f63798</t>
  </si>
  <si>
    <t>Mine, gold {ZA}</t>
  </si>
  <si>
    <t>1ddd6221-1879-3be8-85ef-3fe99e41647a</t>
  </si>
  <si>
    <t>Mine, gold and silver {CL}</t>
  </si>
  <si>
    <t>585c4487-5022-3c3c-a7c9-93dfdbe8d784</t>
  </si>
  <si>
    <t>Mine, gold and silver {PE}</t>
  </si>
  <si>
    <t>f1975045-0dbf-3a5a-be45-48ef6dbf3372</t>
  </si>
  <si>
    <t>Mine, gold and silver {PG}</t>
  </si>
  <si>
    <t>cd8fbc60-a370-3063-b37f-27b04c360282</t>
  </si>
  <si>
    <t>Mine, gravel/sand {CH}</t>
  </si>
  <si>
    <t>a9c36a33-e835-3a39-b142-901efd37e076</t>
  </si>
  <si>
    <t>Mine, iron {GLO}</t>
  </si>
  <si>
    <t>ddbffd97-709a-3473-87fb-473e84b415d8</t>
  </si>
  <si>
    <t>Mine, limestone {CH}</t>
  </si>
  <si>
    <t>187a7041-7467-3c10-bb86-6840e4b152f7</t>
  </si>
  <si>
    <t>Mine, vermiculite {ZA}</t>
  </si>
  <si>
    <t>8fce413c-c15c-3bc8-a81f-e88f5061e5a0</t>
  </si>
  <si>
    <t>Mineral plaster, in sorting plant {CH}</t>
  </si>
  <si>
    <t>837013e5-31d0-401a-9f49-02f61dc3652d</t>
  </si>
  <si>
    <t>Mineral wool insulation 100mm, cladding with aluminium sheet {CH}</t>
  </si>
  <si>
    <t>32295eec-df28-3b51-8585-ae93fba582e3</t>
  </si>
  <si>
    <t>Mineral wool insulation 100mm, cladding with reinforced alumium foil {CH}</t>
  </si>
  <si>
    <t>5ab8fb6a-fd60-322b-b5c1-c1537fed454e</t>
  </si>
  <si>
    <t>Mineral wool insulation 100mm, cladding with structured aluminium foil {CH}</t>
  </si>
  <si>
    <t>8de5c3c3-3d71-32a0-bea5-25904c0efd5b</t>
  </si>
  <si>
    <t>Mineral wool insulation 40mm, cladding with aluminium sheet {CH}</t>
  </si>
  <si>
    <t>da4c818d-5b3a-3204-946f-947c6c4e0b9e</t>
  </si>
  <si>
    <t>Mineral wool insulation 40mm, cladding with reinforced alumium foil {CH}</t>
  </si>
  <si>
    <t>cd220c8a-bb77-3f4d-a445-53bc47d98e02</t>
  </si>
  <si>
    <t>Mineral wool insulation 40mm, cladding with structured aluminium foil {CH}</t>
  </si>
  <si>
    <t>ba0d9d58-f302-3acb-8ed6-acaebf4d3ac7</t>
  </si>
  <si>
    <t>Mineral wool insulation 50mm, cladding with aluminium sheet {CH}</t>
  </si>
  <si>
    <t>f590cc00-b673-3ff4-98de-f325b9aa8f93</t>
  </si>
  <si>
    <t>Mineral wool insulation 50mm, cladding with reinforced alumium foil {CH}</t>
  </si>
  <si>
    <t>baceddea-a86c-3fc7-b6e3-85a8dc70d517</t>
  </si>
  <si>
    <t>Mineral wool insulation 50mm, cladding with structured aluminium foil {CH}</t>
  </si>
  <si>
    <t>f943bfe1-b6f2-38d0-8cb6-20ceb3fe528c</t>
  </si>
  <si>
    <t>Mineral wool insulation 60mm, cladding with aluminium sheet {CH}</t>
  </si>
  <si>
    <t>3414df0f-1bb4-3a88-aaec-c9c46ac162db</t>
  </si>
  <si>
    <t>Mineral wool insulation 60mm, cladding with reinforced alumium foil {CH}</t>
  </si>
  <si>
    <t>466e7a7e-4db9-3289-906a-06fc307138db</t>
  </si>
  <si>
    <t>Mineral wool insulation 60mm, cladding with structured aluminium foil {CH}</t>
  </si>
  <si>
    <t>794178cc-125a-3a63-a074-cff0b3a97587</t>
  </si>
  <si>
    <t>Mineral wool insulation 80mm, cladding with aluminium sheet {CH}</t>
  </si>
  <si>
    <t>6d8290c6-2fab-3b90-b4f9-5cf22651756b</t>
  </si>
  <si>
    <t>Mineral wool insulation 80mm, cladding with reinforced alumium foil {CH}</t>
  </si>
  <si>
    <t>3b459b55-5b54-38ff-9171-8039688d12f1</t>
  </si>
  <si>
    <t>Mineral wool insulation 80mm, cladding with structured aluminium foil {CH}</t>
  </si>
  <si>
    <t>17ce4f47-998a-3393-996e-d10645041999</t>
  </si>
  <si>
    <t>Mineral wool insulation with PVC cladding, insulation thickness 100mm {CH}</t>
  </si>
  <si>
    <t>f11177b0-c80d-3cca-81f1-1b0d4a56769a</t>
  </si>
  <si>
    <t>Mineral wool insulation with PVC cladding, insulation thickness 40mm {CH}</t>
  </si>
  <si>
    <t>3d1f854c-548c-3c0b-b6c8-e47cd7592c35</t>
  </si>
  <si>
    <t>Mineral wool insulation with PVC cladding, insulation thickness 50mm {CH}</t>
  </si>
  <si>
    <t>df5685cc-419b-3362-ac6e-f5fffccd5ed4</t>
  </si>
  <si>
    <t>Mineral wool insulation with PVC cladding, insulation thickness 60mm {CH}</t>
  </si>
  <si>
    <t>85b529df-e16d-3874-b468-5c79127d926a</t>
  </si>
  <si>
    <t>Mineral wool insulation with PVC cladding, insulation thickness 80mm {CH}</t>
  </si>
  <si>
    <t>73643218-1623-3873-b72f-f56ca822124e</t>
  </si>
  <si>
    <t>Mini CHP plant, common components for heat+electricity {CH}</t>
  </si>
  <si>
    <t>6763b741-cfe0-3841-b94a-be8fe5c1908d</t>
  </si>
  <si>
    <t>Mini CHP plant, components for electricity only {CH}</t>
  </si>
  <si>
    <t>71d3cdd7-eb36-3cb7-aeda-2a4276228769</t>
  </si>
  <si>
    <t>Mini CHP plant, components for heat only {CH}</t>
  </si>
  <si>
    <t>ca84db5f-5622-35ca-b05a-bc707fdcbb0c</t>
  </si>
  <si>
    <t>Mischmetal, primary, at plant {GLO}</t>
  </si>
  <si>
    <t>b5cd8fc8-fb6e-3a58-b36d-7a2a6bf90773</t>
  </si>
  <si>
    <t>Mixed construction and demolition waste to sorting {CH}</t>
  </si>
  <si>
    <t>51dbeb1f-83a6-40af-975c-7997408176a1</t>
  </si>
  <si>
    <t>Mixed rubble to mixed rubble treatment {CH}</t>
  </si>
  <si>
    <t>1c8952a5-95a2-4ae0-8baa-d1132d166791</t>
  </si>
  <si>
    <t>Mobile cable yarder, trailer-mounted, at plant {RER}</t>
  </si>
  <si>
    <t>8b10e5fe-112b-36a1-a480-e5f40e207cd0</t>
  </si>
  <si>
    <t>Mobile cable yarder, truck-mounted, incl. processor, at plant {RER}</t>
  </si>
  <si>
    <t>0ddd4751-b0dd-352d-98de-e4e0a6bfd6bf</t>
  </si>
  <si>
    <t>Modem, for customer premise equipment (CPE) {CH}</t>
  </si>
  <si>
    <t>2a7d18dd-d003-376d-be3c-64ee2ac2e8d7</t>
  </si>
  <si>
    <t>Modified starch, at plant {RER}</t>
  </si>
  <si>
    <t>plastics\biopolymers</t>
  </si>
  <si>
    <t>0b873e35-ee9d-3312-a538-b76aec6ee3ac</t>
  </si>
  <si>
    <t>Module fasteners {GLO}</t>
  </si>
  <si>
    <t>cc93829e-ca9a-3092-8365-4d9af23f3612</t>
  </si>
  <si>
    <t>Module lid {GLO}</t>
  </si>
  <si>
    <t>c6366f59-91bf-30df-9de3-309f8731b63b</t>
  </si>
  <si>
    <t>Module packaging {GLO}</t>
  </si>
  <si>
    <t>a94cad44-81a6-3f1b-8346-97c826867cb4</t>
  </si>
  <si>
    <t>Molasses, from sugar beet, at sugar refinery {CH}</t>
  </si>
  <si>
    <t>agricultural\food\byproducts</t>
  </si>
  <si>
    <t>dbb380b9-869b-3445-80f8-ea89b202967f</t>
  </si>
  <si>
    <t>Molybdenite, at plant {GLO}</t>
  </si>
  <si>
    <t>8032afd9-e344-3cb5-af44-4452b59f3035</t>
  </si>
  <si>
    <t>Molybdenum concentrate, couple production Cu {GLO}</t>
  </si>
  <si>
    <t>4713474a-5930-3703-a69c-172d1818e8a0</t>
  </si>
  <si>
    <t>Molybdenum concentrate, main product {GLO}</t>
  </si>
  <si>
    <t>0b380bcb-0b19-3a81-8fb2-f88f3c4de77c</t>
  </si>
  <si>
    <t>848c158a-8a4f-3206-a772-ac344d3454f9</t>
  </si>
  <si>
    <t>Monochlorobenzene, at plant {RER}</t>
  </si>
  <si>
    <t>3d885dab-5e1e-3883-931f-822abf86e3a4</t>
  </si>
  <si>
    <t>Monochloropentafluoroethane, at plant {GLO}</t>
  </si>
  <si>
    <t>457e88a1-b4f0-31cc-af30-bd5ffa948cb1</t>
  </si>
  <si>
    <t>Monoethanolamine, at plant {RER}</t>
  </si>
  <si>
    <t>918b5028-b47f-31cd-b3e3-a3c54fbf03cc</t>
  </si>
  <si>
    <t>Moped, gasoline, &lt;4kW, EURO-3, 2006 {CH}</t>
  </si>
  <si>
    <t>f1b83639-17e0-3bd0-84c2-c715d624762e</t>
  </si>
  <si>
    <t>Moped, gasoline, &lt;4kW, EURO-4, 2016 {CH}</t>
  </si>
  <si>
    <t>051d4503-44e2-3738-8ffc-c32ea12df8fb</t>
  </si>
  <si>
    <t>Moped, gasoline, &lt;4kW, EURO-5, 2020 {CH}</t>
  </si>
  <si>
    <t>9b2697fc-362f-3e59-b68e-6379760a49ea</t>
  </si>
  <si>
    <t>Motorbike, electric, &lt;4kW, LFP battery, 2020 {CH}</t>
  </si>
  <si>
    <t>744f8a35-7ac0-31e7-aac1-17abbf99385f</t>
  </si>
  <si>
    <t>Motorbike, electric, &lt;4kW, NCA battery, 2020 {CH}</t>
  </si>
  <si>
    <t>e3c726f1-ad6b-3abd-af65-dbe77fe68b28</t>
  </si>
  <si>
    <t>Motorbike, electric, &lt;4kW, NMC battery, 2020 {CH}</t>
  </si>
  <si>
    <t>29c4862d-def3-3563-8a4d-e82f2fe1aa33</t>
  </si>
  <si>
    <t>Motorbike, electric, &gt;35kW, LFP battery, 2020 {CH}</t>
  </si>
  <si>
    <t>44f26024-4696-35db-b69a-0e6784aebeff</t>
  </si>
  <si>
    <t>Motorbike, electric, &gt;35kW, NCA battery, 2020 {CH}</t>
  </si>
  <si>
    <t>bedc1640-519e-37f3-b8c6-6dcef482c0fb</t>
  </si>
  <si>
    <t>Motorbike, electric, &gt;35kW, NMC battery, 2020 {CH}</t>
  </si>
  <si>
    <t>a036985a-998a-3c25-87de-dd87a003ff15</t>
  </si>
  <si>
    <t>Motorbike, electric, 11-35kW, LFP battery, 2020 {CH}</t>
  </si>
  <si>
    <t>ab688816-1b88-3e10-b8d0-bd5d5b3281cf</t>
  </si>
  <si>
    <t>Motorbike, electric, 11-35kW, NCA battery, 2020 {CH}</t>
  </si>
  <si>
    <t>95901fc3-3037-3a1d-8770-881031e8ed14</t>
  </si>
  <si>
    <t>Motorbike, electric, 11-35kW, NMC battery, 2020 {CH}</t>
  </si>
  <si>
    <t>72d5cbac-0ff0-3906-be51-603ad85855c6</t>
  </si>
  <si>
    <t>Motorbike, electric, 4-11kW, LFP battery, 2020 {CH}</t>
  </si>
  <si>
    <t>16106b66-b593-3dcb-ae46-41faf109a233</t>
  </si>
  <si>
    <t>Motorbike, electric, 4-11kW, NCA battery, 2020 {CH}</t>
  </si>
  <si>
    <t>a07c3787-623f-31a5-9ac7-c8587d34403b</t>
  </si>
  <si>
    <t>Motorbike, electric, 4-11kW, NMC battery, 2020 {CH}</t>
  </si>
  <si>
    <t>0979efad-aa0c-3ccc-8b51-af6b1df9ebe1</t>
  </si>
  <si>
    <t>Motorbike, gasoline, &gt;35kW, EURO-3, 2006 {CH}</t>
  </si>
  <si>
    <t>b4a51689-edf5-3d95-8cd9-5970c49778e9</t>
  </si>
  <si>
    <t>Motorbike, gasoline, &gt;35kW, EURO-4, 2016 {CH}</t>
  </si>
  <si>
    <t>31fe4d31-bd4a-3bf6-9004-42e8156430e6</t>
  </si>
  <si>
    <t>Motorbike, gasoline, &gt;35kW, EURO-5, 2020 {CH}</t>
  </si>
  <si>
    <t>5757973f-d1e9-3335-9466-686919e32d78</t>
  </si>
  <si>
    <t>Motorbike, gasoline, 11-35kW, EURO-3, 2006 {CH}</t>
  </si>
  <si>
    <t>abcdc160-f67d-35a7-9375-87d2c2008572</t>
  </si>
  <si>
    <t>Motorbike, gasoline, 11-35kW, EURO-4, 2016 {CH}</t>
  </si>
  <si>
    <t>6337efe0-7ac6-3526-a473-f8af3a11547e</t>
  </si>
  <si>
    <t>Motorbike, gasoline, 11-35kW, EURO-5, 2020 {CH}</t>
  </si>
  <si>
    <t>72302cd5-1797-369e-a83e-e0253cb9923a</t>
  </si>
  <si>
    <t>Motorbike, gasoline, 4-11kW, EURO-3, 2006 {CH}</t>
  </si>
  <si>
    <t>fc93dc8d-418a-3055-8b52-ee29311a7aea</t>
  </si>
  <si>
    <t>Motorbike, gasoline, 4-11kW, EURO-4, 2016 {CH}</t>
  </si>
  <si>
    <t>82134f3c-f588-30db-addf-44e9ce251007</t>
  </si>
  <si>
    <t>Motorbike, gasoline, 4-11kW, EURO-5, 2020 {CH}</t>
  </si>
  <si>
    <t>c0e67647-ccdf-3583-ad78-298eb634389b</t>
  </si>
  <si>
    <t>Mounting, surface mount technology, Pb-containing solder {GLO}</t>
  </si>
  <si>
    <t>electronics\unspecified</t>
  </si>
  <si>
    <t>050734f1-5644-3fa3-a051-7d9ee0375e2c</t>
  </si>
  <si>
    <t>Mounting, surface mount technology, Pb-free solder {GLO}</t>
  </si>
  <si>
    <t>38c7a42f-71b7-30ae-9acf-32124ea0a8b6</t>
  </si>
  <si>
    <t>Mounting, through-hole technology, Pb-containing solder {GLO}</t>
  </si>
  <si>
    <t>b946b0d5-8d73-3acb-9760-5615eb73cfeb</t>
  </si>
  <si>
    <t>Mounting, through-hole technology, Pb-free solder {GLO}</t>
  </si>
  <si>
    <t>db859e65-1929-321b-9247-3bf5faea26d5</t>
  </si>
  <si>
    <t>Mouse device, optical, wireless, at plant {GLO}</t>
  </si>
  <si>
    <t>ae6e6500-bb34-3fa6-a85a-91eac465271b</t>
  </si>
  <si>
    <t>Mouse device, optical, with cable, at plant {GLO}</t>
  </si>
  <si>
    <t>4d9a8c70-1a23-346b-b843-e5505ddfc329</t>
  </si>
  <si>
    <t>Mowing, by rotary mower {CH}</t>
  </si>
  <si>
    <t>4190334d-37b5-3f4b-abb2-75fc2d1ba5ac</t>
  </si>
  <si>
    <t>MOX fuel element for LWR, at nuclear fuel fabrication plant {UCTE}</t>
  </si>
  <si>
    <t>1105af2e-20e3-3297-b5f8-c9d854f6aec1</t>
  </si>
  <si>
    <t>Mulching {CH}</t>
  </si>
  <si>
    <t>54818abe-92ee-3f04-b98b-45c9ccf6e68b</t>
  </si>
  <si>
    <t>Multi-Si wafer, at plant {APAC}</t>
  </si>
  <si>
    <t>37053b54-e719-4131-a0ba-ecdc42afa5c9</t>
  </si>
  <si>
    <t>Multi-Si wafer, at plant {CN}</t>
  </si>
  <si>
    <t>d9116d90-e940-3768-92bc-1fd3c2c45210</t>
  </si>
  <si>
    <t>Multi-Si wafer, at plant {RER}</t>
  </si>
  <si>
    <t>e8382af5-3720-3fd1-b603-3bcd78100544</t>
  </si>
  <si>
    <t>Multi-Si wafer, at plant {US}</t>
  </si>
  <si>
    <t>84a50065-4282-3dc4-a258-fce9214dc261</t>
  </si>
  <si>
    <t>Multi-Si wafer, at regional storage {APAC}</t>
  </si>
  <si>
    <t>dce7839a-ec45-4fc1-b3f7-c487e72acedf</t>
  </si>
  <si>
    <t>Multi-Si wafer, at regional storage {RER}</t>
  </si>
  <si>
    <t>49dc1b6a-4615-33f2-8709-cdc49c8c9813</t>
  </si>
  <si>
    <t>Multi-Si wafer, at regional storage {US}</t>
  </si>
  <si>
    <t>6981969c-e70b-3bc3-9f05-e4ca6022718a</t>
  </si>
  <si>
    <t>Multi-Si wafer, ribbon, at plant {RER}</t>
  </si>
  <si>
    <t>1e8b3a01-f432-34b4-94dc-2414479c676a</t>
  </si>
  <si>
    <t>Multicolumn radiator {CH}</t>
  </si>
  <si>
    <t>645740cd-04cc-32bd-a319-f5260713ada5</t>
  </si>
  <si>
    <t>Multilayer pouch {GLO}</t>
  </si>
  <si>
    <t>fb4551c7-06e3-3acc-ae58-3d01df5c5710</t>
  </si>
  <si>
    <t>Multimedia gateway, for customer premise equipment (CPE) {CH}</t>
  </si>
  <si>
    <t>3e6dfd27-c5c2-3743-b85c-67408d9c64bd</t>
  </si>
  <si>
    <t>Municipal waste incineration plant {CH}</t>
  </si>
  <si>
    <t>c48dd908-0b49-323f-8270-ef772e7c900d</t>
  </si>
  <si>
    <t>N-methyl-2-pyrrolidone, at plant {RER}</t>
  </si>
  <si>
    <t>9c355423-227a-34b7-a255-e9103c335d95</t>
  </si>
  <si>
    <t>N-olefins, at plant {RER}</t>
  </si>
  <si>
    <t>2c70330d-0456-3056-ae0c-a1b6869f22b1</t>
  </si>
  <si>
    <t>Naphtha, APME mix, at refinery {RER}</t>
  </si>
  <si>
    <t>fuels\oil\naphtha</t>
  </si>
  <si>
    <t>a1d7a889-ea1b-3f62-b741-f16ed300f920</t>
  </si>
  <si>
    <t>Naphtha, at refinery {CH}</t>
  </si>
  <si>
    <t>96d7410c-cefa-3559-9f51-41c827716e4e</t>
  </si>
  <si>
    <t>Naphtha, at refinery {RER}</t>
  </si>
  <si>
    <t>f4ac3b21-f5f3-3c8c-a5a5-316af4e38d18</t>
  </si>
  <si>
    <t>Naphtha, at regional storage {CH}</t>
  </si>
  <si>
    <t>56a53005-ba66-3b47-9466-381140abfc72</t>
  </si>
  <si>
    <t>Naphtha, at regional storage {RER}</t>
  </si>
  <si>
    <t>147a0c7b-7892-32e6-a023-9766d37268cd</t>
  </si>
  <si>
    <t>Natural gas service station {CH}</t>
  </si>
  <si>
    <t>fuels\natural gas\gas to user\infrastructure</t>
  </si>
  <si>
    <t>3fad1514-463b-3774-80b0-32ba7c434957</t>
  </si>
  <si>
    <t>Natural gas, at consumer {US}</t>
  </si>
  <si>
    <t>fuels\natural gas\gas to user</t>
  </si>
  <si>
    <t>ede67f01-b29c-3537-8678-5c36efd1bad2</t>
  </si>
  <si>
    <t>Natural gas, at evaporation plant {JP}</t>
  </si>
  <si>
    <t>fuels\natural gas\produced gas</t>
  </si>
  <si>
    <t>15fd3a88-88bc-3673-a7d1-882a1a2de88a</t>
  </si>
  <si>
    <t>Natural gas, at long-distance pipeline {FI}</t>
  </si>
  <si>
    <t>fuels\natural gas\gas by country</t>
  </si>
  <si>
    <t>a608d9bd-392e-33bc-855b-487c5f9222f5</t>
  </si>
  <si>
    <t>Natural gas, at long-distance pipeline {GR}</t>
  </si>
  <si>
    <t>ca5a6aae-2b08-392c-bbda-49cc3a74e708</t>
  </si>
  <si>
    <t>Natural gas, at long-distance pipeline {SK}</t>
  </si>
  <si>
    <t>7499a98a-7c00-39d3-be40-cebccb9f0eac</t>
  </si>
  <si>
    <t>Natural gas, at production {AE}</t>
  </si>
  <si>
    <t>natural gas\production</t>
  </si>
  <si>
    <t>529efc6c-39c2-3046-8d24-6ac3e83f7377</t>
  </si>
  <si>
    <t>Natural gas, at production {AO}</t>
  </si>
  <si>
    <t>15920c18-29d2-3f37-9bb8-349ccd520052</t>
  </si>
  <si>
    <t>Natural gas, at production {AR}</t>
  </si>
  <si>
    <t>ef4aadaa-18a5-3d27-b9cb-9da13406fe92</t>
  </si>
  <si>
    <t>Natural gas, at production {AU}</t>
  </si>
  <si>
    <t>db9cf489-06c3-3aa4-8818-3229af499447</t>
  </si>
  <si>
    <t>Natural gas, at production {AZ}</t>
  </si>
  <si>
    <t>d11b7f2b-f980-3c55-ae4a-d1d91f5bfde5</t>
  </si>
  <si>
    <t>Natural gas, at production {BE}</t>
  </si>
  <si>
    <t>acbf815f-d30a-33da-a2d9-23593e5a662c</t>
  </si>
  <si>
    <t>Natural gas, at production {BO}</t>
  </si>
  <si>
    <t>bd40a9f7-dc29-3188-a88a-e12d0d4feb4d</t>
  </si>
  <si>
    <t>Natural gas, at production {BR}</t>
  </si>
  <si>
    <t>d7fcb440-2623-318d-ab50-cb657a47b99d</t>
  </si>
  <si>
    <t>Natural gas, at production {CA}</t>
  </si>
  <si>
    <t>90c5c7e8-a513-3b9c-87f4-d523c50d6c3e</t>
  </si>
  <si>
    <t>Natural gas, at production {CN}</t>
  </si>
  <si>
    <t>476a24c1-3198-39ba-ac11-c97b5302b8b6</t>
  </si>
  <si>
    <t>Natural gas, at production {CO}</t>
  </si>
  <si>
    <t>b9b02a09-93af-376a-a79c-101440630040</t>
  </si>
  <si>
    <t>Natural gas, at production {DE}</t>
  </si>
  <si>
    <t>14c01d68-618f-3ed7-9eb7-2b7b2c96ee5c</t>
  </si>
  <si>
    <t>Natural gas, at production {DZ}</t>
  </si>
  <si>
    <t>59637f90-cff5-3b25-a61d-cbbf7e2314b7</t>
  </si>
  <si>
    <t>Natural gas, at production {EC}</t>
  </si>
  <si>
    <t>80dfa466-9c7d-32f1-b5f7-0532528b6b5a</t>
  </si>
  <si>
    <t>Natural gas, at production {EG}</t>
  </si>
  <si>
    <t>4101256b-3de9-362a-8ca6-07c262ef3c06</t>
  </si>
  <si>
    <t>Natural gas, at production {ES}</t>
  </si>
  <si>
    <t>c3280988-bf46-33c5-847a-a3e6879929d9</t>
  </si>
  <si>
    <t>Natural gas, at production {FR}</t>
  </si>
  <si>
    <t>f31832a6-443d-3255-87cd-63b8598633de</t>
  </si>
  <si>
    <t>Natural gas, at production {GB}</t>
  </si>
  <si>
    <t>a396f197-be2e-3cf8-9ed3-50bce76c47d2</t>
  </si>
  <si>
    <t>Natural gas, at production {GQ}</t>
  </si>
  <si>
    <t>21076783-5858-38ff-9e34-f99d661a3c0e</t>
  </si>
  <si>
    <t>Natural gas, at production {ID}</t>
  </si>
  <si>
    <t>dc9be2cc-0093-3673-993a-8e77bbc6a4a6</t>
  </si>
  <si>
    <t>Natural gas, at production {IN}</t>
  </si>
  <si>
    <t>46400cfe-5a3d-3021-9ced-11362876399e</t>
  </si>
  <si>
    <t>Natural gas, at production {IQ}</t>
  </si>
  <si>
    <t>6b088120-006d-3f50-af2c-21c209349b28</t>
  </si>
  <si>
    <t>Natural gas, at production {IR}</t>
  </si>
  <si>
    <t>4859425d-bfcb-3fa8-abbf-a4d81879a299</t>
  </si>
  <si>
    <t>Natural gas, at production {IT}</t>
  </si>
  <si>
    <t>32a1d527-309b-3441-abd5-c7a810f95592</t>
  </si>
  <si>
    <t>Natural gas, at production {JP}</t>
  </si>
  <si>
    <t>c015609e-41be-3e8f-a033-bef49c92e65d</t>
  </si>
  <si>
    <t>Natural gas, at production {KR}</t>
  </si>
  <si>
    <t>408a2c52-8c6f-3169-8eda-6e5ce34bb6a7</t>
  </si>
  <si>
    <t>Natural gas, at production {KW}</t>
  </si>
  <si>
    <t>937c2a09-3c96-36b5-8c84-71e5e2f0c695</t>
  </si>
  <si>
    <t>Natural gas, at production {KZ}</t>
  </si>
  <si>
    <t>0c9a2a8c-a7da-38a3-b8fd-eeca31f89160</t>
  </si>
  <si>
    <t>Natural gas, at production {LY}</t>
  </si>
  <si>
    <t>5ca8b3bb-4326-37cb-aae9-0643aaeab8b7</t>
  </si>
  <si>
    <t>Natural gas, at production {MX}</t>
  </si>
  <si>
    <t>5c6eabd0-759e-3d08-8c1a-7fbe4a969060</t>
  </si>
  <si>
    <t>Natural gas, at production {MY}</t>
  </si>
  <si>
    <t>fd0aded6-1e6d-3352-b026-c81d70e52218</t>
  </si>
  <si>
    <t>Natural gas, at production {NG}</t>
  </si>
  <si>
    <t>18f4d5f5-25e7-3926-932f-4d54752a96d3</t>
  </si>
  <si>
    <t>Natural gas, at production {NL}</t>
  </si>
  <si>
    <t>a603e79d-4c3f-3397-889a-4887bbac7897</t>
  </si>
  <si>
    <t>Natural gas, at production {NO}</t>
  </si>
  <si>
    <t>a3bd32f7-938c-3292-a504-7e41c9701b26</t>
  </si>
  <si>
    <t>Natural gas, at production {OM}</t>
  </si>
  <si>
    <t>762fb258-5d51-37d7-b8f8-0f47a773965f</t>
  </si>
  <si>
    <t>Natural gas, at production {PE}</t>
  </si>
  <si>
    <t>f0aa84c8-4a36-31d5-adc8-57ea541f14b8</t>
  </si>
  <si>
    <t>Natural gas, at production {PL}</t>
  </si>
  <si>
    <t>c6283835-1d33-3460-988d-ef45180d8bb4</t>
  </si>
  <si>
    <t>Natural gas, at production {QA}</t>
  </si>
  <si>
    <t>4bac1a14-df79-32c9-97d6-9a061208bc08</t>
  </si>
  <si>
    <t>Natural gas, at production {RO}</t>
  </si>
  <si>
    <t>417c77c4-65b6-3807-8801-38efabef77cd</t>
  </si>
  <si>
    <t>Natural gas, at production {RU}</t>
  </si>
  <si>
    <t>531cd4c0-5aee-33e2-ba8f-318168620599</t>
  </si>
  <si>
    <t>Natural gas, at production {SA}</t>
  </si>
  <si>
    <t>97451f96-da72-3f64-90f3-b975f5883ade</t>
  </si>
  <si>
    <t>Natural gas, at production {TH}</t>
  </si>
  <si>
    <t>359370d2-8b7d-385e-8b9c-a93799bd5c4a</t>
  </si>
  <si>
    <t>Natural gas, at production {TM}</t>
  </si>
  <si>
    <t>95e48d77-85ee-37fd-9638-97ce5462310d</t>
  </si>
  <si>
    <t>Natural gas, at production {TR}</t>
  </si>
  <si>
    <t>20d43d9d-25c9-3dee-87ce-83b0a28a0256</t>
  </si>
  <si>
    <t>Natural gas, at production {TT}</t>
  </si>
  <si>
    <t>4ea530c7-6f83-316f-ad0c-b3f19fa13853</t>
  </si>
  <si>
    <t>Natural gas, at production {TW}</t>
  </si>
  <si>
    <t>3cc9ddda-bdbb-3020-b2b0-37ce552bf383</t>
  </si>
  <si>
    <t>Natural gas, at production {UA}</t>
  </si>
  <si>
    <t>26d41192-e9b4-3cf1-91b2-76edf763ed4a</t>
  </si>
  <si>
    <t>Natural gas, at production {US}</t>
  </si>
  <si>
    <t>4f4589e8-d362-34d6-8349-a98ae88de165</t>
  </si>
  <si>
    <t>Natural gas, at production {UZ}</t>
  </si>
  <si>
    <t>edc9b299-5803-3828-8851-f66b12ba9dc2</t>
  </si>
  <si>
    <t>Natural gas, at production {VE}</t>
  </si>
  <si>
    <t>86c723c2-3b9a-3ba2-9585-162adf9908ac</t>
  </si>
  <si>
    <t>Natural gas, at production offshore {AE}</t>
  </si>
  <si>
    <t>a185fc79-bb70-3627-a1fb-d47f536010f4</t>
  </si>
  <si>
    <t>Natural gas, at production offshore {AO}</t>
  </si>
  <si>
    <t>22887ba0-9727-3907-a000-931143781ec8</t>
  </si>
  <si>
    <t>Natural gas, at production offshore {AR}</t>
  </si>
  <si>
    <t>3cc63323-5645-336c-a104-ca86fe9d9487</t>
  </si>
  <si>
    <t>Natural gas, at production offshore {AU}</t>
  </si>
  <si>
    <t>0a949dcf-a02e-3935-8d2b-d39fb078519e</t>
  </si>
  <si>
    <t>Natural gas, at production offshore {AZ}</t>
  </si>
  <si>
    <t>ceaee942-bdc5-3de5-a0b7-5a4a1b13bb64</t>
  </si>
  <si>
    <t>Natural gas, at production offshore {BE}</t>
  </si>
  <si>
    <t>fcb088a0-ba9f-375d-b73e-060f3c644c36</t>
  </si>
  <si>
    <t>Natural gas, at production offshore {BO}</t>
  </si>
  <si>
    <t>081df89e-d345-3126-9797-b908067623d5</t>
  </si>
  <si>
    <t>Natural gas, at production offshore {BR}</t>
  </si>
  <si>
    <t>9c45b2d1-6238-3539-8cc6-0368b0fee7a1</t>
  </si>
  <si>
    <t>Natural gas, at production offshore {CA}</t>
  </si>
  <si>
    <t>9cd26aaf-b349-3f4c-ab82-61d518634332</t>
  </si>
  <si>
    <t>Natural gas, at production offshore {CN}</t>
  </si>
  <si>
    <t>84b94bc7-ed65-338a-821d-ace8d351f50e</t>
  </si>
  <si>
    <t>Natural gas, at production offshore {CO}</t>
  </si>
  <si>
    <t>8e590eac-f8f6-37d0-83cf-a3b728465152</t>
  </si>
  <si>
    <t>Natural gas, at production offshore {DE}</t>
  </si>
  <si>
    <t>07c1e496-ed6d-308f-84c5-bcacbd7065c2</t>
  </si>
  <si>
    <t>Natural gas, at production offshore {DZ}</t>
  </si>
  <si>
    <t>d89b6aa8-eee4-3411-9200-2a631e4497a8</t>
  </si>
  <si>
    <t>Natural gas, at production offshore {EC}</t>
  </si>
  <si>
    <t>38cfab75-34f8-32e2-a38b-23a52df123ba</t>
  </si>
  <si>
    <t>Natural gas, at production offshore {EG}</t>
  </si>
  <si>
    <t>6123ac83-1023-3c09-9cb4-c435a4c5ebfb</t>
  </si>
  <si>
    <t>Natural gas, at production offshore {ES}</t>
  </si>
  <si>
    <t>a16505ed-9d30-3737-b8da-34f57ab7aa1e</t>
  </si>
  <si>
    <t>Natural gas, at production offshore {FR}</t>
  </si>
  <si>
    <t>77b8fa31-0657-3ba2-b7e6-b422402c2748</t>
  </si>
  <si>
    <t>Natural gas, at production offshore {GB}</t>
  </si>
  <si>
    <t>9ce78fcd-9d5d-317f-979d-0f6173d9d8f1</t>
  </si>
  <si>
    <t>Natural gas, at production offshore {GQ}</t>
  </si>
  <si>
    <t>881cea39-7f56-356e-96cc-0ae431ed3a97</t>
  </si>
  <si>
    <t>Natural gas, at production offshore {ID}</t>
  </si>
  <si>
    <t>0bbe6d18-c9f1-32db-b1e5-4f77a42f8e28</t>
  </si>
  <si>
    <t>Natural gas, at production offshore {IN}</t>
  </si>
  <si>
    <t>1c5213ba-9242-30fd-93d0-d5fd2ce91a16</t>
  </si>
  <si>
    <t>Natural gas, at production offshore {IQ}</t>
  </si>
  <si>
    <t>c061fb24-0858-3e1b-a049-5e5e0c6f829c</t>
  </si>
  <si>
    <t>Natural gas, at production offshore {IR}</t>
  </si>
  <si>
    <t>9293a415-6171-3269-aec9-6ebd9b63aec3</t>
  </si>
  <si>
    <t>Natural gas, at production offshore {IT}</t>
  </si>
  <si>
    <t>e8fb9104-887f-3089-b967-d9fc9c746a41</t>
  </si>
  <si>
    <t>Natural gas, at production offshore {JP}</t>
  </si>
  <si>
    <t>fb9a65e7-2113-3dc9-8b74-c93fe440ec9d</t>
  </si>
  <si>
    <t>Natural gas, at production offshore {KR}</t>
  </si>
  <si>
    <t>e49640e6-7968-3186-bb45-4ee35d72ee9a</t>
  </si>
  <si>
    <t>Natural gas, at production offshore {KW}</t>
  </si>
  <si>
    <t>116d6428-0fe5-3e09-8688-e03e5cd84d71</t>
  </si>
  <si>
    <t>Natural gas, at production offshore {KZ}</t>
  </si>
  <si>
    <t>bc45b01f-13e5-3edc-b9e1-2927d4a9f7e0</t>
  </si>
  <si>
    <t>Natural gas, at production offshore {LY}</t>
  </si>
  <si>
    <t>c9ed39df-80b5-3bbd-af4c-b4b3b15bdc3e</t>
  </si>
  <si>
    <t>Natural gas, at production offshore {MX}</t>
  </si>
  <si>
    <t>b2ad7a51-d33a-3a96-8e8a-86c8ce17ea18</t>
  </si>
  <si>
    <t>Natural gas, at production offshore {MY}</t>
  </si>
  <si>
    <t>e1d150e0-d1c4-35c8-bd33-241fcb134b6c</t>
  </si>
  <si>
    <t>Natural gas, at production offshore {NG}</t>
  </si>
  <si>
    <t>640f64cd-2718-366a-9b5a-8905c52d8088</t>
  </si>
  <si>
    <t>Natural gas, at production offshore {NL}</t>
  </si>
  <si>
    <t>5930d790-199a-3577-853c-eb6ad69fcfc5</t>
  </si>
  <si>
    <t>Natural gas, at production offshore {NO}</t>
  </si>
  <si>
    <t>7babae55-a5e5-3777-b487-7dac8952284b</t>
  </si>
  <si>
    <t>Natural gas, at production offshore {OM}</t>
  </si>
  <si>
    <t>b6c2e65a-cee6-374a-a275-f16eff8c3406</t>
  </si>
  <si>
    <t>Natural gas, at production offshore {PE}</t>
  </si>
  <si>
    <t>270cc502-8da6-3749-8085-5b7c58849c3d</t>
  </si>
  <si>
    <t>Natural gas, at production offshore {PL}</t>
  </si>
  <si>
    <t>293ad07e-0a48-33f5-b86c-d958284ccb6b</t>
  </si>
  <si>
    <t>Natural gas, at production offshore {QA}</t>
  </si>
  <si>
    <t>272a4526-d9aa-3bf9-8cac-b4577f8aa260</t>
  </si>
  <si>
    <t>Natural gas, at production offshore {RO}</t>
  </si>
  <si>
    <t>cc9f978c-ace1-37b6-9fb5-d599824a0f29</t>
  </si>
  <si>
    <t>Natural gas, at production offshore {RU}</t>
  </si>
  <si>
    <t>bae5a25c-2878-398c-b1b5-85d7fd0c908d</t>
  </si>
  <si>
    <t>Natural gas, at production offshore {SA}</t>
  </si>
  <si>
    <t>5d860b35-0cab-3424-bd65-24203e608ff3</t>
  </si>
  <si>
    <t>Natural gas, at production offshore {TH}</t>
  </si>
  <si>
    <t>b43ae07f-cff0-3d2f-8906-1de5015f1192</t>
  </si>
  <si>
    <t>Natural gas, at production offshore {TM}</t>
  </si>
  <si>
    <t>0e9aac81-bf57-38b3-9137-3704eee43839</t>
  </si>
  <si>
    <t>Natural gas, at production offshore {TR}</t>
  </si>
  <si>
    <t>eb77e77a-2b70-3150-bca2-e8ec72099d81</t>
  </si>
  <si>
    <t>Natural gas, at production offshore {TT}</t>
  </si>
  <si>
    <t>9e5afc5c-4035-363c-a997-66759d68531c</t>
  </si>
  <si>
    <t>Natural gas, at production offshore {TW}</t>
  </si>
  <si>
    <t>bb47a78a-be3d-337d-ab28-b58bee94647c</t>
  </si>
  <si>
    <t>Natural gas, at production offshore {UA}</t>
  </si>
  <si>
    <t>5611d16f-37b4-3cdf-a38e-2b4eae598667</t>
  </si>
  <si>
    <t>Natural gas, at production offshore {US}</t>
  </si>
  <si>
    <t>65b99ddf-4f6a-3dee-92a8-f7aaacb0e0d4</t>
  </si>
  <si>
    <t>Natural gas, at production offshore {UZ}</t>
  </si>
  <si>
    <t>0945cb58-2a01-37d2-bab6-9f696e2022fd</t>
  </si>
  <si>
    <t>Natural gas, at production offshore {VE}</t>
  </si>
  <si>
    <t>d4a67086-a1fb-30ca-9522-23e6962621d1</t>
  </si>
  <si>
    <t>Natural gas, at production onshore {AE}</t>
  </si>
  <si>
    <t>f4f2d403-f0c1-398f-9386-a10fcbc02f41</t>
  </si>
  <si>
    <t>Natural gas, at production onshore {AO}</t>
  </si>
  <si>
    <t>8f4fde11-31c5-3772-8b66-116ce544708e</t>
  </si>
  <si>
    <t>Natural gas, at production onshore {AR}</t>
  </si>
  <si>
    <t>603cd8e2-ff7c-3170-bf8a-9f72c000c054</t>
  </si>
  <si>
    <t>Natural gas, at production onshore {AU}</t>
  </si>
  <si>
    <t>1694be6e-9eec-32b1-aaf2-d3e4e367b38e</t>
  </si>
  <si>
    <t>Natural gas, at production onshore {AZ}</t>
  </si>
  <si>
    <t>893a1865-e8c8-3230-8b62-b8e1382fc230</t>
  </si>
  <si>
    <t>Natural gas, at production onshore {BE}</t>
  </si>
  <si>
    <t>d9e430b9-5b15-3a60-b7b6-2494fe965aaa</t>
  </si>
  <si>
    <t>Natural gas, at production onshore {BO}</t>
  </si>
  <si>
    <t>e3b9cd02-cde1-39fb-a70a-53bf02370904</t>
  </si>
  <si>
    <t>Natural gas, at production onshore {BR}</t>
  </si>
  <si>
    <t>be654b3c-23a5-3af4-89d1-4f542088d3c0</t>
  </si>
  <si>
    <t>Natural gas, at production onshore {CA}</t>
  </si>
  <si>
    <t>a3c1187b-30c7-3118-a0b4-0974d5999cc3</t>
  </si>
  <si>
    <t>Natural gas, at production onshore {CN}</t>
  </si>
  <si>
    <t>2abee4cc-f8f6-301d-a76d-a2572e47ef5d</t>
  </si>
  <si>
    <t>Natural gas, at production onshore {CO}</t>
  </si>
  <si>
    <t>2f244a9b-e569-31c9-88bd-bf4165045783</t>
  </si>
  <si>
    <t>Natural gas, at production onshore {DE}</t>
  </si>
  <si>
    <t>7d5ab4b7-10b7-39e5-856a-c9c48f91c3d7</t>
  </si>
  <si>
    <t>Natural gas, at production onshore {DZ}</t>
  </si>
  <si>
    <t>f9806c64-3999-314f-b612-29bafe9dc899</t>
  </si>
  <si>
    <t>Natural gas, at production onshore {EC}</t>
  </si>
  <si>
    <t>842d8cfb-c5ff-313d-8b34-2d027025c413</t>
  </si>
  <si>
    <t>Natural gas, at production onshore {EG}</t>
  </si>
  <si>
    <t>8b83ce1d-6628-3b74-bc94-fcf7f53b05b8</t>
  </si>
  <si>
    <t>Natural gas, at production onshore {ES}</t>
  </si>
  <si>
    <t>0ee64174-b14b-3f91-b4a1-4ecf9b98883e</t>
  </si>
  <si>
    <t>Natural gas, at production onshore {FR}</t>
  </si>
  <si>
    <t>e93a14ee-86b2-3cba-9c1f-e163c771869a</t>
  </si>
  <si>
    <t>Natural gas, at production onshore {GB}</t>
  </si>
  <si>
    <t>53077bf9-271b-30c2-bfcf-58e4a5a311cf</t>
  </si>
  <si>
    <t>Natural gas, at production onshore {GQ}</t>
  </si>
  <si>
    <t>48f94dcf-6770-3eed-957e-8ab60b8584a2</t>
  </si>
  <si>
    <t>Natural gas, at production onshore {ID}</t>
  </si>
  <si>
    <t>d0c3b950-3e4f-39ad-98b9-e066f3fdb621</t>
  </si>
  <si>
    <t>Natural gas, at production onshore {IN}</t>
  </si>
  <si>
    <t>f7c58e61-9bd1-3847-9f64-ca8027df25f6</t>
  </si>
  <si>
    <t>Natural gas, at production onshore {IQ}</t>
  </si>
  <si>
    <t>bbc264c7-f825-383d-a1e2-b278efd8e300</t>
  </si>
  <si>
    <t>Natural gas, at production onshore {IR}</t>
  </si>
  <si>
    <t>885e0369-1a77-3387-ab7c-8858639c0d85</t>
  </si>
  <si>
    <t>Natural gas, at production onshore {IT}</t>
  </si>
  <si>
    <t>d87bc6e1-c9b3-333f-9a3f-29e55eba7f3f</t>
  </si>
  <si>
    <t>Natural gas, at production onshore {JP}</t>
  </si>
  <si>
    <t>b690c4c2-3dfb-3a09-a7e5-ae890bd4cb2a</t>
  </si>
  <si>
    <t>Natural gas, at production onshore {KR}</t>
  </si>
  <si>
    <t>0bb7a279-c045-35ea-af20-324041842d60</t>
  </si>
  <si>
    <t>Natural gas, at production onshore {KW}</t>
  </si>
  <si>
    <t>11691ae8-1d41-3646-a61b-ce620ad581c8</t>
  </si>
  <si>
    <t>Natural gas, at production onshore {KZ}</t>
  </si>
  <si>
    <t>b1640245-f106-3bd0-b8e9-686ae9d2fc94</t>
  </si>
  <si>
    <t>Natural gas, at production onshore {LY}</t>
  </si>
  <si>
    <t>82f4d48e-62d7-3ace-a580-989b0aa6b500</t>
  </si>
  <si>
    <t>Natural gas, at production onshore {MX}</t>
  </si>
  <si>
    <t>ee4034c8-f3a8-3b5a-8c51-c125ba89d0b5</t>
  </si>
  <si>
    <t>Natural gas, at production onshore {MY}</t>
  </si>
  <si>
    <t>44d0ae28-d2cc-342b-a4cd-3f72fc17781f</t>
  </si>
  <si>
    <t>Natural gas, at production onshore {NG}</t>
  </si>
  <si>
    <t>b94119c9-4bb4-368d-be3e-7ee3daa561fd</t>
  </si>
  <si>
    <t>Natural gas, at production onshore {NL}</t>
  </si>
  <si>
    <t>e36b9129-0bee-33de-880b-a3c2a2d19136</t>
  </si>
  <si>
    <t>Natural gas, at production onshore {NO}</t>
  </si>
  <si>
    <t>7f01f75d-8c8a-330b-9599-ca85c2982905</t>
  </si>
  <si>
    <t>Natural gas, at production onshore {OM}</t>
  </si>
  <si>
    <t>b6b5bc81-5f80-3c4c-b921-9b53fc7db2d0</t>
  </si>
  <si>
    <t>Natural gas, at production onshore {PE}</t>
  </si>
  <si>
    <t>74eb83d2-b736-3739-a1e4-5697373e0c16</t>
  </si>
  <si>
    <t>Natural gas, at production onshore {PL}</t>
  </si>
  <si>
    <t>a9c9bd61-1bf0-3683-b64c-3a75a5617cc7</t>
  </si>
  <si>
    <t>Natural gas, at production onshore {QA}</t>
  </si>
  <si>
    <t>284fef31-5567-3ae3-884d-f71c26dc1737</t>
  </si>
  <si>
    <t>Natural gas, at production onshore {RO}</t>
  </si>
  <si>
    <t>835b219a-aeda-350c-af75-e47f8fb90728</t>
  </si>
  <si>
    <t>Natural gas, at production onshore {RU}</t>
  </si>
  <si>
    <t>bc642c86-524e-3e7e-97d0-d6caa00dcabe</t>
  </si>
  <si>
    <t>Natural gas, at production onshore {SA}</t>
  </si>
  <si>
    <t>0aabc397-94f4-3d01-a750-cce033dc54ef</t>
  </si>
  <si>
    <t>Natural gas, at production onshore {TH}</t>
  </si>
  <si>
    <t>cceca01f-dbce-309c-8a34-d1941b106792</t>
  </si>
  <si>
    <t>Natural gas, at production onshore {TM}</t>
  </si>
  <si>
    <t>b82f814a-f9f4-3901-b818-03a37e699d05</t>
  </si>
  <si>
    <t>Natural gas, at production onshore {TR}</t>
  </si>
  <si>
    <t>5b6e028d-8ff6-348d-b78d-56086105ae16</t>
  </si>
  <si>
    <t>Natural gas, at production onshore {TT}</t>
  </si>
  <si>
    <t>d0782ee5-b2c1-3d2e-8450-025786cc4976</t>
  </si>
  <si>
    <t>Natural gas, at production onshore {TW}</t>
  </si>
  <si>
    <t>594a1684-6f73-3474-9c66-77ec8660ee08</t>
  </si>
  <si>
    <t>Natural gas, at production onshore {UA}</t>
  </si>
  <si>
    <t>197c5657-ed77-3ac8-9408-48a6c5790d53</t>
  </si>
  <si>
    <t>Natural gas, at production onshore {US}</t>
  </si>
  <si>
    <t>56aa9c8c-9359-318c-b1ec-d6acadf2f535</t>
  </si>
  <si>
    <t>Natural gas, at production onshore {UZ}</t>
  </si>
  <si>
    <t>e36df687-0a02-3954-8923-aa89a7b6847f</t>
  </si>
  <si>
    <t>Natural gas, at production onshore {VE}</t>
  </si>
  <si>
    <t>0ecdce2e-5d3f-36ff-9649-f286ecdbeef9</t>
  </si>
  <si>
    <t>Natural gas, burned in boiler atm. low-NOx condensing non-modulating &lt;100kW {RER}</t>
  </si>
  <si>
    <t>heat\gas\furnace</t>
  </si>
  <si>
    <t>8ee387aa-1c75-3f7e-a2bd-709f8a0c8381</t>
  </si>
  <si>
    <t>Natural gas, burned in boiler atmospheric burner non-modulating &lt;100kW {RER}</t>
  </si>
  <si>
    <t>3c1a6e57-2f5d-32f5-b7b9-704abe2820e3</t>
  </si>
  <si>
    <t>Natural gas, burned in boiler atmospheric low-NOx non-modulating &lt;100kW {RER}</t>
  </si>
  <si>
    <t>d680fb63-53e7-37d0-b7a8-95e07cce0361</t>
  </si>
  <si>
    <t>Natural gas, burned in boiler condensing modulating 15kW {CH}</t>
  </si>
  <si>
    <t>e2a9cc3d-4c2a-3a78-9718-c155941a1f61</t>
  </si>
  <si>
    <t>Natural gas, burned in boiler condensing modulating 300kW {CH}</t>
  </si>
  <si>
    <t>5aba0d54-02df-324e-9b72-339a9a674892</t>
  </si>
  <si>
    <t>Natural gas, burned in boiler condensing modulating 50kW (proj. 388) {CH}</t>
  </si>
  <si>
    <t>6bbaec18-1eda-32d2-9e75-88a4e47d78a5</t>
  </si>
  <si>
    <t>Natural gas, burned in boiler condensing modulating 50kW {CH}</t>
  </si>
  <si>
    <t>31af99cc-86c4-3a51-b148-881dd8f67d08</t>
  </si>
  <si>
    <t>Natural gas, burned in boiler fan burner low-NOx non-modulating &lt;100kW {RER}</t>
  </si>
  <si>
    <t>bfb4a77f-f684-307a-9a41-6d08ff85ec55</t>
  </si>
  <si>
    <t>Natural gas, burned in boiler fan burner non-modulating &lt;100kW {RER}</t>
  </si>
  <si>
    <t>d574f9f0-9d67-3f04-b24e-4f0076bd93f7</t>
  </si>
  <si>
    <t>Natural gas, burned in boiler modulating &lt;100kW {RER}</t>
  </si>
  <si>
    <t>76decb2e-2d66-3bbb-b77b-a6724ff0a7c5</t>
  </si>
  <si>
    <t>Natural gas, burned in boiler modulating &gt;100kW {RER}</t>
  </si>
  <si>
    <t>3b3545b6-561a-36c3-ac77-5e648b0b1d74</t>
  </si>
  <si>
    <t>Natural gas, burned in cogen 15kWth {CH}</t>
  </si>
  <si>
    <t>3b83b35d-187f-30be-a730-961c58a743d6</t>
  </si>
  <si>
    <t>Natural gas, burned in cogen 1MWe lean burn {RER}</t>
  </si>
  <si>
    <t>d44b9dcc-79f2-326a-a3f8-ecb371a642da</t>
  </si>
  <si>
    <t>Natural gas, burned in cogen 1MWth {CH}</t>
  </si>
  <si>
    <t>b6ca4fd8-0ad0-3f22-b355-5140ed72e598</t>
  </si>
  <si>
    <t>Natural gas, burned in cogen 300kWth {CH}</t>
  </si>
  <si>
    <t>4e0166e2-812a-3892-91d1-0c435125579b</t>
  </si>
  <si>
    <t>Natural gas, burned in cogen 50kWth {CH}</t>
  </si>
  <si>
    <t>05ef8523-75e8-3d9b-928c-49aef424dcd3</t>
  </si>
  <si>
    <t>Natural gas, burned in combined cycle plant, best technology {RER}</t>
  </si>
  <si>
    <t>4f7b45a5-dbc5-3abe-8582-f16fb629566c</t>
  </si>
  <si>
    <t>Natural gas, burned in gas motor, for storage {DE}</t>
  </si>
  <si>
    <t>electricity by fuel\gas\gas turbine</t>
  </si>
  <si>
    <t>ef68a8c6-4f5c-35b7-abb4-c59cbce0d997</t>
  </si>
  <si>
    <t>Natural gas, burned in gas motor, for storage {DZ}</t>
  </si>
  <si>
    <t>d473176b-a50c-34ad-807e-7fa5e549cb3c</t>
  </si>
  <si>
    <t>Natural gas, burned in gas motor, for storage {GLO}</t>
  </si>
  <si>
    <t>aae77f5e-0a33-364a-950d-59e6bccd3e20</t>
  </si>
  <si>
    <t>Natural gas, burned in gas motor, for storage {NL}</t>
  </si>
  <si>
    <t>e7043c33-c160-3f64-a78b-c3c912de5c47</t>
  </si>
  <si>
    <t>Natural gas, burned in gas motor, for storage {NO}</t>
  </si>
  <si>
    <t>a3a4a435-213b-3ce2-8e65-1593132b07f3</t>
  </si>
  <si>
    <t>Natural gas, burned in gas motor, for storage {RU}</t>
  </si>
  <si>
    <t>df282fe9-06d5-3c25-a609-e9aeec1bca4c</t>
  </si>
  <si>
    <t>Natural gas, burned in gas turbine {AE}</t>
  </si>
  <si>
    <t>natural gas\power plants</t>
  </si>
  <si>
    <t>9f63b389-a8ca-3c0f-9fb6-163872d75347</t>
  </si>
  <si>
    <t>Natural gas, burned in gas turbine {AO}</t>
  </si>
  <si>
    <t>60a92ee7-6539-3b80-982a-2bd701f3e72e</t>
  </si>
  <si>
    <t>Natural gas, burned in gas turbine {AR}</t>
  </si>
  <si>
    <t>5bf66a2e-9314-3bab-b89d-92fe702a1c8c</t>
  </si>
  <si>
    <t>Natural gas, burned in gas turbine {AT}</t>
  </si>
  <si>
    <t>1c1cdfd5-a32f-31b5-a8d2-ad0a12ecb88c</t>
  </si>
  <si>
    <t>Natural gas, burned in gas turbine {AU}</t>
  </si>
  <si>
    <t>901ed389-6379-3a4d-8c98-e29b1f2d5e63</t>
  </si>
  <si>
    <t>Natural gas, burned in gas turbine {AZ}</t>
  </si>
  <si>
    <t>7c2b4b09-b101-3ef1-8b26-2344d6b06842</t>
  </si>
  <si>
    <t>Natural gas, burned in gas turbine {BE}</t>
  </si>
  <si>
    <t>5b731f66-4712-3dbd-b2f8-bed656a97aec</t>
  </si>
  <si>
    <t>Natural gas, burned in gas turbine {BG}</t>
  </si>
  <si>
    <t>cf034913-f425-380c-9890-f40de4f7487a</t>
  </si>
  <si>
    <t>Natural gas, burned in gas turbine {BO}</t>
  </si>
  <si>
    <t>e185c20c-7cae-36f8-b8ba-2b0848269fd2</t>
  </si>
  <si>
    <t>Natural gas, burned in gas turbine {BR}</t>
  </si>
  <si>
    <t>26fdba1b-de18-3740-bb5c-a6a934a82d2f</t>
  </si>
  <si>
    <t>Natural gas, burned in gas turbine {CA}</t>
  </si>
  <si>
    <t>3232ed7d-35fa-3bad-9277-5393fc3bb331</t>
  </si>
  <si>
    <t>Natural gas, burned in gas turbine {CH}</t>
  </si>
  <si>
    <t>bbc00408-1b79-348d-8dd5-0e2bbef93881</t>
  </si>
  <si>
    <t>Natural gas, burned in gas turbine {CN}</t>
  </si>
  <si>
    <t>91fd1ca7-bb33-363f-930c-1fa68b4e1cdf</t>
  </si>
  <si>
    <t>Natural gas, burned in gas turbine {CO}</t>
  </si>
  <si>
    <t>ebe28773-5658-3efc-959b-00ee99c68b7a</t>
  </si>
  <si>
    <t>Natural gas, burned in gas turbine {CZ}</t>
  </si>
  <si>
    <t>44bdd24f-6fae-3b71-90b4-c9056c00304f</t>
  </si>
  <si>
    <t>Natural gas, burned in gas turbine {DE}</t>
  </si>
  <si>
    <t>1afc9f83-f710-3559-990a-5d277b80e89c</t>
  </si>
  <si>
    <t>Natural gas, burned in gas turbine {DK}</t>
  </si>
  <si>
    <t>d9c6d7cc-4afb-3102-a862-38250a363e17</t>
  </si>
  <si>
    <t>Natural gas, burned in gas turbine {DZ}</t>
  </si>
  <si>
    <t>c56cb441-7851-31bb-a08f-018d0266e84e</t>
  </si>
  <si>
    <t>Natural gas, burned in gas turbine {EG}</t>
  </si>
  <si>
    <t>4aad54e8-c930-333e-bf59-f6637ec332db</t>
  </si>
  <si>
    <t>Natural gas, burned in gas turbine {ES}</t>
  </si>
  <si>
    <t>f8445856-b7cd-36e1-aa8e-2fa65a6e1a73</t>
  </si>
  <si>
    <t>Natural gas, burned in gas turbine {Europe without Switzerland}</t>
  </si>
  <si>
    <t>ecb48b5c-93bf-36b7-9630-78bf62a9e3d9</t>
  </si>
  <si>
    <t>Natural gas, burned in gas turbine {FI}</t>
  </si>
  <si>
    <t>ea0ddb83-04d6-3138-8672-c5a98c24ddf8</t>
  </si>
  <si>
    <t>Natural gas, burned in gas turbine {FR}</t>
  </si>
  <si>
    <t>f89f6c7f-4bfa-34fa-be74-0e1d838963e3</t>
  </si>
  <si>
    <t>Natural gas, burned in gas turbine {GB}</t>
  </si>
  <si>
    <t>1fdaaf97-a096-39dc-8d66-e648e03e4fcf</t>
  </si>
  <si>
    <t>Natural gas, burned in gas turbine {GLO}</t>
  </si>
  <si>
    <t>08c86684-ccb2-3f40-b610-cb80feb6cf7e</t>
  </si>
  <si>
    <t>Natural gas, burned in gas turbine {GQ}</t>
  </si>
  <si>
    <t>3a69d49f-96e6-344e-8bbe-466599ba9356</t>
  </si>
  <si>
    <t>Natural gas, burned in gas turbine {GR}</t>
  </si>
  <si>
    <t>dfbedbff-eeef-3a32-b893-0c4e26fbf2e8</t>
  </si>
  <si>
    <t>Natural gas, burned in gas turbine {HR}</t>
  </si>
  <si>
    <t>4159f39b-d347-3440-97d1-242acb001148</t>
  </si>
  <si>
    <t>Natural gas, burned in gas turbine {HU}</t>
  </si>
  <si>
    <t>684acf26-5153-3472-9144-f2f3c4550526</t>
  </si>
  <si>
    <t>Natural gas, burned in gas turbine {ID}</t>
  </si>
  <si>
    <t>0d75b34b-a7d0-3ed0-b109-42aec54a4c7e</t>
  </si>
  <si>
    <t>Natural gas, burned in gas turbine {IE}</t>
  </si>
  <si>
    <t>89be4cf3-9ced-3491-b886-1a810f29fbeb</t>
  </si>
  <si>
    <t>Natural gas, burned in gas turbine {IN}</t>
  </si>
  <si>
    <t>f9153785-a9ec-3a49-811b-6c116328d3bb</t>
  </si>
  <si>
    <t>Natural gas, burned in gas turbine {IQ}</t>
  </si>
  <si>
    <t>2a57f55b-aa28-33f9-ae00-38aa0f4197f1</t>
  </si>
  <si>
    <t>Natural gas, burned in gas turbine {IR}</t>
  </si>
  <si>
    <t>4416e56c-11bd-3990-90ac-ce4824e3aa5b</t>
  </si>
  <si>
    <t>Natural gas, burned in gas turbine {IT}</t>
  </si>
  <si>
    <t>280741bd-f5c3-321a-9579-076d61f16bc1</t>
  </si>
  <si>
    <t>Natural gas, burned in gas turbine {JP}</t>
  </si>
  <si>
    <t>d76fa940-aafa-3afb-8930-51f3645c26b1</t>
  </si>
  <si>
    <t>Natural gas, burned in gas turbine {KR}</t>
  </si>
  <si>
    <t>03093b00-3d5a-3958-881c-31690f88a57c</t>
  </si>
  <si>
    <t>Natural gas, burned in gas turbine {KW}</t>
  </si>
  <si>
    <t>ea56a3b9-db32-3048-ad2b-aa8ac43ea16d</t>
  </si>
  <si>
    <t>Natural gas, burned in gas turbine {KZ}</t>
  </si>
  <si>
    <t>273dc710-8e97-3063-baa2-c5b32535b39e</t>
  </si>
  <si>
    <t>Natural gas, burned in gas turbine {LY}</t>
  </si>
  <si>
    <t>6971f8c7-5a92-39dc-b7dd-67799d0ebe62</t>
  </si>
  <si>
    <t>Natural gas, burned in gas turbine {MX}</t>
  </si>
  <si>
    <t>b0762ed6-a25b-3b21-95a1-02cbbc17b8a4</t>
  </si>
  <si>
    <t>Natural gas, burned in gas turbine {MY}</t>
  </si>
  <si>
    <t>9359ac58-7dff-3c8c-94f9-c20887f29d46</t>
  </si>
  <si>
    <t>Natural gas, burned in gas turbine {NG}</t>
  </si>
  <si>
    <t>065e8cc8-6122-3763-8712-2bad442327a1</t>
  </si>
  <si>
    <t>Natural gas, burned in gas turbine {NL}</t>
  </si>
  <si>
    <t>c2e2e2eb-de7f-38d7-86cf-b4f9bd4169e8</t>
  </si>
  <si>
    <t>Natural gas, burned in gas turbine {NO}</t>
  </si>
  <si>
    <t>dc123404-174a-313e-aca5-44694add9665</t>
  </si>
  <si>
    <t>Natural gas, burned in gas turbine {OM}</t>
  </si>
  <si>
    <t>10910352-8988-3c24-adfb-5d64b8b8fd32</t>
  </si>
  <si>
    <t>Natural gas, burned in gas turbine {PE}</t>
  </si>
  <si>
    <t>62c63b0c-56ab-34b3-b142-6540402722e7</t>
  </si>
  <si>
    <t>Natural gas, burned in gas turbine {PK}</t>
  </si>
  <si>
    <t>ae19983e-688d-3417-b4fd-803dda407492</t>
  </si>
  <si>
    <t>Natural gas, burned in gas turbine {PL}</t>
  </si>
  <si>
    <t>f1333510-a45b-33d0-a245-154f8fdcf641</t>
  </si>
  <si>
    <t>Natural gas, burned in gas turbine {QA}</t>
  </si>
  <si>
    <t>cecd8376-0cf1-3e4d-84ff-4842fe02ef8f</t>
  </si>
  <si>
    <t>Natural gas, burned in gas turbine {RER}</t>
  </si>
  <si>
    <t>f4950122-a5a1-373f-99c6-eb66ffcd44ce</t>
  </si>
  <si>
    <t>Natural gas, burned in gas turbine {RO}</t>
  </si>
  <si>
    <t>1d11558a-d80c-3f8b-8be7-27950d28eb1d</t>
  </si>
  <si>
    <t>Natural gas, burned in gas turbine {RoE}</t>
  </si>
  <si>
    <t>25b2cbc4-a074-3676-9098-9f24ffae5b52</t>
  </si>
  <si>
    <t>Natural gas, burned in gas turbine {RoW}</t>
  </si>
  <si>
    <t>8a92b2f4-8569-3be6-95e5-08ec7cd143a6</t>
  </si>
  <si>
    <t>Natural gas, burned in gas turbine {RS}</t>
  </si>
  <si>
    <t>2ab8fc97-2953-3000-8f02-3eca4ac6a446</t>
  </si>
  <si>
    <t>Natural gas, burned in gas turbine {RU}</t>
  </si>
  <si>
    <t>d4d365cf-1ab4-3cc2-aa6d-0e07ff6db019</t>
  </si>
  <si>
    <t>Natural gas, burned in gas turbine {SA}</t>
  </si>
  <si>
    <t>dea25cc0-b93e-39a1-9cda-da4dfa43a557</t>
  </si>
  <si>
    <t>Natural gas, burned in gas turbine {SE}</t>
  </si>
  <si>
    <t>fb6b8a81-c4f4-36b1-8a47-4d71e3412c5e</t>
  </si>
  <si>
    <t>Natural gas, burned in gas turbine {SK}</t>
  </si>
  <si>
    <t>761657be-8709-3935-9570-7ff545167696</t>
  </si>
  <si>
    <t>Natural gas, burned in gas turbine {TH}</t>
  </si>
  <si>
    <t>ffdafedc-766e-3bbb-967e-a11420e8d73a</t>
  </si>
  <si>
    <t>Natural gas, burned in gas turbine {TM}</t>
  </si>
  <si>
    <t>cd9caaff-44f1-3c98-8b43-c92d9430d1e2</t>
  </si>
  <si>
    <t>Natural gas, burned in gas turbine {TR}</t>
  </si>
  <si>
    <t>bf27f1f3-a312-304f-9609-102b4b9ee94b</t>
  </si>
  <si>
    <t>Natural gas, burned in gas turbine {TT}</t>
  </si>
  <si>
    <t>8f9333a2-1cd4-353a-8a43-96c6910d440a</t>
  </si>
  <si>
    <t>Natural gas, burned in gas turbine {TW}</t>
  </si>
  <si>
    <t>cfb3bb79-36e8-37c4-adde-efeaa7c14627</t>
  </si>
  <si>
    <t>Natural gas, burned in gas turbine {UA}</t>
  </si>
  <si>
    <t>1ed75f82-9e2f-3fee-b0ec-2846917ebde6</t>
  </si>
  <si>
    <t>Natural gas, burned in gas turbine {US}</t>
  </si>
  <si>
    <t>21ccb6c1-5291-38de-9547-d458e871fba4</t>
  </si>
  <si>
    <t>Natural gas, burned in gas turbine {UZ}</t>
  </si>
  <si>
    <t>331190b1-eac4-3dff-b735-4931c92f8dc0</t>
  </si>
  <si>
    <t>Natural gas, burned in gas turbine {VE}</t>
  </si>
  <si>
    <t>168aa9e5-ba34-3b8c-806d-a09553cc1057</t>
  </si>
  <si>
    <t>Natural gas, burned in gas turbine, for compressor station {DE}</t>
  </si>
  <si>
    <t>b2ea7e20-ece2-3d25-9d2a-c18d4280f7d3</t>
  </si>
  <si>
    <t>Natural gas, burned in gas turbine, for compressor station {DZ}</t>
  </si>
  <si>
    <t>f15e0c34-f014-3ced-9944-823d92fa92c9</t>
  </si>
  <si>
    <t>Natural gas, burned in gas turbine, for compressor station {NL}</t>
  </si>
  <si>
    <t>d220689b-31a0-39df-b2c7-2383264f85e5</t>
  </si>
  <si>
    <t>Natural gas, burned in gas turbine, for compressor station {NO}</t>
  </si>
  <si>
    <t>b17a67ea-f723-3448-8ac7-2e8225d8be9e</t>
  </si>
  <si>
    <t>Natural gas, burned in gas turbine, for compressor station {RU}</t>
  </si>
  <si>
    <t>1d3a57a8-a20c-3258-bed2-7293ae193988</t>
  </si>
  <si>
    <t>Natural gas, burned in gas turbine, for compressor station {UCTE}</t>
  </si>
  <si>
    <t>8f80feaa-14a0-3efe-96e1-83d231f8c6d7</t>
  </si>
  <si>
    <t>Natural gas, burned in industrial furnace 1MW {CH}</t>
  </si>
  <si>
    <t>045e458d-5776-3c92-82ff-274665aaa4fc</t>
  </si>
  <si>
    <t>Natural gas, burned in industrial furnace 1MWth {CH}</t>
  </si>
  <si>
    <t>895e2382-8724-3ae3-9bfb-54e4af37b0ca</t>
  </si>
  <si>
    <t>Natural gas, burned in power plant {ASCC}</t>
  </si>
  <si>
    <t>f6f154e7-c9b1-3b40-b46e-a08571a80145</t>
  </si>
  <si>
    <t>Natural gas, burned in power plant {BE}</t>
  </si>
  <si>
    <t>4dbf74a1-04d4-3564-8391-18317d513482</t>
  </si>
  <si>
    <t>Natural gas, burned in power plant {CENTREL}</t>
  </si>
  <si>
    <t>9d300767-e033-3a11-bc94-f9854b819566</t>
  </si>
  <si>
    <t>Natural gas, burned in power plant {ERCOT}</t>
  </si>
  <si>
    <t>8e426165-b836-37f2-bd87-1718bc699acd</t>
  </si>
  <si>
    <t>Natural gas, burned in power plant {FRCC}</t>
  </si>
  <si>
    <t>dbb3cef2-c9bf-336b-8bba-55e2dadf009c</t>
  </si>
  <si>
    <t>Natural gas, burned in power plant {MRO}</t>
  </si>
  <si>
    <t>4f4d230d-c100-3ff0-af83-970fb51c568f</t>
  </si>
  <si>
    <t>Natural gas, burned in power plant {NORDEL}</t>
  </si>
  <si>
    <t>324c2349-144a-39e1-86dd-ee3c19e09fdd</t>
  </si>
  <si>
    <t>Natural gas, burned in power plant {NPCC}</t>
  </si>
  <si>
    <t>4517572b-cf49-3f8a-885f-16ee249d6e0b</t>
  </si>
  <si>
    <t>Natural gas, burned in power plant {RFC}</t>
  </si>
  <si>
    <t>3f3cdad3-102e-37e1-ba21-cc825960d303</t>
  </si>
  <si>
    <t>Natural gas, burned in power plant {SERC}</t>
  </si>
  <si>
    <t>e92fe655-01c9-3960-aa23-55910e711242</t>
  </si>
  <si>
    <t>Natural gas, burned in power plant {SPP}</t>
  </si>
  <si>
    <t>b59cb0be-5539-3ec2-80bf-bac1a08644bc</t>
  </si>
  <si>
    <t>Natural gas, burned in power plant {UCTE}</t>
  </si>
  <si>
    <t>fafdb734-7704-3b23-83ca-a17937cee0f6</t>
  </si>
  <si>
    <t>Natural gas, burned in power plant {WECC}</t>
  </si>
  <si>
    <t>45a9c7b4-8735-31ee-9a80-3f33fc6ea44d</t>
  </si>
  <si>
    <t>Natural gas, burned in power plant or heat plant {AT}</t>
  </si>
  <si>
    <t>7e1e3c32-de05-3aab-afef-a249d5b96146</t>
  </si>
  <si>
    <t>Natural gas, burned in power plant or heat plant {BE}</t>
  </si>
  <si>
    <t>9772a5d6-cbc7-3554-8577-1e08c8b17928</t>
  </si>
  <si>
    <t>Natural gas, burned in power plant or heat plant {BG}</t>
  </si>
  <si>
    <t>00405317-d258-34ae-80d0-65ab2e0ffe5b</t>
  </si>
  <si>
    <t>Natural gas, burned in power plant or heat plant {CH}</t>
  </si>
  <si>
    <t>1a988dde-cc05-3af1-bbb7-116b6a85c907</t>
  </si>
  <si>
    <t>Natural gas, burned in power plant or heat plant {CN}</t>
  </si>
  <si>
    <t>9e9e0c7c-9117-3434-9230-b9adfdf9a71b</t>
  </si>
  <si>
    <t>Natural gas, burned in power plant or heat plant {CZ}</t>
  </si>
  <si>
    <t>04b1334b-7b6e-369a-b1c9-21d123863bf6</t>
  </si>
  <si>
    <t>Natural gas, burned in power plant or heat plant {DE}</t>
  </si>
  <si>
    <t>816416ea-de66-35ea-9324-87894c935008</t>
  </si>
  <si>
    <t>Natural gas, burned in power plant or heat plant {DK}</t>
  </si>
  <si>
    <t>e2e75fa1-d67a-3abf-995c-b575514d62fa</t>
  </si>
  <si>
    <t>Natural gas, burned in power plant or heat plant {EE}</t>
  </si>
  <si>
    <t>4e79236c-42f6-3bdc-a1d6-7a141a9c6796</t>
  </si>
  <si>
    <t>Natural gas, burned in power plant or heat plant {ENTSO-E}</t>
  </si>
  <si>
    <t>bfac6a9e-6319-3f3e-a870-24c067fa1bde</t>
  </si>
  <si>
    <t>Natural gas, burned in power plant or heat plant {ES}</t>
  </si>
  <si>
    <t>f6b4f830-ce92-35f2-bf8f-9a9a2e289445</t>
  </si>
  <si>
    <t>Natural gas, burned in power plant or heat plant {FI}</t>
  </si>
  <si>
    <t>2df0c409-a049-34b3-bc1b-02c48ebf70be</t>
  </si>
  <si>
    <t>Natural gas, burned in power plant or heat plant {FR}</t>
  </si>
  <si>
    <t>c5857708-313e-3f45-bb21-37774e10dab4</t>
  </si>
  <si>
    <t>Natural gas, burned in power plant or heat plant {GB}</t>
  </si>
  <si>
    <t>76f8d21b-a86c-3531-b5cc-145cb6cf96aa</t>
  </si>
  <si>
    <t>Natural gas, burned in power plant or heat plant {GR}</t>
  </si>
  <si>
    <t>36df2cb6-9cd6-3dee-a5c1-67390085524a</t>
  </si>
  <si>
    <t>Natural gas, burned in power plant or heat plant {HR}</t>
  </si>
  <si>
    <t>76a2e6d1-6096-3338-a383-4af6b0542b10</t>
  </si>
  <si>
    <t>Natural gas, burned in power plant or heat plant {HU}</t>
  </si>
  <si>
    <t>7b1bffb1-f038-380b-a944-055f50086fec</t>
  </si>
  <si>
    <t>Natural gas, burned in power plant or heat plant {IE}</t>
  </si>
  <si>
    <t>906d41e3-3ee0-3fbf-86e1-20b763b5c1ec</t>
  </si>
  <si>
    <t>Natural gas, burned in power plant or heat plant {IN}</t>
  </si>
  <si>
    <t>2ddc6c69-c95e-3114-b827-75665e80bfbc</t>
  </si>
  <si>
    <t>Natural gas, burned in power plant or heat plant {IT}</t>
  </si>
  <si>
    <t>0b489731-f6c7-346b-97a5-1a25d7dd54fb</t>
  </si>
  <si>
    <t>Natural gas, burned in power plant or heat plant {JP}</t>
  </si>
  <si>
    <t>6a516193-6c9b-37a6-89f7-15f401b211fd</t>
  </si>
  <si>
    <t>Natural gas, burned in power plant or heat plant {KR}</t>
  </si>
  <si>
    <t>42e47b87-ef56-32fc-b24c-17e184058d69</t>
  </si>
  <si>
    <t>Natural gas, burned in power plant or heat plant {LT}</t>
  </si>
  <si>
    <t>0051aaff-08f6-341f-9b93-57b31dfb548b</t>
  </si>
  <si>
    <t>Natural gas, burned in power plant or heat plant {LU}</t>
  </si>
  <si>
    <t>d304e2b7-1206-39a0-bd22-10aa5b55e7af</t>
  </si>
  <si>
    <t>Natural gas, burned in power plant or heat plant {LV}</t>
  </si>
  <si>
    <t>bb5986bb-1eee-36b4-87e3-a912bbbe35d0</t>
  </si>
  <si>
    <t>Natural gas, burned in power plant or heat plant {MT}</t>
  </si>
  <si>
    <t>4958fd74-5080-3904-9434-b26675c88ca5</t>
  </si>
  <si>
    <t>Natural gas, burned in power plant or heat plant {MY}</t>
  </si>
  <si>
    <t>9f368204-9716-3b7b-bc63-98e3ee8c7088</t>
  </si>
  <si>
    <t>Natural gas, burned in power plant or heat plant {NL}</t>
  </si>
  <si>
    <t>4154ff41-dc47-31a9-99f9-c06858b26e46</t>
  </si>
  <si>
    <t>Natural gas, burned in power plant or heat plant {PL}</t>
  </si>
  <si>
    <t>25fd72f9-a1ed-3653-8da5-456750174691</t>
  </si>
  <si>
    <t>Natural gas, burned in power plant or heat plant {PT}</t>
  </si>
  <si>
    <t>547bd465-b9d4-3560-a8e1-79f64f9c6164</t>
  </si>
  <si>
    <t>Natural gas, burned in power plant or heat plant {RME}</t>
  </si>
  <si>
    <t>dd46f4d0-3e22-313b-8edc-8e0cf6ab39a4</t>
  </si>
  <si>
    <t>Natural gas, burned in power plant or heat plant {RO}</t>
  </si>
  <si>
    <t>1c395c00-26e8-3781-a8b8-024ed404a707</t>
  </si>
  <si>
    <t>Natural gas, burned in power plant or heat plant {RU}</t>
  </si>
  <si>
    <t>1a80a749-177e-3aaf-a48b-600b8682f219</t>
  </si>
  <si>
    <t>Natural gas, burned in power plant or heat plant {SE}</t>
  </si>
  <si>
    <t>9d94b183-bd7b-35e0-9c71-8adc432b1cc3</t>
  </si>
  <si>
    <t>Natural gas, burned in power plant or heat plant {SI}</t>
  </si>
  <si>
    <t>b4094605-5646-3b40-9b71-9ad77f647c2e</t>
  </si>
  <si>
    <t>Natural gas, burned in power plant or heat plant {SK}</t>
  </si>
  <si>
    <t>5ff693fc-b85a-3c41-b8cb-c997e54770f6</t>
  </si>
  <si>
    <t>Natural gas, burned in power plant or heat plant {TW}</t>
  </si>
  <si>
    <t>184e8c74-1041-3b60-9d63-ff946dccfb76</t>
  </si>
  <si>
    <t>Natural gas, burned in power plant or heat plant {US}</t>
  </si>
  <si>
    <t>cdc2ca3f-0a37-3fe0-b5ea-8d7bc5776048</t>
  </si>
  <si>
    <t>Natural gas, from high pressure network (1-5 bar), at service station {CH}</t>
  </si>
  <si>
    <t>0a60be73-22c5-394d-9aec-aaa550587c8b</t>
  </si>
  <si>
    <t>Natural gas, from medium pressure network (0.1-1 bar), at service station {CH}</t>
  </si>
  <si>
    <t>a0d02c58-222c-3b09-b49f-343595bd9470</t>
  </si>
  <si>
    <t>Natural gas, high pressure, at consumer {AE}</t>
  </si>
  <si>
    <t>8ca979ec-c4c7-3555-b3e4-a64b75c3567d</t>
  </si>
  <si>
    <t>Natural gas, high pressure, at consumer {AR}</t>
  </si>
  <si>
    <t>c9dfbbdb-8179-3ad4-bccd-41b95d87be12</t>
  </si>
  <si>
    <t>Natural gas, high pressure, at consumer {AT}</t>
  </si>
  <si>
    <t>ff713981-77ca-397b-96e1-6bd6abcfc086</t>
  </si>
  <si>
    <t>Natural gas, high pressure, at consumer {AU}</t>
  </si>
  <si>
    <t>9a1edb25-9221-3a19-acb7-74d6e70a4cc1</t>
  </si>
  <si>
    <t>Natural gas, high pressure, at consumer {AZ}</t>
  </si>
  <si>
    <t>c21308bd-81e1-3c7b-acff-92023bf6e498</t>
  </si>
  <si>
    <t>Natural gas, high pressure, at consumer {BE}</t>
  </si>
  <si>
    <t>f6be1585-f794-319e-90ac-0d6d8924d672</t>
  </si>
  <si>
    <t>Natural gas, high pressure, at consumer {BG}</t>
  </si>
  <si>
    <t>141f69fe-1150-4d43-bc13-001b8be126ff</t>
  </si>
  <si>
    <t>Natural gas, high pressure, at consumer {BO}</t>
  </si>
  <si>
    <t>c231c9f0-391d-3e0e-b9b3-7627e5fd5f38</t>
  </si>
  <si>
    <t>Natural gas, high pressure, at consumer {BR}</t>
  </si>
  <si>
    <t>a6ce5792-d748-3577-9d16-8b24c6734028</t>
  </si>
  <si>
    <t>Natural gas, high pressure, at consumer {CA}</t>
  </si>
  <si>
    <t>02d872b4-a355-3fe0-9c46-f20d9b5434c3</t>
  </si>
  <si>
    <t>Natural gas, high pressure, at consumer {CH}</t>
  </si>
  <si>
    <t>c60999be-6009-3a0e-937a-1f7ed06ba658</t>
  </si>
  <si>
    <t>Natural gas, high pressure, at consumer {CN}</t>
  </si>
  <si>
    <t>32377ffb-5bda-4ae0-b426-f959624c87bd</t>
  </si>
  <si>
    <t>Natural gas, high pressure, at consumer {CZ}</t>
  </si>
  <si>
    <t>630aec69-9141-30c9-a332-cc49bf4e802c</t>
  </si>
  <si>
    <t>Natural gas, high pressure, at consumer {DE}</t>
  </si>
  <si>
    <t>7633b030-93b1-3355-b64b-a6ede9b73524</t>
  </si>
  <si>
    <t>Natural gas, high pressure, at consumer {DK}</t>
  </si>
  <si>
    <t>6ff07bb7-4f00-3dc1-bf5d-d33e011fec1e</t>
  </si>
  <si>
    <t>Natural gas, high pressure, at consumer {DZ}</t>
  </si>
  <si>
    <t>4237781f-c826-3e41-b3ee-d7b8c4af933f</t>
  </si>
  <si>
    <t>Natural gas, high pressure, at consumer {EG}</t>
  </si>
  <si>
    <t>0c29b033-0930-38dd-8d17-a62eef98881c</t>
  </si>
  <si>
    <t>Natural gas, high pressure, at consumer {ES}</t>
  </si>
  <si>
    <t>d19f1031-7946-35d8-b37f-a0c744cc9de7</t>
  </si>
  <si>
    <t>Natural gas, high pressure, at consumer {Europe without Switzerland}</t>
  </si>
  <si>
    <t>13a2e283-6d6f-357a-b389-44aef71f0f8f</t>
  </si>
  <si>
    <t>Natural gas, high pressure, at consumer {FI}</t>
  </si>
  <si>
    <t>3c12f216-e20a-305b-8439-fe2ebb1b8466</t>
  </si>
  <si>
    <t>Natural gas, high pressure, at consumer {FR}</t>
  </si>
  <si>
    <t>aa880766-e100-3765-9c2b-456a183bccd1</t>
  </si>
  <si>
    <t>Natural gas, high pressure, at consumer {GB}</t>
  </si>
  <si>
    <t>da08345b-cdcb-3794-80bc-1c795f9cb6c4</t>
  </si>
  <si>
    <t>Natural gas, high pressure, at consumer {GLO}</t>
  </si>
  <si>
    <t>dd89282f-84c6-338b-9dbe-628c99d3a3c3</t>
  </si>
  <si>
    <t>Natural gas, high pressure, at consumer {GR}</t>
  </si>
  <si>
    <t>8540b1ef-49b4-33e8-ac75-5c1934914e24</t>
  </si>
  <si>
    <t>Natural gas, high pressure, at consumer {HR}</t>
  </si>
  <si>
    <t>d5fc3a53-5c66-4dfb-b950-18ec459e252c</t>
  </si>
  <si>
    <t>Natural gas, high pressure, at consumer {HU}</t>
  </si>
  <si>
    <t>c0274bcb-3b15-3811-bd7c-8ee3f3907d44</t>
  </si>
  <si>
    <t>Natural gas, high pressure, at consumer {ID}</t>
  </si>
  <si>
    <t>1b4f1d11-ba8d-3d1b-826d-abe706e4b92f</t>
  </si>
  <si>
    <t>Natural gas, high pressure, at consumer {IE}</t>
  </si>
  <si>
    <t>487623b9-b30c-3536-ae44-10ea544c54c1</t>
  </si>
  <si>
    <t>Natural gas, high pressure, at consumer {IN}</t>
  </si>
  <si>
    <t>5df8d15b-0c16-4cb0-b03d-ea927c311cc0</t>
  </si>
  <si>
    <t>Natural gas, high pressure, at consumer {IQ}</t>
  </si>
  <si>
    <t>6432ed72-7415-3b7b-b638-e81ab4c1e2b1</t>
  </si>
  <si>
    <t>Natural gas, high pressure, at consumer {IR}</t>
  </si>
  <si>
    <t>c9d3f2fa-d439-370e-8351-e82ae5692072</t>
  </si>
  <si>
    <t>Natural gas, high pressure, at consumer {IT}</t>
  </si>
  <si>
    <t>bddc5f23-e936-32e8-aed5-317f7ee7e82b</t>
  </si>
  <si>
    <t>Natural gas, high pressure, at consumer {JP}</t>
  </si>
  <si>
    <t>da7e4d0f-9e4f-3620-b6b0-13ff0a53ceb7</t>
  </si>
  <si>
    <t>Natural gas, high pressure, at consumer {KR}</t>
  </si>
  <si>
    <t>f54e239b-df76-3cba-a626-48e1f1e281fc</t>
  </si>
  <si>
    <t>Natural gas, high pressure, at consumer {KW}</t>
  </si>
  <si>
    <t>a689ad65-0bb3-3bc3-8bc7-a214b3165ed8</t>
  </si>
  <si>
    <t>Natural gas, high pressure, at consumer {KZ}</t>
  </si>
  <si>
    <t>cdaeeceb-8908-324c-9c26-9319ce7a8510</t>
  </si>
  <si>
    <t>Natural gas, high pressure, at consumer {LY}</t>
  </si>
  <si>
    <t>c488f2c8-031b-3df0-8a85-adbddc6ca19c</t>
  </si>
  <si>
    <t>Natural gas, high pressure, at consumer {MX}</t>
  </si>
  <si>
    <t>0954c237-ad34-3dcb-bde5-651c70edebce</t>
  </si>
  <si>
    <t>Natural gas, high pressure, at consumer {MY}</t>
  </si>
  <si>
    <t>d2a67bf5-cceb-4464-86f1-ae4be821f15b</t>
  </si>
  <si>
    <t>Natural gas, high pressure, at consumer {NG}</t>
  </si>
  <si>
    <t>907f44a0-4d77-3d13-baab-25e0229f85f5</t>
  </si>
  <si>
    <t>Natural gas, high pressure, at consumer {NL}</t>
  </si>
  <si>
    <t>169e8aa3-3e20-33cf-af18-aff90ec47316</t>
  </si>
  <si>
    <t>Natural gas, high pressure, at consumer {NO}</t>
  </si>
  <si>
    <t>316ac6d0-1050-3678-b85e-e2bd3608eb3d</t>
  </si>
  <si>
    <t>Natural gas, high pressure, at consumer {OM}</t>
  </si>
  <si>
    <t>8c8820a1-f9f7-3533-a869-b1f4ceb42bc4</t>
  </si>
  <si>
    <t>Natural gas, high pressure, at consumer {PE}</t>
  </si>
  <si>
    <t>a43af957-b95f-3bf5-b18e-39a5a2370bb4</t>
  </si>
  <si>
    <t>Natural gas, high pressure, at consumer {PK}</t>
  </si>
  <si>
    <t>0ffda751-1163-30e0-a211-d691480eedf6</t>
  </si>
  <si>
    <t>Natural gas, high pressure, at consumer {PL}</t>
  </si>
  <si>
    <t>1e8a2713-2377-472f-a2a9-27088386b890</t>
  </si>
  <si>
    <t>Natural gas, high pressure, at consumer {QA}</t>
  </si>
  <si>
    <t>7b330332-f29e-3506-89fb-1eff5dbfd164</t>
  </si>
  <si>
    <t>Natural gas, high pressure, at consumer {RER}</t>
  </si>
  <si>
    <t>52167408-1c86-310c-ab50-a92f15e84379</t>
  </si>
  <si>
    <t>Natural gas, high pressure, at consumer {RO}</t>
  </si>
  <si>
    <t>d0594132-eac1-4d1f-adfc-14b7e344fb9c</t>
  </si>
  <si>
    <t>Natural gas, high pressure, at consumer {RoE}</t>
  </si>
  <si>
    <t>dc89745a-63f2-3faa-89bb-d17601b5f207</t>
  </si>
  <si>
    <t>Natural gas, high pressure, at consumer {RoW}</t>
  </si>
  <si>
    <t>047f0851-aa9e-364f-8628-6e497292e6db</t>
  </si>
  <si>
    <t>Natural gas, high pressure, at consumer {RS}</t>
  </si>
  <si>
    <t>578edd24-f647-378a-b49d-318a8af44c8d</t>
  </si>
  <si>
    <t>Natural gas, high pressure, at consumer {RU}</t>
  </si>
  <si>
    <t>186a2627-09a3-41ea-afd4-ab3978d563a7</t>
  </si>
  <si>
    <t>Natural gas, high pressure, at consumer {SA}</t>
  </si>
  <si>
    <t>376ba96a-8d54-3960-a255-306a2c68dc8d</t>
  </si>
  <si>
    <t>Natural gas, high pressure, at consumer {SE}</t>
  </si>
  <si>
    <t>d2a377a8-9785-3eb3-a3bd-4b6fc7a6b8ae</t>
  </si>
  <si>
    <t>Natural gas, high pressure, at consumer {SK}</t>
  </si>
  <si>
    <t>21f9925c-cdf1-3890-9548-4c9992563ac1</t>
  </si>
  <si>
    <t>Natural gas, high pressure, at consumer {TH}</t>
  </si>
  <si>
    <t>1ebd391b-8045-367c-b5b0-d7ad72c82817</t>
  </si>
  <si>
    <t>Natural gas, high pressure, at consumer {TM}</t>
  </si>
  <si>
    <t>81c18bcc-0779-37d5-b980-5b2d7d00e11c</t>
  </si>
  <si>
    <t>Natural gas, high pressure, at consumer {TR}</t>
  </si>
  <si>
    <t>878ec3cf-d007-37fc-81ec-ff109053748d</t>
  </si>
  <si>
    <t>Natural gas, high pressure, at consumer {TT}</t>
  </si>
  <si>
    <t>97388919-9049-313f-96c7-cfc262ec52b6</t>
  </si>
  <si>
    <t>Natural gas, high pressure, at consumer {TW}</t>
  </si>
  <si>
    <t>8b92694b-d3c2-3e66-b3f2-cd282f2079b4</t>
  </si>
  <si>
    <t>Natural gas, high pressure, at consumer {US}</t>
  </si>
  <si>
    <t>5b8c85e2-8834-4e5f-a7c6-acdd85e6443b</t>
  </si>
  <si>
    <t>Natural gas, high pressure, at consumer {UZ}</t>
  </si>
  <si>
    <t>7a1c8828-9a84-37d8-a21f-549a664953d1</t>
  </si>
  <si>
    <t>Natural gas, high pressure, at consumer {VE}</t>
  </si>
  <si>
    <t>a7017cf8-a2b3-3e61-8684-ee76becdac5c</t>
  </si>
  <si>
    <t>Natural gas, liquefied, at freight ship {DZ}</t>
  </si>
  <si>
    <t>28b008ce-558e-3029-9140-38be9ddb2a51</t>
  </si>
  <si>
    <t>Natural gas, liquefied, at freight ship {JP}</t>
  </si>
  <si>
    <t>4fd47c94-5e3f-3dd0-901e-0ae8bcc2965d</t>
  </si>
  <si>
    <t>Natural gas, liquefied, at freight ship {NG}</t>
  </si>
  <si>
    <t>be7711af-15bd-3602-8cf7-03625656fe69</t>
  </si>
  <si>
    <t>Natural gas, liquefied, at freight ship {NO}</t>
  </si>
  <si>
    <t>89fd647a-d19c-3e5a-a821-e0c99c210e45</t>
  </si>
  <si>
    <t>Natural gas, liquefied, at freight ship {QA}</t>
  </si>
  <si>
    <t>72487af4-25f4-3166-8050-bf97aec29f28</t>
  </si>
  <si>
    <t>Natural gas, liquefied, at freight ship {RU}</t>
  </si>
  <si>
    <t>744ee3c3-2faa-3406-9042-b33606458601</t>
  </si>
  <si>
    <t>Natural gas, liquefied, at freight ship {US}</t>
  </si>
  <si>
    <t>312a7f38-aae2-39c4-98b8-18f00fae1d5b</t>
  </si>
  <si>
    <t>Natural gas, liquefied, at liquefaction plant {AE}</t>
  </si>
  <si>
    <t>26d8f9bb-b7c1-329a-aaa1-2c3cf88c4e9c</t>
  </si>
  <si>
    <t>Natural gas, liquefied, at liquefaction plant {AO}</t>
  </si>
  <si>
    <t>93ad9e4c-e41d-3ebf-b722-d16629066c05</t>
  </si>
  <si>
    <t>Natural gas, liquefied, at liquefaction plant {AU}</t>
  </si>
  <si>
    <t>c6e973c7-9f88-3d5c-88e6-c68abc986e4a</t>
  </si>
  <si>
    <t>Natural gas, liquefied, at liquefaction plant {DZ}</t>
  </si>
  <si>
    <t>576e08e4-d745-316f-b652-99274b223537</t>
  </si>
  <si>
    <t>Natural gas, liquefied, at liquefaction plant {EG}</t>
  </si>
  <si>
    <t>a6ed8236-5862-3f89-9f50-e9c386d40c9e</t>
  </si>
  <si>
    <t>Natural gas, liquefied, at liquefaction plant {GQ}</t>
  </si>
  <si>
    <t>b6adcfe7-ddd1-3218-98ae-08ed9c8b3b1e</t>
  </si>
  <si>
    <t>Natural gas, liquefied, at liquefaction plant {ID}</t>
  </si>
  <si>
    <t>8bffd054-7b8d-3a0e-86a0-92ca6d1e91a6</t>
  </si>
  <si>
    <t>Natural gas, liquefied, at liquefaction plant {MY}</t>
  </si>
  <si>
    <t>86acc05d-9c58-330b-9daa-b6b9d786548c</t>
  </si>
  <si>
    <t>Natural gas, liquefied, at liquefaction plant {NG}</t>
  </si>
  <si>
    <t>d8d76231-e51e-3d41-bf01-9fb3ea422466</t>
  </si>
  <si>
    <t>Natural gas, liquefied, at liquefaction plant {NO}</t>
  </si>
  <si>
    <t>5f848cdf-c66a-3841-98a8-a6965a1994e3</t>
  </si>
  <si>
    <t>Natural gas, liquefied, at liquefaction plant {OM}</t>
  </si>
  <si>
    <t>77c630d5-4dc1-3bda-ac2e-935e7c591f0b</t>
  </si>
  <si>
    <t>Natural gas, liquefied, at liquefaction plant {PE}</t>
  </si>
  <si>
    <t>e18476a1-19b7-36c9-bffa-5ae55fd39268</t>
  </si>
  <si>
    <t>Natural gas, liquefied, at liquefaction plant {QA}</t>
  </si>
  <si>
    <t>ef17615f-a98f-36c6-aa22-ce69f089dabf</t>
  </si>
  <si>
    <t>Natural gas, liquefied, at liquefaction plant {RU}</t>
  </si>
  <si>
    <t>7623ff51-2645-3ae9-8b41-da2129d4ba64</t>
  </si>
  <si>
    <t>Natural gas, liquefied, at liquefaction plant {TT}</t>
  </si>
  <si>
    <t>31edd830-fd66-3740-9f41-eb00d58c2931</t>
  </si>
  <si>
    <t>Natural gas, liquefied, at liquefaction plant {US}</t>
  </si>
  <si>
    <t>496f09ec-a7b7-3bff-ab1e-cd7a950c010c</t>
  </si>
  <si>
    <t>Natural gas, liquefied, production AE, at freight ship {CN}</t>
  </si>
  <si>
    <t>0e542ac0-ec85-380e-8c8f-a4cdcc112b86</t>
  </si>
  <si>
    <t>Natural gas, liquefied, production AE, at freight ship {DE}</t>
  </si>
  <si>
    <t>459ccb48-32c3-36d4-a9e4-aec8403ae1aa</t>
  </si>
  <si>
    <t>Natural gas, liquefied, production AE, at freight ship {GLO}</t>
  </si>
  <si>
    <t>07506417-2fb7-316d-a13a-4e86c6abd5d4</t>
  </si>
  <si>
    <t>Natural gas, liquefied, production AE, at freight ship {IN}</t>
  </si>
  <si>
    <t>29dfa93d-faaa-3f75-9573-7c570d952956</t>
  </si>
  <si>
    <t>Natural gas, liquefied, production AE, at freight ship {JP}</t>
  </si>
  <si>
    <t>6732536d-dc8c-34d8-ac82-0dcda02df273</t>
  </si>
  <si>
    <t>Natural gas, liquefied, production AE, at freight ship {KR}</t>
  </si>
  <si>
    <t>47429f6f-fca9-3896-8318-45b019311388</t>
  </si>
  <si>
    <t>Natural gas, liquefied, production AE, at freight ship {KW}</t>
  </si>
  <si>
    <t>001835f5-ba6d-361a-8990-7c894d80c087</t>
  </si>
  <si>
    <t>Natural gas, liquefied, production AE, at freight ship {RoW}</t>
  </si>
  <si>
    <t>dbc2bacb-ec88-3c86-a293-535578f7b898</t>
  </si>
  <si>
    <t>Natural gas, liquefied, production AE, at freight ship {TW}</t>
  </si>
  <si>
    <t>a9906ee4-3610-3196-87e4-139717ea9ba4</t>
  </si>
  <si>
    <t>Natural gas, liquefied, production AO, at freight ship {BE}</t>
  </si>
  <si>
    <t>0049df47-42fa-3446-928e-7be1f25bfce1</t>
  </si>
  <si>
    <t>Natural gas, liquefied, production AO, at freight ship {DE}</t>
  </si>
  <si>
    <t>1d11aeed-f053-37c4-8423-1deb8e288dcd</t>
  </si>
  <si>
    <t>Natural gas, liquefied, production AO, at freight ship {ES}</t>
  </si>
  <si>
    <t>37ed97e5-7d24-3fd6-b541-b650a76c8a21</t>
  </si>
  <si>
    <t>Natural gas, liquefied, production AO, at freight ship {FR}</t>
  </si>
  <si>
    <t>540fc305-b39b-35b5-aee9-f9a0033a6eb9</t>
  </si>
  <si>
    <t>Natural gas, liquefied, production AO, at freight ship {GB}</t>
  </si>
  <si>
    <t>012b734f-3588-3043-92be-ab8419fc0861</t>
  </si>
  <si>
    <t>Natural gas, liquefied, production AO, at freight ship {GLO}</t>
  </si>
  <si>
    <t>1e97e01c-4e56-38da-b1c3-276f5548d7dd</t>
  </si>
  <si>
    <t>Natural gas, liquefied, production AO, at freight ship {IN}</t>
  </si>
  <si>
    <t>74d7a2a3-57ee-38a8-998f-58c8e5b34891</t>
  </si>
  <si>
    <t>Natural gas, liquefied, production AO, at freight ship {NL}</t>
  </si>
  <si>
    <t>8cafeda6-6b99-372a-a980-2b8371eb4a41</t>
  </si>
  <si>
    <t>Natural gas, liquefied, production AO, at freight ship {RoW}</t>
  </si>
  <si>
    <t>7ab34c88-fc6a-35c8-89de-ac57d32c4a04</t>
  </si>
  <si>
    <t>Natural gas, liquefied, production AU, at freight ship {CN}</t>
  </si>
  <si>
    <t>ac11708d-7166-32f2-87cc-7a468d7283fd</t>
  </si>
  <si>
    <t>Natural gas, liquefied, production AU, at freight ship {ES}</t>
  </si>
  <si>
    <t>9fd27a3e-150e-3f78-989e-7b79ab06a4da</t>
  </si>
  <si>
    <t>Natural gas, liquefied, production AU, at freight ship {GLO}</t>
  </si>
  <si>
    <t>0288ad67-bfb2-3439-8f5b-7d9882cf4ced</t>
  </si>
  <si>
    <t>Natural gas, liquefied, production AU, at freight ship {IN}</t>
  </si>
  <si>
    <t>2bdcacd5-d161-31bf-9ca3-6b69412557f2</t>
  </si>
  <si>
    <t>Natural gas, liquefied, production AU, at freight ship {JP}</t>
  </si>
  <si>
    <t>cf5af5c4-81ea-3c2f-8f57-3e16bdfe9f46</t>
  </si>
  <si>
    <t>Natural gas, liquefied, production AU, at freight ship {KR}</t>
  </si>
  <si>
    <t>cd0786a1-aa1b-37b7-9213-966864097880</t>
  </si>
  <si>
    <t>Natural gas, liquefied, production AU, at freight ship {KW}</t>
  </si>
  <si>
    <t>71ac17d1-97bc-3376-abe7-886e0aa34b4d</t>
  </si>
  <si>
    <t>Natural gas, liquefied, production AU, at freight ship {MY}</t>
  </si>
  <si>
    <t>e19a3a68-f664-3820-b8a8-afbd36bd0cb5</t>
  </si>
  <si>
    <t>Natural gas, liquefied, production AU, at freight ship {RoW}</t>
  </si>
  <si>
    <t>45a819aa-aeea-3df5-ae96-1b1a9850c423</t>
  </si>
  <si>
    <t>Natural gas, liquefied, production AU, at freight ship {TH}</t>
  </si>
  <si>
    <t>d4a46ebe-07d9-3081-bd86-f23dc410f10a</t>
  </si>
  <si>
    <t>Natural gas, liquefied, production AU, at freight ship {TW}</t>
  </si>
  <si>
    <t>28171b32-7d9c-3fdf-8e78-da29dabde86b</t>
  </si>
  <si>
    <t>Natural gas, liquefied, production DZ, at freight ship {AR}</t>
  </si>
  <si>
    <t>2bcf8790-ec3e-3bb6-b3d7-ae6c79810ab0</t>
  </si>
  <si>
    <t>Natural gas, liquefied, production DZ, at freight ship {BE}</t>
  </si>
  <si>
    <t>1739f0e9-7e56-353a-8d6e-a4c5e057efde</t>
  </si>
  <si>
    <t>Natural gas, liquefied, production DZ, at freight ship {BR}</t>
  </si>
  <si>
    <t>79d746b7-7ac4-374c-a8a8-799dc2fc3448</t>
  </si>
  <si>
    <t>Natural gas, liquefied, production DZ, at freight ship {CN}</t>
  </si>
  <si>
    <t>5ed6de9f-3aa1-3eec-b01c-24cc903e83dd</t>
  </si>
  <si>
    <t>Natural gas, liquefied, production DZ, at freight ship {ES}</t>
  </si>
  <si>
    <t>96a9aa8e-a4a0-3f96-ab59-350a535466e1</t>
  </si>
  <si>
    <t>Natural gas, liquefied, production DZ, at freight ship {FI}</t>
  </si>
  <si>
    <t>47bd1bb2-4cd4-3a17-9fd6-5fe92828f4d1</t>
  </si>
  <si>
    <t>Natural gas, liquefied, production DZ, at freight ship {FR}</t>
  </si>
  <si>
    <t>3df8f8b8-b7c9-304e-be75-bd3b5356bb11</t>
  </si>
  <si>
    <t>Natural gas, liquefied, production DZ, at freight ship {GB}</t>
  </si>
  <si>
    <t>de171fed-7bfe-3abc-b1e8-f907d5c93af6</t>
  </si>
  <si>
    <t>Natural gas, liquefied, production DZ, at freight ship {GLO}</t>
  </si>
  <si>
    <t>4c1fd11b-6069-38b3-b092-6c1e8fd1f8fb</t>
  </si>
  <si>
    <t>Natural gas, liquefied, production DZ, at freight ship {GR}</t>
  </si>
  <si>
    <t>fb4d66cf-f6f1-3c23-bf56-fe0c7e5dcdcb</t>
  </si>
  <si>
    <t>Natural gas, liquefied, production DZ, at freight ship {IN}</t>
  </si>
  <si>
    <t>15c34fa6-4734-3303-962f-4198016f1ef9</t>
  </si>
  <si>
    <t>Natural gas, liquefied, production DZ, at freight ship {IT}</t>
  </si>
  <si>
    <t>991ff1e0-b729-38be-8b81-0c108a3e3861</t>
  </si>
  <si>
    <t>Natural gas, liquefied, production DZ, at freight ship {JP}</t>
  </si>
  <si>
    <t>7a79bb1a-6bac-3a68-ac7c-2ad6b4eacdb9</t>
  </si>
  <si>
    <t>Natural gas, liquefied, production DZ, at freight ship {KR}</t>
  </si>
  <si>
    <t>0adeacc0-3be2-3faf-94f8-5899eddaf650</t>
  </si>
  <si>
    <t>Natural gas, liquefied, production DZ, at freight ship {KW}</t>
  </si>
  <si>
    <t>8c035f7b-64b2-31f8-b2e2-3f6134c107f9</t>
  </si>
  <si>
    <t>Natural gas, liquefied, production DZ, at freight ship {NL}</t>
  </si>
  <si>
    <t>756f2c8c-3ba2-3a93-90a8-8fd61727df1f</t>
  </si>
  <si>
    <t>Natural gas, liquefied, production DZ, at freight ship {RoW}</t>
  </si>
  <si>
    <t>f1043522-90e1-30e4-9dc3-25c2bce85011</t>
  </si>
  <si>
    <t>Natural gas, liquefied, production DZ, at freight ship {TH}</t>
  </si>
  <si>
    <t>68c45a97-cf90-34e1-a229-0520a874647e</t>
  </si>
  <si>
    <t>Natural gas, liquefied, production DZ, at freight ship {TR}</t>
  </si>
  <si>
    <t>5c862a07-f799-31bf-bbed-4e920da0e30a</t>
  </si>
  <si>
    <t>Natural gas, liquefied, production EG, at freight ship {AR}</t>
  </si>
  <si>
    <t>eec8be77-fd74-3eee-9416-a8cdec5dac61</t>
  </si>
  <si>
    <t>Natural gas, liquefied, production EG, at freight ship {BE}</t>
  </si>
  <si>
    <t>755ee8f5-de2f-3579-9d4f-9e92edf1dd04</t>
  </si>
  <si>
    <t>Natural gas, liquefied, production EG, at freight ship {CN}</t>
  </si>
  <si>
    <t>a00fcbb9-728d-30c4-b5ac-9f76c047d21d</t>
  </si>
  <si>
    <t>Natural gas, liquefied, production EG, at freight ship {DE}</t>
  </si>
  <si>
    <t>9863932a-78d3-3bf2-8f93-b8dcd018af04</t>
  </si>
  <si>
    <t>Natural gas, liquefied, production EG, at freight ship {ES}</t>
  </si>
  <si>
    <t>d30651e0-b8c7-3527-b469-3ea4e339fb81</t>
  </si>
  <si>
    <t>Natural gas, liquefied, production EG, at freight ship {FR}</t>
  </si>
  <si>
    <t>b4906acc-629b-3ff3-9d47-53f7e890aa4c</t>
  </si>
  <si>
    <t>Natural gas, liquefied, production EG, at freight ship {GB}</t>
  </si>
  <si>
    <t>5d0db3d3-8d07-3f89-bf9f-182359e55d93</t>
  </si>
  <si>
    <t>Natural gas, liquefied, production EG, at freight ship {GLO}</t>
  </si>
  <si>
    <t>7290c141-9f7c-30ce-837e-37ae984b7cad</t>
  </si>
  <si>
    <t>Natural gas, liquefied, production EG, at freight ship {GR}</t>
  </si>
  <si>
    <t>adb52fd0-a5a1-3331-ba42-15075d2b5a76</t>
  </si>
  <si>
    <t>Natural gas, liquefied, production EG, at freight ship {IN}</t>
  </si>
  <si>
    <t>377cc594-34c4-3924-a3de-ad5e7f2e9e04</t>
  </si>
  <si>
    <t>Natural gas, liquefied, production EG, at freight ship {IT}</t>
  </si>
  <si>
    <t>a0054802-91a8-39b5-95af-4df600ff9646</t>
  </si>
  <si>
    <t>Natural gas, liquefied, production EG, at freight ship {JP}</t>
  </si>
  <si>
    <t>8916bd90-2d5e-3dde-9cf7-18d16f2f7c1a</t>
  </si>
  <si>
    <t>Natural gas, liquefied, production EG, at freight ship {KR}</t>
  </si>
  <si>
    <t>c495de85-6b1e-3d60-80bf-158b03da33a8</t>
  </si>
  <si>
    <t>Natural gas, liquefied, production EG, at freight ship {NL}</t>
  </si>
  <si>
    <t>a0ad43e7-871f-39fa-a189-06f7c49ec45e</t>
  </si>
  <si>
    <t>Natural gas, liquefied, production EG, at freight ship {PK}</t>
  </si>
  <si>
    <t>842a0c5a-654a-3649-aa3b-5542178f03f2</t>
  </si>
  <si>
    <t>Natural gas, liquefied, production EG, at freight ship {RoW}</t>
  </si>
  <si>
    <t>36b89bfa-d4b5-32d1-9b3b-f650f60e6d72</t>
  </si>
  <si>
    <t>Natural gas, liquefied, production EG, at freight ship {TR}</t>
  </si>
  <si>
    <t>2e89c01a-4f3b-37ab-9029-243a6d06be9d</t>
  </si>
  <si>
    <t>Natural gas, liquefied, production EG, at freight ship {TW}</t>
  </si>
  <si>
    <t>0b240602-30dc-3427-ba7f-3a4999bdd04e</t>
  </si>
  <si>
    <t>Natural gas, liquefied, production GQ, at freight ship {BE}</t>
  </si>
  <si>
    <t>c9bb358d-1644-315e-9985-e6dbb0e5ec8c</t>
  </si>
  <si>
    <t>Natural gas, liquefied, production GQ, at freight ship {ES}</t>
  </si>
  <si>
    <t>4425e322-abdc-370c-a0b2-1939dfb08e61</t>
  </si>
  <si>
    <t>Natural gas, liquefied, production GQ, at freight ship {GLO}</t>
  </si>
  <si>
    <t>37282b9c-7703-381f-870c-aa03dda1b075</t>
  </si>
  <si>
    <t>Natural gas, liquefied, production GQ, at freight ship {NL}</t>
  </si>
  <si>
    <t>d234442b-2733-387d-9e48-157d923bf067</t>
  </si>
  <si>
    <t>Natural gas, liquefied, production GQ, at freight ship {PL}</t>
  </si>
  <si>
    <t>0ac13a47-a5fc-39ac-99e7-2665242fd149</t>
  </si>
  <si>
    <t>Natural gas, liquefied, production GQ, at freight ship {RoE}</t>
  </si>
  <si>
    <t>e160818e-668e-3003-8479-73d2021813ab</t>
  </si>
  <si>
    <t>Natural gas, liquefied, production GQ, at freight ship {RoW}</t>
  </si>
  <si>
    <t>b9bb6b19-dc24-3692-ab83-b3b636ff9fa5</t>
  </si>
  <si>
    <t>Natural gas, liquefied, production ID, at freight ship {CN}</t>
  </si>
  <si>
    <t>954bb9bd-ea84-3a53-b936-ecbaf445dee6</t>
  </si>
  <si>
    <t>Natural gas, liquefied, production ID, at freight ship {EG}</t>
  </si>
  <si>
    <t>cb30c499-ecf2-3eba-8903-16bd3a1015db</t>
  </si>
  <si>
    <t>Natural gas, liquefied, production ID, at freight ship {GLO}</t>
  </si>
  <si>
    <t>31a6cc20-5ead-3f7b-b9ee-27e24d15ba0b</t>
  </si>
  <si>
    <t>Natural gas, liquefied, production ID, at freight ship {HR}</t>
  </si>
  <si>
    <t>2410ba09-12ee-3a52-8bb1-bcd4e2df241c</t>
  </si>
  <si>
    <t>Natural gas, liquefied, production ID, at freight ship {JP}</t>
  </si>
  <si>
    <t>0b5a11bc-5ede-3641-a200-8e6e9e9c712c</t>
  </si>
  <si>
    <t>Natural gas, liquefied, production ID, at freight ship {KR}</t>
  </si>
  <si>
    <t>4454a399-8f0b-3ab7-ae63-0085ac96a2a4</t>
  </si>
  <si>
    <t>Natural gas, liquefied, production ID, at freight ship {MX}</t>
  </si>
  <si>
    <t>014ae4f3-aa07-33e9-91a0-9c098bc27cde</t>
  </si>
  <si>
    <t>Natural gas, liquefied, production ID, at freight ship {PK}</t>
  </si>
  <si>
    <t>3ed6ce37-1db8-3489-8787-9141b62f1863</t>
  </si>
  <si>
    <t>Natural gas, liquefied, production ID, at freight ship {RoW}</t>
  </si>
  <si>
    <t>ffb1afa4-5fd3-3b46-8636-587aa53c6e78</t>
  </si>
  <si>
    <t>Natural gas, liquefied, production ID, at freight ship {TH}</t>
  </si>
  <si>
    <t>e7b8b5bc-7e01-31ee-af47-2719962b3287</t>
  </si>
  <si>
    <t>Natural gas, liquefied, production ID, at freight ship {TW}</t>
  </si>
  <si>
    <t>e42fe4bd-3f0a-321a-b89f-2fff1b32c8df</t>
  </si>
  <si>
    <t>Natural gas, liquefied, production MY, at freight ship {CN}</t>
  </si>
  <si>
    <t>1bfb3094-ba9a-3400-9be1-2483c73c4abd</t>
  </si>
  <si>
    <t>Natural gas, liquefied, production MY, at freight ship {GLO}</t>
  </si>
  <si>
    <t>7c9067f5-fdd5-3e42-874a-556367eb52a7</t>
  </si>
  <si>
    <t>Natural gas, liquefied, production MY, at freight ship {JP}</t>
  </si>
  <si>
    <t>d4c6383f-c5e0-31ca-8258-fd1df06f90c6</t>
  </si>
  <si>
    <t>Natural gas, liquefied, production MY, at freight ship {KR}</t>
  </si>
  <si>
    <t>d02fd4a1-e13e-38ca-9c4e-4c5433244e77</t>
  </si>
  <si>
    <t>Natural gas, liquefied, production MY, at freight ship {KW}</t>
  </si>
  <si>
    <t>3a4f6635-4a2b-359f-8bcb-a87185b945b5</t>
  </si>
  <si>
    <t>Natural gas, liquefied, production MY, at freight ship {RoW}</t>
  </si>
  <si>
    <t>165218cb-dc4e-3159-bfdb-a203e44ebc44</t>
  </si>
  <si>
    <t>Natural gas, liquefied, production MY, at freight ship {TH}</t>
  </si>
  <si>
    <t>35a620bf-132d-342e-b267-bbb1a8b57699</t>
  </si>
  <si>
    <t>Natural gas, liquefied, production MY, at freight ship {TW}</t>
  </si>
  <si>
    <t>96665e6d-e631-3900-8024-79e09c3f4635</t>
  </si>
  <si>
    <t>Natural gas, liquefied, production NG, at freight ship {AR}</t>
  </si>
  <si>
    <t>22697b75-fe65-3dbe-a435-e48137bce139</t>
  </si>
  <si>
    <t>Natural gas, liquefied, production NG, at freight ship {CN}</t>
  </si>
  <si>
    <t>142c3f04-60d9-38e1-9132-c3ee99d1409a</t>
  </si>
  <si>
    <t>Natural gas, liquefied, production NG, at freight ship {ES}</t>
  </si>
  <si>
    <t>f71db0b2-7ed6-3722-b95a-97a5c6b7e529</t>
  </si>
  <si>
    <t>Natural gas, liquefied, production NG, at freight ship {FR}</t>
  </si>
  <si>
    <t>2f9593bc-b75f-36dc-88b6-b616b8baf02a</t>
  </si>
  <si>
    <t>Natural gas, liquefied, production NG, at freight ship {GB}</t>
  </si>
  <si>
    <t>3d3ddbfb-37c0-3921-9566-bcf1db23b8ed</t>
  </si>
  <si>
    <t>Natural gas, liquefied, production NG, at freight ship {GLO}</t>
  </si>
  <si>
    <t>fd16fb0c-243e-35b6-b545-0f343f4bddb1</t>
  </si>
  <si>
    <t>Natural gas, liquefied, production NG, at freight ship {GR}</t>
  </si>
  <si>
    <t>08c92c84-cfe3-3b2c-a4ea-955cb33c7baf</t>
  </si>
  <si>
    <t>Natural gas, liquefied, production NG, at freight ship {HR}</t>
  </si>
  <si>
    <t>92f39bf8-93df-32cd-aa8d-12a46c5db35e</t>
  </si>
  <si>
    <t>Natural gas, liquefied, production NG, at freight ship {IN}</t>
  </si>
  <si>
    <t>29d624c5-9811-3559-9cf7-60e490e419f4</t>
  </si>
  <si>
    <t>Natural gas, liquefied, production NG, at freight ship {IT}</t>
  </si>
  <si>
    <t>2c345ad1-b610-348f-b24e-68cab9b28bf1</t>
  </si>
  <si>
    <t>Natural gas, liquefied, production NG, at freight ship {JP}</t>
  </si>
  <si>
    <t>bea5481c-8eef-399e-8005-fdcb10e603d7</t>
  </si>
  <si>
    <t>Natural gas, liquefied, production NG, at freight ship {KR}</t>
  </si>
  <si>
    <t>5cda5a47-6fe3-3416-a1df-f869eb7c9dc5</t>
  </si>
  <si>
    <t>Natural gas, liquefied, production NG, at freight ship {KW}</t>
  </si>
  <si>
    <t>2e2b8d68-0c4c-3426-9a59-7f880b895c0f</t>
  </si>
  <si>
    <t>Natural gas, liquefied, production NG, at freight ship {NL}</t>
  </si>
  <si>
    <t>a8425e1f-e930-34ed-a597-128e9870c031</t>
  </si>
  <si>
    <t>Natural gas, liquefied, production NG, at freight ship {PK}</t>
  </si>
  <si>
    <t>e1dd242e-ec7c-3f03-b2e5-0197678436dc</t>
  </si>
  <si>
    <t>Natural gas, liquefied, production NG, at freight ship {RoE}</t>
  </si>
  <si>
    <t>46584773-f67c-3960-9164-4bb5d3cd2c94</t>
  </si>
  <si>
    <t>Natural gas, liquefied, production NG, at freight ship {RoW}</t>
  </si>
  <si>
    <t>d66916f9-573b-3674-9c5a-3b1fe26eb8f6</t>
  </si>
  <si>
    <t>Natural gas, liquefied, production NG, at freight ship {TH}</t>
  </si>
  <si>
    <t>46337ef7-0962-36e1-ac9f-0a7869c0992c</t>
  </si>
  <si>
    <t>Natural gas, liquefied, production NG, at freight ship {TR}</t>
  </si>
  <si>
    <t>dab386d2-de95-388e-91cd-6bcb7040cc88</t>
  </si>
  <si>
    <t>Natural gas, liquefied, production NG, at freight ship {TW}</t>
  </si>
  <si>
    <t>f3a44bc6-f175-387f-85a9-a9da2cd24ce8</t>
  </si>
  <si>
    <t>Natural gas, liquefied, production NO, at freight ship {BE}</t>
  </si>
  <si>
    <t>a185317d-f4fb-3146-a111-6dffb8379254</t>
  </si>
  <si>
    <t>Natural gas, liquefied, production NO, at freight ship {DE}</t>
  </si>
  <si>
    <t>30e12b04-8ada-3247-8561-19b4946876a8</t>
  </si>
  <si>
    <t>Natural gas, liquefied, production NO, at freight ship {ES}</t>
  </si>
  <si>
    <t>d7566608-ae2d-35e9-8d84-65ce8387b977</t>
  </si>
  <si>
    <t>Natural gas, liquefied, production NO, at freight ship {FI}</t>
  </si>
  <si>
    <t>c2c10f5f-eda5-39f1-a437-82f6e5eb8895</t>
  </si>
  <si>
    <t>Natural gas, liquefied, production NO, at freight ship {FR}</t>
  </si>
  <si>
    <t>199a6a53-6cc9-36f3-8106-e078760111c4</t>
  </si>
  <si>
    <t>Natural gas, liquefied, production NO, at freight ship {GB}</t>
  </si>
  <si>
    <t>d5b68a52-01f4-369a-86eb-0ddb12e86c2c</t>
  </si>
  <si>
    <t>Natural gas, liquefied, production NO, at freight ship {GLO}</t>
  </si>
  <si>
    <t>53e3aa8d-c948-3c1d-8fe9-dd1eeb1460e3</t>
  </si>
  <si>
    <t>Natural gas, liquefied, production NO, at freight ship {GR}</t>
  </si>
  <si>
    <t>448ab7ac-d967-3cc2-b95b-1e945aca64c2</t>
  </si>
  <si>
    <t>Natural gas, liquefied, production NO, at freight ship {IT}</t>
  </si>
  <si>
    <t>820089f8-8ae7-335f-8e3f-6f9de098a3b2</t>
  </si>
  <si>
    <t>Natural gas, liquefied, production NO, at freight ship {NL}</t>
  </si>
  <si>
    <t>d430b9fa-299a-310d-b70e-9c8c181d357c</t>
  </si>
  <si>
    <t>Natural gas, liquefied, production NO, at freight ship {PL}</t>
  </si>
  <si>
    <t>b9f86356-008a-3be0-a84a-37bd942746fc</t>
  </si>
  <si>
    <t>Natural gas, liquefied, production NO, at freight ship {RoE}</t>
  </si>
  <si>
    <t>615554c9-f25c-3bfa-b6dd-f4d9239222e4</t>
  </si>
  <si>
    <t>Natural gas, liquefied, production NO, at freight ship {SE}</t>
  </si>
  <si>
    <t>dae1776b-cd85-3b16-8f7d-6ffa4a16b307</t>
  </si>
  <si>
    <t>Natural gas, liquefied, production NO, at freight ship {TR}</t>
  </si>
  <si>
    <t>ae7f8de1-af6c-3613-8880-781ae3fa0e86</t>
  </si>
  <si>
    <t>Natural gas, liquefied, production OM, at freight ship {CN}</t>
  </si>
  <si>
    <t>bc8c7d8e-ac16-3bdd-a40d-48e330b4ae2f</t>
  </si>
  <si>
    <t>Natural gas, liquefied, production OM, at freight ship {ES}</t>
  </si>
  <si>
    <t>23082c5c-7b07-32e9-8ab6-0d9d37795dec</t>
  </si>
  <si>
    <t>Natural gas, liquefied, production OM, at freight ship {FR}</t>
  </si>
  <si>
    <t>c07b4734-4d8b-3bc8-9729-c56e55819bcd</t>
  </si>
  <si>
    <t>Natural gas, liquefied, production OM, at freight ship {GLO}</t>
  </si>
  <si>
    <t>b9d68ce9-9d21-36bc-b132-321030066604</t>
  </si>
  <si>
    <t>Natural gas, liquefied, production OM, at freight ship {HR}</t>
  </si>
  <si>
    <t>5072761d-b2a9-3387-9b4e-a3e74699f2d9</t>
  </si>
  <si>
    <t>Natural gas, liquefied, production OM, at freight ship {IN}</t>
  </si>
  <si>
    <t>93a1603d-bee2-3ca2-9036-a143082cbeb3</t>
  </si>
  <si>
    <t>Natural gas, liquefied, production OM, at freight ship {JP}</t>
  </si>
  <si>
    <t>4185f91d-b192-3c22-8f65-bacd6c7fb589</t>
  </si>
  <si>
    <t>Natural gas, liquefied, production OM, at freight ship {KR}</t>
  </si>
  <si>
    <t>a4c417b6-062b-359f-8703-f97f181e5d24</t>
  </si>
  <si>
    <t>Natural gas, liquefied, production OM, at freight ship {KW}</t>
  </si>
  <si>
    <t>003df98f-72b7-30c6-9bcf-fc03e28a9a55</t>
  </si>
  <si>
    <t>Natural gas, liquefied, production OM, at freight ship {PK}</t>
  </si>
  <si>
    <t>d53680fb-4f80-3180-9573-93415ad1eb74</t>
  </si>
  <si>
    <t>Natural gas, liquefied, production OM, at freight ship {RoW}</t>
  </si>
  <si>
    <t>7b89ce12-9b73-3005-a36e-bb6623cd5bfd</t>
  </si>
  <si>
    <t>Natural gas, liquefied, production OM, at freight ship {TH}</t>
  </si>
  <si>
    <t>e3e484cf-3c7d-3f22-9334-c6621ac0ff19</t>
  </si>
  <si>
    <t>Natural gas, liquefied, production OM, at freight ship {TR}</t>
  </si>
  <si>
    <t>47d36e5a-394f-3674-b643-04930792bcdd</t>
  </si>
  <si>
    <t>Natural gas, liquefied, production OM, at freight ship {TW}</t>
  </si>
  <si>
    <t>7a9d2788-d34a-3736-aa8b-96bf0ff631a5</t>
  </si>
  <si>
    <t>Natural gas, liquefied, production PE, at freight ship {CA}</t>
  </si>
  <si>
    <t>0e748186-9be7-3617-813d-fff89578b21f</t>
  </si>
  <si>
    <t>Natural gas, liquefied, production PE, at freight ship {CN}</t>
  </si>
  <si>
    <t>8fd16327-cec8-38b1-adfc-2527f6ada973</t>
  </si>
  <si>
    <t>Natural gas, liquefied, production PE, at freight ship {ES}</t>
  </si>
  <si>
    <t>467a753e-a455-3a18-bfc6-b74063ea3b26</t>
  </si>
  <si>
    <t>Natural gas, liquefied, production PE, at freight ship {FR}</t>
  </si>
  <si>
    <t>1ae3645e-72d7-3ea8-8c8c-fa08d312db6e</t>
  </si>
  <si>
    <t>Natural gas, liquefied, production PE, at freight ship {GB}</t>
  </si>
  <si>
    <t>94056a2b-7498-38e3-b7ba-8ae005b280e0</t>
  </si>
  <si>
    <t>Natural gas, liquefied, production PE, at freight ship {GLO}</t>
  </si>
  <si>
    <t>3d9083d1-eaf0-3c63-94ad-5046af91c701</t>
  </si>
  <si>
    <t>Natural gas, liquefied, production PE, at freight ship {JP}</t>
  </si>
  <si>
    <t>c6dcbcb2-9bda-383b-be0c-731907aef781</t>
  </si>
  <si>
    <t>Natural gas, liquefied, production PE, at freight ship {KR}</t>
  </si>
  <si>
    <t>1afcee13-30ec-3839-b396-d66ad5e248bc</t>
  </si>
  <si>
    <t>Natural gas, liquefied, production PE, at freight ship {MX}</t>
  </si>
  <si>
    <t>d3ad555a-fff5-3472-bacd-6e948d4712c0</t>
  </si>
  <si>
    <t>Natural gas, liquefied, production PE, at freight ship {NL}</t>
  </si>
  <si>
    <t>4d6e5cb6-528f-3318-990e-9fdb5e10fa67</t>
  </si>
  <si>
    <t>Natural gas, liquefied, production PE, at freight ship {RoW}</t>
  </si>
  <si>
    <t>196ed21e-1109-30c0-8149-466ef5a2776d</t>
  </si>
  <si>
    <t>Natural gas, liquefied, production PE, at freight ship {TW}</t>
  </si>
  <si>
    <t>b5352ed7-bdfc-3153-8bb5-e211186b47b2</t>
  </si>
  <si>
    <t>Natural gas, liquefied, production QA, at freight ship {AE}</t>
  </si>
  <si>
    <t>1d8d8cbd-b050-314f-82d4-6ab43dff39d7</t>
  </si>
  <si>
    <t>Natural gas, liquefied, production QA, at freight ship {AR}</t>
  </si>
  <si>
    <t>5df7d52e-71f6-3296-acf2-c28c8a2b2b72</t>
  </si>
  <si>
    <t>Natural gas, liquefied, production QA, at freight ship {BE}</t>
  </si>
  <si>
    <t>404678b0-60de-33cb-b904-021fca0d4e06</t>
  </si>
  <si>
    <t>Natural gas, liquefied, production QA, at freight ship {CN}</t>
  </si>
  <si>
    <t>2184921f-cb6a-3752-9905-4470bb3148b1</t>
  </si>
  <si>
    <t>Natural gas, liquefied, production QA, at freight ship {ES}</t>
  </si>
  <si>
    <t>9d965f25-4dbf-3987-97a8-951c1759e2c6</t>
  </si>
  <si>
    <t>Natural gas, liquefied, production QA, at freight ship {FR}</t>
  </si>
  <si>
    <t>91b8cccc-60ee-3c42-8fda-a52c5dbb9ce2</t>
  </si>
  <si>
    <t>Natural gas, liquefied, production QA, at freight ship {GB}</t>
  </si>
  <si>
    <t>23eedf69-9bdf-393c-9ec1-a36619c7d255</t>
  </si>
  <si>
    <t>Natural gas, liquefied, production QA, at freight ship {GLO}</t>
  </si>
  <si>
    <t>c7c11e36-9982-3ae6-9436-994d2c8e5f88</t>
  </si>
  <si>
    <t>Natural gas, liquefied, production QA, at freight ship {IN}</t>
  </si>
  <si>
    <t>487b1612-4e6f-3383-9da5-762bce3c561f</t>
  </si>
  <si>
    <t>Natural gas, liquefied, production QA, at freight ship {IT}</t>
  </si>
  <si>
    <t>225cfe3c-f51b-3fd2-8982-a3e51d627c44</t>
  </si>
  <si>
    <t>Natural gas, liquefied, production QA, at freight ship {JP}</t>
  </si>
  <si>
    <t>cc186916-1ed9-3da5-ad74-b3d6d7ce4cea</t>
  </si>
  <si>
    <t>Natural gas, liquefied, production QA, at freight ship {KR}</t>
  </si>
  <si>
    <t>a0effae7-ef7b-311e-9b36-073516baa5f6</t>
  </si>
  <si>
    <t>Natural gas, liquefied, production QA, at freight ship {KW}</t>
  </si>
  <si>
    <t>0ab3f887-334e-3284-8006-954d4cd158fd</t>
  </si>
  <si>
    <t>Natural gas, liquefied, production QA, at freight ship {NL}</t>
  </si>
  <si>
    <t>9c070a03-c62d-37d2-ab96-41df309eb7e9</t>
  </si>
  <si>
    <t>Natural gas, liquefied, production QA, at freight ship {PK}</t>
  </si>
  <si>
    <t>d39cc131-be6b-34d4-8c3e-133a6ad12b2b</t>
  </si>
  <si>
    <t>Natural gas, liquefied, production QA, at freight ship {PL}</t>
  </si>
  <si>
    <t>a6650ca4-0a5c-33db-881a-9ac2b807b9dd</t>
  </si>
  <si>
    <t>Natural gas, liquefied, production QA, at freight ship {RoW}</t>
  </si>
  <si>
    <t>a0c4f792-c448-3fd0-aa29-229a27b656fb</t>
  </si>
  <si>
    <t>Natural gas, liquefied, production QA, at freight ship {TH}</t>
  </si>
  <si>
    <t>2fda7421-5979-3d47-9ddf-41d12edf4b8d</t>
  </si>
  <si>
    <t>Natural gas, liquefied, production QA, at freight ship {TW}</t>
  </si>
  <si>
    <t>287f4263-fce0-3f2f-ac53-e4bf326b8374</t>
  </si>
  <si>
    <t>Natural gas, liquefied, production RU, at freight ship {BE}</t>
  </si>
  <si>
    <t>83990987-666c-3a09-a06d-5c5e43879622</t>
  </si>
  <si>
    <t>Natural gas, liquefied, production RU, at freight ship {BR}</t>
  </si>
  <si>
    <t>65ba542d-2f0d-3a84-ba50-503d733ed41c</t>
  </si>
  <si>
    <t>Natural gas, liquefied, production RU, at freight ship {CN}</t>
  </si>
  <si>
    <t>05497590-975a-3a23-9eb8-370da10767d9</t>
  </si>
  <si>
    <t>Natural gas, liquefied, production RU, at freight ship {ES}</t>
  </si>
  <si>
    <t>3c47fbe2-eff4-36df-8598-9147d7d2f6b8</t>
  </si>
  <si>
    <t>Natural gas, liquefied, production RU, at freight ship {FI}</t>
  </si>
  <si>
    <t>0e919000-ed37-3ede-aa12-f7dfe11e28e9</t>
  </si>
  <si>
    <t>Natural gas, liquefied, production RU, at freight ship {FR}</t>
  </si>
  <si>
    <t>b7d5fd50-7610-304f-82ef-5799767fa8c3</t>
  </si>
  <si>
    <t>Natural gas, liquefied, production RU, at freight ship {GLO}</t>
  </si>
  <si>
    <t>d8d23f4f-1a00-3e86-8ca0-57a071480fb4</t>
  </si>
  <si>
    <t>Natural gas, liquefied, production RU, at freight ship {GR}</t>
  </si>
  <si>
    <t>e3107c8b-6ee8-3a40-ba5e-87274ba8c711</t>
  </si>
  <si>
    <t>Natural gas, liquefied, production RU, at freight ship {IN}</t>
  </si>
  <si>
    <t>a9f34ec2-f53d-3622-bfc1-7b88d9053d29</t>
  </si>
  <si>
    <t>Natural gas, liquefied, production RU, at freight ship {IT}</t>
  </si>
  <si>
    <t>4e6b0f5e-8482-3e56-bf9b-1ed2317bf6f1</t>
  </si>
  <si>
    <t>Natural gas, liquefied, production RU, at freight ship {JP}</t>
  </si>
  <si>
    <t>99fbdc19-89f4-380d-ae65-ca6325f00518</t>
  </si>
  <si>
    <t>Natural gas, liquefied, production RU, at freight ship {KR}</t>
  </si>
  <si>
    <t>684bed93-bd8f-325a-afca-195392ba3296</t>
  </si>
  <si>
    <t>Natural gas, liquefied, production RU, at freight ship {KW}</t>
  </si>
  <si>
    <t>67f61a07-9440-3f98-9548-9b8281cbb0b6</t>
  </si>
  <si>
    <t>Natural gas, liquefied, production RU, at freight ship {NL}</t>
  </si>
  <si>
    <t>6df85f9d-0691-3ce9-a327-e743cdfed8da</t>
  </si>
  <si>
    <t>Natural gas, liquefied, production RU, at freight ship {PL}</t>
  </si>
  <si>
    <t>e9efb33d-6778-323c-a244-75f11176865a</t>
  </si>
  <si>
    <t>Natural gas, liquefied, production RU, at freight ship {RoE}</t>
  </si>
  <si>
    <t>7538e120-ba32-3884-8bf3-6c910b6064cf</t>
  </si>
  <si>
    <t>Natural gas, liquefied, production RU, at freight ship {RoW}</t>
  </si>
  <si>
    <t>8f2ddba6-78a2-3254-8469-896606a7fb81</t>
  </si>
  <si>
    <t>Natural gas, liquefied, production RU, at freight ship {SE}</t>
  </si>
  <si>
    <t>220bd6c6-4b39-3a13-8820-7db498fc2974</t>
  </si>
  <si>
    <t>Natural gas, liquefied, production RU, at freight ship {TR}</t>
  </si>
  <si>
    <t>ea6d5a07-d2b3-32d5-b504-07ecbfd6931a</t>
  </si>
  <si>
    <t>Natural gas, liquefied, production RU, at freight ship {TW}</t>
  </si>
  <si>
    <t>cfe41a27-1be9-3057-bc08-d5c6714735d0</t>
  </si>
  <si>
    <t>Natural gas, liquefied, production TT, at freight ship {AR}</t>
  </si>
  <si>
    <t>7fb4ed5d-053c-3771-85ff-737cd9d5420a</t>
  </si>
  <si>
    <t>Natural gas, liquefied, production TT, at freight ship {BR}</t>
  </si>
  <si>
    <t>4e6802c8-5cd0-3ca3-8743-20c7d1672e62</t>
  </si>
  <si>
    <t>Natural gas, liquefied, production TT, at freight ship {CA}</t>
  </si>
  <si>
    <t>f5bc35f6-e6f1-313f-9de1-96599d8cf86d</t>
  </si>
  <si>
    <t>Natural gas, liquefied, production TT, at freight ship {CN}</t>
  </si>
  <si>
    <t>48269acc-c3a9-367c-982f-a9feb43f458e</t>
  </si>
  <si>
    <t>Natural gas, liquefied, production TT, at freight ship {DE}</t>
  </si>
  <si>
    <t>fb14687b-d50f-398f-a0c6-aa59559c44c8</t>
  </si>
  <si>
    <t>Natural gas, liquefied, production TT, at freight ship {ES}</t>
  </si>
  <si>
    <t>94edcde9-f813-3edb-befc-a88aec9da1e3</t>
  </si>
  <si>
    <t>Natural gas, liquefied, production TT, at freight ship {FR}</t>
  </si>
  <si>
    <t>dde05d90-4311-305d-a830-b87e7e674e71</t>
  </si>
  <si>
    <t>Natural gas, liquefied, production TT, at freight ship {GB}</t>
  </si>
  <si>
    <t>66c59fe1-d543-3a81-a3d1-7f6fa87685d6</t>
  </si>
  <si>
    <t>Natural gas, liquefied, production TT, at freight ship {GLO}</t>
  </si>
  <si>
    <t>065cad2b-63de-32df-a35c-820d8f060651</t>
  </si>
  <si>
    <t>Natural gas, liquefied, production TT, at freight ship {HR}</t>
  </si>
  <si>
    <t>7445e3ab-3155-393d-b2d1-95e61f2712b5</t>
  </si>
  <si>
    <t>Natural gas, liquefied, production TT, at freight ship {IN}</t>
  </si>
  <si>
    <t>a88c45d7-a73d-35a7-91d4-88c51dd7600c</t>
  </si>
  <si>
    <t>Natural gas, liquefied, production TT, at freight ship {JP}</t>
  </si>
  <si>
    <t>83152c45-1ad2-3053-a5f3-947668436667</t>
  </si>
  <si>
    <t>Natural gas, liquefied, production TT, at freight ship {KR}</t>
  </si>
  <si>
    <t>b7e2fdfa-0346-3f79-a277-5f325ce45029</t>
  </si>
  <si>
    <t>Natural gas, liquefied, production TT, at freight ship {KW}</t>
  </si>
  <si>
    <t>ba90beeb-1ae4-37a3-947f-5a58f2d35251</t>
  </si>
  <si>
    <t>Natural gas, liquefied, production TT, at freight ship {NL}</t>
  </si>
  <si>
    <t>e7715cbd-d3fa-316f-acff-00753e4f9147</t>
  </si>
  <si>
    <t>Natural gas, liquefied, production TT, at freight ship {PK}</t>
  </si>
  <si>
    <t>268b01f5-e5c6-305b-8031-1ba56f242b62</t>
  </si>
  <si>
    <t>Natural gas, liquefied, production TT, at freight ship {PL}</t>
  </si>
  <si>
    <t>2b223266-27b5-3d42-b457-38645edf894e</t>
  </si>
  <si>
    <t>Natural gas, liquefied, production TT, at freight ship {RoE}</t>
  </si>
  <si>
    <t>a7dd0153-15ca-359e-8e07-5ce63359b2fe</t>
  </si>
  <si>
    <t>Natural gas, liquefied, production TT, at freight ship {RoW}</t>
  </si>
  <si>
    <t>1d59a9eb-1cf3-30e3-8eff-1e4d6563dac2</t>
  </si>
  <si>
    <t>Natural gas, liquefied, production TT, at freight ship {TH}</t>
  </si>
  <si>
    <t>f3a7fb25-5925-387c-898c-0da77091878d</t>
  </si>
  <si>
    <t>Natural gas, liquefied, production TT, at freight ship {TR}</t>
  </si>
  <si>
    <t>6d92fc91-434a-391a-9a4d-3e437aa1791f</t>
  </si>
  <si>
    <t>Natural gas, liquefied, production TT, at freight ship {US}</t>
  </si>
  <si>
    <t>589f1291-03fc-3ca5-bd15-5cff0fae5245</t>
  </si>
  <si>
    <t>Natural gas, liquefied, production US, at freight ship {AR}</t>
  </si>
  <si>
    <t>eb8e6f66-45c0-3a92-b56b-6439c5d89708</t>
  </si>
  <si>
    <t>Natural gas, liquefied, production US, at freight ship {BE}</t>
  </si>
  <si>
    <t>6aee86bb-942f-3e6d-bbe8-8bb2d819a24c</t>
  </si>
  <si>
    <t>Natural gas, liquefied, production US, at freight ship {BG}</t>
  </si>
  <si>
    <t>21b7e289-1fa4-3fde-b0b7-d43f260c5dcb</t>
  </si>
  <si>
    <t>Natural gas, liquefied, production US, at freight ship {BR}</t>
  </si>
  <si>
    <t>89a54f9a-2509-31c2-9fa4-3b0c6cfe4377</t>
  </si>
  <si>
    <t>Natural gas, liquefied, production US, at freight ship {CA}</t>
  </si>
  <si>
    <t>7d7a58bb-2498-3a36-a223-d8046941b4b0</t>
  </si>
  <si>
    <t>Natural gas, liquefied, production US, at freight ship {CN}</t>
  </si>
  <si>
    <t>db5ff184-59b5-37e1-8303-0ad5b475866f</t>
  </si>
  <si>
    <t>Natural gas, liquefied, production US, at freight ship {DE}</t>
  </si>
  <si>
    <t>cfd03db0-def7-3716-854c-e0fa7c88b8d5</t>
  </si>
  <si>
    <t>Natural gas, liquefied, production US, at freight ship {ES}</t>
  </si>
  <si>
    <t>a1028a6e-47d0-3d6d-b65a-36e43887245d</t>
  </si>
  <si>
    <t>Natural gas, liquefied, production US, at freight ship {FI}</t>
  </si>
  <si>
    <t>fab2a48e-76b5-37b3-8021-0a327c44d671</t>
  </si>
  <si>
    <t>Natural gas, liquefied, production US, at freight ship {FR}</t>
  </si>
  <si>
    <t>a45fb64a-c7c4-3ffb-8dbb-3baf78d7faa7</t>
  </si>
  <si>
    <t>Natural gas, liquefied, production US, at freight ship {GB}</t>
  </si>
  <si>
    <t>544ffcf6-8bf4-3f38-a6dc-4a747f91f5eb</t>
  </si>
  <si>
    <t>Natural gas, liquefied, production US, at freight ship {GLO}</t>
  </si>
  <si>
    <t>fb7abc6c-9719-3953-868b-0f5e124e044d</t>
  </si>
  <si>
    <t>Natural gas, liquefied, production US, at freight ship {GR}</t>
  </si>
  <si>
    <t>6b8bc5c7-1def-3824-9031-faef2bbe9bd0</t>
  </si>
  <si>
    <t>Natural gas, liquefied, production US, at freight ship {HR}</t>
  </si>
  <si>
    <t>25abc335-734b-3181-8546-6ca86f660658</t>
  </si>
  <si>
    <t>Natural gas, liquefied, production US, at freight ship {IN}</t>
  </si>
  <si>
    <t>31dacb1a-0b16-3a88-9092-47c87c60a55f</t>
  </si>
  <si>
    <t>Natural gas, liquefied, production US, at freight ship {IT}</t>
  </si>
  <si>
    <t>a35f1a4e-3c19-3aba-85c3-343b61e23860</t>
  </si>
  <si>
    <t>Natural gas, liquefied, production US, at freight ship {JP}</t>
  </si>
  <si>
    <t>08f7e320-edf8-3ed1-9f05-3721ddc26322</t>
  </si>
  <si>
    <t>Natural gas, liquefied, production US, at freight ship {KR}</t>
  </si>
  <si>
    <t>bba5cd18-61c1-37cf-8227-cf1da7175dc8</t>
  </si>
  <si>
    <t>Natural gas, liquefied, production US, at freight ship {KW}</t>
  </si>
  <si>
    <t>c7b5d4ea-a856-31f1-b291-391863c45790</t>
  </si>
  <si>
    <t>Natural gas, liquefied, production US, at freight ship {MX}</t>
  </si>
  <si>
    <t>c502fad2-ed2d-3118-aff5-97aaa54bbcfc</t>
  </si>
  <si>
    <t>Natural gas, liquefied, production US, at freight ship {NL}</t>
  </si>
  <si>
    <t>e6a9d5bc-d14e-3c02-b02e-6cbe19d213b5</t>
  </si>
  <si>
    <t>Natural gas, liquefied, production US, at freight ship {PK}</t>
  </si>
  <si>
    <t>54061354-038d-304f-88b6-5ac2811c3c20</t>
  </si>
  <si>
    <t>Natural gas, liquefied, production US, at freight ship {PL}</t>
  </si>
  <si>
    <t>45204386-5d85-3bd5-aee3-5f72b1bc4543</t>
  </si>
  <si>
    <t>Natural gas, liquefied, production US, at freight ship {RoE}</t>
  </si>
  <si>
    <t>9ef32dc7-5816-39a1-ab06-4cb5d52e916d</t>
  </si>
  <si>
    <t>Natural gas, liquefied, production US, at freight ship {RoW}</t>
  </si>
  <si>
    <t>abb341a5-570c-3a5c-bb78-10978a11c416</t>
  </si>
  <si>
    <t>Natural gas, liquefied, production US, at freight ship {TH}</t>
  </si>
  <si>
    <t>bc9aabe3-30d7-3926-837d-7eb528bcb139</t>
  </si>
  <si>
    <t>Natural gas, liquefied, production US, at freight ship {TR}</t>
  </si>
  <si>
    <t>8c9d19d6-20b0-36f6-b5f1-1893c7173b60</t>
  </si>
  <si>
    <t>Natural gas, liquefied, production US, at freight ship {TW}</t>
  </si>
  <si>
    <t>ba3225bd-cc2c-3651-80ec-c2e64b11ce4f</t>
  </si>
  <si>
    <t>Natural gas, low pressure, at consumer {AE}</t>
  </si>
  <si>
    <t>natural gas\fuels</t>
  </si>
  <si>
    <t>f9d0db95-c14e-3a60-9380-d25043570a5a</t>
  </si>
  <si>
    <t>Natural gas, low pressure, at consumer {AR}</t>
  </si>
  <si>
    <t>3e37094c-9dec-3682-97b7-e045778b398f</t>
  </si>
  <si>
    <t>Natural gas, low pressure, at consumer {AT}</t>
  </si>
  <si>
    <t>0d1a6e78-aafc-3439-87fd-41c7f3dbc777</t>
  </si>
  <si>
    <t>Natural gas, low pressure, at consumer {AU}</t>
  </si>
  <si>
    <t>26e0830b-9321-31ec-863c-ee3545f7f295</t>
  </si>
  <si>
    <t>Natural gas, low pressure, at consumer {AZ}</t>
  </si>
  <si>
    <t>2ef4b933-b0c2-374f-8ffc-91cdba29f3a7</t>
  </si>
  <si>
    <t>Natural gas, low pressure, at consumer {BE}</t>
  </si>
  <si>
    <t>4d4c3c73-4ccc-3e54-ad24-f4a5316e4875</t>
  </si>
  <si>
    <t>Natural gas, low pressure, at consumer {BG}</t>
  </si>
  <si>
    <t>01602ca4-1e22-3023-b05a-060e0669fc2a</t>
  </si>
  <si>
    <t>Natural gas, low pressure, at consumer {BO}</t>
  </si>
  <si>
    <t>a2186418-fd99-3836-8cd5-088035c3ca3c</t>
  </si>
  <si>
    <t>Natural gas, low pressure, at consumer {BR}</t>
  </si>
  <si>
    <t>305c717b-b312-3065-8ce1-2e904bc0aba9</t>
  </si>
  <si>
    <t>Natural gas, low pressure, at consumer {CA}</t>
  </si>
  <si>
    <t>d3b18a1d-39d6-3d42-96f4-519483bc6a4a</t>
  </si>
  <si>
    <t>Natural gas, low pressure, at consumer {CH}</t>
  </si>
  <si>
    <t>fa34a380-42a9-3e90-9a00-7b53a6adc62c</t>
  </si>
  <si>
    <t>Natural gas, low pressure, at consumer {CN}</t>
  </si>
  <si>
    <t>36ad15d4-8447-38f3-9e2a-181e0fedd21c</t>
  </si>
  <si>
    <t>Natural gas, low pressure, at consumer {CZ}</t>
  </si>
  <si>
    <t>1fc5cb2c-070f-34b5-b92a-d993a7c1eda5</t>
  </si>
  <si>
    <t>Natural gas, low pressure, at consumer {DE}</t>
  </si>
  <si>
    <t>ffdee3e1-b374-36e8-a05b-e51bc7f7ef92</t>
  </si>
  <si>
    <t>Natural gas, low pressure, at consumer {DK}</t>
  </si>
  <si>
    <t>c107632d-762c-3c8b-8461-0b16735f99de</t>
  </si>
  <si>
    <t>Natural gas, low pressure, at consumer {DZ}</t>
  </si>
  <si>
    <t>a30fee81-2b86-35e9-a676-5891c2db7072</t>
  </si>
  <si>
    <t>Natural gas, low pressure, at consumer {EG}</t>
  </si>
  <si>
    <t>8f22d09d-ece7-3cb3-8bd3-d0947e1e1df3</t>
  </si>
  <si>
    <t>Natural gas, low pressure, at consumer {ES}</t>
  </si>
  <si>
    <t>e626d3f8-a4b2-3146-a7f7-fba525e2c4c0</t>
  </si>
  <si>
    <t>Natural gas, low pressure, at consumer {Europe without Switzerland}</t>
  </si>
  <si>
    <t>d2c6ef9f-a3af-30f2-9c40-f16cc48cf33d</t>
  </si>
  <si>
    <t>Natural gas, low pressure, at consumer {FI}</t>
  </si>
  <si>
    <t>a3cf729d-324d-38cc-9527-25bcb2f35495</t>
  </si>
  <si>
    <t>Natural gas, low pressure, at consumer {FR}</t>
  </si>
  <si>
    <t>83ca60cf-3142-3a75-adff-a3de39169867</t>
  </si>
  <si>
    <t>Natural gas, low pressure, at consumer {GB}</t>
  </si>
  <si>
    <t>0352fc26-d8e5-31be-92f2-dadedb359093</t>
  </si>
  <si>
    <t>Natural gas, low pressure, at consumer {GLO}</t>
  </si>
  <si>
    <t>c73a84a7-5b7a-3b50-821f-09fe25cd368f</t>
  </si>
  <si>
    <t>Natural gas, low pressure, at consumer {GR}</t>
  </si>
  <si>
    <t>dcb468ef-2001-391e-89b8-6ae644766e33</t>
  </si>
  <si>
    <t>Natural gas, low pressure, at consumer {HR}</t>
  </si>
  <si>
    <t>55d8a9e4-68a2-30ca-bfd6-7bd03e15e559</t>
  </si>
  <si>
    <t>Natural gas, low pressure, at consumer {HU}</t>
  </si>
  <si>
    <t>d99cd963-1034-3f46-98d4-7e3980e2063d</t>
  </si>
  <si>
    <t>Natural gas, low pressure, at consumer {ID}</t>
  </si>
  <si>
    <t>c9104f23-af35-3b68-a685-d6ab2e1772ef</t>
  </si>
  <si>
    <t>Natural gas, low pressure, at consumer {IE}</t>
  </si>
  <si>
    <t>e010f2b1-2f19-3cd8-bcc2-8c7697ad5c99</t>
  </si>
  <si>
    <t>Natural gas, low pressure, at consumer {IN}</t>
  </si>
  <si>
    <t>ef856a8a-9f74-32c2-824b-1629f0dd0ab5</t>
  </si>
  <si>
    <t>Natural gas, low pressure, at consumer {IQ}</t>
  </si>
  <si>
    <t>ea862d4e-caa9-30b8-8347-b3826450cca3</t>
  </si>
  <si>
    <t>Natural gas, low pressure, at consumer {IR}</t>
  </si>
  <si>
    <t>92b6b112-d29a-3d14-96ad-e142bd7d9b58</t>
  </si>
  <si>
    <t>Natural gas, low pressure, at consumer {IT}</t>
  </si>
  <si>
    <t>15ea1039-7d18-306b-9dda-f68b11781e23</t>
  </si>
  <si>
    <t>Natural gas, low pressure, at consumer {JP}</t>
  </si>
  <si>
    <t>10a306b6-351c-3996-a1a9-53512a8bd38f</t>
  </si>
  <si>
    <t>Natural gas, low pressure, at consumer {KR}</t>
  </si>
  <si>
    <t>5984bf49-b819-32c8-9588-9c7665c7be85</t>
  </si>
  <si>
    <t>Natural gas, low pressure, at consumer {KW}</t>
  </si>
  <si>
    <t>e06d8020-ffc7-30dd-bd72-f5d91c8f37f8</t>
  </si>
  <si>
    <t>Natural gas, low pressure, at consumer {KZ}</t>
  </si>
  <si>
    <t>93898615-422f-3e3b-8645-fc817f9bfffb</t>
  </si>
  <si>
    <t>Natural gas, low pressure, at consumer {LY}</t>
  </si>
  <si>
    <t>72cc5759-14a7-36a1-9cb5-45887e36d797</t>
  </si>
  <si>
    <t>Natural gas, low pressure, at consumer {MX}</t>
  </si>
  <si>
    <t>848bed2a-f152-3922-ac06-01ac035e979a</t>
  </si>
  <si>
    <t>Natural gas, low pressure, at consumer {MY}</t>
  </si>
  <si>
    <t>8df712c4-bc34-368c-bd47-0b9f0589c09a</t>
  </si>
  <si>
    <t>Natural gas, low pressure, at consumer {NG}</t>
  </si>
  <si>
    <t>c41cd63f-d7e5-31cd-a162-b2a09a6b1edf</t>
  </si>
  <si>
    <t>Natural gas, low pressure, at consumer {NL}</t>
  </si>
  <si>
    <t>e54157d0-8476-3dfb-a799-71d66456d3f2</t>
  </si>
  <si>
    <t>Natural gas, low pressure, at consumer {NO}</t>
  </si>
  <si>
    <t>4b839487-4664-3a16-a389-56f3f79a3690</t>
  </si>
  <si>
    <t>Natural gas, low pressure, at consumer {OM}</t>
  </si>
  <si>
    <t>d246ca7f-8f6d-3070-a7a7-3ddf31428dbe</t>
  </si>
  <si>
    <t>Natural gas, low pressure, at consumer {PE}</t>
  </si>
  <si>
    <t>255e1cd7-0aa5-32b4-bc3e-f2243316e379</t>
  </si>
  <si>
    <t>Natural gas, low pressure, at consumer {PK}</t>
  </si>
  <si>
    <t>155eb5d9-d789-3568-b3d4-151706c0d0ef</t>
  </si>
  <si>
    <t>Natural gas, low pressure, at consumer {PL}</t>
  </si>
  <si>
    <t>7262b28b-283a-3b51-a7bd-57919198ed0b</t>
  </si>
  <si>
    <t>Natural gas, low pressure, at consumer {QA}</t>
  </si>
  <si>
    <t>5a866ae2-fa82-3a75-bd41-4050f46c3027</t>
  </si>
  <si>
    <t>Natural gas, low pressure, at consumer {RER}</t>
  </si>
  <si>
    <t>8bf76903-ba9e-3bb4-9e5d-2740663f920d</t>
  </si>
  <si>
    <t>Natural gas, low pressure, at consumer {RO}</t>
  </si>
  <si>
    <t>5e1f82a4-7b77-3596-92d0-5fb14114ea2e</t>
  </si>
  <si>
    <t>Natural gas, low pressure, at consumer {RoE}</t>
  </si>
  <si>
    <t>c2b13840-3459-3d0f-b86c-106fd04523ce</t>
  </si>
  <si>
    <t>Natural gas, low pressure, at consumer {RoW}</t>
  </si>
  <si>
    <t>e6fbbfda-2c4e-3463-aaff-ae6d23f54a86</t>
  </si>
  <si>
    <t>Natural gas, low pressure, at consumer {RS}</t>
  </si>
  <si>
    <t>4143f0b2-6061-3ec9-b162-543373db0d94</t>
  </si>
  <si>
    <t>Natural gas, low pressure, at consumer {RU}</t>
  </si>
  <si>
    <t>9a061bd9-2e27-30a2-8c10-d5051816bff1</t>
  </si>
  <si>
    <t>Natural gas, low pressure, at consumer {SA}</t>
  </si>
  <si>
    <t>1efcad8f-16cb-3703-bd32-5eeff87fed3b</t>
  </si>
  <si>
    <t>Natural gas, low pressure, at consumer {SE}</t>
  </si>
  <si>
    <t>b03a427d-55c2-31a4-95cc-4e93d9911676</t>
  </si>
  <si>
    <t>Natural gas, low pressure, at consumer {SK}</t>
  </si>
  <si>
    <t>1118667c-dc37-383d-9779-6356ee142217</t>
  </si>
  <si>
    <t>Natural gas, low pressure, at consumer {TH}</t>
  </si>
  <si>
    <t>114da17b-f206-3ede-bb65-8c94d1fe3cca</t>
  </si>
  <si>
    <t>Natural gas, low pressure, at consumer {TM}</t>
  </si>
  <si>
    <t>b7ade9b5-ef96-3957-b460-8af6d095eb1f</t>
  </si>
  <si>
    <t>Natural gas, low pressure, at consumer {TR}</t>
  </si>
  <si>
    <t>170db5f2-3390-39a1-b684-49b62da069ff</t>
  </si>
  <si>
    <t>Natural gas, low pressure, at consumer {TT}</t>
  </si>
  <si>
    <t>b731b3ab-0424-3865-88e2-8f213ab0802b</t>
  </si>
  <si>
    <t>Natural gas, low pressure, at consumer {TW}</t>
  </si>
  <si>
    <t>f97dd46f-d059-3a85-9db2-a66d189596af</t>
  </si>
  <si>
    <t>Natural gas, low pressure, at consumer {US}</t>
  </si>
  <si>
    <t>a1da105d-f55d-3dbc-9a0c-ff6142509e9f</t>
  </si>
  <si>
    <t>Natural gas, low pressure, at consumer {UZ}</t>
  </si>
  <si>
    <t>0191e921-97aa-3fbf-a98b-7842cd768fc0</t>
  </si>
  <si>
    <t>Natural gas, low pressure, at consumer {VE}</t>
  </si>
  <si>
    <t>5487d131-4daa-359b-9cbc-c2d4dfde8602</t>
  </si>
  <si>
    <t>Natural gas, production AE, at evaporation plant {CN}</t>
  </si>
  <si>
    <t>18897a78-de6b-3b25-9ebc-f3a7bb1aee12</t>
  </si>
  <si>
    <t>Natural gas, production AE, at evaporation plant {DE}</t>
  </si>
  <si>
    <t>f962ba1f-bf1b-3b33-a42b-a69d89021068</t>
  </si>
  <si>
    <t>Natural gas, production AE, at evaporation plant {GLO}</t>
  </si>
  <si>
    <t>e9d026bd-ab15-34d5-b261-79fa349635b7</t>
  </si>
  <si>
    <t>Natural gas, production AE, at evaporation plant {IN}</t>
  </si>
  <si>
    <t>277aa758-48fd-3217-b4f3-1a22c6b53c26</t>
  </si>
  <si>
    <t>Natural gas, production AE, at evaporation plant {JP}</t>
  </si>
  <si>
    <t>9a0fcae8-1fcd-3d1e-92be-1bc25ebf4bd5</t>
  </si>
  <si>
    <t>Natural gas, production AE, at evaporation plant {KR}</t>
  </si>
  <si>
    <t>c48c6898-09a1-3ebd-abdf-a1f9cc92feff</t>
  </si>
  <si>
    <t>Natural gas, production AE, at evaporation plant {KW}</t>
  </si>
  <si>
    <t>5e2526d8-7595-3f4d-a13c-f8d4ede640db</t>
  </si>
  <si>
    <t>Natural gas, production AE, at evaporation plant {RoW}</t>
  </si>
  <si>
    <t>de7ddb7e-83a2-3e19-bf42-4d69221aedbd</t>
  </si>
  <si>
    <t>Natural gas, production AE, at evaporation plant {TW}</t>
  </si>
  <si>
    <t>776205fa-ee8b-3795-881c-765ea760cc20</t>
  </si>
  <si>
    <t>Natural gas, production AE, at long-distance pipeline {AE}</t>
  </si>
  <si>
    <t>natural gas\transport</t>
  </si>
  <si>
    <t>d956365e-440c-36cb-adaf-fdaa62498dfb</t>
  </si>
  <si>
    <t>Natural gas, production AE, at long-distance pipeline {CN}</t>
  </si>
  <si>
    <t>0b1310bc-bb4e-3dcc-969b-10d77ed1abbb</t>
  </si>
  <si>
    <t>Natural gas, production AE, at long-distance pipeline {DE}</t>
  </si>
  <si>
    <t>8bcc3f34-0aa6-3126-9fab-58edea456f52</t>
  </si>
  <si>
    <t>Natural gas, production AE, at long-distance pipeline {GLO}</t>
  </si>
  <si>
    <t>2a4e5933-63ac-39c9-9b98-6db335cd07d9</t>
  </si>
  <si>
    <t>Natural gas, production AE, at long-distance pipeline {IN}</t>
  </si>
  <si>
    <t>58c46b89-fb68-3c03-9774-626bdaf64945</t>
  </si>
  <si>
    <t>Natural gas, production AE, at long-distance pipeline {JP}</t>
  </si>
  <si>
    <t>6de30b15-99fe-3def-a070-48ab08798e69</t>
  </si>
  <si>
    <t>Natural gas, production AE, at long-distance pipeline {KR}</t>
  </si>
  <si>
    <t>be357f3b-bb70-3d22-87ce-3d2c86091c2b</t>
  </si>
  <si>
    <t>Natural gas, production AE, at long-distance pipeline {KW}</t>
  </si>
  <si>
    <t>78fa7072-8659-3509-b7f3-cc4010ff134f</t>
  </si>
  <si>
    <t>Natural gas, production AE, at long-distance pipeline {RER}</t>
  </si>
  <si>
    <t>7453b4f0-91be-39ae-b8e8-dd6eb6939451</t>
  </si>
  <si>
    <t>Natural gas, production AE, at long-distance pipeline {RoW}</t>
  </si>
  <si>
    <t>0c34f06b-bd66-3e20-89f2-a25e0ff9f437</t>
  </si>
  <si>
    <t>Natural gas, production AE, at long-distance pipeline {TW}</t>
  </si>
  <si>
    <t>1657f87b-958e-3dbf-a49c-93000a28d15a</t>
  </si>
  <si>
    <t>Natural gas, production AO, at evaporation plant {BE}</t>
  </si>
  <si>
    <t>fd040e33-27c4-3ef4-aca7-acb07cd3f83e</t>
  </si>
  <si>
    <t>Natural gas, production AO, at evaporation plant {DE}</t>
  </si>
  <si>
    <t>0b13b251-dd63-3be4-b35c-c868e7b91980</t>
  </si>
  <si>
    <t>Natural gas, production AO, at evaporation plant {ES}</t>
  </si>
  <si>
    <t>12b2214a-5d72-3cce-84b4-8074cf1e213b</t>
  </si>
  <si>
    <t>Natural gas, production AO, at evaporation plant {FR}</t>
  </si>
  <si>
    <t>7902919b-52bb-364c-9505-d0dc330f561c</t>
  </si>
  <si>
    <t>Natural gas, production AO, at evaporation plant {GB}</t>
  </si>
  <si>
    <t>4a5f5c39-45ad-3bb1-b377-7918b942d606</t>
  </si>
  <si>
    <t>Natural gas, production AO, at evaporation plant {GLO}</t>
  </si>
  <si>
    <t>c2ddfcbc-df13-3ee0-a865-e13e8b62a915</t>
  </si>
  <si>
    <t>Natural gas, production AO, at evaporation plant {IN}</t>
  </si>
  <si>
    <t>bb0c2b1b-a221-37fb-abe2-f429bfdeaf86</t>
  </si>
  <si>
    <t>Natural gas, production AO, at evaporation plant {NL}</t>
  </si>
  <si>
    <t>696bbd96-0d57-3679-9a0f-da6db59f297b</t>
  </si>
  <si>
    <t>Natural gas, production AO, at evaporation plant {RoW}</t>
  </si>
  <si>
    <t>25a935d1-79e7-39d9-88b0-01403ebdd253</t>
  </si>
  <si>
    <t>Natural gas, production AO, at long-distance pipeline {BE}</t>
  </si>
  <si>
    <t>73cdfc2c-cd6f-315d-871a-b12abe1bcfea</t>
  </si>
  <si>
    <t>Natural gas, production AO, at long-distance pipeline {DE}</t>
  </si>
  <si>
    <t>5e3cc143-ebfb-312c-ae35-6fe6eda8fd3a</t>
  </si>
  <si>
    <t>Natural gas, production AO, at long-distance pipeline {ES}</t>
  </si>
  <si>
    <t>9adfa48b-ef2b-310f-901f-58c3ad97f320</t>
  </si>
  <si>
    <t>Natural gas, production AO, at long-distance pipeline {FR}</t>
  </si>
  <si>
    <t>e91f9abe-7abb-30f4-a0ac-0b09d64b9127</t>
  </si>
  <si>
    <t>Natural gas, production AO, at long-distance pipeline {GB}</t>
  </si>
  <si>
    <t>e5288514-6b67-3e1b-9363-dbae5c0023dc</t>
  </si>
  <si>
    <t>Natural gas, production AO, at long-distance pipeline {GLO}</t>
  </si>
  <si>
    <t>eeb7b2cc-2546-3e34-b9e9-87e050dbdced</t>
  </si>
  <si>
    <t>Natural gas, production AO, at long-distance pipeline {IN}</t>
  </si>
  <si>
    <t>d4ff3d1a-56d1-3e62-8055-4c88619174b5</t>
  </si>
  <si>
    <t>Natural gas, production AO, at long-distance pipeline {NL}</t>
  </si>
  <si>
    <t>68d521d9-7af3-3ce6-8e3f-fcab0b728ee5</t>
  </si>
  <si>
    <t>Natural gas, production AO, at long-distance pipeline {RoW}</t>
  </si>
  <si>
    <t>9d31b945-4c11-356e-b7eb-1bccf17fdceb</t>
  </si>
  <si>
    <t>Natural gas, production AR, at long-distance pipeline {AR}</t>
  </si>
  <si>
    <t>373bdd4a-d4ae-366d-b2e7-e501ff010b6a</t>
  </si>
  <si>
    <t>Natural gas, production AR, at long-distance pipeline {GLO}</t>
  </si>
  <si>
    <t>7986b87b-06b0-3917-8f9f-6b268093a882</t>
  </si>
  <si>
    <t>Natural gas, production AR, at long-distance pipeline {RoW}</t>
  </si>
  <si>
    <t>2bf3deea-b1ce-35cd-968d-4b4fcb01341e</t>
  </si>
  <si>
    <t>Natural gas, production AT, at long-distance pipeline {Europe without Switzerland}</t>
  </si>
  <si>
    <t>e0de9330-1912-3491-800d-9ccab3656d02</t>
  </si>
  <si>
    <t>Natural gas, production AT, at long-distance pipeline {RER}</t>
  </si>
  <si>
    <t>076b2361-2bc2-33c2-8fc8-a1afb7e0e9df</t>
  </si>
  <si>
    <t>Natural gas, production AT, at long-distance pipeline {RoE}</t>
  </si>
  <si>
    <t>021b1875-588b-3e74-8366-789da3f80c45</t>
  </si>
  <si>
    <t>Natural gas, production AU, at evaporation plant {CN}</t>
  </si>
  <si>
    <t>2d4448b2-430b-3ed8-a666-04cd5b096fb3</t>
  </si>
  <si>
    <t>Natural gas, production AU, at evaporation plant {ES}</t>
  </si>
  <si>
    <t>7d42ff46-611e-33e1-99ff-778fa5744c08</t>
  </si>
  <si>
    <t>Natural gas, production AU, at evaporation plant {GLO}</t>
  </si>
  <si>
    <t>6e39bcd9-f188-3488-a56e-2de910bcbeec</t>
  </si>
  <si>
    <t>Natural gas, production AU, at evaporation plant {IN}</t>
  </si>
  <si>
    <t>55734a9a-731b-35fa-b6da-35118f4f53f0</t>
  </si>
  <si>
    <t>Natural gas, production AU, at evaporation plant {JP}</t>
  </si>
  <si>
    <t>c73aebad-e31a-3ea6-af8b-6be9ad0eb9e6</t>
  </si>
  <si>
    <t>Natural gas, production AU, at evaporation plant {KR}</t>
  </si>
  <si>
    <t>12ba3bb9-90ee-32e0-bcfd-f0269103537e</t>
  </si>
  <si>
    <t>Natural gas, production AU, at evaporation plant {KW}</t>
  </si>
  <si>
    <t>a0586d91-5cf7-393a-a309-754050cacc42</t>
  </si>
  <si>
    <t>Natural gas, production AU, at evaporation plant {MY}</t>
  </si>
  <si>
    <t>1a24ea0e-ba51-3e73-b2b9-6bf7bca953ab</t>
  </si>
  <si>
    <t>Natural gas, production AU, at evaporation plant {RoW}</t>
  </si>
  <si>
    <t>76fab828-0d17-35fb-9e16-f664ed588fb4</t>
  </si>
  <si>
    <t>Natural gas, production AU, at evaporation plant {TH}</t>
  </si>
  <si>
    <t>358f6c1a-512f-31e3-bd2e-71adaf289dad</t>
  </si>
  <si>
    <t>Natural gas, production AU, at evaporation plant {TW}</t>
  </si>
  <si>
    <t>4583e1b4-06c2-3677-81a8-05a422ef24ff</t>
  </si>
  <si>
    <t>Natural gas, production AU, at long-distance pipeline {AU}</t>
  </si>
  <si>
    <t>b3900f74-731c-3703-b1fb-322ed0c9f8d6</t>
  </si>
  <si>
    <t>Natural gas, production AU, at long-distance pipeline {CN}</t>
  </si>
  <si>
    <t>b2ff7b42-9929-38af-b1b7-aaf5b5715cda</t>
  </si>
  <si>
    <t>Natural gas, production AU, at long-distance pipeline {ES}</t>
  </si>
  <si>
    <t>059b81e6-4932-3918-bf31-7369b4b1f734</t>
  </si>
  <si>
    <t>Natural gas, production AU, at long-distance pipeline {GLO}</t>
  </si>
  <si>
    <t>305934ad-f3bc-304f-b0f6-190c6b526fdb</t>
  </si>
  <si>
    <t>Natural gas, production AU, at long-distance pipeline {IN}</t>
  </si>
  <si>
    <t>a239d13b-a6e3-3c69-9264-cd64019596fb</t>
  </si>
  <si>
    <t>Natural gas, production AU, at long-distance pipeline {JP}</t>
  </si>
  <si>
    <t>3c8fe9df-6aef-37f7-b66f-069ebdfb9bd5</t>
  </si>
  <si>
    <t>Natural gas, production AU, at long-distance pipeline {KR}</t>
  </si>
  <si>
    <t>52ab30ff-ccb3-368d-9dc6-fd883fc63170</t>
  </si>
  <si>
    <t>Natural gas, production AU, at long-distance pipeline {KW}</t>
  </si>
  <si>
    <t>13ee0e1a-b39c-3111-a216-18e9a7820da0</t>
  </si>
  <si>
    <t>Natural gas, production AU, at long-distance pipeline {MY}</t>
  </si>
  <si>
    <t>71a4e453-498c-32fa-bdde-c13131a9a8f3</t>
  </si>
  <si>
    <t>Natural gas, production AU, at long-distance pipeline {RoW}</t>
  </si>
  <si>
    <t>95e2f933-897b-3b63-93e0-eb2189596109</t>
  </si>
  <si>
    <t>Natural gas, production AU, at long-distance pipeline {TH}</t>
  </si>
  <si>
    <t>f2ed2c9a-d45e-3d23-8cad-8efe06de70ea</t>
  </si>
  <si>
    <t>Natural gas, production AU, at long-distance pipeline {TW}</t>
  </si>
  <si>
    <t>b67fe52d-05a3-33fd-b528-ee82183f68ef</t>
  </si>
  <si>
    <t>Natural gas, production AZ, at long-distance pipeline {AZ}</t>
  </si>
  <si>
    <t>e9e1f353-1e69-3a25-8f09-6cab97d5730c</t>
  </si>
  <si>
    <t>Natural gas, production AZ, at long-distance pipeline {BG}</t>
  </si>
  <si>
    <t>8e61678e-8296-3ba9-9bd6-d257ff1a8487</t>
  </si>
  <si>
    <t>Natural gas, production AZ, at long-distance pipeline {GLO}</t>
  </si>
  <si>
    <t>3ba9833a-9a61-3a39-bafc-64c8039bb657</t>
  </si>
  <si>
    <t>Natural gas, production AZ, at long-distance pipeline {GR}</t>
  </si>
  <si>
    <t>cdec5c76-bcb1-3a44-b11f-8834de1593dd</t>
  </si>
  <si>
    <t>Natural gas, production AZ, at long-distance pipeline {IT}</t>
  </si>
  <si>
    <t>6b4a50f9-3361-3192-aa17-88f3ffb22d79</t>
  </si>
  <si>
    <t>Natural gas, production AZ, at long-distance pipeline {RoE}</t>
  </si>
  <si>
    <t>a61bd6bc-89fc-35f9-a3be-f6ca1c94e696</t>
  </si>
  <si>
    <t>Natural gas, production AZ, at long-distance pipeline {RoW}</t>
  </si>
  <si>
    <t>b3fca62e-6ba7-3b88-8df5-02af595dd805</t>
  </si>
  <si>
    <t>Natural gas, production AZ, at long-distance pipeline {RU}</t>
  </si>
  <si>
    <t>a0027774-b689-3c3c-a5d4-038726629377</t>
  </si>
  <si>
    <t>Natural gas, production AZ, at long-distance pipeline {TR}</t>
  </si>
  <si>
    <t>3efa021e-4285-30cf-ab92-2034d21ffdd5</t>
  </si>
  <si>
    <t>Natural gas, production BE, at long-distance pipeline {BE}</t>
  </si>
  <si>
    <t>b30a34dc-0db4-3dbd-865d-3aa861fb4028</t>
  </si>
  <si>
    <t>Natural gas, production BE, at long-distance pipeline {DE}</t>
  </si>
  <si>
    <t>e0ac4928-5caa-35d4-9336-0c09bdb90487</t>
  </si>
  <si>
    <t>Natural gas, production BE, at long-distance pipeline {Europe without Switzerland}</t>
  </si>
  <si>
    <t>06ee5f8d-5abe-3851-970a-78a727f2e11a</t>
  </si>
  <si>
    <t>Natural gas, production BE, at long-distance pipeline {FR}</t>
  </si>
  <si>
    <t>76dfc04c-da2c-3de7-973d-15c5efb61bee</t>
  </si>
  <si>
    <t>Natural gas, production BE, at long-distance pipeline {GB}</t>
  </si>
  <si>
    <t>57e7b492-c62a-3209-82f4-57bb60e5edb5</t>
  </si>
  <si>
    <t>Natural gas, production BE, at long-distance pipeline {NL}</t>
  </si>
  <si>
    <t>a4cc06fc-4f30-38cc-a947-dcf1f2aa199a</t>
  </si>
  <si>
    <t>Natural gas, production BE, at long-distance pipeline {RER}</t>
  </si>
  <si>
    <t>34d63da5-a898-3983-9e70-5c982e8183f2</t>
  </si>
  <si>
    <t>Natural gas, production BE, at long-distance pipeline {RoE}</t>
  </si>
  <si>
    <t>9d5d58d1-250e-3f63-a59c-dba748773950</t>
  </si>
  <si>
    <t>Natural gas, production BG, at long-distance pipeline {Europe without Switzerland}</t>
  </si>
  <si>
    <t>6148b233-7512-3364-9dbc-93dc64c19d56</t>
  </si>
  <si>
    <t>Natural gas, production BG, at long-distance pipeline {RER}</t>
  </si>
  <si>
    <t>55e58d31-b635-3fdd-9b39-46735719d178</t>
  </si>
  <si>
    <t>Natural gas, production BG, at long-distance pipeline {RO}</t>
  </si>
  <si>
    <t>fce00a2b-fb17-351c-9105-100ad9793e01</t>
  </si>
  <si>
    <t>Natural gas, production BO, at long-distance pipeline {AR}</t>
  </si>
  <si>
    <t>40794494-2510-3bb3-a8f1-f3ebc7a15759</t>
  </si>
  <si>
    <t>Natural gas, production BO, at long-distance pipeline {BO}</t>
  </si>
  <si>
    <t>333bc54a-074b-3263-b4d0-ce2d84a92325</t>
  </si>
  <si>
    <t>Natural gas, production BO, at long-distance pipeline {BR}</t>
  </si>
  <si>
    <t>c9ea1c51-5a46-3962-9416-19774d245f5b</t>
  </si>
  <si>
    <t>Natural gas, production BO, at long-distance pipeline {GLO}</t>
  </si>
  <si>
    <t>cc0e2ba3-e517-3aa1-bf46-9df76f5dd197</t>
  </si>
  <si>
    <t>Natural gas, production BO, at long-distance pipeline {RoW}</t>
  </si>
  <si>
    <t>a2c038a0-eab4-3a97-b358-59865122b4e6</t>
  </si>
  <si>
    <t>Natural gas, production BR, at long-distance pipeline {BR}</t>
  </si>
  <si>
    <t>a268b7ca-ce5f-3940-9307-159db972b7a4</t>
  </si>
  <si>
    <t>Natural gas, production BR, at long-distance pipeline {GLO}</t>
  </si>
  <si>
    <t>35917674-7c3d-3952-8ed2-02c14c91e2f8</t>
  </si>
  <si>
    <t>Natural gas, production BR, at long-distance pipeline {RoW}</t>
  </si>
  <si>
    <t>61564218-7048-3dfb-b060-89fc7fa2c109</t>
  </si>
  <si>
    <t>Natural gas, production CA, at long-distance pipeline {CA}</t>
  </si>
  <si>
    <t>2413af99-36db-385d-b151-edb805fe7890</t>
  </si>
  <si>
    <t>Natural gas, production CA, at long-distance pipeline {GLO}</t>
  </si>
  <si>
    <t>7c96246d-0849-321c-a11f-1eee337fe231</t>
  </si>
  <si>
    <t>Natural gas, production CA, at long-distance pipeline {RoW}</t>
  </si>
  <si>
    <t>27d7655b-3ef5-3825-b516-d3da9350a9d4</t>
  </si>
  <si>
    <t>Natural gas, production CA, at long-distance pipeline {US}</t>
  </si>
  <si>
    <t>57224989-4599-3ac4-82e5-c287fc4e5082</t>
  </si>
  <si>
    <t>Natural gas, production CH, at long-distance pipeline {FR}</t>
  </si>
  <si>
    <t>c7f552c4-7f70-3399-b7f7-bf4566e689df</t>
  </si>
  <si>
    <t>Natural gas, production CH, at long-distance pipeline {RER}</t>
  </si>
  <si>
    <t>0fe06d1e-4b28-3f21-91cf-158819119d11</t>
  </si>
  <si>
    <t>Natural gas, production CN, at long-distance pipeline {CN}</t>
  </si>
  <si>
    <t>32e02dc7-67e1-3ac0-914a-ee77a96ea5ca</t>
  </si>
  <si>
    <t>Natural gas, production CN, at long-distance pipeline {GLO}</t>
  </si>
  <si>
    <t>8a456c61-15c2-37b7-a8be-40663d0422b1</t>
  </si>
  <si>
    <t>Natural gas, production CN, at long-distance pipeline {RoW}</t>
  </si>
  <si>
    <t>6a33ea4c-cf93-3831-8517-ffed62a76ccf</t>
  </si>
  <si>
    <t>Natural gas, production CO, at long-distance pipeline {GLO}</t>
  </si>
  <si>
    <t>fc3227b3-b8aa-3d0c-a6bb-08b5be84ce4c</t>
  </si>
  <si>
    <t>Natural gas, production CO, at long-distance pipeline {RoW}</t>
  </si>
  <si>
    <t>548af86b-e6c1-35f1-9f2b-571c65b68a2d</t>
  </si>
  <si>
    <t>Natural gas, production CZ, at long-distance pipeline {Europe without Switzerland}</t>
  </si>
  <si>
    <t>6059b5ca-16e5-30cb-8d02-978492e81376</t>
  </si>
  <si>
    <t>Natural gas, production CZ, at long-distance pipeline {PL}</t>
  </si>
  <si>
    <t>3351a821-c060-3d91-808a-493dbc4f1776</t>
  </si>
  <si>
    <t>Natural gas, production CZ, at long-distance pipeline {RER}</t>
  </si>
  <si>
    <t>70a9d4e6-0d56-34d5-8de1-39004889fb61</t>
  </si>
  <si>
    <t>Natural gas, production DE, at long-distance pipeline {AT}</t>
  </si>
  <si>
    <t>30daa8b8-1322-3856-83c9-1c12a4807a86</t>
  </si>
  <si>
    <t>Natural gas, production DE, at long-distance pipeline {BE}</t>
  </si>
  <si>
    <t>22ffd912-74ac-3dee-8379-26653ba2d10c</t>
  </si>
  <si>
    <t>Natural gas, production DE, at long-distance pipeline {CH}</t>
  </si>
  <si>
    <t>7f66eb77-5d71-3d3a-8a61-0f125363ccd2</t>
  </si>
  <si>
    <t>Natural gas, production DE, at long-distance pipeline {DE}</t>
  </si>
  <si>
    <t>e00f34a3-e207-3e94-90e0-750024a3ca92</t>
  </si>
  <si>
    <t>Natural gas, production DE, at long-distance pipeline {DK}</t>
  </si>
  <si>
    <t>481152cd-d85e-3f05-bd1f-9c31fd5a9f9f</t>
  </si>
  <si>
    <t>Natural gas, production DE, at long-distance pipeline {Europe without Switzerland}</t>
  </si>
  <si>
    <t>5af95d60-3f00-3213-a7e6-da2a58041e6a</t>
  </si>
  <si>
    <t>Natural gas, production DE, at long-distance pipeline {FR}</t>
  </si>
  <si>
    <t>6d1ebe4d-a329-3ad8-b387-3d834a9e4647</t>
  </si>
  <si>
    <t>Natural gas, production DE, at long-distance pipeline {GLO}</t>
  </si>
  <si>
    <t>148b1d8b-f924-32a1-9f92-23301d5ba71e</t>
  </si>
  <si>
    <t>Natural gas, production DE, at long-distance pipeline {NL}</t>
  </si>
  <si>
    <t>2afdab60-668e-3767-b1d1-f0f5d16753a8</t>
  </si>
  <si>
    <t>Natural gas, production DE, at long-distance pipeline {PL}</t>
  </si>
  <si>
    <t>cf6a8893-f3d8-39e5-9040-1d9308320602</t>
  </si>
  <si>
    <t>Natural gas, production DE, at long-distance pipeline {RER}</t>
  </si>
  <si>
    <t>81699448-671e-3042-b8f8-af267a81c3af</t>
  </si>
  <si>
    <t>Natural gas, production DE, at long-distance pipeline {RoE}</t>
  </si>
  <si>
    <t>0430febd-7d67-39f1-8cac-973307eaaa3b</t>
  </si>
  <si>
    <t>Natural gas, production DK, at long-distance pipeline {BE}</t>
  </si>
  <si>
    <t>27a6489e-c852-3419-ac63-f85af7c1851a</t>
  </si>
  <si>
    <t>Natural gas, production DK, at long-distance pipeline {Europe without Switzerland}</t>
  </si>
  <si>
    <t>098d2f98-22c9-3c80-8cb7-5d388b6f1540</t>
  </si>
  <si>
    <t>Natural gas, production DK, at long-distance pipeline {NL}</t>
  </si>
  <si>
    <t>1d057e76-3e20-3cac-9632-716723bf5895</t>
  </si>
  <si>
    <t>Natural gas, production DK, at long-distance pipeline {PL}</t>
  </si>
  <si>
    <t>a3931718-157e-3066-bbeb-f13a79a094f9</t>
  </si>
  <si>
    <t>Natural gas, production DK, at long-distance pipeline {RER}</t>
  </si>
  <si>
    <t>e4afba71-8f08-3a0d-b381-8166459ff7d3</t>
  </si>
  <si>
    <t>Natural gas, production DK, at long-distance pipeline {RoE}</t>
  </si>
  <si>
    <t>4ea44374-9f34-3e5a-8931-d9dd64602f14</t>
  </si>
  <si>
    <t>Natural gas, production DK, at long-distance pipeline {SE}</t>
  </si>
  <si>
    <t>69813f75-5f11-3897-a838-146b41c49036</t>
  </si>
  <si>
    <t>Natural gas, production DZ, at evaporation plant {AR}</t>
  </si>
  <si>
    <t>9a0adc5a-7aa1-3754-8f19-31955cff7245</t>
  </si>
  <si>
    <t>Natural gas, production DZ, at evaporation plant {BE}</t>
  </si>
  <si>
    <t>2cda764d-e840-3cd7-8eef-c69395df9a1b</t>
  </si>
  <si>
    <t>Natural gas, production DZ, at evaporation plant {BR}</t>
  </si>
  <si>
    <t>2a733f4c-5e30-3218-87f7-bbf357250894</t>
  </si>
  <si>
    <t>Natural gas, production DZ, at evaporation plant {CN}</t>
  </si>
  <si>
    <t>ab970033-b90a-3771-80a3-b987352e7ea2</t>
  </si>
  <si>
    <t>Natural gas, production DZ, at evaporation plant {ES}</t>
  </si>
  <si>
    <t>6a60a3c2-219d-3fee-b871-5e5152b5d2c9</t>
  </si>
  <si>
    <t>Natural gas, production DZ, at evaporation plant {FI}</t>
  </si>
  <si>
    <t>c87e14b1-d682-3128-8b4d-d9f2b8581278</t>
  </si>
  <si>
    <t>Natural gas, production DZ, at evaporation plant {FR}</t>
  </si>
  <si>
    <t>a731221b-ce4b-3f0c-bdee-2e8bb06147a0</t>
  </si>
  <si>
    <t>Natural gas, production DZ, at evaporation plant {GB}</t>
  </si>
  <si>
    <t>b693313c-8a5c-319d-8d79-ebbcc9794ded</t>
  </si>
  <si>
    <t>Natural gas, production DZ, at evaporation plant {GLO}</t>
  </si>
  <si>
    <t>6091317e-42d5-3ea2-9d99-ceca434a6949</t>
  </si>
  <si>
    <t>Natural gas, production DZ, at evaporation plant {GR}</t>
  </si>
  <si>
    <t>6fc0838e-1ba1-3236-9e60-765d028afdfb</t>
  </si>
  <si>
    <t>Natural gas, production DZ, at evaporation plant {IN}</t>
  </si>
  <si>
    <t>9d4d67d5-0c66-3d01-a84e-b2c14244512f</t>
  </si>
  <si>
    <t>Natural gas, production DZ, at evaporation plant {IT}</t>
  </si>
  <si>
    <t>29bc47d5-012c-3e38-87e3-4a6ae7d5cb40</t>
  </si>
  <si>
    <t>Natural gas, production DZ, at evaporation plant {JP}</t>
  </si>
  <si>
    <t>f489e353-da35-37b6-936f-90ed121c64f2</t>
  </si>
  <si>
    <t>Natural gas, production DZ, at evaporation plant {KR}</t>
  </si>
  <si>
    <t>d4ad69c1-c523-364d-b08b-d30da7d04358</t>
  </si>
  <si>
    <t>Natural gas, production DZ, at evaporation plant {KW}</t>
  </si>
  <si>
    <t>1b646c30-2500-3240-b866-10065e2e49fe</t>
  </si>
  <si>
    <t>Natural gas, production DZ, at evaporation plant {NL}</t>
  </si>
  <si>
    <t>022a548c-e306-3ccc-b0e4-45efe87ceb4c</t>
  </si>
  <si>
    <t>Natural gas, production DZ, at evaporation plant {RER}</t>
  </si>
  <si>
    <t>3c5b7ff5-19ed-377b-a2a3-46617770e7c4</t>
  </si>
  <si>
    <t>Natural gas, production DZ, at evaporation plant {RoW}</t>
  </si>
  <si>
    <t>9031c6a2-efc2-3a68-a5f3-f116a31e51da</t>
  </si>
  <si>
    <t>Natural gas, production DZ, at evaporation plant {TH}</t>
  </si>
  <si>
    <t>1f1c319d-6f03-3985-92a7-9bc2a995aae9</t>
  </si>
  <si>
    <t>Natural gas, production DZ, at evaporation plant {TR}</t>
  </si>
  <si>
    <t>dc9cc9d4-d2e1-3947-8fec-eb90ebb44092</t>
  </si>
  <si>
    <t>Natural gas, production DZ, at long-distance pipeline {AR}</t>
  </si>
  <si>
    <t>13647d4c-1f92-320a-97de-0f137b1a2758</t>
  </si>
  <si>
    <t>Natural gas, production DZ, at long-distance pipeline {BE}</t>
  </si>
  <si>
    <t>adbf274a-e894-3aa5-a940-05b8b874f524</t>
  </si>
  <si>
    <t>Natural gas, production DZ, at long-distance pipeline {BR}</t>
  </si>
  <si>
    <t>4274b7ea-c4d5-3b76-9511-b2909740ea96</t>
  </si>
  <si>
    <t>Natural gas, production DZ, at long-distance pipeline {CN}</t>
  </si>
  <si>
    <t>e44587d7-b50c-3d27-a729-70ff7a28585f</t>
  </si>
  <si>
    <t>Natural gas, production DZ, at long-distance pipeline {DZ}</t>
  </si>
  <si>
    <t>8ea7ca5f-8d9c-3fb1-9daf-120b099aeca2</t>
  </si>
  <si>
    <t>Natural gas, production DZ, at long-distance pipeline {ES}</t>
  </si>
  <si>
    <t>5033e30e-ff10-31b3-b184-4fe245d4bb14</t>
  </si>
  <si>
    <t>Natural gas, production DZ, at long-distance pipeline {FI}</t>
  </si>
  <si>
    <t>7361a135-2621-3f8b-916d-edc7ad0573f7</t>
  </si>
  <si>
    <t>Natural gas, production DZ, at long-distance pipeline {FR}</t>
  </si>
  <si>
    <t>55af763c-4005-362b-b614-f0f235463424</t>
  </si>
  <si>
    <t>Natural gas, production DZ, at long-distance pipeline {GB}</t>
  </si>
  <si>
    <t>d3a23fde-3bdc-345a-b24b-1cae4b0961d7</t>
  </si>
  <si>
    <t>Natural gas, production DZ, at long-distance pipeline {GLO}</t>
  </si>
  <si>
    <t>c4f4f8b3-6c3c-3ff3-8124-8d7a14069e6f</t>
  </si>
  <si>
    <t>Natural gas, production DZ, at long-distance pipeline {GR}</t>
  </si>
  <si>
    <t>f3d577e8-c408-3926-945c-78ef763f5543</t>
  </si>
  <si>
    <t>Natural gas, production DZ, at long-distance pipeline {IN}</t>
  </si>
  <si>
    <t>ee7863f9-1334-3719-bb86-0f83ffe8d232</t>
  </si>
  <si>
    <t>Natural gas, production DZ, at long-distance pipeline {IT}</t>
  </si>
  <si>
    <t>5f91e22f-7ff5-3408-8b3c-a16d015d5ad8</t>
  </si>
  <si>
    <t>Natural gas, production DZ, at long-distance pipeline {JP}</t>
  </si>
  <si>
    <t>819a4e52-96cf-3459-8151-2e0a5c645edd</t>
  </si>
  <si>
    <t>Natural gas, production DZ, at long-distance pipeline {KR}</t>
  </si>
  <si>
    <t>7c670864-b6a9-35b9-91c2-8183bd1cdb6d</t>
  </si>
  <si>
    <t>Natural gas, production DZ, at long-distance pipeline {KW}</t>
  </si>
  <si>
    <t>62cd376d-0a36-3c2e-a580-32950224af71</t>
  </si>
  <si>
    <t>Natural gas, production DZ, at long-distance pipeline {NL}</t>
  </si>
  <si>
    <t>b0561f01-149e-3301-851b-c88f97584999</t>
  </si>
  <si>
    <t>Natural gas, production DZ, at long-distance pipeline {RER}</t>
  </si>
  <si>
    <t>f6dd9d94-174b-328c-a91d-7ceb39b37f26</t>
  </si>
  <si>
    <t>Natural gas, production DZ, at long-distance pipeline {RO}</t>
  </si>
  <si>
    <t>b9567c03-5f64-3bba-a6c0-a4d762024196</t>
  </si>
  <si>
    <t>Natural gas, production DZ, at long-distance pipeline {RoE}</t>
  </si>
  <si>
    <t>db606752-a564-343d-9745-acee6f96628a</t>
  </si>
  <si>
    <t>Natural gas, production DZ, at long-distance pipeline {RoW}</t>
  </si>
  <si>
    <t>9068b39a-ebcf-3396-8200-bd9bdac5cea9</t>
  </si>
  <si>
    <t>Natural gas, production DZ, at long-distance pipeline {TH}</t>
  </si>
  <si>
    <t>cd7825d0-af4b-3b74-bd33-1b94b091e930</t>
  </si>
  <si>
    <t>Natural gas, production DZ, at long-distance pipeline {TR}</t>
  </si>
  <si>
    <t>ebbd03bb-775b-31c8-b219-9dc13aeed898</t>
  </si>
  <si>
    <t>Natural gas, production EG, at evaporation plant {AR}</t>
  </si>
  <si>
    <t>0d86e640-0bf5-39a7-9092-9058e7ee6d31</t>
  </si>
  <si>
    <t>Natural gas, production EG, at evaporation plant {BE}</t>
  </si>
  <si>
    <t>0909de1d-647e-3efd-8d67-99cd61b07e3c</t>
  </si>
  <si>
    <t>Natural gas, production EG, at evaporation plant {CN}</t>
  </si>
  <si>
    <t>ee399984-b020-31e0-abec-1eae8bf9e66e</t>
  </si>
  <si>
    <t>Natural gas, production EG, at evaporation plant {DE}</t>
  </si>
  <si>
    <t>f606da26-837e-3d94-b8f4-7651062002f3</t>
  </si>
  <si>
    <t>Natural gas, production EG, at evaporation plant {ES}</t>
  </si>
  <si>
    <t>25735bb1-5f4d-31c4-ba84-aa2cb9c930aa</t>
  </si>
  <si>
    <t>Natural gas, production EG, at evaporation plant {FR}</t>
  </si>
  <si>
    <t>10868dae-3fdc-3794-b4c6-e22697bd1313</t>
  </si>
  <si>
    <t>Natural gas, production EG, at evaporation plant {GB}</t>
  </si>
  <si>
    <t>9a706461-525e-3055-acc6-25cbdfd57d74</t>
  </si>
  <si>
    <t>Natural gas, production EG, at evaporation plant {GLO}</t>
  </si>
  <si>
    <t>3ff9dee6-20a8-3c53-90f3-8a6ab5fed541</t>
  </si>
  <si>
    <t>Natural gas, production EG, at evaporation plant {GR}</t>
  </si>
  <si>
    <t>95b460bc-d8b4-314c-87f5-7192fd4829ba</t>
  </si>
  <si>
    <t>Natural gas, production EG, at evaporation plant {IN}</t>
  </si>
  <si>
    <t>d3f1a610-b984-3208-80b0-b23992bca761</t>
  </si>
  <si>
    <t>Natural gas, production EG, at evaporation plant {IT}</t>
  </si>
  <si>
    <t>7c0bf746-4b20-3a27-ab44-e5e59d562d18</t>
  </si>
  <si>
    <t>Natural gas, production EG, at evaporation plant {JP}</t>
  </si>
  <si>
    <t>7c2b0e2c-7d52-35d9-9abe-1a6790032332</t>
  </si>
  <si>
    <t>Natural gas, production EG, at evaporation plant {KR}</t>
  </si>
  <si>
    <t>b92a4032-66eb-318d-9d92-3de1f12f6577</t>
  </si>
  <si>
    <t>Natural gas, production EG, at evaporation plant {NL}</t>
  </si>
  <si>
    <t>eb6fcac1-88be-3b10-ad0a-0d0de506074e</t>
  </si>
  <si>
    <t>Natural gas, production EG, at evaporation plant {PK}</t>
  </si>
  <si>
    <t>71aca471-36a8-3733-8bab-4f0618fc3e23</t>
  </si>
  <si>
    <t>Natural gas, production EG, at evaporation plant {RoW}</t>
  </si>
  <si>
    <t>62c42208-fbaf-3b9c-b982-78ad5a9f479a</t>
  </si>
  <si>
    <t>Natural gas, production EG, at evaporation plant {TR}</t>
  </si>
  <si>
    <t>771d36cd-f31d-379c-b8d3-c2959a306c7e</t>
  </si>
  <si>
    <t>Natural gas, production EG, at evaporation plant {TW}</t>
  </si>
  <si>
    <t>8f7080b6-f6bd-3e59-9511-67a8d9691761</t>
  </si>
  <si>
    <t>Natural gas, production EG, at long-distance pipeline {AR}</t>
  </si>
  <si>
    <t>2328f810-7fac-3b57-abd2-40e2eb62418a</t>
  </si>
  <si>
    <t>Natural gas, production EG, at long-distance pipeline {BE}</t>
  </si>
  <si>
    <t>02dffb7c-dada-38f9-8a30-5392045ad386</t>
  </si>
  <si>
    <t>Natural gas, production EG, at long-distance pipeline {CN}</t>
  </si>
  <si>
    <t>d9432983-b9cd-3c56-a7ee-7686c160714b</t>
  </si>
  <si>
    <t>Natural gas, production EG, at long-distance pipeline {DE}</t>
  </si>
  <si>
    <t>712a5800-05c6-3a5c-abde-6bfad2662f76</t>
  </si>
  <si>
    <t>Natural gas, production EG, at long-distance pipeline {EG}</t>
  </si>
  <si>
    <t>8ae9924c-e49f-36e9-a812-8a7797b075b5</t>
  </si>
  <si>
    <t>Natural gas, production EG, at long-distance pipeline {ES}</t>
  </si>
  <si>
    <t>afda8797-fddc-3eaa-b309-54f4e441a5fb</t>
  </si>
  <si>
    <t>Natural gas, production EG, at long-distance pipeline {FR}</t>
  </si>
  <si>
    <t>fbda1796-6c79-3a87-b89c-f8186905ffe2</t>
  </si>
  <si>
    <t>Natural gas, production EG, at long-distance pipeline {GB}</t>
  </si>
  <si>
    <t>af6d9798-24ef-3f0f-aed2-0d7a67726077</t>
  </si>
  <si>
    <t>Natural gas, production EG, at long-distance pipeline {GLO}</t>
  </si>
  <si>
    <t>406c7975-34c4-3d34-b5f6-51d672afe2be</t>
  </si>
  <si>
    <t>Natural gas, production EG, at long-distance pipeline {GR}</t>
  </si>
  <si>
    <t>5db85324-f5d0-3c5c-be0f-deecbc0f0fb6</t>
  </si>
  <si>
    <t>Natural gas, production EG, at long-distance pipeline {IN}</t>
  </si>
  <si>
    <t>bbd1dd6b-2f08-30f1-857d-c3f750582ee1</t>
  </si>
  <si>
    <t>Natural gas, production EG, at long-distance pipeline {IT}</t>
  </si>
  <si>
    <t>d78334d2-4a32-3a05-ad02-575527940ecf</t>
  </si>
  <si>
    <t>Natural gas, production EG, at long-distance pipeline {JP}</t>
  </si>
  <si>
    <t>883161d5-e929-3a6b-b01a-af690b4389bc</t>
  </si>
  <si>
    <t>Natural gas, production EG, at long-distance pipeline {KR}</t>
  </si>
  <si>
    <t>919ebd88-a737-3634-8820-34520fede3b1</t>
  </si>
  <si>
    <t>Natural gas, production EG, at long-distance pipeline {NL}</t>
  </si>
  <si>
    <t>019f1f45-f711-3225-818e-973e6845a711</t>
  </si>
  <si>
    <t>Natural gas, production EG, at long-distance pipeline {PK}</t>
  </si>
  <si>
    <t>47a709dc-70ff-30ee-91fb-4bff29fd2fb5</t>
  </si>
  <si>
    <t>Natural gas, production EG, at long-distance pipeline {RoW}</t>
  </si>
  <si>
    <t>fdb042b5-0e0e-3f77-a400-8f9423355767</t>
  </si>
  <si>
    <t>Natural gas, production EG, at long-distance pipeline {TR}</t>
  </si>
  <si>
    <t>237d0ffe-e366-3ed5-91ad-d6ea1db2ccf7</t>
  </si>
  <si>
    <t>Natural gas, production EG, at long-distance pipeline {TW}</t>
  </si>
  <si>
    <t>8c1abceb-153f-3160-8f1c-99e7e1fd60fc</t>
  </si>
  <si>
    <t>Natural gas, production ES, at long-distance pipeline {ES}</t>
  </si>
  <si>
    <t>1121f07b-ac36-3826-a0fa-aec6b8cee8f0</t>
  </si>
  <si>
    <t>Natural gas, production ES, at long-distance pipeline {Europe without Switzerland}</t>
  </si>
  <si>
    <t>3cfdaf84-336a-3069-88f6-49687920be4e</t>
  </si>
  <si>
    <t>Natural gas, production ES, at long-distance pipeline {FR}</t>
  </si>
  <si>
    <t>1d1cca6d-57c1-3be5-977d-da0dea2bff05</t>
  </si>
  <si>
    <t>Natural gas, production ES, at long-distance pipeline {RER}</t>
  </si>
  <si>
    <t>cb6972b0-05db-331a-862d-00d45ddb3406</t>
  </si>
  <si>
    <t>Natural gas, production FI, at long-distance pipeline {Europe without Switzerland}</t>
  </si>
  <si>
    <t>48cfe266-dcfb-3df1-857e-32d546e974d8</t>
  </si>
  <si>
    <t>Natural gas, production FI, at long-distance pipeline {RER}</t>
  </si>
  <si>
    <t>3c656918-308a-3f6b-a528-5f00b5fcb848</t>
  </si>
  <si>
    <t>Natural gas, production FI, at long-distance pipeline {RoE}</t>
  </si>
  <si>
    <t>38b19b9b-08c9-355a-bd1a-571642b6b43d</t>
  </si>
  <si>
    <t>Natural gas, production FR, at long-distance pipeline {BE}</t>
  </si>
  <si>
    <t>7a1951c1-4739-3604-9640-ff13c79bf385</t>
  </si>
  <si>
    <t>Natural gas, production FR, at long-distance pipeline {CH}</t>
  </si>
  <si>
    <t>6799a525-76f1-3016-b5c6-e00e65a4523e</t>
  </si>
  <si>
    <t>Natural gas, production FR, at long-distance pipeline {DE}</t>
  </si>
  <si>
    <t>8cccf01a-c974-3480-8f2a-e5fdd1f8d481</t>
  </si>
  <si>
    <t>Natural gas, production FR, at long-distance pipeline {ES}</t>
  </si>
  <si>
    <t>89f44339-33dd-333f-8fb6-96fe29b64c23</t>
  </si>
  <si>
    <t>Natural gas, production FR, at long-distance pipeline {Europe without Switzerland}</t>
  </si>
  <si>
    <t>420e1c2b-d58a-387b-ab66-14b1b6123c76</t>
  </si>
  <si>
    <t>Natural gas, production FR, at long-distance pipeline {NL}</t>
  </si>
  <si>
    <t>94b2c13c-f04a-3864-904c-8516a20a81b5</t>
  </si>
  <si>
    <t>Natural gas, production FR, at long-distance pipeline {RER}</t>
  </si>
  <si>
    <t>f2bc2d73-3876-3eec-9c9e-79678752139d</t>
  </si>
  <si>
    <t>Natural gas, production FR, at long-distance pipeline {RoE}</t>
  </si>
  <si>
    <t>a5f46fe1-47ca-3588-b743-d5c870fd6462</t>
  </si>
  <si>
    <t>Natural gas, production GB, at long-distance pipeline {BE}</t>
  </si>
  <si>
    <t>7bd3be60-08cb-3e52-92e7-64edfbf692b4</t>
  </si>
  <si>
    <t>Natural gas, production GB, at long-distance pipeline {Europe without Switzerland}</t>
  </si>
  <si>
    <t>bb5a5e60-fae1-31e1-bc29-463486716b9a</t>
  </si>
  <si>
    <t>Natural gas, production GB, at long-distance pipeline {GB}</t>
  </si>
  <si>
    <t>b0007515-7ca8-39ea-b395-b37189b14c4e</t>
  </si>
  <si>
    <t>Natural gas, production GB, at long-distance pipeline {GLO}</t>
  </si>
  <si>
    <t>e0354c21-349a-3050-bec6-8d541e87203b</t>
  </si>
  <si>
    <t>Natural gas, production GB, at long-distance pipeline {IE}</t>
  </si>
  <si>
    <t>90959bad-e91b-36b2-ba79-05fd6bb188e8</t>
  </si>
  <si>
    <t>Natural gas, production GB, at long-distance pipeline {NL}</t>
  </si>
  <si>
    <t>fa8fde9e-b065-3ecc-a3b6-1709e931dfee</t>
  </si>
  <si>
    <t>Natural gas, production GB, at long-distance pipeline {RER}</t>
  </si>
  <si>
    <t>33eae044-b05e-3c1e-b59c-a3ae38118076</t>
  </si>
  <si>
    <t>Natural gas, production GB, at long-distance pipeline {RoE}</t>
  </si>
  <si>
    <t>a316dca3-d657-3065-9dcb-2a678925b405</t>
  </si>
  <si>
    <t>Natural gas, production GQ, at evaporation plant {BE}</t>
  </si>
  <si>
    <t>b5d50449-bac2-3a10-9b2c-1a7f7006aa5f</t>
  </si>
  <si>
    <t>Natural gas, production GQ, at evaporation plant {ES}</t>
  </si>
  <si>
    <t>e0e1c0ab-9da3-32a0-bf2d-592b3ddd80a2</t>
  </si>
  <si>
    <t>Natural gas, production GQ, at evaporation plant {GLO}</t>
  </si>
  <si>
    <t>eb8a1a8a-6e4e-3970-86e8-746deab8d41f</t>
  </si>
  <si>
    <t>Natural gas, production GQ, at evaporation plant {NL}</t>
  </si>
  <si>
    <t>6a020b7a-a52e-3608-a7d1-fc6699617c87</t>
  </si>
  <si>
    <t>Natural gas, production GQ, at evaporation plant {PL}</t>
  </si>
  <si>
    <t>8d5e2ecc-1405-39b3-bb67-ef440991ee5e</t>
  </si>
  <si>
    <t>Natural gas, production GQ, at evaporation plant {RoE}</t>
  </si>
  <si>
    <t>327ec734-63b0-3a4a-bd6e-e6731838416d</t>
  </si>
  <si>
    <t>Natural gas, production GQ, at evaporation plant {RoW}</t>
  </si>
  <si>
    <t>6c0b9296-2977-3073-bb2d-354326e7037e</t>
  </si>
  <si>
    <t>Natural gas, production GQ, at long-distance pipeline {BE}</t>
  </si>
  <si>
    <t>bc979cdd-9f55-38b1-b623-68730896dbc2</t>
  </si>
  <si>
    <t>Natural gas, production GQ, at long-distance pipeline {ES}</t>
  </si>
  <si>
    <t>ee32ca6c-1576-383c-b92b-f7f7ca019905</t>
  </si>
  <si>
    <t>Natural gas, production GQ, at long-distance pipeline {GLO}</t>
  </si>
  <si>
    <t>08af2d1b-3df6-3e64-9594-525e8ca63f65</t>
  </si>
  <si>
    <t>Natural gas, production GQ, at long-distance pipeline {NL}</t>
  </si>
  <si>
    <t>cfba590e-9a11-389b-8505-12b1dfdf3d3f</t>
  </si>
  <si>
    <t>Natural gas, production GQ, at long-distance pipeline {PL}</t>
  </si>
  <si>
    <t>7ddbb6cf-5391-3d39-9f4d-120e9dc7e2fb</t>
  </si>
  <si>
    <t>Natural gas, production GQ, at long-distance pipeline {RoE}</t>
  </si>
  <si>
    <t>3014aef2-f5cd-3c59-a841-786c197b7a8e</t>
  </si>
  <si>
    <t>Natural gas, production GQ, at long-distance pipeline {RoW}</t>
  </si>
  <si>
    <t>e8368547-3c6c-384b-bf0f-ad7460292e92</t>
  </si>
  <si>
    <t>Natural gas, production GR, at long-distance pipeline {BG}</t>
  </si>
  <si>
    <t>63480dd5-98c1-3f39-a08c-27d66ef65846</t>
  </si>
  <si>
    <t>Natural gas, production GR, at long-distance pipeline {Europe without Switzerland}</t>
  </si>
  <si>
    <t>09281863-0600-3303-aa8d-67c6b0f22534</t>
  </si>
  <si>
    <t>Natural gas, production GR, at long-distance pipeline {RER}</t>
  </si>
  <si>
    <t>ed368079-234e-366d-8dff-1ad66c5f7403</t>
  </si>
  <si>
    <t>Natural gas, production GR, at long-distance pipeline {RoE}</t>
  </si>
  <si>
    <t>f3029fcd-54ed-3cd5-a6ed-4d82170f8132</t>
  </si>
  <si>
    <t>Natural gas, production HR, at long-distance pipeline {Europe without Switzerland}</t>
  </si>
  <si>
    <t>c8c6f4bd-cae9-3514-aa64-0f692494a308</t>
  </si>
  <si>
    <t>Natural gas, production HR, at long-distance pipeline {HU}</t>
  </si>
  <si>
    <t>c1685ec3-16b8-3786-8d09-0211ab7997fd</t>
  </si>
  <si>
    <t>Natural gas, production HR, at long-distance pipeline {IT}</t>
  </si>
  <si>
    <t>1a17ed9e-a6d8-3d15-82f8-8b65196039cd</t>
  </si>
  <si>
    <t>Natural gas, production HR, at long-distance pipeline {RER}</t>
  </si>
  <si>
    <t>83659c49-626b-3196-91db-29f26b34eb11</t>
  </si>
  <si>
    <t>Natural gas, production HR, at long-distance pipeline {RoE}</t>
  </si>
  <si>
    <t>a030b136-15da-37eb-adc9-45e6388859d7</t>
  </si>
  <si>
    <t>Natural gas, production HU, at long-distance pipeline {Europe without Switzerland}</t>
  </si>
  <si>
    <t>aeb8819a-e79f-31e4-b78a-2ac35e8be969</t>
  </si>
  <si>
    <t>Natural gas, production HU, at long-distance pipeline {HR}</t>
  </si>
  <si>
    <t>19ce7ad4-4129-3488-9bbf-42f69d1a62ae</t>
  </si>
  <si>
    <t>Natural gas, production HU, at long-distance pipeline {RER}</t>
  </si>
  <si>
    <t>4cf365bb-0507-3e37-b12c-59ace8c584c7</t>
  </si>
  <si>
    <t>Natural gas, production HU, at long-distance pipeline {RO}</t>
  </si>
  <si>
    <t>3d8e0e14-b403-3e2a-be8e-6f244629758d</t>
  </si>
  <si>
    <t>Natural gas, production ID, at evaporation plant {CN}</t>
  </si>
  <si>
    <t>11620782-7bf1-3a05-865e-7d8e181cbda8</t>
  </si>
  <si>
    <t>Natural gas, production ID, at evaporation plant {EG}</t>
  </si>
  <si>
    <t>0ad2fc73-ea5f-3df9-a437-522224336555</t>
  </si>
  <si>
    <t>Natural gas, production ID, at evaporation plant {GLO}</t>
  </si>
  <si>
    <t>6b63c885-27fb-3b90-9c7c-0a426d01a063</t>
  </si>
  <si>
    <t>Natural gas, production ID, at evaporation plant {HR}</t>
  </si>
  <si>
    <t>c257ea8e-4e77-3274-a2f8-a887aff8963f</t>
  </si>
  <si>
    <t>Natural gas, production ID, at evaporation plant {JP}</t>
  </si>
  <si>
    <t>6630457c-0739-3e25-9ff4-7a155c2e4407</t>
  </si>
  <si>
    <t>Natural gas, production ID, at evaporation plant {KR}</t>
  </si>
  <si>
    <t>c06d0ad8-8d4f-38e5-913f-3ae40fc00cd7</t>
  </si>
  <si>
    <t>Natural gas, production ID, at evaporation plant {MX}</t>
  </si>
  <si>
    <t>b6606d75-b352-3433-877e-228a64f4ac5b</t>
  </si>
  <si>
    <t>Natural gas, production ID, at evaporation plant {PK}</t>
  </si>
  <si>
    <t>42db1cbc-05c1-3e6c-94ea-1a8553d370c5</t>
  </si>
  <si>
    <t>Natural gas, production ID, at evaporation plant {RoW}</t>
  </si>
  <si>
    <t>ebc5efba-2028-3584-8610-3d47d6ecc7ef</t>
  </si>
  <si>
    <t>Natural gas, production ID, at evaporation plant {TH}</t>
  </si>
  <si>
    <t>8581b88c-8e4d-3364-8769-2181157ff353</t>
  </si>
  <si>
    <t>Natural gas, production ID, at evaporation plant {TW}</t>
  </si>
  <si>
    <t>2cd91c4e-61f4-3ded-a47d-3caa996e603a</t>
  </si>
  <si>
    <t>Natural gas, production ID, at long-distance pipeline {CN}</t>
  </si>
  <si>
    <t>f8aa86f8-2ebb-3b37-98c1-ac5459dadc50</t>
  </si>
  <si>
    <t>Natural gas, production ID, at long-distance pipeline {EG}</t>
  </si>
  <si>
    <t>bd70fc47-c0cd-3ac1-b130-3626addcdb7a</t>
  </si>
  <si>
    <t>Natural gas, production ID, at long-distance pipeline {GLO}</t>
  </si>
  <si>
    <t>90d55698-bb2c-3122-b5d7-912eec228894</t>
  </si>
  <si>
    <t>Natural gas, production ID, at long-distance pipeline {HR}</t>
  </si>
  <si>
    <t>920ee654-cbcf-38a6-9ff9-633e51199710</t>
  </si>
  <si>
    <t>Natural gas, production ID, at long-distance pipeline {ID}</t>
  </si>
  <si>
    <t>a702f488-147b-34dd-b4bc-218b729eb8f6</t>
  </si>
  <si>
    <t>Natural gas, production ID, at long-distance pipeline {JP}</t>
  </si>
  <si>
    <t>5c884b22-27b9-337f-935e-4c8275a55998</t>
  </si>
  <si>
    <t>Natural gas, production ID, at long-distance pipeline {KR}</t>
  </si>
  <si>
    <t>7e7b73dc-af65-38da-bcb3-75330d2fdc2b</t>
  </si>
  <si>
    <t>Natural gas, production ID, at long-distance pipeline {MX}</t>
  </si>
  <si>
    <t>f23406f0-681b-3e6e-9be4-fc3dbc6f3818</t>
  </si>
  <si>
    <t>Natural gas, production ID, at long-distance pipeline {MY}</t>
  </si>
  <si>
    <t>4f83765e-f9a1-3cee-8a26-96868a4cbc4c</t>
  </si>
  <si>
    <t>Natural gas, production ID, at long-distance pipeline {PK}</t>
  </si>
  <si>
    <t>758709f8-84f3-3df4-8ace-dfc49464eac7</t>
  </si>
  <si>
    <t>Natural gas, production ID, at long-distance pipeline {RoW}</t>
  </si>
  <si>
    <t>59cde690-0585-37fa-a883-a20670f02c23</t>
  </si>
  <si>
    <t>Natural gas, production ID, at long-distance pipeline {TH}</t>
  </si>
  <si>
    <t>c0a0fa5c-41df-3b2c-914c-85f739802af3</t>
  </si>
  <si>
    <t>Natural gas, production ID, at long-distance pipeline {TW}</t>
  </si>
  <si>
    <t>353406a0-e092-3881-8428-8a969b73c845</t>
  </si>
  <si>
    <t>Natural gas, production IN, at long-distance pipeline {GLO}</t>
  </si>
  <si>
    <t>daa89724-bbdd-3069-8985-0c0b04151df7</t>
  </si>
  <si>
    <t>Natural gas, production IN, at long-distance pipeline {IN}</t>
  </si>
  <si>
    <t>9a18b02d-1702-3a08-950e-e2c6a8e03129</t>
  </si>
  <si>
    <t>Natural gas, production IN, at long-distance pipeline {RoW}</t>
  </si>
  <si>
    <t>048cd20c-e9eb-3c0d-8756-6d56f5343603</t>
  </si>
  <si>
    <t>Natural gas, production IQ, at long-distance pipeline {GLO}</t>
  </si>
  <si>
    <t>4c68ee9a-c302-34cf-9b88-8ac8d43fe7af</t>
  </si>
  <si>
    <t>Natural gas, production IQ, at long-distance pipeline {IQ}</t>
  </si>
  <si>
    <t>00cc4eda-d4ca-34f2-a315-85be3e4636ec</t>
  </si>
  <si>
    <t>Natural gas, production IQ, at long-distance pipeline {RoW}</t>
  </si>
  <si>
    <t>13cc3a88-8ffa-3941-8ca9-f53b31663638</t>
  </si>
  <si>
    <t>Natural gas, production IR, at long-distance pipeline {GLO}</t>
  </si>
  <si>
    <t>1d777944-ad5d-3856-b857-a110a9a481bb</t>
  </si>
  <si>
    <t>Natural gas, production IR, at long-distance pipeline {IQ}</t>
  </si>
  <si>
    <t>6ab4706a-0135-3be6-a6f5-3c5649961835</t>
  </si>
  <si>
    <t>Natural gas, production IR, at long-distance pipeline {IR}</t>
  </si>
  <si>
    <t>a2e9bc20-16c7-30ba-a457-8b8f41dda109</t>
  </si>
  <si>
    <t>Natural gas, production IR, at long-distance pipeline {RoW}</t>
  </si>
  <si>
    <t>49088469-0752-39cd-97c7-e5e88b665dd0</t>
  </si>
  <si>
    <t>Natural gas, production IR, at long-distance pipeline {TR}</t>
  </si>
  <si>
    <t>3a962fa8-a69a-3be6-8032-d3858089514d</t>
  </si>
  <si>
    <t>Natural gas, production IT, at long-distance pipeline {AT}</t>
  </si>
  <si>
    <t>fb1a9270-9986-3fe5-85f1-922b61f5ec7c</t>
  </si>
  <si>
    <t>Natural gas, production IT, at long-distance pipeline {CH}</t>
  </si>
  <si>
    <t>fbd79596-a78c-31c6-b29a-13d0a481cd39</t>
  </si>
  <si>
    <t>Natural gas, production IT, at long-distance pipeline {Europe without Switzerland}</t>
  </si>
  <si>
    <t>bead118b-5b51-3222-99a5-31bd14b1b908</t>
  </si>
  <si>
    <t>Natural gas, production IT, at long-distance pipeline {GLO}</t>
  </si>
  <si>
    <t>106504a9-8a35-34b5-9479-c81f76259396</t>
  </si>
  <si>
    <t>Natural gas, production IT, at long-distance pipeline {IT}</t>
  </si>
  <si>
    <t>1b3d1a84-cbfd-37a5-985b-5e6ffbc9022d</t>
  </si>
  <si>
    <t>Natural gas, production IT, at long-distance pipeline {RER}</t>
  </si>
  <si>
    <t>e6ab0ca3-f71b-3c1c-8288-75682bdf1d04</t>
  </si>
  <si>
    <t>Natural gas, production IT, at long-distance pipeline {RoE}</t>
  </si>
  <si>
    <t>c40f74dd-8c44-32a9-a352-96cfee087831</t>
  </si>
  <si>
    <t>Natural gas, production KW, at long-distance pipeline {GLO}</t>
  </si>
  <si>
    <t>f0c3a0ed-36a5-3148-bf92-e623aa63ffef</t>
  </si>
  <si>
    <t>Natural gas, production KW, at long-distance pipeline {KW}</t>
  </si>
  <si>
    <t>75a5ce4d-997e-350f-8530-a2dc6e5847a9</t>
  </si>
  <si>
    <t>Natural gas, production KW, at long-distance pipeline {RoW}</t>
  </si>
  <si>
    <t>f5619780-5376-372b-ac85-1a02cbad2ceb</t>
  </si>
  <si>
    <t>Natural gas, production KZ, at long-distance pipeline {CN}</t>
  </si>
  <si>
    <t>c0aeb79f-1535-352b-96a5-3b80557fe590</t>
  </si>
  <si>
    <t>Natural gas, production KZ, at long-distance pipeline {GLO}</t>
  </si>
  <si>
    <t>0b751811-e5a0-32de-8dbf-06ac5de6a9b2</t>
  </si>
  <si>
    <t>Natural gas, production KZ, at long-distance pipeline {KZ}</t>
  </si>
  <si>
    <t>bd4cbae7-8b14-3aa0-b84b-7f02a39af9a5</t>
  </si>
  <si>
    <t>Natural gas, production KZ, at long-distance pipeline {RoW}</t>
  </si>
  <si>
    <t>c0aba450-f94a-3245-a1fc-6cf388ccc66c</t>
  </si>
  <si>
    <t>Natural gas, production KZ, at long-distance pipeline {RU}</t>
  </si>
  <si>
    <t>404ad39e-a615-35f9-98ae-48eac744b472</t>
  </si>
  <si>
    <t>Natural gas, production LY, at long-distance pipeline {GLO}</t>
  </si>
  <si>
    <t>819a26c5-a823-3497-a9d1-e585017afa39</t>
  </si>
  <si>
    <t>Natural gas, production LY, at long-distance pipeline {IT}</t>
  </si>
  <si>
    <t>f465aa8a-8790-3be2-8556-5ed9cfbcfb91</t>
  </si>
  <si>
    <t>Natural gas, production LY, at long-distance pipeline {LY}</t>
  </si>
  <si>
    <t>ef9d9c74-6f30-3e51-b085-b7b51c0ac96b</t>
  </si>
  <si>
    <t>Natural gas, production LY, at long-distance pipeline {RER}</t>
  </si>
  <si>
    <t>d2b40d76-29bc-3db2-ba50-c3c6f97fbeac</t>
  </si>
  <si>
    <t>Natural gas, production LY, at long-distance pipeline {RoW}</t>
  </si>
  <si>
    <t>c8dfea12-3f47-3e2c-a83c-33f38cd3ccdb</t>
  </si>
  <si>
    <t>Natural gas, production mix, at service station {CH}</t>
  </si>
  <si>
    <t>fd262d3e-c3a6-3f1d-9425-fc8f30253cf2</t>
  </si>
  <si>
    <t>Natural gas, production MX, at long-distance pipeline {GLO}</t>
  </si>
  <si>
    <t>17ecc933-fec2-3f79-be73-84ba8299521d</t>
  </si>
  <si>
    <t>Natural gas, production MX, at long-distance pipeline {MX}</t>
  </si>
  <si>
    <t>7133637a-bdef-3204-84b3-15912fa5870e</t>
  </si>
  <si>
    <t>Natural gas, production MX, at long-distance pipeline {RoW}</t>
  </si>
  <si>
    <t>ef4c1d3e-81d9-3ff0-91aa-e00527b26203</t>
  </si>
  <si>
    <t>Natural gas, production MX, at long-distance pipeline {US}</t>
  </si>
  <si>
    <t>5c5ccca5-13e2-3f06-a78d-94fb8548a941</t>
  </si>
  <si>
    <t>Natural gas, production MY, at evaporation plant {CN}</t>
  </si>
  <si>
    <t>0cf69bda-38d1-398e-9e5f-4c36d2f1863b</t>
  </si>
  <si>
    <t>Natural gas, production MY, at evaporation plant {GLO}</t>
  </si>
  <si>
    <t>0cfdf1c5-bde4-3eb6-ae75-ca58b8fe239d</t>
  </si>
  <si>
    <t>Natural gas, production MY, at evaporation plant {JP}</t>
  </si>
  <si>
    <t>801a7e74-73dd-3831-ac44-52ad1cd7c197</t>
  </si>
  <si>
    <t>Natural gas, production MY, at evaporation plant {KR}</t>
  </si>
  <si>
    <t>084ac719-5274-373b-a1ee-abe6fa633675</t>
  </si>
  <si>
    <t>Natural gas, production MY, at evaporation plant {KW}</t>
  </si>
  <si>
    <t>b8d04f56-defd-35af-a9e5-b3f88586f7ff</t>
  </si>
  <si>
    <t>Natural gas, production MY, at evaporation plant {RoW}</t>
  </si>
  <si>
    <t>2548fa2d-4c3a-3e55-b139-6e3084d25695</t>
  </si>
  <si>
    <t>Natural gas, production MY, at evaporation plant {TH}</t>
  </si>
  <si>
    <t>589b741e-6d64-33fe-8eba-3175b6579afc</t>
  </si>
  <si>
    <t>Natural gas, production MY, at evaporation plant {TW}</t>
  </si>
  <si>
    <t>e56db2a1-e909-381e-80ba-6a08ef8a2866</t>
  </si>
  <si>
    <t>Natural gas, production MY, at long-distance pipeline {CN}</t>
  </si>
  <si>
    <t>fb645515-088c-3b66-99f9-42ceb21a711f</t>
  </si>
  <si>
    <t>Natural gas, production MY, at long-distance pipeline {GLO}</t>
  </si>
  <si>
    <t>71c27792-18b1-3a29-91fb-5756022468d3</t>
  </si>
  <si>
    <t>Natural gas, production MY, at long-distance pipeline {JP}</t>
  </si>
  <si>
    <t>1aff15e6-32f6-3790-af54-4910ed3f2b99</t>
  </si>
  <si>
    <t>Natural gas, production MY, at long-distance pipeline {KR}</t>
  </si>
  <si>
    <t>5b247494-f18b-38af-b3c4-e8f65732de60</t>
  </si>
  <si>
    <t>Natural gas, production MY, at long-distance pipeline {KW}</t>
  </si>
  <si>
    <t>07fc0cb6-5f85-3b7c-9459-65e9518e4f3f</t>
  </si>
  <si>
    <t>Natural gas, production MY, at long-distance pipeline {MY}</t>
  </si>
  <si>
    <t>a56beb63-286a-3124-a1a6-8d626b565361</t>
  </si>
  <si>
    <t>Natural gas, production MY, at long-distance pipeline {RoW}</t>
  </si>
  <si>
    <t>74c3b1ed-c71d-3642-ad03-65278d1f8a51</t>
  </si>
  <si>
    <t>Natural gas, production MY, at long-distance pipeline {TH}</t>
  </si>
  <si>
    <t>c5aa3e73-3e43-37ea-9711-6c4b68395ff8</t>
  </si>
  <si>
    <t>Natural gas, production MY, at long-distance pipeline {TW}</t>
  </si>
  <si>
    <t>31483bf1-6173-38a0-9df9-ec6bfef41bbc</t>
  </si>
  <si>
    <t>Natural gas, production NG, at evaporation plant {AR}</t>
  </si>
  <si>
    <t>ecb65751-6949-3322-9ea0-9f3fb6c8b830</t>
  </si>
  <si>
    <t>Natural gas, production NG, at evaporation plant {CN}</t>
  </si>
  <si>
    <t>3e2d415f-3ef9-34e3-b20d-dd6ab979642d</t>
  </si>
  <si>
    <t>Natural gas, production NG, at evaporation plant {ES}</t>
  </si>
  <si>
    <t>f6bc3144-8191-347e-9469-42ac6022fc1d</t>
  </si>
  <si>
    <t>Natural gas, production NG, at evaporation plant {FR}</t>
  </si>
  <si>
    <t>b11c0116-f6b9-3460-9c16-12009d84dae2</t>
  </si>
  <si>
    <t>Natural gas, production NG, at evaporation plant {GB}</t>
  </si>
  <si>
    <t>b0ca0578-701f-3c70-a86d-fa676f71d517</t>
  </si>
  <si>
    <t>Natural gas, production NG, at evaporation plant {GLO}</t>
  </si>
  <si>
    <t>4e94bfe3-ca4b-3c0c-88ab-66d15d302d54</t>
  </si>
  <si>
    <t>Natural gas, production NG, at evaporation plant {GR}</t>
  </si>
  <si>
    <t>718177d5-4880-32d7-a73e-2e7ca7fa5fca</t>
  </si>
  <si>
    <t>Natural gas, production NG, at evaporation plant {HR}</t>
  </si>
  <si>
    <t>93613daa-f1b4-3bb7-b606-dca872b169ad</t>
  </si>
  <si>
    <t>Natural gas, production NG, at evaporation plant {IN}</t>
  </si>
  <si>
    <t>94b8ddb5-b189-3077-978f-d4221fef1298</t>
  </si>
  <si>
    <t>Natural gas, production NG, at evaporation plant {IT}</t>
  </si>
  <si>
    <t>e5d3c9d1-f1f8-3256-a364-fc502888636e</t>
  </si>
  <si>
    <t>Natural gas, production NG, at evaporation plant {JP}</t>
  </si>
  <si>
    <t>6044dea3-b5b2-396a-a03b-72ead231fd2e</t>
  </si>
  <si>
    <t>Natural gas, production NG, at evaporation plant {KR}</t>
  </si>
  <si>
    <t>b5f2c0bf-750c-381c-b451-e523f9f80523</t>
  </si>
  <si>
    <t>Natural gas, production NG, at evaporation plant {KW}</t>
  </si>
  <si>
    <t>94da87c1-01f2-320a-928a-a979465279da</t>
  </si>
  <si>
    <t>Natural gas, production NG, at evaporation plant {NL}</t>
  </si>
  <si>
    <t>442d8284-a403-3ac3-8fa2-5599a956688d</t>
  </si>
  <si>
    <t>Natural gas, production NG, at evaporation plant {PK}</t>
  </si>
  <si>
    <t>01b2db02-0eb9-3f21-b541-a4a9aa0e5a45</t>
  </si>
  <si>
    <t>Natural gas, production NG, at evaporation plant {RER}</t>
  </si>
  <si>
    <t>eb2f4b61-088b-3e90-be3c-4e5fdfd405ef</t>
  </si>
  <si>
    <t>Natural gas, production NG, at evaporation plant {RoE}</t>
  </si>
  <si>
    <t>13b7aeea-c0cd-3346-9372-0af8311cc049</t>
  </si>
  <si>
    <t>Natural gas, production NG, at evaporation plant {RoW}</t>
  </si>
  <si>
    <t>80ebbb82-abe1-399f-9ca7-9e45ddcbc225</t>
  </si>
  <si>
    <t>Natural gas, production NG, at evaporation plant {TH}</t>
  </si>
  <si>
    <t>d1e6bdab-5a90-3c77-af3a-d96f98b269ad</t>
  </si>
  <si>
    <t>Natural gas, production NG, at evaporation plant {TR}</t>
  </si>
  <si>
    <t>0274ab43-3eb7-3fd4-9c47-2829e69753ef</t>
  </si>
  <si>
    <t>Natural gas, production NG, at evaporation plant {TW}</t>
  </si>
  <si>
    <t>adbed6c4-0bad-338c-8bf4-669fd7f7b5fc</t>
  </si>
  <si>
    <t>Natural gas, production NG, at long-distance pipeline {AR}</t>
  </si>
  <si>
    <t>fd3870b8-424b-3490-8deb-0ecddc6a475f</t>
  </si>
  <si>
    <t>Natural gas, production NG, at long-distance pipeline {CN}</t>
  </si>
  <si>
    <t>a1cd5881-8690-398b-8e89-43de57bfad8b</t>
  </si>
  <si>
    <t>Natural gas, production NG, at long-distance pipeline {ES}</t>
  </si>
  <si>
    <t>d943365c-aa07-3909-8fd6-4e7ba56b601e</t>
  </si>
  <si>
    <t>Natural gas, production NG, at long-distance pipeline {FR}</t>
  </si>
  <si>
    <t>dc95f503-3557-3c6c-9ecf-2e04daf420dd</t>
  </si>
  <si>
    <t>Natural gas, production NG, at long-distance pipeline {GB}</t>
  </si>
  <si>
    <t>d15aad57-b484-3f05-ab89-1b1697025d48</t>
  </si>
  <si>
    <t>Natural gas, production NG, at long-distance pipeline {GLO}</t>
  </si>
  <si>
    <t>ffb9ab45-61aa-3c86-b4f1-d354c1789856</t>
  </si>
  <si>
    <t>Natural gas, production NG, at long-distance pipeline {GR}</t>
  </si>
  <si>
    <t>46983814-e249-3f0c-a3ea-9e07b51ce90d</t>
  </si>
  <si>
    <t>Natural gas, production NG, at long-distance pipeline {HR}</t>
  </si>
  <si>
    <t>70f222f3-012c-3ebe-9131-e1c475aa6980</t>
  </si>
  <si>
    <t>Natural gas, production NG, at long-distance pipeline {IN}</t>
  </si>
  <si>
    <t>b7997e95-2876-3fd3-841a-95353839edf9</t>
  </si>
  <si>
    <t>Natural gas, production NG, at long-distance pipeline {IT}</t>
  </si>
  <si>
    <t>f8a4b9aa-1152-312d-bc45-d08abf24470d</t>
  </si>
  <si>
    <t>Natural gas, production NG, at long-distance pipeline {JP}</t>
  </si>
  <si>
    <t>74831eab-51cf-30e1-89df-3e82b6450dda</t>
  </si>
  <si>
    <t>Natural gas, production NG, at long-distance pipeline {KR}</t>
  </si>
  <si>
    <t>2074344b-24b2-31db-9144-ec973c523771</t>
  </si>
  <si>
    <t>Natural gas, production NG, at long-distance pipeline {KW}</t>
  </si>
  <si>
    <t>01ebc47f-e931-3a30-a9a6-77304a1b51e8</t>
  </si>
  <si>
    <t>Natural gas, production NG, at long-distance pipeline {NG}</t>
  </si>
  <si>
    <t>405ae38e-f36b-373b-af83-59aecefebce8</t>
  </si>
  <si>
    <t>Natural gas, production NG, at long-distance pipeline {NL}</t>
  </si>
  <si>
    <t>7fc2a178-97ea-339d-8a91-7f9ded53e890</t>
  </si>
  <si>
    <t>Natural gas, production NG, at long-distance pipeline {PK}</t>
  </si>
  <si>
    <t>f229f8ee-761e-3555-921c-81d7345e9381</t>
  </si>
  <si>
    <t>Natural gas, production NG, at long-distance pipeline {RER}</t>
  </si>
  <si>
    <t>210471ea-4959-3009-9ce1-e8a07044fec6</t>
  </si>
  <si>
    <t>Natural gas, production NG, at long-distance pipeline {RoE}</t>
  </si>
  <si>
    <t>0e9b9d3c-410c-339f-bc13-09e0d42b6fe1</t>
  </si>
  <si>
    <t>Natural gas, production NG, at long-distance pipeline {RoW}</t>
  </si>
  <si>
    <t>f81330c1-d2a4-3217-a74f-aa9f5d6b6f01</t>
  </si>
  <si>
    <t>Natural gas, production NG, at long-distance pipeline {TH}</t>
  </si>
  <si>
    <t>23bb089e-b7e7-36f9-bc1d-0b855b5a4171</t>
  </si>
  <si>
    <t>Natural gas, production NG, at long-distance pipeline {TR}</t>
  </si>
  <si>
    <t>e2dcd85e-948c-3676-b87e-0f1a4d375dc4</t>
  </si>
  <si>
    <t>Natural gas, production NG, at long-distance pipeline {TW}</t>
  </si>
  <si>
    <t>ca020bd2-d6fc-300c-b20c-59e044a679de</t>
  </si>
  <si>
    <t>Natural gas, production NL, at long-distance pipeline {BE}</t>
  </si>
  <si>
    <t>c47b7042-9e4b-3129-a8b9-7c6a9ebaccda</t>
  </si>
  <si>
    <t>Natural gas, production NL, at long-distance pipeline {CH}</t>
  </si>
  <si>
    <t>ca3ebd6a-5313-33f1-9dd6-71d0acf789b9</t>
  </si>
  <si>
    <t>Natural gas, production NL, at long-distance pipeline {DE}</t>
  </si>
  <si>
    <t>eb4eb864-9bff-362a-9915-abc6d2b81c54</t>
  </si>
  <si>
    <t>Natural gas, production NL, at long-distance pipeline {Europe without Switzerland}</t>
  </si>
  <si>
    <t>709cb997-d667-3644-9a4b-bfa9020e4770</t>
  </si>
  <si>
    <t>Natural gas, production NL, at long-distance pipeline {FR}</t>
  </si>
  <si>
    <t>d12dd8bb-5e9d-37ed-b379-e9858f2b642f</t>
  </si>
  <si>
    <t>Natural gas, production NL, at long-distance pipeline {GB}</t>
  </si>
  <si>
    <t>d554918d-e482-3b09-9917-a522f8cca6b5</t>
  </si>
  <si>
    <t>Natural gas, production NL, at long-distance pipeline {GLO}</t>
  </si>
  <si>
    <t>5acacb28-71b5-3fa7-bd7c-b6ccd7ea2aaa</t>
  </si>
  <si>
    <t>Natural gas, production NL, at long-distance pipeline {IT}</t>
  </si>
  <si>
    <t>9520837e-a21d-3839-a204-dfa98581e5ac</t>
  </si>
  <si>
    <t>Natural gas, production NL, at long-distance pipeline {NL}</t>
  </si>
  <si>
    <t>d651ee13-ae70-3fa5-b459-9dda4da87393</t>
  </si>
  <si>
    <t>Natural gas, production NL, at long-distance pipeline {RER}</t>
  </si>
  <si>
    <t>a3503ec0-b969-3c55-a6d8-d92f82528fda</t>
  </si>
  <si>
    <t>Natural gas, production NL, at long-distance pipeline {RoE}</t>
  </si>
  <si>
    <t>d52987ac-6453-3ef3-808f-fb2a99e42391</t>
  </si>
  <si>
    <t>Natural gas, production NO, at evaporation plant {BE}</t>
  </si>
  <si>
    <t>5d0f52ac-a2cf-33b1-a05a-b9c605c30197</t>
  </si>
  <si>
    <t>Natural gas, production NO, at evaporation plant {DE}</t>
  </si>
  <si>
    <t>0eea3813-6cf0-3d3d-a50f-d6d2ef801374</t>
  </si>
  <si>
    <t>Natural gas, production NO, at evaporation plant {ES}</t>
  </si>
  <si>
    <t>1d8d1349-dbaf-31e4-8d7d-3f4ef67f0da9</t>
  </si>
  <si>
    <t>Natural gas, production NO, at evaporation plant {FI}</t>
  </si>
  <si>
    <t>2a8247d8-ed68-3175-ad9c-1161b3113585</t>
  </si>
  <si>
    <t>Natural gas, production NO, at evaporation plant {FR}</t>
  </si>
  <si>
    <t>c4541ce7-659c-3f72-8bb0-8adb8557021c</t>
  </si>
  <si>
    <t>Natural gas, production NO, at evaporation plant {GB}</t>
  </si>
  <si>
    <t>90ce9505-ceb4-38a9-be2e-dd1d1ce7bcf4</t>
  </si>
  <si>
    <t>Natural gas, production NO, at evaporation plant {GLO}</t>
  </si>
  <si>
    <t>bc3c659e-2e5d-3178-8a8d-e9f61985a39a</t>
  </si>
  <si>
    <t>Natural gas, production NO, at evaporation plant {GR}</t>
  </si>
  <si>
    <t>f4a3dc0b-3ecb-3e81-b11b-4392da53783c</t>
  </si>
  <si>
    <t>Natural gas, production NO, at evaporation plant {IT}</t>
  </si>
  <si>
    <t>9472e839-d5a8-37dd-a840-574bab0aeb95</t>
  </si>
  <si>
    <t>Natural gas, production NO, at evaporation plant {NL}</t>
  </si>
  <si>
    <t>38a53460-ce76-38be-af6d-29eaae38576a</t>
  </si>
  <si>
    <t>Natural gas, production NO, at evaporation plant {PL}</t>
  </si>
  <si>
    <t>e57d4b61-c50f-3f32-9a96-25ef232b786e</t>
  </si>
  <si>
    <t>Natural gas, production NO, at evaporation plant {RER}</t>
  </si>
  <si>
    <t>05df963f-9c29-39b3-859f-aeecfecdc3c7</t>
  </si>
  <si>
    <t>Natural gas, production NO, at evaporation plant {RoE}</t>
  </si>
  <si>
    <t>4a1f9eaf-ebf9-3269-b378-47630398ba53</t>
  </si>
  <si>
    <t>Natural gas, production NO, at evaporation plant {SE}</t>
  </si>
  <si>
    <t>105bd756-5ee4-3189-a721-2facbd9a911c</t>
  </si>
  <si>
    <t>Natural gas, production NO, at evaporation plant {TR}</t>
  </si>
  <si>
    <t>3bdd97d8-9d42-308e-a907-8122400a92a5</t>
  </si>
  <si>
    <t>Natural gas, production NO, at long-distance pipeline {BE}</t>
  </si>
  <si>
    <t>8010ce5c-b007-34dc-be60-7f3ef53a4aaf</t>
  </si>
  <si>
    <t>Natural gas, production NO, at long-distance pipeline {CZ}</t>
  </si>
  <si>
    <t>75114d09-0b9c-311e-bb3a-0959f0064d95</t>
  </si>
  <si>
    <t>Natural gas, production NO, at long-distance pipeline {DE}</t>
  </si>
  <si>
    <t>6469b654-2659-3229-b7fe-bafaae463a83</t>
  </si>
  <si>
    <t>Natural gas, production NO, at long-distance pipeline {DK}</t>
  </si>
  <si>
    <t>a761637d-d682-36d7-8a0d-5eff9a8c4f1d</t>
  </si>
  <si>
    <t>Natural gas, production NO, at long-distance pipeline {ES}</t>
  </si>
  <si>
    <t>473bce08-0176-3e57-a742-87705f05c23e</t>
  </si>
  <si>
    <t>Natural gas, production NO, at long-distance pipeline {Europe without Switzerland}</t>
  </si>
  <si>
    <t>bc192eea-6200-30f3-ba3a-41bb12ac7dfd</t>
  </si>
  <si>
    <t>Natural gas, production NO, at long-distance pipeline {FI}</t>
  </si>
  <si>
    <t>723c4379-2848-34e1-8ad0-d33c6ba85639</t>
  </si>
  <si>
    <t>Natural gas, production NO, at long-distance pipeline {FR}</t>
  </si>
  <si>
    <t>7640ae34-bc4a-3942-994e-50cde5261fcf</t>
  </si>
  <si>
    <t>Natural gas, production NO, at long-distance pipeline {GB}</t>
  </si>
  <si>
    <t>011d323d-dacf-3322-88fb-a22120dd1169</t>
  </si>
  <si>
    <t>Natural gas, production NO, at long-distance pipeline {GLO}</t>
  </si>
  <si>
    <t>f139eebc-8b11-3ad5-a23c-b3e66559516e</t>
  </si>
  <si>
    <t>Natural gas, production NO, at long-distance pipeline {GR}</t>
  </si>
  <si>
    <t>b7639688-1dcc-3529-88e4-664a854556ec</t>
  </si>
  <si>
    <t>Natural gas, production NO, at long-distance pipeline {IT}</t>
  </si>
  <si>
    <t>af5765da-9c68-32b6-9a47-7b351addcb75</t>
  </si>
  <si>
    <t>Natural gas, production NO, at long-distance pipeline {NL}</t>
  </si>
  <si>
    <t>a5ae5a06-4b47-3e03-be33-b1fd22f87361</t>
  </si>
  <si>
    <t>Natural gas, production NO, at long-distance pipeline {NO}</t>
  </si>
  <si>
    <t>9d73fe07-f49a-34e7-959f-8004c1601597</t>
  </si>
  <si>
    <t>Natural gas, production NO, at long-distance pipeline {PL}</t>
  </si>
  <si>
    <t>a91f0b2b-2bb6-3bf2-89fd-5ad7034ff221</t>
  </si>
  <si>
    <t>Natural gas, production NO, at long-distance pipeline {RER}</t>
  </si>
  <si>
    <t>d28b4127-669b-3e6e-91a4-8771f46d4a3d</t>
  </si>
  <si>
    <t>Natural gas, production NO, at long-distance pipeline {RoE}</t>
  </si>
  <si>
    <t>8b9fe01e-0a9d-3713-9e69-4bcd801125a4</t>
  </si>
  <si>
    <t>Natural gas, production NO, at long-distance pipeline {SE}</t>
  </si>
  <si>
    <t>2dba079c-431f-376c-bfab-ce7ef52b3af5</t>
  </si>
  <si>
    <t>Natural gas, production NO, at long-distance pipeline {TR}</t>
  </si>
  <si>
    <t>ce66c636-1ac9-3373-aa8a-4ecee62d4bfb</t>
  </si>
  <si>
    <t>Natural gas, production OM, at evaporation plant {CN}</t>
  </si>
  <si>
    <t>86f1fdcd-0890-3106-88a4-d08117a5613b</t>
  </si>
  <si>
    <t>Natural gas, production OM, at evaporation plant {ES}</t>
  </si>
  <si>
    <t>928a920d-588a-34ce-a478-d17127230553</t>
  </si>
  <si>
    <t>Natural gas, production OM, at evaporation plant {FR}</t>
  </si>
  <si>
    <t>208a9373-54c2-36ae-87f0-1122cf96848b</t>
  </si>
  <si>
    <t>Natural gas, production OM, at evaporation plant {GLO}</t>
  </si>
  <si>
    <t>53c781de-9c30-38d6-a275-bc48a41693cd</t>
  </si>
  <si>
    <t>Natural gas, production OM, at evaporation plant {HR}</t>
  </si>
  <si>
    <t>42a8424f-6a20-3fb3-b2ad-c1f18843a1e5</t>
  </si>
  <si>
    <t>Natural gas, production OM, at evaporation plant {IN}</t>
  </si>
  <si>
    <t>3c69f3c3-a0e4-3598-b6fb-3de0936e0917</t>
  </si>
  <si>
    <t>Natural gas, production OM, at evaporation plant {JP}</t>
  </si>
  <si>
    <t>876330f1-7125-3a49-a88b-cf07c11ff2ac</t>
  </si>
  <si>
    <t>Natural gas, production OM, at evaporation plant {KR}</t>
  </si>
  <si>
    <t>961a28ff-d323-3194-9e86-2f84ae7f094b</t>
  </si>
  <si>
    <t>Natural gas, production OM, at evaporation plant {KW}</t>
  </si>
  <si>
    <t>86170628-9ca6-3ecf-a7e2-a84d61b05394</t>
  </si>
  <si>
    <t>Natural gas, production OM, at evaporation plant {PK}</t>
  </si>
  <si>
    <t>65d8de1a-bb80-3137-92e5-043f32ef83c3</t>
  </si>
  <si>
    <t>Natural gas, production OM, at evaporation plant {RoW}</t>
  </si>
  <si>
    <t>8f1edc61-1985-3cf6-8567-c43721555c0d</t>
  </si>
  <si>
    <t>Natural gas, production OM, at evaporation plant {TH}</t>
  </si>
  <si>
    <t>f85e1cc9-cca7-3559-924a-f322c8d74fb5</t>
  </si>
  <si>
    <t>Natural gas, production OM, at evaporation plant {TR}</t>
  </si>
  <si>
    <t>f0fc09e5-f3c4-3192-a958-567b29bccbdb</t>
  </si>
  <si>
    <t>Natural gas, production OM, at evaporation plant {TW}</t>
  </si>
  <si>
    <t>8985c3df-5d8f-3f7b-a8b4-2503d74037e5</t>
  </si>
  <si>
    <t>Natural gas, production OM, at long-distance pipeline {CN}</t>
  </si>
  <si>
    <t>12977168-010b-393d-8cf0-187cb0e0c043</t>
  </si>
  <si>
    <t>Natural gas, production OM, at long-distance pipeline {ES}</t>
  </si>
  <si>
    <t>d543d296-4487-3db5-a2c0-de83273e89a9</t>
  </si>
  <si>
    <t>Natural gas, production OM, at long-distance pipeline {FR}</t>
  </si>
  <si>
    <t>3fdaca1c-da5c-3486-8c39-eff182064ce7</t>
  </si>
  <si>
    <t>Natural gas, production OM, at long-distance pipeline {GLO}</t>
  </si>
  <si>
    <t>e9740bf8-f084-36fb-b376-e395247783eb</t>
  </si>
  <si>
    <t>Natural gas, production OM, at long-distance pipeline {HR}</t>
  </si>
  <si>
    <t>b6d0b7a4-e277-3cd7-8d9c-431bd3306aa6</t>
  </si>
  <si>
    <t>Natural gas, production OM, at long-distance pipeline {IN}</t>
  </si>
  <si>
    <t>4f7f3735-ea18-3551-b931-09999878400c</t>
  </si>
  <si>
    <t>Natural gas, production OM, at long-distance pipeline {JP}</t>
  </si>
  <si>
    <t>a48d7d43-cee9-3771-b437-5f27ba74e7f3</t>
  </si>
  <si>
    <t>Natural gas, production OM, at long-distance pipeline {KR}</t>
  </si>
  <si>
    <t>912fd9a2-cbdc-379d-ab44-9c89055978e9</t>
  </si>
  <si>
    <t>Natural gas, production OM, at long-distance pipeline {KW}</t>
  </si>
  <si>
    <t>413c7f04-48a3-38bd-949d-bb4dac0acabd</t>
  </si>
  <si>
    <t>Natural gas, production OM, at long-distance pipeline {OM}</t>
  </si>
  <si>
    <t>3972964e-560e-39c3-a5de-1dfca9a45bde</t>
  </si>
  <si>
    <t>Natural gas, production OM, at long-distance pipeline {PK}</t>
  </si>
  <si>
    <t>f102da51-0897-37eb-ab97-d1e20c4b2942</t>
  </si>
  <si>
    <t>Natural gas, production OM, at long-distance pipeline {RoW}</t>
  </si>
  <si>
    <t>cc0819af-4789-3a9a-861c-d2d003b1da3d</t>
  </si>
  <si>
    <t>Natural gas, production OM, at long-distance pipeline {TH}</t>
  </si>
  <si>
    <t>bfdc60e1-359f-3601-8279-7b2531bb80c8</t>
  </si>
  <si>
    <t>Natural gas, production OM, at long-distance pipeline {TR}</t>
  </si>
  <si>
    <t>ae3a3689-dd87-319f-8bd9-e97fa843edec</t>
  </si>
  <si>
    <t>Natural gas, production OM, at long-distance pipeline {TW}</t>
  </si>
  <si>
    <t>dd4510a7-95ee-36bd-8c8b-442e4a86220c</t>
  </si>
  <si>
    <t>Natural gas, production PE, at evaporation plant {CA}</t>
  </si>
  <si>
    <t>beed9f6a-910d-3498-96df-c4263485b496</t>
  </si>
  <si>
    <t>Natural gas, production PE, at evaporation plant {CN}</t>
  </si>
  <si>
    <t>5906fd36-def0-3ea4-b5be-3af52e399844</t>
  </si>
  <si>
    <t>Natural gas, production PE, at evaporation plant {ES}</t>
  </si>
  <si>
    <t>bad55fbc-0eb4-3052-94e0-178ffc91de90</t>
  </si>
  <si>
    <t>Natural gas, production PE, at evaporation plant {FR}</t>
  </si>
  <si>
    <t>cbb9af8b-6c81-3a5a-b7a4-385b9f43922c</t>
  </si>
  <si>
    <t>Natural gas, production PE, at evaporation plant {GB}</t>
  </si>
  <si>
    <t>7eed8d64-7ed0-3dca-82ba-97d2cbdef52c</t>
  </si>
  <si>
    <t>Natural gas, production PE, at evaporation plant {GLO}</t>
  </si>
  <si>
    <t>9983bde7-4b97-3bac-a295-85d0c94db5f8</t>
  </si>
  <si>
    <t>Natural gas, production PE, at evaporation plant {JP}</t>
  </si>
  <si>
    <t>b6d473c9-d7d5-3a76-888c-46ab83e08c88</t>
  </si>
  <si>
    <t>Natural gas, production PE, at evaporation plant {KR}</t>
  </si>
  <si>
    <t>9942d48c-dbfb-31f0-b116-5031ab56721a</t>
  </si>
  <si>
    <t>Natural gas, production PE, at evaporation plant {MX}</t>
  </si>
  <si>
    <t>c521b4bd-6c8f-3f3d-8855-ec89fe9cabe6</t>
  </si>
  <si>
    <t>Natural gas, production PE, at evaporation plant {NL}</t>
  </si>
  <si>
    <t>06ffe1fe-b7bb-39a4-82eb-4c57f5d6d771</t>
  </si>
  <si>
    <t>Natural gas, production PE, at evaporation plant {RoW}</t>
  </si>
  <si>
    <t>45cfe60f-91b9-36b1-886f-bb0bb79b3e3c</t>
  </si>
  <si>
    <t>Natural gas, production PE, at evaporation plant {TW}</t>
  </si>
  <si>
    <t>d6adfdcd-a6fc-342a-8238-4983825c1810</t>
  </si>
  <si>
    <t>Natural gas, production PE, at long-distance pipeline {CA}</t>
  </si>
  <si>
    <t>8a06aac7-66f5-3a07-8e6e-c646afa39b84</t>
  </si>
  <si>
    <t>Natural gas, production PE, at long-distance pipeline {CN}</t>
  </si>
  <si>
    <t>01001cd7-4647-3ce1-ada3-db32a4bb65f8</t>
  </si>
  <si>
    <t>Natural gas, production PE, at long-distance pipeline {ES}</t>
  </si>
  <si>
    <t>182460d8-1098-3855-ab40-598f3183d607</t>
  </si>
  <si>
    <t>Natural gas, production PE, at long-distance pipeline {FR}</t>
  </si>
  <si>
    <t>dd25f713-f604-31f9-afb3-fefee6371286</t>
  </si>
  <si>
    <t>Natural gas, production PE, at long-distance pipeline {GB}</t>
  </si>
  <si>
    <t>227dbb42-9156-330f-8b01-679ac7f5c621</t>
  </si>
  <si>
    <t>Natural gas, production PE, at long-distance pipeline {GLO}</t>
  </si>
  <si>
    <t>db2cbf74-b1a1-3047-b3e1-7349147e712e</t>
  </si>
  <si>
    <t>Natural gas, production PE, at long-distance pipeline {JP}</t>
  </si>
  <si>
    <t>a5c6b538-2359-385b-85d7-68c3ec1acf30</t>
  </si>
  <si>
    <t>Natural gas, production PE, at long-distance pipeline {KR}</t>
  </si>
  <si>
    <t>3c294fa3-1b23-3d6b-8f1e-2312bb3735cf</t>
  </si>
  <si>
    <t>Natural gas, production PE, at long-distance pipeline {MX}</t>
  </si>
  <si>
    <t>caa09796-b479-37c2-b038-49497608b5c4</t>
  </si>
  <si>
    <t>Natural gas, production PE, at long-distance pipeline {NL}</t>
  </si>
  <si>
    <t>4e843e11-2999-3794-91fe-1db736a29089</t>
  </si>
  <si>
    <t>Natural gas, production PE, at long-distance pipeline {PE}</t>
  </si>
  <si>
    <t>83532c65-60d9-325f-8e5c-79b51c89dc4c</t>
  </si>
  <si>
    <t>Natural gas, production PE, at long-distance pipeline {RoW}</t>
  </si>
  <si>
    <t>e760032a-70cc-3a8f-81d2-5d7de306732c</t>
  </si>
  <si>
    <t>Natural gas, production PE, at long-distance pipeline {TW}</t>
  </si>
  <si>
    <t>8bfea57f-29dc-35af-a7c8-1fb7aebe48e2</t>
  </si>
  <si>
    <t>Natural gas, production PL, at long-distance pipeline {Europe without Switzerland}</t>
  </si>
  <si>
    <t>192a8d04-44e0-3d44-a06e-97c73d0d1297</t>
  </si>
  <si>
    <t>Natural gas, production PL, at long-distance pipeline {GLO}</t>
  </si>
  <si>
    <t>4683cc65-48a0-347b-9fed-8fcc0e8a81ac</t>
  </si>
  <si>
    <t>Natural gas, production PL, at long-distance pipeline {PL}</t>
  </si>
  <si>
    <t>c4870dd3-f3ee-3230-8187-92402dc8d171</t>
  </si>
  <si>
    <t>Natural gas, production PL, at long-distance pipeline {RER}</t>
  </si>
  <si>
    <t>86ac08f8-b6c9-361c-bda4-029929edbb25</t>
  </si>
  <si>
    <t>Natural gas, production PL, at long-distance pipeline {RoE}</t>
  </si>
  <si>
    <t>30a38e11-a2c4-31b4-a50b-6fb4b0cae444</t>
  </si>
  <si>
    <t>Natural gas, production QA, at evaporation plant {AE}</t>
  </si>
  <si>
    <t>2874a49f-0d7f-3ad2-a15b-b12927dc41c8</t>
  </si>
  <si>
    <t>Natural gas, production QA, at evaporation plant {AR}</t>
  </si>
  <si>
    <t>82de3442-f2b1-35e1-933a-b1164f037dd4</t>
  </si>
  <si>
    <t>Natural gas, production QA, at evaporation plant {BE}</t>
  </si>
  <si>
    <t>3339eff7-5dd0-387e-8e68-c6346c076d2f</t>
  </si>
  <si>
    <t>Natural gas, production QA, at evaporation plant {CN}</t>
  </si>
  <si>
    <t>4455db1d-50f7-3aaf-89a0-7440ca399466</t>
  </si>
  <si>
    <t>Natural gas, production QA, at evaporation plant {ES}</t>
  </si>
  <si>
    <t>28500d26-4752-356f-8e67-37fac7a79752</t>
  </si>
  <si>
    <t>Natural gas, production QA, at evaporation plant {FR}</t>
  </si>
  <si>
    <t>f5e5eed7-422b-3253-9be4-3b8715d4c842</t>
  </si>
  <si>
    <t>Natural gas, production QA, at evaporation plant {GB}</t>
  </si>
  <si>
    <t>9640953b-fedc-341f-8e22-ca081334b6aa</t>
  </si>
  <si>
    <t>Natural gas, production QA, at evaporation plant {GLO}</t>
  </si>
  <si>
    <t>cdb49432-6afa-3318-b356-11b157491c93</t>
  </si>
  <si>
    <t>Natural gas, production QA, at evaporation plant {IN}</t>
  </si>
  <si>
    <t>bec2dd04-14e0-3789-bc9f-bcb5aea35660</t>
  </si>
  <si>
    <t>Natural gas, production QA, at evaporation plant {IT}</t>
  </si>
  <si>
    <t>44756c7a-f8a0-3287-b42c-1c24a97853ac</t>
  </si>
  <si>
    <t>Natural gas, production QA, at evaporation plant {JP}</t>
  </si>
  <si>
    <t>531f79f5-60a3-38a1-9706-34868c491f67</t>
  </si>
  <si>
    <t>Natural gas, production QA, at evaporation plant {KR}</t>
  </si>
  <si>
    <t>cefbd091-2b39-3633-af2c-8ee16611c740</t>
  </si>
  <si>
    <t>Natural gas, production QA, at evaporation plant {KW}</t>
  </si>
  <si>
    <t>ba2a0cfa-e1a3-364f-879c-81127f267f33</t>
  </si>
  <si>
    <t>Natural gas, production QA, at evaporation plant {NL}</t>
  </si>
  <si>
    <t>1be41407-3fb8-3261-bee3-03acde6fa359</t>
  </si>
  <si>
    <t>Natural gas, production QA, at evaporation plant {PK}</t>
  </si>
  <si>
    <t>83bb6472-720a-32f9-8147-4ce3b85a2997</t>
  </si>
  <si>
    <t>Natural gas, production QA, at evaporation plant {PL}</t>
  </si>
  <si>
    <t>b1575fdb-515b-3633-b285-b89167229962</t>
  </si>
  <si>
    <t>Natural gas, production QA, at evaporation plant {RER}</t>
  </si>
  <si>
    <t>9e5224a4-e63e-3e71-8e2b-3a0f65a853a9</t>
  </si>
  <si>
    <t>Natural gas, production QA, at evaporation plant {RoW}</t>
  </si>
  <si>
    <t>8fff334b-1d52-3beb-9923-6008fa176092</t>
  </si>
  <si>
    <t>Natural gas, production QA, at evaporation plant {TH}</t>
  </si>
  <si>
    <t>39f92cae-2a74-35f7-b22b-335c1821954e</t>
  </si>
  <si>
    <t>Natural gas, production QA, at evaporation plant {TW}</t>
  </si>
  <si>
    <t>29cd3142-c269-3a89-92fd-360e5f953a50</t>
  </si>
  <si>
    <t>Natural gas, production QA, at long-distance pipeline {AE}</t>
  </si>
  <si>
    <t>5052da41-0233-3dcc-8103-eec7d145e42f</t>
  </si>
  <si>
    <t>Natural gas, production QA, at long-distance pipeline {AR}</t>
  </si>
  <si>
    <t>adf59149-2cff-37e4-9b68-ff331d4aeabc</t>
  </si>
  <si>
    <t>Natural gas, production QA, at long-distance pipeline {BE}</t>
  </si>
  <si>
    <t>1ab3f3ca-cfcd-34b0-9c65-3e07930256db</t>
  </si>
  <si>
    <t>Natural gas, production QA, at long-distance pipeline {CN}</t>
  </si>
  <si>
    <t>15844da7-f8f2-3ef2-8e67-9ff7b3fee89b</t>
  </si>
  <si>
    <t>Natural gas, production QA, at long-distance pipeline {ES}</t>
  </si>
  <si>
    <t>83b7ac70-709e-3037-8b2c-3fca78876d09</t>
  </si>
  <si>
    <t>Natural gas, production QA, at long-distance pipeline {FR}</t>
  </si>
  <si>
    <t>f43f19ab-881a-3451-b00d-fcb618ba12c4</t>
  </si>
  <si>
    <t>Natural gas, production QA, at long-distance pipeline {GB}</t>
  </si>
  <si>
    <t>b0bac2cc-c545-35b0-837d-3415b4faf289</t>
  </si>
  <si>
    <t>Natural gas, production QA, at long-distance pipeline {GLO}</t>
  </si>
  <si>
    <t>ac4edad0-676d-3c56-9033-8cda771110a0</t>
  </si>
  <si>
    <t>Natural gas, production QA, at long-distance pipeline {IN}</t>
  </si>
  <si>
    <t>b63d57e8-e6fd-3e59-98b1-f48b8d1037dd</t>
  </si>
  <si>
    <t>Natural gas, production QA, at long-distance pipeline {IT}</t>
  </si>
  <si>
    <t>900e8af3-cb80-3c35-afcb-acd4562d5659</t>
  </si>
  <si>
    <t>Natural gas, production QA, at long-distance pipeline {JP}</t>
  </si>
  <si>
    <t>d2030501-b513-3386-ba00-1be9345aca55</t>
  </si>
  <si>
    <t>Natural gas, production QA, at long-distance pipeline {KR}</t>
  </si>
  <si>
    <t>82cb425c-ba7a-3db8-8d07-0465c7f83440</t>
  </si>
  <si>
    <t>Natural gas, production QA, at long-distance pipeline {KW}</t>
  </si>
  <si>
    <t>c1ae830e-0263-3b08-b73f-fa1fd9417384</t>
  </si>
  <si>
    <t>Natural gas, production QA, at long-distance pipeline {NL}</t>
  </si>
  <si>
    <t>5e689f19-1cbb-33ab-9f4f-55bd698b697c</t>
  </si>
  <si>
    <t>Natural gas, production QA, at long-distance pipeline {PK}</t>
  </si>
  <si>
    <t>36964c76-6147-347d-a612-e1c03334b4d6</t>
  </si>
  <si>
    <t>Natural gas, production QA, at long-distance pipeline {PL}</t>
  </si>
  <si>
    <t>689f7e3d-95a7-3155-b1f7-552fdd0998c6</t>
  </si>
  <si>
    <t>Natural gas, production QA, at long-distance pipeline {QA}</t>
  </si>
  <si>
    <t>c65cd2c7-464d-3eec-bbc5-04774cec6041</t>
  </si>
  <si>
    <t>Natural gas, production QA, at long-distance pipeline {RER}</t>
  </si>
  <si>
    <t>914153cb-ab24-3126-a51e-7055c492d5ef</t>
  </si>
  <si>
    <t>Natural gas, production QA, at long-distance pipeline {RoW}</t>
  </si>
  <si>
    <t>102d5169-9708-31fe-a553-f5fd44f186e5</t>
  </si>
  <si>
    <t>Natural gas, production QA, at long-distance pipeline {TH}</t>
  </si>
  <si>
    <t>0b5937fa-9cb2-3958-9e41-f556f4db675c</t>
  </si>
  <si>
    <t>Natural gas, production QA, at long-distance pipeline {TW}</t>
  </si>
  <si>
    <t>3248fd19-d608-3456-af35-6eb37e26c5df</t>
  </si>
  <si>
    <t>Natural gas, production RO, at long-distance pipeline {BG}</t>
  </si>
  <si>
    <t>211d749e-a0c1-3a2d-b535-fd89c4e69bd7</t>
  </si>
  <si>
    <t>Natural gas, production RO, at long-distance pipeline {Europe without Switzerland}</t>
  </si>
  <si>
    <t>79d207a1-f8ae-3388-9577-5971cd9d85bc</t>
  </si>
  <si>
    <t>Natural gas, production RO, at long-distance pipeline {GLO}</t>
  </si>
  <si>
    <t>7484135f-a678-3cdd-bc9a-b14b12ff0604</t>
  </si>
  <si>
    <t>Natural gas, production RO, at long-distance pipeline {HU}</t>
  </si>
  <si>
    <t>0d5f91cc-28d2-3b45-a852-87a6ffcd87e1</t>
  </si>
  <si>
    <t>Natural gas, production RO, at long-distance pipeline {RER}</t>
  </si>
  <si>
    <t>04269d5b-3639-3c0d-9ca6-8260b9b29a50</t>
  </si>
  <si>
    <t>Natural gas, production RO, at long-distance pipeline {RO}</t>
  </si>
  <si>
    <t>55599dfb-5796-393e-8d64-38b223ac5ad5</t>
  </si>
  <si>
    <t>Natural gas, production RO, at long-distance pipeline {RoE}</t>
  </si>
  <si>
    <t>a321c99d-85e9-3ad6-bfde-fd5853488cc8</t>
  </si>
  <si>
    <t>Natural gas, production RoE, at long-distance pipeline {Europe without Switzerland}</t>
  </si>
  <si>
    <t>e00f6615-cb34-36cd-9a98-500cab98c460</t>
  </si>
  <si>
    <t>Natural gas, production RoE, at long-distance pipeline {IQ}</t>
  </si>
  <si>
    <t>f2f5f750-d8fa-3702-a406-83f424ada7ec</t>
  </si>
  <si>
    <t>Natural gas, production RoE, at long-distance pipeline {PL}</t>
  </si>
  <si>
    <t>b625ab64-78f1-3e26-b360-2f39ef5d53b5</t>
  </si>
  <si>
    <t>Natural gas, production RoE, at long-distance pipeline {RER}</t>
  </si>
  <si>
    <t>29499fcc-f00b-39e0-bb9d-cf3f6c8837ef</t>
  </si>
  <si>
    <t>Natural gas, production RoE, at long-distance pipeline {RoW}</t>
  </si>
  <si>
    <t>d6065751-7b47-319e-9319-9ad0ca846f42</t>
  </si>
  <si>
    <t>Natural gas, production RoE, at long-distance pipeline {UZ}</t>
  </si>
  <si>
    <t>64097d8c-b456-3833-9cc3-bff84d336121</t>
  </si>
  <si>
    <t>Natural gas, production RU, at evaporation plant {BE}</t>
  </si>
  <si>
    <t>815b05e3-76ec-3891-8683-ba21a5f3fe75</t>
  </si>
  <si>
    <t>Natural gas, production RU, at evaporation plant {BR}</t>
  </si>
  <si>
    <t>7e780ac0-6d76-351d-b401-58270cdc24e4</t>
  </si>
  <si>
    <t>Natural gas, production RU, at evaporation plant {CN}</t>
  </si>
  <si>
    <t>5e27de78-39a9-3eb7-ab6c-8c427c5e38a8</t>
  </si>
  <si>
    <t>Natural gas, production RU, at evaporation plant {ES}</t>
  </si>
  <si>
    <t>300c51aa-fd03-3e9c-9a1e-304569901747</t>
  </si>
  <si>
    <t>Natural gas, production RU, at evaporation plant {FI}</t>
  </si>
  <si>
    <t>f8c8a2e2-934c-3db1-aeb2-7100390a64a6</t>
  </si>
  <si>
    <t>Natural gas, production RU, at evaporation plant {FR}</t>
  </si>
  <si>
    <t>135b5790-e71e-3702-a30d-7c19ea31da89</t>
  </si>
  <si>
    <t>Natural gas, production RU, at evaporation plant {GLO}</t>
  </si>
  <si>
    <t>897202c7-69a1-3ff8-8c88-53b6930d98e5</t>
  </si>
  <si>
    <t>Natural gas, production RU, at evaporation plant {GR}</t>
  </si>
  <si>
    <t>ff77009e-caca-36fb-98cf-696edcfec47b</t>
  </si>
  <si>
    <t>Natural gas, production RU, at evaporation plant {IN}</t>
  </si>
  <si>
    <t>5ccb244c-4146-3a22-a345-87b0bd4cc276</t>
  </si>
  <si>
    <t>Natural gas, production RU, at evaporation plant {IT}</t>
  </si>
  <si>
    <t>4ecd68f0-bbd6-3bbd-a7ec-3c03e3698ae4</t>
  </si>
  <si>
    <t>Natural gas, production RU, at evaporation plant {JP}</t>
  </si>
  <si>
    <t>2136e697-63f7-3a10-b121-a79185e3a8cc</t>
  </si>
  <si>
    <t>Natural gas, production RU, at evaporation plant {KR}</t>
  </si>
  <si>
    <t>6022144e-7c72-3d3d-910a-fcfe2ca08dd2</t>
  </si>
  <si>
    <t>Natural gas, production RU, at evaporation plant {KW}</t>
  </si>
  <si>
    <t>a83fc5ea-5236-33e1-a335-52550304dad2</t>
  </si>
  <si>
    <t>Natural gas, production RU, at evaporation plant {NL}</t>
  </si>
  <si>
    <t>f02517b7-aa17-3c21-b0e2-064b268c1774</t>
  </si>
  <si>
    <t>Natural gas, production RU, at evaporation plant {PL}</t>
  </si>
  <si>
    <t>b15bc677-7a11-3e2c-be73-9e28092c036c</t>
  </si>
  <si>
    <t>Natural gas, production RU, at evaporation plant {RER}</t>
  </si>
  <si>
    <t>eb1c7c39-afca-3902-a88f-8d488a7a5da0</t>
  </si>
  <si>
    <t>Natural gas, production RU, at evaporation plant {RoE}</t>
  </si>
  <si>
    <t>210640fc-4967-3a3c-b567-57b5c4479bbf</t>
  </si>
  <si>
    <t>Natural gas, production RU, at evaporation plant {RoW}</t>
  </si>
  <si>
    <t>9638517c-7724-3430-96e3-d49e1793cdcb</t>
  </si>
  <si>
    <t>Natural gas, production RU, at evaporation plant {SE}</t>
  </si>
  <si>
    <t>b2c405f6-bdb2-3b9e-abf9-ad44cc9c88c2</t>
  </si>
  <si>
    <t>Natural gas, production RU, at evaporation plant {TR}</t>
  </si>
  <si>
    <t>825d86a1-9dee-33e4-93b9-d6e0d10f15f2</t>
  </si>
  <si>
    <t>Natural gas, production RU, at evaporation plant {TW}</t>
  </si>
  <si>
    <t>15176d26-e656-309b-979b-a0119e4737b7</t>
  </si>
  <si>
    <t>Natural gas, production RU, at long-distance pipeline {BE}</t>
  </si>
  <si>
    <t>06024273-3a99-37e5-9ee0-fba33ae73f9d</t>
  </si>
  <si>
    <t>Natural gas, production RU, at long-distance pipeline {BR}</t>
  </si>
  <si>
    <t>b7c97100-b341-33aa-8934-1bb5042783f3</t>
  </si>
  <si>
    <t>Natural gas, production RU, at long-distance pipeline {CN}</t>
  </si>
  <si>
    <t>487ebd0b-f198-3529-aa95-f579f1bd817c</t>
  </si>
  <si>
    <t>Natural gas, production RU, at long-distance pipeline {CZ}</t>
  </si>
  <si>
    <t>4e94330a-b34e-35e0-b231-04dc0b028d11</t>
  </si>
  <si>
    <t>Natural gas, production RU, at long-distance pipeline {DE}</t>
  </si>
  <si>
    <t>5bf64358-ff40-3ab3-b6e9-415948badd4c</t>
  </si>
  <si>
    <t>Natural gas, production RU, at long-distance pipeline {ES}</t>
  </si>
  <si>
    <t>49b60fe9-d695-3b6d-96a2-966eba090c46</t>
  </si>
  <si>
    <t>Natural gas, production RU, at long-distance pipeline {FI}</t>
  </si>
  <si>
    <t>7c3e81eb-5294-38dd-ad3a-16778a87a253</t>
  </si>
  <si>
    <t>Natural gas, production RU, at long-distance pipeline {FR}</t>
  </si>
  <si>
    <t>327a3f48-c3a9-3aa2-b25f-633a134c9313</t>
  </si>
  <si>
    <t>Natural gas, production RU, at long-distance pipeline {GLO}</t>
  </si>
  <si>
    <t>9efe9f21-1dd4-3cd3-9649-64b8c20140e4</t>
  </si>
  <si>
    <t>Natural gas, production RU, at long-distance pipeline {GR}</t>
  </si>
  <si>
    <t>bc12aaff-c54d-3fd2-84d9-0d63c12de438</t>
  </si>
  <si>
    <t>Natural gas, production RU, at long-distance pipeline {HU}</t>
  </si>
  <si>
    <t>ae30e7b8-6593-3200-84f1-3c5970419437</t>
  </si>
  <si>
    <t>Natural gas, production RU, at long-distance pipeline {IN}</t>
  </si>
  <si>
    <t>cad1a2cc-bfca-398f-ba4e-b5ec9c579a62</t>
  </si>
  <si>
    <t>Natural gas, production RU, at long-distance pipeline {IT}</t>
  </si>
  <si>
    <t>50292a4a-2f23-3e7e-86a8-0a64d758c5be</t>
  </si>
  <si>
    <t>Natural gas, production RU, at long-distance pipeline {JP}</t>
  </si>
  <si>
    <t>8841131e-992c-32bd-b3b3-c8b278ec2ab0</t>
  </si>
  <si>
    <t>Natural gas, production RU, at long-distance pipeline {KR}</t>
  </si>
  <si>
    <t>b36a090d-68e0-3620-a76e-fc64d1eec838</t>
  </si>
  <si>
    <t>Natural gas, production RU, at long-distance pipeline {KW}</t>
  </si>
  <si>
    <t>25803f1e-1e87-3f5d-a893-bc1ee7df9060</t>
  </si>
  <si>
    <t>Natural gas, production RU, at long-distance pipeline {KZ}</t>
  </si>
  <si>
    <t>00f074ad-ab55-3dac-970b-d6cd7b77902f</t>
  </si>
  <si>
    <t>Natural gas, production RU, at long-distance pipeline {NL}</t>
  </si>
  <si>
    <t>ac5f138f-1838-34dd-94f4-4d66f79f47ac</t>
  </si>
  <si>
    <t>Natural gas, production RU, at long-distance pipeline {PL}</t>
  </si>
  <si>
    <t>10d967a8-e4c8-3073-9b41-0252d15b13da</t>
  </si>
  <si>
    <t>Natural gas, production RU, at long-distance pipeline {RER}</t>
  </si>
  <si>
    <t>f94efd50-f4b2-3c9f-a22e-96f4c1cd2502</t>
  </si>
  <si>
    <t>Natural gas, production RU, at long-distance pipeline {RoE}</t>
  </si>
  <si>
    <t>3047fb4a-00df-3e81-b2d4-49f599a9f9c0</t>
  </si>
  <si>
    <t>Natural gas, production RU, at long-distance pipeline {RoW}</t>
  </si>
  <si>
    <t>a34ac3c4-c157-380b-b153-f50e59c0f4a0</t>
  </si>
  <si>
    <t>Natural gas, production RU, at long-distance pipeline {RS}</t>
  </si>
  <si>
    <t>c466f137-d836-321d-9230-38e53f35bea4</t>
  </si>
  <si>
    <t>Natural gas, production RU, at long-distance pipeline {RU}</t>
  </si>
  <si>
    <t>e1cffee7-b3c4-34f3-90c1-6d45b594dffb</t>
  </si>
  <si>
    <t>Natural gas, production RU, at long-distance pipeline {SE}</t>
  </si>
  <si>
    <t>cdb8dc2d-5dce-3acf-afc2-6019e18ec890</t>
  </si>
  <si>
    <t>Natural gas, production RU, at long-distance pipeline {SK}</t>
  </si>
  <si>
    <t>b660d9b2-5254-322a-8d2f-2f7c1399a624</t>
  </si>
  <si>
    <t>Natural gas, production RU, at long-distance pipeline {TR}</t>
  </si>
  <si>
    <t>819296d7-6686-31d7-b6f1-b7ca6fc5ffd6</t>
  </si>
  <si>
    <t>Natural gas, production RU, at long-distance pipeline {TW}</t>
  </si>
  <si>
    <t>765344e1-7cf0-397a-b14e-38a2efe16806</t>
  </si>
  <si>
    <t>Natural gas, production RU, at long-distance pipeline {UZ}</t>
  </si>
  <si>
    <t>57d15dc5-fdd9-3916-9831-3e9b725b1c79</t>
  </si>
  <si>
    <t>Natural gas, production SA, at long-distance pipeline {GLO}</t>
  </si>
  <si>
    <t>41fb2af7-1fb6-35e5-9789-ba23b9ce1e34</t>
  </si>
  <si>
    <t>Natural gas, production SA, at long-distance pipeline {RoW}</t>
  </si>
  <si>
    <t>6d79c161-be0b-36de-90f9-1fa4f4754177</t>
  </si>
  <si>
    <t>Natural gas, production SA, at long-distance pipeline {SA}</t>
  </si>
  <si>
    <t>1cc4f701-8ce2-3e17-8c2c-4e6feb6541e4</t>
  </si>
  <si>
    <t>Natural gas, production SE, at long-distance pipeline {Europe without Switzerland}</t>
  </si>
  <si>
    <t>bf6014a5-db3d-3c36-aafd-67059efa328d</t>
  </si>
  <si>
    <t>Natural gas, production SE, at long-distance pipeline {RER}</t>
  </si>
  <si>
    <t>9b433ad0-16f2-3b28-9c55-856ee3aeb0b8</t>
  </si>
  <si>
    <t>Natural gas, production SK, at long-distance pipeline {AT}</t>
  </si>
  <si>
    <t>183f132f-e1f2-362c-b156-89d8351c3bab</t>
  </si>
  <si>
    <t>Natural gas, production SK, at long-distance pipeline {Europe without Switzerland}</t>
  </si>
  <si>
    <t>a59cbad3-1eb5-3bf2-86cc-fdfe532794eb</t>
  </si>
  <si>
    <t>Natural gas, production SK, at long-distance pipeline {PL}</t>
  </si>
  <si>
    <t>c77f1643-f8d6-3063-910a-404d4b824857</t>
  </si>
  <si>
    <t>Natural gas, production SK, at long-distance pipeline {RER}</t>
  </si>
  <si>
    <t>ba5be573-e971-343f-bf01-bfbb9c4b8c50</t>
  </si>
  <si>
    <t>Natural gas, production SK, at long-distance pipeline {RoE}</t>
  </si>
  <si>
    <t>879288d2-fe73-3d73-a594-f751e3098701</t>
  </si>
  <si>
    <t>Natural gas, production TH, at long-distance pipeline {GLO}</t>
  </si>
  <si>
    <t>3121dcba-7ccc-3c66-b5be-50377ff67ef1</t>
  </si>
  <si>
    <t>Natural gas, production TH, at long-distance pipeline {RoW}</t>
  </si>
  <si>
    <t>d25ec107-bd12-328f-8f80-b8e0e44ff360</t>
  </si>
  <si>
    <t>Natural gas, production TH, at long-distance pipeline {TH}</t>
  </si>
  <si>
    <t>6ece16f4-ede5-39cc-ade1-9eea88c9b622</t>
  </si>
  <si>
    <t>Natural gas, production TM, at long-distance pipeline {CN}</t>
  </si>
  <si>
    <t>264df250-da9d-3dc8-a461-9038b9364b17</t>
  </si>
  <si>
    <t>Natural gas, production TM, at long-distance pipeline {GLO}</t>
  </si>
  <si>
    <t>d87aed6b-eac2-3720-bf34-52fa93da095b</t>
  </si>
  <si>
    <t>Natural gas, production TM, at long-distance pipeline {KZ}</t>
  </si>
  <si>
    <t>a6e757d9-643a-3841-98ae-83bf1615619d</t>
  </si>
  <si>
    <t>Natural gas, production TM, at long-distance pipeline {RoW}</t>
  </si>
  <si>
    <t>3f8c5936-7884-3b92-b8cf-be57ae1f33e7</t>
  </si>
  <si>
    <t>Natural gas, production TM, at long-distance pipeline {RU}</t>
  </si>
  <si>
    <t>c6356122-e473-3115-a9e4-40d0074a232a</t>
  </si>
  <si>
    <t>Natural gas, production TM, at long-distance pipeline {TM}</t>
  </si>
  <si>
    <t>cb4c9069-73be-3340-b93e-b94d88251153</t>
  </si>
  <si>
    <t>Natural gas, production TM, at long-distance pipeline {UZ}</t>
  </si>
  <si>
    <t>81552eb6-fefe-3f35-8f44-051918135d51</t>
  </si>
  <si>
    <t>Natural gas, production TR, at long-distance pipeline {BG}</t>
  </si>
  <si>
    <t>d26e1e1b-3829-304a-8f82-b7defd22a9f7</t>
  </si>
  <si>
    <t>Natural gas, production TR, at long-distance pipeline {Europe without Switzerland}</t>
  </si>
  <si>
    <t>664bef01-ef86-39ea-bc19-28e2806e1c3d</t>
  </si>
  <si>
    <t>Natural gas, production TR, at long-distance pipeline {GR}</t>
  </si>
  <si>
    <t>bee86dbb-e6c7-3d3b-b8f3-40b447438496</t>
  </si>
  <si>
    <t>Natural gas, production TR, at long-distance pipeline {RER}</t>
  </si>
  <si>
    <t>10e2177e-a19d-3010-af48-2bbca731f14a</t>
  </si>
  <si>
    <t>Natural gas, production TR, at long-distance pipeline {TR}</t>
  </si>
  <si>
    <t>39078be4-9d9a-3ca7-8c0e-2c78f6b0bf8f</t>
  </si>
  <si>
    <t>Natural gas, production TT, at evaporation plant {AR}</t>
  </si>
  <si>
    <t>cb31ed1e-2704-393f-93de-dcc19f9c0e22</t>
  </si>
  <si>
    <t>Natural gas, production TT, at evaporation plant {BR}</t>
  </si>
  <si>
    <t>de0c6678-6ed9-35aa-8119-67cbd5374ca6</t>
  </si>
  <si>
    <t>Natural gas, production TT, at evaporation plant {CA}</t>
  </si>
  <si>
    <t>0a515c47-b493-3683-8155-df91da393bf7</t>
  </si>
  <si>
    <t>Natural gas, production TT, at evaporation plant {CN}</t>
  </si>
  <si>
    <t>f7b8fb1d-46c3-3b24-ab63-508e9330b849</t>
  </si>
  <si>
    <t>Natural gas, production TT, at evaporation plant {DE}</t>
  </si>
  <si>
    <t>2e595ed6-8e37-3c97-baa3-01efaa8015ed</t>
  </si>
  <si>
    <t>Natural gas, production TT, at evaporation plant {ES}</t>
  </si>
  <si>
    <t>e6a89985-1571-3f01-92ee-957644168b9f</t>
  </si>
  <si>
    <t>Natural gas, production TT, at evaporation plant {FR}</t>
  </si>
  <si>
    <t>448dedc0-7a87-3679-b018-4def4358f0ec</t>
  </si>
  <si>
    <t>Natural gas, production TT, at evaporation plant {GB}</t>
  </si>
  <si>
    <t>ba7c9186-570e-3ab3-b7a7-1dd08ee02948</t>
  </si>
  <si>
    <t>Natural gas, production TT, at evaporation plant {GLO}</t>
  </si>
  <si>
    <t>3bd64b35-5757-3164-bb78-bbd0a2ee92d7</t>
  </si>
  <si>
    <t>Natural gas, production TT, at evaporation plant {HR}</t>
  </si>
  <si>
    <t>7e6709cf-423f-3ecd-9e51-78c9fb9eb311</t>
  </si>
  <si>
    <t>Natural gas, production TT, at evaporation plant {IN}</t>
  </si>
  <si>
    <t>9d0e3030-f9d9-3272-bce7-648c36558e32</t>
  </si>
  <si>
    <t>Natural gas, production TT, at evaporation plant {JP}</t>
  </si>
  <si>
    <t>7afecb31-0069-357f-a168-704c1fd3112e</t>
  </si>
  <si>
    <t>Natural gas, production TT, at evaporation plant {KR}</t>
  </si>
  <si>
    <t>a257b6fc-4646-326c-9c9d-4b5c1a7ec30a</t>
  </si>
  <si>
    <t>Natural gas, production TT, at evaporation plant {KW}</t>
  </si>
  <si>
    <t>864b5b32-2db9-32bb-ba57-742cd01eb170</t>
  </si>
  <si>
    <t>Natural gas, production TT, at evaporation plant {NL}</t>
  </si>
  <si>
    <t>d8039b1c-d7e7-320b-ac83-bbd4a68a5384</t>
  </si>
  <si>
    <t>Natural gas, production TT, at evaporation plant {PK}</t>
  </si>
  <si>
    <t>f362e1d8-0f6f-37a4-a72f-0b348c5f99cc</t>
  </si>
  <si>
    <t>Natural gas, production TT, at evaporation plant {PL}</t>
  </si>
  <si>
    <t>ee67ddc1-fd44-38c7-9737-c9dce376ecea</t>
  </si>
  <si>
    <t>Natural gas, production TT, at evaporation plant {RoE}</t>
  </si>
  <si>
    <t>7164016d-15f1-3765-97df-4a38b4cf0b01</t>
  </si>
  <si>
    <t>Natural gas, production TT, at evaporation plant {RoW}</t>
  </si>
  <si>
    <t>0bad037a-f458-3259-9613-532eced4f952</t>
  </si>
  <si>
    <t>Natural gas, production TT, at evaporation plant {TH}</t>
  </si>
  <si>
    <t>be2d0381-9940-3646-9675-59499277cbc8</t>
  </si>
  <si>
    <t>Natural gas, production TT, at evaporation plant {TR}</t>
  </si>
  <si>
    <t>8bb6f681-7869-3bdd-b99a-38786c453a01</t>
  </si>
  <si>
    <t>Natural gas, production TT, at evaporation plant {US}</t>
  </si>
  <si>
    <t>2e27c2e9-960b-38a8-b236-b66ee5974a7d</t>
  </si>
  <si>
    <t>Natural gas, production TT, at long-distance pipeline {AR}</t>
  </si>
  <si>
    <t>8169fa3e-d97e-3a4a-9559-f7db34f2b27b</t>
  </si>
  <si>
    <t>Natural gas, production TT, at long-distance pipeline {BR}</t>
  </si>
  <si>
    <t>b81c1442-5176-3574-b863-8c47b90eec94</t>
  </si>
  <si>
    <t>Natural gas, production TT, at long-distance pipeline {CA}</t>
  </si>
  <si>
    <t>8d7cc0c7-c6b5-35ce-9898-73b20f8b4f20</t>
  </si>
  <si>
    <t>Natural gas, production TT, at long-distance pipeline {CN}</t>
  </si>
  <si>
    <t>de885ce4-515c-3528-8d51-20a3ce0210d8</t>
  </si>
  <si>
    <t>Natural gas, production TT, at long-distance pipeline {DE}</t>
  </si>
  <si>
    <t>dccd15f8-7a87-3310-9bb1-2a6bedd9d7ce</t>
  </si>
  <si>
    <t>Natural gas, production TT, at long-distance pipeline {ES}</t>
  </si>
  <si>
    <t>aff67b77-5574-32e8-957d-598768fa174a</t>
  </si>
  <si>
    <t>Natural gas, production TT, at long-distance pipeline {FR}</t>
  </si>
  <si>
    <t>00d080c8-d4e4-39a8-a046-20aba9c9d668</t>
  </si>
  <si>
    <t>Natural gas, production TT, at long-distance pipeline {GB}</t>
  </si>
  <si>
    <t>56934410-f24c-3d2a-b632-86374d2d2872</t>
  </si>
  <si>
    <t>Natural gas, production TT, at long-distance pipeline {GLO}</t>
  </si>
  <si>
    <t>508c16c4-d439-3403-97bd-c34e38c3404a</t>
  </si>
  <si>
    <t>Natural gas, production TT, at long-distance pipeline {HR}</t>
  </si>
  <si>
    <t>5b0c79b9-d9dc-3ef5-a219-f01bd632c1bc</t>
  </si>
  <si>
    <t>Natural gas, production TT, at long-distance pipeline {IN}</t>
  </si>
  <si>
    <t>778a3cd9-5ebc-36dd-863f-2cb375edc779</t>
  </si>
  <si>
    <t>Natural gas, production TT, at long-distance pipeline {JP}</t>
  </si>
  <si>
    <t>6189fab3-1ae3-3c62-a807-1b5374662a97</t>
  </si>
  <si>
    <t>Natural gas, production TT, at long-distance pipeline {KR}</t>
  </si>
  <si>
    <t>31cb5268-69f4-36c6-ab26-9859c7057f78</t>
  </si>
  <si>
    <t>Natural gas, production TT, at long-distance pipeline {KW}</t>
  </si>
  <si>
    <t>03f1c31e-576f-389d-bc9b-ab457378adf1</t>
  </si>
  <si>
    <t>Natural gas, production TT, at long-distance pipeline {NL}</t>
  </si>
  <si>
    <t>672e22ef-3858-3b19-b12e-5ce411a17b40</t>
  </si>
  <si>
    <t>Natural gas, production TT, at long-distance pipeline {PK}</t>
  </si>
  <si>
    <t>a7a72959-e30d-3721-b9a8-af9f8a7579ee</t>
  </si>
  <si>
    <t>Natural gas, production TT, at long-distance pipeline {PL}</t>
  </si>
  <si>
    <t>a482b85f-93de-3aef-82bd-242ec8d95931</t>
  </si>
  <si>
    <t>Natural gas, production TT, at long-distance pipeline {RoE}</t>
  </si>
  <si>
    <t>3657b169-0d3e-3d13-a670-a39cb7e36b38</t>
  </si>
  <si>
    <t>Natural gas, production TT, at long-distance pipeline {RoW}</t>
  </si>
  <si>
    <t>367c58d6-e7a1-3ae1-b135-f39d1e3245fb</t>
  </si>
  <si>
    <t>Natural gas, production TT, at long-distance pipeline {TH}</t>
  </si>
  <si>
    <t>a1b42c4e-7be3-3d8b-9fe0-19a1d2507779</t>
  </si>
  <si>
    <t>Natural gas, production TT, at long-distance pipeline {TR}</t>
  </si>
  <si>
    <t>3547a85d-029e-3f44-94a4-54fe9f8d5dc0</t>
  </si>
  <si>
    <t>Natural gas, production TT, at long-distance pipeline {TT}</t>
  </si>
  <si>
    <t>2ec8ed4b-347a-3955-a90e-ef7f594dbb2b</t>
  </si>
  <si>
    <t>Natural gas, production TT, at long-distance pipeline {US}</t>
  </si>
  <si>
    <t>637414e0-15e9-352b-99c1-0fd43deada92</t>
  </si>
  <si>
    <t>Natural gas, production UA, at long-distance pipeline {Europe without Switzerland}</t>
  </si>
  <si>
    <t>f2729ae2-663c-31ee-87a4-d5445d5bcb8e</t>
  </si>
  <si>
    <t>Natural gas, production UA, at long-distance pipeline {GLO}</t>
  </si>
  <si>
    <t>0308dd4e-b6b9-3a27-a244-65be39fedee8</t>
  </si>
  <si>
    <t>Natural gas, production UA, at long-distance pipeline {RER}</t>
  </si>
  <si>
    <t>da9d4680-a6c5-352e-9342-8855a11c504e</t>
  </si>
  <si>
    <t>Natural gas, production UA, at long-distance pipeline {RoE}</t>
  </si>
  <si>
    <t>ced246ce-d96d-3406-a3d5-f1e53dc40ddf</t>
  </si>
  <si>
    <t>Natural gas, production US, at evaporation plant {AR}</t>
  </si>
  <si>
    <t>749e6b1a-cae1-33a5-a90c-132081e219af</t>
  </si>
  <si>
    <t>Natural gas, production US, at evaporation plant {BE}</t>
  </si>
  <si>
    <t>8f847137-c937-3a45-97b2-8245643cd800</t>
  </si>
  <si>
    <t>Natural gas, production US, at evaporation plant {BG}</t>
  </si>
  <si>
    <t>cbb6f770-7671-38ef-b937-5468b4707c19</t>
  </si>
  <si>
    <t>Natural gas, production US, at evaporation plant {BR}</t>
  </si>
  <si>
    <t>412b793a-80f3-367a-8f6b-c3318ce885d3</t>
  </si>
  <si>
    <t>Natural gas, production US, at evaporation plant {CA}</t>
  </si>
  <si>
    <t>32ec0023-de05-3211-93b8-2b0fa9323829</t>
  </si>
  <si>
    <t>Natural gas, production US, at evaporation plant {CN}</t>
  </si>
  <si>
    <t>f817f6f9-3578-3d2c-8d17-ccf54e53c7c4</t>
  </si>
  <si>
    <t>Natural gas, production US, at evaporation plant {DE}</t>
  </si>
  <si>
    <t>433e30d6-12a7-34d5-8ba8-892ae6208768</t>
  </si>
  <si>
    <t>Natural gas, production US, at evaporation plant {ES}</t>
  </si>
  <si>
    <t>0d911f02-e43d-3efe-9a1d-d2416a0f9567</t>
  </si>
  <si>
    <t>Natural gas, production US, at evaporation plant {FI}</t>
  </si>
  <si>
    <t>acb4a03d-8af1-3d0d-9db4-f15f714e622a</t>
  </si>
  <si>
    <t>Natural gas, production US, at evaporation plant {FR}</t>
  </si>
  <si>
    <t>04cd5cae-eb48-37f7-b7b0-e22db472587d</t>
  </si>
  <si>
    <t>Natural gas, production US, at evaporation plant {GB}</t>
  </si>
  <si>
    <t>43602540-2980-3554-a908-66fe7cdf9de0</t>
  </si>
  <si>
    <t>Natural gas, production US, at evaporation plant {GLO}</t>
  </si>
  <si>
    <t>1a97ec65-dc0e-3601-bc1f-738865f38105</t>
  </si>
  <si>
    <t>Natural gas, production US, at evaporation plant {GR}</t>
  </si>
  <si>
    <t>2c95007e-47c1-3fb3-8d48-5f07dbc5ad0d</t>
  </si>
  <si>
    <t>Natural gas, production US, at evaporation plant {HR}</t>
  </si>
  <si>
    <t>1e184413-d22b-380b-98ae-b5e5704c1b41</t>
  </si>
  <si>
    <t>Natural gas, production US, at evaporation plant {IN}</t>
  </si>
  <si>
    <t>6d854975-f475-347e-a2ce-47b41b7aeaf6</t>
  </si>
  <si>
    <t>Natural gas, production US, at evaporation plant {IT}</t>
  </si>
  <si>
    <t>3d74abab-46d8-38d5-9df3-0c07cd217f1e</t>
  </si>
  <si>
    <t>Natural gas, production US, at evaporation plant {JP}</t>
  </si>
  <si>
    <t>2b42dad3-0fb1-3062-b814-ac99cb4f07cc</t>
  </si>
  <si>
    <t>Natural gas, production US, at evaporation plant {KR}</t>
  </si>
  <si>
    <t>4359f1d1-49fb-36bf-8a07-c01347937244</t>
  </si>
  <si>
    <t>Natural gas, production US, at evaporation plant {KW}</t>
  </si>
  <si>
    <t>009f4f40-58c3-3238-9d85-61af83368e7f</t>
  </si>
  <si>
    <t>Natural gas, production US, at evaporation plant {MX}</t>
  </si>
  <si>
    <t>4f21f41b-a151-3b22-a742-5402b429e260</t>
  </si>
  <si>
    <t>Natural gas, production US, at evaporation plant {NL}</t>
  </si>
  <si>
    <t>7402dfad-f116-3960-8956-a8a643fb1a7d</t>
  </si>
  <si>
    <t>Natural gas, production US, at evaporation plant {PK}</t>
  </si>
  <si>
    <t>e89bb186-1fd5-3fc7-aa02-858d5d507e81</t>
  </si>
  <si>
    <t>Natural gas, production US, at evaporation plant {PL}</t>
  </si>
  <si>
    <t>e2573aae-89b8-3035-96eb-3e4e94d2c4b5</t>
  </si>
  <si>
    <t>Natural gas, production US, at evaporation plant {RER}</t>
  </si>
  <si>
    <t>85bbcf4e-2def-327c-abef-dc1713749acb</t>
  </si>
  <si>
    <t>Natural gas, production US, at evaporation plant {RoE}</t>
  </si>
  <si>
    <t>61cff15a-c6c4-31ed-8a37-8c6b50f21a80</t>
  </si>
  <si>
    <t>Natural gas, production US, at evaporation plant {RoW}</t>
  </si>
  <si>
    <t>fd4fc6aa-376e-3c0e-8171-429dfd1e2b49</t>
  </si>
  <si>
    <t>Natural gas, production US, at evaporation plant {TH}</t>
  </si>
  <si>
    <t>9edfd3c8-f0bc-31ae-baba-dbd3e23269bf</t>
  </si>
  <si>
    <t>Natural gas, production US, at evaporation plant {TR}</t>
  </si>
  <si>
    <t>5e71aafc-169b-352c-b528-24ba0732fbd5</t>
  </si>
  <si>
    <t>Natural gas, production US, at evaporation plant {TW}</t>
  </si>
  <si>
    <t>3dcb161d-9b23-3eb4-b97b-071bc318d951</t>
  </si>
  <si>
    <t>Natural gas, production US, at long-distance pipeline {AR}</t>
  </si>
  <si>
    <t>0dc09e26-7568-39e5-9b9f-36fe6210d472</t>
  </si>
  <si>
    <t>Natural gas, production US, at long-distance pipeline {BE}</t>
  </si>
  <si>
    <t>efcf188e-2727-396b-93de-7fd28c322a4e</t>
  </si>
  <si>
    <t>Natural gas, production US, at long-distance pipeline {BG}</t>
  </si>
  <si>
    <t>61dd6f92-6c8c-3cf2-a329-7cdfd4e83c9f</t>
  </si>
  <si>
    <t>Natural gas, production US, at long-distance pipeline {BR}</t>
  </si>
  <si>
    <t>f5b959fc-6428-3b16-87de-fa7eb5a68a8c</t>
  </si>
  <si>
    <t>Natural gas, production US, at long-distance pipeline {CA}</t>
  </si>
  <si>
    <t>1be9db53-0829-3480-96d6-45dd416d59ef</t>
  </si>
  <si>
    <t>Natural gas, production US, at long-distance pipeline {CN}</t>
  </si>
  <si>
    <t>bb4f8890-736f-37db-bc3a-35374cd34602</t>
  </si>
  <si>
    <t>Natural gas, production US, at long-distance pipeline {DE}</t>
  </si>
  <si>
    <t>69a4b8f6-6582-38a4-b229-d1799f330484</t>
  </si>
  <si>
    <t>Natural gas, production US, at long-distance pipeline {ES}</t>
  </si>
  <si>
    <t>34790cf3-4053-3937-898d-09467da9d0c2</t>
  </si>
  <si>
    <t>Natural gas, production US, at long-distance pipeline {FI}</t>
  </si>
  <si>
    <t>8452590a-6e25-3387-8cdb-05642a4483f5</t>
  </si>
  <si>
    <t>Natural gas, production US, at long-distance pipeline {FR}</t>
  </si>
  <si>
    <t>bc1e62e2-5394-3457-9502-1f71a6030977</t>
  </si>
  <si>
    <t>Natural gas, production US, at long-distance pipeline {GB}</t>
  </si>
  <si>
    <t>725bbffa-2665-3b79-994c-1d7436eaa851</t>
  </si>
  <si>
    <t>Natural gas, production US, at long-distance pipeline {GLO}</t>
  </si>
  <si>
    <t>a535727d-867b-3eac-bd23-58c947bc3190</t>
  </si>
  <si>
    <t>Natural gas, production US, at long-distance pipeline {GR}</t>
  </si>
  <si>
    <t>29d50d73-ca1f-39e5-932b-27c8fb241ef8</t>
  </si>
  <si>
    <t>Natural gas, production US, at long-distance pipeline {HR}</t>
  </si>
  <si>
    <t>6ec6b95c-69e9-3cf1-bd3b-63509e2b5e0a</t>
  </si>
  <si>
    <t>Natural gas, production US, at long-distance pipeline {IN}</t>
  </si>
  <si>
    <t>3dc697a1-cb3d-313f-b78b-4fd26fc7078e</t>
  </si>
  <si>
    <t>Natural gas, production US, at long-distance pipeline {IT}</t>
  </si>
  <si>
    <t>70da1589-9253-3068-a752-744d5f89ca31</t>
  </si>
  <si>
    <t>Natural gas, production US, at long-distance pipeline {JP}</t>
  </si>
  <si>
    <t>444fb18a-db64-35e8-9e1d-c97822f6bf89</t>
  </si>
  <si>
    <t>Natural gas, production US, at long-distance pipeline {KR}</t>
  </si>
  <si>
    <t>a8cafd5f-b66d-3949-94a0-086a8dc1e3c1</t>
  </si>
  <si>
    <t>Natural gas, production US, at long-distance pipeline {KW}</t>
  </si>
  <si>
    <t>84eb7c43-4770-39a4-bd7b-f1ebbe33effe</t>
  </si>
  <si>
    <t>Natural gas, production US, at long-distance pipeline {MX}</t>
  </si>
  <si>
    <t>d7cbf36a-f1b3-362d-869e-23917683f80f</t>
  </si>
  <si>
    <t>Natural gas, production US, at long-distance pipeline {NL}</t>
  </si>
  <si>
    <t>38c574ba-a1ec-3661-a0f5-e28b3a6c62c1</t>
  </si>
  <si>
    <t>Natural gas, production US, at long-distance pipeline {PK}</t>
  </si>
  <si>
    <t>a94e5435-5fd8-3a33-986a-aaf04ba32039</t>
  </si>
  <si>
    <t>Natural gas, production US, at long-distance pipeline {PL}</t>
  </si>
  <si>
    <t>361cccee-b38f-3b30-bbc8-568d6fe06513</t>
  </si>
  <si>
    <t>Natural gas, production US, at long-distance pipeline {RER}</t>
  </si>
  <si>
    <t>cbbe88b3-8de7-36fa-b453-66a2a5aaf39f</t>
  </si>
  <si>
    <t>Natural gas, production US, at long-distance pipeline {RoE}</t>
  </si>
  <si>
    <t>b13ad110-4b40-341e-8810-ab9b9368a84f</t>
  </si>
  <si>
    <t>Natural gas, production US, at long-distance pipeline {RoW}</t>
  </si>
  <si>
    <t>9879077d-34b8-3990-aad7-5fb0ccf96f34</t>
  </si>
  <si>
    <t>Natural gas, production US, at long-distance pipeline {TH}</t>
  </si>
  <si>
    <t>2dd50654-2577-3af0-8863-18d0d01b44f5</t>
  </si>
  <si>
    <t>Natural gas, production US, at long-distance pipeline {TR}</t>
  </si>
  <si>
    <t>e4d373df-9fb7-3e8c-a054-032c25084d88</t>
  </si>
  <si>
    <t>Natural gas, production US, at long-distance pipeline {TW}</t>
  </si>
  <si>
    <t>7baf262a-f23b-333f-ab64-fcba336e29b4</t>
  </si>
  <si>
    <t>Natural gas, production US, at long-distance pipeline {US}</t>
  </si>
  <si>
    <t>b4bae9e8-fda5-32d4-b3f7-26c6c1aabc63</t>
  </si>
  <si>
    <t>Natural gas, production UZ, at long-distance pipeline {CN}</t>
  </si>
  <si>
    <t>6ed87ab6-50ad-36ee-bc39-e8bf1398317d</t>
  </si>
  <si>
    <t>Natural gas, production UZ, at long-distance pipeline {GLO}</t>
  </si>
  <si>
    <t>b9f5e6de-0b57-3524-8168-f276bf769dfe</t>
  </si>
  <si>
    <t>Natural gas, production UZ, at long-distance pipeline {RoW}</t>
  </si>
  <si>
    <t>afd2f3a8-9b9e-3903-aaa3-927671256e6e</t>
  </si>
  <si>
    <t>Natural gas, production UZ, at long-distance pipeline {UZ}</t>
  </si>
  <si>
    <t>0c9c1ef7-151c-371a-906e-813d11e57ba0</t>
  </si>
  <si>
    <t>Natural gas, production VE, at long-distance pipeline {GLO}</t>
  </si>
  <si>
    <t>957db526-0312-3378-9c41-fe3dafcca469</t>
  </si>
  <si>
    <t>Natural gas, production VE, at long-distance pipeline {RoW}</t>
  </si>
  <si>
    <t>85213c1b-62be-327c-b946-ed02627a4294</t>
  </si>
  <si>
    <t>Natural gas, production VE, at long-distance pipeline {VE}</t>
  </si>
  <si>
    <t>c5ce5d0a-dce9-3d4a-a01a-2afd1d20ffdd</t>
  </si>
  <si>
    <t>Natural gas, sweet, burned in production flare {GLO}</t>
  </si>
  <si>
    <t>7e9ad35b-eb88-3146-8224-cfd4a2558b4a</t>
  </si>
  <si>
    <t>Natural gas, unprocessed, at extraction {US}</t>
  </si>
  <si>
    <t>6cbab063-1b8d-3346-8803-e432a2903712</t>
  </si>
  <si>
    <t>Natural gas, vented {GLO}</t>
  </si>
  <si>
    <t>15aa3d58-7814-3dd8-a3c7-cad37db3a9a5</t>
  </si>
  <si>
    <t>Natural rubber based sealing, at plant {DE}</t>
  </si>
  <si>
    <t>9e63f748-1426-3f3f-a9f2-2524bfd8a918</t>
  </si>
  <si>
    <t>Natural stone plate, cut, at regional storage {CH}</t>
  </si>
  <si>
    <t>fa69ed43-cfc5-31f6-b8e8-76d63a6d5bd8</t>
  </si>
  <si>
    <t>Natural stone plate, cut, market mix, at regional storage {CH}</t>
  </si>
  <si>
    <t>299ccea6-049b-34ff-b12e-e5ff84b1f49f</t>
  </si>
  <si>
    <t>Natural stone plate, grounded, at regional storage {CH}</t>
  </si>
  <si>
    <t>bc814851-612b-38c9-9ff7-9edefa874978</t>
  </si>
  <si>
    <t>Natural stone plate, grounded, market mix, at regional storage {CH}</t>
  </si>
  <si>
    <t>fb29e453-b2ca-3e20-8d45-55dbb04527a9</t>
  </si>
  <si>
    <t>Natural stone plate, grounded, overseas, at regional storage {CH}</t>
  </si>
  <si>
    <t>61f58615-a744-3978-a994-4f751f0c41fa</t>
  </si>
  <si>
    <t>Natural stone plate, grounded, RER, at regional storage {CH}</t>
  </si>
  <si>
    <t>56f7f9c6-8ecd-3543-a2a9-0a652da55279</t>
  </si>
  <si>
    <t>Natural stone plate, polished, at regional storage {CH}</t>
  </si>
  <si>
    <t>1ffb4b50-2b15-30c7-b054-794eb9e02ec6</t>
  </si>
  <si>
    <t>705399f6-2ccf-3e91-8b6e-75f3b3162e10</t>
  </si>
  <si>
    <t>NCA electrode material (LiNi0.8Co0.15Al0.05O2) {JP}</t>
  </si>
  <si>
    <t>26de96d3-8f03-3d68-94b0-fc2819ad6030</t>
  </si>
  <si>
    <t>Negative current collector Cu {GLO}</t>
  </si>
  <si>
    <t>a3dcc628-26fa-3a3b-b08b-9c15d8dfa76c</t>
  </si>
  <si>
    <t>Negative electrode paste {GLO}</t>
  </si>
  <si>
    <t>f227ab51-28ac-31d4-b49e-e17d08e739a2</t>
  </si>
  <si>
    <t>Neodymium oxide, at plant {CN}</t>
  </si>
  <si>
    <t>13a46619-2c77-36a1-90cd-df7121eed9c5</t>
  </si>
  <si>
    <t>Network access devices, internet, at user {GLO}</t>
  </si>
  <si>
    <t>97735c90-09ed-330d-8c97-220b8a5e1b6c</t>
  </si>
  <si>
    <t>Network Attached Storage, NAS, at plant {GLO}</t>
  </si>
  <si>
    <t>1b70f7ea-9758-35c4-aecb-000b694dc3cb</t>
  </si>
  <si>
    <t>Network equipment, at data center {GLO}</t>
  </si>
  <si>
    <t>2a8c200e-7391-36d9-ab9e-d063e23f3df1</t>
  </si>
  <si>
    <t>Ni1/3Co1/3Mn1/3(OH)2 {GLO}</t>
  </si>
  <si>
    <t>01f3fa14-0212-3b3a-b7c6-122d00b471dc</t>
  </si>
  <si>
    <t>Ni3/5Co1/5Mn1/5(OH)2 {GLO}</t>
  </si>
  <si>
    <t>7b1e19ce-05e3-3ee6-9127-efd2a8c01254</t>
  </si>
  <si>
    <t>0c0946ca-aaca-3de0-b0f2-26754f651b1b</t>
  </si>
  <si>
    <t>7a00c9c5-a12c-35bc-8f31-f557d19bb1d0</t>
  </si>
  <si>
    <t>Nitrile-compounds, at regional storehouse {CH}</t>
  </si>
  <si>
    <t>bae3adb0-39b8-3743-b32e-f7bde827d2ae</t>
  </si>
  <si>
    <t>Nitrile-compounds, at regional storehouse {RER}</t>
  </si>
  <si>
    <t>d0d339d8-319b-30d9-b4a5-ff4a1454bd5f</t>
  </si>
  <si>
    <t>Nitro-compounds, at regional storehouse {RER}</t>
  </si>
  <si>
    <t>4369d515-2037-3a74-a623-d76e267030b0</t>
  </si>
  <si>
    <t>Nitrobenzene, at plant {RER}</t>
  </si>
  <si>
    <t>63a2a6ee-ed84-3b5f-a47f-4650e0ff6e23</t>
  </si>
  <si>
    <t>Nitrogen trifluoride, at plant {RER}</t>
  </si>
  <si>
    <t>7f65f12f-0694-3d12-a25d-52ef76834d5a</t>
  </si>
  <si>
    <t>a2bbcfbc-5d63-3e86-9bab-8d4c2b6fdbc0</t>
  </si>
  <si>
    <t>Noise barrier for railway {CH}</t>
  </si>
  <si>
    <t>35fddf5c-524b-32ca-bda4-10be8b8e5ea0</t>
  </si>
  <si>
    <t>Non-ferrous metal mine, surface {GLO}</t>
  </si>
  <si>
    <t>39d605f7-0c34-3f63-b339-8de4be6e774d</t>
  </si>
  <si>
    <t>Non-ferrous metal mine, underground {GLO}</t>
  </si>
  <si>
    <t>0a1c5652-4e9c-3683-9f47-faa27ae4b507</t>
  </si>
  <si>
    <t>Non-ferrous metal smelter {GLO}</t>
  </si>
  <si>
    <t>5fb9a181-182d-3a35-9710-691b4979f74e</t>
  </si>
  <si>
    <t>NOx retained, in SCR {GLO}</t>
  </si>
  <si>
    <t>power plants\unspecified</t>
  </si>
  <si>
    <t>06e130f9-c6ff-366e-901c-418667fb6f46</t>
  </si>
  <si>
    <t>Nuclear fuel fabrication plant {CN}</t>
  </si>
  <si>
    <t>fuels\uranium\enriched\infrastructure</t>
  </si>
  <si>
    <t>97ecd2ec-bf44-3d0b-a782-1ecac6999606</t>
  </si>
  <si>
    <t>Nuclear fuel fabrication plant {GLO}</t>
  </si>
  <si>
    <t>4f2a68de-e47f-34b7-bbea-9c1cc021b301</t>
  </si>
  <si>
    <t>Nuclear power plant, boiling water reactor 1000MW {CH}</t>
  </si>
  <si>
    <t>electricity by fuel\waste\nuclear\bwr\infrastructure</t>
  </si>
  <si>
    <t>a2c847e0-6e3d-3b4e-a14c-7bbc0b25c3e3</t>
  </si>
  <si>
    <t>Nuclear power plant, boiling water reactor 1000MW {DE}</t>
  </si>
  <si>
    <t>bc108d40-527e-318a-80e8-4b3c8b5273e9</t>
  </si>
  <si>
    <t>Nuclear power plant, boiling water reactor 1000MW {UCTE}</t>
  </si>
  <si>
    <t>78b24376-7aa1-35b4-aedf-2e7ff0f6d0f5</t>
  </si>
  <si>
    <t>Nuclear power plant, pressure water reactor 1000MW {CH}</t>
  </si>
  <si>
    <t>electricity by fuel\waste\nuclear\pwr\infrastructure</t>
  </si>
  <si>
    <t>cba5bf71-5887-3432-8975-795b6dd15a21</t>
  </si>
  <si>
    <t>Nuclear power plant, pressure water reactor 1000MW {CN}</t>
  </si>
  <si>
    <t>8b11f51a-26d9-3331-bf1b-4bc62c33d51e</t>
  </si>
  <si>
    <t>Nuclear power plant, pressure water reactor 1000MW {DE}</t>
  </si>
  <si>
    <t>72cbd627-f72a-3a82-8e06-c4dec3f61cfd</t>
  </si>
  <si>
    <t>Nuclear power plant, pressure water reactor 1000MW {FR}</t>
  </si>
  <si>
    <t>81e5b8e6-b983-33a8-abc6-b2780c09d631</t>
  </si>
  <si>
    <t>Nuclear power plant, pressure water reactor 1000MW {UCTE}</t>
  </si>
  <si>
    <t>307dc796-98bc-3e69-a1bf-8e7e4f655cc7</t>
  </si>
  <si>
    <t>Nuclear spent fuel conditioning plant {CH}</t>
  </si>
  <si>
    <t>78a43b16-2526-37bd-a928-a9118057d41d</t>
  </si>
  <si>
    <t>Nuclear spent fuel conditioning plant {CN}</t>
  </si>
  <si>
    <t>b24f5c8b-3e65-3ef3-bcf1-3e044421022e</t>
  </si>
  <si>
    <t>Nuclear spent fuel reprocessing plant {RER}</t>
  </si>
  <si>
    <t>1582dc6e-e029-3b4e-9c8e-1c0ab1a0053e</t>
  </si>
  <si>
    <t>Nuclear spent fuel, in conditioning, at plant {CH}</t>
  </si>
  <si>
    <t>069547d2-d40c-40b5-abba-75115b9d2c19</t>
  </si>
  <si>
    <t>Nuclear spent fuel, in conditioning, at plant {CN}</t>
  </si>
  <si>
    <t>9f3109af-60a7-4281-b05c-cf39141d0fe9</t>
  </si>
  <si>
    <t>Nuclear spent fuel, in reprocessing, at plant {RER}</t>
  </si>
  <si>
    <t>377a457f-38f9-4fc0-907a-9201a6979e3e</t>
  </si>
  <si>
    <t>a22a1218-236e-32ca-8e90-302962a36fb5</t>
  </si>
  <si>
    <t>Nylon 66, at plant {RER}</t>
  </si>
  <si>
    <t>9cd9d57f-0df0-3a2c-bb24-c50f0a1b2286</t>
  </si>
  <si>
    <t>Nylon 66, glass-filled, at plant {RER}</t>
  </si>
  <si>
    <t>330e6ef1-e66d-3745-8b7f-eca35c8869a6</t>
  </si>
  <si>
    <t>O-dichlorobenzene, at plant {RER}</t>
  </si>
  <si>
    <t>0f7c2a47-bc9a-3c62-9bd7-438ae78bc5d9</t>
  </si>
  <si>
    <t>Office, complex sanitary installation, incl. appliances and pipes, construction {CH}</t>
  </si>
  <si>
    <t>ae835c2c-7a60-3ea0-8ee5-41e20c1c16fe</t>
  </si>
  <si>
    <t>Office, complex sanitary installation, incl. appliances and pipes, deconstruction {CH}</t>
  </si>
  <si>
    <t>44116a87-bf79-3c38-b32a-e025afeb8792</t>
  </si>
  <si>
    <t>Office, simple sanitary installation, incl. appliances and pipes, construction {CH}</t>
  </si>
  <si>
    <t>55d366ff-2303-37bf-8807-ea5f073a1c3c</t>
  </si>
  <si>
    <t>Office, simple sanitary installation, incl. appliances and pipes, deconstruction {CH}</t>
  </si>
  <si>
    <t>3725d558-f901-3bba-b3a6-1a81d9dc2dd7</t>
  </si>
  <si>
    <t>571d6ac9-b6b4-3f0c-a983-981f3467a215</t>
  </si>
  <si>
    <t>dcf65131-0608-3a01-af68-50be59e0b00f</t>
  </si>
  <si>
    <t>Oil mill {CH}</t>
  </si>
  <si>
    <t>agricultural\plant oils\infrastructure</t>
  </si>
  <si>
    <t>bb8812ca-3d94-3380-a363-1005f0738659</t>
  </si>
  <si>
    <t>Oil power plant 500MW {RER}</t>
  </si>
  <si>
    <t>electricity by fuel\oil\power plant\infrastructure</t>
  </si>
  <si>
    <t>db03cd10-207e-34de-b2fd-9d3aacf6dabd</t>
  </si>
  <si>
    <t>Oil storage 3000l {CH}</t>
  </si>
  <si>
    <t>9944df7a-a060-3eec-afec-2ba4c5dd5d49</t>
  </si>
  <si>
    <t>OLED module, at plant {GLO}</t>
  </si>
  <si>
    <t>5e8cee0e-ec8e-353d-9454-dac242cf0704</t>
  </si>
  <si>
    <t>43f7e2c2-abd2-3f86-b3e3-c695159f8bb1</t>
  </si>
  <si>
    <t>Olive pomace, burned in boiler furnace, at oil mill {CY}</t>
  </si>
  <si>
    <t>f96ce8a4-3fcd-34cb-9e57-3297e1b66cde</t>
  </si>
  <si>
    <t>Olive pomace, burned in furnace, ash to landfarming {CY}</t>
  </si>
  <si>
    <t>fe9db8e7-a37e-39d1-ba9d-43d4ff734d5e</t>
  </si>
  <si>
    <t>Olive pomace, burned in furnace, ash to municipal incineration {CY}</t>
  </si>
  <si>
    <t>36b7e2f5-20e7-39fa-a5c4-8c147c826bbd</t>
  </si>
  <si>
    <t>Olive pomace, burned in furnace, ash to sanitary landfill {CY}</t>
  </si>
  <si>
    <t>11cef752-8711-319c-8e20-f4b9f52eb6ad</t>
  </si>
  <si>
    <t>Olive pomace, dried, at oil mill {CY}</t>
  </si>
  <si>
    <t>338bdc26-ee87-3a9b-9706-fb7d6cf31b41</t>
  </si>
  <si>
    <t>Olivine comminution {CH}</t>
  </si>
  <si>
    <t>65a3c29e-0a8f-3324-9ab1-5a0b307a6171</t>
  </si>
  <si>
    <t>Open cast mine, hard coal {GLO}</t>
  </si>
  <si>
    <t>fuels\coal\produced coal\mined coal\infrastructure</t>
  </si>
  <si>
    <t>e0a575b1-8838-3141-bddf-2431048a6a9d</t>
  </si>
  <si>
    <t>Open cast mine, lignite {RER}</t>
  </si>
  <si>
    <t>1546cd6a-943c-3326-9867-cfa4633b8b16</t>
  </si>
  <si>
    <t>Open cast mine, peat {NORDEL}</t>
  </si>
  <si>
    <t>96c82037-9362-309e-a1fd-f952f869025c</t>
  </si>
  <si>
    <t>Open ground construction, on ground {RER}</t>
  </si>
  <si>
    <t>147fc5bd-292c-3f6c-87b8-19de33863ef6</t>
  </si>
  <si>
    <t>Open ground construction, on ground, Mont Soleil {CH}</t>
  </si>
  <si>
    <t>18fe6ea6-07a5-317e-9eab-768ca570e159</t>
  </si>
  <si>
    <t>Operation start, cogen unit 160kWe {RER}</t>
  </si>
  <si>
    <t>307c2b45-4938-3099-9c2b-ce3cd3424345</t>
  </si>
  <si>
    <t>Operation, average train {BE}</t>
  </si>
  <si>
    <t>pkm</t>
  </si>
  <si>
    <t>transport systems\train\operations</t>
  </si>
  <si>
    <t>a0a0cfae-58d2-3198-8890-fbc6e22a985d</t>
  </si>
  <si>
    <t>Operation, biogas combustion, in cogen 200kWe lean burn {CH}</t>
  </si>
  <si>
    <t>heat\biomass\combustion</t>
  </si>
  <si>
    <t>71edccde-5498-3a98-8c40-5b9988cb32de</t>
  </si>
  <si>
    <t>Operation, biogas combustion, in cogen with biogas engine {CH}</t>
  </si>
  <si>
    <t>189b2581-b908-3215-b63f-2e1b819af19f</t>
  </si>
  <si>
    <t>Operation, biogas combustion, in cogen with ignition gas engine {CH}</t>
  </si>
  <si>
    <t>302d3463-713e-3e0e-871a-484daeeb8802</t>
  </si>
  <si>
    <t>Operation, biogas combustion, in micro gas turbine 100kWe {CH}</t>
  </si>
  <si>
    <t>3e3ad70e-9cf1-36fa-b5f1-aac0dd618c7f</t>
  </si>
  <si>
    <t>Operation, coal freight train, diesel {CN}</t>
  </si>
  <si>
    <t>1a2e89a3-c59a-37b4-8ccd-8893aaa86310</t>
  </si>
  <si>
    <t>Operation, coal freight train, electricity {CN}</t>
  </si>
  <si>
    <t>7ba7b2bf-8573-3ca9-b9e3-619688c9306f</t>
  </si>
  <si>
    <t>Operation, coal freight train, steam {CN}</t>
  </si>
  <si>
    <t>cc4ab222-ff65-3a7d-9850-a2f2905d6b5a</t>
  </si>
  <si>
    <t>Operation, electric bicycle {CH}</t>
  </si>
  <si>
    <t>transport systems\road\operations</t>
  </si>
  <si>
    <t>446a6aea-c562-38d7-813e-b85ea6d5caa7</t>
  </si>
  <si>
    <t>Operation, electric bicycle, certified electricity {CH}</t>
  </si>
  <si>
    <t>a1f5a3c5-fdfa-388a-9e77-8892a4b41551</t>
  </si>
  <si>
    <t>Operation, freight train {BE}</t>
  </si>
  <si>
    <t>d35989a0-8bb5-3262-ae17-555a59bc4350</t>
  </si>
  <si>
    <t>Operation, freight train, diesel {RER}</t>
  </si>
  <si>
    <t>541b1d6f-1e3c-36cf-aa71-57bb8744d908</t>
  </si>
  <si>
    <t>Operation, lorry 28t, rape methyl ester 100% {CH}</t>
  </si>
  <si>
    <t>bc6050e2-e0a1-347e-8b93-3f71884a68a7</t>
  </si>
  <si>
    <t>Operation, maintenance, airport {RER}</t>
  </si>
  <si>
    <t>transport systems\airplane\operations</t>
  </si>
  <si>
    <t>d568708a-6fc3-32b8-94cc-1d3923d1da0a</t>
  </si>
  <si>
    <t>Operation, maintenance, port {RER}</t>
  </si>
  <si>
    <t>b973dd9f-ac42-3fe6-815f-d1ede1c7cc3b</t>
  </si>
  <si>
    <t>Operation, maintenance, railway track {CH}</t>
  </si>
  <si>
    <t>c144a4d4-ac3f-3a68-8a46-256d1c446b2a</t>
  </si>
  <si>
    <t>Operation, maintenance, railway track, ICE {DE}</t>
  </si>
  <si>
    <t>bce4f41e-dda4-3961-a5b5-50b723c1f1a4</t>
  </si>
  <si>
    <t>Operation, maintenance, road {CH}</t>
  </si>
  <si>
    <t>876f8f6b-9548-3edc-84b6-a4b0b05e90c6</t>
  </si>
  <si>
    <t>Operation, oil combustion, in cogen with ignition gas engine {CH}</t>
  </si>
  <si>
    <t>17d7af2c-9760-3c83-ade4-de7f661a1aca</t>
  </si>
  <si>
    <t>Operation, passenger car, electric, LiMn2O4 (proj. 500) {CH}</t>
  </si>
  <si>
    <t>2919230d-7cb4-3a2b-b404-f723805cee3b</t>
  </si>
  <si>
    <t>Operation, passenger car, electric, LiMn2O4 {CH}</t>
  </si>
  <si>
    <t>dd335928-7bf0-3c0f-9f8c-5f3f84347301</t>
  </si>
  <si>
    <t>Operation, passenger car, electric, LiMn2O4, certified electricity {CH}</t>
  </si>
  <si>
    <t>7202919b-d1d6-362b-b947-ee7819bfe289</t>
  </si>
  <si>
    <t>Operation, passenger car, electric, LiMn2O4, city car {CH}</t>
  </si>
  <si>
    <t>5aa09d04-42df-36b1-8438-2d0251d81bdf</t>
  </si>
  <si>
    <t>Operation, passenger car, electric, LiMn2O4, city car, certified electricity {CH}</t>
  </si>
  <si>
    <t>db78518b-7b35-36b3-9f12-e2d0be756596</t>
  </si>
  <si>
    <t>Operation, passenger car, ethanol 5% {CH}</t>
  </si>
  <si>
    <t>76a741ee-978f-3a60-8b3c-219486b8b5a0</t>
  </si>
  <si>
    <t>Operation, passenger car, methane, 96 vol-%, from biogas {CH}</t>
  </si>
  <si>
    <t>c7fa3a41-9a23-3dce-92ae-edf29563a3a1</t>
  </si>
  <si>
    <t>Operation, passenger car, methanol {CH}</t>
  </si>
  <si>
    <t>4f973682-7185-314e-aeda-c2611550bc1a</t>
  </si>
  <si>
    <t>Operation, passenger car, natural gas {CH}</t>
  </si>
  <si>
    <t>bcf9d90a-3c05-3465-b2e7-31a0f06370cd</t>
  </si>
  <si>
    <t>Operation, passenger car, petrol, 15% vol. ETBE with ethanol from biomass, EURO4 {CH}</t>
  </si>
  <si>
    <t>e43e204c-4646-3851-a824-dda7e25c42c2</t>
  </si>
  <si>
    <t>Operation, passenger car, petrol, 4% vol. ETBE with ethanol from biomass, EURO4 {CH}</t>
  </si>
  <si>
    <t>98a610d7-3c6c-3217-af67-2715d49efd5e</t>
  </si>
  <si>
    <t>Operation, passenger car, rape seed methyl ester 5% {CH}</t>
  </si>
  <si>
    <t>d11f27a7-3e2e-3aa9-a5d2-52969eb71a28</t>
  </si>
  <si>
    <t>Operation, scooter {CH}</t>
  </si>
  <si>
    <t>22ccc063-ef92-343f-9524-ec73b53ecfa3</t>
  </si>
  <si>
    <t>Operation, tram track {CH}</t>
  </si>
  <si>
    <t>e156f77c-40d0-3254-9156-be8f2f385da7</t>
  </si>
  <si>
    <t>Optical brighteners, in paper production, at plant {RER}</t>
  </si>
  <si>
    <t>a2c094bf-5e11-3b4b-865f-1130f1fed788</t>
  </si>
  <si>
    <t>Organophosphorus-compounds, at regional storehouse {CH}</t>
  </si>
  <si>
    <t>1e13605f-584a-3a1c-93c9-ea1d8674807b</t>
  </si>
  <si>
    <t>Organophosphorus-compounds, at regional storehouse {RER}</t>
  </si>
  <si>
    <t>a0f1b527-f018-3f0e-b671-b33eb6e0891c</t>
  </si>
  <si>
    <t>Oriented strand board, at plant {RER}</t>
  </si>
  <si>
    <t>4187aea7-bf38-34ca-a164-e72196ea8f62</t>
  </si>
  <si>
    <t>Oriented strand board, at regional storage {CH}</t>
  </si>
  <si>
    <t>c4366e93-dc07-3d08-a3e3-d379eaa7dc43</t>
  </si>
  <si>
    <t>Oriented strand board, at regional storage, with resource correction {CH}</t>
  </si>
  <si>
    <t>b98963cb-276e-3d6c-b5ef-3aab87a0a57f</t>
  </si>
  <si>
    <t>Other components, for electric lorry {RER}</t>
  </si>
  <si>
    <t>ebcff148-d667-3d15-ad6d-00d55051ee9e</t>
  </si>
  <si>
    <t>Other components, for hybrid electric lorry {RER}</t>
  </si>
  <si>
    <t>0c697555-7c7b-348e-9b18-14fedc92b702</t>
  </si>
  <si>
    <t>Outer frame {GLO}</t>
  </si>
  <si>
    <t>06d57931-42c0-3f65-bab1-954cd9f0b2e9</t>
  </si>
  <si>
    <t>Outside air intake, stainless steel, DN 370, at plant {RER}</t>
  </si>
  <si>
    <t>7067ee78-4d9e-3a28-818b-9dd47b7c3bf5</t>
  </si>
  <si>
    <t>Overflow element, steel, approx. 40 m3/h {RER}</t>
  </si>
  <si>
    <t>b27409a2-aabd-3017-8b32-89436445a9b3</t>
  </si>
  <si>
    <t>Overhead lines {RER}</t>
  </si>
  <si>
    <t>9fa49ef4-c21f-39fc-95d6-e739b273c45b</t>
  </si>
  <si>
    <t>Oxide, for Li-ion NMC111 battery {GLO}</t>
  </si>
  <si>
    <t>e2dc453e-4e0a-3c22-98e9-8b8b14c4529a</t>
  </si>
  <si>
    <t>ffa681a6-74f7-36b7-ac25-5523f8a1749e</t>
  </si>
  <si>
    <t>ffdd66da-8477-38b7-9cf8-af0c7ae7bb94</t>
  </si>
  <si>
    <t>P-dichlorobenzene, at plant {RER}</t>
  </si>
  <si>
    <t>50f8a5f3-b278-337f-9f18-d3ba0b749c2b</t>
  </si>
  <si>
    <t>Packaging box production unit {RER}</t>
  </si>
  <si>
    <t>paper+ board\packagings\infrastructure</t>
  </si>
  <si>
    <t>e698ea6c-4e76-3ea0-822e-b7e7f25dc05a</t>
  </si>
  <si>
    <t>4729b77e-908b-3258-a3fd-55f38497291b</t>
  </si>
  <si>
    <t>Packaging, corrugated board, mixed fibre, single wall, at plant {CH}</t>
  </si>
  <si>
    <t>paper+ board\packagings</t>
  </si>
  <si>
    <t>9aecfc60-086e-3635-b287-a8e0e48c548b</t>
  </si>
  <si>
    <t>4df85d33-beb5-34f3-8e21-2af32c6ed093</t>
  </si>
  <si>
    <t>Packing, cement {CH}</t>
  </si>
  <si>
    <t>c9043a1f-90d8-3b44-9495-70a9b89a9ce7</t>
  </si>
  <si>
    <t>Packing, clay products {CH}</t>
  </si>
  <si>
    <t>80edb9d9-1b57-3472-9388-1f6a3961b4c9</t>
  </si>
  <si>
    <t>Packing, fibre cement products {CH}</t>
  </si>
  <si>
    <t>e51a6231-80f0-3b3f-8d2e-1f776d69b762</t>
  </si>
  <si>
    <t>Packing, lime products {CH}</t>
  </si>
  <si>
    <t>1e0e682a-f7dd-37a2-9f07-7e278906bc33</t>
  </si>
  <si>
    <t>fdb5ae4c-a3d6-35f7-b7e6-0156433958d3</t>
  </si>
  <si>
    <t>Palladium, primary, at refinery {RU}</t>
  </si>
  <si>
    <t>ed767226-c15d-3481-ab89-79987b536c62</t>
  </si>
  <si>
    <t>Palladium, primary, at refinery {ZA}</t>
  </si>
  <si>
    <t>ff76c730-3ba4-3ea1-86cd-f8c5b908c798</t>
  </si>
  <si>
    <t>Palladium, secondary, at refinery {RER}</t>
  </si>
  <si>
    <t>4b84836c-ba3b-3977-9965-f3ac1a80c209</t>
  </si>
  <si>
    <t>Palm fruit bunches, at farm {MY}</t>
  </si>
  <si>
    <t>28023838-688d-38b9-9b40-4b93f6e99ce2</t>
  </si>
  <si>
    <t>Palm kernel oil, at oil mill {MY}</t>
  </si>
  <si>
    <t>9a3066f9-40c9-3b27-9dde-dbd1059c4bc4</t>
  </si>
  <si>
    <t>Palm methyl ester, at esterification plant {MY}</t>
  </si>
  <si>
    <t>fde2bfe9-f8e9-39f1-9224-c127b55e63c8</t>
  </si>
  <si>
    <t>c5c36e17-eceb-3269-a637-b9b16ccfe2dd</t>
  </si>
  <si>
    <t>Panel components, at plant {GLO}</t>
  </si>
  <si>
    <t>32c22570-83a1-3f25-a2fb-9943fbdac093</t>
  </si>
  <si>
    <t>Panel glass, CRT screen, at plant {GLO}</t>
  </si>
  <si>
    <t>0319d7be-1c93-312d-a5ee-c3a189738131</t>
  </si>
  <si>
    <t>Panelling, aluminium, outer door, at plant {CH}</t>
  </si>
  <si>
    <t>231d7d2b-5e2b-37ac-a144-fcc234048bf3</t>
  </si>
  <si>
    <t>Panelling, aluminium, window casement and frame cover, m2 visible, at plant {CH}</t>
  </si>
  <si>
    <t>e8c437d0-5b14-3d82-b419-b9d80ad75e31</t>
  </si>
  <si>
    <t>Panelling, aluminium, window casement and frame cover, wall opening, at plant {CH}</t>
  </si>
  <si>
    <t>656ce89c-6be6-3a56-91c6-b6a6fabdd9b9</t>
  </si>
  <si>
    <t>Panelling, aluminium, window casement cover, m2 visible, at plant {CH}</t>
  </si>
  <si>
    <t>8c8b836a-841c-30c6-aa60-fde62cce8ade</t>
  </si>
  <si>
    <t>Panelling, aluminium, window casement cover, wall opening, at plant {CH}</t>
  </si>
  <si>
    <t>e6d2f5bb-2ec6-35a9-b5f4-05ba17a1461d</t>
  </si>
  <si>
    <t>Panelling, aluminium, window frame cover, m2 visible, at plant {CH}</t>
  </si>
  <si>
    <t>f3f28c27-d1a8-3ac8-b40f-2c66bc92c83a</t>
  </si>
  <si>
    <t>Panelling, aluminium, window frame cover, wall opening, at plant {CH}</t>
  </si>
  <si>
    <t>28d0e400-dfe2-3209-8f0e-849dbae9d0c6</t>
  </si>
  <si>
    <t>Paper machine, at paper mill {RER}</t>
  </si>
  <si>
    <t>paper+ board\graphic paper\infrastructure</t>
  </si>
  <si>
    <t>60eac485-1d01-36d4-bfac-55b6711aeb65</t>
  </si>
  <si>
    <t>Paper mill, integrated {RER}</t>
  </si>
  <si>
    <t>e38026bf-b5ce-3853-a7df-281da2743f60</t>
  </si>
  <si>
    <t>Paper mill, non-integrated {RER}</t>
  </si>
  <si>
    <t>d1374aef-296d-3c4f-ae87-34fa433f19c2</t>
  </si>
  <si>
    <t>Paper, melamine impregnated, at plant {RER}</t>
  </si>
  <si>
    <t>359e855e-12c0-34ee-b489-e81fcaaeed5c</t>
  </si>
  <si>
    <t>Paper, newsprint, 0% DIP, at plant {RER}</t>
  </si>
  <si>
    <t>paper+ board\graphic paper</t>
  </si>
  <si>
    <t>1ae6c1a0-2fa6-3d7d-9ac8-af78e3a34e74</t>
  </si>
  <si>
    <t>Paper, newsprint, at plant {CH}</t>
  </si>
  <si>
    <t>40b98e83-2642-3941-ad1b-e70e3ec4f1ef</t>
  </si>
  <si>
    <t>Paper, newsprint, DIP containing, at plant {RER}</t>
  </si>
  <si>
    <t>bd2e37f3-4ef9-3ff4-9d48-9d5e497078c7</t>
  </si>
  <si>
    <t>fa2732c0-de34-3cb9-8892-690e0b7df9c8</t>
  </si>
  <si>
    <t>Paper, recycling, no deinking, at plant {RER}</t>
  </si>
  <si>
    <t>1aa2c590-cf16-37ac-ba21-b73ec07e78b4</t>
  </si>
  <si>
    <t>Paper, recycling, with deinking, at plant {RER}</t>
  </si>
  <si>
    <t>ffed7c54-12bb-361d-b8e3-99a67c9b8bd0</t>
  </si>
  <si>
    <t>Paper, wood-containing, LWC, at regional storage {CH}</t>
  </si>
  <si>
    <t>3876629d-2cba-3bc0-b005-eb393169f9f4</t>
  </si>
  <si>
    <t>Paper, wood-containing, LWC, at regional storage {RER}</t>
  </si>
  <si>
    <t>9588954d-30d9-3bed-8235-2470d454b132</t>
  </si>
  <si>
    <t>Paper, woodcontaining, LWC, at plant {RER}</t>
  </si>
  <si>
    <t>4ea96e9b-24e8-3e69-ace9-76ca6217c059</t>
  </si>
  <si>
    <t>Paper, woodcontaining, supercalendred (SC), at plant {RER}</t>
  </si>
  <si>
    <t>437b5f5c-5e6e-390a-850d-ccf55ad52bb2</t>
  </si>
  <si>
    <t>Paper, woodfree, coated, at integrated mill {RER}</t>
  </si>
  <si>
    <t>a50b0327-4733-30fa-9ec1-4f3c3afd7b81</t>
  </si>
  <si>
    <t>Paper, woodfree, coated, at non-integrated mill {RER}</t>
  </si>
  <si>
    <t>4a3286a2-3791-31fc-b2a1-27be4c6f6238</t>
  </si>
  <si>
    <t>Paper, woodfree, coated, at regional storage {RER}</t>
  </si>
  <si>
    <t>a4e533f6-f149-3ddf-b98e-4a0ab7730686</t>
  </si>
  <si>
    <t>Paper, woodfree, uncoated, at integrated mill {RER}</t>
  </si>
  <si>
    <t>dcc6e450-80a8-3a4d-9dc9-2b20741b611a</t>
  </si>
  <si>
    <t>Paper, woodfree, uncoated, at non-integrated mill {RER}</t>
  </si>
  <si>
    <t>3c237c91-a614-3b47-a546-2ec14e1d968f</t>
  </si>
  <si>
    <t>9235f765-2c0e-3fc9-afb2-3423071eef4f</t>
  </si>
  <si>
    <t>Paraffin, at plant {RER}</t>
  </si>
  <si>
    <t>ffe49bac-1b88-35cd-a9b6-1bb8e98b1b68</t>
  </si>
  <si>
    <t>Paraná pine, allocation correction 1 {GLO}</t>
  </si>
  <si>
    <t>90011c71-96b4-3c01-9fc5-8627eec31541</t>
  </si>
  <si>
    <t>Paraná pine, allocation correction 2 {GLO}</t>
  </si>
  <si>
    <t>bbe5625a-85d2-30e7-a0c2-9be0590200fc</t>
  </si>
  <si>
    <t>Paraná pine, standing, under bark, in rain forest {BR}</t>
  </si>
  <si>
    <t>76706e4f-d12d-3fe1-84c9-3e4887d6d396</t>
  </si>
  <si>
    <t>Parathion, at regional storehouse {RER}</t>
  </si>
  <si>
    <t>f43725e8-042c-3a88-b096-bc6bec5b44d0</t>
  </si>
  <si>
    <t>Parkes process crust, from desilverising of lead {GLO}</t>
  </si>
  <si>
    <t>08b24b3f-4e6a-3b04-aa68-d36322652a50</t>
  </si>
  <si>
    <t>Particle board, cement bonded, at plant {RER}</t>
  </si>
  <si>
    <t>wood\products</t>
  </si>
  <si>
    <t>efaba904-8105-36f4-960e-c01d962787eb</t>
  </si>
  <si>
    <t>Particle board, cement bonded, at plant, with resource correction {CH}</t>
  </si>
  <si>
    <t>75aedaf7-7970-326e-85d9-bafec41d78b7</t>
  </si>
  <si>
    <t>Particle board, melamin coated, doubleside coated (200 g {CH}</t>
  </si>
  <si>
    <t>b074030c-4832-3289-bf73-8380ccc2e264</t>
  </si>
  <si>
    <t>Particle board, melamin coated, doubleside coated (90 g {CH}</t>
  </si>
  <si>
    <t>17708259-c84d-33c3-9f10-adf22984af18</t>
  </si>
  <si>
    <t>Particle board, UF-bound, coated, dry area {CH}</t>
  </si>
  <si>
    <t>dc9779fd-91ed-3f6c-8544-d4cb22f65cf7</t>
  </si>
  <si>
    <t>Particle board, UF-bound, coated, dry area, with resource correction {CH}</t>
  </si>
  <si>
    <t>b353dae3-cd08-3e56-9513-65ce6008be96</t>
  </si>
  <si>
    <t>Particle board, veneered, at plant {CH}</t>
  </si>
  <si>
    <t>02a3e134-2210-3ce5-b9fb-6a476fe6e33f</t>
  </si>
  <si>
    <t>Particleboard 18 mm, average glue mix, melamine faced, at regional storage {CH}</t>
  </si>
  <si>
    <t>f2f8b4d2-d91d-3fff-97c5-6dd399988d28</t>
  </si>
  <si>
    <t>Particleboard 18 mm, average glue mix, melamine faced, at regional storage, with resource correction {CH}</t>
  </si>
  <si>
    <t>fdf81e1a-eefe-3713-aa4e-fb491cc4206e</t>
  </si>
  <si>
    <t>Particleboard, average glue mix, uncoated, at plant {RER}</t>
  </si>
  <si>
    <t>35fc2f41-7836-32f8-a3d8-f3db2c66f859</t>
  </si>
  <si>
    <t>Particleboard, uncoated, average glue mix, at regional storage {CH}</t>
  </si>
  <si>
    <t>db4f67ed-7718-30be-aadf-3c328b2950dd</t>
  </si>
  <si>
    <t>Particleboard, uncoated, average glue mix, at regional storage, with resource correction {CH}</t>
  </si>
  <si>
    <t>ba10ecc6-23bf-3b6a-8992-5c344d7d2026</t>
  </si>
  <si>
    <t>Passenger bus, battery electric - battery-equipped trolleybus, LTO battery, 13m single deck urban bus, 2020 {CH}</t>
  </si>
  <si>
    <t>8215b27a-ff08-3750-9f92-84d8a6131fdb</t>
  </si>
  <si>
    <t>Passenger bus, battery electric - battery-equipped trolleybus, LTO battery, 18m articulated urban bus, 2020 {CH}</t>
  </si>
  <si>
    <t>0e9b682f-9a32-389e-84c6-25a8bd72bc09</t>
  </si>
  <si>
    <t>Passenger bus, battery electric - opportunity charging, LTO battery, 13m double deck urban bus, 2020 {CH}</t>
  </si>
  <si>
    <t>02ebb516-b4d3-3c7b-9f92-afc9ad66d34d</t>
  </si>
  <si>
    <t>Passenger bus, battery electric - opportunity charging, LTO battery, 13m single deck urban bus, 2020 {CH}</t>
  </si>
  <si>
    <t>a757a0c1-e717-38fb-bc8d-ed410a7fa7e8</t>
  </si>
  <si>
    <t>Passenger bus, battery electric - opportunity charging, LTO battery, 18m articulated urban bus, 2020 {CH}</t>
  </si>
  <si>
    <t>13600891-bef4-369c-bcbe-a49d0271bd2a</t>
  </si>
  <si>
    <t>Passenger bus, battery electric - opportunity charging, LTO battery, 9m midibus, 2020 {CH}</t>
  </si>
  <si>
    <t>626ebb2a-dd32-3b5f-a80f-dcc82eaa23df</t>
  </si>
  <si>
    <t>Passenger bus, battery electric - overnight charging, LFP battery, 13m double deck urban bus, 2020 {CH}</t>
  </si>
  <si>
    <t>88f89627-49fe-3c73-923a-7218ea4ebe54</t>
  </si>
  <si>
    <t>Passenger bus, battery electric - overnight charging, LFP battery, 13m single deck urban bus, 2020 {CH}</t>
  </si>
  <si>
    <t>ffe8922e-e159-360c-a7e4-554b9fc1d4e4</t>
  </si>
  <si>
    <t>Passenger bus, battery electric - overnight charging, LFP battery, 18m articulated urban bus, 2020 {CH}</t>
  </si>
  <si>
    <t>e4c48344-6b0c-359b-a7ea-77e620671ba4</t>
  </si>
  <si>
    <t>Passenger bus, battery electric - overnight charging, LFP battery, 9m midibus, 2020 {CH}</t>
  </si>
  <si>
    <t>a600183c-d96d-3f43-9496-dc2d7635d246</t>
  </si>
  <si>
    <t>Passenger bus, battery electric - overnight charging, NCA battery, 13m double deck urban bus, 2020 {CH}</t>
  </si>
  <si>
    <t>dd148698-2e49-3009-999a-240558298ee2</t>
  </si>
  <si>
    <t>Passenger bus, battery electric - overnight charging, NCA battery, 13m single deck urban bus, 2020 {CH}</t>
  </si>
  <si>
    <t>0ae96ff8-d844-3a24-a737-bdbf44a05711</t>
  </si>
  <si>
    <t>Passenger bus, battery electric - overnight charging, NCA battery, 18m articulated urban bus, 2020 {CH}</t>
  </si>
  <si>
    <t>be3eec25-d6e3-3563-b9cc-d6538b92c874</t>
  </si>
  <si>
    <t>Passenger bus, battery electric - overnight charging, NCA battery, 9m midibus, 2020 {CH}</t>
  </si>
  <si>
    <t>fbcff620-b615-3551-b697-b4c839e1d060</t>
  </si>
  <si>
    <t>Passenger bus, battery electric - overnight charging, NMC-622 battery, 13m double deck urban bus, 2020 {CH}</t>
  </si>
  <si>
    <t>91c9d944-f0ed-36b8-b87a-300dc9f28b3c</t>
  </si>
  <si>
    <t>Passenger bus, battery electric - overnight charging, NMC-622 battery, 13m single deck urban bus, 2020 {CH}</t>
  </si>
  <si>
    <t>b541f945-b939-3814-af02-95c2bb50902d</t>
  </si>
  <si>
    <t>Passenger bus, battery electric - overnight charging, NMC-622 battery, 18m articulated urban bus, 2020 {CH}</t>
  </si>
  <si>
    <t>97c02e09-dca9-3336-9a1f-74f32fd696c7</t>
  </si>
  <si>
    <t>Passenger bus, battery electric - overnight charging, NMC-622 battery, 9m midibus, 2020 {CH}</t>
  </si>
  <si>
    <t>5d5f6557-cfb3-36e7-98e7-3ff7c0ac3139</t>
  </si>
  <si>
    <t>Passenger bus, compressed gas, 13m double deck coach bus, 2010, EURO-V {CH}</t>
  </si>
  <si>
    <t>b020a828-b322-3e46-b431-b742ffa4866f</t>
  </si>
  <si>
    <t>Passenger bus, compressed gas, 13m double deck coach bus, 2020, EURO-VI {CH}</t>
  </si>
  <si>
    <t>4b342a4b-5634-308a-b363-70f38a34597d</t>
  </si>
  <si>
    <t>Passenger bus, compressed gas, 13m double deck urban bus, 2010, EURO-V {CH}</t>
  </si>
  <si>
    <t>15556982-6d60-36b6-9479-c41e8ee16e23</t>
  </si>
  <si>
    <t>Passenger bus, compressed gas, 13m double deck urban bus, 2020, EURO-VI {CH}</t>
  </si>
  <si>
    <t>679e545d-a5d5-3db5-a178-9374d72d285a</t>
  </si>
  <si>
    <t>Passenger bus, compressed gas, 13m single deck coach bus, 2010, EURO-V {CH}</t>
  </si>
  <si>
    <t>1814c62a-80d0-3124-b09c-0fdc1ac324d8</t>
  </si>
  <si>
    <t>Passenger bus, compressed gas, 13m single deck coach bus, 2020, EURO-VI {CH}</t>
  </si>
  <si>
    <t>71299287-1a49-32d9-be91-3bbe57837e76</t>
  </si>
  <si>
    <t>Passenger bus, compressed gas, 13m single deck urban bus, 2010, EURO-V {CH}</t>
  </si>
  <si>
    <t>d9516596-d2d6-32df-a315-6af1ba6f299f</t>
  </si>
  <si>
    <t>Passenger bus, compressed gas, 13m single deck urban bus, 2020, EURO-VI {CH}</t>
  </si>
  <si>
    <t>74a359d5-ee03-34f5-92ac-5cc867345584</t>
  </si>
  <si>
    <t>Passenger bus, compressed gas, 18m articulated urban bus, 2010, EURO-V {CH}</t>
  </si>
  <si>
    <t>89b93061-0249-3fa4-b567-dfea2cb19e0c</t>
  </si>
  <si>
    <t>Passenger bus, compressed gas, 18m articulated urban bus, 2020, EURO-VI {CH}</t>
  </si>
  <si>
    <t>d7200da8-b939-3f22-b3de-854c385e405d</t>
  </si>
  <si>
    <t>Passenger bus, compressed gas, 9m midibus, 2010, EURO-V {CH}</t>
  </si>
  <si>
    <t>5ce220cb-6994-3a94-b564-2bb578b913b8</t>
  </si>
  <si>
    <t>Passenger bus, compressed gas, 9m midibus, 2020, EURO-VI {CH}</t>
  </si>
  <si>
    <t>93448492-4baf-365b-b1c4-614e1e86bd97</t>
  </si>
  <si>
    <t>Passenger bus, diesel hybrid, 13m double deck coach bus, 2020, EURO-VI {CH}</t>
  </si>
  <si>
    <t>7d8b0e1a-c8ca-311e-ac5d-da2c0ada8817</t>
  </si>
  <si>
    <t>Passenger bus, diesel hybrid, 13m double deck urban bus, 2020, EURO-VI {CH}</t>
  </si>
  <si>
    <t>c204b962-0ed0-3872-bf6e-24b13b81a1ae</t>
  </si>
  <si>
    <t>Passenger bus, diesel hybrid, 13m single deck coach bus, 2020, EURO-VI {CH}</t>
  </si>
  <si>
    <t>23194d72-8285-3620-b393-d36c919775cc</t>
  </si>
  <si>
    <t>Passenger bus, diesel hybrid, 13m single deck urban bus, 2020, EURO-VI {CH}</t>
  </si>
  <si>
    <t>5d082046-993f-3134-a3eb-fae17776ca1d</t>
  </si>
  <si>
    <t>Passenger bus, diesel hybrid, 18m articulated urban bus, 2020, EURO-VI {CH}</t>
  </si>
  <si>
    <t>ab10c999-0e68-356a-97ee-266f10a300f0</t>
  </si>
  <si>
    <t>Passenger bus, diesel hybrid, 9m midibus, 2020, EURO-VI {CH}</t>
  </si>
  <si>
    <t>83ba13b4-05de-322b-a85e-e35e2bdd553c</t>
  </si>
  <si>
    <t>Passenger bus, diesel, 13m double deck coach bus, 2002, EURO-III {CH}</t>
  </si>
  <si>
    <t>7bd910f0-12d1-3b2d-a0d6-98dc8171d5f1</t>
  </si>
  <si>
    <t>Passenger bus, diesel, 13m double deck coach bus, 2006, EURO-IV {CH}</t>
  </si>
  <si>
    <t>c925a963-1a4d-3996-babb-03468eba2f1c</t>
  </si>
  <si>
    <t>Passenger bus, diesel, 13m double deck coach bus, 2010, EURO-V {CH}</t>
  </si>
  <si>
    <t>88af4154-a290-3ba8-97bf-37ada8ec5179</t>
  </si>
  <si>
    <t>Passenger bus, diesel, 13m double deck coach bus, 2020, EURO-VI {CH}</t>
  </si>
  <si>
    <t>4b357ae1-bf2d-34ad-88d3-64432e4c70b6</t>
  </si>
  <si>
    <t>Passenger bus, diesel, 13m double deck urban bus, 2002, EURO-III {CH}</t>
  </si>
  <si>
    <t>b439bbc1-36c9-3360-a574-8b34369d35d2</t>
  </si>
  <si>
    <t>Passenger bus, diesel, 13m double deck urban bus, 2006, EURO-IV {CH}</t>
  </si>
  <si>
    <t>e24b3936-d477-3e39-b265-917b1e179758</t>
  </si>
  <si>
    <t>Passenger bus, diesel, 13m double deck urban bus, 2010, EURO-V {CH}</t>
  </si>
  <si>
    <t>77515bd0-3cc2-3a49-ae8a-978fcbc6430d</t>
  </si>
  <si>
    <t>Passenger bus, diesel, 13m double deck urban bus, 2020, EURO-VI {CH}</t>
  </si>
  <si>
    <t>8098c1ac-2fa8-3c7c-b121-964b221ccdc8</t>
  </si>
  <si>
    <t>Passenger bus, diesel, 13m single deck coach bus, 2002, EURO-III {CH}</t>
  </si>
  <si>
    <t>7e67994e-60bd-3701-86bb-122a6b749725</t>
  </si>
  <si>
    <t>Passenger bus, diesel, 13m single deck coach bus, 2006, EURO-IV {CH}</t>
  </si>
  <si>
    <t>a1448646-8804-39a1-904f-410ee201931c</t>
  </si>
  <si>
    <t>Passenger bus, diesel, 13m single deck coach bus, 2010, EURO-V {CH}</t>
  </si>
  <si>
    <t>1a7982f0-223a-32bd-9faf-c89be42174d1</t>
  </si>
  <si>
    <t>Passenger bus, diesel, 13m single deck coach bus, 2020, EURO-VI {CH}</t>
  </si>
  <si>
    <t>1171685f-726b-37a3-b80c-bf5823459e5d</t>
  </si>
  <si>
    <t>Passenger bus, diesel, 13m single deck urban bus, 2002, EURO-III {CH}</t>
  </si>
  <si>
    <t>13ddac6b-6120-3baa-848c-2fb079971c4f</t>
  </si>
  <si>
    <t>Passenger bus, diesel, 13m single deck urban bus, 2006, EURO-IV {CH}</t>
  </si>
  <si>
    <t>6cf00042-cb19-3981-9d68-93b96507a7e4</t>
  </si>
  <si>
    <t>Passenger bus, diesel, 13m single deck urban bus, 2010, EURO-V {CH}</t>
  </si>
  <si>
    <t>e18307a5-d035-366f-afcf-7a826b89e396</t>
  </si>
  <si>
    <t>94c9cb25-5bbe-33e4-a37b-5328ea878700</t>
  </si>
  <si>
    <t>Passenger bus, diesel, 18m articulated urban bus, 2002, EURO-III {CH}</t>
  </si>
  <si>
    <t>f1b33a58-00e7-36d6-844c-c90b5d06bd2c</t>
  </si>
  <si>
    <t>Passenger bus, diesel, 18m articulated urban bus, 2006, EURO-IV {CH}</t>
  </si>
  <si>
    <t>692bc5b4-bb45-3a27-9455-9501c0243bf0</t>
  </si>
  <si>
    <t>Passenger bus, diesel, 18m articulated urban bus, 2010, EURO-V {CH}</t>
  </si>
  <si>
    <t>a4756aa3-083d-3a58-9b83-c4bfabc20bef</t>
  </si>
  <si>
    <t>Passenger bus, diesel, 18m articulated urban bus, 2020, EURO-VI {CH}</t>
  </si>
  <si>
    <t>a8adf747-03a0-3b06-8149-2440b5fbc72e</t>
  </si>
  <si>
    <t>Passenger bus, diesel, 9m midibus, 2002, EURO-III {CH}</t>
  </si>
  <si>
    <t>c932855a-8a70-3416-b662-063356ee1f74</t>
  </si>
  <si>
    <t>Passenger bus, diesel, 9m midibus, 2006, EURO-IV {CH}</t>
  </si>
  <si>
    <t>0b408716-6eba-3722-9e90-d4bd4a4d3057</t>
  </si>
  <si>
    <t>Passenger bus, diesel, 9m midibus, 2010, EURO-V {CH}</t>
  </si>
  <si>
    <t>1f21f1fd-5532-36ab-b96e-2f4fa7ceae16</t>
  </si>
  <si>
    <t>45955615-984b-3c26-8f57-9a12300cdaf6</t>
  </si>
  <si>
    <t>Passenger bus, fuel cell electric, 13m double deck coach bus, 2020 {CH}</t>
  </si>
  <si>
    <t>0dc28cfa-3ba9-39bd-ba95-67f5b8feb010</t>
  </si>
  <si>
    <t>Passenger bus, fuel cell electric, 13m double deck urban bus, 2020 {CH}</t>
  </si>
  <si>
    <t>2de62614-1e08-34ee-8442-875f799e912c</t>
  </si>
  <si>
    <t>Passenger bus, fuel cell electric, 13m single deck coach bus, 2020 {CH}</t>
  </si>
  <si>
    <t>d1753bfb-3af7-3794-ae21-a8fb3baa946f</t>
  </si>
  <si>
    <t>Passenger bus, fuel cell electric, 13m single deck urban bus, 2020 {CH}</t>
  </si>
  <si>
    <t>2c111e7c-6b39-3c1e-8d34-1242d3c0cdd1</t>
  </si>
  <si>
    <t>Passenger bus, fuel cell electric, 18m articulated urban bus, 2020 {CH}</t>
  </si>
  <si>
    <t>5c992c2d-0d81-325a-8086-0f128aaf15fb</t>
  </si>
  <si>
    <t>Passenger bus, fuel cell electric, 9m midibus, 2020 {CH}</t>
  </si>
  <si>
    <t>9d42d189-6188-3994-bc69-68b47d45062b</t>
  </si>
  <si>
    <t>Passenger car {RER}</t>
  </si>
  <si>
    <t>1110950f-5ed3-3daf-a763-8fc41c9814a6</t>
  </si>
  <si>
    <t>Passenger car, battery electric, LFP battery, Compact, 2021 {RER}</t>
  </si>
  <si>
    <t>fdaedc22-0f3b-31f7-a9b7-8e7ba8275839</t>
  </si>
  <si>
    <t>Passenger car, battery electric, LFP battery, Large SUV, 2021 {RER}</t>
  </si>
  <si>
    <t>f79c5f49-0c5c-3038-82f4-ad962930638d</t>
  </si>
  <si>
    <t>Passenger car, battery electric, LFP battery, Large, 2021 {RER}</t>
  </si>
  <si>
    <t>11185ecb-cb98-32dc-9895-d8dc94b4c704</t>
  </si>
  <si>
    <t>7ea32ce5-0b8d-3dcf-8eb4-6056b4f8476f</t>
  </si>
  <si>
    <t>Passenger car, battery electric, LFP battery, Micro, 2021 {RER}</t>
  </si>
  <si>
    <t>36cd713e-8a5a-3aaf-a801-ac8ecc6cd2bc</t>
  </si>
  <si>
    <t>Passenger car, battery electric, NCA battery, Compact, 2021 {RER}</t>
  </si>
  <si>
    <t>6ba875e5-b05a-3f65-b138-43700b1a451d</t>
  </si>
  <si>
    <t>Passenger car, battery electric, NCA battery, Large SUV, 2021 {RER}</t>
  </si>
  <si>
    <t>f5ed7dd3-79ff-3cc6-a433-dc50f84befdd</t>
  </si>
  <si>
    <t>Passenger car, battery electric, NCA battery, Large, 2021 {RER}</t>
  </si>
  <si>
    <t>d9e26c2c-8473-3cc9-91af-27df66ee73ec</t>
  </si>
  <si>
    <t>Passenger car, battery electric, NCA battery, Medium, 2021 {RER}</t>
  </si>
  <si>
    <t>d1633bd0-1323-3dab-84fd-1aa6fc2a531c</t>
  </si>
  <si>
    <t>Passenger car, battery electric, NCA battery, Micro, 2021 {RER}</t>
  </si>
  <si>
    <t>4dcd6a47-dc80-3355-819d-0b74d33115a7</t>
  </si>
  <si>
    <t>Passenger car, battery electric, NMC-622 battery, Compact, 2021 {RER}</t>
  </si>
  <si>
    <t>4e04408b-2472-3430-8598-95363b75d99e</t>
  </si>
  <si>
    <t>Passenger car, battery electric, NMC-622 battery, Large SUV, 2021 {RER}</t>
  </si>
  <si>
    <t>bd8512d8-051a-3e7f-b92a-089e3a5d925e</t>
  </si>
  <si>
    <t>Passenger car, battery electric, NMC-622 battery, Large, 2021 {RER}</t>
  </si>
  <si>
    <t>d1726da6-8795-3b1d-8355-6eeda24ee1e7</t>
  </si>
  <si>
    <t>Passenger car, battery electric, NMC-622 battery, Medium, 2021 {RER}</t>
  </si>
  <si>
    <t>081863d0-e78c-3737-a61e-e023e724ccdf</t>
  </si>
  <si>
    <t>Passenger car, battery electric, NMC-622 battery, Micro, 2021 {RER}</t>
  </si>
  <si>
    <t>f545b2cc-fc91-3d3b-b071-98275928ce33</t>
  </si>
  <si>
    <t>Passenger car, compressed gas, Compact, 2003, EURO-3 {RER}</t>
  </si>
  <si>
    <t>a5b739e2-3359-3422-936a-8f9cb8e377b8</t>
  </si>
  <si>
    <t>Passenger car, compressed gas, Compact, 2008, EURO-4 {RER}</t>
  </si>
  <si>
    <t>c8d82a50-9abe-3d8b-bbf7-8f99bebe7503</t>
  </si>
  <si>
    <t>Passenger car, compressed gas, Compact, 2013, EURO-5 {RER}</t>
  </si>
  <si>
    <t>e41aae48-6ee1-3942-8611-04503724782a</t>
  </si>
  <si>
    <t>Passenger car, compressed gas, Compact, 2016, EURO-6ab {RER}</t>
  </si>
  <si>
    <t>ea2c9ed0-8e90-365e-87cb-8af8e616e3b6</t>
  </si>
  <si>
    <t>Passenger car, compressed gas, Compact, 2018, EURO-6c {RER}</t>
  </si>
  <si>
    <t>fe69d92d-5f2c-3215-884e-ada054a09625</t>
  </si>
  <si>
    <t>Passenger car, compressed gas, Compact, 2019, EURO-6d-TEMP {RER}</t>
  </si>
  <si>
    <t>450dcdbd-2d06-39ae-a8c0-51bd6b2567ec</t>
  </si>
  <si>
    <t>Passenger car, compressed gas, Compact, 2021, EURO-6d {RER}</t>
  </si>
  <si>
    <t>3a0c6eb7-519c-3d35-8994-b1347a6a8069</t>
  </si>
  <si>
    <t>Passenger car, compressed gas, Large SUV, 2003, EURO-3 {RER}</t>
  </si>
  <si>
    <t>18faefc0-8846-38ca-86d0-598709c3cac9</t>
  </si>
  <si>
    <t>Passenger car, compressed gas, Large SUV, 2008, EURO-4 {RER}</t>
  </si>
  <si>
    <t>9dcc5264-89fe-37d3-bcb6-271cc45a8340</t>
  </si>
  <si>
    <t>Passenger car, compressed gas, Large SUV, 2013, EURO-5 {RER}</t>
  </si>
  <si>
    <t>9cfac50c-56f8-385e-a219-4de1f2071102</t>
  </si>
  <si>
    <t>Passenger car, compressed gas, Large SUV, 2016, EURO-6ab {RER}</t>
  </si>
  <si>
    <t>6b4ae1e8-0475-369e-9387-a8b5610d3db0</t>
  </si>
  <si>
    <t>Passenger car, compressed gas, Large SUV, 2018, EURO-6c {RER}</t>
  </si>
  <si>
    <t>2ab1c24d-4463-3749-8b74-3eea65dbb2f8</t>
  </si>
  <si>
    <t>Passenger car, compressed gas, Large SUV, 2019, EURO-6d-TEMP {RER}</t>
  </si>
  <si>
    <t>6f95c25e-7fd0-3ad1-b1b1-ce64d8db1136</t>
  </si>
  <si>
    <t>Passenger car, compressed gas, Large SUV, 2021, EURO-6d {RER}</t>
  </si>
  <si>
    <t>707f91bd-b84a-30a7-b89d-c1105e31bd33</t>
  </si>
  <si>
    <t>Passenger car, compressed gas, Large, 2003, EURO-3 {RER}</t>
  </si>
  <si>
    <t>ce030821-8650-3ce8-81d5-11966b7aea34</t>
  </si>
  <si>
    <t>Passenger car, compressed gas, Large, 2008, EURO-4 {RER}</t>
  </si>
  <si>
    <t>22fc0489-a17a-37a3-b182-d14e8e652c54</t>
  </si>
  <si>
    <t>Passenger car, compressed gas, Large, 2013, EURO-5 {RER}</t>
  </si>
  <si>
    <t>ecb6b1cb-9d15-3ec4-8980-a15623fed1b5</t>
  </si>
  <si>
    <t>Passenger car, compressed gas, Large, 2016, EURO-6ab {RER}</t>
  </si>
  <si>
    <t>b7d8c34f-b5bf-3940-a717-74592fa81381</t>
  </si>
  <si>
    <t>Passenger car, compressed gas, Large, 2018, EURO-6c {RER}</t>
  </si>
  <si>
    <t>adbf0a55-8a95-3461-8113-7dcbecb17301</t>
  </si>
  <si>
    <t>Passenger car, compressed gas, Large, 2019, EURO-6d-TEMP {RER}</t>
  </si>
  <si>
    <t>9945bbf3-0da1-3f8f-aa8e-aebbc3366570</t>
  </si>
  <si>
    <t>Passenger car, compressed gas, Large, 2021, EURO-6d {RER}</t>
  </si>
  <si>
    <t>28b90157-ebff-3e59-8dce-58bc468eaa6a</t>
  </si>
  <si>
    <t>Passenger car, compressed gas, Medium, 2003, EURO-3 {RER}</t>
  </si>
  <si>
    <t>59556a8a-c2ed-3757-b2ee-09ba4e9565bf</t>
  </si>
  <si>
    <t>Passenger car, compressed gas, Medium, 2008, EURO-4 {RER}</t>
  </si>
  <si>
    <t>fffcb23a-8d08-3652-80f6-77999f0be732</t>
  </si>
  <si>
    <t>Passenger car, compressed gas, Medium, 2013, EURO-5 {RER}</t>
  </si>
  <si>
    <t>1ecf65a8-da24-38d5-bd29-33d9a49d9c4b</t>
  </si>
  <si>
    <t>Passenger car, compressed gas, Medium, 2016, EURO-6ab {RER}</t>
  </si>
  <si>
    <t>877ca133-b39f-32cb-ac92-9ac6bdc2465e</t>
  </si>
  <si>
    <t>Passenger car, compressed gas, Medium, 2018, EURO-6c {RER}</t>
  </si>
  <si>
    <t>eeeaf825-4c9d-397b-8e80-0e0a8812797e</t>
  </si>
  <si>
    <t>Passenger car, compressed gas, Medium, 2019, EURO-6d-TEMP {RER}</t>
  </si>
  <si>
    <t>3ee3e52c-deea-39b6-9df0-0989d905c786</t>
  </si>
  <si>
    <t>Passenger car, compressed gas, Medium, 2021, EURO-6d {RER}</t>
  </si>
  <si>
    <t>9f76523c-60e7-30cd-88a9-3c8a5918b283</t>
  </si>
  <si>
    <t>Passenger car, diesel hybrid, Compact, 2013, EURO-5 {RER}</t>
  </si>
  <si>
    <t>3f8d5244-db69-334a-817c-43bace1fa118</t>
  </si>
  <si>
    <t>Passenger car, diesel hybrid, Compact, 2016, EURO-6ab {RER}</t>
  </si>
  <si>
    <t>c72baea8-26e5-3ac4-aef0-e2b8e1507ca9</t>
  </si>
  <si>
    <t>Passenger car, diesel hybrid, Compact, 2018, EURO-6c {RER}</t>
  </si>
  <si>
    <t>7bbf137b-890c-3b4a-a2a9-bd364416cd33</t>
  </si>
  <si>
    <t>Passenger car, diesel hybrid, Compact, 2019, EURO-6d-TEMP {RER}</t>
  </si>
  <si>
    <t>58a9055d-ac68-3499-b647-12cc4b469cd3</t>
  </si>
  <si>
    <t>Passenger car, diesel hybrid, Compact, 2021, EURO-6d {RER}</t>
  </si>
  <si>
    <t>9d315e2d-db37-3028-b4ea-b90cb802ed23</t>
  </si>
  <si>
    <t>Passenger car, diesel hybrid, Large SUV, 2013, EURO-5 {RER}</t>
  </si>
  <si>
    <t>53f7beb9-8623-3933-b71e-0fc4fa56a26f</t>
  </si>
  <si>
    <t>Passenger car, diesel hybrid, Large SUV, 2016, EURO-6ab {RER}</t>
  </si>
  <si>
    <t>8e81c3be-4daa-37a0-bfcc-a39f2b948fa7</t>
  </si>
  <si>
    <t>Passenger car, diesel hybrid, Large SUV, 2018, EURO-6c {RER}</t>
  </si>
  <si>
    <t>96ac8d80-ea28-36e2-b9f6-d34c0c072631</t>
  </si>
  <si>
    <t>Passenger car, diesel hybrid, Large SUV, 2019, EURO-6d-TEMP {RER}</t>
  </si>
  <si>
    <t>9ba4a827-71b4-37b2-95d1-54755815769d</t>
  </si>
  <si>
    <t>Passenger car, diesel hybrid, Large SUV, 2021, EURO-6d {RER}</t>
  </si>
  <si>
    <t>59bb0cba-245b-32d8-9639-6dcdceeb428f</t>
  </si>
  <si>
    <t>Passenger car, diesel hybrid, Large, 2013, EURO-5 {RER}</t>
  </si>
  <si>
    <t>fe6e41fb-b84b-38b0-bedf-2de6dbe11e0d</t>
  </si>
  <si>
    <t>Passenger car, diesel hybrid, Large, 2016, EURO-6ab {RER}</t>
  </si>
  <si>
    <t>6cb60933-cefc-3bfd-8e3b-ea98f3fbfefb</t>
  </si>
  <si>
    <t>Passenger car, diesel hybrid, Large, 2018, EURO-6c {RER}</t>
  </si>
  <si>
    <t>eea48c91-e206-3b28-91ba-64534c976e35</t>
  </si>
  <si>
    <t>Passenger car, diesel hybrid, Large, 2019, EURO-6d-TEMP {RER}</t>
  </si>
  <si>
    <t>8ff23f22-d8e4-3aa7-ae59-108f9e8a0b37</t>
  </si>
  <si>
    <t>Passenger car, diesel hybrid, Large, 2021, EURO-6d {RER}</t>
  </si>
  <si>
    <t>77f6ced8-dac5-3a44-a244-f694db6f7079</t>
  </si>
  <si>
    <t>Passenger car, diesel hybrid, Medium, 2013, EURO-5 {RER}</t>
  </si>
  <si>
    <t>78e42a76-2a3d-31bd-9c82-7f8588719248</t>
  </si>
  <si>
    <t>Passenger car, diesel hybrid, Medium, 2016, EURO-6ab {RER}</t>
  </si>
  <si>
    <t>cd2801c7-61d3-3472-8dbf-768cb3a17918</t>
  </si>
  <si>
    <t>Passenger car, diesel hybrid, Medium, 2018, EURO-6c {RER}</t>
  </si>
  <si>
    <t>c3202903-c393-38de-8d45-e0d98f182ecd</t>
  </si>
  <si>
    <t>Passenger car, diesel hybrid, Medium, 2019, EURO-6d-TEMP {RER}</t>
  </si>
  <si>
    <t>51995231-4fb3-3b0f-8430-8d79f5d53fe5</t>
  </si>
  <si>
    <t>Passenger car, diesel hybrid, Medium, 2021, EURO-6d {RER}</t>
  </si>
  <si>
    <t>540f2c23-85c8-376b-9f28-63cd7cfd0f14</t>
  </si>
  <si>
    <t>Passenger car, diesel, Compact, 2003, EURO-3 {RER}</t>
  </si>
  <si>
    <t>b74c6a49-5464-3849-9dbf-da7d6a989551</t>
  </si>
  <si>
    <t>Passenger car, diesel, Compact, 2008, EURO-4 {RER}</t>
  </si>
  <si>
    <t>66f36ffd-3839-339c-9f87-d4f0f930983f</t>
  </si>
  <si>
    <t>Passenger car, diesel, Compact, 2013, EURO-5 {RER}</t>
  </si>
  <si>
    <t>1ea417d2-1096-376c-ad6b-de66b17be369</t>
  </si>
  <si>
    <t>Passenger car, diesel, Compact, 2016, EURO-6ab {RER}</t>
  </si>
  <si>
    <t>96ccfec1-5d36-3b53-9741-cb9860b1ed39</t>
  </si>
  <si>
    <t>Passenger car, diesel, Compact, 2018, EURO-6c {RER}</t>
  </si>
  <si>
    <t>8903dfea-3227-3e8e-bc8e-08a4594e3880</t>
  </si>
  <si>
    <t>Passenger car, diesel, Compact, 2019, EURO-6d-TEMP {RER}</t>
  </si>
  <si>
    <t>54057469-2d4d-3fff-9047-d7811ee6eb87</t>
  </si>
  <si>
    <t>Passenger car, diesel, Compact, 2021, EURO-6d {RER}</t>
  </si>
  <si>
    <t>ab3f5ce3-7cb4-3e18-b1fe-15a2401bcd27</t>
  </si>
  <si>
    <t>Passenger car, diesel, EURO5, city car, at plant {RER}</t>
  </si>
  <si>
    <t>55111f68-5198-307f-8c96-56e877f2bf33</t>
  </si>
  <si>
    <t>Passenger car, diesel, Large SUV, 2003, EURO-3 {RER}</t>
  </si>
  <si>
    <t>958d16b7-4c6d-3c75-a015-698451845a8a</t>
  </si>
  <si>
    <t>Passenger car, diesel, Large SUV, 2008, EURO-4 {RER}</t>
  </si>
  <si>
    <t>3f5a3f7e-3acf-3cd8-8055-cfc9933f0ff3</t>
  </si>
  <si>
    <t>Passenger car, diesel, Large SUV, 2013, EURO-5 {RER}</t>
  </si>
  <si>
    <t>9842dd5a-1be6-3bef-9bd4-4dfb3ac05fbf</t>
  </si>
  <si>
    <t>Passenger car, diesel, Large SUV, 2016, EURO-6ab {RER}</t>
  </si>
  <si>
    <t>9038f959-2c23-3155-8e40-ac1af8bb220d</t>
  </si>
  <si>
    <t>Passenger car, diesel, Large SUV, 2018, EURO-6c {RER}</t>
  </si>
  <si>
    <t>3bab1204-9dd0-315e-b86f-faf2eb1e8360</t>
  </si>
  <si>
    <t>Passenger car, diesel, Large SUV, 2019, EURO-6d-TEMP {RER}</t>
  </si>
  <si>
    <t>d5361cc1-dc67-3991-8493-511944dc503b</t>
  </si>
  <si>
    <t>Passenger car, diesel, Large SUV, 2021, EURO-6d {RER}</t>
  </si>
  <si>
    <t>1e196faa-d0ab-3fff-88d3-f53e48c3286e</t>
  </si>
  <si>
    <t>Passenger car, diesel, Large, 2003, EURO-3 {RER}</t>
  </si>
  <si>
    <t>7793eddd-1a7c-343f-8d04-2ca1ee224311</t>
  </si>
  <si>
    <t>Passenger car, diesel, Large, 2008, EURO-4 {RER}</t>
  </si>
  <si>
    <t>03ad57ef-3c7c-35e4-a981-201ce29df8b9</t>
  </si>
  <si>
    <t>Passenger car, diesel, Large, 2013, EURO-5 {RER}</t>
  </si>
  <si>
    <t>ecb5106e-89c5-34fb-add2-3a372a6ab8f4</t>
  </si>
  <si>
    <t>Passenger car, diesel, Large, 2016, EURO-6ab {RER}</t>
  </si>
  <si>
    <t>d6009dd0-2581-3c6e-aaaf-a2c755830999</t>
  </si>
  <si>
    <t>Passenger car, diesel, Large, 2018, EURO-6c {RER}</t>
  </si>
  <si>
    <t>3fa3d515-37c3-3782-bdf5-9456c5d15ce8</t>
  </si>
  <si>
    <t>Passenger car, diesel, Large, 2019, EURO-6d-TEMP {RER}</t>
  </si>
  <si>
    <t>d4a394cd-a0fc-3e14-95d0-3423fb964a2c</t>
  </si>
  <si>
    <t>Passenger car, diesel, Large, 2021, EURO-6d {RER}</t>
  </si>
  <si>
    <t>800fa371-3ee2-3512-abf1-4b297401bd8c</t>
  </si>
  <si>
    <t>Passenger car, diesel, Medium, 2003, EURO-3 {RER}</t>
  </si>
  <si>
    <t>23eb6256-e5a2-3d85-bd36-0c63c4f0c1ee</t>
  </si>
  <si>
    <t>Passenger car, diesel, Medium, 2008, EURO-4 {RER}</t>
  </si>
  <si>
    <t>9ccd8dae-b9fd-3c7e-b4f5-4959f25d7351</t>
  </si>
  <si>
    <t>Passenger car, diesel, Medium, 2013, EURO-5 {RER}</t>
  </si>
  <si>
    <t>e31afdd0-3c40-304c-b455-75eb362cab6d</t>
  </si>
  <si>
    <t>Passenger car, diesel, Medium, 2016, EURO-6ab {RER}</t>
  </si>
  <si>
    <t>ccd7ccba-9d06-3fb6-bc3b-88885582e8db</t>
  </si>
  <si>
    <t>Passenger car, diesel, Medium, 2018, EURO-6c {RER}</t>
  </si>
  <si>
    <t>6a44678a-8a21-3950-ae2f-a0ce9d8ddcf9</t>
  </si>
  <si>
    <t>Passenger car, diesel, Medium, 2019, EURO-6d-TEMP {RER}</t>
  </si>
  <si>
    <t>8da103d0-2606-3026-abf4-46eb162764b1</t>
  </si>
  <si>
    <t>0303f10e-00b0-3253-b2ac-4861afd00012</t>
  </si>
  <si>
    <t>Passenger car, electric, city car, without battery, at plant {RER}</t>
  </si>
  <si>
    <t>7c7dc323-079e-392a-b3df-b184566f1413</t>
  </si>
  <si>
    <t>Passenger car, electric, LiMn2O4, at plant {RER}</t>
  </si>
  <si>
    <t>89a1397b-d2de-3292-b962-f216d1be7559</t>
  </si>
  <si>
    <t>Passenger car, electric, LiMn2O4, city car, at plant {RER}</t>
  </si>
  <si>
    <t>f1de4a47-643e-3948-8687-fe0e68f10afb</t>
  </si>
  <si>
    <t>Passenger car, fuel cell electric, Compact, 2013 {RER}</t>
  </si>
  <si>
    <t>0fa71077-e816-354a-a408-bc2e9f664877</t>
  </si>
  <si>
    <t>Passenger car, fuel cell electric, Compact, 2016 {RER}</t>
  </si>
  <si>
    <t>424000bb-d75a-3684-8982-7617ab438ca7</t>
  </si>
  <si>
    <t>Passenger car, fuel cell electric, Compact, 2018 {RER}</t>
  </si>
  <si>
    <t>220ea33b-fcbf-3cd3-9725-fd13c14ac7f7</t>
  </si>
  <si>
    <t>Passenger car, fuel cell electric, Compact, 2019 {RER}</t>
  </si>
  <si>
    <t>e56282ad-07dd-3889-8d35-0c310adf66ad</t>
  </si>
  <si>
    <t>Passenger car, fuel cell electric, Compact, 2021 {RER}</t>
  </si>
  <si>
    <t>bb60e5c7-66a5-38a1-881f-425150881a7f</t>
  </si>
  <si>
    <t>Passenger car, fuel cell electric, Large SUV, 2013 {RER}</t>
  </si>
  <si>
    <t>2ff15666-1526-3807-8f58-155e2111984d</t>
  </si>
  <si>
    <t>Passenger car, fuel cell electric, Large SUV, 2016 {RER}</t>
  </si>
  <si>
    <t>c902cd4f-94e9-3e76-bedc-64c7bc486f60</t>
  </si>
  <si>
    <t>Passenger car, fuel cell electric, Large SUV, 2018 {RER}</t>
  </si>
  <si>
    <t>e0173df6-3b4d-364a-95df-06e4febc18d8</t>
  </si>
  <si>
    <t>Passenger car, fuel cell electric, Large SUV, 2019 {RER}</t>
  </si>
  <si>
    <t>404b38f0-7d71-3979-969c-fec12b37c10a</t>
  </si>
  <si>
    <t>Passenger car, fuel cell electric, Large SUV, 2021 {RER}</t>
  </si>
  <si>
    <t>9f253cec-90b8-3c73-9ad7-b0052f8d6354</t>
  </si>
  <si>
    <t>Passenger car, fuel cell electric, Large, 2013 {RER}</t>
  </si>
  <si>
    <t>586112ee-b128-3610-bbdd-316707c6b718</t>
  </si>
  <si>
    <t>Passenger car, fuel cell electric, Large, 2016 {RER}</t>
  </si>
  <si>
    <t>07aa0ba7-b1f7-3df1-8508-ef4f4d456525</t>
  </si>
  <si>
    <t>Passenger car, fuel cell electric, Large, 2018 {RER}</t>
  </si>
  <si>
    <t>4e7a251c-6ce5-3447-b42b-b9ec1f6bcad4</t>
  </si>
  <si>
    <t>Passenger car, fuel cell electric, Large, 2019 {RER}</t>
  </si>
  <si>
    <t>29b983e9-99b3-3637-9add-92dc97a7c297</t>
  </si>
  <si>
    <t>Passenger car, fuel cell electric, Large, 2021 {RER}</t>
  </si>
  <si>
    <t>a54adb3a-2abe-322a-b0ca-f16a65ebaf31</t>
  </si>
  <si>
    <t>Passenger car, fuel cell electric, Medium, 2013 {RER}</t>
  </si>
  <si>
    <t>8ae63d8e-d386-34ab-9b5b-c901e82cbf27</t>
  </si>
  <si>
    <t>Passenger car, fuel cell electric, Medium, 2016 {RER}</t>
  </si>
  <si>
    <t>8f2232d9-7b13-35ea-8c7d-d589abc294ba</t>
  </si>
  <si>
    <t>Passenger car, fuel cell electric, Medium, 2018 {RER}</t>
  </si>
  <si>
    <t>017ccdf5-1ad5-33bc-ab42-7ae9b9931fc3</t>
  </si>
  <si>
    <t>Passenger car, fuel cell electric, Medium, 2019 {RER}</t>
  </si>
  <si>
    <t>fe305f99-c3a9-370f-b4e8-f2a633935ba0</t>
  </si>
  <si>
    <t>Passenger car, fuel cell electric, Medium, 2021 {RER}</t>
  </si>
  <si>
    <t>1ae2a794-f921-350a-9b59-a8c4285481b8</t>
  </si>
  <si>
    <t>Passenger car, gasoline hybrid, Compact, 2013, EURO-5 {RER}</t>
  </si>
  <si>
    <t>51ce7a8c-3dc7-3ecc-8740-ff02c0b8df24</t>
  </si>
  <si>
    <t>Passenger car, gasoline hybrid, Compact, 2016, EURO-6ab {RER}</t>
  </si>
  <si>
    <t>80bcc5c4-1b56-3804-ab16-d5a53c1104a8</t>
  </si>
  <si>
    <t>Passenger car, gasoline hybrid, Compact, 2018, EURO-6c {RER}</t>
  </si>
  <si>
    <t>73419bb8-3227-3738-8ff5-1634b6277259</t>
  </si>
  <si>
    <t>Passenger car, gasoline hybrid, Compact, 2019, EURO-6d-TEMP {RER}</t>
  </si>
  <si>
    <t>673dab3d-5551-39a6-a6f4-41393db40d93</t>
  </si>
  <si>
    <t>Passenger car, gasoline hybrid, Compact, 2021, EURO-6d {RER}</t>
  </si>
  <si>
    <t>d30dde68-5038-321d-8fe8-554c0731ca15</t>
  </si>
  <si>
    <t>Passenger car, gasoline hybrid, Large SUV, 2013, EURO-5 {RER}</t>
  </si>
  <si>
    <t>30d2edcb-40d2-3345-a871-72419aad0b35</t>
  </si>
  <si>
    <t>Passenger car, gasoline hybrid, Large SUV, 2016, EURO-6ab {RER}</t>
  </si>
  <si>
    <t>73db99fa-0927-3fcb-930c-1aca6f9e95db</t>
  </si>
  <si>
    <t>Passenger car, gasoline hybrid, Large SUV, 2018, EURO-6c {RER}</t>
  </si>
  <si>
    <t>162c3df1-c123-303d-a067-8baa959977e8</t>
  </si>
  <si>
    <t>Passenger car, gasoline hybrid, Large SUV, 2019, EURO-6d-TEMP {RER}</t>
  </si>
  <si>
    <t>9f9a679b-a50a-3346-8b27-e7a8d3af2c11</t>
  </si>
  <si>
    <t>Passenger car, gasoline hybrid, Large SUV, 2021, EURO-6d {RER}</t>
  </si>
  <si>
    <t>79a59b8a-1691-3f4b-b1ed-11e055ffb737</t>
  </si>
  <si>
    <t>Passenger car, gasoline hybrid, Large, 2013, EURO-5 {RER}</t>
  </si>
  <si>
    <t>5983f28a-f20e-3b71-a108-76b2590144fe</t>
  </si>
  <si>
    <t>Passenger car, gasoline hybrid, Large, 2016, EURO-6ab {RER}</t>
  </si>
  <si>
    <t>18681363-c6f1-34ef-8ab8-4356c50b7b56</t>
  </si>
  <si>
    <t>Passenger car, gasoline hybrid, Large, 2018, EURO-6c {RER}</t>
  </si>
  <si>
    <t>3ce6f4e9-ccf5-3985-807c-713cebb059c9</t>
  </si>
  <si>
    <t>Passenger car, gasoline hybrid, Large, 2019, EURO-6d-TEMP {RER}</t>
  </si>
  <si>
    <t>1015516f-a907-3cf2-84a9-cd1f7111ec37</t>
  </si>
  <si>
    <t>Passenger car, gasoline hybrid, Large, 2021, EURO-6d {RER}</t>
  </si>
  <si>
    <t>579d1ec7-8b54-3bbb-bc6b-5de3998ba966</t>
  </si>
  <si>
    <t>Passenger car, gasoline hybrid, Medium, 2013, EURO-5 {RER}</t>
  </si>
  <si>
    <t>ad92b5af-3a5f-38b2-a6e3-7290f5bc57a9</t>
  </si>
  <si>
    <t>Passenger car, gasoline hybrid, Medium, 2016, EURO-6ab {RER}</t>
  </si>
  <si>
    <t>b876a927-8051-3ad0-a8e3-f16f8f0833d4</t>
  </si>
  <si>
    <t>Passenger car, gasoline hybrid, Medium, 2018, EURO-6c {RER}</t>
  </si>
  <si>
    <t>c14ba887-71da-363e-a572-6afe2864f7cb</t>
  </si>
  <si>
    <t>Passenger car, gasoline hybrid, Medium, 2019, EURO-6d-TEMP {RER}</t>
  </si>
  <si>
    <t>09e33114-d92f-3fa6-99e9-dc8519872220</t>
  </si>
  <si>
    <t>Passenger car, gasoline hybrid, Medium, 2021, EURO-6d {RER}</t>
  </si>
  <si>
    <t>5a0188aa-4382-3768-a2fc-977a844028ab</t>
  </si>
  <si>
    <t>Passenger car, gasoline, Compact, 2003, EURO-3 {RER}</t>
  </si>
  <si>
    <t>a20f4213-10f5-3792-9856-8839f1bf596b</t>
  </si>
  <si>
    <t>Passenger car, gasoline, Compact, 2008, EURO-4 {RER}</t>
  </si>
  <si>
    <t>b08e2972-420a-3f2c-9b3d-af394bd3ce61</t>
  </si>
  <si>
    <t>Passenger car, gasoline, Compact, 2013, EURO-5 {RER}</t>
  </si>
  <si>
    <t>367dce7c-ecee-34f8-9554-a7985d0fc4fc</t>
  </si>
  <si>
    <t>Passenger car, gasoline, Compact, 2016, EURO-6ab {RER}</t>
  </si>
  <si>
    <t>5a3eaca8-aa8e-3b92-99d0-235c7e0e7c92</t>
  </si>
  <si>
    <t>Passenger car, gasoline, Compact, 2018, EURO-6c {RER}</t>
  </si>
  <si>
    <t>9f49bfe1-69e6-3eea-9306-e425c3b389f3</t>
  </si>
  <si>
    <t>Passenger car, gasoline, Compact, 2019, EURO-6d-TEMP {RER}</t>
  </si>
  <si>
    <t>ba531f34-0de5-3660-94b1-06f85395609c</t>
  </si>
  <si>
    <t>Passenger car, gasoline, Compact, 2021, EURO-6d {RER}</t>
  </si>
  <si>
    <t>cabfee0c-9d81-33ee-8893-a1481d3d94df</t>
  </si>
  <si>
    <t>Passenger car, gasoline, Large SUV, 2003, EURO-3 {RER}</t>
  </si>
  <si>
    <t>07438e62-c787-303f-ab80-a59f9a31aa17</t>
  </si>
  <si>
    <t>Passenger car, gasoline, Large SUV, 2008, EURO-4 {RER}</t>
  </si>
  <si>
    <t>c9c74920-1df2-389c-9598-89fd109cd7e7</t>
  </si>
  <si>
    <t>Passenger car, gasoline, Large SUV, 2013, EURO-5 {RER}</t>
  </si>
  <si>
    <t>9b020985-afb9-3917-9e96-2ef63979cb42</t>
  </si>
  <si>
    <t>Passenger car, gasoline, Large SUV, 2016, EURO-6ab {RER}</t>
  </si>
  <si>
    <t>3af27b87-8a50-3010-a8fe-ac6b19b78bba</t>
  </si>
  <si>
    <t>Passenger car, gasoline, Large SUV, 2018, EURO-6c {RER}</t>
  </si>
  <si>
    <t>2b6da3d5-9cd8-37fe-9d25-13c10535b16d</t>
  </si>
  <si>
    <t>Passenger car, gasoline, Large SUV, 2019, EURO-6d-TEMP {RER}</t>
  </si>
  <si>
    <t>9323513d-a022-35cd-90de-fc9c2edc9ef4</t>
  </si>
  <si>
    <t>Passenger car, gasoline, Large SUV, 2021, EURO-6d {RER}</t>
  </si>
  <si>
    <t>81d3ea0d-f369-3061-b782-3216eaf28eb4</t>
  </si>
  <si>
    <t>Passenger car, gasoline, Large, 2003, EURO-3 {RER}</t>
  </si>
  <si>
    <t>dbbecddc-91b7-3a18-afc3-ebc9e8532fb4</t>
  </si>
  <si>
    <t>Passenger car, gasoline, Large, 2008, EURO-4 {RER}</t>
  </si>
  <si>
    <t>0304861f-e9e0-3743-875a-501c5dd6403c</t>
  </si>
  <si>
    <t>Passenger car, gasoline, Large, 2013, EURO-5 {RER}</t>
  </si>
  <si>
    <t>4909a78c-446f-3a9d-8edd-a1a09f3d1479</t>
  </si>
  <si>
    <t>Passenger car, gasoline, Large, 2016, EURO-6ab {RER}</t>
  </si>
  <si>
    <t>b34a3df1-ade0-30c1-80fd-98c61ce9496f</t>
  </si>
  <si>
    <t>Passenger car, gasoline, Large, 2018, EURO-6c {RER}</t>
  </si>
  <si>
    <t>948f7979-e201-3500-aa88-ec7d9b1e0fbb</t>
  </si>
  <si>
    <t>Passenger car, gasoline, Large, 2019, EURO-6d-TEMP {RER}</t>
  </si>
  <si>
    <t>0fc1801d-6707-3940-a452-c51243c76ca6</t>
  </si>
  <si>
    <t>Passenger car, gasoline, Large, 2021, EURO-6d {RER}</t>
  </si>
  <si>
    <t>e3eb681f-c976-33b4-bd3c-1cf5d3bc8f69</t>
  </si>
  <si>
    <t>Passenger car, gasoline, Medium, 2003, EURO-3 {RER}</t>
  </si>
  <si>
    <t>823db602-b05b-3529-89e4-89c96b51dacc</t>
  </si>
  <si>
    <t>Passenger car, gasoline, Medium, 2008, EURO-4 {RER}</t>
  </si>
  <si>
    <t>ac2ddfeb-1dd1-353e-813d-d2200f3a7be3</t>
  </si>
  <si>
    <t>Passenger car, gasoline, Medium, 2013, EURO-5 {RER}</t>
  </si>
  <si>
    <t>91ee0801-eae5-34d9-b20e-f1c99a064f3e</t>
  </si>
  <si>
    <t>Passenger car, gasoline, Medium, 2016, EURO-6ab {RER}</t>
  </si>
  <si>
    <t>d07ad461-f5cd-3b0f-a096-422061274714</t>
  </si>
  <si>
    <t>Passenger car, gasoline, Medium, 2018, EURO-6c {RER}</t>
  </si>
  <si>
    <t>3ed53b39-511a-3827-a28c-bb1f5ba10e09</t>
  </si>
  <si>
    <t>Passenger car, gasoline, Medium, 2019, EURO-6d-TEMP {RER}</t>
  </si>
  <si>
    <t>6d39d0c1-de1a-36a1-ac1e-1c6b2ed159c0</t>
  </si>
  <si>
    <t>Passenger car, gasoline, Medium, 2021, EURO-6d {RER}</t>
  </si>
  <si>
    <t>44592506-3fb7-3e3c-ac6e-102861dfa59e</t>
  </si>
  <si>
    <t>Passenger car, plugin diesel hybrid, Compact, 2013, EURO-5 {RER}</t>
  </si>
  <si>
    <t>b39c5548-9a67-3fe1-baaf-ee8a91e66a7b</t>
  </si>
  <si>
    <t>Passenger car, plugin diesel hybrid, Compact, 2016, EURO-6ab {RER}</t>
  </si>
  <si>
    <t>7e4479d4-e0ef-3de6-b671-d5b362d3c9ae</t>
  </si>
  <si>
    <t>Passenger car, plugin diesel hybrid, Compact, 2018, EURO-6c {RER}</t>
  </si>
  <si>
    <t>42a2ec29-a354-376b-9081-9fa6e09a5ec9</t>
  </si>
  <si>
    <t>Passenger car, plugin diesel hybrid, Compact, 2019, EURO-6d-TEMP {RER}</t>
  </si>
  <si>
    <t>1eb5c18c-bd5f-3110-9a67-cdf3f49bc339</t>
  </si>
  <si>
    <t>Passenger car, plugin diesel hybrid, Compact, 2021, EURO-6d {RER}</t>
  </si>
  <si>
    <t>a7483260-4617-3d31-933d-7e86820ddbd8</t>
  </si>
  <si>
    <t>Passenger car, plugin diesel hybrid, Large SUV, 2013, EURO-5 {RER}</t>
  </si>
  <si>
    <t>3a7d343b-b438-3b2b-934b-bb28b7ef11a3</t>
  </si>
  <si>
    <t>Passenger car, plugin diesel hybrid, Large SUV, 2016, EURO-6ab {RER}</t>
  </si>
  <si>
    <t>718e06bb-ce4d-3534-96d9-d37a689d1e82</t>
  </si>
  <si>
    <t>Passenger car, plugin diesel hybrid, Large SUV, 2018, EURO-6c {RER}</t>
  </si>
  <si>
    <t>ff80a330-39bc-34ab-9395-6a8c585aa851</t>
  </si>
  <si>
    <t>Passenger car, plugin diesel hybrid, Large SUV, 2019, EURO-6d-TEMP {RER}</t>
  </si>
  <si>
    <t>af65df5c-3797-31c1-bbfc-d8bbadf3b1b7</t>
  </si>
  <si>
    <t>Passenger car, plugin diesel hybrid, Large SUV, 2021, EURO-6d {RER}</t>
  </si>
  <si>
    <t>8db6372b-363f-38de-a00b-e4bc332f6ad8</t>
  </si>
  <si>
    <t>Passenger car, plugin diesel hybrid, Large, 2013, EURO-5 {RER}</t>
  </si>
  <si>
    <t>ee3386d2-8bc2-39ba-a97e-dac20f3bda22</t>
  </si>
  <si>
    <t>Passenger car, plugin diesel hybrid, Large, 2016, EURO-6ab {RER}</t>
  </si>
  <si>
    <t>54c5aee7-2bf8-35fe-9240-ab3f24abd0ff</t>
  </si>
  <si>
    <t>Passenger car, plugin diesel hybrid, Large, 2018, EURO-6c {RER}</t>
  </si>
  <si>
    <t>db2f95fb-3578-3a12-b46a-4cd5f2c79762</t>
  </si>
  <si>
    <t>Passenger car, plugin diesel hybrid, Large, 2019, EURO-6d-TEMP {RER}</t>
  </si>
  <si>
    <t>9c28b1f2-ff4d-3749-8119-0ca8c9d875ef</t>
  </si>
  <si>
    <t>Passenger car, plugin diesel hybrid, Large, 2021, EURO-6d {RER}</t>
  </si>
  <si>
    <t>aed7b14b-1f7e-3381-befc-d5717351dbd5</t>
  </si>
  <si>
    <t>Passenger car, plugin diesel hybrid, Medium, 2013, EURO-5 {RER}</t>
  </si>
  <si>
    <t>b7fc4dfd-ffca-3524-adef-df6b7e29d2b5</t>
  </si>
  <si>
    <t>Passenger car, plugin diesel hybrid, Medium, 2016, EURO-6ab {RER}</t>
  </si>
  <si>
    <t>c97ef815-c7a2-3f80-864b-6478f0423d08</t>
  </si>
  <si>
    <t>Passenger car, plugin diesel hybrid, Medium, 2018, EURO-6c {RER}</t>
  </si>
  <si>
    <t>cfe54586-c3a6-3070-822b-182fbb02e8ea</t>
  </si>
  <si>
    <t>Passenger car, plugin diesel hybrid, Medium, 2019, EURO-6d-TEMP {RER}</t>
  </si>
  <si>
    <t>c62fb3da-ba12-3a2f-97e6-740108d970f7</t>
  </si>
  <si>
    <t>Passenger car, plugin diesel hybrid, Medium, 2021, EURO-6d {RER}</t>
  </si>
  <si>
    <t>b350d451-25cb-3fc3-90b3-3502c82ed264</t>
  </si>
  <si>
    <t>Passenger car, plugin gasoline hybrid, Compact, 2013, EURO-5 {RER}</t>
  </si>
  <si>
    <t>6ed1a033-6750-3918-a691-e1f2b6aa89dd</t>
  </si>
  <si>
    <t>Passenger car, plugin gasoline hybrid, Compact, 2016, EURO-6ab {RER}</t>
  </si>
  <si>
    <t>89249297-dbe9-37a8-bbfd-88d14be71395</t>
  </si>
  <si>
    <t>Passenger car, plugin gasoline hybrid, Compact, 2018, EURO-6c {RER}</t>
  </si>
  <si>
    <t>b5bef186-53ab-31c3-a8ba-3d3fde21f055</t>
  </si>
  <si>
    <t>Passenger car, plugin gasoline hybrid, Compact, 2019, EURO-6d-TEMP {RER}</t>
  </si>
  <si>
    <t>3d7583f7-70d7-34a0-a94e-c9ae608280ba</t>
  </si>
  <si>
    <t>Passenger car, plugin gasoline hybrid, Compact, 2021, EURO-6d {RER}</t>
  </si>
  <si>
    <t>b9f5be42-be37-3a2b-97f4-7881f9549fff</t>
  </si>
  <si>
    <t>Passenger car, plugin gasoline hybrid, Large SUV, 2013, EURO-5 {RER}</t>
  </si>
  <si>
    <t>3584d742-d67a-3dc6-ac38-fb5a571b8f19</t>
  </si>
  <si>
    <t>Passenger car, plugin gasoline hybrid, Large SUV, 2016, EURO-6ab {RER}</t>
  </si>
  <si>
    <t>081bec70-0b51-33d7-84f2-a3021a9acf98</t>
  </si>
  <si>
    <t>Passenger car, plugin gasoline hybrid, Large SUV, 2018, EURO-6c {RER}</t>
  </si>
  <si>
    <t>eec18163-6565-33f9-a9c2-f0f23115fe85</t>
  </si>
  <si>
    <t>Passenger car, plugin gasoline hybrid, Large SUV, 2019, EURO-6d-TEMP {RER}</t>
  </si>
  <si>
    <t>59a10d90-70b7-33a8-b5e1-b9d614c243a5</t>
  </si>
  <si>
    <t>Passenger car, plugin gasoline hybrid, Large SUV, 2021, EURO-6d {RER}</t>
  </si>
  <si>
    <t>2331f48d-40b3-3285-b838-2738711a5a95</t>
  </si>
  <si>
    <t>Passenger car, plugin gasoline hybrid, Large, 2013, EURO-5 {RER}</t>
  </si>
  <si>
    <t>5267f26a-b8eb-38bd-b0f3-3d3de41d054a</t>
  </si>
  <si>
    <t>Passenger car, plugin gasoline hybrid, Large, 2016, EURO-6ab {RER}</t>
  </si>
  <si>
    <t>7e8eb388-2051-35e7-86bc-a504dc5e093b</t>
  </si>
  <si>
    <t>Passenger car, plugin gasoline hybrid, Large, 2018, EURO-6c {RER}</t>
  </si>
  <si>
    <t>303e81fc-ae8f-340e-b2d4-5940e2828ef6</t>
  </si>
  <si>
    <t>Passenger car, plugin gasoline hybrid, Large, 2019, EURO-6d-TEMP {RER}</t>
  </si>
  <si>
    <t>f95d46b8-b83b-36a9-98a9-5699bceb9cd9</t>
  </si>
  <si>
    <t>Passenger car, plugin gasoline hybrid, Large, 2021, EURO-6d {RER}</t>
  </si>
  <si>
    <t>99081811-281b-3505-82eb-54a79fa66ff6</t>
  </si>
  <si>
    <t>Passenger car, plugin gasoline hybrid, Medium, 2013, EURO-5 {RER}</t>
  </si>
  <si>
    <t>92c3a1dd-d119-3279-8b7c-5edffdef7f23</t>
  </si>
  <si>
    <t>Passenger car, plugin gasoline hybrid, Medium, 2016, EURO-6ab {RER}</t>
  </si>
  <si>
    <t>0ea8d257-e574-38a4-b93d-41e473586fdc</t>
  </si>
  <si>
    <t>Passenger car, plugin gasoline hybrid, Medium, 2018, EURO-6c {RER}</t>
  </si>
  <si>
    <t>6960b13d-5bb2-30b4-bede-24d91cd3792d</t>
  </si>
  <si>
    <t>Passenger car, plugin gasoline hybrid, Medium, 2019, EURO-6d-TEMP {RER}</t>
  </si>
  <si>
    <t>0b3b8efa-d511-32ab-9d5f-f429b9626db9</t>
  </si>
  <si>
    <t>Passenger car, plugin gasoline hybrid, Medium, 2021, EURO-6d {RER}</t>
  </si>
  <si>
    <t>59f9f20f-52d9-3782-b796-f8158b3e3e8f</t>
  </si>
  <si>
    <t>Pea seed IP, at regional storehouse {CH}</t>
  </si>
  <si>
    <t>4452c90e-c51b-3e5e-ad55-bd58032d755d</t>
  </si>
  <si>
    <t>Pea seed organic, at regional storehouse {CH}</t>
  </si>
  <si>
    <t>6718121b-bd3f-3b7b-a7ed-a23b388dd6cf</t>
  </si>
  <si>
    <t>Peat, at mine {NORDEL}</t>
  </si>
  <si>
    <t>fuels\peat</t>
  </si>
  <si>
    <t>f5d55b36-73cf-385c-9ab8-09e4f4f16758</t>
  </si>
  <si>
    <t>Peat, burned in power plant {ENTSO-E}</t>
  </si>
  <si>
    <t>a6591962-216a-353b-be2f-c7decee184c6</t>
  </si>
  <si>
    <t>Peat, burned in power plant {NORDEL}</t>
  </si>
  <si>
    <t>electricity by fuel\peat\power plant</t>
  </si>
  <si>
    <t>ee48cc74-770f-372c-9158-d102646b1195</t>
  </si>
  <si>
    <t>Pedestrian overpass, over 2 tracks {CH}</t>
  </si>
  <si>
    <t>e66e9555-cf47-33e9-9ed4-1a7d343c84bc</t>
  </si>
  <si>
    <t>Pedestrian underpass, underneath 2 tracks {CH}</t>
  </si>
  <si>
    <t>cc35c5b9-2d9d-3972-a31c-a8b23a4055bb</t>
  </si>
  <si>
    <t>Pellets, burned in cogen 300kWth {CH}</t>
  </si>
  <si>
    <t>8989bd45-7cfb-3255-8cde-82fdf8e46f79</t>
  </si>
  <si>
    <t>Pellets, burned in cogen 50kWth {CH}</t>
  </si>
  <si>
    <t>2c48bb8e-a8db-301f-967a-37b1db051e77</t>
  </si>
  <si>
    <t>Pellets, iron, at plant {GLO}</t>
  </si>
  <si>
    <t>metals\ferro\production</t>
  </si>
  <si>
    <t>2bbf8493-9ed1-3264-9e0f-aae60692082a</t>
  </si>
  <si>
    <t>Pellets, iron, at plant {RER}</t>
  </si>
  <si>
    <t>d7f5d3ed-f24a-3238-b461-cd967c449816</t>
  </si>
  <si>
    <t>Pellets, mixed, burned in furnace 15kW {CH}</t>
  </si>
  <si>
    <t>d18010c4-7c5c-3a1e-a176-c5218428149e</t>
  </si>
  <si>
    <t>Pellets, mixed, burned in furnace 300kW {CH}</t>
  </si>
  <si>
    <t>c3207588-98ae-36ba-8596-5dbf21c4a1e7</t>
  </si>
  <si>
    <t>Pellets, mixed, burned in furnace 50kW (proj.210) {CH}</t>
  </si>
  <si>
    <t>6444db2e-ee7e-3ec9-8bda-eed644922ecb</t>
  </si>
  <si>
    <t>Pellets, mixed, burned in furnace 50kW {CH}</t>
  </si>
  <si>
    <t>d6b48214-f467-3eb2-a7ef-b11c351c7dd4</t>
  </si>
  <si>
    <t>PEM electrolyzer, ACDC Converter {GLO}</t>
  </si>
  <si>
    <t>32055fea-6991-3eaf-b162-eb8d6562c2f6</t>
  </si>
  <si>
    <t>PEM electrolyzer, Balance of Plant {GLO}</t>
  </si>
  <si>
    <t>fe6aab81-6fdc-3c42-a2a7-c4bbb71d3fd8</t>
  </si>
  <si>
    <t>PEM electrolyzer, Operation and Maintenance {RER}</t>
  </si>
  <si>
    <t>h</t>
  </si>
  <si>
    <t>280764bc-547d-3321-adc7-416acc1244fc</t>
  </si>
  <si>
    <t>PEM electrolyzer, Stack {GLO}</t>
  </si>
  <si>
    <t>237bc0be-082d-3ed5-9779-ac916f84d79b</t>
  </si>
  <si>
    <t>PEM Fuel Cell {GLO}</t>
  </si>
  <si>
    <t>f7004ade-7dd1-346f-aae2-d9a74a0ed39a</t>
  </si>
  <si>
    <t>PEM fuel cell 2kWe, future {CH}</t>
  </si>
  <si>
    <t>040a4906-343c-35c4-8cbb-5e199d83670b</t>
  </si>
  <si>
    <t>Pendimethalin, at regional storage {RER}</t>
  </si>
  <si>
    <t>65caec76-8556-38e1-9a4c-4c9c02dfaa2c</t>
  </si>
  <si>
    <t>Penta-erythritol, at plant {RER}</t>
  </si>
  <si>
    <t>381d45d0-ef16-3f84-a292-8e7b5592199a</t>
  </si>
  <si>
    <t>Pentane, at plant {RER}</t>
  </si>
  <si>
    <t>2b89ce00-c1f2-3e3e-b822-550b42aa88c2</t>
  </si>
  <si>
    <t>Perlite, at mine {DE}</t>
  </si>
  <si>
    <t>639c13e1-890e-3328-b62d-edb584020be3</t>
  </si>
  <si>
    <t>Permanent magnet, for electric motor {RER}</t>
  </si>
  <si>
    <t>7cdc6e2d-11ad-3557-a24f-3c2a79b24498</t>
  </si>
  <si>
    <t>Pesticide unspecified, at regional storehouse {CH}</t>
  </si>
  <si>
    <t>f044681d-f413-3588-b2c3-f022fc466134</t>
  </si>
  <si>
    <t>Pesticide unspecified, at regional storehouse {RER}</t>
  </si>
  <si>
    <t>d4e8772e-05bf-3bba-b59f-554c1f3555be</t>
  </si>
  <si>
    <t>Petrol, 15% vol. ETBE additive, EtOH f. biomass, prod. RER, at service station {CH}</t>
  </si>
  <si>
    <t>fuels\oil\petrol</t>
  </si>
  <si>
    <t>db91a3be-7000-3129-8d8b-bb1ec6761d12</t>
  </si>
  <si>
    <t>Petrol, 15% vol. ETBE additive, with ethanol from biomass, at refinery {RER}</t>
  </si>
  <si>
    <t>f23cf9b5-2b75-33d7-aa6c-3c76e3dfd9d6</t>
  </si>
  <si>
    <t>Petrol, 4% vol. ETBE additive, EtOH f. biomass, prod. RER, at service station {CH}</t>
  </si>
  <si>
    <t>a9499321-f2b3-39d2-9383-1973ca0f0384</t>
  </si>
  <si>
    <t>Petrol, 4% vol. ETBE additive, with ethanol from biomass, at refinery {RER}</t>
  </si>
  <si>
    <t>209ee748-002e-3d59-886d-2e7eae6c9c94</t>
  </si>
  <si>
    <t>Petrol, at refinery {CH}</t>
  </si>
  <si>
    <t>b68fba2d-c641-3f82-ba32-d705f00653a0</t>
  </si>
  <si>
    <t>Petrol, at refinery {RER}</t>
  </si>
  <si>
    <t>eba99816-90a4-302b-905d-7ae5bc0e49ff</t>
  </si>
  <si>
    <t>Petrol, at regional storage {CH}</t>
  </si>
  <si>
    <t>40dcc16f-ac18-3dba-9b98-e9cf81859168</t>
  </si>
  <si>
    <t>Petrol, at regional storage {RER}</t>
  </si>
  <si>
    <t>6e18b692-ec43-337d-b618-342b78510576</t>
  </si>
  <si>
    <t>Petrol, fossil, at regional storage {CH}</t>
  </si>
  <si>
    <t>bcdf8b8d-9297-3fce-afa9-90557fe0e4d4</t>
  </si>
  <si>
    <t>Petrol, two-stroke blend, at regional storage {CH}</t>
  </si>
  <si>
    <t>32820fea-71d8-35f3-bebd-34893ec6cc54</t>
  </si>
  <si>
    <t>Petrol, two-stroke blend, at regional storage {RER}</t>
  </si>
  <si>
    <t>807e2067-46e0-379f-8c2a-939281c78fdc</t>
  </si>
  <si>
    <t>Petroleum coke, at refinery {RER}</t>
  </si>
  <si>
    <t>0b817616-b08e-3aa4-84d0-d519bfdf9ca3</t>
  </si>
  <si>
    <t>Petroleum coke, burned in refinery furnace {RER}</t>
  </si>
  <si>
    <t>76de134b-5c46-3a6f-8978-d85b1b962196</t>
  </si>
  <si>
    <t>Phenol, at plant {RER}</t>
  </si>
  <si>
    <t>1c553484-9521-3b68-9790-ed31e187031e</t>
  </si>
  <si>
    <t>0e621c58-aeff-3ff3-a063-3d36d6cac0ef</t>
  </si>
  <si>
    <t>Phenoxy-compounds, at regional storehouse {CH}</t>
  </si>
  <si>
    <t>fcb1e5e1-dc7d-3935-98ce-5b5ce5307510</t>
  </si>
  <si>
    <t>Phenoxy-compounds, at regional storehouse {RER}</t>
  </si>
  <si>
    <t>53ce246b-6302-39dc-8eac-46f34c528536</t>
  </si>
  <si>
    <t>Phosgene, liquid, at plant {RER}</t>
  </si>
  <si>
    <t>448a623c-0145-3b9a-925f-33f9e560e585</t>
  </si>
  <si>
    <t>Phosphane, at plant {GLO}</t>
  </si>
  <si>
    <t>929827d6-5e39-3408-934d-e0f9e11d26f8</t>
  </si>
  <si>
    <t>Phosphate rock mine {MA}</t>
  </si>
  <si>
    <t>0401cc1f-cb4f-3099-966f-b647359a4664</t>
  </si>
  <si>
    <t>Phosphate rock mine {US}</t>
  </si>
  <si>
    <t>890b4e7b-1be8-34bc-a338-c3c5e68bfd05</t>
  </si>
  <si>
    <t>8ff03125-13fd-3787-92c4-29de499447da</t>
  </si>
  <si>
    <t>Phosphate rock, as P2O5, beneficiated, wet, at plant {US}</t>
  </si>
  <si>
    <t>78eb7f3d-da83-32ef-a4cd-b82c6984f129</t>
  </si>
  <si>
    <t>Phosphoric acid plant, fertiliser grade {US}</t>
  </si>
  <si>
    <t>chemicals\acids (inorganic)\infrastructure</t>
  </si>
  <si>
    <t>c9ef4080-08f4-3136-a705-124c1672a2a1</t>
  </si>
  <si>
    <t>2bbe8aea-59b7-31cd-a01e-7721fc89cd43</t>
  </si>
  <si>
    <t>Phosphoric acid, fertiliser grade, 70% in H2O, at plant {MA}</t>
  </si>
  <si>
    <t>df90f4eb-a86d-37d9-a0a4-f94acdae8197</t>
  </si>
  <si>
    <t>Phosphoric acid, fertiliser grade, 70% in H2O, at plant {US}</t>
  </si>
  <si>
    <t>968ef7e7-b77a-39da-b433-91568da8bceb</t>
  </si>
  <si>
    <t>a47f8fa1-648f-386b-9982-9153ff9096a3</t>
  </si>
  <si>
    <t>Phosphorous chloride, at plant {RER}</t>
  </si>
  <si>
    <t>18ec292d-0f97-3adc-9e06-423f7c11956c</t>
  </si>
  <si>
    <t>Phosphorous pentachloride, at plant {CN}</t>
  </si>
  <si>
    <t>ed2c67ce-6029-3d6f-96dd-cc5fed4a5e07</t>
  </si>
  <si>
    <t>Phosphorus, white, liquid, at plant {RER}</t>
  </si>
  <si>
    <t>26c2a24f-232a-3451-9163-65f60c135129</t>
  </si>
  <si>
    <t>Phosphoryl chloride, at plant {RER}</t>
  </si>
  <si>
    <t>d6634739-401c-32c7-8bcb-85713a8644cf</t>
  </si>
  <si>
    <t>Photovoltaic cell factory {DE}</t>
  </si>
  <si>
    <t>cc2a760c-229f-3c42-b5d6-a849cc29a23c</t>
  </si>
  <si>
    <t>Photovoltaic cell, multi-Si, at plant {APAC}</t>
  </si>
  <si>
    <t>d07bd6b5-d77a-4ba5-97ff-ddcbf7974c70</t>
  </si>
  <si>
    <t>Photovoltaic cell, multi-Si, at plant {CN}</t>
  </si>
  <si>
    <t>0521b0c6-b9f2-3d72-8c52-38364ed1af1e</t>
  </si>
  <si>
    <t>Photovoltaic cell, multi-Si, at plant {RER}</t>
  </si>
  <si>
    <t>74844c86-5a23-35f6-8b56-7b3a7fd14cd2</t>
  </si>
  <si>
    <t>Photovoltaic cell, multi-Si, at plant {US}</t>
  </si>
  <si>
    <t>4d05cc81-5f78-3397-ac49-3abb9ac7f82a</t>
  </si>
  <si>
    <t>Photovoltaic cell, multi-Si, at regional storage {RER}</t>
  </si>
  <si>
    <t>718d7b2e-4bbf-336a-8fb1-1306cfe9a4e7</t>
  </si>
  <si>
    <t>Photovoltaic cell, multi-Si, at regional storage {US}</t>
  </si>
  <si>
    <t>134cabc0-230d-3954-9e7e-79ca22aef4da</t>
  </si>
  <si>
    <t>Photovoltaic cell, ribbon-Si, at plant {RER}</t>
  </si>
  <si>
    <t>2f266521-7e7c-32a4-aeb7-d139afdcd6b9</t>
  </si>
  <si>
    <t>Photovoltaic cell, single-Si, at plant {APAC}</t>
  </si>
  <si>
    <t>350892df-0d63-4de5-b501-6fc043729de7</t>
  </si>
  <si>
    <t>Photovoltaic cell, single-Si, at plant {CN}</t>
  </si>
  <si>
    <t>7e7b3a17-7ab3-3d6e-a05c-79fbde9d167b</t>
  </si>
  <si>
    <t>Photovoltaic cell, single-Si, at plant {RER}</t>
  </si>
  <si>
    <t>af29192a-1614-38e8-b677-bd27e2121cf4</t>
  </si>
  <si>
    <t>Photovoltaic cell, single-Si, at plant {US}</t>
  </si>
  <si>
    <t>fb1c5766-96ca-32c6-a602-991a4fdb737e</t>
  </si>
  <si>
    <t>Photovoltaic cell, single-Si, at regional storage {RER}</t>
  </si>
  <si>
    <t>6bff6384-6088-3121-85cb-22b315e67fa3</t>
  </si>
  <si>
    <t>Photovoltaic cell, single-Si, at regional storage {US}</t>
  </si>
  <si>
    <t>2a0537e7-c719-3472-87fe-c9df59fd712c</t>
  </si>
  <si>
    <t>Photovoltaic laminate, a-Si, at plant {US}</t>
  </si>
  <si>
    <t>199fd835-7ade-3a6b-9117-03fde659a27d</t>
  </si>
  <si>
    <t>Photovoltaic laminate, CdTe, at plant {DE}</t>
  </si>
  <si>
    <t>a297818e-fff7-3406-9b8a-51ce69db19cb</t>
  </si>
  <si>
    <t>Photovoltaic laminate, CdTe, at plant {MY}</t>
  </si>
  <si>
    <t>fbaf9794-cf2e-397d-9d99-7aba3a71d182</t>
  </si>
  <si>
    <t>Photovoltaic laminate, CdTe, at plant {US}</t>
  </si>
  <si>
    <t>c8e25596-12cc-3fa0-b2dc-b5eb5636b958</t>
  </si>
  <si>
    <t>Photovoltaic laminate, CdTe, First Solar Series 4, at plant {MY}</t>
  </si>
  <si>
    <t>09c92d97-8e4f-32b5-ad7b-c0f40e02f90f</t>
  </si>
  <si>
    <t>Photovoltaic laminate, CdTe, First Solar Series 4, at plant {US}</t>
  </si>
  <si>
    <t>b554850d-ab9b-3f43-b808-15008a506279</t>
  </si>
  <si>
    <t>Photovoltaic laminate, CdTe, First Solar Series 6, at plant {MY}</t>
  </si>
  <si>
    <t>df5f64b6-0962-316b-942e-a740cabaadc3</t>
  </si>
  <si>
    <t>Photovoltaic laminate, CdTe, First Solar Series 6, at plant {US}</t>
  </si>
  <si>
    <t>39e223e8-8c94-3a11-95f1-b20c982b9f55</t>
  </si>
  <si>
    <t>Photovoltaic laminate, CdTe, mix, at regional storage {RER}</t>
  </si>
  <si>
    <t>8fd52753-d670-3d4f-b313-2f89979af453</t>
  </si>
  <si>
    <t>Photovoltaic laminate, CdTe, production US, at regional storage {RER}</t>
  </si>
  <si>
    <t>b6430dc6-0237-3eb5-b995-7f12e617debe</t>
  </si>
  <si>
    <t>Photovoltaic laminate, CIS, at plant {DE}</t>
  </si>
  <si>
    <t>91d3a0e0-fc6d-3495-b502-b28ee7c7941f</t>
  </si>
  <si>
    <t>Photovoltaic laminate, CIS, at regional storage {RER}</t>
  </si>
  <si>
    <t>2d2359f8-8d6a-3ed2-9112-a74c428bf889</t>
  </si>
  <si>
    <t>Photovoltaic laminate, micro-Si, at plant {CN}</t>
  </si>
  <si>
    <t>7b0c0941-32ee-3cb3-bd69-197e5b5f6e1d</t>
  </si>
  <si>
    <t>Photovoltaic laminate, micro-Si, at regional storage {RER}</t>
  </si>
  <si>
    <t>0fcfc91d-85c0-303e-a09f-7d5447d315f2</t>
  </si>
  <si>
    <t>Photovoltaic laminate, multi-Si, at plant {APAC}</t>
  </si>
  <si>
    <t>1610ef8e-0a6e-4de9-b71f-d3ee286e040b</t>
  </si>
  <si>
    <t>Photovoltaic laminate, multi-Si, at plant {CN}</t>
  </si>
  <si>
    <t>e3ab2090-52d5-3e25-ab85-1a790009a33b</t>
  </si>
  <si>
    <t>Photovoltaic laminate, multi-Si, at plant {RER}</t>
  </si>
  <si>
    <t>1ce5bfb2-605b-3f48-8305-8e73f88308bf</t>
  </si>
  <si>
    <t>Photovoltaic laminate, multi-Si, at plant {US}</t>
  </si>
  <si>
    <t>127196cc-996e-3564-a7fc-8c7b7d800227</t>
  </si>
  <si>
    <t>Photovoltaic laminate, multi-Si, at regional storage {APAC}</t>
  </si>
  <si>
    <t>87f52856-bcc2-45e3-a28d-b34908138553</t>
  </si>
  <si>
    <t>Photovoltaic laminate, multi-Si, at regional storage {RER}</t>
  </si>
  <si>
    <t>07264a8d-39a8-3d44-acd7-0e5e82f1cdfb</t>
  </si>
  <si>
    <t>Photovoltaic laminate, multi-Si, at regional storage {US}</t>
  </si>
  <si>
    <t>6430e076-3cdf-3193-a18f-d2dc6996f1e7</t>
  </si>
  <si>
    <t>Photovoltaic laminate, ribbon-Si, at plant {RER}</t>
  </si>
  <si>
    <t>d458c53c-a196-3a26-bbb7-cb815e53e786</t>
  </si>
  <si>
    <t>Photovoltaic laminate, single-Si, at plant {APAC}</t>
  </si>
  <si>
    <t>fae12c0e-040a-454e-97d0-f813453666f5</t>
  </si>
  <si>
    <t>Photovoltaic laminate, single-Si, at plant {CN}</t>
  </si>
  <si>
    <t>d84a9e7a-392c-3eee-ae7f-61e34bad6355</t>
  </si>
  <si>
    <t>Photovoltaic laminate, single-Si, at plant {RER}</t>
  </si>
  <si>
    <t>b8211571-cfa9-3f53-bc7c-4ecd67fbf8de</t>
  </si>
  <si>
    <t>Photovoltaic laminate, single-Si, at plant {US}</t>
  </si>
  <si>
    <t>b1a4c9a7-83da-3abc-aaa5-4b0c8bfd00cb</t>
  </si>
  <si>
    <t>Photovoltaic laminate, single-Si, at regional storage {APAC}</t>
  </si>
  <si>
    <t>2d225807-c7d8-48a6-9265-f60fc56e79d8</t>
  </si>
  <si>
    <t>Photovoltaic laminate, single-Si, at regional storage {RER}</t>
  </si>
  <si>
    <t>4f1027e6-5979-3338-a249-50a120653b80</t>
  </si>
  <si>
    <t>Photovoltaic laminate, single-Si, at regional storage {US}</t>
  </si>
  <si>
    <t>b0fd8b94-13ec-38e7-b3ee-9ba2c1eee5c0</t>
  </si>
  <si>
    <t>Photovoltaic panel factory {GLO}</t>
  </si>
  <si>
    <t>ffe9d2a3-8e83-37e1-abcd-b37ae680224a</t>
  </si>
  <si>
    <t>Photovoltaic panel factory CdTe {US}</t>
  </si>
  <si>
    <t>a6d63094-c73e-33f2-9682-908bc824eb0a</t>
  </si>
  <si>
    <t>Photovoltaic panel for PVT, single-Si, without flat glass, at plant {APAC}</t>
  </si>
  <si>
    <t>9e17f0fe-f5ae-4928-8d86-e817035acfcb</t>
  </si>
  <si>
    <t>Photovoltaic panel for PVT, single-Si, without flat glass, at plant {CN}</t>
  </si>
  <si>
    <t>88f3ea02-a53f-356c-b74e-df54d397431c</t>
  </si>
  <si>
    <t>Photovoltaic panel for PVT, single-Si, without flat glass, at plant {RER}</t>
  </si>
  <si>
    <t>e2e252d5-a5ca-3a11-b3f9-d51937a97c6f</t>
  </si>
  <si>
    <t>Photovoltaic panel for PVT, single-Si, without flat glass, at regional storage {RER}</t>
  </si>
  <si>
    <t>b56ab465-b4a4-3f61-9e6b-5a656327a4e6</t>
  </si>
  <si>
    <t>Photovoltaic panel, a-Si, at plant {US}</t>
  </si>
  <si>
    <t>0afc1136-0961-386a-b527-db2cc5bb65e5</t>
  </si>
  <si>
    <t>Photovoltaic panel, CIS, at plant {DE}</t>
  </si>
  <si>
    <t>66202301-7079-30d9-b690-96ff555e7275</t>
  </si>
  <si>
    <t>Photovoltaic panel, CIS, at regional storage {RER}</t>
  </si>
  <si>
    <t>b7af5353-f528-351a-986d-d7309150d6b9</t>
  </si>
  <si>
    <t>Photovoltaic panel, CIS, Sto, Ventec Artline inlay, at plant {DE}</t>
  </si>
  <si>
    <t>4dd27ae2-da99-325c-b25d-2ab3c95ece1a</t>
  </si>
  <si>
    <t>Photovoltaic panel, CIS, Sto, Ventec Artline invisible, at plant {DE}</t>
  </si>
  <si>
    <t>caceba9d-63d2-3378-986d-39bbf154c005</t>
  </si>
  <si>
    <t>Photovoltaic panel, micro-Si, at plant {CN}</t>
  </si>
  <si>
    <t>2a4ed376-f595-36db-954e-13faacfffb6a</t>
  </si>
  <si>
    <t>Photovoltaic panel, micro-Si, at regional storage {RER}</t>
  </si>
  <si>
    <t>a1284270-58c3-3780-8c18-8a53dcd7d9c5</t>
  </si>
  <si>
    <t>Photovoltaic panel, multi-Si, at plant {APAC}</t>
  </si>
  <si>
    <t>e21962ae-41b1-4709-8005-59256cc5f54e</t>
  </si>
  <si>
    <t>Photovoltaic panel, multi-Si, at plant {CN}</t>
  </si>
  <si>
    <t>de39b995-7633-3a45-89f8-035260718042</t>
  </si>
  <si>
    <t>Photovoltaic panel, multi-Si, at plant {RER}</t>
  </si>
  <si>
    <t>2247dbdb-d720-3cfe-a556-cff3cbdb0848</t>
  </si>
  <si>
    <t>Photovoltaic panel, multi-Si, at plant {US}</t>
  </si>
  <si>
    <t>803d1bf4-08f3-36d5-a6d9-85b06823cf82</t>
  </si>
  <si>
    <t>Photovoltaic panel, multi-Si, at regional storage {APAC}</t>
  </si>
  <si>
    <t>8d52e5d5-2e3b-4fb7-8815-33680a7f2665</t>
  </si>
  <si>
    <t>Photovoltaic panel, multi-Si, at regional storage {RER}</t>
  </si>
  <si>
    <t>05202aa2-c039-309a-a7c2-f94751e810d0</t>
  </si>
  <si>
    <t>Photovoltaic panel, multi-Si, at regional storage {US}</t>
  </si>
  <si>
    <t>3195ee40-ac02-300d-b9e2-214bedcdb6d5</t>
  </si>
  <si>
    <t>Photovoltaic panel, perovskite-Si-tandem, at plant {DE}</t>
  </si>
  <si>
    <t>f78826c6-5fbb-3c7f-bb49-d75071eb827c</t>
  </si>
  <si>
    <t>Photovoltaic panel, ribbon-Si, at plant {RER}</t>
  </si>
  <si>
    <t>ef7265be-3b05-3097-82b3-50ab35a5b928</t>
  </si>
  <si>
    <t>Photovoltaic panel, single-Si, at plant {APAC}</t>
  </si>
  <si>
    <t>8c6a6865-ec66-4765-8271-f3c2ead594d9</t>
  </si>
  <si>
    <t>Photovoltaic panel, single-Si, at plant {CN}</t>
  </si>
  <si>
    <t>1e2bfca7-99e0-331a-95e0-f4a8a806415a</t>
  </si>
  <si>
    <t>Photovoltaic panel, single-Si, at plant {RER}</t>
  </si>
  <si>
    <t>6991a8df-a8ea-32a7-b4e1-68481b469ee3</t>
  </si>
  <si>
    <t>Photovoltaic panel, single-Si, at plant {US}</t>
  </si>
  <si>
    <t>664ddced-2b4d-352a-8e89-f0bfd2d343ea</t>
  </si>
  <si>
    <t>Photovoltaic panel, single-Si, at regional storage {APAC}</t>
  </si>
  <si>
    <t>5ecf1f00-a9ac-4407-ade3-02cdf7a801ca</t>
  </si>
  <si>
    <t>Photovoltaic panel, single-Si, at regional storage {RER}</t>
  </si>
  <si>
    <t>72a85d45-ead6-3a29-81ce-db835e1ff75c</t>
  </si>
  <si>
    <t>Photovoltaic panel, single-Si, at regional storage {US}</t>
  </si>
  <si>
    <t>46e9f84b-3ced-30db-9090-34e88402750d</t>
  </si>
  <si>
    <t>Photovoltaic panel, single-Si, Eternit Sunskin Facade, at plant {AT}</t>
  </si>
  <si>
    <t>10148d91-3503-32e9-b957-de482cb8408c</t>
  </si>
  <si>
    <t>Photovoltaic panel, single-Si, Kioto Solar PVP-GExxxM, at plant {AT}</t>
  </si>
  <si>
    <t>77b6fd9e-4fc9-35cd-946e-6c3089bfd783</t>
  </si>
  <si>
    <t>Photovoltaic panel, single-Si, Vogelsang-Kioto Solar, at plant {AT}</t>
  </si>
  <si>
    <t>f73c05da-66c9-3fcf-a47c-1d0b2c61a4b0</t>
  </si>
  <si>
    <t>Phtalamide-compounds, at regional storehouse {CH}</t>
  </si>
  <si>
    <t>26105db3-a11f-37e3-903e-36caa9a78118</t>
  </si>
  <si>
    <t>Phtalamide-compounds, at regional storehouse {RER}</t>
  </si>
  <si>
    <t>161c0779-82e2-33f1-8917-848b02e30729</t>
  </si>
  <si>
    <t>Phthalic anhydride, at plant {RER}</t>
  </si>
  <si>
    <t>6c10548e-a808-3c8c-8c71-4a66376cbaaa</t>
  </si>
  <si>
    <t>Pig iron, at plant {GLO}</t>
  </si>
  <si>
    <t>92417cb5-1ab5-30a1-b031-33f75b60d41b</t>
  </si>
  <si>
    <t>9e2e5079-4890-30b5-b258-314be6f101e2</t>
  </si>
  <si>
    <t>Pigments, paper production, unspecified, at plant {RER}</t>
  </si>
  <si>
    <t>7f9241ad-9cd2-3218-893b-fa5ecf8e0ef9</t>
  </si>
  <si>
    <t>Pipe fitting {GLO}</t>
  </si>
  <si>
    <t>a8596262-573d-34b8-9c95-02695d92e3da</t>
  </si>
  <si>
    <t>Pipe, stainless steel {CH}</t>
  </si>
  <si>
    <t>a578893c-6a63-3a64-930d-24453cb6c7cc</t>
  </si>
  <si>
    <t>Pipeline contruction, for supercritical carbon dioxide transport {CH}</t>
  </si>
  <si>
    <t>3d7a8972-daeb-38c9-b44c-e2dc3505a893</t>
  </si>
  <si>
    <t>Pipeline, crude oil, offshore {OCE}</t>
  </si>
  <si>
    <t>transport systems\pipeline</t>
  </si>
  <si>
    <t>85fe1a46-aaab-367f-b5a3-201eec1cf4d3</t>
  </si>
  <si>
    <t>Pipeline, crude oil, onshore {RER}</t>
  </si>
  <si>
    <t>1c6d722e-821a-33ce-9708-8589e0903446</t>
  </si>
  <si>
    <t>Pipeline, hydrogen, high pressure transmission network {CH}</t>
  </si>
  <si>
    <t>493f78ec-b377-3bcd-9049-5666483e62e3</t>
  </si>
  <si>
    <t>Pipeline, hydrogen, low pressure distribution network {CH}</t>
  </si>
  <si>
    <t>2ae46a20-d315-32c1-b3cc-83c8f44822c7</t>
  </si>
  <si>
    <t>Pipeline, natural gas, high pressure distribution network {CH}</t>
  </si>
  <si>
    <t>f6d354f1-3cee-3a1f-988d-f6016a7188fe</t>
  </si>
  <si>
    <t>Pipeline, natural gas, high pressure distribution network {RER}</t>
  </si>
  <si>
    <t>623b100b-d259-3e5a-8a41-8939681ef245</t>
  </si>
  <si>
    <t>Pipeline, natural gas, long distance, high capacity, offshore {GLO}</t>
  </si>
  <si>
    <t>a3b0ad50-a6b6-3dfa-bca2-5867a81fe0e7</t>
  </si>
  <si>
    <t>Pipeline, natural gas, long distance, high capacity, onshore {GLO}</t>
  </si>
  <si>
    <t>ad3bef52-f8d7-3702-9d95-261dbcada713</t>
  </si>
  <si>
    <t>Pipeline, natural gas, long distance, low capacity, onshore {GLO}</t>
  </si>
  <si>
    <t>9adb57a2-2c3d-37d0-ab8c-c2832427313d</t>
  </si>
  <si>
    <t>Pipeline, natural gas, low pressure distribution network {CH}</t>
  </si>
  <si>
    <t>dc9a8ea6-f255-3706-839a-400ac8477b96</t>
  </si>
  <si>
    <t>PIR insulation with PVC cladding, insulation thickness 30mm {CH}</t>
  </si>
  <si>
    <t>afa49923-aa34-355a-88f6-10f98b60cf80</t>
  </si>
  <si>
    <t>PIR insulation with PVC cladding, insulation thickness 40mm {CH}</t>
  </si>
  <si>
    <t>8fbb543c-4f07-3a5c-944c-1313990c05ba</t>
  </si>
  <si>
    <t>PIR insulation with PVC cladding, insulation thickness 50mm {CH}</t>
  </si>
  <si>
    <t>e0f28842-ac00-3428-b877-28e38a245163</t>
  </si>
  <si>
    <t>PIR insulation with PVC cladding, insulation thickness 60mm {CH}</t>
  </si>
  <si>
    <t>05faeb65-9e10-3170-98a4-153f6ff78947</t>
  </si>
  <si>
    <t>PIR insulation with PVC cladding, insulation thickness 80mm {CH}</t>
  </si>
  <si>
    <t>02aef957-e679-32c1-82e7-0826d57f5681</t>
  </si>
  <si>
    <t>Pitch despergents, in paper production, at plant {RER}</t>
  </si>
  <si>
    <t>aa2a10ef-8f7d-39db-9e86-fdd8f5671b33</t>
  </si>
  <si>
    <t>Planing mill {RER}</t>
  </si>
  <si>
    <t>wood\products\infrastructure</t>
  </si>
  <si>
    <t>87818db0-4fa9-310f-a87a-8a78dced9e87</t>
  </si>
  <si>
    <t>Planning, cogen unit 160kWe {RER}</t>
  </si>
  <si>
    <t>6b362b1f-cc08-32bc-b84b-18987ff0c71c</t>
  </si>
  <si>
    <t>Planning, cogen unit Mini CHP plant {CH}</t>
  </si>
  <si>
    <t>3573b731-1a86-314b-b2a4-da07d5dc5ea4</t>
  </si>
  <si>
    <t>Plant offshore, natural gas, production {OCE}</t>
  </si>
  <si>
    <t>fuels\natural gas\produced gas\raw natural gas\infrastructure</t>
  </si>
  <si>
    <t>c2934807-7fb8-3b61-8bd0-f22e32198111</t>
  </si>
  <si>
    <t>Plant onshore, natural gas, production {GLO}</t>
  </si>
  <si>
    <t>0d4fd0d8-b50d-32d6-84ed-3c1ba80bf901</t>
  </si>
  <si>
    <t>Planting {CH}</t>
  </si>
  <si>
    <t>b2b65d03-d66b-3efa-8c18-0a96b811e3ea</t>
  </si>
  <si>
    <t>Plaster bag incl. transport packaging, at plant {CH}</t>
  </si>
  <si>
    <t>6465a4ab-6f15-3a7c-8b9b-3837680cbdb6</t>
  </si>
  <si>
    <t>Plaster mixing {CH}</t>
  </si>
  <si>
    <t>0f90c442-6f4e-31b9-b638-6aa4841455a7</t>
  </si>
  <si>
    <t>Plasterboard / gypsum plaster, in sorting plant {CH}</t>
  </si>
  <si>
    <t>f9bb7bf1-72f5-4c45-acd5-d89b59811efb</t>
  </si>
  <si>
    <t>Plastic conduits to conduit sorting {CH}</t>
  </si>
  <si>
    <t>cf4ea625-f03b-4613-8d24-db512788510e</t>
  </si>
  <si>
    <t>Plastic plaster, in sorting plant {CH}</t>
  </si>
  <si>
    <t>8b74ab97-980e-423e-b595-73857180bb84</t>
  </si>
  <si>
    <t>Plastic tunnel {CH}</t>
  </si>
  <si>
    <t>404608af-f55f-3128-aabc-fa3f8b5c4a78</t>
  </si>
  <si>
    <t>Plastic tunnel, type almeria {ES}</t>
  </si>
  <si>
    <t>d35838ec-09b4-3856-aa00-424abb8413b4</t>
  </si>
  <si>
    <t>Plasticiser, for concrete, based on sulfonated melamine formaldehyde {GLO}</t>
  </si>
  <si>
    <t>254f47f0-4721-37e2-bf58-dfeab05fdc27</t>
  </si>
  <si>
    <t>Plastics bucket 18 l incl. transport packaging, at plant {RER}</t>
  </si>
  <si>
    <t>bc94cb60-5910-3e0f-bd37-00039dd96a3f</t>
  </si>
  <si>
    <t>Plastics processing factory {RER}</t>
  </si>
  <si>
    <t>construction\ventilation\components\infrastructure</t>
  </si>
  <si>
    <t>57073846-6aa4-310d-801e-f12e9bc1b1d1</t>
  </si>
  <si>
    <t>Plate heat exchanger {CH}</t>
  </si>
  <si>
    <t>710d9769-8ac7-3520-a86e-e98c8f14ee72</t>
  </si>
  <si>
    <t>Platform, crude oil, offshore {OCE}</t>
  </si>
  <si>
    <t>adb3bfb7-7eb5-31ca-b34d-fad5194d0c92</t>
  </si>
  <si>
    <t>Platform, standard {CH}</t>
  </si>
  <si>
    <t>6ae02038-e9af-3cf0-9db0-eb4c0fde9cc3</t>
  </si>
  <si>
    <t>7a020379-c844-32ff-8fde-fb468f6661b5</t>
  </si>
  <si>
    <t>Platinum, primary, at refinery {RU}</t>
  </si>
  <si>
    <t>65c8b5e0-84aa-3cdc-b338-60f6c07479ef</t>
  </si>
  <si>
    <t>Platinum, primary, at refinery {ZA}</t>
  </si>
  <si>
    <t>8efd4e03-5ed0-3429-a3fe-cfcd4ea8ed5f</t>
  </si>
  <si>
    <t>Platinum, secondary, at refinery {RER}</t>
  </si>
  <si>
    <t>cb1bd62a-d94d-3dac-aee1-05e1ca5caf2b</t>
  </si>
  <si>
    <t>Plugs, inlet and outlet, for computer cable, at plant {GLO}</t>
  </si>
  <si>
    <t>4907ad6e-66e9-3d01-8edd-26f26df8c540</t>
  </si>
  <si>
    <t>Plugs, inlet and outlet, for network cable, at plant {GLO}</t>
  </si>
  <si>
    <t>070ba622-2be7-3730-ac38-5e7c29c85c19</t>
  </si>
  <si>
    <t>Plugs, inlet and outlet, for printer cable, at plant {GLO}</t>
  </si>
  <si>
    <t>6f4dc549-972a-32a8-b565-8b0eea0bbeee</t>
  </si>
  <si>
    <t>Plywood, hardwood veeneer, UF-bonded, at regional storage {CH}</t>
  </si>
  <si>
    <t>da7edea8-19f4-3913-81cf-9e7bce085371</t>
  </si>
  <si>
    <t>Plywood, hardwood veeneer, UF-bonded, at regional storage, with resource correction {CH}</t>
  </si>
  <si>
    <t>28b1c36f-a69f-312a-b49e-6b340db89d1e</t>
  </si>
  <si>
    <t>Plywood, hardwood veneer, UF-bonded, at plant {RER}</t>
  </si>
  <si>
    <t>42c89466-e314-3a7a-8c8b-2da9374e93da</t>
  </si>
  <si>
    <t>Plywood, indoor use, at plant {RER}</t>
  </si>
  <si>
    <t>3b0f7eb7-0fc8-3e07-98a6-2fb677c00548</t>
  </si>
  <si>
    <t>Plywood, indoor use, at plant, with resource correction {CH}</t>
  </si>
  <si>
    <t>0773b739-4978-304f-9196-924ead67b649</t>
  </si>
  <si>
    <t>4b6a91d8-d8a9-3b4f-803c-1edd61261bd5</t>
  </si>
  <si>
    <t>Plywood, indoor use, at regional storage, with resource correction {CH}</t>
  </si>
  <si>
    <t>a150f817-babc-3d9e-8daf-9fc8d6229c20</t>
  </si>
  <si>
    <t>Plywood, outdoor use, at plant {RER}</t>
  </si>
  <si>
    <t>dc30cca3-e916-33b8-a9ee-5ab224e53360</t>
  </si>
  <si>
    <t>Plywood, outdoor use, at plant, with resource correction {CH}</t>
  </si>
  <si>
    <t>ad4ea9db-c49a-3ec7-afda-e2dd1201eb67</t>
  </si>
  <si>
    <t>d4ff6bb6-1495-3446-8891-fb8197d69c40</t>
  </si>
  <si>
    <t>Plywood, outdoor use, at regional storage, with resource correction {CH}</t>
  </si>
  <si>
    <t>db71acb1-30ad-3cee-90a4-0cfcd90cf11f</t>
  </si>
  <si>
    <t>Points of presence, network equipment {GLO}</t>
  </si>
  <si>
    <t>7b491b1a-6e40-38f8-8aa8-ff8eadd5b398</t>
  </si>
  <si>
    <t>Polyacrylonitrile production (PAN) by polymerisation {RER}</t>
  </si>
  <si>
    <t>e402b2a3-f968-3774-873e-0e98af52d57b</t>
  </si>
  <si>
    <t>Polyacrylonitrile production (PAN), by polymerisation {RER}</t>
  </si>
  <si>
    <t>18432463-8c4a-3e56-bf1f-f44cc76d2957</t>
  </si>
  <si>
    <t>5e272c8e-e9bc-3aa1-829e-035140910236</t>
  </si>
  <si>
    <t>Polycarbonate disk {CH}</t>
  </si>
  <si>
    <t>897b7e4f-85ee-36b7-9829-ba15720baf8e</t>
  </si>
  <si>
    <t>53117f8b-9311-37b3-bf5b-6e14b2ae711c</t>
  </si>
  <si>
    <t>Polycarboxylates, 40% active substance, at plant {RER}</t>
  </si>
  <si>
    <t>chemicals\washing agents\builders</t>
  </si>
  <si>
    <t>f5a22e0a-f55b-3639-86b9-85f999ea7c81</t>
  </si>
  <si>
    <t>0ae933a6-b6ac-3604-9e28-f378ad4e80d6</t>
  </si>
  <si>
    <t>Polyethylen (HDPE) pipe {CH}</t>
  </si>
  <si>
    <t>c47612fe-6d02-3ece-af46-7d1d0a503b15</t>
  </si>
  <si>
    <t>6bff31ec-3d70-3720-93b4-68a5017911b4</t>
  </si>
  <si>
    <t>c7af8832-9551-38fd-a628-363e6fc17c8e</t>
  </si>
  <si>
    <t>6738f024-eb64-3ef8-837e-05b84c6e43da</t>
  </si>
  <si>
    <t>c4dbbb99-22d0-37c1-8cc7-fc5a8c64329b</t>
  </si>
  <si>
    <t>Polyethylene, LLDPE, granulate, at plant {RER}</t>
  </si>
  <si>
    <t>df878822-0deb-3a59-a6b4-396d94a3b654</t>
  </si>
  <si>
    <t>31415a75-9d7e-37e3-aaec-b30c994868cd</t>
  </si>
  <si>
    <t>Polymer electrolyte membrane (Nafion) production {RER}</t>
  </si>
  <si>
    <t>e8610445-cb47-3f69-8bd9-d2d580fd8e45</t>
  </si>
  <si>
    <t>cde75755-0bae-3223-89c8-c38412981461</t>
  </si>
  <si>
    <t>09913ea6-df42-3720-8981-e46d587a30d8</t>
  </si>
  <si>
    <t>Polyols, at plant {RER}</t>
  </si>
  <si>
    <t>ec16c280-6141-3c0b-a896-b895d82ef62d</t>
  </si>
  <si>
    <t>e6bb879c-8f26-352d-85ad-4972078ccab2</t>
  </si>
  <si>
    <t>Polypropylen (PP) pipe {CH}</t>
  </si>
  <si>
    <t>98c1fac8-a724-3433-92c0-6a6e240ec1e3</t>
  </si>
  <si>
    <t>09cda8b1-b652-39b2-8761-c93aecc29f70</t>
  </si>
  <si>
    <t>Polystyrene foam slab, 45% recycled, at plant {CH}</t>
  </si>
  <si>
    <t>28b97167-0833-3624-8acb-b3f71c007911</t>
  </si>
  <si>
    <t>Polystyrene foam slab, at plant {RER}</t>
  </si>
  <si>
    <t>df0a5813-4634-3e67-a618-31de01879ce4</t>
  </si>
  <si>
    <t>6b096022-eb7b-3895-8274-648dd5975f80</t>
  </si>
  <si>
    <t>Polystyrene scrap, old, at plant {CH}</t>
  </si>
  <si>
    <t>a289ccfa-3def-3709-ad8a-2f638323732b</t>
  </si>
  <si>
    <t>05a10e4b-a919-33b6-b017-7c0bf7f7a7f9</t>
  </si>
  <si>
    <t>Polystyrene, extruded (XPS) CO2 blown, at plant {RER}</t>
  </si>
  <si>
    <t>46b4182a-4f28-3329-bb90-8e62e9410b30</t>
  </si>
  <si>
    <t>Polystyrene, extruded (XPS), at plant {RER}</t>
  </si>
  <si>
    <t>dcf7ce1d-09d1-3157-aeef-58a010bbc0bd</t>
  </si>
  <si>
    <t>Polystyrene, extruded (XPS), HFC-134a blown, at plant {RER}</t>
  </si>
  <si>
    <t>5a841413-50cb-35a5-aa52-32841c59b5f4</t>
  </si>
  <si>
    <t>Polystyrene, extruded (XPS), HFC-152a blown, at plant {RER}</t>
  </si>
  <si>
    <t>16b84b88-e5fa-3037-a0df-186d4dbd9f17</t>
  </si>
  <si>
    <t>a19acab4-2d8d-34d1-865f-46311ede87f9</t>
  </si>
  <si>
    <t>1235438d-3385-3bd1-8921-17951c10c464</t>
  </si>
  <si>
    <t>Polystyrene, high impact, HIPS, at plant {RER}</t>
  </si>
  <si>
    <t>b2ddf286-46b3-3a00-8b8a-c38b11ced364</t>
  </si>
  <si>
    <t>Polysulphide, sealing compound, at plant {RER}</t>
  </si>
  <si>
    <t>f5d545ea-855c-3a86-ab78-633ceb00e755</t>
  </si>
  <si>
    <t>plastics\thermosets</t>
  </si>
  <si>
    <t>e661012b-d2ba-37a2-bcf2-b7fd9ceb02a7</t>
  </si>
  <si>
    <t>Polyurethane, rigid foam, at plant {RER}</t>
  </si>
  <si>
    <t>a7c19342-01d0-37f6-86bf-7ecf91a7d206</t>
  </si>
  <si>
    <t>29a87720-9ee8-39e1-9572-dca1d04ea0ef</t>
  </si>
  <si>
    <t>Polyvinylalcohol, at plant {RER}</t>
  </si>
  <si>
    <t>4d00b921-45e7-38c4-897a-c3908e358961</t>
  </si>
  <si>
    <t>Polyvinylbutyral foil, at plant {RER}</t>
  </si>
  <si>
    <t>plastics\others</t>
  </si>
  <si>
    <t>7e10da3a-bd18-3858-9058-b61ae887691a</t>
  </si>
  <si>
    <t>Polyvinylbutyral, powder, at plant {RER}</t>
  </si>
  <si>
    <t>0ad77f60-9e4c-3466-b997-54b17b75daca</t>
  </si>
  <si>
    <t>Polyvinylchloride (PVC) pipe {CH}</t>
  </si>
  <si>
    <t>a254a1da-b477-3b87-9111-4645158027d6</t>
  </si>
  <si>
    <t>36f2eccd-a31b-330a-b685-b87163460c36</t>
  </si>
  <si>
    <t>Polyvinylchloride, bulk polymerised, at plant {RER}</t>
  </si>
  <si>
    <t>80928c4c-1833-38de-80e3-de224290f4dc</t>
  </si>
  <si>
    <t>Polyvinylchloride, emulsion polymerised, at plant {RER}</t>
  </si>
  <si>
    <t>015cd7db-8a64-3f0b-ba15-6ff81e3d1eb4</t>
  </si>
  <si>
    <t>48985f3e-97b4-3128-a1a8-a5ba91a1cb88</t>
  </si>
  <si>
    <t>a6d183cc-c3d9-30a8-b2dc-51f5a4c954ba</t>
  </si>
  <si>
    <t>Polyvinylfluoride, at plant {US}</t>
  </si>
  <si>
    <t>4894d260-a638-3316-a7f4-6ae22232bf84</t>
  </si>
  <si>
    <t>Polyvinylfluoride, dispersion, at plant {US}</t>
  </si>
  <si>
    <t>7073ddc9-c840-3a65-be0a-986d63610045</t>
  </si>
  <si>
    <t>d10bea27-bb15-3e80-a163-9c8260f2b785</t>
  </si>
  <si>
    <t>Poor concrete, at plant {CH}</t>
  </si>
  <si>
    <t>3d6b3acb-a4ef-344a-adb1-fde0cbecaa69</t>
  </si>
  <si>
    <t>Poor concrete, at plant, with resource correction {CH}</t>
  </si>
  <si>
    <t>d4e872ea-f451-3bd3-ae9f-0a3b3c0970e0</t>
  </si>
  <si>
    <t>Port facilities {RER}</t>
  </si>
  <si>
    <t>7de3ecd6-82d4-3533-aa99-facc4e162b9c</t>
  </si>
  <si>
    <t>Portachrom, at plant {RER}</t>
  </si>
  <si>
    <t>08871817-72de-3828-b594-9c96b83aa938</t>
  </si>
  <si>
    <t>Portafer, at plant {RER}</t>
  </si>
  <si>
    <t>chemicals\civil engineering_transport</t>
  </si>
  <si>
    <t>d9567123-ea91-378b-84c6-2d0936a884e3</t>
  </si>
  <si>
    <t>Portland calcareous cement, at plant {CH}</t>
  </si>
  <si>
    <t>2ffd8a81-33cb-36a8-8013-ab632d0363af</t>
  </si>
  <si>
    <t>Portland cement, strength class Z 42.5, at plant {CH}</t>
  </si>
  <si>
    <t>cd9549ee-8aa8-3183-84f9-ad0483fe1e73</t>
  </si>
  <si>
    <t>Portland cement, strength class Z 52.5, at plant {CH}</t>
  </si>
  <si>
    <t>fc9061b3-87f1-329d-a1bb-7dfaab838350</t>
  </si>
  <si>
    <t>Portland slag sand cement, at plant {CH}</t>
  </si>
  <si>
    <t>8cf80354-ba11-35a8-9c7d-3a87a6c8e2dd</t>
  </si>
  <si>
    <t>Positive active material, NMC-111 {GLO}</t>
  </si>
  <si>
    <t>e4e0af33-c3c5-32dd-8d95-965a8728374e</t>
  </si>
  <si>
    <t>Positive active material, NMC-622 {GLO}</t>
  </si>
  <si>
    <t>38b7d98d-d01e-3736-af2e-985aef458036</t>
  </si>
  <si>
    <t>Positive current collector Al {GLO}</t>
  </si>
  <si>
    <t>62038cc8-ef64-31de-ac3e-143936d1c57d</t>
  </si>
  <si>
    <t>Positive electrode paste, NMC-111 {GLO}</t>
  </si>
  <si>
    <t>433c59e4-909b-32ba-bff9-316c739bcc81</t>
  </si>
  <si>
    <t>Positive electrode paste, NMC-622 {GLO}</t>
  </si>
  <si>
    <t>c5738930-2c54-3b20-8e07-88ab5d14a9eb</t>
  </si>
  <si>
    <t>Potassium carbonate from manganese dioxide oxidation, at plant {RER}</t>
  </si>
  <si>
    <t>70bc61ed-a618-3ba3-a279-574d4751dcc9</t>
  </si>
  <si>
    <t>Potassium carbonate, at plant {GLO}</t>
  </si>
  <si>
    <t>a1ac1d84-2238-3d55-84dd-90cf1f24da9e</t>
  </si>
  <si>
    <t>13ce5dc8-cdd7-322f-9d6b-646f27b9af9d</t>
  </si>
  <si>
    <t>Potassium hydroxide, at regional storage {RER}</t>
  </si>
  <si>
    <t>cef89b03-566e-3614-9b1b-b15e01ac0d12</t>
  </si>
  <si>
    <t>a2b5bf21-6bb2-3f69-b0d3-597428a6ae4c</t>
  </si>
  <si>
    <t>Potassium nitrate, as N, at regional storehouse {RER}</t>
  </si>
  <si>
    <t>c9dc5e06-829f-37f1-8b31-94bd2b2d46de</t>
  </si>
  <si>
    <t>Potassium perchlorate, at plant {GLO}</t>
  </si>
  <si>
    <t>7ccf0c1a-d92c-3477-a77d-7b9c99ed4374</t>
  </si>
  <si>
    <t>Potassium permanganate, at plant {RER}</t>
  </si>
  <si>
    <t>87728454-5685-366a-a406-7c006c4fb8b7</t>
  </si>
  <si>
    <t>Potassium sulphate, as K2O, at regional storehouse {RER}</t>
  </si>
  <si>
    <t>7d5e4a88-6742-30e4-ad26-cc1d3dfc628d</t>
  </si>
  <si>
    <t>Potassium sulphate, as K2O, from rape oil, at esterification plant {RER}</t>
  </si>
  <si>
    <t>c6b6d0c6-ed6e-30f5-aa50-3b0b1943bb6c</t>
  </si>
  <si>
    <t>Potato grading {CH}</t>
  </si>
  <si>
    <t>c96f23a6-cb59-3bd3-8795-b3461fe074d2</t>
  </si>
  <si>
    <t>Potato haulm cutting {CH}</t>
  </si>
  <si>
    <t>e138475f-c6d7-3c0f-99e7-9a9cb7699f12</t>
  </si>
  <si>
    <t>Potato planting {CH}</t>
  </si>
  <si>
    <t>d55f5190-b6e1-3ef3-a57a-19e6e9eb22d5</t>
  </si>
  <si>
    <t>Potato seed IP, at farm {CH}</t>
  </si>
  <si>
    <t>7500d962-da01-3c4a-a6ea-11904285ff4c</t>
  </si>
  <si>
    <t>Potato seed IP, at regional storehouse {CH}</t>
  </si>
  <si>
    <t>72a18df5-b020-3620-b62e-5461f94584a0</t>
  </si>
  <si>
    <t>Potato seed organic, at farm {CH}</t>
  </si>
  <si>
    <t>915fde28-8b75-3e84-a83e-84485f7cd727</t>
  </si>
  <si>
    <t>Potato seed organic, at regional storehouse {CH}</t>
  </si>
  <si>
    <t>d7cab755-068c-3883-8243-6242bc88bf09</t>
  </si>
  <si>
    <t>Potato starch, at plant {DE}</t>
  </si>
  <si>
    <t>4cabab9c-da5b-32e6-b114-02a06c1deccb</t>
  </si>
  <si>
    <t>Potatoes IP, at farm {CH}</t>
  </si>
  <si>
    <t>c19a4266-a3be-3af3-9f65-98950ed1c0c9</t>
  </si>
  <si>
    <t>Potatoes, at farm {US}</t>
  </si>
  <si>
    <t>d8ce066d-8d42-3875-be68-99445d4b3fb6</t>
  </si>
  <si>
    <t>Potentiometer, unspecified, at plant {GLO}</t>
  </si>
  <si>
    <t>458e453e-2912-3f17-a04e-31e957bcce31</t>
  </si>
  <si>
    <t>Poultry litter pellets, at regional storehouse {CH}</t>
  </si>
  <si>
    <t>c6d5fb6b-8194-38fa-bd76-f482239846d4</t>
  </si>
  <si>
    <t>Poultry litter pellets, burned in furnace, ash to landfarming {CH}</t>
  </si>
  <si>
    <t>7ffc6dd1-6b2c-3d47-875c-4aa83df14504</t>
  </si>
  <si>
    <t>Poultry litter pellets, burned in furnace, ash to municipal incineration {CH}</t>
  </si>
  <si>
    <t>2836daa3-8148-3694-a606-2a06e0a5f52e</t>
  </si>
  <si>
    <t>Poultry litter pellets, burned in furnace, ash to sanitary landfill {CH}</t>
  </si>
  <si>
    <t>d66e4ba8-c7e9-3217-99e5-bd27e3e2d12e</t>
  </si>
  <si>
    <t>Poultry litter pellets, burned in furnace, produced on site {CH}</t>
  </si>
  <si>
    <t>576c890b-8b66-3dce-9b08-c2348557c89c</t>
  </si>
  <si>
    <t>Poultry litter pellets, burned in rotating grate furnace 250-350kW {CH}</t>
  </si>
  <si>
    <t>119ad04a-1e36-37cc-ae29-6a21af7dfa1a</t>
  </si>
  <si>
    <t>Poultry litter pellets, on site {CH}</t>
  </si>
  <si>
    <t>9f25f1f3-ba3c-3d29-aca1-2cf86426f54c</t>
  </si>
  <si>
    <t>Poultry manure, dried, at regional storehouse {CH}</t>
  </si>
  <si>
    <t>chemicals\fertilisers (organic)</t>
  </si>
  <si>
    <t>5d37a137-c61d-3287-859f-935f0d8782bb</t>
  </si>
  <si>
    <t>Powder coating, aluminium sheet {RER}</t>
  </si>
  <si>
    <t>b3bbff04-9f71-3acc-b827-19bd99e6f9b6</t>
  </si>
  <si>
    <t>Powder coating, steel {RER}</t>
  </si>
  <si>
    <t>c39b8af5-bc1e-35a1-b724-56750b693aad</t>
  </si>
  <si>
    <t>Power adapter, for laptop, at plant {GLO}</t>
  </si>
  <si>
    <t>093a0598-300a-30ab-93d3-0cac4e7981ef</t>
  </si>
  <si>
    <t>Power distribution unit, for electric passenger car {RER}</t>
  </si>
  <si>
    <t>d55703ae-bc31-3185-83c3-d12360cdc5d7</t>
  </si>
  <si>
    <t>Power electronics, for lorry {RER}</t>
  </si>
  <si>
    <t>19101fc7-04b6-3d52-9bc4-91d3bf4e416c</t>
  </si>
  <si>
    <t>Power saw, with catalytic converter {RER}</t>
  </si>
  <si>
    <t>acd7e1e7-f33c-3808-ac47-03ecdb0a065c</t>
  </si>
  <si>
    <t>Power saw, without catalytic converter {RER}</t>
  </si>
  <si>
    <t>5efa064e-3ea1-314a-b40b-6392bd6641b9</t>
  </si>
  <si>
    <t>Power sawing, with catalytic converter {RER}</t>
  </si>
  <si>
    <t>44683afa-04e8-3223-8e6f-fbb87be2bdc7</t>
  </si>
  <si>
    <t>Power sawing, without catalytic converter {RER}</t>
  </si>
  <si>
    <t>11a698cc-5730-3bc3-8807-995af913d885</t>
  </si>
  <si>
    <t>Power sawing, without catalytic converter, holzpur {CH}</t>
  </si>
  <si>
    <t>construction processes\machinery</t>
  </si>
  <si>
    <t>b00ca865-2cee-3c7a-971b-d15a6b200175</t>
  </si>
  <si>
    <t>Power supply unit, at plant {GLO}</t>
  </si>
  <si>
    <t>3306ddd8-3d7c-35dc-84c1-11261935e335</t>
  </si>
  <si>
    <t>Powertrain, for electric scooter {RER}</t>
  </si>
  <si>
    <t>ad23a7a1-f6b1-3756-a520-30b0578a4fff</t>
  </si>
  <si>
    <t>Precast concrete, high performance concrete, at plant {CH}</t>
  </si>
  <si>
    <t>0977ebed-b772-3e65-b4eb-d94cf9c869a1</t>
  </si>
  <si>
    <t>Precast concrete, high performance concrete, only common base, at plant {CH}</t>
  </si>
  <si>
    <t>0ed079c5-8385-3d8b-a51b-23df61e6245a</t>
  </si>
  <si>
    <t>Precast concrete, standard concrete, at plant {CH}</t>
  </si>
  <si>
    <t>035b7898-4a2f-351d-821b-3dd1cdf0b9d3</t>
  </si>
  <si>
    <t>Precast concrete, standard concrete, only common base, at plant {CH}</t>
  </si>
  <si>
    <t>2997ae30-6872-3b30-9960-140cdccf58c4</t>
  </si>
  <si>
    <t>Precious metals from electric waste, in anode slime, at refinery {SE}</t>
  </si>
  <si>
    <t>4543c411-9d71-31fa-bdc0-19cfba9b0863</t>
  </si>
  <si>
    <t>Prefabricated driven pile, concrete, average {CH}</t>
  </si>
  <si>
    <t>413ffe42-0765-3dd3-be64-24c690aa00e4</t>
  </si>
  <si>
    <t>Prefabricated driven pile, concrete, rectangular cross-section 240 x 240 mm {CH}</t>
  </si>
  <si>
    <t>12bebc15-5cf1-3954-92c4-ece21255ca71</t>
  </si>
  <si>
    <t>Prefabricated driven pile, concrete, rectangular cross-section 300 x 300 mm {CH}</t>
  </si>
  <si>
    <t>8d5dacc4-908a-363b-9ce4-3bcabbcaa15b</t>
  </si>
  <si>
    <t>Prefabricated driven pile, concrete, round cross-section 550mm {CH}</t>
  </si>
  <si>
    <t>9bc0dc7e-f581-308c-a20a-d6fd35cfe7b9</t>
  </si>
  <si>
    <t>Preservative treatment, infrastructure {RER}</t>
  </si>
  <si>
    <t>00c8fa8c-74fb-3f8b-a646-4c7a22c79de5</t>
  </si>
  <si>
    <t>Preservative treatment, logs, pressure vessel {RER}</t>
  </si>
  <si>
    <t>718d8a1b-0b12-3b20-bb7a-5fbdca6f29e3</t>
  </si>
  <si>
    <t>Preservative treatment, sawn timber, pressure vessel {RER}</t>
  </si>
  <si>
    <t>2a60bbf7-3062-3384-8760-e3046e1da7ab</t>
  </si>
  <si>
    <t>Printed board assembly, at plant {RER}</t>
  </si>
  <si>
    <t>8f0a184e-5b04-37d1-ae54-903876f2a9b1</t>
  </si>
  <si>
    <t>Printed wiring board mounting facilities, SMT type {GLO}</t>
  </si>
  <si>
    <t>09943bd3-7019-3055-ab9f-a78eb2fd1750</t>
  </si>
  <si>
    <t>Printed wiring board mounting facilities, THT type {GLO}</t>
  </si>
  <si>
    <t>fa5cfaa4-9e8d-3cdc-9606-a6652b0a0c3b</t>
  </si>
  <si>
    <t>Printed wiring board mounting plant {GLO}</t>
  </si>
  <si>
    <t>8ccd04f1-817b-33f3-ade4-fc2e43be7196</t>
  </si>
  <si>
    <t>Printed wiring board plant {RER}</t>
  </si>
  <si>
    <t>cd20d723-e663-3ccf-a654-38c7531b7928</t>
  </si>
  <si>
    <t>Printed wiring board, 4 layers, at plant {RER}</t>
  </si>
  <si>
    <t>6aa908f6-a3d4-349b-9015-22ffcdf3c3f6</t>
  </si>
  <si>
    <t>Printed wiring board, mixed mounted, unspec., solder mix, at plant {GLO}</t>
  </si>
  <si>
    <t>a4784452-6f6a-3f75-a1a1-a4e51102b94a</t>
  </si>
  <si>
    <t>Printed wiring board, mounted, Desktop PC mainboard, at plant {GLO}</t>
  </si>
  <si>
    <t>2bf1c51f-3ca7-34d9-8ffe-58d76af7ddc6</t>
  </si>
  <si>
    <t>Printed wiring board, mounted, Desktop PC mainboard, Pb containing, at plant {GLO}</t>
  </si>
  <si>
    <t>electronics\devices\module\pwb</t>
  </si>
  <si>
    <t>51325b60-e32b-3be2-b7f8-38a7ec8e1255</t>
  </si>
  <si>
    <t>Printed wiring board, mounted, Desktop PC mainboard, Pb free, at plant {GLO}</t>
  </si>
  <si>
    <t>00c25ae2-bbba-39d6-9e99-e0f309e3ca1a</t>
  </si>
  <si>
    <t>Printed wiring board, mounted, Laptop PC mainboard, at plant {GLO}</t>
  </si>
  <si>
    <t>9ec400fd-2e9e-3dec-bfdf-3c4e1511fd5d</t>
  </si>
  <si>
    <t>Printed wiring board, mounted, Laptop PC mainboard, Pb containing, at plant {GLO}</t>
  </si>
  <si>
    <t>ce163547-60a6-3e54-97fb-cffa592242e5</t>
  </si>
  <si>
    <t>Printed wiring board, mounted, Laptop PC mainboard, Pb free, at plant {GLO}</t>
  </si>
  <si>
    <t>0cb84959-3b34-3668-8025-edda3120c2a6</t>
  </si>
  <si>
    <t>Printed wiring board, power supply unit desktop PC, Pb containing, at plant {GLO}</t>
  </si>
  <si>
    <t>812a7b32-4a26-31f8-903d-3bb92267ab66</t>
  </si>
  <si>
    <t>Printed wiring board, power supply unit desktop PC, Pb free, at plant {GLO}</t>
  </si>
  <si>
    <t>da8cea40-719e-3ad9-a1b6-00b04b73639b</t>
  </si>
  <si>
    <t>Printed wiring board, power supply unit desktop PC, solder mix, at plant {GLO}</t>
  </si>
  <si>
    <t>2ab60468-7f67-3080-957a-13628226eb33</t>
  </si>
  <si>
    <t>Printed wiring board, surface mount, at plant {GLO}</t>
  </si>
  <si>
    <t>936cf293-e879-357b-a1ac-9ba3c4d3f741</t>
  </si>
  <si>
    <t>Printed wiring board, surface mount, lead-containing surface, at plant {GLO}</t>
  </si>
  <si>
    <t>59194bfe-9472-3333-89dc-9ab4d75490f8</t>
  </si>
  <si>
    <t>Printed wiring board, surface mount, lead-free surface, at plant {GLO}</t>
  </si>
  <si>
    <t>b748c7f6-1878-3ab5-857f-b4af0ee1457b</t>
  </si>
  <si>
    <t>Printed wiring board, surface mounted, unspec., Pb containing, at plant {GLO}</t>
  </si>
  <si>
    <t>0b1e30e0-5dfa-37f8-be9b-b7e8b8cb5852</t>
  </si>
  <si>
    <t>Printed wiring board, surface mounted, unspec., Pb free, at plant {GLO}</t>
  </si>
  <si>
    <t>16811c9b-2dc8-3bbf-9acf-2a7b255044b1</t>
  </si>
  <si>
    <t>Printed wiring board, surface mounted, unspec., solder mix, at plant {GLO}</t>
  </si>
  <si>
    <t>3cf82bde-ba4e-3873-b7b7-cec1973d1a3c</t>
  </si>
  <si>
    <t>ac052633-3740-35a8-9c72-9c5afa7279c2</t>
  </si>
  <si>
    <t>Printed wiring board, through-hole mounted, unspec., Pb free, at plant {GLO}</t>
  </si>
  <si>
    <t>a91a03ce-cfd8-3991-8487-ae472e951689</t>
  </si>
  <si>
    <t>Printed wiring board, through-hole mounted, unspec., solder mix, at plant {GLO}</t>
  </si>
  <si>
    <t>5e76b4e7-78ce-343f-bb3f-bb1be3915071</t>
  </si>
  <si>
    <t>Printed wiring board, through-hole, at plant {GLO}</t>
  </si>
  <si>
    <t>814e280d-cc43-3041-b462-fc033cf8ce26</t>
  </si>
  <si>
    <t>Printed wiring board, through-hole, lead-containing surface, at plant {GLO}</t>
  </si>
  <si>
    <t>3a53e50e-7258-386d-8b1a-9672311171f3</t>
  </si>
  <si>
    <t>Printed wiring board, through-hole, lead-free surface, at plant {GLO}</t>
  </si>
  <si>
    <t>d9ef7a6e-018c-34d6-b171-25f760f71707</t>
  </si>
  <si>
    <t>Printer, laser jet, b/w, at plant {GLO}</t>
  </si>
  <si>
    <t>b1d92c0b-05bf-3450-9537-e7630c94b6ec</t>
  </si>
  <si>
    <t>3e0fe3ea-09b0-3e6c-a7f7-b4e0073c29cd</t>
  </si>
  <si>
    <t>e488c64b-13d0-3e70-885b-a7f8d550315b</t>
  </si>
  <si>
    <t>a35e182e-00e0-3016-86d4-bc8a1ca3cee5</t>
  </si>
  <si>
    <t>Process-specific burdens, hazardous waste incineration plant {CH}</t>
  </si>
  <si>
    <t>d052f1df-c0b7-4030-b6a6-4cdb4897d573</t>
  </si>
  <si>
    <t>Process-specific burdens, inert material landfill {CH}</t>
  </si>
  <si>
    <t>landfill\inert material landfill</t>
  </si>
  <si>
    <t>2580da5d-07f8-4d11-bbbe-02f8f2c4487a</t>
  </si>
  <si>
    <t>Process-specific burdens, municipal waste incineration {CH}</t>
  </si>
  <si>
    <t>edab3419-2301-42b6-869a-5c9c606a2ff3</t>
  </si>
  <si>
    <t>Process-specific burdens, residual material landfill {CH}</t>
  </si>
  <si>
    <t>89a4ae2f-2679-47a7-90b3-834244ba3384</t>
  </si>
  <si>
    <t>Process-specific burdens, sanitary landfill {CH}</t>
  </si>
  <si>
    <t>f332a783-d9b1-45a4-9616-50cfbcc4d98c</t>
  </si>
  <si>
    <t>Process-specific burdens, slag compartment {CH}</t>
  </si>
  <si>
    <t>ecdf22c7-d4e1-4421-9a03-1315367c1808</t>
  </si>
  <si>
    <t>Process specific emissions and resources, from uranium milling, at mill plant {GLO}</t>
  </si>
  <si>
    <t>minerals\new uranium ds</t>
  </si>
  <si>
    <t>3653b40f-90e6-3e41-a90f-9a8a6a7f1728</t>
  </si>
  <si>
    <t>Process specific emissions and resources, from uranium milling, open pit mine {GLO}</t>
  </si>
  <si>
    <t>b999f5b7-96f9-3c3b-9c03-30a9a1c2d03e</t>
  </si>
  <si>
    <t>Process specific emissions and resources, from uranium milling, underground mine {GLO}</t>
  </si>
  <si>
    <t>7b410767-5f22-3588-ad2d-d8db86bc2b4a</t>
  </si>
  <si>
    <t>Production efforts, capacitors {GLO}</t>
  </si>
  <si>
    <t>913f85cb-31da-318d-ad0d-0e419e740cec</t>
  </si>
  <si>
    <t>Production efforts, diodes {GLO}</t>
  </si>
  <si>
    <t>ef82093f-2834-3c32-bd68-840ffcfd7146</t>
  </si>
  <si>
    <t>Production efforts, inductors {GLO}</t>
  </si>
  <si>
    <t>82ee13e5-9223-3455-8542-7ddcca332822</t>
  </si>
  <si>
    <t>Production efforts, resistors {GLO}</t>
  </si>
  <si>
    <t>8740386b-26bc-346a-a1ec-d8177539fa3c</t>
  </si>
  <si>
    <t>Production efforts, transistors {GLO}</t>
  </si>
  <si>
    <t>d853443c-5d22-3201-98ab-a8c87d84de29</t>
  </si>
  <si>
    <t>Production of borehole heat exchanger, apartment building MCS Leimbach {CH}</t>
  </si>
  <si>
    <t>f7ca5bcb-b332-3d9a-b8ce-75413ce8dcf3</t>
  </si>
  <si>
    <t>Production of borehole heat exchanger, apartment building Rautistrasse {CH}</t>
  </si>
  <si>
    <t>3205f607-4857-35dc-a060-62de5a6550b9</t>
  </si>
  <si>
    <t>Production of borehole heat exchanger, office building Fribourg {CH}</t>
  </si>
  <si>
    <t>125eaec8-5714-3bcd-9611-ff3335daf9f2</t>
  </si>
  <si>
    <t>Production of heat dissipation system with floor heating {CH}</t>
  </si>
  <si>
    <t>a1e643be-8d9b-3d97-b818-0560a14cd21d</t>
  </si>
  <si>
    <t>Production of heat dissipation system with heating-cooling ceiling {CH}</t>
  </si>
  <si>
    <t>6ecb5528-58cf-3db6-b81f-2c2eafe11126</t>
  </si>
  <si>
    <t>Production of heat dissipation system with radiator {CH}</t>
  </si>
  <si>
    <t>c7d0fd56-eb66-3fc4-8264-a612892d7c70</t>
  </si>
  <si>
    <t>Production of heat dissipation system, apartment building Ecofaubourg A {CH}</t>
  </si>
  <si>
    <t>ccef04ed-ddc9-329a-a985-04d8e5cb7313</t>
  </si>
  <si>
    <t>Production of heat dissipation system, apartment building Ecofaubourg B {CH}</t>
  </si>
  <si>
    <t>d6792453-1f83-33dc-8929-56d7d2016bc3</t>
  </si>
  <si>
    <t>Production of heat dissipation system, apartment building MCS Leimbach {CH}</t>
  </si>
  <si>
    <t>291103ca-7e2e-33a6-9e9d-320a168d321a</t>
  </si>
  <si>
    <t>Production of heat dissipation system, apartment building Rautistrasse {CH}</t>
  </si>
  <si>
    <t>87db3a1f-e9f6-3327-b343-be7ec7bebf8c</t>
  </si>
  <si>
    <t>Production of heat dissipation system, office building Fribourg {CH}</t>
  </si>
  <si>
    <t>09be6de9-691a-3d71-be10-3f66fea3b08b</t>
  </si>
  <si>
    <t>Production of heat dissipation system, office building Verenastrasse {CH}</t>
  </si>
  <si>
    <t>4c904295-8a48-332c-8052-dab284f94cb5</t>
  </si>
  <si>
    <t>Production of heat distribution system, apartment building {CH}</t>
  </si>
  <si>
    <t>52246864-8f47-3f7e-8294-138549676a9a</t>
  </si>
  <si>
    <t>Production of heat distribution system, apartment building Ecofaubourg A {CH}</t>
  </si>
  <si>
    <t>e4f33491-aa2e-32d3-b2f3-73bf41d93119</t>
  </si>
  <si>
    <t>Production of heat distribution system, apartment building Ecofaubourg B {CH}</t>
  </si>
  <si>
    <t>7e17f502-a427-3268-8fa6-077cd131f5a3</t>
  </si>
  <si>
    <t>Production of heat distribution system, apartment building MCS Leimbach {CH}</t>
  </si>
  <si>
    <t>ebde33db-24ae-3dd7-b27b-74c3f15b97cc</t>
  </si>
  <si>
    <t>Production of heat distribution system, apartment building Rautistrasse {CH}</t>
  </si>
  <si>
    <t>6cc4e235-cc43-30b7-ae2d-3eed98a6fe4d</t>
  </si>
  <si>
    <t>Production of heat distribution system, office building {CH}</t>
  </si>
  <si>
    <t>313d9256-ed94-3da0-bc2c-8bb37365bf61</t>
  </si>
  <si>
    <t>Production of heat distribution system, office building Fribourg {CH}</t>
  </si>
  <si>
    <t>26fb4a2c-acc0-3943-a64e-885019337652</t>
  </si>
  <si>
    <t>Production of heat distribution system, office building Verenastrasse {CH}</t>
  </si>
  <si>
    <t>c7507e34-767e-311a-ad4a-e2b469db4947</t>
  </si>
  <si>
    <t>Production of heat production system, apartment building Ecofaubourg A {CH}</t>
  </si>
  <si>
    <t>393057bb-9625-3435-9f12-082ab5b3aa7c</t>
  </si>
  <si>
    <t>Production of heat production system, apartment building Ecofaubourg B {CH}</t>
  </si>
  <si>
    <t>561ab612-2097-3f65-8d0c-dd61508c888a</t>
  </si>
  <si>
    <t>Production of heat production system, apartment building MCS Leimbach {CH}</t>
  </si>
  <si>
    <t>eef9f10b-2112-3196-abe0-04860aeb4a43</t>
  </si>
  <si>
    <t>Production of heat production system, apartment building Rautistrasse {CH}</t>
  </si>
  <si>
    <t>2cd9f65f-6976-3076-a55b-72abe7b3729c</t>
  </si>
  <si>
    <t>Production of heat production system, office building Fribourg {CH}</t>
  </si>
  <si>
    <t>207bd151-3779-3f5f-a623-879e529b3c70</t>
  </si>
  <si>
    <t>Production of heat production system, office building Verenastrasse {CH}</t>
  </si>
  <si>
    <t>113e283e-4f4d-38b0-a7fb-82ec964a657d</t>
  </si>
  <si>
    <t>Production of heating system, apartment building Ecofaubourg A {CH}</t>
  </si>
  <si>
    <t>be9b9e50-37a5-3ab6-a9e5-045545aeeb86</t>
  </si>
  <si>
    <t>Production of heating system, apartment building Ecofaubourg B {CH}</t>
  </si>
  <si>
    <t>ad8793e6-1784-3f73-aeb2-4df330cb8769</t>
  </si>
  <si>
    <t>Production of heating system, apartment building MCS Leimbach {CH}</t>
  </si>
  <si>
    <t>6888e440-ea7d-3afd-9920-8dde8676d675</t>
  </si>
  <si>
    <t>Production of heating system, apartment building Rautistrasse {CH}</t>
  </si>
  <si>
    <t>57516b86-69b1-30fb-8000-4571f9d0b3cb</t>
  </si>
  <si>
    <t>Production of heating system, office building Fribourg {CH}</t>
  </si>
  <si>
    <t>da99e4a0-36f3-33ca-bbf6-e48825cabfb5</t>
  </si>
  <si>
    <t>Production of heating system, office building Verenastrasse {CH}</t>
  </si>
  <si>
    <t>8c79870e-7404-3ec8-bbb0-ef6a13b335fa</t>
  </si>
  <si>
    <t>Production of liquid packaging board containers, at plant {RER}</t>
  </si>
  <si>
    <t>afd961e7-17a6-394d-ad00-ed1829514fb2</t>
  </si>
  <si>
    <t>Production of nickel-based catalyst for methanation {RER}</t>
  </si>
  <si>
    <t>a29a9c53-ff71-30fb-8a55-38d93eb925ac</t>
  </si>
  <si>
    <t>Production plant crude oil, onshore {GLO}</t>
  </si>
  <si>
    <t>dfb70048-c550-3ab0-aa5e-ca8b9eda637b</t>
  </si>
  <si>
    <t>Production plant, natural gas {GLO}</t>
  </si>
  <si>
    <t>fuels\natural gas\produced gas\infrastructure</t>
  </si>
  <si>
    <t>5aea06d6-4382-30a9-bd49-92ee844bd5a7</t>
  </si>
  <si>
    <t>Production, washing machine, V-ZUG {CH}</t>
  </si>
  <si>
    <t>67a9453e-aca5-304a-83b0-f9e4bef2c44a</t>
  </si>
  <si>
    <t>Propachlor, at regional storehouse {RER}</t>
  </si>
  <si>
    <t>64c475d8-4cd2-31e3-8ee1-b76965a0f57c</t>
  </si>
  <si>
    <t>Propanal, at plant {RER}</t>
  </si>
  <si>
    <t>15b919b2-8f4b-30ff-ba61-da9ab4f4c700</t>
  </si>
  <si>
    <t>6a05978e-b6d4-3b3f-96ac-8706e5a3abd5</t>
  </si>
  <si>
    <t>Propane, butane, at refinery {RER}</t>
  </si>
  <si>
    <t>90048aec-bca9-3658-a1fd-81808789b385</t>
  </si>
  <si>
    <t>Propane, butane, burned in boiler condensing modulating 50kW (proj. 210) {CH}</t>
  </si>
  <si>
    <t>d4a58cbc-c086-3589-b7ed-afa5e8b38a52</t>
  </si>
  <si>
    <t>Propane,butane, burned in boiler condensing modulating 50kW {CH}</t>
  </si>
  <si>
    <t>e633aa8a-55fa-3711-a0f1-853f522e7593</t>
  </si>
  <si>
    <t>09cfe051-80c6-3c72-9811-5d36847d535f</t>
  </si>
  <si>
    <t>Propylene oxide, liquid, at plant {RER}</t>
  </si>
  <si>
    <t>3583e117-9d65-3fe2-ac77-89217b67d432</t>
  </si>
  <si>
    <t>Propylene, at plant {RER}</t>
  </si>
  <si>
    <t>169c6f0a-21f5-3497-b439-a46a8e2f5a3b</t>
  </si>
  <si>
    <t>Protein peas IP, at feed mill {CH}</t>
  </si>
  <si>
    <t>6269226d-506e-37d0-82c6-2bbd557943a8</t>
  </si>
  <si>
    <t>Protein peas, IP, at farm {CH}</t>
  </si>
  <si>
    <t>8c19077e-6a0a-38de-a1fa-3d62b95a16d2</t>
  </si>
  <si>
    <t>Protein peas, organic, at farm {CH}</t>
  </si>
  <si>
    <t>524aba93-3d22-372e-a313-aa1c7ac49905</t>
  </si>
  <si>
    <t>Proteins, from grass, at fermentation {CH}</t>
  </si>
  <si>
    <t>414c1978-7b0c-3437-81ba-c9e384c8dd5f</t>
  </si>
  <si>
    <t>Provision, stubbed land {BR}</t>
  </si>
  <si>
    <t>1f81b86b-6628-3e7f-a93d-804458de6cea</t>
  </si>
  <si>
    <t>Provision, stubbed land {MY}</t>
  </si>
  <si>
    <t>1998c8e2-f2ac-3706-92fd-f4ca65f44bb9</t>
  </si>
  <si>
    <t>Pulp plant {RER}</t>
  </si>
  <si>
    <t>paper+ board\pulp\infrastructure</t>
  </si>
  <si>
    <t>5db92e4b-0329-3d3b-8f32-2d069e56d498</t>
  </si>
  <si>
    <t>Pulps, from sugar beet, at sugar refinery {CH}</t>
  </si>
  <si>
    <t>3e7a6f6e-f765-336e-8adf-c3d4d8c814e9</t>
  </si>
  <si>
    <t>Pulpwood, beech, sustainable forest management, measured as solid wood under bark, at forest road {DE}</t>
  </si>
  <si>
    <t>e27cc5d5-82b4-3e29-9692-1d9fdb54877c</t>
  </si>
  <si>
    <t>Pulpwood, birch, sustainable forest management, measured as solid wood under bark, at forest road {SE}</t>
  </si>
  <si>
    <t>48459c9e-e3bf-3c1b-9057-5895d1c8e36c</t>
  </si>
  <si>
    <t>Pulpwood, hardwood, sustainable forest management, measured as solid wood under bark, at forest road {CH}</t>
  </si>
  <si>
    <t>2a029abd-e682-3347-ade9-4ea7d4f755ac</t>
  </si>
  <si>
    <t>Pulpwood, hardwood, sustainable forest management, measured as solid wood under bark, at forest road {RER}</t>
  </si>
  <si>
    <t>fac1c7aa-f525-3e3b-8e69-59ad47419f92</t>
  </si>
  <si>
    <t>Pulpwood, oak, sustainable forest management, measured as solid wood under bark, at forest road {DE}</t>
  </si>
  <si>
    <t>36365240-853d-39ef-99ef-505166262a20</t>
  </si>
  <si>
    <t>Pulpwood, pine, sustainable forest management, measured as solid wood under bark, at forest road {DE}</t>
  </si>
  <si>
    <t>03f89a3f-4ce5-3765-bdae-9fb5c33a65a7</t>
  </si>
  <si>
    <t>Pulpwood, pine, sustainable forest management, measured as solid wood under bark, at forest road {SE}</t>
  </si>
  <si>
    <t>7e2bdb9b-fd60-380b-af04-1f5facf84db6</t>
  </si>
  <si>
    <t>Pulpwood, softwood, sustainable forest management, measured as solid wood under bark, at forest road {CH}</t>
  </si>
  <si>
    <t>494a3dfb-36f5-3216-ad40-6f7b92c6a691</t>
  </si>
  <si>
    <t>Pulpwood, softwood, sustainable forest management, measured as solid wood under bark, at forest road {RER}</t>
  </si>
  <si>
    <t>b8eb903a-70ad-362c-899a-e6cbe1539ac6</t>
  </si>
  <si>
    <t>Pulpwood, spruce, sustainable forest management, measured as solid wood under bark, at forest road {DE}</t>
  </si>
  <si>
    <t>57887983-6067-363c-ba70-2b873902ead6</t>
  </si>
  <si>
    <t>Pulpwood, spruce, sustainable forest management, measured as solid wood under bark, at forest road {SE}</t>
  </si>
  <si>
    <t>ff4a9057-1343-3cbd-9a4c-da241f87ec06</t>
  </si>
  <si>
    <t>Pulverised lignite, at plant {DE}</t>
  </si>
  <si>
    <t>45b8416c-81ac-360c-ad8b-49df26f13f45</t>
  </si>
  <si>
    <t>Pumice, at mine {DE}</t>
  </si>
  <si>
    <t>79495d49-03cc-31f6-8417-9f5cb472c85a</t>
  </si>
  <si>
    <t>Pump 40W, at plant {CH}</t>
  </si>
  <si>
    <t>9f179890-9d25-3b90-976f-05ea73c2346e</t>
  </si>
  <si>
    <t>Pump station {CH}</t>
  </si>
  <si>
    <t>water\drinking water\infrastructure</t>
  </si>
  <si>
    <t>dda3bc24-7950-3562-84bd-9b14da02c123</t>
  </si>
  <si>
    <t>Pumps, carbon dioxide capture process {RER}</t>
  </si>
  <si>
    <t>4fd43a0e-6af9-3497-8c56-f81e71f7ef60</t>
  </si>
  <si>
    <t>Purified terephthalic acid, at plant {RER}</t>
  </si>
  <si>
    <t>bfff239d-8ae3-3730-a048-dffb312515f3</t>
  </si>
  <si>
    <t>Pushed pile, 113mm MFH Wildbachstrasse Zürich {CH}</t>
  </si>
  <si>
    <t>0b66400a-957f-3249-8e0d-82267f939977</t>
  </si>
  <si>
    <t>Pushed pile, 178mm, piped, MFH Waltersbach Zürich {CH}</t>
  </si>
  <si>
    <t>b73de1d0-2e61-3f60-8cbf-426e51724091</t>
  </si>
  <si>
    <t>Pushed pile, 178mm, piped, Schule Waldmannstrasse Zürich {CH}</t>
  </si>
  <si>
    <t>88ecf324-1c4b-3890-b128-0ebcf5bfc152</t>
  </si>
  <si>
    <t>Pushed pile, average {CH}</t>
  </si>
  <si>
    <t>0bf985a8-2e0d-3d49-85b4-be3874be78ac</t>
  </si>
  <si>
    <t>Pyretroid-compounds, at regional storehouse {CH}</t>
  </si>
  <si>
    <t>8d459374-cb1d-35b0-9745-c18e0e619269</t>
  </si>
  <si>
    <t>Pyretroid-compounds, at regional storehouse {RER}</t>
  </si>
  <si>
    <t>fd25f45e-c0d1-33d6-b5af-80bdff182650</t>
  </si>
  <si>
    <t>Pyridazine-compounds, at regional storehouse {CH}</t>
  </si>
  <si>
    <t>2629a75e-116a-39b9-ad65-e5ddd365aeb0</t>
  </si>
  <si>
    <t>Pyridazine-compounds, at regional storehouse {RER}</t>
  </si>
  <si>
    <t>e4ca53a2-8dc3-3f8a-9af6-7754df150b23</t>
  </si>
  <si>
    <t>Pyrolysis gasoline, production mix, at plant {RER}</t>
  </si>
  <si>
    <t>dab0fa22-ba8d-34a9-b594-c980886b0b14</t>
  </si>
  <si>
    <t>Quarry tile, at plant {CH}</t>
  </si>
  <si>
    <t>d5506d93-1e3f-3a09-aa0a-b4fda057fe21</t>
  </si>
  <si>
    <t>Quarrying of olivine {CH}</t>
  </si>
  <si>
    <t>c510de86-0eea-499a-b66f-677567488cf5</t>
  </si>
  <si>
    <t>Quicklime, in pieces, loose, at plant {CH}</t>
  </si>
  <si>
    <t>4d1cdc70-7926-36dd-80c3-6da9fd9fc9cb</t>
  </si>
  <si>
    <t>Quicklime, in pieces, loose, at plant, with carbon capture and storage {CH}</t>
  </si>
  <si>
    <t>a2f73ca7-bb25-4507-ba8e-6903274b95b1</t>
  </si>
  <si>
    <t>Quicklime, milled, loose, at plant {CH}</t>
  </si>
  <si>
    <t>be8157f1-1512-33e6-8d1d-4afb87975b8a</t>
  </si>
  <si>
    <t>Quicklime, milled, packed, at plant {CH}</t>
  </si>
  <si>
    <t>f0199e27-6562-3ac9-bfb6-d161a98e5b12</t>
  </si>
  <si>
    <t>Rack server, at data center {GLO}</t>
  </si>
  <si>
    <t>526210fc-f2f6-31dc-95fc-c7eebe7b735b</t>
  </si>
  <si>
    <t>Radiator {GLO}</t>
  </si>
  <si>
    <t>b8c3df58-c806-335a-afef-e01c53a3dd54</t>
  </si>
  <si>
    <t>Radioactive waste, in final repository for nuclear waste LLW {CH}</t>
  </si>
  <si>
    <t>0004e814-c18d-42e2-a3f7-ce1fa51a3c2c</t>
  </si>
  <si>
    <t>Radioactive waste, in final repository for nuclear waste SF, HLW, and ILW {CH}</t>
  </si>
  <si>
    <t>62835b0e-1eaf-40a3-b89b-0dec99d2cc14</t>
  </si>
  <si>
    <t>Radioactive waste, in interim storage conditioning {CH}</t>
  </si>
  <si>
    <t>89bbba3a-3936-4dce-9d7d-c2c29d555202</t>
  </si>
  <si>
    <t>Radioactive waste, in interim storage, for final repository LLW {CH}</t>
  </si>
  <si>
    <t>6e7076a4-754e-4218-a9ef-360017a7def6</t>
  </si>
  <si>
    <t>Radioactive waste, in interim storage, for final repository SF, HLW, and ILW {CH}</t>
  </si>
  <si>
    <t>443a6486-deb0-497b-a504-b337b5e527a8</t>
  </si>
  <si>
    <t>Rail, at regional storage {CH}</t>
  </si>
  <si>
    <t>0997435b-c105-30ad-8320-1f28033fbb13</t>
  </si>
  <si>
    <t>Railway switch {CH}</t>
  </si>
  <si>
    <t>5205ca40-42dd-3bef-97c6-71d1544da6de</t>
  </si>
  <si>
    <t>Railway track {CH}</t>
  </si>
  <si>
    <t>81085e38-b471-33ae-a18f-55686d931f3c</t>
  </si>
  <si>
    <t>Railway track, average {CH}</t>
  </si>
  <si>
    <t>kmy</t>
  </si>
  <si>
    <t>d4fb5975-00ca-3b08-840c-c4bd48ac7ca4</t>
  </si>
  <si>
    <t>Railway track, ICE {DE}</t>
  </si>
  <si>
    <t>c8b258b8-e666-32d7-89d5-27df6636d2a5</t>
  </si>
  <si>
    <t>Railway track, in tunnel, double track {CH}</t>
  </si>
  <si>
    <t>f21ec680-8246-3630-9d7e-520ae8146399</t>
  </si>
  <si>
    <t>Railway track, in tunnel, single track {CH}</t>
  </si>
  <si>
    <t>37ceb7de-6da9-365f-982c-4e7ad4709162</t>
  </si>
  <si>
    <t>Railway track, on bridge, double track {CH}</t>
  </si>
  <si>
    <t>f549a675-eaf1-3d02-8f45-73fd785d7851</t>
  </si>
  <si>
    <t>Railway track, on bridge, single track {CH}</t>
  </si>
  <si>
    <t>5b98ffcb-442f-39b6-b5c7-c01ea562abff</t>
  </si>
  <si>
    <t>Railway track, open field, double track {CH}</t>
  </si>
  <si>
    <t>4c0a6f11-6b0d-3573-91a4-20db35018130</t>
  </si>
  <si>
    <t>Railway track, open field, single track {CH}</t>
  </si>
  <si>
    <t>642fd2bc-584f-3bb1-95a3-342d559356fa</t>
  </si>
  <si>
    <t>Railway track, with overpass construction, double track {CH}</t>
  </si>
  <si>
    <t>3f0401dd-f30d-3992-9fb8-a8ee07038625</t>
  </si>
  <si>
    <t>Railway track, with overpass construction, single track {CH}</t>
  </si>
  <si>
    <t>0aa0d299-066a-3591-88a1-514d49213737</t>
  </si>
  <si>
    <t>Railway track, with underpass construction, double track {CH}</t>
  </si>
  <si>
    <t>eb78cd0c-24d2-3e44-9055-7bcc1768542c</t>
  </si>
  <si>
    <t>Railway track, with underpass construction, single track {CH}</t>
  </si>
  <si>
    <t>45bb14e1-9bc2-3fb3-a6c1-a96fe5157121</t>
  </si>
  <si>
    <t>Rammed earth wall, at building site {CH}</t>
  </si>
  <si>
    <t>62f1ccfe-ee89-3659-b721-87c3f20f11ac</t>
  </si>
  <si>
    <t>Rammed earth wall, earth extraction {CH}</t>
  </si>
  <si>
    <t>c0b6a4f8-9148-3d78-b9c7-5992f47e0e10</t>
  </si>
  <si>
    <t>Range extender, for hybrid passenger car {RER}</t>
  </si>
  <si>
    <t>ccf540cf-00de-3291-af51-0fcf52334a10</t>
  </si>
  <si>
    <t>Rape meal, at oil mill {RER}</t>
  </si>
  <si>
    <t>agricultural\plant oils\byproducts</t>
  </si>
  <si>
    <t>6dfb616b-49a8-3bef-80d4-9fd17d577657</t>
  </si>
  <si>
    <t>Rape methyl ester, at esterification plant {CH}</t>
  </si>
  <si>
    <t>17079863-adf7-370a-ab01-9e35d064583c</t>
  </si>
  <si>
    <t>Rape methyl ester, at esterification plant {RER}</t>
  </si>
  <si>
    <t>407893f6-6bb8-3cad-9b83-4c36478fafb2</t>
  </si>
  <si>
    <t>Rape methyl ester, at regional storage {CH}</t>
  </si>
  <si>
    <t>1b407405-3d7e-3bda-a78f-87d19375eef8</t>
  </si>
  <si>
    <t>Rape methyl ester, production RER, at service station {CH}</t>
  </si>
  <si>
    <t>66e91feb-6878-3c46-a85a-3d340b24405b</t>
  </si>
  <si>
    <t>Rape oil, at oil mill {CH}</t>
  </si>
  <si>
    <t>6b45c4bc-8983-3724-8d63-f11249c5cbc6</t>
  </si>
  <si>
    <t>Rape oil, at oil mill {RER}</t>
  </si>
  <si>
    <t>35fdeef8-9704-3896-b7af-96b581a98a9f</t>
  </si>
  <si>
    <t>32894a99-8a6d-35dd-9650-c7790ed1048b</t>
  </si>
  <si>
    <t>Rape seed conventional, at farm {DE}</t>
  </si>
  <si>
    <t>ca85ca6f-6c30-37fe-b1e7-12a4430d6d5b</t>
  </si>
  <si>
    <t>Rape seed conventional, Saxony-Anhalt, at farm {DE}</t>
  </si>
  <si>
    <t>3246e47a-a2f4-3f21-be0d-d8b9c2652571</t>
  </si>
  <si>
    <t>Rape seed extensive, at farm {CH}</t>
  </si>
  <si>
    <t>5f5d384f-b72a-3ef2-b0ca-cfa6241f61e6</t>
  </si>
  <si>
    <t>Rape seed IP, at farm {CH}</t>
  </si>
  <si>
    <t>924205ab-8653-3524-8622-9784327fa32b</t>
  </si>
  <si>
    <t>Rape seed IP, at regional storehouse {CH}</t>
  </si>
  <si>
    <t>c2bd0b2d-07b7-33a7-acda-178c546b0699</t>
  </si>
  <si>
    <t>Rape seed organic, at regional storehouse {CH}</t>
  </si>
  <si>
    <t>596b5974-8c97-3c81-b40e-4d0bc30e6729</t>
  </si>
  <si>
    <t>Rape seed, at farm {US}</t>
  </si>
  <si>
    <t>8b3db3b1-247a-327a-90c1-7136bc75da77</t>
  </si>
  <si>
    <t>Rape seed, organic, at farm {CH}</t>
  </si>
  <si>
    <t>a9b85866-a5b7-3b25-9c14-2a4d20fe5c91</t>
  </si>
  <si>
    <t>Rapeseed cultivation {RER} | rapeseed production Europe | Alloc Rec, U {RER}</t>
  </si>
  <si>
    <t>833fd7be-a29b-3019-8f1a-8323359b2cdd</t>
  </si>
  <si>
    <t>Rare-earth activated phosphors, from fluorescent lamps treatment, at plant {GLO}</t>
  </si>
  <si>
    <t>electronics waste\others</t>
  </si>
  <si>
    <t>03c62fe3-abdc-4cd5-aedd-97732e5cb32b</t>
  </si>
  <si>
    <t>Rare earth concentrate, 70% REO, from bastnasite, at beneficiation {CN}</t>
  </si>
  <si>
    <t>1cf5cf73-cce7-31d0-b5ca-1fdb6dfe2fa3</t>
  </si>
  <si>
    <t>Reactors, distillation columns and heat exchangers for methanol production {RER}</t>
  </si>
  <si>
    <t>4f7eab7d-8ed8-3d35-b52b-4bd140b0f7d5</t>
  </si>
  <si>
    <t>Rectangular straw bale, baling and loading bales {CH}</t>
  </si>
  <si>
    <t>1dffb1b6-8264-3d87-960f-29b4c3c1e20b</t>
  </si>
  <si>
    <t>Rectangular straw bale, straw cultivation {CH}</t>
  </si>
  <si>
    <t>d08fb1ff-df78-3970-a21e-d13261fe9fac</t>
  </si>
  <si>
    <t>Recultivation, bauxite mine {GLO}</t>
  </si>
  <si>
    <t>fa65cb84-a76b-36f2-9058-206d935cd85e</t>
  </si>
  <si>
    <t>Recultivation, bentonite mine {DE}</t>
  </si>
  <si>
    <t>3163486f-c13b-3516-bee0-03d9f8b921d2</t>
  </si>
  <si>
    <t>Recultivation, iron mine {GLO}</t>
  </si>
  <si>
    <t>900b4d21-f0e8-34a0-b74a-c43d1d5e34b1</t>
  </si>
  <si>
    <t>Recultivation, limestone mine {CH}</t>
  </si>
  <si>
    <t>a5b48a4d-ce72-35c9-bf9b-d397f6c5ba67</t>
  </si>
  <si>
    <t>Recycling aggregate from concrete demolition, dry, at plant {CH}</t>
  </si>
  <si>
    <t>6810fde9-77b2-3530-8cfd-94f691afdd4b</t>
  </si>
  <si>
    <t>Recycling aggregate from mixed demolition, dry, at plant {CH}</t>
  </si>
  <si>
    <t>730bdb86-26fa-3ada-bd05-ff4bc719b7b6</t>
  </si>
  <si>
    <t>Recycling rubber and leather {RER}</t>
  </si>
  <si>
    <t>recycling\unspecified</t>
  </si>
  <si>
    <t>1a23c117-3fdd-443d-9a17-79dffa621b4a</t>
  </si>
  <si>
    <t>Recycling steel and iron {RER}</t>
  </si>
  <si>
    <t>daeb4e04-abe6-4a30-ae04-16353e2f1531</t>
  </si>
  <si>
    <t>Recycling wood {RER}</t>
  </si>
  <si>
    <t>4ea3b69e-866d-4c64-aa2c-8995c3faeec3</t>
  </si>
  <si>
    <t>Refined Waste Cooking Oil {RER} | Refining of waste cooking oil Europe | Alloc Rec, U {RER}</t>
  </si>
  <si>
    <t>d7d87e52-6c8e-38c3-9888-b9edef352dc7</t>
  </si>
  <si>
    <t>Refinery {RER}</t>
  </si>
  <si>
    <t>6f022bd4-3ef3-3887-b35d-2f37f1da5844</t>
  </si>
  <si>
    <t>Refinery gas, at refinery {CH}</t>
  </si>
  <si>
    <t>da266a51-467b-37d5-ab77-0db23e25d59a</t>
  </si>
  <si>
    <t>Refinery gas, at refinery {RER}</t>
  </si>
  <si>
    <t>33de0413-8703-363b-81ef-8f5fc596e64c</t>
  </si>
  <si>
    <t>Refinery gas, burned in flare {GLO}</t>
  </si>
  <si>
    <t>9ee15e39-2e49-343f-97c9-80a4764a0422</t>
  </si>
  <si>
    <t>Refinery gas, burned in furnace {CH}</t>
  </si>
  <si>
    <t>836d9b63-01b4-3594-9c27-32497e9e0a34</t>
  </si>
  <si>
    <t>Refinery gas, burned in furnace {RER}</t>
  </si>
  <si>
    <t>5c81d3c9-cad0-3a6d-9b29-82c7b0a6aba8</t>
  </si>
  <si>
    <t>Refractory, basic, packed, at plant {DE}</t>
  </si>
  <si>
    <t>e1da5b46-06a9-355e-a240-76deff4922ce</t>
  </si>
  <si>
    <t>Refractory, fireclay, packed, at plant {DE}</t>
  </si>
  <si>
    <t>76b3d094-2608-32f8-8be6-7b68317004f0</t>
  </si>
  <si>
    <t>Refractory, high aluminium oxide, packed, at plant {DE}</t>
  </si>
  <si>
    <t>791a4440-2a1f-3684-989b-56c6712647b9</t>
  </si>
  <si>
    <t>Refrigerant collector {DE}</t>
  </si>
  <si>
    <t>05167a56-30ce-3f7e-8cbe-2fec931c9370</t>
  </si>
  <si>
    <t>Refrigerant R134a, at plant {RER}</t>
  </si>
  <si>
    <t>ddce4dc4-2356-3d77-8208-187e6598018d</t>
  </si>
  <si>
    <t>Regional distribution, oil products {RER}</t>
  </si>
  <si>
    <t>4f7cc4ce-e72a-389c-bae5-c6138af12706</t>
  </si>
  <si>
    <t>Regional train {CH}</t>
  </si>
  <si>
    <t>a2583d65-566d-3488-96fc-285b42476e21</t>
  </si>
  <si>
    <t>c217cc53-bf2e-37a2-b51b-ed7e4aec9411</t>
  </si>
  <si>
    <t>b38bbde0-a4b0-347f-8136-ce520abfa557</t>
  </si>
  <si>
    <t>36f49fc8-c223-3f57-82e4-aef9bab9ee05</t>
  </si>
  <si>
    <t>Reinforcing steel, at regional storage, with resource correction {CH}</t>
  </si>
  <si>
    <t>3acde455-9117-3ad2-83df-b49a75b1773a</t>
  </si>
  <si>
    <t>Reinforcing steel, converter, at plant {RER}</t>
  </si>
  <si>
    <t>46e53176-e141-3487-bdee-390461040b92</t>
  </si>
  <si>
    <t>Reinforcing steel, electric, at plant {RER}</t>
  </si>
  <si>
    <t>579f9f75-d7bb-3383-bad2-544f2c80bc24</t>
  </si>
  <si>
    <t>Reinforcing steel, import to CH, at plant {RER}</t>
  </si>
  <si>
    <t>359ffce6-23b6-3ee0-a57b-6a8dd6712f85</t>
  </si>
  <si>
    <t>Reinforcing steel, primary production (0% Rec.) {CH}</t>
  </si>
  <si>
    <t>61ddb53d-0bfc-3ded-a54c-11f42ee9e70a</t>
  </si>
  <si>
    <t>Render carrier board, cement bound, at plant {DE}</t>
  </si>
  <si>
    <t>construction materials\plaster base</t>
  </si>
  <si>
    <t>75202015-6030-3e3e-8f9e-a424e2b13030</t>
  </si>
  <si>
    <t>Render carrier board, cement bound, at regional storage {CH}</t>
  </si>
  <si>
    <t>888dcd6a-d9f0-332f-957a-67a654a2f520</t>
  </si>
  <si>
    <t>Render carrier board, cement bound, transport DE-&gt; CH {RER}</t>
  </si>
  <si>
    <t>395710a2-768e-3edd-b20d-1fcfe8090271</t>
  </si>
  <si>
    <t>Render carrier board, packaging, per m2 board {DE}</t>
  </si>
  <si>
    <t>c29b41bc-256f-3efb-b06e-d8fc11c7943f</t>
  </si>
  <si>
    <t>Render carrier board, resin bound, at plant {DE}</t>
  </si>
  <si>
    <t>89993f00-b3f3-3761-8359-be773546a049</t>
  </si>
  <si>
    <t>Render carrier board, resin bound, at regional storehouse {CH}</t>
  </si>
  <si>
    <t>3795f2dc-785f-31d7-9add-ade2485583aa</t>
  </si>
  <si>
    <t>Render carrier board, resin bound, transport DE-&gt;CH {RER}</t>
  </si>
  <si>
    <t>c130a9c1-2dc2-38b6-aa0e-0a481dccaf2b</t>
  </si>
  <si>
    <t>Reservoir hydropower plant {BR}</t>
  </si>
  <si>
    <t>electricity by fuel\hydro\reservoir\infrastructure</t>
  </si>
  <si>
    <t>3f6b6953-77b6-3309-809c-0fef6fa3f3fa</t>
  </si>
  <si>
    <t>Reservoir hydropower plant {CH}</t>
  </si>
  <si>
    <t>5d4f0090-160f-314e-976e-9321243a1eda</t>
  </si>
  <si>
    <t>Reservoir hydropower plant, alpine region {RER}</t>
  </si>
  <si>
    <t>192969a9-5bfc-355d-8620-a2bc4a884c10</t>
  </si>
  <si>
    <t>Reservoir hydropower plant, non alpine regions {RER}</t>
  </si>
  <si>
    <t>9fcd0e0c-a327-3b42-880e-36f4258400b2</t>
  </si>
  <si>
    <t>Residential sewer grid {CH}</t>
  </si>
  <si>
    <t>b7302509-f955-3fd8-8e72-764b11054c74</t>
  </si>
  <si>
    <t>Residual material landfill facility {CH}</t>
  </si>
  <si>
    <t>0311b8c7-c4b4-3863-baee-04ee9d28c324</t>
  </si>
  <si>
    <t>Residual wood, dry, from fibreboard production, hard, measured as dry mass, at plant {RER}</t>
  </si>
  <si>
    <t>4fb7460d-7b99-36e3-b18d-5b8fccb0af62</t>
  </si>
  <si>
    <t>Residual wood, dry, from fibreboard production, soft, from wet &amp; dry processes, measured as dry mass, at plant {RER}</t>
  </si>
  <si>
    <t>b58bd07e-89c6-36cf-a0f2-e52effda7868</t>
  </si>
  <si>
    <t>Residual wood, dry, from glued laminated timber production, for indoor use, measured as dry mass, at plant {RER}</t>
  </si>
  <si>
    <t>b6fa53ee-46ae-3d13-9428-3f1fd070f1ee</t>
  </si>
  <si>
    <t>Residual wood, dry, from glued laminated timber production, for oudoor use, measured as dry mass, at plant {RER}</t>
  </si>
  <si>
    <t>23b8d569-eb54-35e3-9331-d2e07256e475</t>
  </si>
  <si>
    <t>Residual wood, dry, from laminated timber element production, measured as dry mass, at plant {RER}</t>
  </si>
  <si>
    <t>3744ba2d-52e8-3762-b34d-9dbb7b8223f9</t>
  </si>
  <si>
    <t>Residual wood, dry, from medium denstity fibre board production, uncoated, measured as dry mass, at plant {RER}</t>
  </si>
  <si>
    <t>fca74d6f-ba8d-3854-94a1-b6d5f32d3d79</t>
  </si>
  <si>
    <t>Residual wood, dry, from oriented strand board production, measured as dry mass, at plant {RER}</t>
  </si>
  <si>
    <t>93485991-729c-393a-b72a-c1e60ab0b1df</t>
  </si>
  <si>
    <t>Residual wood, dry, from particle board production, uncoated, average glue mix, measured as dry mass, at plant {RER}</t>
  </si>
  <si>
    <t>4ac826f7-9c40-3485-a20a-403db17d9a8a</t>
  </si>
  <si>
    <t>Residual wood, dry, from plywood production, for indoor use, measured as dry mass, at plant {RER}</t>
  </si>
  <si>
    <t>6af1dd53-feb9-33dd-870d-7135ed4be267</t>
  </si>
  <si>
    <t>Residual wood, dry, from plywood production, for outdoor use, measured as dry mass, at plant {RER}</t>
  </si>
  <si>
    <t>94a12e98-b347-36e5-9c01-10c9b93ebad6</t>
  </si>
  <si>
    <t>Residual wood, dry, from three layered laminated board production, for outdoor use, measured as dry mass, at plant {RER}</t>
  </si>
  <si>
    <t>e15d27d9-f76a-3483-8f55-d852849cc28b</t>
  </si>
  <si>
    <t>Residual wood, dry, from wood wool production, measured as dry mass, at plant {RER}</t>
  </si>
  <si>
    <t>436953a7-5327-34a9-8567-972c1a0cf219</t>
  </si>
  <si>
    <t>Residual wood, dry, production mix, from industry, measured as dry mass, at plant {RER}</t>
  </si>
  <si>
    <t>462dad06-af82-3eba-82b2-e07577042d13</t>
  </si>
  <si>
    <t>Residual wood, softwood, under bark, u=140%, holzpur, at forest road {CH}</t>
  </si>
  <si>
    <t>20418dc9-1dfd-3574-b3b5-8e800833378a</t>
  </si>
  <si>
    <t>Resin size, at plant {RER}</t>
  </si>
  <si>
    <t>2e84acb9-3657-3f14-a387-57a43efa8f2c</t>
  </si>
  <si>
    <t>Resistor, metal film type, through-hole mounting, at plant {GLO}</t>
  </si>
  <si>
    <t>828c499d-57c3-323c-8f55-3548ffcdf19f</t>
  </si>
  <si>
    <t>Resistor, SMD type, surface mounting, at plant {GLO}</t>
  </si>
  <si>
    <t>2280a862-e4ed-31d3-aa73-55d44d7a6cf9</t>
  </si>
  <si>
    <t>Resistor, unspecified, at plant {GLO}</t>
  </si>
  <si>
    <t>07c77701-7469-3d22-9853-9ca6d1f1ec0b</t>
  </si>
  <si>
    <t>Resistor, wirewound, through-hole mounting, at plant {GLO}</t>
  </si>
  <si>
    <t>f832369b-ae4b-3c3c-a63a-b7aa12d93fb9</t>
  </si>
  <si>
    <t>Resource correction, CuMo, copper, negative {GLO}</t>
  </si>
  <si>
    <t>metals\non ferro\resource corrections</t>
  </si>
  <si>
    <t>9f0bc459-1f19-3aa3-9b45-d75f572a11aa</t>
  </si>
  <si>
    <t>Resource correction, CuMo, copper, positive {GLO}</t>
  </si>
  <si>
    <t>d4e45689-e83e-36c1-8aba-31b57a46dc1c</t>
  </si>
  <si>
    <t>Resource correction, PbZn, cadmium, negative {GLO}</t>
  </si>
  <si>
    <t>c027fb55-09c6-3c13-b2e5-7e7e4fedd699</t>
  </si>
  <si>
    <t>Resource correction, PbZn, cadmium, positive {GLO}</t>
  </si>
  <si>
    <t>17ea518e-f445-3a91-a7dd-a022363e9b05</t>
  </si>
  <si>
    <t>Resource correction, PbZn, indium, negative {GLO}</t>
  </si>
  <si>
    <t>f61a9ebb-63ce-37d3-86a5-0938b262a22e</t>
  </si>
  <si>
    <t>Resource correction, PbZn, indium, positive {GLO}</t>
  </si>
  <si>
    <t>8bb45e16-0a5c-3091-b010-fe7010df9c6d</t>
  </si>
  <si>
    <t>Resource correction, PbZn, lead, negative {GLO}</t>
  </si>
  <si>
    <t>ef8b6259-1cb2-3941-ae43-c3abfab73495</t>
  </si>
  <si>
    <t>Resource correction, PbZn, lead, positive {GLO}</t>
  </si>
  <si>
    <t>a267c238-9d23-326d-be49-9df268d6666c</t>
  </si>
  <si>
    <t>Resource correction, PbZn, silver, negative {GLO}</t>
  </si>
  <si>
    <t>093752ee-a3e2-37d2-a94c-b184eff3310b</t>
  </si>
  <si>
    <t>Resource correction, PbZn, silver, positive {GLO}</t>
  </si>
  <si>
    <t>92b65113-6271-322a-b16f-207df910dfc6</t>
  </si>
  <si>
    <t>Resource correction, PbZn, zinc, negative {GLO}</t>
  </si>
  <si>
    <t>ebc40167-08ba-3dde-b450-38e8dee48c14</t>
  </si>
  <si>
    <t>Resource correction, PbZn, zinc, positive {GLO}</t>
  </si>
  <si>
    <t>a20f7494-706d-3610-aa39-4ab4fa5c6e36</t>
  </si>
  <si>
    <t>Retarder, for lorry {RER}</t>
  </si>
  <si>
    <t>a447c166-6831-38f9-8f38-c4db5f5e5e53</t>
  </si>
  <si>
    <t>Retention aids, in paper production, at plant {RER}</t>
  </si>
  <si>
    <t>3da5aaa6-39b8-3fbd-a35d-66914c85c67a</t>
  </si>
  <si>
    <t>Rhodium, at regional storage {RER}</t>
  </si>
  <si>
    <t>6fc0ae69-59f0-3ce6-9c4d-5cc08c262d49</t>
  </si>
  <si>
    <t>Rhodium, primary, at refinery {RU}</t>
  </si>
  <si>
    <t>eb3a6498-7e82-3207-ad5a-6932a0cdfe01</t>
  </si>
  <si>
    <t>Rhodium, primary, at refinery {ZA}</t>
  </si>
  <si>
    <t>f489fca5-5d07-34ea-a4be-9d8f71dd4b84</t>
  </si>
  <si>
    <t>Rhodium, secondary, at refinery {RER}</t>
  </si>
  <si>
    <t>6b21c896-c66f-37a1-9bb3-2aad6f676b7c</t>
  </si>
  <si>
    <t>Rice seed, at regional storehouse {US}</t>
  </si>
  <si>
    <t>c290e391-b0c5-3d0a-9636-06cb041a5bf3</t>
  </si>
  <si>
    <t>Rice, at farm {US}</t>
  </si>
  <si>
    <t>979dfee0-f570-3b6a-aa8e-efb1a3c0e1f5</t>
  </si>
  <si>
    <t>Road {CH}</t>
  </si>
  <si>
    <t>da85c1ba-b1b3-3e9f-817b-d5c1430195ae</t>
  </si>
  <si>
    <t>Road vehicle plant {RER}</t>
  </si>
  <si>
    <t>add62058-528c-3255-b17d-65d0a77cc3d9</t>
  </si>
  <si>
    <t>Road wear emissions, lorry {RER}</t>
  </si>
  <si>
    <t>92c36959-3136-3b24-bdf1-058ff7429972</t>
  </si>
  <si>
    <t>Road wear emissions, passenger car {RER}</t>
  </si>
  <si>
    <t>53cdd953-d0bc-30ea-baa8-9a91650f7264</t>
  </si>
  <si>
    <t>Road, trolleybus {CH}</t>
  </si>
  <si>
    <t>1d0dfd86-ba5c-3ec9-8853-7f81b4677073</t>
  </si>
  <si>
    <t>59d36eb4-73ce-3077-b1fb-b1419ee0f623</t>
  </si>
  <si>
    <t>Rock wool plant {CH}</t>
  </si>
  <si>
    <t>aa78c4f7-bb3a-3fee-8db5-b75e9b8c7766</t>
  </si>
  <si>
    <t>894a305f-4c36-3f08-88b9-7d680d276941</t>
  </si>
  <si>
    <t>Rock wool, Flumroc, at plant {CH}</t>
  </si>
  <si>
    <t>insulation materials\production</t>
  </si>
  <si>
    <t>52078a01-3225-3d5e-b2b3-eca820457f2e</t>
  </si>
  <si>
    <t>Rock wool, Flumroc, import, at plant {RER}</t>
  </si>
  <si>
    <t>5251f6da-beee-3027-9754-fa56fc94c7c6</t>
  </si>
  <si>
    <t>Rock wool, Flumroc, packed, at plant {CH}</t>
  </si>
  <si>
    <t>99ff12a4-23dd-36aa-a1e3-49e3a954539b</t>
  </si>
  <si>
    <t>Rock wool, packed, at plant {CH}</t>
  </si>
  <si>
    <t>0a20bc7c-7f84-3bb6-94e9-a022fd5cd057</t>
  </si>
  <si>
    <t>Rolled steel, at regional storage {CH}</t>
  </si>
  <si>
    <t>0a28f083-19b6-3e03-afa5-453dd38eb4c2</t>
  </si>
  <si>
    <t>Rolled steel, at regional storage, with resource correction {CH}</t>
  </si>
  <si>
    <t>96cbd152-fbcb-3cf7-8062-a43ad398d055</t>
  </si>
  <si>
    <t>Roller shutters, at plant {CH}</t>
  </si>
  <si>
    <t>383843ab-8baf-3ecf-8269-df50482e5588</t>
  </si>
  <si>
    <t>Roller shutters, at plant, with resource correction {CH}</t>
  </si>
  <si>
    <t>813ed0ff-db1a-366e-9635-2bf7f8f7e915</t>
  </si>
  <si>
    <t>Rolling mill {RER}</t>
  </si>
  <si>
    <t>e27ffe1d-76ce-3787-9043-748219d8a21f</t>
  </si>
  <si>
    <t>Roof substructure, integrated, small, GFT, at plant {CH}</t>
  </si>
  <si>
    <t>bfa2fc79-9c49-3059-8fa7-fcb63023b479</t>
  </si>
  <si>
    <t>Roof tile, at plant {RER}</t>
  </si>
  <si>
    <t>7a6c38f5-5f04-31bc-a476-3a41ef307303</t>
  </si>
  <si>
    <t>Roof tile, market mix, at regional storage {CH}</t>
  </si>
  <si>
    <t>9a24b457-efb1-3190-b9de-7b7d6b6f59f1</t>
  </si>
  <si>
    <t>Rosin size, in paper production, at plant {RER}</t>
  </si>
  <si>
    <t>8e46d05e-32b9-3b6f-aa0a-ae27da615f28</t>
  </si>
  <si>
    <t>Round wood, primary forest, clear-cutting, at forest road {MY}</t>
  </si>
  <si>
    <t>b23a6bb4-8174-3d92-aa5d-629135f9a778</t>
  </si>
  <si>
    <t>Round wood, softwood, under bark, u=70%, holzpur, at forest road {CH}</t>
  </si>
  <si>
    <t>4c3ab272-4446-3321-a03d-8707066c01ec</t>
  </si>
  <si>
    <t>Roundwood, azobe (SFM), debarked, u=30%, CM, at maritime harbour {RER}</t>
  </si>
  <si>
    <t>2ddafd19-a55e-3a51-951f-22cc7b91f912</t>
  </si>
  <si>
    <t>Roundwood, azobe (SFM), under bark, u=30%, at forest road {CM}</t>
  </si>
  <si>
    <t>21bad7ea-dfe1-3fc1-835d-5e7216a46a34</t>
  </si>
  <si>
    <t>Roundwood, eucalyptus ssp. (SFM), under bark, u=50%, at forest road {TH}</t>
  </si>
  <si>
    <t>871817c2-cbed-3f06-8ea4-6b729c763a32</t>
  </si>
  <si>
    <t>Roundwood, meranti (SFM), debarked, u=70%, MY, at maritime harbour {RER}</t>
  </si>
  <si>
    <t>bdfb25ce-dece-3258-9f2d-8f4125639908</t>
  </si>
  <si>
    <t>Roundwood, meranti (SFM), under bark, u=70%, at forest road {MY}</t>
  </si>
  <si>
    <t>e7cf2588-53f9-3aac-b84c-32cd10beb2e9</t>
  </si>
  <si>
    <t>Roundwood, paraná pine (SFM), under bark, u=50%, at forest road {BR}</t>
  </si>
  <si>
    <t>b296356a-a91d-31f9-a68b-f27f6f5fb8f7</t>
  </si>
  <si>
    <t>8b619ad8-2acf-34c6-b8b2-c8608e450f0b</t>
  </si>
  <si>
    <t>Run-of-river hydropower plant {CH}</t>
  </si>
  <si>
    <t>electricity by fuel\hydro\flow through\infrastructure</t>
  </si>
  <si>
    <t>596260e5-9b9e-307a-b2b1-a14142ddb90b</t>
  </si>
  <si>
    <t>Run-of-river hydropower plant {RER}</t>
  </si>
  <si>
    <t>d64314f2-d239-3a64-bbfa-33e16a5706d3</t>
  </si>
  <si>
    <t>Rutile, 95% titanium dioxide, at plant {AU}</t>
  </si>
  <si>
    <t>12085649-b010-3868-aa7d-30634a83fc0d</t>
  </si>
  <si>
    <t>Rye grains conventional, at farm {RER}</t>
  </si>
  <si>
    <t>0ee3beb2-cbcb-37bf-a730-6b253674f24e</t>
  </si>
  <si>
    <t>Rye grains extensive, at farm {CH}</t>
  </si>
  <si>
    <t>48615040-7acc-3859-81ea-9536d0aa387f</t>
  </si>
  <si>
    <t>Rye grains IP, at farm {CH}</t>
  </si>
  <si>
    <t>be6d971e-d32c-39b6-bede-e32e5c35c6ef</t>
  </si>
  <si>
    <t>Rye grains organic, at farm {CH}</t>
  </si>
  <si>
    <t>a2ab56fa-6d1f-3de1-bde9-45d45c71dab3</t>
  </si>
  <si>
    <t>Rye organic, at feed mill {CH}</t>
  </si>
  <si>
    <t>50b1d4e7-a844-31d3-b04d-4f0b94d4e0c0</t>
  </si>
  <si>
    <t>Rye seed IP, at regional storehouse {CH}</t>
  </si>
  <si>
    <t>e6d913d5-914e-3afb-9813-aa3af247e954</t>
  </si>
  <si>
    <t>Rye seed organic, at regional storehouse {CH}</t>
  </si>
  <si>
    <t>7c5e6148-1a35-33f3-9367-b53fb4f79b18</t>
  </si>
  <si>
    <t>Rye straw conventional, at farm {RER}</t>
  </si>
  <si>
    <t>65cfc5fe-9d3d-30a2-a268-9f19354e2cc0</t>
  </si>
  <si>
    <t>Rye straw extensive, at farm {CH}</t>
  </si>
  <si>
    <t>d15ec0ce-156e-32a2-94b2-4c3f560c3716</t>
  </si>
  <si>
    <t>Rye straw IP, at farm {CH}</t>
  </si>
  <si>
    <t>ccc99d3f-4a55-378b-967a-f987899034e1</t>
  </si>
  <si>
    <t>Rye straw organic, at farm {CH}</t>
  </si>
  <si>
    <t>a57ffb62-fa0e-3b64-816f-e02e1d7a788f</t>
  </si>
  <si>
    <t>Sabatier reaction methanation unit construction {RER}</t>
  </si>
  <si>
    <t>c712d5cd-d942-3d8f-aeef-6689ec67a5d5</t>
  </si>
  <si>
    <t>Safety system, single track {CH}</t>
  </si>
  <si>
    <t>1071deb4-03cd-3447-966d-c567d0722a86</t>
  </si>
  <si>
    <t>Sales gas, from natural gas, helium extraction {GLO}</t>
  </si>
  <si>
    <t>8e82bfa6-8ce9-3d42-aa29-149645d2f6db</t>
  </si>
  <si>
    <t>9d51eb0d-0ed6-3807-a305-4860ff3a2760</t>
  </si>
  <si>
    <t>Sand / concrete gravel, in sorting plant {CH}</t>
  </si>
  <si>
    <t>4cc71551-e7e8-4f4d-a46f-96ceb7306c21</t>
  </si>
  <si>
    <t>Sand, at mine {CH}</t>
  </si>
  <si>
    <t>e13183f8-d825-3264-87d6-e66f9750f908</t>
  </si>
  <si>
    <t>897eb52c-b007-3884-9b8d-9f735da06908</t>
  </si>
  <si>
    <t>Sand, market mix, at regional storage, with resource correction {CH}</t>
  </si>
  <si>
    <t>39db1cd4-067b-3477-805e-e7763fe86ec1</t>
  </si>
  <si>
    <t>Sanding belt {RER}</t>
  </si>
  <si>
    <t>a3ca0286-cdc7-439a-b240-1a6d2bd0b86c</t>
  </si>
  <si>
    <t>ceramics\unspecified</t>
  </si>
  <si>
    <t>85c77d40-863e-3d84-86b2-a46403916c29</t>
  </si>
  <si>
    <t>Sanitary landfill facility {CH}</t>
  </si>
  <si>
    <t>3b5a45d2-6fef-32bc-bb7d-37ddb271581d</t>
  </si>
  <si>
    <t>Saw dust, loose, hardwood, wet, measured as dry mass, at saw {CH}</t>
  </si>
  <si>
    <t>fcf48888-0174-3d83-ac41-61053ab9b861</t>
  </si>
  <si>
    <t>Saw dust, loose, hardwood, wet, measured as dry mass, at saw {RER}</t>
  </si>
  <si>
    <t>ceafb958-8218-3398-8e82-8d251bb7bf25</t>
  </si>
  <si>
    <t>Saw dust, loose, softwood, wet, measured as dry mass, at saw {CH}</t>
  </si>
  <si>
    <t>4f64e1d5-d752-3081-8f91-c15be0e08f0c</t>
  </si>
  <si>
    <t>Saw dust, loose, softwood, wet, measured as dry mass, at saw {RER}</t>
  </si>
  <si>
    <t>67e67975-af72-3eab-9763-81d8160cc8fe</t>
  </si>
  <si>
    <t>Saw dust, production mix, wet, measured as dry mass, at sawmill {CH}</t>
  </si>
  <si>
    <t>a25917c5-c92c-3280-8e2d-df42ae7ec798</t>
  </si>
  <si>
    <t>Saw dust, production mix, wet, measured as dry mass, at sawmill {RER}</t>
  </si>
  <si>
    <t>c9e937fb-bf57-3354-a7ff-0f25a3b443b6</t>
  </si>
  <si>
    <t>Sawlog and veneer log, beech, sustainable forest management, measured as solid wood under bark, at forest road {DE}</t>
  </si>
  <si>
    <t>7f8af0f2-bdf1-34ef-9655-405965652fe2</t>
  </si>
  <si>
    <t>Sawlog and veneer log, birch, sustainable forest management, measured as solid wood under bark, at forest road {SE}</t>
  </si>
  <si>
    <t>2ad168d7-ae50-3792-9ee8-2311709e9b23</t>
  </si>
  <si>
    <t>Sawlog and veneer log, hardwood, sustainable forest management, measured as solid wood under bark, at forest road {CH}</t>
  </si>
  <si>
    <t>3f6c55b6-22ae-32fc-9e3e-940f325cb9b6</t>
  </si>
  <si>
    <t>Sawlog and veneer log, hardwood, sustainable forest management, measured as solid wood under bark, at forest road {RER}</t>
  </si>
  <si>
    <t>169f6e67-5dba-3828-b16b-981be6e52350</t>
  </si>
  <si>
    <t>Sawlog and veneer log, oak, sustainable forest management, measured as solid wood under bark, at forest road {DE}</t>
  </si>
  <si>
    <t>b5c9d743-4819-36da-af00-65e283795186</t>
  </si>
  <si>
    <t>Sawlog and veneer log, pine, sustainable forest management, measured as solid wood under bark, at forest road {DE}</t>
  </si>
  <si>
    <t>85baceba-dad3-3c70-bf7e-e4c39f74462c</t>
  </si>
  <si>
    <t>Sawlog and veneer log, pine, sustainable forest management, measured as solid wood under bark, at forest road {SE}</t>
  </si>
  <si>
    <t>0e7863f0-e468-3a05-9710-0d863b1bced9</t>
  </si>
  <si>
    <t>Sawlog and veneer log, softwood, sustainable forest management, measured as solid wood under bark, at forest road {AT}</t>
  </si>
  <si>
    <t>53856125-d0de-3f5c-9002-d7412000a2ba</t>
  </si>
  <si>
    <t>Sawlog and veneer log, softwood, sustainable forest management, measured as solid wood under bark, at forest road {CH}</t>
  </si>
  <si>
    <t>584737e6-66a7-396c-9acf-fd975beb5ced</t>
  </si>
  <si>
    <t>Sawlog and veneer log, softwood, sustainable forest management, measured as solid wood under bark, at forest road {RER}</t>
  </si>
  <si>
    <t>5981d0a6-d5e1-3f80-9c63-babe82c0197d</t>
  </si>
  <si>
    <t>Sawlog and veneer log, spruce, sustainable forest management, measured as solid wood under bark, at forest road {DE}</t>
  </si>
  <si>
    <t>5021880e-3f94-3a1a-95b2-6391683c4cea</t>
  </si>
  <si>
    <t>Sawlog and veneer log, spruce, sustainable forest management, measured as solid wood under bark, at forest road {SE}</t>
  </si>
  <si>
    <t>535b1093-6d46-3374-8793-f1cb3465ec9d</t>
  </si>
  <si>
    <t>Sawmill {CH}</t>
  </si>
  <si>
    <t>af754e25-c59f-306d-9bfe-a28cedd2a9f8</t>
  </si>
  <si>
    <t>Sawmill {RER}</t>
  </si>
  <si>
    <t>81ead69a-19fa-3512-8683-2f1779975d42</t>
  </si>
  <si>
    <t>Sawn timber (SFM), azobe, planed, air dried, u=15%, CM, at sawmill {RER}</t>
  </si>
  <si>
    <t>10aba00c-cede-3f91-a446-af96f7d264db</t>
  </si>
  <si>
    <t>Sawn timber, paraná pine (SFM), kiln dried, u=15%, at sawmill {BR}</t>
  </si>
  <si>
    <t>a5838370-eb70-348c-a0fb-ac13597cce08</t>
  </si>
  <si>
    <t>Sawn timber, paraná pine (SFM), u=15%, BR, at maritime harbour {RER}</t>
  </si>
  <si>
    <t>14a5c934-dae3-3765-9d5a-5fa665ab9043</t>
  </si>
  <si>
    <t>Sawn timber, softwood, raw, air, kiln dried, u=6%, holzpur, at plant {CH}</t>
  </si>
  <si>
    <t>6e204d54-a41a-3a31-ac4a-1e7b59c8e28b</t>
  </si>
  <si>
    <t>Sawn timber, softwood, raw, plant-debarked, u=70%, holzpur, at plant {CH}</t>
  </si>
  <si>
    <t>257b75b4-1db0-37ca-913c-794a750eaed8</t>
  </si>
  <si>
    <t>Sawnwood, beam, hardwood, dried (u=10%), planed, at sawmill {CH}</t>
  </si>
  <si>
    <t>6f14a64e-5b13-3811-b960-ff270253e9e8</t>
  </si>
  <si>
    <t>Sawnwood, beam, hardwood, dried (u=10%), planed, at sawmill {RER}</t>
  </si>
  <si>
    <t>5a7d3277-e47d-3dfb-a1d4-4db2870b3085</t>
  </si>
  <si>
    <t>Sawnwood, beam, hardwood, dried (u=20%), planed, at sawmill {CH}</t>
  </si>
  <si>
    <t>8e10d90d-049d-3e0e-a630-568746b8a23e</t>
  </si>
  <si>
    <t>Sawnwood, beam, hardwood, dried (u=20%), planed, at sawmill {RER}</t>
  </si>
  <si>
    <t>2cd5a4d2-9d43-3725-a050-a51dd6d0bd72</t>
  </si>
  <si>
    <t>Sawnwood, beam, hardwood, raw, air dried (u=20%), at sawmill {CH}</t>
  </si>
  <si>
    <t>3276da4d-e4c6-3a04-96b4-39e96e36c731</t>
  </si>
  <si>
    <t>Sawnwood, beam, hardwood, raw, air dried (u=20%), at sawmill {RER}</t>
  </si>
  <si>
    <t>742d8cd1-7fef-3bcd-88fb-a4212fc84514</t>
  </si>
  <si>
    <t>Sawnwood, beam, hardwood, raw, kiln dried (u=10%), at sawmill {CH}</t>
  </si>
  <si>
    <t>9843c2f9-fbbe-36e5-b947-9ddd1f9c6905</t>
  </si>
  <si>
    <t>Sawnwood, beam, hardwood, raw, kiln dried (u=10%), at sawmill {RER}</t>
  </si>
  <si>
    <t>a539337e-8c0f-3203-8c42-e1961944fab7</t>
  </si>
  <si>
    <t>Sawnwood, beam, hardwood, raw, kiln dried (u=20%), at sawmill {CH}</t>
  </si>
  <si>
    <t>a78c5d0c-b9e0-37ab-ac87-052b882b6a3d</t>
  </si>
  <si>
    <t>Sawnwood, beam, hardwood, raw, kiln dried (u=20%), at sawmill {RER}</t>
  </si>
  <si>
    <t>d84fbed4-49a8-316e-be14-5273f3a4617a</t>
  </si>
  <si>
    <t>Sawnwood, beam, softwood, dried (u=10%), planed, at sawmill {AT}</t>
  </si>
  <si>
    <t>28fc0d65-d26c-3707-9d7d-46864c7c6ae1</t>
  </si>
  <si>
    <t>Sawnwood, beam, softwood, dried (u=10%), planed, at sawmill {CH}</t>
  </si>
  <si>
    <t>df2fab32-98d3-3f03-b23a-b9366e444ae9</t>
  </si>
  <si>
    <t>Sawnwood, beam, softwood, dried (u=10%), planed, at sawmill {RER}</t>
  </si>
  <si>
    <t>05597a93-b5c2-3a8f-b906-bb8f88847a98</t>
  </si>
  <si>
    <t>Sawnwood, beam, softwood, dried (u=20%), planed, at sawmill {CH}</t>
  </si>
  <si>
    <t>1dd8b2cc-18f9-33a2-b6ef-a0bc18cba7e2</t>
  </si>
  <si>
    <t>Sawnwood, beam, softwood, dried (u=20%), planed, at sawmill {RER}</t>
  </si>
  <si>
    <t>6f790b42-954a-30cb-bf20-45469d1f94df</t>
  </si>
  <si>
    <t>Sawnwood, beam, softwood, raw, air dried (u=20%), at sawmill {CH}</t>
  </si>
  <si>
    <t>a172cfe1-ae8f-34e9-8c42-97c99f3ff28b</t>
  </si>
  <si>
    <t>Sawnwood, beam, softwood, raw, air dried (u=20%), at sawmill {RER}</t>
  </si>
  <si>
    <t>66c85616-1cb0-3fa3-a951-115ea95b4fe1</t>
  </si>
  <si>
    <t>Sawnwood, beam, softwood, raw, dried (u=10%), at sawmill {AT}</t>
  </si>
  <si>
    <t>94da6930-150c-32f4-9ab1-815ea522db66</t>
  </si>
  <si>
    <t>Sawnwood, beam, softwood, raw, kiln dried (u=10%), at sawmill {CH}</t>
  </si>
  <si>
    <t>4a064285-a990-3954-84bc-6020a15ac0f1</t>
  </si>
  <si>
    <t>Sawnwood, beam, softwood, raw, kiln dried (u=10%), at sawmill {RER}</t>
  </si>
  <si>
    <t>54b4a2d0-24ef-3d5e-9adb-8f0350022698</t>
  </si>
  <si>
    <t>Sawnwood, beam, softwood, raw, kiln dried (u=20%), at sawmill {CH}</t>
  </si>
  <si>
    <t>daa620ff-61db-3e9c-b803-d1fdba43f7e9</t>
  </si>
  <si>
    <t>Sawnwood, beam, softwood, raw, kiln dried (u=20%), at sawmill {RER}</t>
  </si>
  <si>
    <t>15210eff-3657-3394-9620-5aeebf1d1d42</t>
  </si>
  <si>
    <t>Sawnwood, board, hardwood, dried (u=10%), planed, at sawmill {CH}</t>
  </si>
  <si>
    <t>805c20ca-3254-30b3-a3a9-0d03b00157cb</t>
  </si>
  <si>
    <t>Sawnwood, board, hardwood, dried (u=10%), planed, at sawmill {RER}</t>
  </si>
  <si>
    <t>7c7d8abc-b5e4-3df9-a118-03ed7e3587a7</t>
  </si>
  <si>
    <t>Sawnwood, board, hardwood, dried (u=20%), planed, at sawmill {CH}</t>
  </si>
  <si>
    <t>0f2fdeb4-3830-37ea-a4e6-a179b87be172</t>
  </si>
  <si>
    <t>Sawnwood, board, hardwood, dried (u=20%), planed, at sawmill {RER}</t>
  </si>
  <si>
    <t>c01659d6-15f0-30da-9e1b-a54154386a0b</t>
  </si>
  <si>
    <t>Sawnwood, board, hardwood, raw, air dried (u=20%), at sawmill {CH}</t>
  </si>
  <si>
    <t>6c92f61f-1462-3a5a-8dbd-d5ef1a6ccb9a</t>
  </si>
  <si>
    <t>Sawnwood, board, hardwood, raw, air dried (u=20%), at sawmill {RER}</t>
  </si>
  <si>
    <t>3382077c-c835-396c-a77d-f29c1e7a02eb</t>
  </si>
  <si>
    <t>Sawnwood, board, hardwood, raw, kiln dried (u=10%), at sawmill {CH}</t>
  </si>
  <si>
    <t>fa52f619-df1e-34af-8274-8521a4bb679b</t>
  </si>
  <si>
    <t>Sawnwood, board, hardwood, raw, kiln dried (u=10%), at sawmill {RER}</t>
  </si>
  <si>
    <t>1c54c4da-2a02-314b-9b5f-d158c5ee2e8d</t>
  </si>
  <si>
    <t>Sawnwood, board, hardwood, raw, kiln dried (u=20%), at sawmill {CH}</t>
  </si>
  <si>
    <t>2131f507-47c2-31e9-a59c-64d9f6d92ffb</t>
  </si>
  <si>
    <t>Sawnwood, board, hardwood, raw, kiln dried (u=20%), at sawmill {RER}</t>
  </si>
  <si>
    <t>13621f5c-cb3c-3e4c-b905-2ecc3df19c51</t>
  </si>
  <si>
    <t>Sawnwood, board, softwood, dried (u=10%), planed, at sawmill {CH}</t>
  </si>
  <si>
    <t>5089d8c0-6072-321a-9bf4-e5ca577b13ee</t>
  </si>
  <si>
    <t>Sawnwood, board, softwood, dried (u=10%), planed, at sawmill {RER}</t>
  </si>
  <si>
    <t>9e1f0a0f-2db2-328e-b4bc-de48de31ffc4</t>
  </si>
  <si>
    <t>Sawnwood, board, softwood, dried (u=20%), planed, at sawmill {CH}</t>
  </si>
  <si>
    <t>2b72708d-31fb-3aed-a0a3-02f24960c95c</t>
  </si>
  <si>
    <t>Sawnwood, board, softwood, dried (u=20%), planed, at sawmill {RER}</t>
  </si>
  <si>
    <t>7509a9dc-6d88-3335-ab48-453944ec52b6</t>
  </si>
  <si>
    <t>Sawnwood, board, softwood, raw, air dried (u=20%), at sawmill {CH}</t>
  </si>
  <si>
    <t>442c1d06-6ca5-3c5c-8c04-68604a7e0e15</t>
  </si>
  <si>
    <t>Sawnwood, board, softwood, raw, air dried (u=20%), at sawmill {RER}</t>
  </si>
  <si>
    <t>abcbc788-8af5-33d7-b10e-142d5d78bbac</t>
  </si>
  <si>
    <t>Sawnwood, board, softwood, raw, dried (u=10%), at sawmill {RER}</t>
  </si>
  <si>
    <t>44626610-71b4-3ea2-b7e4-37e0bb854f1a</t>
  </si>
  <si>
    <t>Sawnwood, board, softwood, raw, kiln dried (u=10%), at sawmill {CH}</t>
  </si>
  <si>
    <t>3c2d5112-6ca4-33da-b346-3cc6ed47ccf6</t>
  </si>
  <si>
    <t>Sawnwood, board, softwood, raw, kiln dried (u=20%), at sawmill {CH}</t>
  </si>
  <si>
    <t>87fa4a82-5dee-3c9c-ae79-3f20094dc197</t>
  </si>
  <si>
    <t>Sawnwood, board, softwood, raw, kiln dried (u=20%), at sawmill {RER}</t>
  </si>
  <si>
    <t>dcbad46b-e690-3368-b292-ceaee510fa83</t>
  </si>
  <si>
    <t>Sawnwood, hardwood, raw, at saw {CH}</t>
  </si>
  <si>
    <t>592c0061-286b-3209-bdf5-f2ce79cbba5f</t>
  </si>
  <si>
    <t>Sawnwood, hardwood, raw, at saw {RER}</t>
  </si>
  <si>
    <t>ee0f4c36-848a-3d7c-9594-0d0968c90330</t>
  </si>
  <si>
    <t>Sawnwood, hardwood, raw, dried (u=10%), at regional storage {CH}</t>
  </si>
  <si>
    <t>1d25ed48-4b24-30f4-a718-04c3a0280f4c</t>
  </si>
  <si>
    <t>9c0f5e38-1838-3dbb-81d6-748cc15c6743</t>
  </si>
  <si>
    <t>Sawnwood, hardwood, raw, dried (u=10%), planed, at regional storage {CH}</t>
  </si>
  <si>
    <t>1cfc80b8-1ea4-3e92-ba98-0f93521dc933</t>
  </si>
  <si>
    <t>Sawnwood, hardwood, raw, dried (u=10%), planed, at regional storage, with resource correction {CH}</t>
  </si>
  <si>
    <t>98b2c62a-ebaf-3059-95c9-1cf68f3b2676</t>
  </si>
  <si>
    <t>Sawnwood, hardwood, raw, dried (u=10%), planed, Swiss wood, at regional storage, with resource correction {CH}</t>
  </si>
  <si>
    <t>8cc04da7-c1fd-37ad-aa5d-365ea1817dbe</t>
  </si>
  <si>
    <t>Sawnwood, hardwood, raw, dried (u=10%), Swiss wood, at regional storage, with resource correction {CH}</t>
  </si>
  <si>
    <t>6ba772ee-f359-3d57-a06e-03197e87573b</t>
  </si>
  <si>
    <t>Sawnwood, hardwood, raw, dried (u=20%), at regional storage {CH}</t>
  </si>
  <si>
    <t>ee13104c-48c7-3331-b647-054794370048</t>
  </si>
  <si>
    <t>Sawnwood, hardwood, raw, dried (u=20%), at regional storage, with resource correction {CH}</t>
  </si>
  <si>
    <t>c1d79ccb-08a5-3c5c-b3d1-c34977082295</t>
  </si>
  <si>
    <t>Sawnwood, hardwood, raw, dried (u=20%), Swiss wood, at regional storage, with resource correction {CH}</t>
  </si>
  <si>
    <t>db951411-d13b-37d0-86c3-b06851d65051</t>
  </si>
  <si>
    <t>Sawnwood, lath, hardwood, dried (u=10%), planed, at sawmill {CH}</t>
  </si>
  <si>
    <t>5f12d772-1756-3bb5-91fd-5fdeee49eb5e</t>
  </si>
  <si>
    <t>Sawnwood, lath, hardwood, dried (u=10%), planed, at sawmill {RER}</t>
  </si>
  <si>
    <t>d21e4514-345b-3f29-9b3e-b8c03d164fc8</t>
  </si>
  <si>
    <t>Sawnwood, lath, hardwood, dried (u=20%), planed, at sawmill {CH}</t>
  </si>
  <si>
    <t>9ce801a2-d8dc-3182-b02c-00665afd5cbc</t>
  </si>
  <si>
    <t>Sawnwood, lath, hardwood, dried (u=20%), planed, at sawmill {RER}</t>
  </si>
  <si>
    <t>8bff3138-f3c9-3d01-8df7-12089c56447b</t>
  </si>
  <si>
    <t>Sawnwood, lath, hardwood, raw, air dried (u=20%), at sawmill {CH}</t>
  </si>
  <si>
    <t>069ae853-c9a2-35d3-8136-702dac153c09</t>
  </si>
  <si>
    <t>Sawnwood, lath, hardwood, raw, air dried (u=20%), at sawmill {RER}</t>
  </si>
  <si>
    <t>6eec8fbc-dac4-3594-8803-c422cd89b47a</t>
  </si>
  <si>
    <t>Sawnwood, lath, hardwood, raw, kiln dried (u=10%), at sawmill {CH}</t>
  </si>
  <si>
    <t>1928dd33-51ec-3954-aa58-e7192f3b86a8</t>
  </si>
  <si>
    <t>Sawnwood, lath, hardwood, raw, kiln dried (u=10%), at sawmill {RER}</t>
  </si>
  <si>
    <t>f45b8095-992c-3ca5-87da-227e9131edcf</t>
  </si>
  <si>
    <t>Sawnwood, lath, hardwood, raw, kiln dried (u=20%), at sawmill {CH}</t>
  </si>
  <si>
    <t>179747f0-d4ff-3a27-a5bf-f17683ecc4e9</t>
  </si>
  <si>
    <t>Sawnwood, lath, hardwood, raw, kiln dried (u=20%), at sawmill {RER}</t>
  </si>
  <si>
    <t>8ff85690-3d51-331c-86a5-6f822a815fb2</t>
  </si>
  <si>
    <t>Sawnwood, lath, softwood, dried (u=10%), planed, at sawmill {CH}</t>
  </si>
  <si>
    <t>0e2d5f61-e8ed-3590-bd5a-dc00beed4793</t>
  </si>
  <si>
    <t>Sawnwood, lath, softwood, dried (u=10%), planed, at sawmill {RER}</t>
  </si>
  <si>
    <t>beedf65a-5e2f-3cd3-99fa-19187ff5276e</t>
  </si>
  <si>
    <t>Sawnwood, lath, softwood, dried (u=20%), planed, at sawmill {CH}</t>
  </si>
  <si>
    <t>6c80f1a2-479a-3354-986b-da74b7f750fd</t>
  </si>
  <si>
    <t>Sawnwood, lath, softwood, dried (u=20%), planed, at sawmill {RER}</t>
  </si>
  <si>
    <t>b42daa12-7f5d-3bb4-95ab-368c3357ccd4</t>
  </si>
  <si>
    <t>Sawnwood, lath, softwood, raw, air dried (u=20%), at sawmill {CH}</t>
  </si>
  <si>
    <t>92996e55-1b43-39c8-abc0-58511d944bd0</t>
  </si>
  <si>
    <t>Sawnwood, lath, softwood, raw, air dried (u=20%), at sawmill {RER}</t>
  </si>
  <si>
    <t>4ea8f5e9-e962-3a43-8059-87d8de8a0a61</t>
  </si>
  <si>
    <t>Sawnwood, lath, softwood, raw, kiln dried (u=10%), at sawmill {CH}</t>
  </si>
  <si>
    <t>7e4cbf2f-69f3-322e-a20a-3809cd532b44</t>
  </si>
  <si>
    <t>Sawnwood, lath, softwood, raw, kiln dried (u=10%), at sawmill {RER}</t>
  </si>
  <si>
    <t>74d1959f-cf02-3e61-aad6-b68a6dfd9529</t>
  </si>
  <si>
    <t>Sawnwood, lath, softwood, raw, kiln dried (u=20%), at sawmill {CH}</t>
  </si>
  <si>
    <t>88c24f14-3ef5-343e-a0c0-475ea6b3c0c6</t>
  </si>
  <si>
    <t>Sawnwood, lath, softwood, raw, kiln dried (u=20%), at sawmill {RER}</t>
  </si>
  <si>
    <t>39a23562-0586-37aa-aa4c-2078b7993f16</t>
  </si>
  <si>
    <t>Sawnwood, production mix, hardwood, dried (u=10%), planed, at sawmill {CH}</t>
  </si>
  <si>
    <t>4d8021c5-e141-369f-ae71-480bcb10f2bf</t>
  </si>
  <si>
    <t>Sawnwood, production mix, hardwood, dried (u=10%), planed, at sawmill {RER}</t>
  </si>
  <si>
    <t>8ce55b0a-9e91-3cf9-96b7-ecdb6da24d32</t>
  </si>
  <si>
    <t>Sawnwood, production mix, hardwood, dried (u=20%), planed, at sawmill {CH}</t>
  </si>
  <si>
    <t>cbb2ea9b-18f6-367d-abca-18ecdba99fdb</t>
  </si>
  <si>
    <t>Sawnwood, production mix, hardwood, dried (u=20%), planed, at sawmill {RER}</t>
  </si>
  <si>
    <t>a6d07fbd-20e1-3a8b-b844-cfed67b4e587</t>
  </si>
  <si>
    <t>Sawnwood, production mix, hardwood, raw, dried (u=10%), at sawmill {CH}</t>
  </si>
  <si>
    <t>5108fa09-f1cf-31e1-a1b2-11cd6687ebd3</t>
  </si>
  <si>
    <t>Sawnwood, production mix, hardwood, raw, dried (u=10%), at sawmill {RER}</t>
  </si>
  <si>
    <t>5eed0270-284e-3ae4-8341-37c48df209a5</t>
  </si>
  <si>
    <t>Sawnwood, production mix, hardwood, raw, dried (u=20%), at sawmill {CH}</t>
  </si>
  <si>
    <t>04b1b808-7710-3b2e-9e4e-dccc599699d5</t>
  </si>
  <si>
    <t>Sawnwood, production mix, hardwood, raw, dried (u=20%), at sawmill {RER}</t>
  </si>
  <si>
    <t>1b16ef3c-f133-36f7-aa29-a47c33655e1b</t>
  </si>
  <si>
    <t>Sawnwood, production mix, raw, dried (u=10%), at sawmill {RER}</t>
  </si>
  <si>
    <t>9a2cd723-3893-35b4-84f2-1f2580283abb</t>
  </si>
  <si>
    <t>Sawnwood, production mix, softwood, dried (u=10%), planed, at sawmill {CH}</t>
  </si>
  <si>
    <t>a71407b9-381f-341a-9430-5239250496c0</t>
  </si>
  <si>
    <t>Sawnwood, production mix, softwood, dried (u=10%), planed, at sawmill {RER}</t>
  </si>
  <si>
    <t>6f511f35-d6b2-3a28-a277-f1562ee3cf4a</t>
  </si>
  <si>
    <t>Sawnwood, production mix, softwood, dried (u=20%), planed, at sawmill {CH}</t>
  </si>
  <si>
    <t>12d8abe7-2674-3386-92e2-70afd8cc081d</t>
  </si>
  <si>
    <t>Sawnwood, production mix, softwood, dried (u=20%), planed, at sawmill {RER}</t>
  </si>
  <si>
    <t>ee66a190-36ff-3896-a0e7-500929c9715d</t>
  </si>
  <si>
    <t>Sawnwood, production mix, softwood, raw, dried (u=10%), at sawmill {CH}</t>
  </si>
  <si>
    <t>c60ed3c7-4bc1-32bb-bd5f-8447fe12a33e</t>
  </si>
  <si>
    <t>Sawnwood, production mix, softwood, raw, dried (u=20%), at sawmill {CH}</t>
  </si>
  <si>
    <t>be11529c-8f57-3ce3-9fee-989348158fdf</t>
  </si>
  <si>
    <t>Sawnwood, production mix, softwood, raw, dried (u=20%), at sawmill {RER}</t>
  </si>
  <si>
    <t>3a1b61c2-4283-3874-8cad-e3ec437574f3</t>
  </si>
  <si>
    <t>Sawnwood, softwood, raw, at saw {AT}</t>
  </si>
  <si>
    <t>33045812-1443-3d54-8d30-2fbf1a81373e</t>
  </si>
  <si>
    <t>Sawnwood, softwood, raw, at saw {CH}</t>
  </si>
  <si>
    <t>c4198625-6277-3db3-9271-69d919aaa534</t>
  </si>
  <si>
    <t>Sawnwood, softwood, raw, at saw {RER}</t>
  </si>
  <si>
    <t>c51ab418-899d-3fe3-ac83-8ebb1f425e43</t>
  </si>
  <si>
    <t>e4637b9c-bafa-38ad-9057-0dfb51dfedcd</t>
  </si>
  <si>
    <t>Sawnwood, softwood, raw, dried (u=10%), planed, at regional storage {CH}</t>
  </si>
  <si>
    <t>9c3eb10e-55ef-3e36-a5a1-bf0ef61e5bd2</t>
  </si>
  <si>
    <t>Sawnwood, softwood, raw, dried (u=10%), planed, at regional storage, with resource correction {CH}</t>
  </si>
  <si>
    <t>2d05cc65-48ea-3613-bbab-5fdfcff05869</t>
  </si>
  <si>
    <t>Sawnwood, softwood, raw, dried (u=10%), planed, Swiss wood, at regional storage, with resource correction {CH}</t>
  </si>
  <si>
    <t>d7b024eb-a667-347d-bf27-b181af9c8102</t>
  </si>
  <si>
    <t>Sawnwood, softwood, raw, dried (u=20%), at regional storage {CH}</t>
  </si>
  <si>
    <t>a2a58aba-6b4c-3040-bc9a-f475cf650f30</t>
  </si>
  <si>
    <t>Sawnwood, softwood, raw, dried (u=20%), at regional storage, with resource correction {CH}</t>
  </si>
  <si>
    <t>d108451c-6f6d-3649-b3cf-b5e8d65db14c</t>
  </si>
  <si>
    <t>Sawnwood, softwood, raw, dried (u=20%), planed, at regional storage {CH}</t>
  </si>
  <si>
    <t>07d34e8c-44d4-39b7-ab4a-7fdb06512645</t>
  </si>
  <si>
    <t>Sawnwood, softwood, raw, dried (u=20%), planed, at regional storage, with resource correction {CH}</t>
  </si>
  <si>
    <t>86575eb3-9d58-30fb-993d-fe2d76d08337</t>
  </si>
  <si>
    <t>Sawnwood, softwood, raw, dried (u=20%), planed, Swiss wood, at regional storage, with resource correction {CH}</t>
  </si>
  <si>
    <t>29c4939b-7745-343f-bb48-2b211d1573fe</t>
  </si>
  <si>
    <t>Sawnwood, softwood, raw, dried (u=20%), Swiss wood, at regional storage, with resource correction {CH}</t>
  </si>
  <si>
    <t>326da413-3a80-31af-a6a6-d70eb7ad0d28</t>
  </si>
  <si>
    <t>Scantling, softwood, average, at plant {CH}</t>
  </si>
  <si>
    <t>building components\other material</t>
  </si>
  <si>
    <t>2092e133-8588-3d98-a571-6c8633040cf3</t>
  </si>
  <si>
    <t>Scantling, softwood, average, at plant {RER}</t>
  </si>
  <si>
    <t>561d2104-04c4-3607-8c0b-a9afef259412</t>
  </si>
  <si>
    <t>Scantling, softwood, average, at plant, with resource correction {CH}</t>
  </si>
  <si>
    <t>ae23d723-b6c4-382f-86d2-de192005762e</t>
  </si>
  <si>
    <t>Scantling, softwood, average, at plant, with resource correction {RER}</t>
  </si>
  <si>
    <t>040a10cf-ee88-3e07-9b5c-b017af5b53c0</t>
  </si>
  <si>
    <t>Scantling, softwood, laminated, CCC, at plant {CH}</t>
  </si>
  <si>
    <t>32f317f5-ac0e-3ebb-a61e-fecaa14b2a1b</t>
  </si>
  <si>
    <t>Scantling, softwood, laminated, CCC, at plant {RER}</t>
  </si>
  <si>
    <t>44cc893e-9889-3b84-a987-ab68790c56dd</t>
  </si>
  <si>
    <t>Scantling, softwood, laminated, CCF, at plant {CH}</t>
  </si>
  <si>
    <t>fadf3875-ce14-3866-b7aa-c233a8084913</t>
  </si>
  <si>
    <t>Scantling, softwood, laminated, CCF, at plant {RER}</t>
  </si>
  <si>
    <t>3c1cfff1-929c-34b5-9d82-30405b84a2c3</t>
  </si>
  <si>
    <t>Scantling, softwood, laminated, CFC, at plant {CH}</t>
  </si>
  <si>
    <t>29431bdb-ac29-310d-99bf-d1360ffca327</t>
  </si>
  <si>
    <t>Scantling, softwood, laminated, CFC, at plant {RER}</t>
  </si>
  <si>
    <t>aed2ba3e-06d9-3642-9b60-9a7bdc0d3671</t>
  </si>
  <si>
    <t>Scantling, softwood, laminated, FFF, at plant {CH}</t>
  </si>
  <si>
    <t>158475d3-38a5-3d67-8853-96dbf6687199</t>
  </si>
  <si>
    <t>Scantling, softwood, laminated, FFF, at plant {RER}</t>
  </si>
  <si>
    <t>9ae3f508-eb42-33ea-9acb-d73eeac5c854</t>
  </si>
  <si>
    <t>Scantling, softwood, solid wood, finger-jointed, at plant {CH}</t>
  </si>
  <si>
    <t>7dd91511-64fa-38af-b0cc-4afc2d40110c</t>
  </si>
  <si>
    <t>Scantling, softwood, solid wood, finger-jointed, at plant {RER}</t>
  </si>
  <si>
    <t>eff918ba-f3b2-32df-b226-a2377ce798c3</t>
  </si>
  <si>
    <t>Scantling, softwood, solid wood, massive, at plant {CH}</t>
  </si>
  <si>
    <t>8254c473-e991-37e0-b006-c29ef0828cb7</t>
  </si>
  <si>
    <t>Scantling, softwood, solid wood, massive, at plant {RER}</t>
  </si>
  <si>
    <t>4cdc0e94-7493-3d21-bcfd-3b956abee9d6</t>
  </si>
  <si>
    <t>Scooter, electric, &lt;4kW, LFP battery, 2020 {CH}</t>
  </si>
  <si>
    <t>ccf6d660-892c-3bc2-ba3f-ded43791a4b5</t>
  </si>
  <si>
    <t>Scooter, electric, &lt;4kW, NCA battery, 2020 {CH}</t>
  </si>
  <si>
    <t>3756ab14-9075-3b8d-b67f-62ca2f2315b1</t>
  </si>
  <si>
    <t>Scooter, electric, &lt;4kW, NMC battery, 2020 {CH}</t>
  </si>
  <si>
    <t>9c9ec17c-b0aa-3ca7-a307-3a0953bb75ce</t>
  </si>
  <si>
    <t>Scooter, electric, 4-11kW, LFP battery, 2020 {CH}</t>
  </si>
  <si>
    <t>6481a30c-662f-33d1-b3de-5bb1a69def7f</t>
  </si>
  <si>
    <t>Scooter, electric, 4-11kW, NCA battery, 2020 {CH}</t>
  </si>
  <si>
    <t>afbdd984-4e74-35c0-ab01-2c888813328d</t>
  </si>
  <si>
    <t>Scooter, electric, 4-11kW, NMC battery, 2020 {CH}</t>
  </si>
  <si>
    <t>bff084a8-d503-300b-94ee-359942eab053</t>
  </si>
  <si>
    <t>Scooter, gasoline, &lt;4kW, EURO-3, 2006 {CH}</t>
  </si>
  <si>
    <t>265dbdb2-58ac-3c6b-a3f0-382cea9cb637</t>
  </si>
  <si>
    <t>Scooter, gasoline, &lt;4kW, EURO-4, 2016 {CH}</t>
  </si>
  <si>
    <t>2971e7a5-07ca-31df-bbf3-6fbdb3351091</t>
  </si>
  <si>
    <t>Scooter, gasoline, &lt;4kW, EURO-5, 2020 {CH}</t>
  </si>
  <si>
    <t>0dc8c0a6-1862-3953-b46a-ed5608d2555a</t>
  </si>
  <si>
    <t>Scooter, gasoline, 4-11kW, EURO-3, 2006 {CH}</t>
  </si>
  <si>
    <t>8744ea87-9742-38c7-8112-e5850003586b</t>
  </si>
  <si>
    <t>Scooter, gasoline, 4-11kW, EURO-4, 2016 {CH}</t>
  </si>
  <si>
    <t>9161a88c-c3d6-3b3b-ac2c-e8a7a9c04fd0</t>
  </si>
  <si>
    <t>Scooter, gasoline, 4-11kW, EURO-5, 2020 {CH}</t>
  </si>
  <si>
    <t>19bf74be-c2f5-35f8-8330-4c89c0e8aea9</t>
  </si>
  <si>
    <t>Scooter, ICE, at regional storage {RER}</t>
  </si>
  <si>
    <t>8d92179d-15f0-3767-83d8-039a4636c7a7</t>
  </si>
  <si>
    <t>Scrap preparation plant {RER}</t>
  </si>
  <si>
    <t>355606df-27cf-3b5b-ae4b-ca095875fcce</t>
  </si>
  <si>
    <t>Sealing sheet, aluminium, recycling share 2000 (32% Rec.) {CH}</t>
  </si>
  <si>
    <t>40b58d28-da30-3880-8fa4-9208ea59b9eb</t>
  </si>
  <si>
    <t>Sealing sheet, aluminium, secondary production (100% Rec.) {CH}</t>
  </si>
  <si>
    <t>56e94ce1-eff7-3e4a-821e-2e8e5f7db4ab</t>
  </si>
  <si>
    <t>Sealing sheeting polyolefin (TPO), at plant {CH}</t>
  </si>
  <si>
    <t>f5e6854a-9785-3993-89ab-2a39b4834597</t>
  </si>
  <si>
    <t>Sealing sheeting polyolefin (TPO), at plant, total {CH}</t>
  </si>
  <si>
    <t>822bfb25-bc84-32fb-bf46-6a0b9f91e2eb</t>
  </si>
  <si>
    <t>Sealing tape, aluminum/PE, 50 mm wide, at plant {RER}</t>
  </si>
  <si>
    <t>5d1bd71f-4726-3be6-8ba2-cec25272b754</t>
  </si>
  <si>
    <t>6ad9e66e-8719-3f4b-89b7-fbcc561b7c7a</t>
  </si>
  <si>
    <t>Secondary sulphur, at refinery {RER}</t>
  </si>
  <si>
    <t>e902a7d5-1057-3e65-825f-b1b30fe3a67a</t>
  </si>
  <si>
    <t>Section bar extrusion, aluminium {RER}</t>
  </si>
  <si>
    <t>4a0f787e-5316-36c2-9e11-188e470e6ca7</t>
  </si>
  <si>
    <t>Section bar rolling, steel {RER}</t>
  </si>
  <si>
    <t>a36dd67e-350c-3400-9b1e-f0353d434a99</t>
  </si>
  <si>
    <t>Selective coating, aluminium sheet, nickel pigmented aluminium oxide {SK}</t>
  </si>
  <si>
    <t>1f26644c-f69f-3406-abb6-981f3cb1f706</t>
  </si>
  <si>
    <t>Selective coating, copper sheet, black chrome {RER}</t>
  </si>
  <si>
    <t>36fc6adf-4053-3d12-a0dc-c1477c2fa3f4</t>
  </si>
  <si>
    <t>Selective coating, copper sheet, black majic {US}</t>
  </si>
  <si>
    <t>e0375c38-6d98-3d11-b6f3-7e95383289b7</t>
  </si>
  <si>
    <t>Selective coating, copper sheet, physical vapour deposition {DE}</t>
  </si>
  <si>
    <t>f11228ee-222b-3d16-80bb-f846572738e8</t>
  </si>
  <si>
    <t>Selective coating, copper sheet, sputtering {DE}</t>
  </si>
  <si>
    <t>7adcef59-f772-33ad-abdd-fd68c5ce60c8</t>
  </si>
  <si>
    <t>Selective coating, sputtering {GLO}</t>
  </si>
  <si>
    <t>dd6d7568-add2-3b9d-bcb1-cb5fd369b20e</t>
  </si>
  <si>
    <t>Selective coating, stainless steel sheet, black chrome {CH}</t>
  </si>
  <si>
    <t>4e08848a-c967-3117-a2c7-8f7b097247f8</t>
  </si>
  <si>
    <t>Selenium, at plant {RER}</t>
  </si>
  <si>
    <t>19683691-2c8d-3399-ad83-ca0b6d1a4122</t>
  </si>
  <si>
    <t>Semi-rigid roadside barriers {RER}</t>
  </si>
  <si>
    <t>8e1779c4-1e4b-3d61-8008-2600fef1eaec</t>
  </si>
  <si>
    <t>Separator {GLO}</t>
  </si>
  <si>
    <t>ac8ec705-abc0-32cb-b77e-37f2e2cd4749</t>
  </si>
  <si>
    <t>Separator, LFP {JP}</t>
  </si>
  <si>
    <t>4de3b130-427e-3446-90d8-4766e1abd45c</t>
  </si>
  <si>
    <t>Separator, lithium-ion battery, at plant {CN}</t>
  </si>
  <si>
    <t>1e15c5f4-d81a-35a2-b262-e495f647b22d</t>
  </si>
  <si>
    <t>Separator, lithium-ion battery, at plant {RAS}</t>
  </si>
  <si>
    <t>d14d4269-a712-3194-8c77-0ca281edf112</t>
  </si>
  <si>
    <t>Separator, NCA {JP}</t>
  </si>
  <si>
    <t>d75a408c-9bac-3642-98e8-7d2fefe9586d</t>
  </si>
  <si>
    <t>Server, at data center {GLO}</t>
  </si>
  <si>
    <t>253c78fe-b59b-365f-9b8d-cc33ea5a03f1</t>
  </si>
  <si>
    <t>Sewer grid, class 1 {CH}</t>
  </si>
  <si>
    <t>3c954749-7f10-396b-b66f-451c0d6b0744</t>
  </si>
  <si>
    <t>Sewer grid, class 2 {CH}</t>
  </si>
  <si>
    <t>52585731-8493-3d25-bc8e-fe218c479f67</t>
  </si>
  <si>
    <t>Sewer grid, class 3 {CH}</t>
  </si>
  <si>
    <t>d30ff55c-cadd-3d65-bc68-2fc14d754a08</t>
  </si>
  <si>
    <t>Sewer grid, class 4 {CH}</t>
  </si>
  <si>
    <t>431a4b6d-9676-31b4-a994-c34783ff735a</t>
  </si>
  <si>
    <t>Sewer grid, class 5 {CH}</t>
  </si>
  <si>
    <t>8711a922-efb1-3f44-9894-dfb20f10f5b1</t>
  </si>
  <si>
    <t>Shavings, hardwood, measured as dry mass, at planing mill {CH}</t>
  </si>
  <si>
    <t>2d27d66e-0163-3f55-9d1c-31e401f3f763</t>
  </si>
  <si>
    <t>Shavings, hardwood, measured as dry mass, at planing mill {RER}</t>
  </si>
  <si>
    <t>4865047e-1954-36f6-a3bb-c5c4b499f73a</t>
  </si>
  <si>
    <t>Shavings, loose, hardwood, from planing, average, measured as dry mass, at planing machine {CH}</t>
  </si>
  <si>
    <t>d0550ee3-e7df-34e0-b5d8-7e21c911cbea</t>
  </si>
  <si>
    <t>Shavings, loose, hardwood, from planing, average, measured as dry mass, at planing machine {RER}</t>
  </si>
  <si>
    <t>510f2b21-742c-36a1-835f-af05addf42f9</t>
  </si>
  <si>
    <t>Shavings, loose, hardwood, from planing, beam, u=10%, measured as dry mass, at planing machine {CH}</t>
  </si>
  <si>
    <t>614cf441-c756-3efa-a434-96e807e634d7</t>
  </si>
  <si>
    <t>Shavings, loose, hardwood, from planing, beam, u=10%, measured as dry mass, at planing machine {RER}</t>
  </si>
  <si>
    <t>566b1f3f-c156-3eb5-bf3c-01db71187e86</t>
  </si>
  <si>
    <t>Shavings, loose, hardwood, from planing, beam, u=20%, measured as dry mass, at planing machine {CH}</t>
  </si>
  <si>
    <t>bf0841ca-cfa5-388d-84bc-a89f46b0ea71</t>
  </si>
  <si>
    <t>Shavings, loose, hardwood, from planing, beam, u=20%, measured as dry mass, at planing machine {RER}</t>
  </si>
  <si>
    <t>27be0bdc-171a-3d53-aeff-3701a510d0f4</t>
  </si>
  <si>
    <t>Shavings, loose, hardwood, from planing, board, u=10%, measured as dry mass, at planing machine {CH}</t>
  </si>
  <si>
    <t>41d3101f-9dca-398d-8ca4-796e058c25f8</t>
  </si>
  <si>
    <t>Shavings, loose, hardwood, from planing, board, u=10%, measured as dry mass, at planing machine {RER}</t>
  </si>
  <si>
    <t>8287e5b2-9141-378e-af15-060a03eb6682</t>
  </si>
  <si>
    <t>Shavings, loose, hardwood, from planing, board, u=20%, measured as dry mass, at planing machine {CH}</t>
  </si>
  <si>
    <t>1351627b-934d-3cb3-8b0b-05db5809aa42</t>
  </si>
  <si>
    <t>Shavings, loose, hardwood, from planing, board, u=20%, measured as dry mass, at planing machine {RER}</t>
  </si>
  <si>
    <t>49c693ca-7666-3840-aaec-ff4ad13b7f45</t>
  </si>
  <si>
    <t>Shavings, loose, hardwood, from planing, lath, u=10%, measured as dry mass, at planing machine {CH}</t>
  </si>
  <si>
    <t>7d7cb622-9d93-3d0b-abfe-da6847991ad2</t>
  </si>
  <si>
    <t>Shavings, loose, hardwood, from planing, lath, u=10%, measured as dry mass, at planing machine {RER}</t>
  </si>
  <si>
    <t>a9447044-54b4-37ba-b53b-df2f007f1d2a</t>
  </si>
  <si>
    <t>Shavings, loose, hardwood, from planing, lath, u=20%, measured as dry mass, at planing machine {CH}</t>
  </si>
  <si>
    <t>bafb6604-d513-3faf-8bd0-8d8cd26ce605</t>
  </si>
  <si>
    <t>Shavings, loose, hardwood, from planing, lath, u=20%, measured as dry mass, at planing machine {RER}</t>
  </si>
  <si>
    <t>814eb13c-5049-3282-826f-cb5f98210b92</t>
  </si>
  <si>
    <t>Shavings, loose, softwood, from planing, average, measured as dry mass, at planing machine {CH}</t>
  </si>
  <si>
    <t>d80f7c24-31c6-3d9e-9a8b-15df4695c859</t>
  </si>
  <si>
    <t>Shavings, loose, softwood, from planing, average, measured as dry mass, at planing machine {RER}</t>
  </si>
  <si>
    <t>75f2021c-2dd5-3c2f-b714-0590bf82756c</t>
  </si>
  <si>
    <t>Shavings, loose, softwood, from planing, beam, u=10%, measured as dry mass, at planing machine {CH}</t>
  </si>
  <si>
    <t>44c33a30-051f-397a-a9c3-567b36f041a0</t>
  </si>
  <si>
    <t>Shavings, loose, softwood, from planing, beam, u=10%, measured as dry mass, at planing machine {RER}</t>
  </si>
  <si>
    <t>6313d709-36d0-3bcc-b68e-7a4b45cd25c1</t>
  </si>
  <si>
    <t>Shavings, loose, softwood, from planing, beam, u=20%, measured as dry mass, at planing machine {CH}</t>
  </si>
  <si>
    <t>765c382c-2e1b-3950-8a1c-766c91ed97c2</t>
  </si>
  <si>
    <t>Shavings, loose, softwood, from planing, beam, u=20%, measured as dry mass, at planing machine {RER}</t>
  </si>
  <si>
    <t>05b7a238-631d-30e6-b1b4-a1dbe00fab3e</t>
  </si>
  <si>
    <t>Shavings, loose, softwood, from planing, board, u=10%, measured as dry mass, at planing machine {CH}</t>
  </si>
  <si>
    <t>8453dde9-2a73-397a-8b0b-bd49e67b64b8</t>
  </si>
  <si>
    <t>Shavings, loose, softwood, from planing, board, u=10%, measured as dry mass, at planing machine {RER}</t>
  </si>
  <si>
    <t>632eb405-241a-374c-8adc-6180f197cfe9</t>
  </si>
  <si>
    <t>Shavings, loose, softwood, from planing, board, u=20%, measured as dry mass, at planing machine {CH}</t>
  </si>
  <si>
    <t>632440dd-9449-3078-b0db-c90d2ecec39b</t>
  </si>
  <si>
    <t>Shavings, loose, softwood, from planing, board, u=20%, measured as dry mass, at planing machine {RER}</t>
  </si>
  <si>
    <t>2db7f5a6-9ae2-32b2-bc30-d7ef8b29d1be</t>
  </si>
  <si>
    <t>Shavings, loose, softwood, from planing, lath, u=10%, measured as dry mass, at planing machine {CH}</t>
  </si>
  <si>
    <t>78575153-c5e0-3f73-b043-70d95b0f73e2</t>
  </si>
  <si>
    <t>Shavings, loose, softwood, from planing, lath, u=10%, measured as dry mass, at planing machine {RER}</t>
  </si>
  <si>
    <t>997f6df2-365f-39f0-a0e3-f8055bcca95d</t>
  </si>
  <si>
    <t>Shavings, loose, softwood, from planing, lath, u=20%, measured as dry mass, at planing machine {CH}</t>
  </si>
  <si>
    <t>21cf1cb9-402b-3276-83a8-b2902ceae68d</t>
  </si>
  <si>
    <t>Shavings, loose, softwood, from planing, lath, u=20%, measured as dry mass, at planing machine {RER}</t>
  </si>
  <si>
    <t>33f9f774-9389-39dc-959f-37cbf30a3bfe</t>
  </si>
  <si>
    <t>Shavings, softwood, measured as dry mass, at planing mill {CH}</t>
  </si>
  <si>
    <t>18a07615-33f5-33e1-9197-36589663d5b9</t>
  </si>
  <si>
    <t>Shavings, softwood, measured as dry mass, at planing mill {RER}</t>
  </si>
  <si>
    <t>d1b18530-bb8c-3eff-af41-558c2d1c8dd6</t>
  </si>
  <si>
    <t>Shed {CH}</t>
  </si>
  <si>
    <t>85fa99a7-35ef-3304-b353-5f7fffe53098</t>
  </si>
  <si>
    <t>Sheet pile wall, anchored, average {CH}</t>
  </si>
  <si>
    <t>cf65e39d-af6d-3e1c-a6b4-d68f5d0dad41</t>
  </si>
  <si>
    <t>Sheet pile wall, projecting, vibrated, Siedlung Werdwies Zürich {CH}</t>
  </si>
  <si>
    <t>8ef6decc-5c40-3215-b471-c6329bd0bdca</t>
  </si>
  <si>
    <t>Sheet pile wall, strutted apart, pre-drilled, Landesmuseum Zürich {CH}</t>
  </si>
  <si>
    <t>af34f32f-3f6b-3778-a340-bb60386f2fe7</t>
  </si>
  <si>
    <t>Sheet pile wall, strutted apart, vibrated, MFH Rapperswil {CH}</t>
  </si>
  <si>
    <t>2a37f913-158e-3a94-80cd-637fbee01c90</t>
  </si>
  <si>
    <t>Sheet pile wall, strutted apart, vibrated, Schulhaus Sandgruben Basel {CH}</t>
  </si>
  <si>
    <t>416676da-e0ad-3451-82f6-490268199a5e</t>
  </si>
  <si>
    <t>Sheet pile wall, strutted appart, average {CH}</t>
  </si>
  <si>
    <t>7d34ea66-4516-3c2f-b700-eaca4701ab3c</t>
  </si>
  <si>
    <t>Sheet rolling, aluminium {RER}</t>
  </si>
  <si>
    <t>6113497a-792f-38e7-a69a-420dff702898</t>
  </si>
  <si>
    <t>Sheet rolling, chromium steel {RER}</t>
  </si>
  <si>
    <t>8f574699-0784-38ab-8f35-770310aaa795</t>
  </si>
  <si>
    <t>Sheet rolling, copper {RER}</t>
  </si>
  <si>
    <t>cc7e838a-99f1-3477-a3ea-04d56ecb13c0</t>
  </si>
  <si>
    <t>Sheet rolling, steel {RER}</t>
  </si>
  <si>
    <t>d9215fd1-60bb-33f5-9a60-cef1b079b523</t>
  </si>
  <si>
    <t>Shredding, electrical and electronic scrap {CH}</t>
  </si>
  <si>
    <t>5e7c9d79-8361-434a-8505-bceea8acb85f</t>
  </si>
  <si>
    <t>Silage maize IP, at farm {CH}</t>
  </si>
  <si>
    <t>37b896c5-d2f1-3bf9-8e90-60ca7d4dbf14</t>
  </si>
  <si>
    <t>Silage maize organic, at farm {CH}</t>
  </si>
  <si>
    <t>7fecb4b1-515e-3e75-a7bf-d546bd729fdd</t>
  </si>
  <si>
    <t>Silane, at plant {RER}</t>
  </si>
  <si>
    <t>e063e7d6-f81c-3cba-980a-e40d93dcc41f</t>
  </si>
  <si>
    <t>Silencer for ventilator unit 13000 m3/h, modular, at plant {CH}</t>
  </si>
  <si>
    <t>d797beff-f09e-3faa-8cdc-281e13868af7</t>
  </si>
  <si>
    <t>Silencer for ventilator unit 1800 m3/h, modular, at plant {CH}</t>
  </si>
  <si>
    <t>a3680111-8a36-3009-8802-7f96bfaa3c1b</t>
  </si>
  <si>
    <t>Silencer for ventilator unit 1800 m3/h, modular, at plant, Device {CH}</t>
  </si>
  <si>
    <t>ea3924a5-5987-368e-a3bf-d1c789d6f663</t>
  </si>
  <si>
    <t>Silencer for ventilator unit 3500 m3/h, modular, at plant {CH}</t>
  </si>
  <si>
    <t>872f3828-8bc1-3f9a-b39c-643854de3751</t>
  </si>
  <si>
    <t>Silencer for ventilator unit 6700 m3/h, modular, at plant {CH}</t>
  </si>
  <si>
    <t>3f6b8cf2-4f10-3221-8012-fa707842f477</t>
  </si>
  <si>
    <t>Silencer for ventilator unit 6700 m3/h, modular, at plant, Device {CH}</t>
  </si>
  <si>
    <t>ba84847e-f49f-3146-a4f2-40ced6afd556</t>
  </si>
  <si>
    <t>Silencer, steel, DN 125, at plant {CH}</t>
  </si>
  <si>
    <t>369401de-a5bc-38d7-b4fe-5dc1feeab532</t>
  </si>
  <si>
    <t>Silencer, steel, DN 315, 50 mm, at plant {CH}</t>
  </si>
  <si>
    <t>a80fe3b2-9127-3477-90e2-83b8c92d191b</t>
  </si>
  <si>
    <t>a7511c34-4efb-316c-9d45-3fe6cf13a799</t>
  </si>
  <si>
    <t>Silicate plaster, dispersion, at plant {CH}</t>
  </si>
  <si>
    <t>f8adeb3a-4a46-346d-86d1-85f13d082d0d</t>
  </si>
  <si>
    <t>Silicate plaster, dispersion, matured {CH}</t>
  </si>
  <si>
    <t>72f18841-b43a-36c5-805d-fc5502de630f</t>
  </si>
  <si>
    <t>Silicon carbide, at plant {RER}</t>
  </si>
  <si>
    <t>b873659c-2a9d-3ad9-bc76-e77fc2b4aef6</t>
  </si>
  <si>
    <t>Silicon carbide, recycling, at plant {RER}</t>
  </si>
  <si>
    <t>metals\others</t>
  </si>
  <si>
    <t>b2ddf8f6-8fd5-370a-a1a0-aec3aef77a26</t>
  </si>
  <si>
    <t>Silicon tetrachloride, at plant {DE}</t>
  </si>
  <si>
    <t>075852b1-d329-3840-b42e-d5d28956842e</t>
  </si>
  <si>
    <t>Silicon tetrahydride, at plant {RER}</t>
  </si>
  <si>
    <t>a469a0d3-098b-31e9-afbe-2823897b3182</t>
  </si>
  <si>
    <t>Silicon, electronic grade, at plant {APAC}</t>
  </si>
  <si>
    <t>metals\refinement</t>
  </si>
  <si>
    <t>bd7e18ca-eb01-3a58-ad4b-a58286f25a9c</t>
  </si>
  <si>
    <t>Silicon, electronic grade, at plant {CN}</t>
  </si>
  <si>
    <t>b3529f79-a306-3bc8-b6a9-ddf08e8b70de</t>
  </si>
  <si>
    <t>Silicon, electronic grade, at plant {DE}</t>
  </si>
  <si>
    <t>ef72c96a-f414-338c-af27-0a5d4bdf719d</t>
  </si>
  <si>
    <t>Silicon, electronic grade, at plant {US}</t>
  </si>
  <si>
    <t>92b455d8-3a94-397f-a90d-f858bbed91ea</t>
  </si>
  <si>
    <t>Silicon, electronic grade, off-grade, at plant {APAC}</t>
  </si>
  <si>
    <t>27b30401-f497-324c-b07d-60ce43429801</t>
  </si>
  <si>
    <t>Silicon, electronic grade, off-grade, at plant {CN}</t>
  </si>
  <si>
    <t>333932b3-0be4-39ca-b865-343f5a494ddd</t>
  </si>
  <si>
    <t>Silicon, electronic grade, off-grade, at plant {DE}</t>
  </si>
  <si>
    <t>ec682cba-9152-3d19-999e-9c85b30ef2da</t>
  </si>
  <si>
    <t>Silicon, electronic grade, off-grade, at plant {US}</t>
  </si>
  <si>
    <t>41704883-2ee9-32cf-806c-35c4b2c6b864</t>
  </si>
  <si>
    <t>Silicon, multi-Si, casted, at plant {APAC}</t>
  </si>
  <si>
    <t>55f9e540-da5e-4696-84a9-56e9254457c1</t>
  </si>
  <si>
    <t>Silicon, multi-Si, casted, at plant {CN}</t>
  </si>
  <si>
    <t>94620d36-4dff-3739-8654-0a1fcc2a308c</t>
  </si>
  <si>
    <t>Silicon, multi-Si, casted, at plant {RER}</t>
  </si>
  <si>
    <t>554aa9c4-61ea-34b7-8de4-cc64214c10bc</t>
  </si>
  <si>
    <t>Silicon, multi-Si, casted, at plant {US}</t>
  </si>
  <si>
    <t>2847e7bc-863a-37d0-9606-88668316aa17</t>
  </si>
  <si>
    <t>Silicon, production mix, photovoltaics, at plant {APAC}</t>
  </si>
  <si>
    <t>ae1fbf93-560b-4eb2-878a-569f82bb5a09</t>
  </si>
  <si>
    <t>Silicon, production mix, photovoltaics, at plant {CN}</t>
  </si>
  <si>
    <t>d746b6c3-a1ac-31dc-9f66-488413133c71</t>
  </si>
  <si>
    <t>Silicon, production mix, photovoltaics, at plant {GLO}</t>
  </si>
  <si>
    <t>b3fbac97-dd9c-34fd-b511-03c395531732</t>
  </si>
  <si>
    <t>Silicon, production mix, photovoltaics, at plant {US}</t>
  </si>
  <si>
    <t>51f463ee-66c0-396d-ad97-0023f642fce9</t>
  </si>
  <si>
    <t>Silicon, solar grade, fluidised bed reactor (FBR), at plant {APAC}</t>
  </si>
  <si>
    <t>cdb669ed-7fe4-34bc-8afc-1d78f1faec9a</t>
  </si>
  <si>
    <t>Silicon, solar grade, fluidised bed reactor (FBR), at plant {CN}</t>
  </si>
  <si>
    <t>81bf4ba4-5ae6-3ab0-b315-526441e9be79</t>
  </si>
  <si>
    <t>Silicon, solar grade, fluidised bed reactor (FBR), at plant {RER}</t>
  </si>
  <si>
    <t>10fa705a-2e57-3ed5-925e-4ae2cdd74f62</t>
  </si>
  <si>
    <t>Silicon, solar grade, fluidised bed reactor (FBR), at plant {US}</t>
  </si>
  <si>
    <t>a61d03d0-09fa-3fc5-9407-27ad2548b5d0</t>
  </si>
  <si>
    <t>Silicon, solar grade, modified Siemens process, at plant {APAC}</t>
  </si>
  <si>
    <t>87a37622-7ddd-4976-9001-c041c6077650</t>
  </si>
  <si>
    <t>Silicon, solar grade, modified Siemens process, at plant {CN}</t>
  </si>
  <si>
    <t>998b17ee-6c35-35cb-b6b8-dd791d2f2004</t>
  </si>
  <si>
    <t>Silicon, solar grade, modified Siemens process, at plant {RER}</t>
  </si>
  <si>
    <t>174ea9aa-8ac9-317a-a094-74405f875c18</t>
  </si>
  <si>
    <t>Silicon, solar grade, modified Siemens process, at plant {US}</t>
  </si>
  <si>
    <t>f7524bec-af49-37d8-bf90-4b2192fe888d</t>
  </si>
  <si>
    <t>Silicone plant {RER}</t>
  </si>
  <si>
    <t>chemicals\silicons\infrastructure</t>
  </si>
  <si>
    <t>f90d4e0c-9d60-3196-8160-7b1a1df86ffb</t>
  </si>
  <si>
    <t>Silicone plaster, at plant {CH}</t>
  </si>
  <si>
    <t>5cff4bd4-8502-3d61-897c-fd1271023d8a</t>
  </si>
  <si>
    <t>Silicone plaster, matured {CH}</t>
  </si>
  <si>
    <t>cf2c060a-d28f-3765-88cc-228bc88c5176</t>
  </si>
  <si>
    <t>2af6f466-f68e-3e06-bd94-34152d38b326</t>
  </si>
  <si>
    <t>25003d7a-ce2c-3a0d-9b84-ce6b0c9b9f8e</t>
  </si>
  <si>
    <t>Silver, from combined gold-silver production, at refinery {CL}</t>
  </si>
  <si>
    <t>76943d5f-8e51-38f2-918d-bf9e6606cc64</t>
  </si>
  <si>
    <t>Silver, from combined gold-silver production, at refinery {GLO}</t>
  </si>
  <si>
    <t>1d46469c-546c-3396-a531-39d825345fe7</t>
  </si>
  <si>
    <t>Silver, from combined gold-silver production, at refinery {PE}</t>
  </si>
  <si>
    <t>9f9aab61-1e54-30d4-968e-24206ba75305</t>
  </si>
  <si>
    <t>Silver, from combined gold-silver production, at refinery {PG}</t>
  </si>
  <si>
    <t>fe11193a-6eab-3e28-af64-e02c18271011</t>
  </si>
  <si>
    <t>Silver, from combined metal production, at beneficiation {SE}</t>
  </si>
  <si>
    <t>afd64f38-800f-307d-afd0-74012740d1db</t>
  </si>
  <si>
    <t>Silver, from combined metal production, at refinery {SE}</t>
  </si>
  <si>
    <t>a5b011ba-3dc2-31e7-a4b8-71f8ac69f381</t>
  </si>
  <si>
    <t>Silver, from copper production, at refinery {GLO}</t>
  </si>
  <si>
    <t>ebb12c68-5341-3ea9-96af-cc80bf625ba2</t>
  </si>
  <si>
    <t>Silver, from lead production, at refinery {GLO}</t>
  </si>
  <si>
    <t>eb8b7e1a-fdbd-36d4-a0fe-9fdf215851c4</t>
  </si>
  <si>
    <t>Silver, secondary, at precious metal refinery {SE}</t>
  </si>
  <si>
    <t>c4a3cfbd-ba3c-3cc6-8b01-441141761efe</t>
  </si>
  <si>
    <t>Single-Si wafer, electronics, at plant {RER}</t>
  </si>
  <si>
    <t>cca7606e-a8a5-312c-b576-3ea0ced65b95</t>
  </si>
  <si>
    <t>Single-Si wafer, photovoltaics, at plant {APAC}</t>
  </si>
  <si>
    <t>81d45d7e-7b78-44a1-ba00-47b3b389bafe</t>
  </si>
  <si>
    <t>Single-Si wafer, photovoltaics, at plant {CN}</t>
  </si>
  <si>
    <t>3b7aed12-7639-3aa8-bcb3-5a7d680aca9e</t>
  </si>
  <si>
    <t>Single-Si wafer, photovoltaics, at plant {RER}</t>
  </si>
  <si>
    <t>c76102d2-f10e-310a-b966-55e2b3e8b4e8</t>
  </si>
  <si>
    <t>Single-Si wafer, photovoltaics, at plant {US}</t>
  </si>
  <si>
    <t>854fc5a2-4da8-30ae-9bdb-456a5ab2ab52</t>
  </si>
  <si>
    <t>Single-Si wafer, photovoltaics, at regional storage {APAC}</t>
  </si>
  <si>
    <t>dacacbc9-cec6-4071-b382-19a496b92f74</t>
  </si>
  <si>
    <t>Single-Si wafer, photovoltaics, at regional storage {RER}</t>
  </si>
  <si>
    <t>6f122316-9581-3534-a3ce-a16e7c242dbd</t>
  </si>
  <si>
    <t>Single-Si wafer, photovoltaics, at regional storage {US}</t>
  </si>
  <si>
    <t>c6ca3a00-6ae4-34d8-a212-8ea058f5e723</t>
  </si>
  <si>
    <t>Single cell, lithium-ion battery, LiFePO4 {CH}</t>
  </si>
  <si>
    <t>f2c50d54-8dad-3cfb-a31b-7b1501cf2d06</t>
  </si>
  <si>
    <t>Single cell, lithium-ion battery, lithium manganese oxide/graphite, at plant {CN}</t>
  </si>
  <si>
    <t>a748abc6-4058-372d-bf9d-6bfd24d954ea</t>
  </si>
  <si>
    <t>Single cell, lithium-ion battery, NCM, at plant {RAS}</t>
  </si>
  <si>
    <t>e7e69564-09fd-38bc-a6f0-471829b50671</t>
  </si>
  <si>
    <t>Single room ventilator with heat recovery window frame model {CH}</t>
  </si>
  <si>
    <t>4073875c-2a4c-3d03-bd93-1efa6d4c9172</t>
  </si>
  <si>
    <t>Single superphosphate, as P2O5, at regional storehouse {RER}</t>
  </si>
  <si>
    <t>651edf10-9a57-3a06-85e0-37321e05d701</t>
  </si>
  <si>
    <t>Sink, chromium steel, at plant {CH}</t>
  </si>
  <si>
    <t>120aed0d-71ad-3e46-bf08-9a5cc262e10f</t>
  </si>
  <si>
    <t>Sink, granite-acrylresin, at plant {CH}</t>
  </si>
  <si>
    <t>0420cb3d-55b5-3306-b2ce-32e8a68dd2c1</t>
  </si>
  <si>
    <t>Sinter, iron, at plant {GLO}</t>
  </si>
  <si>
    <t>cce8cc46-af1b-39f8-b5e4-584fbc8c0714</t>
  </si>
  <si>
    <t>Sinter, iron, at plant {RER}</t>
  </si>
  <si>
    <t>7a17b8ce-03d6-3f3c-843d-e55dca095dc0</t>
  </si>
  <si>
    <t>Skidder, at plant {RER}</t>
  </si>
  <si>
    <t>8c73bf43-ce84-33ab-9c4c-9e0a639d9ca0</t>
  </si>
  <si>
    <t>Skidding {RER}</t>
  </si>
  <si>
    <t>2646ba2d-6efe-3c0e-b7a7-f9fa8923391f</t>
  </si>
  <si>
    <t>Slab and siding, hardwood, wet, measured as dry mass, at sawmill {CH}</t>
  </si>
  <si>
    <t>37ea2f07-b1b8-3933-bda1-f79783458cf9</t>
  </si>
  <si>
    <t>Slab and siding, hardwood, wet, measured as dry mass, at sawmill {RER}</t>
  </si>
  <si>
    <t>2573e197-be80-3f5f-becc-3a9c4480bee2</t>
  </si>
  <si>
    <t>Slab and siding, softwood, wet, measured as dry mass, at sawmill {AT}</t>
  </si>
  <si>
    <t>3bc1a07c-c10f-3eaf-9024-3e2cef4ef226</t>
  </si>
  <si>
    <t>Slab and siding, softwood, wet, measured as dry mass, at sawmill {CH}</t>
  </si>
  <si>
    <t>89c43c99-662e-3a4f-af3e-499707f8241e</t>
  </si>
  <si>
    <t>Slab and siding, softwood, wet, measured as dry mass, at sawmill {RER}</t>
  </si>
  <si>
    <t>3e3d95f2-1451-3d5f-be88-5aac79dfe753</t>
  </si>
  <si>
    <t>Slag compartment {CH}</t>
  </si>
  <si>
    <t>085102e3-c9cc-3bad-940a-03c7db21125e</t>
  </si>
  <si>
    <t>Slanted-roof construction, integrated, on roof {RER}</t>
  </si>
  <si>
    <t>d8999be5-b529-3d4b-b420-c593c6a50db4</t>
  </si>
  <si>
    <t>Slanted-roof construction, mounted, on roof {RER}</t>
  </si>
  <si>
    <t>189f9400-7f19-31ea-9251-add830ca5a8f</t>
  </si>
  <si>
    <t>Slanted-roof construction, mounted, on roof, Stade de Suisse {CH}</t>
  </si>
  <si>
    <t>1baaffbe-9419-3fb5-9c1b-89bd363fa1e2</t>
  </si>
  <si>
    <t>Slurry solids and bark chips, at farm {CH}</t>
  </si>
  <si>
    <t>82052457-62ad-37f4-a3c0-d6075675702a</t>
  </si>
  <si>
    <t>Slurry solids and bark chips, burned in bark furnace 1MW {CH}</t>
  </si>
  <si>
    <t>23bcb0a4-42d5-3392-9fa3-24de88f67835</t>
  </si>
  <si>
    <t>Slurry solids and bark chips, burned in furnace, ash to landfarming {CH}</t>
  </si>
  <si>
    <t>111bd74d-2bf3-3410-93dc-d02fcfff9ca4</t>
  </si>
  <si>
    <t>Slurry solids and bark chips, burned in furnace, ash to municipal incineration {CH}</t>
  </si>
  <si>
    <t>b2572f43-fa30-33c8-959d-a6d742b7bd9a</t>
  </si>
  <si>
    <t>Slurry solids and bark chips, burned in furnace, ash to sanitary landfill {CH}</t>
  </si>
  <si>
    <t>89688d53-17c5-39c8-86dc-a86d62a1bd2c</t>
  </si>
  <si>
    <t>Slurry spreading, by vacuum tanker {CH}</t>
  </si>
  <si>
    <t>4ba7a6fd-484a-3c2b-a00d-289bfa57d3b2</t>
  </si>
  <si>
    <t>Slurry store and processing {CH}</t>
  </si>
  <si>
    <t>9d70a998-fafe-393c-8056-75172bab8273</t>
  </si>
  <si>
    <t>Slurry store and processing, operation {CH}</t>
  </si>
  <si>
    <t>23d239a1-9923-3c51-97bb-8692725b196d</t>
  </si>
  <si>
    <t>Slurry tanker, production {CH}</t>
  </si>
  <si>
    <t>e307fb61-53c6-3ac8-9cef-65b7b450cd03</t>
  </si>
  <si>
    <t>Small hydropower plant {CH}</t>
  </si>
  <si>
    <t>dc4cf923-8588-302c-b1a8-89d6b6854567</t>
  </si>
  <si>
    <t>Small hydropower plant {RER}</t>
  </si>
  <si>
    <t>fb323e9e-53eb-3807-a009-940c95a607ff</t>
  </si>
  <si>
    <t>Small hydropower plant, in waterworks infrastructure {CH}</t>
  </si>
  <si>
    <t>1c1c73e1-e8d4-37be-9d0a-29d2fe313d13</t>
  </si>
  <si>
    <t>Small hydropower plant, in waterworks infrastructure {RER}</t>
  </si>
  <si>
    <t>1c720264-c12f-3cb7-a7b2-b0b24acad63e</t>
  </si>
  <si>
    <t>Smartphone, high-tech phone, at plant {GLO}</t>
  </si>
  <si>
    <t>931e5dc9-03d7-348b-9165-f6f4b01bffeb</t>
  </si>
  <si>
    <t>Smartphone, mid-tier, average phone, at plant {GLO}</t>
  </si>
  <si>
    <t>b1d39f62-703a-3104-9cc9-71baf50a9d6c</t>
  </si>
  <si>
    <t>Smartphone, repairable type Fairphone, at plant {GLO}</t>
  </si>
  <si>
    <t>b4fd418e-5bfe-391c-8fd8-9d63cdf3b9a7</t>
  </si>
  <si>
    <t>SMR NG, 25 bar {CH}</t>
  </si>
  <si>
    <t>fuels\hydrogen</t>
  </si>
  <si>
    <t>47d82770-ba74-354b-adcb-709eaa309913</t>
  </si>
  <si>
    <t>SMR NG, 700 bar {CH}</t>
  </si>
  <si>
    <t>4352301f-48d2-303f-b7dc-acda526fe5ec</t>
  </si>
  <si>
    <t>a471059f-d4cf-348b-8010-fcfa8ec751f3</t>
  </si>
  <si>
    <t>Soda, powder, at plant {RER}</t>
  </si>
  <si>
    <t>8c1442f6-cec0-30c1-9b55-b15cb77aee4b</t>
  </si>
  <si>
    <t>Sodium arsenide, at plant {GLO}</t>
  </si>
  <si>
    <t>77e6c67c-4aaf-3ce2-b049-e630b1743fcc</t>
  </si>
  <si>
    <t>Sodium borates, at plant {US}</t>
  </si>
  <si>
    <t>47eb7b72-22ce-3395-8f35-37fd95dcf06e</t>
  </si>
  <si>
    <t>Sodium carbonate from ammonium chloride production, at plant {GLO}</t>
  </si>
  <si>
    <t>be7bad10-9326-3d23-beb0-c35eb0ff7fb7</t>
  </si>
  <si>
    <t>Sodium chlorate, powder, at plant {RER}</t>
  </si>
  <si>
    <t>5bb4ee23-6c19-33ee-bc4a-1afebcafefac</t>
  </si>
  <si>
    <t>Sodium chloride, brine solution, at plant {RER}</t>
  </si>
  <si>
    <t>91575c0a-b200-3b07-93d7-8f6a0d9b4e37</t>
  </si>
  <si>
    <t>Sodium chloride, powder, at plant {RER}</t>
  </si>
  <si>
    <t>44622f5f-43cb-318f-8892-1c4b6e27b502</t>
  </si>
  <si>
    <t>Sodium cyanide, at plant {RER}</t>
  </si>
  <si>
    <t>9172d7bd-e08e-388d-89c2-b81e74300304</t>
  </si>
  <si>
    <t>Sodium dichromate, at plant {RER}</t>
  </si>
  <si>
    <t>ac0d1254-9ed4-38b0-bb54-6fc5129415f0</t>
  </si>
  <si>
    <t>Sodium dithionite, anhydrous, at plant {RER}</t>
  </si>
  <si>
    <t>aff6cd3f-13ec-354a-b615-6ea6a6d66603</t>
  </si>
  <si>
    <t>Sodium formate, reaction of formaldehyde with acetaldehyde, at plant {RER}</t>
  </si>
  <si>
    <t>5c555a22-4b43-32a4-b3c1-508218baccdf</t>
  </si>
  <si>
    <t>1870683c-28b0-3942-b9cc-72c39fb2e16b</t>
  </si>
  <si>
    <t>Sodium hydroxide, 50% in H2O, membrane cell, at plant {RER}</t>
  </si>
  <si>
    <t>f3009f46-dbd3-33f5-9e46-dce062cbcbef</t>
  </si>
  <si>
    <t>Sodium hydroxide, 50% in H2O, mercury cell, at plant {RER}</t>
  </si>
  <si>
    <t>389181fd-6757-3ad8-adcd-b8891108dd66</t>
  </si>
  <si>
    <t>Sodium hydroxide, 50% in H2O, production mix, at plant {RER}</t>
  </si>
  <si>
    <t>ce8a12aa-ecaa-37d9-8355-5cb7da9ce6c0</t>
  </si>
  <si>
    <t>cb94ab60-7f4d-3b40-90df-bc7a9332af65</t>
  </si>
  <si>
    <t>Sodium metasilicate pentahydrate, 58%, powder, at plant {RER}</t>
  </si>
  <si>
    <t>cb45ad23-7255-3b13-b28c-1625b3de9825</t>
  </si>
  <si>
    <t>Sodium methoxide, at plant {GLO}</t>
  </si>
  <si>
    <t>db6cf478-1c1d-3c6a-939b-c871927ff504</t>
  </si>
  <si>
    <t>Sodium perborate, monohydrate, powder, at plant {RER}</t>
  </si>
  <si>
    <t>chemicals\washing agents\bleaches</t>
  </si>
  <si>
    <t>475c916f-6080-33fb-ab55-6370a4c5fdb0</t>
  </si>
  <si>
    <t>Sodium perborate, tetrahydrate, powder, at plant {RER}</t>
  </si>
  <si>
    <t>7efdfea7-aedf-3844-b47e-1b07ea02dae7</t>
  </si>
  <si>
    <t>Sodium percarbonate, powder, at plant {RER}</t>
  </si>
  <si>
    <t>33c61a93-f37a-3203-9d0d-dad895dc69a3</t>
  </si>
  <si>
    <t>Sodium perchlorate, at plant {GLO}</t>
  </si>
  <si>
    <t>21787b8f-c7a7-3be4-981e-4a24995ff7ee</t>
  </si>
  <si>
    <t>Sodium persulfate, at plant {GLO}</t>
  </si>
  <si>
    <t>85ddafdd-bf89-3275-9816-f0d934c9414c</t>
  </si>
  <si>
    <t>Sodium phosphate, at plant {RER}</t>
  </si>
  <si>
    <t>dcb3e582-0c09-3f27-bbd1-a76b2a772c2c</t>
  </si>
  <si>
    <t>Sodium silicate, furnace liquor, 37% in H2O, at plant {RER}</t>
  </si>
  <si>
    <t>fbded65b-8a91-31c8-bfa1-5cebb84e4cd5</t>
  </si>
  <si>
    <t>Sodium silicate, furnace process, pieces, at plant {RER}</t>
  </si>
  <si>
    <t>f9b26992-64d5-3e83-a1db-81b0c5c25c7b</t>
  </si>
  <si>
    <t>Sodium silicate, hydrothermal liquor, 48% in H2O, at plant {RER}</t>
  </si>
  <si>
    <t>ec4798dd-77fd-37e3-9f6f-c1388dfda4ea</t>
  </si>
  <si>
    <t>Sodium silicate, spray powder 80%, at plant {RER}</t>
  </si>
  <si>
    <t>adbd72e3-e987-394d-bb23-0bfdc7a9af5f</t>
  </si>
  <si>
    <t>Sodium sulphate from sulfuric acid digestion of spodumene {GLO}</t>
  </si>
  <si>
    <t>e58aee70-e777-300d-b0e7-ff6bda1e25dd</t>
  </si>
  <si>
    <t>Sodium sulphate, from Mannheim process, at plant {RER}</t>
  </si>
  <si>
    <t>9f340230-eb11-3bb2-80fb-9a5f7ee5496d</t>
  </si>
  <si>
    <t>Sodium sulphate, from natural sources, at plant {RER}</t>
  </si>
  <si>
    <t>94818157-49f4-3a42-aadc-7fcba2e88229</t>
  </si>
  <si>
    <t>Sodium sulphate, powder, production mix, at plant {RER}</t>
  </si>
  <si>
    <t>99627991-2c9d-3610-b13b-42403b745a3f</t>
  </si>
  <si>
    <t>Sodium tetrafluorborate, at plant {GLO}</t>
  </si>
  <si>
    <t>58784fea-c396-3e24-95d7-62b5cbf619aa</t>
  </si>
  <si>
    <t>Sodium tetrahydroborate, at plant {GLO}</t>
  </si>
  <si>
    <t>fb31bea7-be06-3962-ae79-0df54411798c</t>
  </si>
  <si>
    <t>Sodium tripolyphosphate, at plant {RER}</t>
  </si>
  <si>
    <t>49141f50-671f-33a9-96d2-33acbcaafa7c</t>
  </si>
  <si>
    <t>SOFC-GT fuel cell 180kWe, future {CH}</t>
  </si>
  <si>
    <t>c2827bba-837f-3ef4-bfc8-04677fe9493b</t>
  </si>
  <si>
    <t>SOFC fuel cell 125kWe, future {CH}</t>
  </si>
  <si>
    <t>e00fdfe1-df9f-34c2-b6a1-4b27259faade</t>
  </si>
  <si>
    <t>Soft solder, Sn97Cu3, at plant {RER}</t>
  </si>
  <si>
    <t>9a04086e-d3c2-399a-aa86-f9b959e29b68</t>
  </si>
  <si>
    <t>Softwood, allocation correction, 1 {RER}</t>
  </si>
  <si>
    <t>b2a7ee57-a951-332b-8977-11d21251e5cb</t>
  </si>
  <si>
    <t>Softwood, allocation correction, 3 {RER}</t>
  </si>
  <si>
    <t>aaca8a4a-38bd-374e-a704-fc2639ad8673</t>
  </si>
  <si>
    <t>Softwood, stand establishment, tending, site development, under bark, holzpur, in forest {CH}</t>
  </si>
  <si>
    <t>8d7dc3cd-f7e2-3226-9910-3868f05528f9</t>
  </si>
  <si>
    <t>Softwood, standing, under bark, holzpur, in forest {CH}</t>
  </si>
  <si>
    <t>1db6c58f-440f-3e84-9537-8d6a565ed1d0</t>
  </si>
  <si>
    <t>Soil nailing, sprayed concrete, reinforced, average {CH}</t>
  </si>
  <si>
    <t>2cce57bb-8381-39b3-83e1-4e6c2505e19a</t>
  </si>
  <si>
    <t>Soil nailing, sprayed concrete, reinforced, Bushof Jona {CH}</t>
  </si>
  <si>
    <t>ed9d79f0-7881-31a9-82fc-e3eb7e3672dc</t>
  </si>
  <si>
    <t>Soil nailing, sprayed concrete, reinforced, MFH Tiechestrasse Zürich {CH}</t>
  </si>
  <si>
    <t>58f59eef-9e7b-3f32-9104-6223dd2431fa</t>
  </si>
  <si>
    <t>Soil nailing, sprayed concrete, reinforced, Notfall Waidspital Zürich {CH}</t>
  </si>
  <si>
    <t>9da09f83-e927-36f8-8873-d9a579782a80</t>
  </si>
  <si>
    <t>Soil nailing, sprayed concrete, reinforced, Schulhaus Sandgruben Basel {CH}</t>
  </si>
  <si>
    <t>72c06607-aaab-319d-84ce-1553c1aad5ca</t>
  </si>
  <si>
    <t>Solar collector factory {RER}</t>
  </si>
  <si>
    <t>6ff1894d-def7-30ff-a1ea-a26c0918f143</t>
  </si>
  <si>
    <t>Solar collector glass tube, with silver mirror, at plant {DE}</t>
  </si>
  <si>
    <t>f139f84a-7878-3553-9bb2-d96081a8b80b</t>
  </si>
  <si>
    <t>Solar glass, low-iron, at regional storage {RER}</t>
  </si>
  <si>
    <t>4655e015-cfe3-3852-b4e5-3a2a62c61d5f</t>
  </si>
  <si>
    <t>Solar system for PVT ONLY, 100m2 Al-Cu flat plate collector, on slanted roof, hot water heat storage {CH}</t>
  </si>
  <si>
    <t>1b0027f3-d480-3c79-a8f2-fcffe50f468e</t>
  </si>
  <si>
    <t>Solar system for PVT ONLY, 100m2 Al-Cu flat plate collector, on slanted roof, with borehole regeneration {CH}</t>
  </si>
  <si>
    <t>8bc7cade-9e37-34e7-9330-cd27c0cbe957</t>
  </si>
  <si>
    <t>Solar system, 10.5 m2 evacuated tube collector, one-family house, combined system {CH}</t>
  </si>
  <si>
    <t>45289924-2b7b-3521-89b6-fe48fb91b02d</t>
  </si>
  <si>
    <t>Solar system, 12 m2 Cu flat plate collector, one-family house, combined system {CH}</t>
  </si>
  <si>
    <t>95ecd53e-cc69-3878-9336-cf25555d4d15</t>
  </si>
  <si>
    <t>Solar system, 20 m2 Cu flat plate collector, on slanted roof, hot water {CH}</t>
  </si>
  <si>
    <t>cb5c591a-0721-3fe7-b1eb-5c1c4643410f</t>
  </si>
  <si>
    <t>Solar system, 30 m2  Al-Cu flat plate collector, on slanted roof, hot water {CH}</t>
  </si>
  <si>
    <t>734277e0-997b-39a3-930d-6e1acfc3c7e9</t>
  </si>
  <si>
    <t>Solar system, 30 m2 Cu flat plate collector, on flat roof, hot water {CH}</t>
  </si>
  <si>
    <t>bf87aba3-fff4-364f-97f1-d80c66747ef2</t>
  </si>
  <si>
    <t>Solar system, 30 m2 Cu flat plate collector, on slanted roof, hot water {CH}</t>
  </si>
  <si>
    <t>c7bb633a-2786-33c6-b943-76c656ce940a</t>
  </si>
  <si>
    <t>Solar system, 5 m2 Cu flat plate collector, one-family house, hot water {CH}</t>
  </si>
  <si>
    <t>9cbdcbc4-6d3e-3b9c-9503-a2596cddd0b5</t>
  </si>
  <si>
    <t>Solar system, 81 m2 Cu flat plate collector, multiple dwelling, hot water {CH}</t>
  </si>
  <si>
    <t>ee6e5f3b-86aa-3e09-b5fb-96b6592dc77c</t>
  </si>
  <si>
    <t>Solder production plant {RER}</t>
  </si>
  <si>
    <t>310ce4f2-7d66-3153-8a62-68571dc49253</t>
  </si>
  <si>
    <t>Solder, bar, Sn63Pb37, for electronics industry, at plant {GLO}</t>
  </si>
  <si>
    <t>003ebeae-af48-312e-8bdd-b2d0e57715e5</t>
  </si>
  <si>
    <t>Solder, bar, Sn95.5Ag3.9Cu0.6, for electronics industry, at plant {GLO}</t>
  </si>
  <si>
    <t>2ee91607-60d3-3b6f-9952-0da48edf3974</t>
  </si>
  <si>
    <t>Solder, paste, Sn63Pb37, for electronics industry, at plant {GLO}</t>
  </si>
  <si>
    <t>b97c7a41-8547-33d6-a00d-7c50242a653b</t>
  </si>
  <si>
    <t>Solder, paste, Sn95.5Ag3.9Cu0.6, for electronics industry, at plant {GLO}</t>
  </si>
  <si>
    <t>4b407104-c117-3fa3-a534-4ab77f39d50a</t>
  </si>
  <si>
    <t>93c68a97-84f6-3d12-95ff-94b3af1229f2</t>
  </si>
  <si>
    <t>Solid manure loading and spreading, by hydraulic loader and spreader {CH}</t>
  </si>
  <si>
    <t>876a8348-b458-363d-8fbe-da461b2bd2ea</t>
  </si>
  <si>
    <t>Solid State Drive, SSD, at plant {GLO}</t>
  </si>
  <si>
    <t>004e957b-5e8d-389a-901c-17b09952eef2</t>
  </si>
  <si>
    <t>7d20d397-0eb3-3487-b28c-3a9fdaba034a</t>
  </si>
  <si>
    <t>Solid wood, spruce / fir / larch Switzerland, air-dried, planed {CH}</t>
  </si>
  <si>
    <t>588bcda8-4b80-3b0c-a96e-23faf8704649</t>
  </si>
  <si>
    <t>Solid wood, spruce / fir / larch Switzerland, air-dried, planed, with resource correction {CH}</t>
  </si>
  <si>
    <t>e4516f17-808d-383c-a68b-cead5872efd4</t>
  </si>
  <si>
    <t>Solid wood, spruce / fir / larch Switzerland, air-dried, rough, with resource correction {CH}</t>
  </si>
  <si>
    <t>57b9530e-5177-3f4a-91dd-971241d0d556</t>
  </si>
  <si>
    <t>Solid wood, spruce / fir / larch Switzerland, kiln-dried, planed {CH}</t>
  </si>
  <si>
    <t>6ab70b66-524f-3d45-80f6-1947cc04309e</t>
  </si>
  <si>
    <t>Solid wood, spruce / fir / larch Switzerland, kiln-dried, planed, with resource correction {CH}</t>
  </si>
  <si>
    <t>e97de0ee-301d-31e9-a8f9-77791f3d8971</t>
  </si>
  <si>
    <t>Solid wood, spruce, fir, larch Switzerland, air-dried, planed, with resource correction {CH}</t>
  </si>
  <si>
    <t>56953413-b667-3870-aa8a-027c28045532</t>
  </si>
  <si>
    <t>Solution mining for geological hydrogen storage {CH}</t>
  </si>
  <si>
    <t>3ecd3dd2-014f-31b4-b48f-0cce69b9d861</t>
  </si>
  <si>
    <t>Solvents, organic, unspecified, at plant {GLO}</t>
  </si>
  <si>
    <t>bac59fd2-5b1f-318c-8dae-c794cd786431</t>
  </si>
  <si>
    <t>Sorting plant for construction waste {CH}</t>
  </si>
  <si>
    <t>e27f1d74-b73f-37da-905e-277aed8d8c25</t>
  </si>
  <si>
    <t>Sound insulation cogen unit 160kWe {RER}</t>
  </si>
  <si>
    <t>809d431b-b5d0-3cb2-8c5f-1ce9b0d7c006</t>
  </si>
  <si>
    <t>Sour gas, burned in gas turbine, production, m3 {NO}</t>
  </si>
  <si>
    <t>1beb1dae-ce84-3e3c-beee-874ffaa1d056</t>
  </si>
  <si>
    <t>Sour gas, burned in gas turbine, production, MJ {NO}</t>
  </si>
  <si>
    <t>913d3e72-055f-3432-ab4c-18b54044fa85</t>
  </si>
  <si>
    <t>Sowing {CH}</t>
  </si>
  <si>
    <t>0324121d-7ddb-3ad1-b819-dbb7871c1136</t>
  </si>
  <si>
    <t>SOx retained, in hard coal flue gas desulphurisation {RER}</t>
  </si>
  <si>
    <t>d9b34c0e-fef5-3aba-adca-36022bd418c2</t>
  </si>
  <si>
    <t>SOx retained, in lignite flue gas desulphurisation {GLO}</t>
  </si>
  <si>
    <t>39e6804b-c087-3832-a18c-6a0bb17d4a9a</t>
  </si>
  <si>
    <t>Soy beans IP, at farm {CH}</t>
  </si>
  <si>
    <t>f3261240-64da-3d61-9e4b-feff6b4569d4</t>
  </si>
  <si>
    <t>Soy beans organic, at farm {CH}</t>
  </si>
  <si>
    <t>f8382dcf-2708-3409-bc1e-94d1b76826d8</t>
  </si>
  <si>
    <t>Soya oil, at plant {RER}</t>
  </si>
  <si>
    <t>8e1bc860-a9f5-3053-9756-aba996809a64</t>
  </si>
  <si>
    <t>996170a3-0a18-3951-8a77-4e615f8af698</t>
  </si>
  <si>
    <t>Soybean meal, at oil mill {US}</t>
  </si>
  <si>
    <t>2887e1d1-7ee1-37c4-ab56-270f3760ef2a</t>
  </si>
  <si>
    <t>Soybean methyl ester, at esterification plant {BR}</t>
  </si>
  <si>
    <t>6df0f8d8-e418-38d9-b852-e338fe16021a</t>
  </si>
  <si>
    <t>Soybean methyl ester, at esterification plant {US}</t>
  </si>
  <si>
    <t>f26d4474-f581-3c6c-993a-11ba5ac1f2b6</t>
  </si>
  <si>
    <t>Soybean methyl ester, production US, at service station {CH}</t>
  </si>
  <si>
    <t>009da5a9-abf4-3423-8fe1-9733f65c4307</t>
  </si>
  <si>
    <t>75a66aa0-62e5-303c-9023-376166ee4a12</t>
  </si>
  <si>
    <t>Soybean oil, at oil mill {US}</t>
  </si>
  <si>
    <t>d9bbb98d-0785-32ec-916f-ec82b4055257</t>
  </si>
  <si>
    <t>e6cc1f0c-e286-320d-a905-6841fb42a8ff</t>
  </si>
  <si>
    <t>Soybeans, at farm {US}</t>
  </si>
  <si>
    <t>fb30ad5a-0529-38e7-865a-efb34a8b0916</t>
  </si>
  <si>
    <t>Spare batteries, for smartphone, at plant {GLO}</t>
  </si>
  <si>
    <t>5de913af-2d60-3d43-a0bc-df45ce0ae83d</t>
  </si>
  <si>
    <t>Spare batteries, for tablet, at plant {GLO}</t>
  </si>
  <si>
    <t>8b1340ca-c75d-315c-8fd8-1725550c6c8f</t>
  </si>
  <si>
    <t>Spare screen, for smartphone, at plant {GLO}</t>
  </si>
  <si>
    <t>21996090-12f4-38e0-9dbc-a0fae8de89d2</t>
  </si>
  <si>
    <t>Spare screen, for tablet, at plant {GLO}</t>
  </si>
  <si>
    <t>4633cc7d-9dbf-33a0-9a10-8f30f1ea40c8</t>
  </si>
  <si>
    <t>Spinning dope {RER}</t>
  </si>
  <si>
    <t>5b8d4fae-1194-3586-9a16-f8e0f92fb040</t>
  </si>
  <si>
    <t>Spiral-seam duct, stainless steel, s= 0.5mm, at plant {CH}</t>
  </si>
  <si>
    <t>10142d1b-caca-3889-8996-84410c363fbf</t>
  </si>
  <si>
    <t>Spiral-seam duct, stainless steel, s= 0.6mm, at plant {CH}</t>
  </si>
  <si>
    <t>20c444ed-e3de-341e-992d-e19d8b69c08c</t>
  </si>
  <si>
    <t>Spiral-seam duct, stainless steel, s= 0.8mm, at plant {CH}</t>
  </si>
  <si>
    <t>7ad2ba7a-0372-3a2e-9eb4-9c4f017ab1cf</t>
  </si>
  <si>
    <t>Spiral-seam duct, stainless steel, s= 1.0mm, at plant {CH}</t>
  </si>
  <si>
    <t>d5358349-406e-3f88-8e04-d540ba55e92f</t>
  </si>
  <si>
    <t>Spiral-seam duct, steel, DN 125, at plant {RER}</t>
  </si>
  <si>
    <t>cb4dba50-aee1-37ac-a828-ab8089cda6e9</t>
  </si>
  <si>
    <t>Spiral-seam duct, steel, DN 400, at plant {RER}</t>
  </si>
  <si>
    <t>dc30e6a5-1a43-3067-9871-38a5197030a4</t>
  </si>
  <si>
    <t>Spiral-seam duct, steel, zinc coated, s= 0.5mm, at plant {CH}</t>
  </si>
  <si>
    <t>cdbe41c7-733f-357f-9d7e-183e3ce8f246</t>
  </si>
  <si>
    <t>Spiral-seam duct, steel, zinc coated, s= 0.6mm, at plant {CH}</t>
  </si>
  <si>
    <t>e2fb680e-430f-3739-88ab-1071aa28be66</t>
  </si>
  <si>
    <t>Spiral-seam duct, steel, zinc coated, s= 0.8mm, at plant {CH}</t>
  </si>
  <si>
    <t>d38dd609-3b76-38c3-b53b-43c1ada628f1</t>
  </si>
  <si>
    <t>Spiral-seam duct, steel, zinc coated, s= 1.0mm, at plant {CH}</t>
  </si>
  <si>
    <t>8f718e49-08d0-321b-b8e8-a07f7cd49bff</t>
  </si>
  <si>
    <t>Spodumene, at plant {RER}</t>
  </si>
  <si>
    <t>c70d05ca-926b-3818-a290-2822bf631fc7</t>
  </si>
  <si>
    <t>Spruce wood, chipping and drying {CH}</t>
  </si>
  <si>
    <t>fe3aeb88-d6f1-316a-8e08-c57091d6c724</t>
  </si>
  <si>
    <t>Sputtering, ITO, for LCD {RER}</t>
  </si>
  <si>
    <t>b163e170-367e-34c5-9ee8-97f3839e238f</t>
  </si>
  <si>
    <t>Stack {GLO}</t>
  </si>
  <si>
    <t>0c566503-0561-3cb3-b5e1-75a71052d65a</t>
  </si>
  <si>
    <t>Stack PEM fuel cell 2kWe, future {CH}</t>
  </si>
  <si>
    <t>adb4d51d-f728-3832-a6d5-d0fa83f1c046</t>
  </si>
  <si>
    <t>Stack SOFC fuel cell 125kWe, future {CH}</t>
  </si>
  <si>
    <t>31696b71-8430-3c4a-90f1-462338043145</t>
  </si>
  <si>
    <t>Steam brake, polyethylen (PE), flame-protected {CH}</t>
  </si>
  <si>
    <t>94ab72bb-434e-3a43-9699-c3507ae9d627</t>
  </si>
  <si>
    <t>Steam from the production of formaldehyde {RER}</t>
  </si>
  <si>
    <t>heat\steam</t>
  </si>
  <si>
    <t>3b12ed61-8869-3602-b2b0-650a1360e7d8</t>
  </si>
  <si>
    <t>Steam, for chemical processes, at plant {RER}</t>
  </si>
  <si>
    <t>ca51da0f-d926-3dbe-bc07-e0449bb7dcab</t>
  </si>
  <si>
    <t>Steel board, 10 mm, powder coated, cardboard filled, at plant {CH}</t>
  </si>
  <si>
    <t>25a95431-5283-3439-bdba-b131e5c756fd</t>
  </si>
  <si>
    <t>Steel board, 20 mm, powder coated, cardboard filled, at plant {CH}</t>
  </si>
  <si>
    <t>b354edc2-0dae-33ca-9f08-1bc3fe9232d3</t>
  </si>
  <si>
    <t>Steel mast, standard size for rail ways {CH}</t>
  </si>
  <si>
    <t>1cc836af-121b-3ba9-9e07-53d7711cde7a</t>
  </si>
  <si>
    <t>Steel pipe, black, primed {CH}</t>
  </si>
  <si>
    <t>e2501386-5fe2-3090-b7d4-9a92920abdb9</t>
  </si>
  <si>
    <t>Steel product manufacturing, average metal working {RER}</t>
  </si>
  <si>
    <t>89772c02-1f8b-36dc-87eb-de910174d166</t>
  </si>
  <si>
    <t>Steel profile, tin-coated, recycling share 2000 (37% Rec.) {CH}</t>
  </si>
  <si>
    <t>b6b00b59-edb4-385b-bc72-83c79893317c</t>
  </si>
  <si>
    <t>Steel profile, tin-coated, secondary production (100% Rec.) {CH}</t>
  </si>
  <si>
    <t>7f1a6bae-464b-3dd9-9223-ae916800ceea</t>
  </si>
  <si>
    <t>Steel profile, uncoated, primary production (0% Rec.) {CH}</t>
  </si>
  <si>
    <t>13b9d531-fad3-3cce-bd1e-20695d2793af</t>
  </si>
  <si>
    <t>Steel profile, uncoated, recycling share 2000 (37% Rec.) {CH}</t>
  </si>
  <si>
    <t>818be9ae-e3f5-3809-b06e-46b167f1fa4f</t>
  </si>
  <si>
    <t>Steel profile, uncoated, recycling share 2008 (98% Rec.) {CH}</t>
  </si>
  <si>
    <t>0860c37b-a746-3063-bc98-1122e77c1337</t>
  </si>
  <si>
    <t>Steel profile, uncoated, secondary production (100% Rec.) {CH}</t>
  </si>
  <si>
    <t>6838e868-ab69-36ff-ab1e-a793a3de648b</t>
  </si>
  <si>
    <t>Steel sheet, uncoated, recycling share 2000 (37% Rec.) {CH}</t>
  </si>
  <si>
    <t>b539af3b-9e72-3089-ac69-0a6182faa258</t>
  </si>
  <si>
    <t>Steel sheet, uncoated, recycling share 2000 (37% Rec.), with resource correction {CH}</t>
  </si>
  <si>
    <t>8f614244-ed3a-3d6f-8136-423b4c8bf562</t>
  </si>
  <si>
    <t>Steel sheet, uncoated, secondary production (100% Rec.) {CH}</t>
  </si>
  <si>
    <t>8fe02db3-4e6d-3327-a4f2-63e56d8aae2c</t>
  </si>
  <si>
    <t>Steel sheet, zinc-coated, recycling share 2000 (37% Rec.) {CH}</t>
  </si>
  <si>
    <t>2ec70e7c-1b95-309b-bf21-06f710868a68</t>
  </si>
  <si>
    <t>Steel sheet, zinc-coated, recycling share 2000 (37% Rec.), with resource correction {CH}</t>
  </si>
  <si>
    <t>547bc063-298e-31cd-bbcf-2dc3a1850309</t>
  </si>
  <si>
    <t>Steel sheet, zinc-coated, secondary production (100% Rec.) {CH}</t>
  </si>
  <si>
    <t>625ad8a9-a972-32fe-b8bd-7bfdb17bb151</t>
  </si>
  <si>
    <t>Steel, converter, chromium steel 18/8, at plant {RER}</t>
  </si>
  <si>
    <t>57770ff2-239c-36bf-a95b-6ff87a88ee51</t>
  </si>
  <si>
    <t>Steel, converter, low-alloyed, at plant {RER}</t>
  </si>
  <si>
    <t>c801854a-3e5e-3243-a4c0-4a3fcd7f54a3</t>
  </si>
  <si>
    <t>Steel, converter, unalloyed, at plant {RER}</t>
  </si>
  <si>
    <t>5a305fc4-5d14-3854-8047-b1f97d439220</t>
  </si>
  <si>
    <t>Steel, electric, alloyed, 23MnCrSiMoF66, at plant {CH}</t>
  </si>
  <si>
    <t>01b0b4a7-6f97-3ba0-88eb-114e6da1f1fc</t>
  </si>
  <si>
    <t>Steel, electric, alloyed, 42CrMoS4, at plant {CH}</t>
  </si>
  <si>
    <t>c9adc34e-dd14-37a3-8362-1c7440f999ed</t>
  </si>
  <si>
    <t>Steel, electric, alloyed, 44FMn28, at plant {CH}</t>
  </si>
  <si>
    <t>6f8e8891-f14a-3294-b235-f65f3ecf6533</t>
  </si>
  <si>
    <t>8a33231b-294c-3d48-aef0-89d8d9e71ede</t>
  </si>
  <si>
    <t>Steel, electric, low-alloyed, at plant {CH}</t>
  </si>
  <si>
    <t>e778ed60-5ec5-36e9-add5-745af0b58177</t>
  </si>
  <si>
    <t>Steel, electric, low-alloyed, at plant, best plants (min. values) {RER}</t>
  </si>
  <si>
    <t>70dd799f-89cc-3a45-b230-88896d49b9e4</t>
  </si>
  <si>
    <t>Steel, electric, low-alloyed, at plant, worst plants (max. values) {RER}</t>
  </si>
  <si>
    <t>b95e8e9c-a459-3ecf-ba25-8cdbc7c4cb7f</t>
  </si>
  <si>
    <t>Steel, electric, un- and low-alloyed, at plant {RER}</t>
  </si>
  <si>
    <t>1883bda0-ecf3-34bd-b95b-a7d55e2d5c70</t>
  </si>
  <si>
    <t>Steel, electric, unalloyed, at plant {CH}</t>
  </si>
  <si>
    <t>63cd11cf-bbf2-3fc2-9118-373469966368</t>
  </si>
  <si>
    <t>b9430f24-d0b9-3422-a5ad-f874acbbef18</t>
  </si>
  <si>
    <t>5733cb9a-b0b6-36f7-b445-60d6739da152</t>
  </si>
  <si>
    <t>Steel, pyrometallurgical processing Li-ion batteries, at plant {GLO}</t>
  </si>
  <si>
    <t>electronics waste\ferro</t>
  </si>
  <si>
    <t>6cf7c2e0-f171-4b91-a195-6bc8d4cfb6ae</t>
  </si>
  <si>
    <t>Stibnite ore, 70% stibnite, at mine {CN}</t>
  </si>
  <si>
    <t>4212afbd-7ef5-35ff-b6d8-9be0aebd1a5f</t>
  </si>
  <si>
    <t>Stirling cogen unit 3kWe, wood pellets, future {CH}</t>
  </si>
  <si>
    <t>heat\biomass\cogeneration\infrastructure</t>
  </si>
  <si>
    <t>e5fb96d0-38f9-36ed-94f2-2c82cd634309</t>
  </si>
  <si>
    <t>Stone columns, 500-600mm, Implenia {CH}</t>
  </si>
  <si>
    <t>6f67a0ed-2ff5-3a61-a2fc-cc9c8affe2d7</t>
  </si>
  <si>
    <t>Stone columns, 500-600mm, Keller-MTS {CH}</t>
  </si>
  <si>
    <t>b69f356c-e80e-3ffb-ab92-44910ece0d6b</t>
  </si>
  <si>
    <t>Stone columns, average {CH}</t>
  </si>
  <si>
    <t>522f167e-a6e1-35fa-8939-af5a2f23052b</t>
  </si>
  <si>
    <t>Stone groundwood pulp, SGW, at plant {RER}</t>
  </si>
  <si>
    <t>paper+ board\pulp</t>
  </si>
  <si>
    <t>2d1c15a8-057a-3040-b5c2-e483e22120f3</t>
  </si>
  <si>
    <t>Stone meal, at regional storehouse {CH}</t>
  </si>
  <si>
    <t>0a150445-09b8-3425-b9f1-82cd70c11810</t>
  </si>
  <si>
    <t>Storage 10000 l {RER}</t>
  </si>
  <si>
    <t>beebd964-ecc7-3e1c-9acf-5322168746ce</t>
  </si>
  <si>
    <t>Storage 650 l Mini CHP plant {CH}</t>
  </si>
  <si>
    <t>54559d8f-2cce-3b6b-8cb0-f79486a6d20d</t>
  </si>
  <si>
    <t>Storage array, at data center {GLO}</t>
  </si>
  <si>
    <t>292f6de5-3243-319a-b332-17da8964a09d</t>
  </si>
  <si>
    <t>Storage battery {RER}</t>
  </si>
  <si>
    <t>5afd24eb-9c0e-3fae-affb-eaebe3914d6a</t>
  </si>
  <si>
    <t>Storage building, chemicals, solid {CH}</t>
  </si>
  <si>
    <t>dcb21e72-a911-399e-9a84-891824b13dc8</t>
  </si>
  <si>
    <t>Strap retention {GLO}</t>
  </si>
  <si>
    <t>c33f7936-c0fa-33a8-a1e3-5b362baf54aa</t>
  </si>
  <si>
    <t>Straw bales | baling of straw {RER}</t>
  </si>
  <si>
    <t>0a482f29-8115-339d-9ad3-740124a33576</t>
  </si>
  <si>
    <t>Straw IP, at farm {CH}</t>
  </si>
  <si>
    <t>80c75822-468b-344c-a654-7ccaba495a72</t>
  </si>
  <si>
    <t>Straw organic, at farm {CH}</t>
  </si>
  <si>
    <t>603d23f7-fdc2-300b-ae0b-20f8b63afa98</t>
  </si>
  <si>
    <t>Straw pellets {RER}</t>
  </si>
  <si>
    <t>5326e9b1-2622-359e-bbdd-8a56ef1ede13</t>
  </si>
  <si>
    <t>Straw, from straw areas, at field {CH}</t>
  </si>
  <si>
    <t>dc1ea820-ddf4-3b3a-816d-23f5993d5a87</t>
  </si>
  <si>
    <t>Strawberries, conventional, heated greenhouse {CH}</t>
  </si>
  <si>
    <t>b8a44007-d762-3838-ac21-5ffd3884f499</t>
  </si>
  <si>
    <t>Strawberries, conventional, unheated plastic tunnel {CH}</t>
  </si>
  <si>
    <t>82b2cf7c-b0b3-387c-b26f-781a572e7467</t>
  </si>
  <si>
    <t>Strawberries, conventional, unheated plastic tunnel {ES}</t>
  </si>
  <si>
    <t>c2d0c99c-d28a-3b78-aad3-f4790f49c412</t>
  </si>
  <si>
    <t>Strawberries, organic, unheated plastic tunnel {CH}</t>
  </si>
  <si>
    <t>f9a7fbd2-f755-3292-b3d0-b6e486e9f677</t>
  </si>
  <si>
    <t>Strawberry seedling, for planting, in unheated greenhouse {RER}</t>
  </si>
  <si>
    <t>4d0b30a3-3c3f-3830-bdb1-0217eb0abe61</t>
  </si>
  <si>
    <t>Strawberry seedling, organic, for planting, in unheated greenhouse {RER}</t>
  </si>
  <si>
    <t>766ca7cb-00fb-3612-b5c4-d5099b886793</t>
  </si>
  <si>
    <t>Stretch blow moulding {RER}</t>
  </si>
  <si>
    <t>b2f2d26b-5a36-3c36-8bd0-312f9925e4a2</t>
  </si>
  <si>
    <t>Structural timber production, at regional storage {CH}</t>
  </si>
  <si>
    <t>98c80fba-bfa9-36dc-acd1-53b8095b07e9</t>
  </si>
  <si>
    <t>Structural timber production, at regional storage, with resource correction {CH}</t>
  </si>
  <si>
    <t>c980a178-a474-34b3-9507-1575c0fd6296</t>
  </si>
  <si>
    <t>Structural timber, average glue mix, at plant {RER}</t>
  </si>
  <si>
    <t>55d998bf-9007-3ef6-94c4-bb786532e02f</t>
  </si>
  <si>
    <t>Stucco, at plant {CH}</t>
  </si>
  <si>
    <t>08c050ee-36ba-3999-9fee-24321d6a6787</t>
  </si>
  <si>
    <t>61383306-1d5d-3a54-8ef2-bc147f1af68b</t>
  </si>
  <si>
    <t>Styrene, at plant {RER}</t>
  </si>
  <si>
    <t>76aac688-8d44-3337-ac3e-9cac4cdafd8b</t>
  </si>
  <si>
    <t>Substation, 200MW onshore wind farm {RER}</t>
  </si>
  <si>
    <t>2db14e95-3c3f-3e36-9202-e1c6dbb03eb8</t>
  </si>
  <si>
    <t>Substation, land-based, 740MW offshore wind farm {RER}</t>
  </si>
  <si>
    <t>a40f748b-4944-36b1-86d1-01351531ba84</t>
  </si>
  <si>
    <t>Substation, offshore, 1005MW offshore wind farm {RER}</t>
  </si>
  <si>
    <t>fc63d52d-40dc-3f28-9e70-93e50d571b2d</t>
  </si>
  <si>
    <t>Substation, offshore, 740MW offshore wind farm {RER}</t>
  </si>
  <si>
    <t>f59fea54-e0e7-3593-9d2e-e9d0ece3964f</t>
  </si>
  <si>
    <t>Substation,offshore, 150MW offshore wind farm {RER}</t>
  </si>
  <si>
    <t>2add76f7-8cfd-36e4-bb6c-294fc443f5e1</t>
  </si>
  <si>
    <t>Sugar beet crown and leaf IP, at farm {CH}</t>
  </si>
  <si>
    <t>787dafb6-9487-3b98-a6cd-4c5e886887e3</t>
  </si>
  <si>
    <t>Sugar beet seed IP, at regional storehouse {CH}</t>
  </si>
  <si>
    <t>0b7f2a2e-fd66-3f26-b5a2-cf62f2ed295a</t>
  </si>
  <si>
    <t>Sugar beets IP, at farm {CH}</t>
  </si>
  <si>
    <t>68e25dd1-680a-34bb-87c8-999e218953ff</t>
  </si>
  <si>
    <t>Sugar beets IP, crown and leaf harvested,  at farm {CH}</t>
  </si>
  <si>
    <t>c7d4dd17-5a47-38a6-8cb8-67cc089fb6ec</t>
  </si>
  <si>
    <t>Sugar refinery {GLO}</t>
  </si>
  <si>
    <t>agricultural\food\infrastructure</t>
  </si>
  <si>
    <t>c397af8b-c383-3730-86b5-79eaaf77789a</t>
  </si>
  <si>
    <t>agricultural\food</t>
  </si>
  <si>
    <t>89a57741-404a-324b-a7f3-aab5cc518c78</t>
  </si>
  <si>
    <t>Sugarcane, at farm {BR}</t>
  </si>
  <si>
    <t>9796a414-e4e7-3f59-9d21-8e0074761fda</t>
  </si>
  <si>
    <t>Sulphate pulp, average, at regional storage {CH}</t>
  </si>
  <si>
    <t>0987e0bc-cd71-321c-8dc3-63ce34b66a0a</t>
  </si>
  <si>
    <t>Sulphate pulp, average, at regional storage {RER}</t>
  </si>
  <si>
    <t>230e2c4a-876b-3e59-ab32-109400c67221</t>
  </si>
  <si>
    <t>2138b094-4930-3bcc-9625-07e636a24060</t>
  </si>
  <si>
    <t>Sulphate pulp, from eucalyptus ssp. (SFM), unbleached, at pulpmill {TH}</t>
  </si>
  <si>
    <t>f2a98350-6267-3dd7-9bdc-327fcab4e939</t>
  </si>
  <si>
    <t>Sulphate pulp, from eucalyptus ssp. (SFM), unbleached, TH, at maritime harbour {RER}</t>
  </si>
  <si>
    <t>650c4f2a-9706-3dd2-b844-9983abd762e3</t>
  </si>
  <si>
    <t>Sulphate pulp, TCF bleached, at plant {RER}</t>
  </si>
  <si>
    <t>f8949eab-a48d-3a8a-8969-5dbf027a9ade</t>
  </si>
  <si>
    <t>36bb2a27-e9ad-3852-9f95-9eca37e21ba9</t>
  </si>
  <si>
    <t>Sulphite pulp, bleached, at regional storage {RER}</t>
  </si>
  <si>
    <t>6ac67ef4-35d0-3a52-b906-2770a4a08582</t>
  </si>
  <si>
    <t>194b850e-f082-3f81-a0fd-3ca345f5a68c</t>
  </si>
  <si>
    <t>318ac0c2-4d15-3037-ad81-54135463a9b0</t>
  </si>
  <si>
    <t>Sulphur hexafluoride, liquid, at plant {RER}</t>
  </si>
  <si>
    <t>b1ff97f2-2364-3290-86c7-d513fd4be2e9</t>
  </si>
  <si>
    <t>Sulphur trioxide, at plant {RER}</t>
  </si>
  <si>
    <t>4f953392-62fb-353c-84a1-a8a455586bfd</t>
  </si>
  <si>
    <t>Sulphuric acid from viscose production, at plant {GLO}</t>
  </si>
  <si>
    <t>e1c296d9-2339-365b-bd3e-5313cee198c8</t>
  </si>
  <si>
    <t>e6037d3e-db63-3537-b5fa-73c72c806426</t>
  </si>
  <si>
    <t>Sunflower IP, at farm {CH}</t>
  </si>
  <si>
    <t>cf146bbc-9375-3105-8f48-9d8cee2e7cf0</t>
  </si>
  <si>
    <t>Supply air inlet, steel, SS, DN 75, at plant {RER}</t>
  </si>
  <si>
    <t>489269c8-a871-3023-9d0b-29bdd7f948f9</t>
  </si>
  <si>
    <t>Supply air input/spent air output cogen unit 160kWe {RER}</t>
  </si>
  <si>
    <t>c0005513-9e4d-30b4-93f4-6049d2d4d2e8</t>
  </si>
  <si>
    <t>Surface treatment, cold impact extrusion, aluminium {RER}</t>
  </si>
  <si>
    <t>d5a541cf-e3a7-3fe7-94ba-6bd6e6f60d3a</t>
  </si>
  <si>
    <t>Surface treatment, cold impact extrusion, steel {RER}</t>
  </si>
  <si>
    <t>1910a2d1-3c7b-3981-9641-44c5013b199f</t>
  </si>
  <si>
    <t>Surface treatment, inner door, natural, at plant {CH}</t>
  </si>
  <si>
    <t>34c21493-7cb6-3ac9-90c2-63f4d1a65f4a</t>
  </si>
  <si>
    <t>Surface treatment, inner door, opaquely painted, at plant {CH}</t>
  </si>
  <si>
    <t>818fc822-9812-341b-b784-6777192b5716</t>
  </si>
  <si>
    <t>Surface treatment, outer door, natural, at plant {CH}</t>
  </si>
  <si>
    <t>71c7223c-5095-3052-a3a7-ba3142a20ca7</t>
  </si>
  <si>
    <t>Surface treatment, outer door, opaquely painted, at plant {CH}</t>
  </si>
  <si>
    <t>afe12674-8f7e-3ee5-81a8-869b193fcdb6</t>
  </si>
  <si>
    <t>Surface treatment, wood-metal window, natural/varnished, m2 visible, at plant {CH}</t>
  </si>
  <si>
    <t>dd634f58-226f-3667-a8b6-0805091385c6</t>
  </si>
  <si>
    <t>Surface treatment, wood-metal window, natural/varnished, wall opening, at plant {CH}</t>
  </si>
  <si>
    <t>e4d149d4-28da-358a-ac7b-e0af0b77b64e</t>
  </si>
  <si>
    <t>Surface treatment, wood-metal window, opaquely painted, m2 visible, at plant {CH}</t>
  </si>
  <si>
    <t>62e5c0ce-5515-3435-9765-3e3cfbb394f6</t>
  </si>
  <si>
    <t>Surface treatment, wood-metal window, opaquely painted, wall opening, at plant {CH}</t>
  </si>
  <si>
    <t>0f5a2491-4848-3ad5-a81b-ca00943af2d1</t>
  </si>
  <si>
    <t>Surface treatment, wood window, natural/varnished, m2 visible, at plant {CH}</t>
  </si>
  <si>
    <t>afec826c-4bda-37bc-8aa8-d9afc63b167c</t>
  </si>
  <si>
    <t>Surface treatment, wood window, natural/varnished, wall opening, at plant {CH}</t>
  </si>
  <si>
    <t>8a6817d1-d2d3-39bd-8f5a-11c55000a422</t>
  </si>
  <si>
    <t>Surface treatment, wood window, opaquely painted, m2 visible, at plant {CH}</t>
  </si>
  <si>
    <t>f27761cd-61d4-3c9c-96c5-5327aa99d9cd</t>
  </si>
  <si>
    <t>Surface treatment, wood window, opaquely painted, wall opening, at plant {CH}</t>
  </si>
  <si>
    <t>bcde12b1-8b38-3888-966c-fffcc5b39f85</t>
  </si>
  <si>
    <t>Suspension, for lorry {RER}</t>
  </si>
  <si>
    <t>456f0452-c182-3c0d-bae8-1eb8a349471d</t>
  </si>
  <si>
    <t>Swath, by rotary windrower {CH}</t>
  </si>
  <si>
    <t>123a470d-6b22-3af4-b692-b8530c21c25d</t>
  </si>
  <si>
    <t>Sweet gas, burned in gas turbine, production {GLO}</t>
  </si>
  <si>
    <t>5f3b8f7e-ce26-35d4-8860-75c9e3d2016b</t>
  </si>
  <si>
    <t>Sweet sorghum grains, at farm {CN}</t>
  </si>
  <si>
    <t>3952e671-2fdf-3a46-988f-a8faa2a61dd3</t>
  </si>
  <si>
    <t>Sweet sorghum stem, at farm {CN}</t>
  </si>
  <si>
    <t>a9df4097-3687-35ca-8550-e42a8624df71</t>
  </si>
  <si>
    <t>Sweetening, natural gas {DE}</t>
  </si>
  <si>
    <t>fc55c031-edef-3c41-aa8a-65564aedf9df</t>
  </si>
  <si>
    <t>Switch, data center devices, at plant {GLO}</t>
  </si>
  <si>
    <t>97d025b2-b522-3476-9e1c-fbc352a9e7b2</t>
  </si>
  <si>
    <t>Switch, toggle type, at plant {GLO}</t>
  </si>
  <si>
    <t>15173189-63c6-302e-9c80-fa64a8238f82</t>
  </si>
  <si>
    <t>Synthetic gas plant {CH}</t>
  </si>
  <si>
    <t>90a9c712-7be1-31bd-bb79-81640ea8e7c0</t>
  </si>
  <si>
    <t>Synthetic gas, from wood, at fixed bed gasifier {CH}</t>
  </si>
  <si>
    <t>74d113a6-54ce-3aec-b0ae-c7d1af34197c</t>
  </si>
  <si>
    <t>Synthetic gas, from wood, at fluidized bed gasifier {CH}</t>
  </si>
  <si>
    <t>dfa22602-8f80-3f0d-a975-c78a5eb33f5a</t>
  </si>
  <si>
    <t>Synthetic gas, production mix, at plant {CH}</t>
  </si>
  <si>
    <t>fe6c4b4c-1b63-3870-a2fa-81657d4320a5</t>
  </si>
  <si>
    <t>Synthetic natural gas from biological methanation, distributed by pipeline, produced by Electrolysis, PEM using electricity from grid, and carbon from Cement plant (100:0 alloc.) {CH}</t>
  </si>
  <si>
    <t>87076ece-c69f-3439-aabc-5b85134193ad</t>
  </si>
  <si>
    <t>Synthetic natural gas from biological methanation, distributed by pipeline, produced by Electrolysis, PEM using electricity from grid, and carbon from DAC {CH}</t>
  </si>
  <si>
    <t>4d922bcf-4740-3401-b361-7772914adf7f</t>
  </si>
  <si>
    <t>Synthetic natural gas from biological methanation, distributed by pipeline, produced by Electrolysis, PEM using electricity from grid, and carbon from MSWI (100:0 alloc.) {CH}</t>
  </si>
  <si>
    <t>6e1a1de8-1bac-322e-87e6-a37630403017</t>
  </si>
  <si>
    <t>Synthetic natural gas from biological methanation, distributed by pipeline, produced by Electrolysis, PEM using electricity from grid, and carbon from MSWI, with heat recovery (100:0 alloc.) {CH}</t>
  </si>
  <si>
    <t>7724157c-6f1c-3742-9c4c-7c1abfcf9fc6</t>
  </si>
  <si>
    <t>Synthetic natural gas from biological methanation, distributed by pipeline, produced by Electrolysis, PEM using electricity from Solar PV + Wind (MA), and carbon from DAC {CH}</t>
  </si>
  <si>
    <t>2ed1236a-87b8-30ea-aecd-53c9f0cf9c3a</t>
  </si>
  <si>
    <t>Synthetic natural gas from catalytic methanation, distributed by pipeline, produced by Electrolysis, PEM using electricity from grid, and carbon from Cement plant (100:0 alloc.) {CH}</t>
  </si>
  <si>
    <t>4a35c22a-0061-323e-b390-3c3b3d31def5</t>
  </si>
  <si>
    <t>Synthetic natural gas from catalytic methanation, distributed by pipeline, produced by Electrolysis, PEM using electricity from grid, and carbon from DAC {CH}</t>
  </si>
  <si>
    <t>acca687f-abfd-37e0-9f26-556165c7b1c0</t>
  </si>
  <si>
    <t>Synthetic natural gas from catalytic methanation, distributed by pipeline, produced by Electrolysis, PEM using electricity from grid, and carbon from MSWI (100:0 alloc.) {CH}</t>
  </si>
  <si>
    <t>3b871226-1be2-3aef-b367-bf544174f310</t>
  </si>
  <si>
    <t>Synthetic natural gas from catalytic methanation, distributed by pipeline, produced by Electrolysis, PEM using electricity from grid, and carbon from MSWI, with heat recovery (100:0 alloc.) {CH}</t>
  </si>
  <si>
    <t>c2a96538-6677-3916-b364-c8d2ebfca190</t>
  </si>
  <si>
    <t>Synthetic natural gas from catalytic methanation, distributed by pipeline, produced by Electrolysis, PEM using electricity from Solar PV + Wind (MA), and carbon from DAC {CH}</t>
  </si>
  <si>
    <t>e2767ad5-8224-39a3-b054-79ae34e5a74a</t>
  </si>
  <si>
    <t>c66b37b5-67d2-32cf-a5ba-5abcb693cc6f</t>
  </si>
  <si>
    <t>Syrup, from sugar beet molasses, at distillery {CH}</t>
  </si>
  <si>
    <t>1bc52ce9-01a2-378c-ab9a-460e5675f0ea</t>
  </si>
  <si>
    <t>Tab Aluminum {GLO}</t>
  </si>
  <si>
    <t>013dc3c6-bf52-37bd-8218-2d886df58c37</t>
  </si>
  <si>
    <t>Tab Copper {GLO}</t>
  </si>
  <si>
    <t>3212b854-df9c-399f-a87e-708bcf6b9b7e</t>
  </si>
  <si>
    <t>Tablet, average, at plant {GLO}</t>
  </si>
  <si>
    <t>ef0274ee-89af-3f6f-8046-1c6a62ef198f</t>
  </si>
  <si>
    <t>Tailings, uranium milling {GLO}</t>
  </si>
  <si>
    <t>1dee7204-4bef-489f-ad8e-d8e2d0352214</t>
  </si>
  <si>
    <t>Takeback and recycling, c-Si PV module {RER}</t>
  </si>
  <si>
    <t>c2109eeb-18ba-4ffa-8a77-d4ece0eb316e</t>
  </si>
  <si>
    <t>Takeback and recycling, CdTe PV module {DE}</t>
  </si>
  <si>
    <t>0da72eaa-25cd-449d-a2d5-2529e402a345</t>
  </si>
  <si>
    <t>Tallow, at plant {CH}</t>
  </si>
  <si>
    <t>agricultural\animal production</t>
  </si>
  <si>
    <t>f6655fa7-785d-3dcf-8640-017969ab9db2</t>
  </si>
  <si>
    <t>4188cecc-7090-3e8b-835e-0444be56680b</t>
  </si>
  <si>
    <t>water\drinking water</t>
  </si>
  <si>
    <t>1a2f0384-d903-4f9d-8757-1e78d84366ab</t>
  </si>
  <si>
    <t>Tap water, at user {RER}</t>
  </si>
  <si>
    <t>6556440f-cd03-3975-9615-023309701fe2</t>
  </si>
  <si>
    <t>Tap water, desalinated sea water, at user {ES}</t>
  </si>
  <si>
    <t>d85cfaa8-53c9-34f1-90ee-95a3f4b2ac1a</t>
  </si>
  <si>
    <t>Tap water, unspecified natural origin CH, at user {CH}</t>
  </si>
  <si>
    <t>6a85f915-67cc-3a79-b931-9965e46f9118</t>
  </si>
  <si>
    <t>Tap water, unspecified natural origin OECD, at user {RER}</t>
  </si>
  <si>
    <t>25122461-6ad7-3043-b1e5-02e7bdb2e2a7</t>
  </si>
  <si>
    <t>Tap water, unspecified natural origin RER, at user {RER}</t>
  </si>
  <si>
    <t>b46df10f-1cc2-36da-970f-61a693f21206</t>
  </si>
  <si>
    <t>Tap water, water balance according to MoeK 2013, at user {AT}</t>
  </si>
  <si>
    <t>ac7624fb-4cfd-302b-9f6f-7b55b316ccd9</t>
  </si>
  <si>
    <t>Tap water, water balance according to MoeK 2013, at user {AU}</t>
  </si>
  <si>
    <t>27ed9513-f9b5-3f18-ab57-090b332b3457</t>
  </si>
  <si>
    <t>Tap water, water balance according to MoeK 2013, at user {BA}</t>
  </si>
  <si>
    <t>cd5ac0f6-4fa5-30f5-a8fe-0e8ba04bf635</t>
  </si>
  <si>
    <t>Tap water, water balance according to MoeK 2013, at user {BE}</t>
  </si>
  <si>
    <t>8bc90d34-7140-3113-b1c0-09c9a6331fd4</t>
  </si>
  <si>
    <t>Tap water, water balance according to MoeK 2013, at user {BR}</t>
  </si>
  <si>
    <t>eef2ffe0-f114-36b1-800b-72622ba3ff0e</t>
  </si>
  <si>
    <t>Tap water, water balance according to MoeK 2013, at user {CA}</t>
  </si>
  <si>
    <t>d489d4aa-bfb1-351c-ba93-c38b3e6dd721</t>
  </si>
  <si>
    <t>Tap water, water balance according to MoeK 2013, at user {CH}</t>
  </si>
  <si>
    <t>99a47074-0f3e-3462-80c0-69226bec1f14</t>
  </si>
  <si>
    <t>Tap water, water balance according to MoeK 2013, at user {CL}</t>
  </si>
  <si>
    <t>0b8ab67e-5181-3793-a7e8-78f3801e37ff</t>
  </si>
  <si>
    <t>Tap water, water balance according to MoeK 2013, at user {CM}</t>
  </si>
  <si>
    <t>4bb5220e-a97d-30f4-935e-8a11532f66a4</t>
  </si>
  <si>
    <t>Tap water, water balance according to MoeK 2013, at user {CN}</t>
  </si>
  <si>
    <t>90eef577-4295-3973-bb02-d53de1d200c1</t>
  </si>
  <si>
    <t>Tap water, water balance according to MoeK 2013, at user {CO}</t>
  </si>
  <si>
    <t>0285723e-046b-3910-a54d-859cfa02b937</t>
  </si>
  <si>
    <t>Tap water, water balance according to MoeK 2013, at user {CZ}</t>
  </si>
  <si>
    <t>6a83e6d5-dc0e-3213-ba77-09e962f60ab6</t>
  </si>
  <si>
    <t>Tap water, water balance according to MoeK 2013, at user {DE}</t>
  </si>
  <si>
    <t>2666ddf8-ada9-3a13-8757-79eb587ab736</t>
  </si>
  <si>
    <t>Tap water, water balance according to MoeK 2013, at user {DK}</t>
  </si>
  <si>
    <t>de265ea7-c08d-37c1-93a3-ae853aa6c438</t>
  </si>
  <si>
    <t>Tap water, water balance according to MoeK 2013, at user {ES}</t>
  </si>
  <si>
    <t>4ef90574-4897-301c-b508-c06971a48763</t>
  </si>
  <si>
    <t>Tap water, water balance according to MoeK 2013, at user {FI}</t>
  </si>
  <si>
    <t>ba61bdac-1059-3c12-bb85-c1c4d45a5cae</t>
  </si>
  <si>
    <t>Tap water, water balance according to MoeK 2013, at user {FR}</t>
  </si>
  <si>
    <t>76fb4eb5-6e41-38d2-85b2-0ccad51b610c</t>
  </si>
  <si>
    <t>Tap water, water balance according to MoeK 2013, at user {GB}</t>
  </si>
  <si>
    <t>62b1566f-e44f-3626-b4c4-68fb12dbc0d7</t>
  </si>
  <si>
    <t>Tap water, water balance according to MoeK 2013, at user {GR}</t>
  </si>
  <si>
    <t>006cd9a9-c17c-3b81-8e8a-472d9c257061</t>
  </si>
  <si>
    <t>Tap water, water balance according to MoeK 2013, at user {HR}</t>
  </si>
  <si>
    <t>4ffc0b7e-1fea-3c55-9647-86882217d1dd</t>
  </si>
  <si>
    <t>Tap water, water balance according to MoeK 2013, at user {HU}</t>
  </si>
  <si>
    <t>2d3daeba-f863-32b1-b04a-7cc2ea28c1ba</t>
  </si>
  <si>
    <t>Tap water, water balance according to MoeK 2013, at user {IE}</t>
  </si>
  <si>
    <t>daafb63e-26bd-33cb-b095-5831191dde98</t>
  </si>
  <si>
    <t>Tap water, water balance according to MoeK 2013, at user {IL}</t>
  </si>
  <si>
    <t>7af86a53-1afc-34d4-8acf-03faac13f8fb</t>
  </si>
  <si>
    <t>Tap water, water balance according to MoeK 2013, at user {IN}</t>
  </si>
  <si>
    <t>f2371b33-ce82-3dc6-adf3-e16b1a5e5b5b</t>
  </si>
  <si>
    <t>Tap water, water balance according to MoeK 2013, at user {IT}</t>
  </si>
  <si>
    <t>190114b4-acfb-3b08-9321-d6262c06ff2d</t>
  </si>
  <si>
    <t>Tap water, water balance according to MoeK 2013, at user {JP}</t>
  </si>
  <si>
    <t>da7bedc1-fb15-36d8-beb0-d889292fd179</t>
  </si>
  <si>
    <t>Tap water, water balance according to MoeK 2013, at user {KR}</t>
  </si>
  <si>
    <t>c0c6c990-c209-3774-bc5b-d7aef03f4fed</t>
  </si>
  <si>
    <t>Tap water, water balance according to MoeK 2013, at user {LU}</t>
  </si>
  <si>
    <t>4ad74d58-fc70-32b5-aaad-7ac8381b05ed</t>
  </si>
  <si>
    <t>Tap water, water balance according to MoeK 2013, at user {MA}</t>
  </si>
  <si>
    <t>65623503-525b-3f2d-a69f-97f5f1fca86f</t>
  </si>
  <si>
    <t>Tap water, water balance according to MoeK 2013, at user {MK}</t>
  </si>
  <si>
    <t>5cd0824f-83b5-396a-91d2-4961a1c9980a</t>
  </si>
  <si>
    <t>Tap water, water balance according to MoeK 2013, at user {MX}</t>
  </si>
  <si>
    <t>a468a961-9732-3d6f-8053-d229293dba3d</t>
  </si>
  <si>
    <t>Tap water, water balance according to MoeK 2013, at user {MY}</t>
  </si>
  <si>
    <t>048bdd3b-f479-38f1-a19c-16f41f7e851d</t>
  </si>
  <si>
    <t>Tap water, water balance according to MoeK 2013, at user {NL}</t>
  </si>
  <si>
    <t>004b9a7f-78f5-3b04-aae0-6f9533412cb7</t>
  </si>
  <si>
    <t>Tap water, water balance according to MoeK 2013, at user {NO}</t>
  </si>
  <si>
    <t>6ed9de90-cee8-34c3-8d25-e0c0969d6c84</t>
  </si>
  <si>
    <t>Tap water, water balance according to MoeK 2013, at user {NZ}</t>
  </si>
  <si>
    <t>6ed981f5-fdd1-3b96-82ab-89c060b9517a</t>
  </si>
  <si>
    <t>Tap water, water balance according to MoeK 2013, at user {PL}</t>
  </si>
  <si>
    <t>37f67f82-1591-3f97-9ab3-e09e88ad5cf5</t>
  </si>
  <si>
    <t>Tap water, water balance according to MoeK 2013, at user {PT}</t>
  </si>
  <si>
    <t>f83ee1b3-a73f-3df1-b17f-63cf5ab1d382</t>
  </si>
  <si>
    <t>Tap water, water balance according to MoeK 2013, at user {RER}</t>
  </si>
  <si>
    <t>ec7014f6-0a7f-3b7a-b1ca-d65875603fe7</t>
  </si>
  <si>
    <t>Tap water, water balance according to MoeK 2013, at user {RS}</t>
  </si>
  <si>
    <t>38a34b37-be96-32eb-ab3c-e4bc0a9c2190</t>
  </si>
  <si>
    <t>Tap water, water balance according to MoeK 2013, at user {RU}</t>
  </si>
  <si>
    <t>e0f18ddf-f79f-3b0a-9cd6-ec050969dfaf</t>
  </si>
  <si>
    <t>Tap water, water balance according to MoeK 2013, at user {SE}</t>
  </si>
  <si>
    <t>a90fb2ea-53f7-39fb-9264-4b8d3be2887c</t>
  </si>
  <si>
    <t>Tap water, water balance according to MoeK 2013, at user {SI}</t>
  </si>
  <si>
    <t>3ccac543-5714-3e57-adc4-75877503241f</t>
  </si>
  <si>
    <t>Tap water, water balance according to MoeK 2013, at user {SK}</t>
  </si>
  <si>
    <t>49e08309-4a5c-39cc-aa13-b9510d30c199</t>
  </si>
  <si>
    <t>Tap water, water balance according to MoeK 2013, at user {TH}</t>
  </si>
  <si>
    <t>9a3e9586-6708-3324-89dd-835ad4820ef5</t>
  </si>
  <si>
    <t>Tap water, water balance according to MoeK 2013, at user {TR}</t>
  </si>
  <si>
    <t>eb2d9f9e-3300-3104-9f59-d2fa01aab557</t>
  </si>
  <si>
    <t>Tap water, water balance according to MoeK 2013, at user {UA}</t>
  </si>
  <si>
    <t>5dc04833-232c-3087-a2ee-4c8a2b3da91d</t>
  </si>
  <si>
    <t>Tap water, water balance according to MoeK 2013, at user {US}</t>
  </si>
  <si>
    <t>d7ba314e-ac57-3b74-b6bd-17e4db3647f7</t>
  </si>
  <si>
    <t>Tap water, water balance according to MoeK 2013, at user {ZA}</t>
  </si>
  <si>
    <t>fda71a0e-694d-3f13-bb92-371df67f4dd1</t>
  </si>
  <si>
    <t>Tar, at coke plant {GLO}</t>
  </si>
  <si>
    <t>675c0088-0348-3c22-b08d-0a67a01ae374</t>
  </si>
  <si>
    <t>Technical wood drying, infrastructure {RER}</t>
  </si>
  <si>
    <t>6af61017-3945-3789-be63-c211159170a9</t>
  </si>
  <si>
    <t>Tellurium, semiconductor-grade, at plant {GLO}</t>
  </si>
  <si>
    <t>fedd6220-a891-3a5c-801b-8a254383130b</t>
  </si>
  <si>
    <t>Tempering, flat glass {CH}</t>
  </si>
  <si>
    <t>5d012d6d-3f66-300a-8388-0e4d3180be2c</t>
  </si>
  <si>
    <t>Tempering, flat glass {RER}</t>
  </si>
  <si>
    <t>4bf4e6d8-2c49-3042-956a-5778edad98c8</t>
  </si>
  <si>
    <t>Terrain chipper on forwarder, at plant {RER}</t>
  </si>
  <si>
    <t>97679c9b-370b-3b76-8646-97b46012cfc0</t>
  </si>
  <si>
    <t>Tetrachloroethylene, at plant {WEU}</t>
  </si>
  <si>
    <t>4cad79ab-f140-35b7-a82d-bcbddc19cae9</t>
  </si>
  <si>
    <t>Tetrachlorosilane, at plant {GLO}</t>
  </si>
  <si>
    <t>333313e8-935b-3eed-ad6c-863f84a6d7ac</t>
  </si>
  <si>
    <t>Tetraethylorthosilicat {RER}</t>
  </si>
  <si>
    <t>2790469b-b10e-3338-8f66-20fefaa4119b</t>
  </si>
  <si>
    <t>Tetrafluoroethylene film, on glass {RER}</t>
  </si>
  <si>
    <t>7065b77a-8ee3-3f18-aa39-6f21c21841d0</t>
  </si>
  <si>
    <t>b2b1b3c4-4243-3501-acbe-746542d04885</t>
  </si>
  <si>
    <t>Tetrahydrofuran, at plant {RER}</t>
  </si>
  <si>
    <t>415be480-7d95-305d-9f33-814c22d6cc14</t>
  </si>
  <si>
    <t>Textile refinement, cotton {GLO}</t>
  </si>
  <si>
    <t>textiles\unspecified</t>
  </si>
  <si>
    <t>bb6b7bb1-8dd1-353d-8776-d1f8853d82e9</t>
  </si>
  <si>
    <t>a35f2223-8126-3292-a0eb-2235039b0475</t>
  </si>
  <si>
    <t>Thermal insulation plaster EPS, at plant {CH}</t>
  </si>
  <si>
    <t>a4f6eaf5-cdbb-39d5-9c4d-a4006b31b759</t>
  </si>
  <si>
    <t>Thermal insulation plaster EPS, matured {CH}</t>
  </si>
  <si>
    <t>0ce8451f-514f-3a06-b482-8d54a8468f24</t>
  </si>
  <si>
    <t>Thermal insulation, 100mm, 40kg/m3, alumium cladding, at plant {CH}</t>
  </si>
  <si>
    <t>e1600206-442c-3156-a6a4-3b6ba1f24a8d</t>
  </si>
  <si>
    <t>Thermal insulation, 100mm, 40kg/m3, reinforced alumium foil, at plant {CH}</t>
  </si>
  <si>
    <t>7e2c703d-d90b-39ca-8787-37d52066d5f9</t>
  </si>
  <si>
    <t>Thermal insulation, 100mm, 40kg/m3, stainless steel cladding, at plant {CH}</t>
  </si>
  <si>
    <t>497ff1a8-edd3-3e78-ac78-31d6e587e728</t>
  </si>
  <si>
    <t>Thermal insulation, 30mm, 40kg/m3, alumium cladding, at plant {CH}</t>
  </si>
  <si>
    <t>1d6f8a5f-17ca-36a6-83f4-6f37d0258650</t>
  </si>
  <si>
    <t>Thermal insulation, 30mm, 40kg/m3, reinforced alumium foil, at plant {CH}</t>
  </si>
  <si>
    <t>aebdc9a0-67a1-3941-be80-b8e5f6815b3f</t>
  </si>
  <si>
    <t>Thermal insulation, 30mm, 40kg/m3, stainless steel cladding, at plant {CH}</t>
  </si>
  <si>
    <t>70404ccb-65d3-38fe-ac5d-1ae31041f4a2</t>
  </si>
  <si>
    <t>Thermal insulation, 60mm, 40kg/m3, alumium cladding, at plant {CH}</t>
  </si>
  <si>
    <t>7a386297-ee34-3a86-a8c3-7076eabc80eb</t>
  </si>
  <si>
    <t>Thermal insulation, 60mm, 40kg/m3, reinforced alumium foil, at plant {CH}</t>
  </si>
  <si>
    <t>a757c6a8-b485-37d4-b87f-8954763d6cdc</t>
  </si>
  <si>
    <t>Thermal insulation, 60mm, 40kg/m3, stainless steel cladding, at plant {CH}</t>
  </si>
  <si>
    <t>8e409ab1-457a-310e-b932-902ad29ee092</t>
  </si>
  <si>
    <t>Thermal pad {GLO}</t>
  </si>
  <si>
    <t>45f5df54-ea32-37e2-8b10-79ee128a239d</t>
  </si>
  <si>
    <t>Thermo-mechanical pulp, at plant {RER}</t>
  </si>
  <si>
    <t>777dc780-a286-3431-bc22-ea49f25c253a</t>
  </si>
  <si>
    <t>Thermoforming, with calendering {RER}</t>
  </si>
  <si>
    <t>1ffa6ab5-c407-3f6b-af05-50054a391ca9</t>
  </si>
  <si>
    <t>Thomas meal, as P2O5, at regional storehouse {RER}</t>
  </si>
  <si>
    <t>6fb9d6e8-b9cf-3820-a5f2-3b9b60e22614</t>
  </si>
  <si>
    <t>Three- and five-layered board, at plant {RER}</t>
  </si>
  <si>
    <t>39eee021-0736-3bf2-a904-fbf9678cf59b</t>
  </si>
  <si>
    <t>Three and five layered board production, at regional storage {CH}</t>
  </si>
  <si>
    <t>9cd2322b-b414-3207-9a77-f8663df6cb86</t>
  </si>
  <si>
    <t>Three and five layered board production, at regional storage, with resource correction {CH}</t>
  </si>
  <si>
    <t>22426aa8-e611-3556-820c-2626fda6cfa9</t>
  </si>
  <si>
    <t>Tie-rods {GLO}</t>
  </si>
  <si>
    <t>5313798f-1bac-377a-ad1c-b447db34399f</t>
  </si>
  <si>
    <t>Tied housing system, cattle {CH}</t>
  </si>
  <si>
    <t>7900096b-d742-3373-a7c2-e37058da6176</t>
  </si>
  <si>
    <t>Tied housing system, cattle, operation {CH}</t>
  </si>
  <si>
    <t>936a891c-39d0-3a44-83f7-de215d4c30c4</t>
  </si>
  <si>
    <t>Tillage, cultivating, chiselling {CH}</t>
  </si>
  <si>
    <t>aecf467b-0f2d-37fb-8114-db986b9d2d68</t>
  </si>
  <si>
    <t>Tillage, currying, by weeder {CH}</t>
  </si>
  <si>
    <t>138b00f6-03f8-32f1-8e04-e8eb396812ff</t>
  </si>
  <si>
    <t>Tillage, harrowing, by rotary harrow {CH}</t>
  </si>
  <si>
    <t>5f4d3df9-b9fc-39e7-9b07-e8fae80dfa1a</t>
  </si>
  <si>
    <t>Tillage, harrowing, by spring tine harrow {CH}</t>
  </si>
  <si>
    <t>1956d802-1be3-3c15-9165-ec9d94ac45d6</t>
  </si>
  <si>
    <t>Tillage, hoeing and earthing-up, potatoes {CH}</t>
  </si>
  <si>
    <t>b951dd3a-e100-3ba3-b9c8-2bd23c35e1da</t>
  </si>
  <si>
    <t>Tillage, ploughing {CH}</t>
  </si>
  <si>
    <t>36638b0b-18c3-37ec-9c65-57acbdefaba1</t>
  </si>
  <si>
    <t>Tillage, rolling {CH}</t>
  </si>
  <si>
    <t>6a153cf5-794d-3578-a789-a6d732bb1551</t>
  </si>
  <si>
    <t>Tin plated chromium steel sheet, 2 mm, at plant {RER}</t>
  </si>
  <si>
    <t>ecb3845d-4193-3f4d-bd2b-e2c2187ea668</t>
  </si>
  <si>
    <t>Tin plating, pieces {RER}</t>
  </si>
  <si>
    <t>06bdff48-4869-3a2a-bea8-99998ef137cc</t>
  </si>
  <si>
    <t>128906db-c099-3e6a-806c-83b9fb5b86f5</t>
  </si>
  <si>
    <t>Tires and wheels, for lorry {RER}</t>
  </si>
  <si>
    <t>a078655e-3ea0-3e1c-9cab-121f8dd2b75a</t>
  </si>
  <si>
    <t>Titanium dioxide at plant, sulphate process, at plant {RER}</t>
  </si>
  <si>
    <t>f29ea928-dad4-33fe-ac09-33391c25e0ae</t>
  </si>
  <si>
    <t>Titanium dioxide, chloride process, at plant {RER}</t>
  </si>
  <si>
    <t>bc92bf5a-94f5-3d3c-865f-278a6ba99440</t>
  </si>
  <si>
    <t>3cfb89cf-7f5e-349d-a0b2-9cae06915f41</t>
  </si>
  <si>
    <t>726a8d07-564c-34eb-aae9-ad3d4aae3626</t>
  </si>
  <si>
    <t>Titanium zinc plate, without pre-weathering, at plant, with resource correction {CH}</t>
  </si>
  <si>
    <t>354abf70-665e-391d-bfd9-9b79a2da8562</t>
  </si>
  <si>
    <t>Toluene diisocyanate, at plant {RER}</t>
  </si>
  <si>
    <t>350909e9-9a74-33ff-a033-7d15c95e97dc</t>
  </si>
  <si>
    <t>1f6091b0-b8fd-3f54-b98b-dbfa5490e46a</t>
  </si>
  <si>
    <t>Tomato, seedling, conventional, soilless production, at production site {RER}</t>
  </si>
  <si>
    <t>9addb732-e156-3c62-bb11-8962826c9afb</t>
  </si>
  <si>
    <t>Tomatoes conventional, hors-sol heated, at greenhouse, early harvest {CH}</t>
  </si>
  <si>
    <t>0d370e65-6c9a-3855-a715-953b8cab2e75</t>
  </si>
  <si>
    <t>Tomatoes conventional, hors-sol heated, at greenhouse, late harvest {CH}</t>
  </si>
  <si>
    <t>3c0a4398-92c4-3e59-8b1d-f9a871df2f89</t>
  </si>
  <si>
    <t>Tomatoes conventional, hors-sol, at greenhouse {ES}</t>
  </si>
  <si>
    <t>67829cd7-53f8-3b8c-acd5-5d441d8eeae3</t>
  </si>
  <si>
    <t>Tomatoes organic, tunnel, at farm {CH}</t>
  </si>
  <si>
    <t>cacb15b4-ed78-3186-9882-66696a7cb3b8</t>
  </si>
  <si>
    <t>Toner module, laser jet, b/w, at plant {GLO}</t>
  </si>
  <si>
    <t>fcf9b068-15f2-351a-8f95-b8542a0130c0</t>
  </si>
  <si>
    <t>Toner module, laser jet, colour, at plant {GLO}</t>
  </si>
  <si>
    <t>242fdbc5-9668-38d5-baf6-8ac6eee244b3</t>
  </si>
  <si>
    <t>Toner, black, powder, at plant {GLO}</t>
  </si>
  <si>
    <t>8c99bc86-7d31-3420-ae22-0ddc22ca93fd</t>
  </si>
  <si>
    <t>Toner, black, used for printing, at user {GLO}</t>
  </si>
  <si>
    <t>3e580b2c-0148-3331-bf25-621aa748a235</t>
  </si>
  <si>
    <t>ced975cb-4c3d-3304-90f2-05e2c921a993</t>
  </si>
  <si>
    <t>Toner, colour, used for printing, at user {GLO}</t>
  </si>
  <si>
    <t>52611d3e-8761-392a-b39c-d993360d2208</t>
  </si>
  <si>
    <t>Tower server, at data center {GLO}</t>
  </si>
  <si>
    <t>2de839ed-bb09-3ac8-942c-264aa5a5075c</t>
  </si>
  <si>
    <t>Tower silo, plastic {CH}</t>
  </si>
  <si>
    <t>f58ea05a-e822-38bf-ad61-d15fae7c4c7b</t>
  </si>
  <si>
    <t>Track bed {CH}</t>
  </si>
  <si>
    <t>07f579e1-e872-3f0f-84f4-b5e027cdaf9d</t>
  </si>
  <si>
    <t>Traction power system, single track {CH}</t>
  </si>
  <si>
    <t>01f0338d-f68b-3566-ad11-aec65c82c85d</t>
  </si>
  <si>
    <t>Tractor, production {CH}</t>
  </si>
  <si>
    <t>aef9ae52-826f-3b23-b03b-153a98e74754</t>
  </si>
  <si>
    <t>Trailer, production {CH}</t>
  </si>
  <si>
    <t>d8305ef2-3257-3ec6-a23f-87c8e1554b4e</t>
  </si>
  <si>
    <t>Tram {RER}</t>
  </si>
  <si>
    <t>81d51c67-8c29-375d-8674-e68a1de5d9b0</t>
  </si>
  <si>
    <t>Tram track {CH}</t>
  </si>
  <si>
    <t>993bcdfa-bbb9-3305-9360-da69b0f628c6</t>
  </si>
  <si>
    <t>Tram, electric, 2020 {CH}</t>
  </si>
  <si>
    <t>222ecd07-9be7-3dda-8ac7-184c5e8a54d6</t>
  </si>
  <si>
    <t>Transformer and rectifier unit, for electrolyzer {GLO}</t>
  </si>
  <si>
    <t>63862eb2-d3be-3e34-ac81-ddbc69309cb4</t>
  </si>
  <si>
    <t>Transformer, high voltage use, at plant {GLO}</t>
  </si>
  <si>
    <t>92f3d203-3b2b-3ba5-bd27-f23f85544fbf</t>
  </si>
  <si>
    <t>Transformer, low voltage use, at plant {GLO}</t>
  </si>
  <si>
    <t>3252ee98-dbf7-31ff-820c-b6e96e9740c9</t>
  </si>
  <si>
    <t>Transformers {RER}</t>
  </si>
  <si>
    <t>67af7918-af30-3073-bf17-f1b0554cd6ca</t>
  </si>
  <si>
    <t>Transistor, SMD type, surface mounting, at plant {GLO}</t>
  </si>
  <si>
    <t>9d62b567-b9f3-3a4d-acb0-9218c33a88ce</t>
  </si>
  <si>
    <t>Transistor, unspecified, at plant {GLO}</t>
  </si>
  <si>
    <t>13a6dba9-e6bd-3cba-b793-209c64f1e5c9</t>
  </si>
  <si>
    <t>Transistor, wired, big size, through-hole mounting, at plant {GLO}</t>
  </si>
  <si>
    <t>39d634a7-2551-303e-9acb-bebc166d1097</t>
  </si>
  <si>
    <t>Transistor, wired, small size, through-hole mounting, at plant {GLO}</t>
  </si>
  <si>
    <t>a6f792c0-65b3-3ce0-afc5-cb361ae10315</t>
  </si>
  <si>
    <t>Transmission network, electricity, high voltage {CH}</t>
  </si>
  <si>
    <t>e7e9db93-52f6-38b8-98bc-7f18399579ea</t>
  </si>
  <si>
    <t>Transmission network, electricity, medium voltage {CH}</t>
  </si>
  <si>
    <t>06d98654-745e-3a79-90f8-65d2aeb01ac3</t>
  </si>
  <si>
    <t>Transmission network, long-distance {UCTE}</t>
  </si>
  <si>
    <t>68b7a5a2-1a26-31ce-b5c7-96f40871bd0f</t>
  </si>
  <si>
    <t>Transmission, for lorry {RER}</t>
  </si>
  <si>
    <t>02e77524-3d40-329e-8624-79dac23e8ce9</t>
  </si>
  <si>
    <t>Transoceanic freight ship {OCE}</t>
  </si>
  <si>
    <t>05074e10-3d3d-30e2-86f9-938244496b81</t>
  </si>
  <si>
    <t>Transoceanic tanker {OCE}</t>
  </si>
  <si>
    <t>e3295993-ec4e-34be-9171-06906c6390d1</t>
  </si>
  <si>
    <t>Transport, aircraft, freight {RER}</t>
  </si>
  <si>
    <t>12b944e5-879f-39b0-855a-b2b53e4c404b</t>
  </si>
  <si>
    <t>Transport, aircraft, freight, Betrieb {RER}</t>
  </si>
  <si>
    <t>2c68ca3e-1097-36c2-8088-485ef8e23aff</t>
  </si>
  <si>
    <t>Transport, aircraft, freight, Fahrzeug {RER}</t>
  </si>
  <si>
    <t>ddd80c14-d197-3915-88b6-3fe5cfda8aab</t>
  </si>
  <si>
    <t>Transport, aircraft, freight, Infrastruktur {RER}</t>
  </si>
  <si>
    <t>7ff2e8e0-a926-317f-b4e8-916eef61de7b</t>
  </si>
  <si>
    <t>Transport, aircraft, freight, long-haul {RER}</t>
  </si>
  <si>
    <t>92e77059-9a31-310d-907c-d01f6b236b87</t>
  </si>
  <si>
    <t>Transport, aircraft, freight, long-haul, Betrieb {RER}</t>
  </si>
  <si>
    <t>1ee537df-3efd-36ed-b0f9-c47f81cea60f</t>
  </si>
  <si>
    <t>Transport, aircraft, freight, long-haul, Fahrzeug {RER}</t>
  </si>
  <si>
    <t>dcd62afe-d9e7-3b02-9403-23c1934a2adf</t>
  </si>
  <si>
    <t>Transport, aircraft, freight, long-haul, Infrastruktur {RER}</t>
  </si>
  <si>
    <t>da0f6e45-5252-31db-b88a-b5ee05d69eef</t>
  </si>
  <si>
    <t>Transport, aircraft, freight, medium-haul {RER}</t>
  </si>
  <si>
    <t>1313d894-5c0a-38cd-b06c-fcce93e52cf9</t>
  </si>
  <si>
    <t>Transport, aircraft, freight, medium-haul, Betrieb {RER}</t>
  </si>
  <si>
    <t>eab860e5-9931-3341-8ecc-9f7a8d1a43e8</t>
  </si>
  <si>
    <t>Transport, aircraft, freight, medium-haul, Fahrzeug {RER}</t>
  </si>
  <si>
    <t>88cc5cd6-c31b-371b-ace4-ab63e20b5eec</t>
  </si>
  <si>
    <t>Transport, aircraft, freight, medium-haul, Infrastruktur {RER}</t>
  </si>
  <si>
    <t>42114e7a-8a74-3198-9986-a22317ade16c</t>
  </si>
  <si>
    <t>Transport, aircraft, freight, short-haul {RER}</t>
  </si>
  <si>
    <t>5e585b31-5882-3794-b763-f87f295425ae</t>
  </si>
  <si>
    <t>Transport, aircraft, freight, short-haul, Betrieb {RER}</t>
  </si>
  <si>
    <t>58b89551-b63f-3b44-9556-9c44605b8f8b</t>
  </si>
  <si>
    <t>Transport, aircraft, freight, short-haul, Fahrzeug {RER}</t>
  </si>
  <si>
    <t>1cd58076-395d-3521-a31e-bc163ec03c22</t>
  </si>
  <si>
    <t>Transport, aircraft, freight, short-haul, Infrastruktur {RER}</t>
  </si>
  <si>
    <t>7abb2ff6-a1ef-3fe1-bd33-18258a7d745a</t>
  </si>
  <si>
    <t>Transport, aircraft, passenger {RER}</t>
  </si>
  <si>
    <t>ef9a99d2-5713-3a6f-9ca6-d15cc615dfd6</t>
  </si>
  <si>
    <t>Transport, aircraft, passenger, Betrieb {RER}</t>
  </si>
  <si>
    <t>39e0f880-da1b-3c72-a8e4-e1fffe53696f</t>
  </si>
  <si>
    <t>Transport, aircraft, passenger, Fahrzeug {RER}</t>
  </si>
  <si>
    <t>eba306f8-a177-3b9a-87b6-9e14cf7d2907</t>
  </si>
  <si>
    <t>Transport, aircraft, passenger, Infrastruktur {RER}</t>
  </si>
  <si>
    <t>transport systems\civil engineering_transport</t>
  </si>
  <si>
    <t>a1a0ff26-9316-3ac8-be68-8612bb6c95a1</t>
  </si>
  <si>
    <t>Transport, aircraft, passenger, long-haul {RER}</t>
  </si>
  <si>
    <t>aa0b6697-350a-3d7b-a96c-1ccad02c7098</t>
  </si>
  <si>
    <t>Transport, aircraft, passenger, long-haul, Betrieb {RER}</t>
  </si>
  <si>
    <t>865f99a4-69de-3a71-af8a-94d8900f4eb4</t>
  </si>
  <si>
    <t>Transport, aircraft, passenger, long-haul, business {RER}</t>
  </si>
  <si>
    <t>dcee8301-cfd0-3290-9ca8-657140d6b036</t>
  </si>
  <si>
    <t>Transport, aircraft, passenger, long-haul, economy {RER}</t>
  </si>
  <si>
    <t>53307b2b-9f71-3f7c-a188-f0301a25e286</t>
  </si>
  <si>
    <t>Transport, aircraft, passenger, long-haul, Fahrzeug {RER}</t>
  </si>
  <si>
    <t>1f377869-a5bc-3074-bbfe-30efb1ab4f76</t>
  </si>
  <si>
    <t>Transport, aircraft, passenger, long-haul, first {RER}</t>
  </si>
  <si>
    <t>6bfefdb1-3c9b-30b4-a2ed-75ce71a04a8c</t>
  </si>
  <si>
    <t>Transport, aircraft, passenger, long-haul, Infrastruktur {RER}</t>
  </si>
  <si>
    <t>8ddc8d90-0dd4-3cca-9464-3a17a800cb5c</t>
  </si>
  <si>
    <t>Transport, aircraft, passenger, medium-haul {RER}</t>
  </si>
  <si>
    <t>b8bbb37d-b433-3a48-986e-965c43f11911</t>
  </si>
  <si>
    <t>Transport, aircraft, passenger, medium-haul, Betrieb {RER}</t>
  </si>
  <si>
    <t>ef503551-6c2f-3ed6-8dff-d012e8f1d80b</t>
  </si>
  <si>
    <t>Transport, aircraft, passenger, medium-haul, business {RER}</t>
  </si>
  <si>
    <t>f858d9f9-ba49-3204-8fc7-2f7c6f2af300</t>
  </si>
  <si>
    <t>Transport, aircraft, passenger, medium-haul, economy {RER}</t>
  </si>
  <si>
    <t>e7420ba8-1cf0-3ca5-96f3-d519cf85d627</t>
  </si>
  <si>
    <t>Transport, aircraft, passenger, medium-haul, Fahrzeug {RER}</t>
  </si>
  <si>
    <t>c6a073da-2db2-3842-a925-3fbecba3d12a</t>
  </si>
  <si>
    <t>Transport, aircraft, passenger, medium-haul, Infrastruktur {RER}</t>
  </si>
  <si>
    <t>7d496217-9418-363b-8e0b-2f9763a0e951</t>
  </si>
  <si>
    <t>Transport, aircraft, passenger, short-haul {RER}</t>
  </si>
  <si>
    <t>b524e42e-3e07-385e-aeaf-c39d02290bc0</t>
  </si>
  <si>
    <t>Transport, aircraft, passenger, short-haul, Betrieb {RER}</t>
  </si>
  <si>
    <t>2461e435-2781-34a0-b36e-6d1a719bb1c8</t>
  </si>
  <si>
    <t>Transport, aircraft, passenger, short-haul, business {RER}</t>
  </si>
  <si>
    <t>a1f71f40-3604-3b33-a9cf-313b415bb890</t>
  </si>
  <si>
    <t>Transport, aircraft, passenger, short-haul, economy {RER}</t>
  </si>
  <si>
    <t>34529745-65f4-3176-9ae5-216871d0ea25</t>
  </si>
  <si>
    <t>Transport, aircraft, passenger, short-haul, Fahrzeug {RER}</t>
  </si>
  <si>
    <t>962b7592-dd3f-3f58-8cc4-50bd16e2f27b</t>
  </si>
  <si>
    <t>Transport, aircraft, passenger, short-haul, Infrastruktur {RER}</t>
  </si>
  <si>
    <t>e0d5240a-97a4-3862-8299-3db5a2ca84ce</t>
  </si>
  <si>
    <t>Transport, average train {AT}</t>
  </si>
  <si>
    <t>302f6408-2ac8-379c-b5c4-aa844b95b1fa</t>
  </si>
  <si>
    <t>Transport, average train {DE}</t>
  </si>
  <si>
    <t>f6889186-6bed-3277-99b8-19d1eadf27d1</t>
  </si>
  <si>
    <t>Transport, average train {FR}</t>
  </si>
  <si>
    <t>56daf27c-d020-3f87-a94d-c3d5ef8983d0</t>
  </si>
  <si>
    <t>Transport, average train {IT}</t>
  </si>
  <si>
    <t>12b88b32-2331-388d-a693-adb5a7933ab2</t>
  </si>
  <si>
    <t>Transport, average train, SBB mix {CH}</t>
  </si>
  <si>
    <t>fc0800d8-7d2c-3d37-bcdc-34fc76b7b658</t>
  </si>
  <si>
    <t>Transport, barge {RER}</t>
  </si>
  <si>
    <t>transport systems\ship</t>
  </si>
  <si>
    <t>2e1b341b-71fa-337b-8343-f406a400b09b</t>
  </si>
  <si>
    <t>Transport, barge tanker {RER}</t>
  </si>
  <si>
    <t>9ff39b71-5d21-3756-85b8-76a08a064a12</t>
  </si>
  <si>
    <t>Transport, barge, Betrieb {RER}</t>
  </si>
  <si>
    <t>b47e600a-0710-3c07-b24d-546c8dcf2bcf</t>
  </si>
  <si>
    <t>Transport, barge, Fahrzeug {RER}</t>
  </si>
  <si>
    <t>bc86dd57-602b-3d2e-a401-d5beae8da1ca</t>
  </si>
  <si>
    <t>Transport, barge, Infrastruktur {RER}</t>
  </si>
  <si>
    <t>59e88921-a7a0-3702-bd7a-6228e96a701f</t>
  </si>
  <si>
    <t>Transport, Bicycle, conventional, urban, 2020 {CH}</t>
  </si>
  <si>
    <t>transport systems\road\Transformation</t>
  </si>
  <si>
    <t>3fb57675-27c0-3847-bf71-c4c72e112f90</t>
  </si>
  <si>
    <t>Transport, Bicycle, electric (&lt;25 km/h), LFP battery, 2020 {CH}</t>
  </si>
  <si>
    <t>19dfe745-ebcd-3b37-a4f5-0bb282cdcfbc</t>
  </si>
  <si>
    <t>Transport, Bicycle, electric (&lt;25 km/h), LFP battery, 2020, label-certified electricity {CH}</t>
  </si>
  <si>
    <t>5b64d8d0-b25e-3c25-9da1-0a4f02092083</t>
  </si>
  <si>
    <t>Transport, Bicycle, electric (&lt;25 km/h), NCA battery, 2020 {CH}</t>
  </si>
  <si>
    <t>db4cfa67-f70b-3b5b-86e6-cc4321b02fe9</t>
  </si>
  <si>
    <t>Transport, Bicycle, electric (&lt;25 km/h), NCA battery, 2020, label-certified electricity {CH}</t>
  </si>
  <si>
    <t>ee4d4391-1562-3d61-93f4-e103531881ed</t>
  </si>
  <si>
    <t>Transport, Bicycle, electric (&lt;25 km/h), NMC battery, 2020 {CH}</t>
  </si>
  <si>
    <t>4d677321-4458-3bf2-9dae-0e7bb942ba51</t>
  </si>
  <si>
    <t>Transport, Bicycle, electric (&lt;25 km/h), NMC battery, 2020, label-certified electricity {CH}</t>
  </si>
  <si>
    <t>9974c90e-9a34-31f7-bd75-5617eb7ce3d7</t>
  </si>
  <si>
    <t>Transport, Bicycle, electric (&lt;45 km/h), LFP battery, 2020 {CH}</t>
  </si>
  <si>
    <t>73d18f20-6866-3ccf-91aa-f2d12b52a9bf</t>
  </si>
  <si>
    <t>Transport, Bicycle, electric (&lt;45 km/h), LFP battery, 2020, label-certified electricity {CH}</t>
  </si>
  <si>
    <t>448cf0a0-5d61-3d88-bfe0-368716022f8c</t>
  </si>
  <si>
    <t>Transport, Bicycle, electric (&lt;45 km/h), NCA battery, 2020 {CH}</t>
  </si>
  <si>
    <t>289d17e0-e713-3cce-8d39-4d593993d214</t>
  </si>
  <si>
    <t>Transport, Bicycle, electric (&lt;45 km/h), NCA battery, 2020, label-certified electricity {CH}</t>
  </si>
  <si>
    <t>a1431887-c244-33d9-92cb-b93dd8e1e4b9</t>
  </si>
  <si>
    <t>Transport, Bicycle, electric (&lt;45 km/h), NMC battery, 2020 {CH}</t>
  </si>
  <si>
    <t>2b7f0914-7367-3318-8c8d-f4b5f3097b54</t>
  </si>
  <si>
    <t>Transport, Bicycle, electric (&lt;45 km/h), NMC battery, 2020, label-certified electricity {CH}</t>
  </si>
  <si>
    <t>d4ac4bbc-c39c-3030-8867-9416a87eb123</t>
  </si>
  <si>
    <t>Transport, Bicycle, electric, cargo bike, LFP battery, 2020 {CH}</t>
  </si>
  <si>
    <t>e9b247b3-3807-3700-b1f5-fb937b4e55ae</t>
  </si>
  <si>
    <t>Transport, Bicycle, electric, cargo bike, LFP battery, 2020, label-certified electricity {CH}</t>
  </si>
  <si>
    <t>fb12302e-f36f-36ee-8f8c-25b6a0a15128</t>
  </si>
  <si>
    <t>Transport, Bicycle, electric, cargo bike, NCA battery, 2020 {CH}</t>
  </si>
  <si>
    <t>76f17dea-d572-3859-bedb-373cee3765f4</t>
  </si>
  <si>
    <t>Transport, Bicycle, electric, cargo bike, NCA battery, 2020, label-certified electricity {CH}</t>
  </si>
  <si>
    <t>f6795f85-1b4c-3166-9c27-f2f391f12c2b</t>
  </si>
  <si>
    <t>Transport, Bicycle, electric, cargo bike, NMC battery, 2020 {CH}</t>
  </si>
  <si>
    <t>2a252652-d259-345d-8618-a77131d17eed</t>
  </si>
  <si>
    <t>Transport, Bicycle, electric, cargo bike, NMC battery, 2020, label-certified electricity {CH}</t>
  </si>
  <si>
    <t>c3907379-d051-30a1-9abd-3988dd9c86e5</t>
  </si>
  <si>
    <t>Transport, coal freight, rail {CN}</t>
  </si>
  <si>
    <t>transport systems\train\unspecified</t>
  </si>
  <si>
    <t>82abe50c-cd9c-362b-82e4-6b5c3395677d</t>
  </si>
  <si>
    <t>Transport, crude oil pipeline, offshore {OCE}</t>
  </si>
  <si>
    <t>3b5d0e0e-1faa-34c9-877c-7cc151076ef8</t>
  </si>
  <si>
    <t>Transport, crude oil pipeline, onshore {RER}</t>
  </si>
  <si>
    <t>3f3618e5-c52b-3a7e-8b59-81972146a159</t>
  </si>
  <si>
    <t>Transport, district heat, average {CH}</t>
  </si>
  <si>
    <t>transport systems\district heat</t>
  </si>
  <si>
    <t>7940d64f-9c6b-3a93-8955-811533ded804</t>
  </si>
  <si>
    <t>Transport, district heat, large area network, for hot water {CH}</t>
  </si>
  <si>
    <t>ad8e6ef1-c36b-3cd8-a3d7-21ae34ecfd20</t>
  </si>
  <si>
    <t>Transport, district heat, large area network, for warm water {CH}</t>
  </si>
  <si>
    <t>8a0204cf-b7ec-38ce-9a9c-444a7f60b1ec</t>
  </si>
  <si>
    <t>Transport, freight helicopter, single-engine {CH}</t>
  </si>
  <si>
    <t>transport systems\helicopter</t>
  </si>
  <si>
    <t>487072ec-6943-3a4e-9fcd-a2339df3b6ec</t>
  </si>
  <si>
    <t>Transport, freight helicopter, single-engine, Betrieb {CH}</t>
  </si>
  <si>
    <t>62060214-4151-3278-b116-1dc7f7812ef5</t>
  </si>
  <si>
    <t>Transport, freight helicopter, single-engine, Fahrzeug {CH}</t>
  </si>
  <si>
    <t>35c2c84d-ea3b-36e7-aff6-a41a2cdc1b47</t>
  </si>
  <si>
    <t>Transport, freight, lorry, 16t-32t gross weight, fleet average {CH}</t>
  </si>
  <si>
    <t>eb5552ed-63a8-374d-8fa4-296f644c37f8</t>
  </si>
  <si>
    <t>Transport, freight, lorry, 16t-32t gross weight, fleet average {RER}</t>
  </si>
  <si>
    <t>85b3a5a6-2635-3546-b51b-4ccad397650b</t>
  </si>
  <si>
    <t>Transport, freight, lorry, 3.5t-7.5t gross weight, fleet average {CH}</t>
  </si>
  <si>
    <t>a149b611-fbf4-36b6-9d8a-cf169a913060</t>
  </si>
  <si>
    <t>Transport, freight, lorry, 3.5t-7.5t gross weight, fleet average {RER}</t>
  </si>
  <si>
    <t>2120cab6-d218-3788-acce-755d5bfca6d4</t>
  </si>
  <si>
    <t>Transport, freight, lorry, 3.5t gross weight, fleet average {CH}</t>
  </si>
  <si>
    <t>f2b283d7-3c63-3bd0-b949-7b55e377bbff</t>
  </si>
  <si>
    <t>Transport, freight, lorry, 3.5t gross weight, fleet average {RER}</t>
  </si>
  <si>
    <t>7c809acd-7db3-3d50-9437-4f99dd271354</t>
  </si>
  <si>
    <t>Transport, freight, lorry, 32t-40t gross weight, fleet average {CH}</t>
  </si>
  <si>
    <t>984d5f03-2208-366d-bceb-69003ae01594</t>
  </si>
  <si>
    <t>Transport, freight, lorry, 32t-40t gross weight, fleet average {RER}</t>
  </si>
  <si>
    <t>7b09a113-0b6e-33fe-ad56-efc96b9a8b77</t>
  </si>
  <si>
    <t>Transport, freight, lorry, 7.5t-16t gross weight, fleet average {CH}</t>
  </si>
  <si>
    <t>552ef261-d7f3-34e7-83b4-686a98711599</t>
  </si>
  <si>
    <t>Transport, freight, lorry, 7.5t-16t gross weight, fleet average {RER}</t>
  </si>
  <si>
    <t>a4f7817d-ef76-3fb0-943c-12c43ed07da7</t>
  </si>
  <si>
    <t>Transport, freight, lorry, battery electric, LFP battery, 18t gross weight, 2020, regional delivery {CH}</t>
  </si>
  <si>
    <t>f42a3f4a-df0b-30b5-8f7f-f74ce316221d</t>
  </si>
  <si>
    <t>Transport, freight, lorry, battery electric, LFP battery, 18t gross weight, 2020, urban delivery {CH}</t>
  </si>
  <si>
    <t>d5fa1643-7749-3f39-9768-49813ca5e0bf</t>
  </si>
  <si>
    <t>Transport, freight, lorry, battery electric, LFP battery, 26t gross weight, 2020, regional delivery {CH}</t>
  </si>
  <si>
    <t>d7feeadf-72b2-3a3c-8623-4f9774f0a89d</t>
  </si>
  <si>
    <t>Transport, freight, lorry, battery electric, LFP battery, 26t gross weight, 2020, urban delivery {CH}</t>
  </si>
  <si>
    <t>6d1cb212-e6f5-3a90-976c-eaeb10e684b0</t>
  </si>
  <si>
    <t>Transport, freight, lorry, battery electric, LFP battery, 3.5t gross weight, 2020, urban delivery {CH}</t>
  </si>
  <si>
    <t>329bd20b-1aaf-36d7-b21e-86977413cfaf</t>
  </si>
  <si>
    <t>Transport, freight, lorry, battery electric, LFP battery, 32t gross weight, 2020, regional delivery {CH}</t>
  </si>
  <si>
    <t>caf92cff-d2a3-3b61-b345-49642b5b18c4</t>
  </si>
  <si>
    <t>Transport, freight, lorry, battery electric, LFP battery, 32t gross weight, 2020, urban delivery {CH}</t>
  </si>
  <si>
    <t>1f6fd5ca-0849-3ed9-9fb7-9f35cf3cc980</t>
  </si>
  <si>
    <t>Transport, freight, lorry, battery electric, LFP battery, 40t gross weight, 2020, regional delivery {CH}</t>
  </si>
  <si>
    <t>4e63a69d-ccf7-300b-b10a-0149d30fc61b</t>
  </si>
  <si>
    <t>Transport, freight, lorry, battery electric, LFP battery, 40t gross weight, 2020, urban delivery {CH}</t>
  </si>
  <si>
    <t>563de667-e088-3442-8efd-1928a440f106</t>
  </si>
  <si>
    <t>Transport, freight, lorry, battery electric, LFP battery, 7.5t gross weight, 2020, regional delivery {CH}</t>
  </si>
  <si>
    <t>b69cb23b-2cdb-3e5c-85bf-2fe9ff215bc4</t>
  </si>
  <si>
    <t>Transport, freight, lorry, battery electric, LFP battery, 7.5t gross weight, 2020, urban delivery {CH}</t>
  </si>
  <si>
    <t>d9bfbbb2-710e-3640-b5fd-784e5f1ce430</t>
  </si>
  <si>
    <t>Transport, freight, lorry, battery electric, LFP battery, label-certified electricity, 18t gross weight, 2020, regional delivery {CH}</t>
  </si>
  <si>
    <t>031228f8-e4cb-3b51-b706-66d9bf758e83</t>
  </si>
  <si>
    <t>Transport, freight, lorry, battery electric, LFP battery, label-certified electricity, 18t gross weight, 2020, urban delivery {CH}</t>
  </si>
  <si>
    <t>13c6442c-09f0-3394-9cf6-36e816139eb4</t>
  </si>
  <si>
    <t>Transport, freight, lorry, battery electric, LFP battery, label-certified electricity, 26t gross weight, 2020, regional delivery {CH}</t>
  </si>
  <si>
    <t>4c740444-bdc6-3f19-9069-a3e1e41b6acb</t>
  </si>
  <si>
    <t>Transport, freight, lorry, battery electric, LFP battery, label-certified electricity, 26t gross weight, 2020, urban delivery {CH}</t>
  </si>
  <si>
    <t>6efcc5a3-4ad6-34ac-b69c-828905b207fd</t>
  </si>
  <si>
    <t>Transport, freight, lorry, battery electric, LFP battery, label-certified electricity, 3.5t gross weight, 2020, urban delivery {CH}</t>
  </si>
  <si>
    <t>46ee86b5-4f51-375e-b4ad-f26d0606d59b</t>
  </si>
  <si>
    <t>Transport, freight, lorry, battery electric, LFP battery, label-certified electricity, 32t gross weight, 2020, regional delivery {CH}</t>
  </si>
  <si>
    <t>db2beb85-2faf-3aec-8d71-b4f797762a5b</t>
  </si>
  <si>
    <t>Transport, freight, lorry, battery electric, LFP battery, label-certified electricity, 32t gross weight, 2020, urban delivery {CH}</t>
  </si>
  <si>
    <t>41ddcb89-dea9-3fec-ad2d-4cbe7570b83e</t>
  </si>
  <si>
    <t>Transport, freight, lorry, battery electric, LFP battery, label-certified electricity, 40t gross weight, 2020, regional delivery {CH}</t>
  </si>
  <si>
    <t>def8e89c-614f-3864-8208-9fdf8f0254fd</t>
  </si>
  <si>
    <t>Transport, freight, lorry, battery electric, LFP battery, label-certified electricity, 40t gross weight, 2020, urban delivery {CH}</t>
  </si>
  <si>
    <t>d1610230-95f8-397f-993c-27149c295a9a</t>
  </si>
  <si>
    <t>Transport, freight, lorry, battery electric, LFP battery, label-certified electricity, 7.5t gross weight, 2020, regional delivery {CH}</t>
  </si>
  <si>
    <t>5936a573-9c53-3157-9ea7-dbb08cb8bf1a</t>
  </si>
  <si>
    <t>Transport, freight, lorry, battery electric, LFP battery, label-certified electricity, 7.5t gross weight, 2020, urban delivery {CH}</t>
  </si>
  <si>
    <t>14554a33-6da3-3232-a32c-b0c9355949d0</t>
  </si>
  <si>
    <t>Transport, freight, lorry, battery electric, NCA battery, 18t gross weight, 2020, regional delivery {CH}</t>
  </si>
  <si>
    <t>21c5c2d9-7950-3869-b166-e5ea1c430c7b</t>
  </si>
  <si>
    <t>Transport, freight, lorry, battery electric, NCA battery, 18t gross weight, 2020, urban delivery {CH}</t>
  </si>
  <si>
    <t>fe805f10-bdad-36fd-9a84-c3d06d1c7c66</t>
  </si>
  <si>
    <t>Transport, freight, lorry, battery electric, NCA battery, 26t gross weight, 2020, regional delivery {CH}</t>
  </si>
  <si>
    <t>37109078-23e4-3c1c-82a3-5e9afb261071</t>
  </si>
  <si>
    <t>Transport, freight, lorry, battery electric, NCA battery, 26t gross weight, 2020, urban delivery {CH}</t>
  </si>
  <si>
    <t>ac88f90b-4e85-356f-979d-e953e3eef975</t>
  </si>
  <si>
    <t>Transport, freight, lorry, battery electric, NCA battery, 3.5t gross weight, 2020, urban delivery {CH}</t>
  </si>
  <si>
    <t>fb58ba89-c583-3071-9012-74e53c1dfa65</t>
  </si>
  <si>
    <t>Transport, freight, lorry, battery electric, NCA battery, 32t gross weight, 2020, regional delivery {CH}</t>
  </si>
  <si>
    <t>21bef91f-1abe-3368-8622-b9d970c292db</t>
  </si>
  <si>
    <t>Transport, freight, lorry, battery electric, NCA battery, 32t gross weight, 2020, urban delivery {CH}</t>
  </si>
  <si>
    <t>32483827-6c9d-3134-ae17-f0d6549ad962</t>
  </si>
  <si>
    <t>Transport, freight, lorry, battery electric, NCA battery, 40t gross weight, 2020, regional delivery {CH}</t>
  </si>
  <si>
    <t>f569b999-7954-3e82-b34d-19db89ae7a1d</t>
  </si>
  <si>
    <t>Transport, freight, lorry, battery electric, NCA battery, 40t gross weight, 2020, urban delivery {CH}</t>
  </si>
  <si>
    <t>4b6d9e84-b694-3381-86af-b9beae5ccfcb</t>
  </si>
  <si>
    <t>Transport, freight, lorry, battery electric, NCA battery, 7.5t gross weight, 2020, regional delivery {CH}</t>
  </si>
  <si>
    <t>cb810acf-6bb5-388d-8c6c-9005b84c9681</t>
  </si>
  <si>
    <t>Transport, freight, lorry, battery electric, NCA battery, 7.5t gross weight, 2020, urban delivery {CH}</t>
  </si>
  <si>
    <t>1cf5071c-5e6a-39b5-954c-c4c46b32ed0c</t>
  </si>
  <si>
    <t>Transport, freight, lorry, battery electric, NCA battery, label-certified electricity, 18t gross weight, 2020, regional delivery {CH}</t>
  </si>
  <si>
    <t>0e9f7151-92ff-35cc-8952-51cdcd77effc</t>
  </si>
  <si>
    <t>Transport, freight, lorry, battery electric, NCA battery, label-certified electricity, 18t gross weight, 2020, urban delivery {CH}</t>
  </si>
  <si>
    <t>f1bd6267-4819-3fcf-b32e-0582f511ebd8</t>
  </si>
  <si>
    <t>Transport, freight, lorry, battery electric, NCA battery, label-certified electricity, 26t gross weight, 2020, regional delivery {CH}</t>
  </si>
  <si>
    <t>c90885db-677c-3820-be83-0f7f2de12306</t>
  </si>
  <si>
    <t>Transport, freight, lorry, battery electric, NCA battery, label-certified electricity, 26t gross weight, 2020, urban delivery {CH}</t>
  </si>
  <si>
    <t>b016196c-d3c7-32eb-85b6-126d8bd798a5</t>
  </si>
  <si>
    <t>Transport, freight, lorry, battery electric, NCA battery, label-certified electricity, 3.5t gross weight, 2020, urban delivery {CH}</t>
  </si>
  <si>
    <t>c5f18ed8-421c-35c1-b0e1-548f917dac8e</t>
  </si>
  <si>
    <t>Transport, freight, lorry, battery electric, NCA battery, label-certified electricity, 32t gross weight, 2020, regional delivery {CH}</t>
  </si>
  <si>
    <t>c1887cd9-82e3-38af-881a-1557a2b75f61</t>
  </si>
  <si>
    <t>Transport, freight, lorry, battery electric, NCA battery, label-certified electricity, 32t gross weight, 2020, urban delivery {CH}</t>
  </si>
  <si>
    <t>5fb6b2bb-5209-391d-84d4-b6689d121727</t>
  </si>
  <si>
    <t>Transport, freight, lorry, battery electric, NCA battery, label-certified electricity, 40t gross weight, 2020, regional delivery {CH}</t>
  </si>
  <si>
    <t>725f849c-bf5f-37b4-b834-b11544c7e0c7</t>
  </si>
  <si>
    <t>Transport, freight, lorry, battery electric, NCA battery, label-certified electricity, 40t gross weight, 2020, urban delivery {CH}</t>
  </si>
  <si>
    <t>46f6e127-01f6-3128-ac3d-b9626cf83bbf</t>
  </si>
  <si>
    <t>Transport, freight, lorry, battery electric, NCA battery, label-certified electricity, 7.5t gross weight, 2020, regional delivery {CH}</t>
  </si>
  <si>
    <t>4393cf9f-52a1-3751-9d70-fbf1b22c9adc</t>
  </si>
  <si>
    <t>Transport, freight, lorry, battery electric, NCA battery, label-certified electricity, 7.5t gross weight, 2020, urban delivery {CH}</t>
  </si>
  <si>
    <t>6ec1b409-cfde-337d-b1a0-1da6f2bc1372</t>
  </si>
  <si>
    <t>Transport, freight, lorry, battery electric, NMC-622 battery, 18t gross weight, 2020, regional delivery {CH}</t>
  </si>
  <si>
    <t>6befa28c-9079-343c-9ad2-bc27a1dc97c1</t>
  </si>
  <si>
    <t>Transport, freight, lorry, battery electric, NMC-622 battery, 18t gross weight, 2020, urban delivery {CH}</t>
  </si>
  <si>
    <t>72af89bb-dc5f-3802-b101-7e50e858b8e1</t>
  </si>
  <si>
    <t>Transport, freight, lorry, battery electric, NMC-622 battery, 26t gross weight, 2020, regional delivery {CH}</t>
  </si>
  <si>
    <t>d66b13e5-1af6-36c1-b454-e9b9b8e075ad</t>
  </si>
  <si>
    <t>Transport, freight, lorry, battery electric, NMC-622 battery, 26t gross weight, 2020, urban delivery {CH}</t>
  </si>
  <si>
    <t>a532e5e8-e79b-3087-b1c1-44db2d9bbe44</t>
  </si>
  <si>
    <t>Transport, freight, lorry, battery electric, NMC-622 battery, 3.5t gross weight, 2020, urban delivery {CH}</t>
  </si>
  <si>
    <t>6725bf51-85aa-3376-b1ee-08cd982cc89a</t>
  </si>
  <si>
    <t>Transport, freight, lorry, battery electric, NMC-622 battery, 32t gross weight, 2020, regional delivery {CH}</t>
  </si>
  <si>
    <t>bbaf9539-3e89-36b7-8316-4b68424f93a5</t>
  </si>
  <si>
    <t>Transport, freight, lorry, battery electric, NMC-622 battery, 32t gross weight, 2020, urban delivery {CH}</t>
  </si>
  <si>
    <t>2481c390-ee71-353e-abec-c4edc4b062cb</t>
  </si>
  <si>
    <t>Transport, freight, lorry, battery electric, NMC-622 battery, 40t gross weight, 2020, regional delivery {CH}</t>
  </si>
  <si>
    <t>bb5fef84-9d06-3e8e-837e-2375583d6e2d</t>
  </si>
  <si>
    <t>Transport, freight, lorry, battery electric, NMC-622 battery, 40t gross weight, 2020, urban delivery {CH}</t>
  </si>
  <si>
    <t>32e49d94-f2e1-3014-8d77-382f967d71a8</t>
  </si>
  <si>
    <t>Transport, freight, lorry, battery electric, NMC-622 battery, 7.5t gross weight, 2020, regional delivery {CH}</t>
  </si>
  <si>
    <t>2782bfdd-015d-39fc-8e04-17a37e6cfde9</t>
  </si>
  <si>
    <t>Transport, freight, lorry, battery electric, NMC-622 battery, 7.5t gross weight, 2020, urban delivery {CH}</t>
  </si>
  <si>
    <t>683c0f29-80f6-38b6-948c-bf32e358c127</t>
  </si>
  <si>
    <t>Transport, freight, lorry, battery electric, NMC-622 battery, label-certified electricity, 18t gross weight, 2020, regional delivery {CH}</t>
  </si>
  <si>
    <t>6a9184ac-d2ed-353e-bbe8-3a8b3ac4bb03</t>
  </si>
  <si>
    <t>Transport, freight, lorry, battery electric, NMC-622 battery, label-certified electricity, 18t gross weight, 2020, urban delivery {CH}</t>
  </si>
  <si>
    <t>97809c7e-1d45-358e-8845-e41573ee1d88</t>
  </si>
  <si>
    <t>Transport, freight, lorry, battery electric, NMC-622 battery, label-certified electricity, 26t gross weight, 2020, regional delivery {CH}</t>
  </si>
  <si>
    <t>1ec3c76f-b67c-36be-829b-cb876de71720</t>
  </si>
  <si>
    <t>Transport, freight, lorry, battery electric, NMC-622 battery, label-certified electricity, 26t gross weight, 2020, urban delivery {CH}</t>
  </si>
  <si>
    <t>ba48578f-92ce-3df5-9548-e932effdfa6a</t>
  </si>
  <si>
    <t>Transport, freight, lorry, battery electric, NMC-622 battery, label-certified electricity, 3.5t gross weight, 2020, urban delivery {CH}</t>
  </si>
  <si>
    <t>f5dece87-bafb-3f21-ae04-350380c4593c</t>
  </si>
  <si>
    <t>Transport, freight, lorry, battery electric, NMC-622 battery, label-certified electricity, 32t gross weight, 2020, regional delivery {CH}</t>
  </si>
  <si>
    <t>358adddb-445a-307e-ae95-b190c883e31c</t>
  </si>
  <si>
    <t>Transport, freight, lorry, battery electric, NMC-622 battery, label-certified electricity, 32t gross weight, 2020, urban delivery {CH}</t>
  </si>
  <si>
    <t>ded1d990-c787-3417-86c9-ec1ae1a4a6c1</t>
  </si>
  <si>
    <t>Transport, freight, lorry, battery electric, NMC-622 battery, label-certified electricity, 40t gross weight, 2020, regional delivery {CH}</t>
  </si>
  <si>
    <t>45d09428-d0bf-3bb5-b666-764247f4fc10</t>
  </si>
  <si>
    <t>Transport, freight, lorry, battery electric, NMC-622 battery, label-certified electricity, 40t gross weight, 2020, urban delivery {CH}</t>
  </si>
  <si>
    <t>bae662c9-8521-3746-93a3-c724f816410c</t>
  </si>
  <si>
    <t>Transport, freight, lorry, battery electric, NMC-622 battery, label-certified electricity, 7.5t gross weight, 2020, regional delivery {CH}</t>
  </si>
  <si>
    <t>d3d618e4-6e0b-395e-ad10-ad219c072b71</t>
  </si>
  <si>
    <t>Transport, freight, lorry, battery electric, NMC-622 battery, label-certified electricity, 7.5t gross weight, 2020, urban delivery {CH}</t>
  </si>
  <si>
    <t>c415d9d2-b646-350f-b777-9d890cd78a01</t>
  </si>
  <si>
    <t>Transport, freight, lorry, compressed gas, 100% biomethane, 18t gross weight, 2020, EURO-VI, long haul {CH}</t>
  </si>
  <si>
    <t>4add1c4a-a4de-3180-9ff3-fb60efa8f459</t>
  </si>
  <si>
    <t>Transport, freight, lorry, compressed gas, 100% biomethane, 18t gross weight, 2020, EURO-VI, regional delivery {CH}</t>
  </si>
  <si>
    <t>44199ba2-7343-3471-a169-788b4e8a1285</t>
  </si>
  <si>
    <t>Transport, freight, lorry, compressed gas, 100% biomethane, 18t gross weight, 2020, EURO-VI, urban delivery {CH}</t>
  </si>
  <si>
    <t>fd4fd4e2-1089-30f2-932a-5a7e0a2ecbb9</t>
  </si>
  <si>
    <t>Transport, freight, lorry, compressed gas, 100% biomethane, 26t gross weight, 2020, EURO-VI, long haul {CH}</t>
  </si>
  <si>
    <t>6dd93923-f556-330c-b9ad-ef0b3462dc1c</t>
  </si>
  <si>
    <t>Transport, freight, lorry, compressed gas, 100% biomethane, 26t gross weight, 2020, EURO-VI, regional delivery {CH}</t>
  </si>
  <si>
    <t>c0e9902d-fd34-3ac6-ac62-a470a0c7ac91</t>
  </si>
  <si>
    <t>Transport, freight, lorry, compressed gas, 100% biomethane, 26t gross weight, 2020, EURO-VI, urban delivery {CH}</t>
  </si>
  <si>
    <t>00a93752-8f60-391f-9c33-d67536731c5b</t>
  </si>
  <si>
    <t>Transport, freight, lorry, compressed gas, 100% biomethane, 3.5t gross weight, 2020, EURO-VI, long haul {CH}</t>
  </si>
  <si>
    <t>df2a01fe-cf60-3385-8fee-91f0450aa20a</t>
  </si>
  <si>
    <t>Transport, freight, lorry, compressed gas, 100% biomethane, 3.5t gross weight, 2020, EURO-VI, regional delivery {CH}</t>
  </si>
  <si>
    <t>ae8befd2-cdbd-3843-a479-ee51904e4609</t>
  </si>
  <si>
    <t>Transport, freight, lorry, compressed gas, 100% biomethane, 3.5t gross weight, 2020, EURO-VI, urban delivery {CH}</t>
  </si>
  <si>
    <t>4c56a976-f1ea-3c8d-946f-9c8ccd75df95</t>
  </si>
  <si>
    <t>Transport, freight, lorry, compressed gas, 100% biomethane, 32t gross weight, 2020, EURO-VI, long haul {CH}</t>
  </si>
  <si>
    <t>657c98b5-d967-334f-8df1-55e85e2d30d7</t>
  </si>
  <si>
    <t>Transport, freight, lorry, compressed gas, 100% biomethane, 32t gross weight, 2020, EURO-VI, regional delivery {CH}</t>
  </si>
  <si>
    <t>656a58be-ebb5-3296-81e0-7b791465d5c7</t>
  </si>
  <si>
    <t>Transport, freight, lorry, compressed gas, 100% biomethane, 32t gross weight, 2020, EURO-VI, urban delivery {CH}</t>
  </si>
  <si>
    <t>dfb53a33-f11b-312c-b985-679e74490f54</t>
  </si>
  <si>
    <t>Transport, freight, lorry, compressed gas, 100% biomethane, 40t gross weight, 2020, EURO-VI, long haul {CH}</t>
  </si>
  <si>
    <t>8bf3e0ca-6088-3484-9a3f-4018e2162a7c</t>
  </si>
  <si>
    <t>Transport, freight, lorry, compressed gas, 100% biomethane, 40t gross weight, 2020, EURO-VI, regional delivery {CH}</t>
  </si>
  <si>
    <t>f3752f83-e409-3dc2-b8b6-9d8f9df5e579</t>
  </si>
  <si>
    <t>Transport, freight, lorry, compressed gas, 100% biomethane, 40t gross weight, 2020, EURO-VI, urban delivery {CH}</t>
  </si>
  <si>
    <t>387c3579-d8a8-3fca-a73d-6f47ae08bd10</t>
  </si>
  <si>
    <t>Transport, freight, lorry, compressed gas, 100% biomethane, 7.5t gross weight, 2020, EURO-VI, long haul {CH}</t>
  </si>
  <si>
    <t>17f8cd31-c209-321e-bbeb-8ecb9aefa747</t>
  </si>
  <si>
    <t>Transport, freight, lorry, compressed gas, 100% biomethane, 7.5t gross weight, 2020, EURO-VI, regional delivery {CH}</t>
  </si>
  <si>
    <t>c54bb005-5dd9-3d59-9410-61af4236e4ea</t>
  </si>
  <si>
    <t>Transport, freight, lorry, compressed gas, 100% biomethane, 7.5t gross weight, 2020, EURO-VI, urban delivery {CH}</t>
  </si>
  <si>
    <t>0b3495a2-cfea-30a6-9580-eabc0290e29e</t>
  </si>
  <si>
    <t>Transport, freight, lorry, compressed gas, 18t gross weight, 2020, EURO-VI, long haul {CH}</t>
  </si>
  <si>
    <t>cd6bd1e8-bb39-3315-94d5-013eea322763</t>
  </si>
  <si>
    <t>Transport, freight, lorry, compressed gas, 18t gross weight, 2020, EURO-VI, regional delivery {CH}</t>
  </si>
  <si>
    <t>b1223b3e-be06-339e-ba68-a5a54897117a</t>
  </si>
  <si>
    <t>Transport, freight, lorry, compressed gas, 18t gross weight, 2020, EURO-VI, urban delivery {CH}</t>
  </si>
  <si>
    <t>f96bf137-b7e7-3f2a-8ef7-275cc90ad79c</t>
  </si>
  <si>
    <t>Transport, freight, lorry, compressed gas, 26t gross weight, 2020, EURO-VI, long haul {CH}</t>
  </si>
  <si>
    <t>d4072c65-71b7-33da-af37-0404e7b6da84</t>
  </si>
  <si>
    <t>Transport, freight, lorry, compressed gas, 26t gross weight, 2020, EURO-VI, regional delivery {CH}</t>
  </si>
  <si>
    <t>cdda1e1c-7122-3271-a458-0bca7c2d4edb</t>
  </si>
  <si>
    <t>Transport, freight, lorry, compressed gas, 26t gross weight, 2020, EURO-VI, urban delivery {CH}</t>
  </si>
  <si>
    <t>e0ac2d47-1405-35ad-9e29-0dcf1278d946</t>
  </si>
  <si>
    <t>Transport, freight, lorry, compressed gas, 3.5t gross weight, 2020, EURO-VI, long haul {CH}</t>
  </si>
  <si>
    <t>ef525c00-1c25-3d87-b43c-2599ae6c9a69</t>
  </si>
  <si>
    <t>Transport, freight, lorry, compressed gas, 3.5t gross weight, 2020, EURO-VI, regional delivery {CH}</t>
  </si>
  <si>
    <t>b9742ab1-b418-3822-ba3f-e12b7625354c</t>
  </si>
  <si>
    <t>Transport, freight, lorry, compressed gas, 3.5t gross weight, 2020, EURO-VI, urban delivery {CH}</t>
  </si>
  <si>
    <t>c3d5ce94-0964-3d37-b956-162017055104</t>
  </si>
  <si>
    <t>Transport, freight, lorry, compressed gas, 32t gross weight, 2020, EURO-VI, long haul {CH}</t>
  </si>
  <si>
    <t>de47fdc2-d99e-3ff6-96de-ca9f74d9c966</t>
  </si>
  <si>
    <t>Transport, freight, lorry, compressed gas, 32t gross weight, 2020, EURO-VI, regional delivery {CH}</t>
  </si>
  <si>
    <t>42b768b3-1546-3f4b-a3a7-c1bab95f8da5</t>
  </si>
  <si>
    <t>Transport, freight, lorry, compressed gas, 32t gross weight, 2020, EURO-VI, urban delivery {CH}</t>
  </si>
  <si>
    <t>4a2434a1-b3b6-3263-9232-c5c822ecdd62</t>
  </si>
  <si>
    <t>Transport, freight, lorry, compressed gas, 40t gross weight, 2020, EURO-VI, long haul {CH}</t>
  </si>
  <si>
    <t>0368ea73-6913-39e0-8419-ae8c2e791210</t>
  </si>
  <si>
    <t>Transport, freight, lorry, compressed gas, 40t gross weight, 2020, EURO-VI, regional delivery {CH}</t>
  </si>
  <si>
    <t>19855094-570d-33df-8657-7c1ba356b86e</t>
  </si>
  <si>
    <t>Transport, freight, lorry, compressed gas, 40t gross weight, 2020, EURO-VI, urban delivery {CH}</t>
  </si>
  <si>
    <t>36b07439-c045-3018-9b53-fb15d46983dd</t>
  </si>
  <si>
    <t>Transport, freight, lorry, compressed gas, 7.5t gross weight, 2020, EURO-VI, long haul {CH}</t>
  </si>
  <si>
    <t>af821814-2ccc-3461-b603-45f08709d688</t>
  </si>
  <si>
    <t>Transport, freight, lorry, compressed gas, 7.5t gross weight, 2020, EURO-VI, regional delivery {CH}</t>
  </si>
  <si>
    <t>c3e9dadd-9df5-3c13-bc75-3eda6e1fbacf</t>
  </si>
  <si>
    <t>Transport, freight, lorry, compressed gas, 7.5t gross weight, 2020, EURO-VI, urban delivery {CH}</t>
  </si>
  <si>
    <t>0e713ee7-ee5f-3b96-9ca8-faad874783af</t>
  </si>
  <si>
    <t>Transport, freight, lorry, diesel hybrid, 18t gross weight, 2020, EURO-VI, long haul {CH}</t>
  </si>
  <si>
    <t>3f0355de-a738-314e-98e0-196eb07b742f</t>
  </si>
  <si>
    <t>Transport, freight, lorry, diesel hybrid, 18t gross weight, 2020, EURO-VI, regional delivery {CH}</t>
  </si>
  <si>
    <t>92f5545b-5499-3614-9b42-81fd84b81637</t>
  </si>
  <si>
    <t>Transport, freight, lorry, diesel hybrid, 18t gross weight, 2020, EURO-VI, urban delivery {CH}</t>
  </si>
  <si>
    <t>51bf1ac2-61c8-349a-867a-1231a690642f</t>
  </si>
  <si>
    <t>Transport, freight, lorry, diesel hybrid, 26t gross weight, 2020, EURO-VI, long haul {CH}</t>
  </si>
  <si>
    <t>3222806d-f931-3330-9563-a91cf946fd29</t>
  </si>
  <si>
    <t>Transport, freight, lorry, diesel hybrid, 26t gross weight, 2020, EURO-VI, regional delivery {CH}</t>
  </si>
  <si>
    <t>0aca618f-2cb9-36cb-85ff-d9447dbadfab</t>
  </si>
  <si>
    <t>Transport, freight, lorry, diesel hybrid, 26t gross weight, 2020, EURO-VI, urban delivery {CH}</t>
  </si>
  <si>
    <t>2e606c7b-7ed4-301e-8a0f-c52c254d5424</t>
  </si>
  <si>
    <t>Transport, freight, lorry, diesel hybrid, 3.5t gross weight, 2020, EURO-VI, long haul {CH}</t>
  </si>
  <si>
    <t>4e8f0d39-b08f-35b5-a58c-7dd10c9424cc</t>
  </si>
  <si>
    <t>Transport, freight, lorry, diesel hybrid, 3.5t gross weight, 2020, EURO-VI, regional delivery {CH}</t>
  </si>
  <si>
    <t>95fee4bd-649a-348a-94a0-47afc7f884b5</t>
  </si>
  <si>
    <t>Transport, freight, lorry, diesel hybrid, 3.5t gross weight, 2020, EURO-VI, urban delivery {CH}</t>
  </si>
  <si>
    <t>a642e4cd-56ac-3b4e-be8f-47baa7f085d8</t>
  </si>
  <si>
    <t>Transport, freight, lorry, diesel hybrid, 32t gross weight, 2020, EURO-VI, long haul {CH}</t>
  </si>
  <si>
    <t>f92de035-fa36-3292-9d80-46ede7493ac3</t>
  </si>
  <si>
    <t>Transport, freight, lorry, diesel hybrid, 32t gross weight, 2020, EURO-VI, regional delivery {CH}</t>
  </si>
  <si>
    <t>130d85d1-54ad-38f3-bfa6-89c5ae4e0ce8</t>
  </si>
  <si>
    <t>Transport, freight, lorry, diesel hybrid, 32t gross weight, 2020, EURO-VI, urban delivery {CH}</t>
  </si>
  <si>
    <t>ab505dee-4628-3d03-83fd-f3a513a035bd</t>
  </si>
  <si>
    <t>Transport, freight, lorry, diesel hybrid, 40t gross weight, 2020, EURO-VI, long haul {CH}</t>
  </si>
  <si>
    <t>b1824085-3ca7-32d1-b452-50355aa2aad9</t>
  </si>
  <si>
    <t>Transport, freight, lorry, diesel hybrid, 40t gross weight, 2020, EURO-VI, regional delivery {CH}</t>
  </si>
  <si>
    <t>82af48d5-0589-3510-83f7-dbe5e42712f3</t>
  </si>
  <si>
    <t>Transport, freight, lorry, diesel hybrid, 40t gross weight, 2020, EURO-VI, urban delivery {CH}</t>
  </si>
  <si>
    <t>fe171a0b-d8e9-35d6-9ffa-f5f06417d206</t>
  </si>
  <si>
    <t>Transport, freight, lorry, diesel hybrid, 7.5t gross weight, 2020, EURO-VI, long haul {CH}</t>
  </si>
  <si>
    <t>27a4839f-696c-3721-bbd6-daf7204d239d</t>
  </si>
  <si>
    <t>Transport, freight, lorry, diesel hybrid, 7.5t gross weight, 2020, EURO-VI, regional delivery {CH}</t>
  </si>
  <si>
    <t>182dc2df-0fb8-32f1-8550-ad98f8093c8f</t>
  </si>
  <si>
    <t>Transport, freight, lorry, diesel hybrid, 7.5t gross weight, 2020, EURO-VI, urban delivery {CH}</t>
  </si>
  <si>
    <t>e6b99373-e72b-386f-936a-8b56cd64dd38</t>
  </si>
  <si>
    <t>Transport, freight, lorry, diesel, 18t gross weight, 2002, EURO-III, long haul {CH}</t>
  </si>
  <si>
    <t>8c70fc5b-2010-3e3b-8275-e976f5afe73f</t>
  </si>
  <si>
    <t>Transport, freight, lorry, diesel, 18t gross weight, 2002, EURO-III, long haul {RER}</t>
  </si>
  <si>
    <t>3f6be335-a906-3777-a829-589a5375411f</t>
  </si>
  <si>
    <t>Transport, freight, lorry, diesel, 18t gross weight, 2002, EURO-III, regional delivery {CH}</t>
  </si>
  <si>
    <t>0346a99a-071b-38cc-ba19-bbbfde47890e</t>
  </si>
  <si>
    <t>Transport, freight, lorry, diesel, 18t gross weight, 2002, EURO-III, regional delivery {RER}</t>
  </si>
  <si>
    <t>c5493490-947d-3073-9a09-c0381ba30941</t>
  </si>
  <si>
    <t>Transport, freight, lorry, diesel, 18t gross weight, 2002, EURO-III, urban delivery {CH}</t>
  </si>
  <si>
    <t>25bbe620-d62c-3d4b-86fb-f3207a646de0</t>
  </si>
  <si>
    <t>Transport, freight, lorry, diesel, 18t gross weight, 2002, EURO-III, urban delivery {RER}</t>
  </si>
  <si>
    <t>02e22464-7fc7-3449-9582-45e6de003c8e</t>
  </si>
  <si>
    <t>Transport, freight, lorry, diesel, 18t gross weight, 2006, EURO-IV, long haul {CH}</t>
  </si>
  <si>
    <t>9b65dca5-3d64-3ab1-9d24-7e7c15035565</t>
  </si>
  <si>
    <t>Transport, freight, lorry, diesel, 18t gross weight, 2006, EURO-IV, long haul {RER}</t>
  </si>
  <si>
    <t>8a92fd10-364f-3ef2-97ea-0754de3a615e</t>
  </si>
  <si>
    <t>Transport, freight, lorry, diesel, 18t gross weight, 2006, EURO-IV, regional delivery {CH}</t>
  </si>
  <si>
    <t>2041f8b4-2570-3744-b83c-68da92155c8e</t>
  </si>
  <si>
    <t>Transport, freight, lorry, diesel, 18t gross weight, 2006, EURO-IV, regional delivery {RER}</t>
  </si>
  <si>
    <t>0375c537-3bfc-302a-b087-de4497165e8a</t>
  </si>
  <si>
    <t>Transport, freight, lorry, diesel, 18t gross weight, 2006, EURO-IV, urban delivery {CH}</t>
  </si>
  <si>
    <t>4ebe8bc9-064b-3954-8b20-0569efd701d4</t>
  </si>
  <si>
    <t>Transport, freight, lorry, diesel, 18t gross weight, 2006, EURO-IV, urban delivery {RER}</t>
  </si>
  <si>
    <t>c623bb09-8828-3fcd-a4ee-26a1fb9f1c5f</t>
  </si>
  <si>
    <t>Transport, freight, lorry, diesel, 18t gross weight, 2010, EURO-V, long haul {CH}</t>
  </si>
  <si>
    <t>2f905bc1-44e5-339a-ab9f-c9a0775b4136</t>
  </si>
  <si>
    <t>Transport, freight, lorry, diesel, 18t gross weight, 2010, EURO-V, long haul {RER}</t>
  </si>
  <si>
    <t>8c2c969b-45b2-33d9-b861-d113f83afe07</t>
  </si>
  <si>
    <t>Transport, freight, lorry, diesel, 18t gross weight, 2010, EURO-V, regional delivery {CH}</t>
  </si>
  <si>
    <t>d68ebb27-0b5e-3b76-a901-739019f265d7</t>
  </si>
  <si>
    <t>Transport, freight, lorry, diesel, 18t gross weight, 2010, EURO-V, regional delivery {RER}</t>
  </si>
  <si>
    <t>6c569915-f321-36bf-8395-6e92cb5ca17f</t>
  </si>
  <si>
    <t>Transport, freight, lorry, diesel, 18t gross weight, 2010, EURO-V, urban delivery {CH}</t>
  </si>
  <si>
    <t>5c381782-9c75-38c5-bbbe-ca0a9d6a06bd</t>
  </si>
  <si>
    <t>Transport, freight, lorry, diesel, 18t gross weight, 2010, EURO-V, urban delivery {RER}</t>
  </si>
  <si>
    <t>397809cc-03c9-3d1d-af66-ffea2bd282ec</t>
  </si>
  <si>
    <t>Transport, freight, lorry, diesel, 18t gross weight, 2020, EURO-VI, long haul {CH}</t>
  </si>
  <si>
    <t>00b2b4b3-ab99-3753-94fe-7e20ff5bd632</t>
  </si>
  <si>
    <t>Transport, freight, lorry, diesel, 18t gross weight, 2020, EURO-VI, long haul {RER}</t>
  </si>
  <si>
    <t>9bf01dca-a82e-3eba-a968-4270e0a45b12</t>
  </si>
  <si>
    <t>Transport, freight, lorry, diesel, 18t gross weight, 2020, EURO-VI, regional delivery {CH}</t>
  </si>
  <si>
    <t>ad93c72d-69f1-3dbb-a9ba-f071ec0532cc</t>
  </si>
  <si>
    <t>Transport, freight, lorry, diesel, 18t gross weight, 2020, EURO-VI, regional delivery {RER}</t>
  </si>
  <si>
    <t>d731b7c7-3078-3af5-a6f1-9f9327489dfe</t>
  </si>
  <si>
    <t>Transport, freight, lorry, diesel, 18t gross weight, 2020, EURO-VI, urban delivery {CH}</t>
  </si>
  <si>
    <t>dae0ff13-6812-314c-a733-efb7f4284fe2</t>
  </si>
  <si>
    <t>Transport, freight, lorry, diesel, 18t gross weight, 2020, EURO-VI, urban delivery {RER}</t>
  </si>
  <si>
    <t>e260d744-7208-3c83-ae24-a431820967e2</t>
  </si>
  <si>
    <t>Transport, freight, lorry, diesel, 18t gross weight, fleet average, long haul {CH}</t>
  </si>
  <si>
    <t>0116ba78-f218-36b3-aa78-9834917b6585</t>
  </si>
  <si>
    <t>Transport, freight, lorry, diesel, 18t gross weight, fleet average, regional delivery {CH}</t>
  </si>
  <si>
    <t>c550bb4a-92d4-3b5b-a73a-0c220dceba93</t>
  </si>
  <si>
    <t>Transport, freight, lorry, diesel, 18t gross weight, fleet average, urban delivery {CH}</t>
  </si>
  <si>
    <t>f84e252e-f883-3017-abce-4b3726f6da2a</t>
  </si>
  <si>
    <t>Transport, freight, lorry, diesel, 26t gross weight, 2002, EURO-III, long haul {CH}</t>
  </si>
  <si>
    <t>b91c6de9-0c20-3c2b-a039-a89c8ea714e5</t>
  </si>
  <si>
    <t>Transport, freight, lorry, diesel, 26t gross weight, 2002, EURO-III, long haul {RER}</t>
  </si>
  <si>
    <t>027442dd-044a-33a9-a670-5fbd53605d8d</t>
  </si>
  <si>
    <t>Transport, freight, lorry, diesel, 26t gross weight, 2002, EURO-III, regional delivery {CH}</t>
  </si>
  <si>
    <t>41808fa3-deb7-3e24-ab0b-19af04181d44</t>
  </si>
  <si>
    <t>Transport, freight, lorry, diesel, 26t gross weight, 2002, EURO-III, regional delivery {RER}</t>
  </si>
  <si>
    <t>a9356589-0357-36e3-a9d2-67a34c1be47d</t>
  </si>
  <si>
    <t>Transport, freight, lorry, diesel, 26t gross weight, 2002, EURO-III, urban delivery {CH}</t>
  </si>
  <si>
    <t>646e4379-61ec-3ea4-9da9-d4f15a0cfc87</t>
  </si>
  <si>
    <t>Transport, freight, lorry, diesel, 26t gross weight, 2002, EURO-III, urban delivery {RER}</t>
  </si>
  <si>
    <t>6a89984d-a348-3cec-9213-05c25d4b0007</t>
  </si>
  <si>
    <t>Transport, freight, lorry, diesel, 26t gross weight, 2006, EURO-IV, long haul {CH}</t>
  </si>
  <si>
    <t>38d10b0b-8379-3b6d-9cb1-77c0da9d3e59</t>
  </si>
  <si>
    <t>Transport, freight, lorry, diesel, 26t gross weight, 2006, EURO-IV, long haul {RER}</t>
  </si>
  <si>
    <t>73e4fb50-a55b-3730-ab91-2f8d0d3844df</t>
  </si>
  <si>
    <t>Transport, freight, lorry, diesel, 26t gross weight, 2006, EURO-IV, regional delivery {CH}</t>
  </si>
  <si>
    <t>d1793242-8b2b-30c0-a019-07f5d3d5262d</t>
  </si>
  <si>
    <t>Transport, freight, lorry, diesel, 26t gross weight, 2006, EURO-IV, regional delivery {RER}</t>
  </si>
  <si>
    <t>c1b1cb0c-b4ce-375c-9554-bc471b973edf</t>
  </si>
  <si>
    <t>Transport, freight, lorry, diesel, 26t gross weight, 2006, EURO-IV, urban delivery {CH}</t>
  </si>
  <si>
    <t>e9f79846-4c22-3b3c-b1ea-2e8b41026289</t>
  </si>
  <si>
    <t>Transport, freight, lorry, diesel, 26t gross weight, 2006, EURO-IV, urban delivery {RER}</t>
  </si>
  <si>
    <t>1f34724a-578a-3d63-b807-4b4d58410822</t>
  </si>
  <si>
    <t>Transport, freight, lorry, diesel, 26t gross weight, 2010, EURO-V, long haul {CH}</t>
  </si>
  <si>
    <t>949dd6f4-4e5b-3c04-b5c5-d5974ebec9ab</t>
  </si>
  <si>
    <t>Transport, freight, lorry, diesel, 26t gross weight, 2010, EURO-V, long haul {RER}</t>
  </si>
  <si>
    <t>d7b2ac4d-cb9c-3c06-af6c-2a5734644248</t>
  </si>
  <si>
    <t>Transport, freight, lorry, diesel, 26t gross weight, 2010, EURO-V, regional delivery {CH}</t>
  </si>
  <si>
    <t>9ecd54b7-f7c4-3157-a11c-34dc51d534d2</t>
  </si>
  <si>
    <t>Transport, freight, lorry, diesel, 26t gross weight, 2010, EURO-V, regional delivery {RER}</t>
  </si>
  <si>
    <t>c5af586c-8fe3-3c4f-b8c8-d569de0ae695</t>
  </si>
  <si>
    <t>Transport, freight, lorry, diesel, 26t gross weight, 2010, EURO-V, urban delivery {CH}</t>
  </si>
  <si>
    <t>b2093b01-d9d6-3e50-b9d3-728d81214367</t>
  </si>
  <si>
    <t>Transport, freight, lorry, diesel, 26t gross weight, 2010, EURO-V, urban delivery {RER}</t>
  </si>
  <si>
    <t>116113bf-f2c7-39da-8469-8f7560cba3d1</t>
  </si>
  <si>
    <t>Transport, freight, lorry, diesel, 26t gross weight, 2020, EURO-VI, long haul {CH}</t>
  </si>
  <si>
    <t>521f0321-e4a1-35cc-8902-4c8cff658667</t>
  </si>
  <si>
    <t>Transport, freight, lorry, diesel, 26t gross weight, 2020, EURO-VI, long haul {RER}</t>
  </si>
  <si>
    <t>35d8f8ec-8e41-345e-9004-3493f872688c</t>
  </si>
  <si>
    <t>Transport, freight, lorry, diesel, 26t gross weight, 2020, EURO-VI, regional delivery {CH}</t>
  </si>
  <si>
    <t>9846f03c-b069-30a7-9eb2-eab9f9a7c1d9</t>
  </si>
  <si>
    <t>Transport, freight, lorry, diesel, 26t gross weight, 2020, EURO-VI, regional delivery {RER}</t>
  </si>
  <si>
    <t>9934bd06-2c3c-3a30-9dd3-3f4bc466c504</t>
  </si>
  <si>
    <t>Transport, freight, lorry, diesel, 26t gross weight, 2020, EURO-VI, urban delivery {CH}</t>
  </si>
  <si>
    <t>cb7ee68b-c426-3477-b801-c11df738b050</t>
  </si>
  <si>
    <t>Transport, freight, lorry, diesel, 26t gross weight, 2020, EURO-VI, urban delivery {RER}</t>
  </si>
  <si>
    <t>cb3f363c-b454-3107-8218-3196446ed6d7</t>
  </si>
  <si>
    <t>Transport, freight, lorry, diesel, 26t gross weight, fleet average, long haul {CH}</t>
  </si>
  <si>
    <t>46821b04-68db-34f0-b204-943742a2a3a8</t>
  </si>
  <si>
    <t>Transport, freight, lorry, diesel, 26t gross weight, fleet average, long haul {RER}</t>
  </si>
  <si>
    <t>4c77c04a-49a8-329c-a338-03c2665cbfc3</t>
  </si>
  <si>
    <t>Transport, freight, lorry, diesel, 26t gross weight, fleet average, regional delivery {CH}</t>
  </si>
  <si>
    <t>2f37a5e9-bb36-3534-a965-4d9797409d2d</t>
  </si>
  <si>
    <t>Transport, freight, lorry, diesel, 26t gross weight, fleet average, regional delivery {RER}</t>
  </si>
  <si>
    <t>e887f4e2-7807-3240-b137-f28294ce2e12</t>
  </si>
  <si>
    <t>Transport, freight, lorry, diesel, 26t gross weight, fleet average, urban delivery {CH}</t>
  </si>
  <si>
    <t>ff73639e-13f7-3e07-a955-47a6a4c6ebd7</t>
  </si>
  <si>
    <t>Transport, freight, lorry, diesel, 26t gross weight, fleet average, urban delivery {RER}</t>
  </si>
  <si>
    <t>94e2ea92-91e9-34e7-8c83-e3d3485d53f2</t>
  </si>
  <si>
    <t>Transport, freight, lorry, diesel, 3.5t gross weight, 2002, EURO-III, long haul {CH}</t>
  </si>
  <si>
    <t>79212170-c580-3630-a633-72679920d3d1</t>
  </si>
  <si>
    <t>Transport, freight, lorry, diesel, 3.5t gross weight, 2002, EURO-III, long haul {RER}</t>
  </si>
  <si>
    <t>04b7039a-8e63-3b4b-8986-7dec6e888a9c</t>
  </si>
  <si>
    <t>Transport, freight, lorry, diesel, 3.5t gross weight, 2002, EURO-III, regional delivery {CH}</t>
  </si>
  <si>
    <t>50d0993b-ed2b-36a1-bd3c-4c6d9987f483</t>
  </si>
  <si>
    <t>Transport, freight, lorry, diesel, 3.5t gross weight, 2002, EURO-III, regional delivery {RER}</t>
  </si>
  <si>
    <t>a5d9aec4-2562-30c3-8209-5406158c1431</t>
  </si>
  <si>
    <t>Transport, freight, lorry, diesel, 3.5t gross weight, 2002, EURO-III, urban delivery {CH}</t>
  </si>
  <si>
    <t>b9685685-7b86-3044-8c6f-ad3b26ede57d</t>
  </si>
  <si>
    <t>Transport, freight, lorry, diesel, 3.5t gross weight, 2002, EURO-III, urban delivery {RER}</t>
  </si>
  <si>
    <t>9776f597-5084-3fe0-8019-373b7641dfd8</t>
  </si>
  <si>
    <t>Transport, freight, lorry, diesel, 3.5t gross weight, 2006, EURO-IV, long haul {CH}</t>
  </si>
  <si>
    <t>f61c910b-1b7c-341f-9d74-aa3845257f17</t>
  </si>
  <si>
    <t>Transport, freight, lorry, diesel, 3.5t gross weight, 2006, EURO-IV, long haul {RER}</t>
  </si>
  <si>
    <t>4c81b170-0682-373e-ad33-32ba60660331</t>
  </si>
  <si>
    <t>Transport, freight, lorry, diesel, 3.5t gross weight, 2006, EURO-IV, regional delivery {CH}</t>
  </si>
  <si>
    <t>15090636-65a6-386a-8081-cfe980604566</t>
  </si>
  <si>
    <t>Transport, freight, lorry, diesel, 3.5t gross weight, 2006, EURO-IV, regional delivery {RER}</t>
  </si>
  <si>
    <t>4831a855-7909-3d47-8154-3ec0aab3cf26</t>
  </si>
  <si>
    <t>Transport, freight, lorry, diesel, 3.5t gross weight, 2006, EURO-IV, urban delivery {CH}</t>
  </si>
  <si>
    <t>8b99bc6b-19f0-37a6-bbfe-e3dd9b928cb1</t>
  </si>
  <si>
    <t>Transport, freight, lorry, diesel, 3.5t gross weight, 2006, EURO-IV, urban delivery {RER}</t>
  </si>
  <si>
    <t>47b8b790-93b4-30ea-915a-d87a845ab78d</t>
  </si>
  <si>
    <t>Transport, freight, lorry, diesel, 3.5t gross weight, 2010, EURO-V, long haul {CH}</t>
  </si>
  <si>
    <t>73c96c94-940b-3ca8-93d7-a8cfbaea4a5b</t>
  </si>
  <si>
    <t>Transport, freight, lorry, diesel, 3.5t gross weight, 2010, EURO-V, long haul {RER}</t>
  </si>
  <si>
    <t>ec264e6e-5573-332f-b1b2-7252e1853271</t>
  </si>
  <si>
    <t>Transport, freight, lorry, diesel, 3.5t gross weight, 2010, EURO-V, regional delivery {CH}</t>
  </si>
  <si>
    <t>c7165067-caa4-3795-9671-1e8a1ab92302</t>
  </si>
  <si>
    <t>Transport, freight, lorry, diesel, 3.5t gross weight, 2010, EURO-V, regional delivery {RER}</t>
  </si>
  <si>
    <t>aa2937bb-e148-320e-a06c-6c4e58794ef2</t>
  </si>
  <si>
    <t>Transport, freight, lorry, diesel, 3.5t gross weight, 2010, EURO-V, urban delivery {CH}</t>
  </si>
  <si>
    <t>3cd761fb-27d8-318c-8c5e-061951f3597b</t>
  </si>
  <si>
    <t>Transport, freight, lorry, diesel, 3.5t gross weight, 2010, EURO-V, urban delivery {RER}</t>
  </si>
  <si>
    <t>692d78c2-6ec4-3504-845f-534af2682502</t>
  </si>
  <si>
    <t>Transport, freight, lorry, diesel, 3.5t gross weight, 2020, EURO-VI, long haul {CH}</t>
  </si>
  <si>
    <t>f12c6c19-7160-39b4-8ef5-4feacc586f56</t>
  </si>
  <si>
    <t>Transport, freight, lorry, diesel, 3.5t gross weight, 2020, EURO-VI, long haul {RER}</t>
  </si>
  <si>
    <t>9e397efc-9208-39a7-9a2c-8b3c51243b02</t>
  </si>
  <si>
    <t>Transport, freight, lorry, diesel, 3.5t gross weight, 2020, EURO-VI, regional delivery {CH}</t>
  </si>
  <si>
    <t>6ec376f9-8522-361e-bbb9-9880f6316df3</t>
  </si>
  <si>
    <t>Transport, freight, lorry, diesel, 3.5t gross weight, 2020, EURO-VI, regional delivery {RER}</t>
  </si>
  <si>
    <t>030350dd-2991-3c94-86c3-acb7612ebd04</t>
  </si>
  <si>
    <t>Transport, freight, lorry, diesel, 3.5t gross weight, 2020, EURO-VI, urban delivery {CH}</t>
  </si>
  <si>
    <t>1363ac7a-6c44-3cf2-89ab-659645a19ef9</t>
  </si>
  <si>
    <t>Transport, freight, lorry, diesel, 3.5t gross weight, 2020, EURO-VI, urban delivery {RER}</t>
  </si>
  <si>
    <t>7c9e7760-9c79-3d8e-b866-b31ff7963a84</t>
  </si>
  <si>
    <t>Transport, freight, lorry, diesel, 32t gross weight, 2002, EURO-III, long haul {CH}</t>
  </si>
  <si>
    <t>56ac9340-2887-3e12-bc1f-f3516b51a392</t>
  </si>
  <si>
    <t>Transport, freight, lorry, diesel, 32t gross weight, 2002, EURO-III, long haul {RER}</t>
  </si>
  <si>
    <t>fcadfd68-ef84-328f-ae8e-8653eda119c3</t>
  </si>
  <si>
    <t>Transport, freight, lorry, diesel, 32t gross weight, 2002, EURO-III, regional delivery {CH}</t>
  </si>
  <si>
    <t>b979fec9-8204-3a13-89de-f89d41cb4112</t>
  </si>
  <si>
    <t>Transport, freight, lorry, diesel, 32t gross weight, 2002, EURO-III, regional delivery {RER}</t>
  </si>
  <si>
    <t>806d1eae-b667-3126-a78e-88f261acd61a</t>
  </si>
  <si>
    <t>Transport, freight, lorry, diesel, 32t gross weight, 2002, EURO-III, urban delivery {CH}</t>
  </si>
  <si>
    <t>2c5c0efd-28b4-38cc-84bb-79566698a238</t>
  </si>
  <si>
    <t>Transport, freight, lorry, diesel, 32t gross weight, 2002, EURO-III, urban delivery {RER}</t>
  </si>
  <si>
    <t>2260a40b-7aac-327b-9db1-9a18bb498b05</t>
  </si>
  <si>
    <t>Transport, freight, lorry, diesel, 32t gross weight, 2006, EURO-IV, long haul {CH}</t>
  </si>
  <si>
    <t>c8dded7f-57f5-3d22-a502-d3b621f90025</t>
  </si>
  <si>
    <t>Transport, freight, lorry, diesel, 32t gross weight, 2006, EURO-IV, long haul {RER}</t>
  </si>
  <si>
    <t>3c5b0916-735f-3bef-8743-920850ab264a</t>
  </si>
  <si>
    <t>Transport, freight, lorry, diesel, 32t gross weight, 2006, EURO-IV, regional delivery {CH}</t>
  </si>
  <si>
    <t>20faac32-c0ac-39b1-8be2-603bb6074922</t>
  </si>
  <si>
    <t>Transport, freight, lorry, diesel, 32t gross weight, 2006, EURO-IV, regional delivery {RER}</t>
  </si>
  <si>
    <t>61679512-bddb-3f08-9b2c-a4ed8748152b</t>
  </si>
  <si>
    <t>Transport, freight, lorry, diesel, 32t gross weight, 2006, EURO-IV, urban delivery {CH}</t>
  </si>
  <si>
    <t>3c1f0fe3-ef47-3d64-aff5-93e9d6183808</t>
  </si>
  <si>
    <t>Transport, freight, lorry, diesel, 32t gross weight, 2006, EURO-IV, urban delivery {RER}</t>
  </si>
  <si>
    <t>f7d92019-5ce8-3afe-bc2d-2d181fc38f52</t>
  </si>
  <si>
    <t>Transport, freight, lorry, diesel, 32t gross weight, 2010, EURO-V, long haul {CH}</t>
  </si>
  <si>
    <t>3a24d287-0e71-3be0-8c73-855b24f4f965</t>
  </si>
  <si>
    <t>Transport, freight, lorry, diesel, 32t gross weight, 2010, EURO-V, long haul {RER}</t>
  </si>
  <si>
    <t>eeaf58e8-5d46-30c5-9ad2-871515be4a22</t>
  </si>
  <si>
    <t>Transport, freight, lorry, diesel, 32t gross weight, 2010, EURO-V, regional delivery {CH}</t>
  </si>
  <si>
    <t>cb73ca5e-9f27-32ad-b4b9-69479124884d</t>
  </si>
  <si>
    <t>Transport, freight, lorry, diesel, 32t gross weight, 2010, EURO-V, regional delivery {RER}</t>
  </si>
  <si>
    <t>7e999399-ab2b-3543-853f-85556f1e9f3d</t>
  </si>
  <si>
    <t>Transport, freight, lorry, diesel, 32t gross weight, 2010, EURO-V, urban delivery {CH}</t>
  </si>
  <si>
    <t>a722b03c-d195-30bd-8f03-4ee8f6c5beb1</t>
  </si>
  <si>
    <t>Transport, freight, lorry, diesel, 32t gross weight, 2010, EURO-V, urban delivery {RER}</t>
  </si>
  <si>
    <t>e6fb4ac8-02a4-34ce-8554-37c2b55c8fc7</t>
  </si>
  <si>
    <t>Transport, freight, lorry, diesel, 32t gross weight, 2020, EURO-VI, long haul {CH}</t>
  </si>
  <si>
    <t>daff3e76-05d3-3eb2-b395-488584619a6f</t>
  </si>
  <si>
    <t>Transport, freight, lorry, diesel, 32t gross weight, 2020, EURO-VI, long haul {RER}</t>
  </si>
  <si>
    <t>44f3c690-7180-3387-910a-b9e62756202d</t>
  </si>
  <si>
    <t>Transport, freight, lorry, diesel, 32t gross weight, 2020, EURO-VI, regional delivery {CH}</t>
  </si>
  <si>
    <t>3cb2c77f-49f6-3039-9db6-a34a90945e61</t>
  </si>
  <si>
    <t>Transport, freight, lorry, diesel, 32t gross weight, 2020, EURO-VI, regional delivery {RER}</t>
  </si>
  <si>
    <t>4984e463-dc18-37d1-8aa4-2d76368b4da9</t>
  </si>
  <si>
    <t>Transport, freight, lorry, diesel, 32t gross weight, 2020, EURO-VI, urban delivery {CH}</t>
  </si>
  <si>
    <t>1076f816-ae30-30a4-9d5f-3dd3bf3d6448</t>
  </si>
  <si>
    <t>Transport, freight, lorry, diesel, 32t gross weight, 2020, EURO-VI, urban delivery {RER}</t>
  </si>
  <si>
    <t>f085d52e-1b12-3eb5-acdd-36faf898e0df</t>
  </si>
  <si>
    <t>Transport, freight, lorry, diesel, 32t gross weight, fleet average, long haul {CH}</t>
  </si>
  <si>
    <t>49a3284a-108c-33e6-9f9f-335dbc9fc205</t>
  </si>
  <si>
    <t>Transport, freight, lorry, diesel, 32t gross weight, fleet average, regional delivery {CH}</t>
  </si>
  <si>
    <t>9dd4f04d-1305-38a9-a3b8-1b852f488d96</t>
  </si>
  <si>
    <t>Transport, freight, lorry, diesel, 32t gross weight, fleet average, urban delivery {CH}</t>
  </si>
  <si>
    <t>db8da288-d707-3f18-8e67-00ddcc9b8868</t>
  </si>
  <si>
    <t>Transport, freight, lorry, diesel, 40t gross weight, 2002, EURO-III, long haul {CH}</t>
  </si>
  <si>
    <t>fc0e69c4-a51a-3289-bf78-f95e3c45249b</t>
  </si>
  <si>
    <t>Transport, freight, lorry, diesel, 40t gross weight, 2002, EURO-III, long haul {RER}</t>
  </si>
  <si>
    <t>faf63584-dcfa-33bf-b08e-2485fb2f23b0</t>
  </si>
  <si>
    <t>Transport, freight, lorry, diesel, 40t gross weight, 2002, EURO-III, regional delivery {CH}</t>
  </si>
  <si>
    <t>4eb7a412-e45f-3071-8c8f-9d6e2f7f2807</t>
  </si>
  <si>
    <t>Transport, freight, lorry, diesel, 40t gross weight, 2002, EURO-III, regional delivery {RER}</t>
  </si>
  <si>
    <t>d7605217-d8ad-30d1-85f1-29db642b6845</t>
  </si>
  <si>
    <t>Transport, freight, lorry, diesel, 40t gross weight, 2002, EURO-III, urban delivery {CH}</t>
  </si>
  <si>
    <t>59faffb2-52ae-3919-8d4f-2e9c6b071037</t>
  </si>
  <si>
    <t>Transport, freight, lorry, diesel, 40t gross weight, 2002, EURO-III, urban delivery {RER}</t>
  </si>
  <si>
    <t>5833e2f4-c9ec-3e33-bd44-f8606f5c69ad</t>
  </si>
  <si>
    <t>Transport, freight, lorry, diesel, 40t gross weight, 2006, EURO-IV, long haul {CH}</t>
  </si>
  <si>
    <t>37804652-ade8-3ee4-bf3d-672f07259c42</t>
  </si>
  <si>
    <t>Transport, freight, lorry, diesel, 40t gross weight, 2006, EURO-IV, long haul {RER}</t>
  </si>
  <si>
    <t>ca7c227d-7cdc-32d8-8c5a-13462db8bc5f</t>
  </si>
  <si>
    <t>Transport, freight, lorry, diesel, 40t gross weight, 2006, EURO-IV, regional delivery {CH}</t>
  </si>
  <si>
    <t>b8e4d034-6393-3d9f-935a-ec5c34572332</t>
  </si>
  <si>
    <t>Transport, freight, lorry, diesel, 40t gross weight, 2006, EURO-IV, regional delivery {RER}</t>
  </si>
  <si>
    <t>fafff1cb-7576-3604-ab3e-b9fe6840b526</t>
  </si>
  <si>
    <t>Transport, freight, lorry, diesel, 40t gross weight, 2006, EURO-IV, urban delivery {CH}</t>
  </si>
  <si>
    <t>796a7482-e12c-363c-bb30-031fefe654f9</t>
  </si>
  <si>
    <t>Transport, freight, lorry, diesel, 40t gross weight, 2006, EURO-IV, urban delivery {RER}</t>
  </si>
  <si>
    <t>80bd0a8f-26bc-3907-9793-e29bd73ec16f</t>
  </si>
  <si>
    <t>Transport, freight, lorry, diesel, 40t gross weight, 2010, EURO-V, long haul {CH}</t>
  </si>
  <si>
    <t>be33b3c3-7af1-3a4c-b8de-9574d2d8b59d</t>
  </si>
  <si>
    <t>Transport, freight, lorry, diesel, 40t gross weight, 2010, EURO-V, long haul {RER}</t>
  </si>
  <si>
    <t>93d13168-f4d2-3c63-abb4-f328fcb998cc</t>
  </si>
  <si>
    <t>Transport, freight, lorry, diesel, 40t gross weight, 2010, EURO-V, regional delivery {CH}</t>
  </si>
  <si>
    <t>89050013-4ad8-3788-8d41-8ac5f05cdf15</t>
  </si>
  <si>
    <t>Transport, freight, lorry, diesel, 40t gross weight, 2010, EURO-V, regional delivery {RER}</t>
  </si>
  <si>
    <t>44a1bea9-a9d9-360f-b684-2131765c6c57</t>
  </si>
  <si>
    <t>Transport, freight, lorry, diesel, 40t gross weight, 2010, EURO-V, urban delivery {CH}</t>
  </si>
  <si>
    <t>84837e1f-d673-3c83-b67c-dd4c15af0311</t>
  </si>
  <si>
    <t>Transport, freight, lorry, diesel, 40t gross weight, 2010, EURO-V, urban delivery {RER}</t>
  </si>
  <si>
    <t>08dd35c5-6ee6-3d81-91ed-9620cc14872c</t>
  </si>
  <si>
    <t>Transport, freight, lorry, diesel, 40t gross weight, 2020, EURO-VI, long haul {CH}</t>
  </si>
  <si>
    <t>9a7385b7-b5c3-3935-b6d6-c1809329b2ff</t>
  </si>
  <si>
    <t>Transport, freight, lorry, diesel, 40t gross weight, 2020, EURO-VI, long haul {RER}</t>
  </si>
  <si>
    <t>991ce3c2-96a7-3003-bc36-d8c2f75bd4ae</t>
  </si>
  <si>
    <t>Transport, freight, lorry, diesel, 40t gross weight, 2020, EURO-VI, regional delivery {CH}</t>
  </si>
  <si>
    <t>ade66f4e-e9ea-363c-927e-e52f0cdb0ebc</t>
  </si>
  <si>
    <t>Transport, freight, lorry, diesel, 40t gross weight, 2020, EURO-VI, regional delivery {RER}</t>
  </si>
  <si>
    <t>ddebc27b-28fe-350a-aede-6312610dfa8d</t>
  </si>
  <si>
    <t>Transport, freight, lorry, diesel, 40t gross weight, 2020, EURO-VI, urban delivery {CH}</t>
  </si>
  <si>
    <t>bc92e467-4f9f-385f-82cc-541b23925a8a</t>
  </si>
  <si>
    <t>Transport, freight, lorry, diesel, 40t gross weight, 2020, EURO-VI, urban delivery {RER}</t>
  </si>
  <si>
    <t>0115291f-7121-3b54-b2a1-e3162df71b07</t>
  </si>
  <si>
    <t>Transport, freight, lorry, diesel, 40t gross weight, fleet average, long haul {CH}</t>
  </si>
  <si>
    <t>77dec289-4ac7-3bfa-8c10-71728bd3c476</t>
  </si>
  <si>
    <t>Transport, freight, lorry, diesel, 40t gross weight, fleet average, long haul {RER}</t>
  </si>
  <si>
    <t>8e930215-3b7e-35e1-8cd5-6401ded239af</t>
  </si>
  <si>
    <t>Transport, freight, lorry, diesel, 40t gross weight, fleet average, regional delivery {CH}</t>
  </si>
  <si>
    <t>820f838c-1f9b-3ad6-8ec1-02a5aaca5994</t>
  </si>
  <si>
    <t>Transport, freight, lorry, diesel, 40t gross weight, fleet average, regional delivery {RER}</t>
  </si>
  <si>
    <t>61e0eeec-7049-3e97-b38f-694a457eba6e</t>
  </si>
  <si>
    <t>Transport, freight, lorry, diesel, 40t gross weight, fleet average, urban delivery {CH}</t>
  </si>
  <si>
    <t>5ecd88c2-692f-376b-aa41-c67b6bfa3b6e</t>
  </si>
  <si>
    <t>Transport, freight, lorry, diesel, 40t gross weight, fleet average, urban delivery {RER}</t>
  </si>
  <si>
    <t>755e8eb0-622c-3eaa-816a-4cb9e8a6b20d</t>
  </si>
  <si>
    <t>Transport, freight, lorry, diesel, 7.5t gross weight, 2002, EURO-III, long haul {CH}</t>
  </si>
  <si>
    <t>12129f0e-b5b6-30e0-b762-da67b7462f01</t>
  </si>
  <si>
    <t>Transport, freight, lorry, diesel, 7.5t gross weight, 2002, EURO-III, long haul {RER}</t>
  </si>
  <si>
    <t>d0f07317-2b4c-3ee4-aaf5-5e7991a5f4b7</t>
  </si>
  <si>
    <t>Transport, freight, lorry, diesel, 7.5t gross weight, 2002, EURO-III, regional delivery {CH}</t>
  </si>
  <si>
    <t>3570af4b-bf2b-30a4-a0c0-d341bd2c1de6</t>
  </si>
  <si>
    <t>Transport, freight, lorry, diesel, 7.5t gross weight, 2002, EURO-III, regional delivery {RER}</t>
  </si>
  <si>
    <t>dfd04c1e-83f1-31b5-aa3b-261b809736da</t>
  </si>
  <si>
    <t>Transport, freight, lorry, diesel, 7.5t gross weight, 2002, EURO-III, urban delivery {CH}</t>
  </si>
  <si>
    <t>e09e7cfb-92fc-3c36-8676-7adcc89f61b6</t>
  </si>
  <si>
    <t>Transport, freight, lorry, diesel, 7.5t gross weight, 2002, EURO-III, urban delivery {RER}</t>
  </si>
  <si>
    <t>013d1e53-b23d-3509-89e1-d1577ec83b51</t>
  </si>
  <si>
    <t>Transport, freight, lorry, diesel, 7.5t gross weight, 2006, EURO-IV, long haul {CH}</t>
  </si>
  <si>
    <t>5878d843-a36b-37b8-bef7-cab770984f6f</t>
  </si>
  <si>
    <t>Transport, freight, lorry, diesel, 7.5t gross weight, 2006, EURO-IV, long haul {RER}</t>
  </si>
  <si>
    <t>5b9d167d-6463-3c60-899a-a46d29cc2e05</t>
  </si>
  <si>
    <t>Transport, freight, lorry, diesel, 7.5t gross weight, 2006, EURO-IV, regional delivery {CH}</t>
  </si>
  <si>
    <t>6f913f28-af3a-3ce0-a754-a40d979445d4</t>
  </si>
  <si>
    <t>Transport, freight, lorry, diesel, 7.5t gross weight, 2006, EURO-IV, regional delivery {RER}</t>
  </si>
  <si>
    <t>f06fa4b7-76ff-3fde-b25a-41ebe936ae64</t>
  </si>
  <si>
    <t>Transport, freight, lorry, diesel, 7.5t gross weight, 2006, EURO-IV, urban delivery {CH}</t>
  </si>
  <si>
    <t>ec01dff2-2b39-36d1-a219-45d824b19e20</t>
  </si>
  <si>
    <t>Transport, freight, lorry, diesel, 7.5t gross weight, 2006, EURO-IV, urban delivery {RER}</t>
  </si>
  <si>
    <t>53ed8515-811e-33d1-bdc2-dc6875021f36</t>
  </si>
  <si>
    <t>Transport, freight, lorry, diesel, 7.5t gross weight, 2010, EURO-V, long haul {CH}</t>
  </si>
  <si>
    <t>b396f9e7-7a3d-320c-8690-e57ef1bda6f3</t>
  </si>
  <si>
    <t>Transport, freight, lorry, diesel, 7.5t gross weight, 2010, EURO-V, long haul {RER}</t>
  </si>
  <si>
    <t>84a263c0-eb08-3ddd-a744-54aa8a75783e</t>
  </si>
  <si>
    <t>Transport, freight, lorry, diesel, 7.5t gross weight, 2010, EURO-V, regional delivery {CH}</t>
  </si>
  <si>
    <t>2dcb94fb-c0ee-3c4c-9e8c-06f71b3291e0</t>
  </si>
  <si>
    <t>Transport, freight, lorry, diesel, 7.5t gross weight, 2010, EURO-V, regional delivery {RER}</t>
  </si>
  <si>
    <t>441143e9-9c8c-3eda-93b2-878a542a27a9</t>
  </si>
  <si>
    <t>Transport, freight, lorry, diesel, 7.5t gross weight, 2010, EURO-V, urban delivery {CH}</t>
  </si>
  <si>
    <t>afdd8f5e-7e0e-30f6-bafa-4c85c1985f6b</t>
  </si>
  <si>
    <t>Transport, freight, lorry, diesel, 7.5t gross weight, 2010, EURO-V, urban delivery {RER}</t>
  </si>
  <si>
    <t>9e768931-0e1b-34f6-86c0-1e3ba069dc80</t>
  </si>
  <si>
    <t>Transport, freight, lorry, diesel, 7.5t gross weight, 2020, EURO-VI, long haul {CH}</t>
  </si>
  <si>
    <t>f274c6ee-3887-3970-a9ec-2aa98d1b2a5d</t>
  </si>
  <si>
    <t>Transport, freight, lorry, diesel, 7.5t gross weight, 2020, EURO-VI, long haul {RER}</t>
  </si>
  <si>
    <t>0e9d8c49-fce9-3533-ab50-9d2abd207653</t>
  </si>
  <si>
    <t>Transport, freight, lorry, diesel, 7.5t gross weight, 2020, EURO-VI, regional delivery {CH}</t>
  </si>
  <si>
    <t>2504e02c-ea22-3e66-a40e-3ace9b13703f</t>
  </si>
  <si>
    <t>Transport, freight, lorry, diesel, 7.5t gross weight, 2020, EURO-VI, regional delivery {RER}</t>
  </si>
  <si>
    <t>7b717d49-3ee3-32d4-aaec-b35ad46e1e7a</t>
  </si>
  <si>
    <t>Transport, freight, lorry, diesel, 7.5t gross weight, 2020, EURO-VI, urban delivery {CH}</t>
  </si>
  <si>
    <t>9a2b360f-e4a5-3473-a506-0192fe695db2</t>
  </si>
  <si>
    <t>Transport, freight, lorry, diesel, 7.5t gross weight, 2020, EURO-VI, urban delivery {RER}</t>
  </si>
  <si>
    <t>9f1b7557-e3d6-38b1-b985-dd3d0521edbc</t>
  </si>
  <si>
    <t>Transport, freight, lorry, diesel, 7.5t gross weight, fleet average, long haul {CH}</t>
  </si>
  <si>
    <t>5afef553-9f0a-3ba3-a79a-bc84d41f1c1e</t>
  </si>
  <si>
    <t>Transport, freight, lorry, diesel, 7.5t gross weight, fleet average, long haul {RER}</t>
  </si>
  <si>
    <t>bb83270b-29a0-3020-a207-5b18c64dd986</t>
  </si>
  <si>
    <t>Transport, freight, lorry, diesel, 7.5t gross weight, fleet average, regional delivery {CH}</t>
  </si>
  <si>
    <t>ed892431-ba46-3129-804c-bed81ad78ec3</t>
  </si>
  <si>
    <t>Transport, freight, lorry, diesel, 7.5t gross weight, fleet average, regional delivery {RER}</t>
  </si>
  <si>
    <t>5057a4fe-8efa-32c9-9015-6e453ab3702f</t>
  </si>
  <si>
    <t>Transport, freight, lorry, diesel, 7.5t gross weight, fleet average, urban delivery {CH}</t>
  </si>
  <si>
    <t>5405212b-02c8-36e0-be47-c71b0dd59c97</t>
  </si>
  <si>
    <t>Transport, freight, lorry, diesel, 7.5t gross weight, fleet average, urban delivery {RER}</t>
  </si>
  <si>
    <t>18922095-b24e-3ab8-87ab-6ac0aca9f3d2</t>
  </si>
  <si>
    <t>Transport, freight, lorry, diesel, fleet average, long haul {CH}</t>
  </si>
  <si>
    <t>458df7b1-20d3-3152-bd6c-3c9074be8ea4</t>
  </si>
  <si>
    <t>Transport, freight, lorry, diesel, fleet average, long haul {RER}</t>
  </si>
  <si>
    <t>38e51da6-17de-3ea7-b780-26eb45f7132b</t>
  </si>
  <si>
    <t>Transport, freight, lorry, diesel, fleet average, regional delivery {CH}</t>
  </si>
  <si>
    <t>f5148041-0acb-3181-8c0f-174703c256b6</t>
  </si>
  <si>
    <t>Transport, freight, lorry, diesel, fleet average, regional delivery {RER}</t>
  </si>
  <si>
    <t>aa48db61-cf90-302d-9f2d-ff0d99f32195</t>
  </si>
  <si>
    <t>Transport, freight, lorry, diesel, fleet average, urban delivery {CH}</t>
  </si>
  <si>
    <t>e81da411-5212-32c9-acbc-8cd24237b36b</t>
  </si>
  <si>
    <t>Transport, freight, lorry, diesel, fleet average, urban delivery {RER}</t>
  </si>
  <si>
    <t>f9aefad7-62b3-3d15-a803-b9d0ca66c3d3</t>
  </si>
  <si>
    <t>Transport, freight, lorry, fleet average {CH}</t>
  </si>
  <si>
    <t>cedd6b69-4829-358e-9ea2-f280e8ac03cb</t>
  </si>
  <si>
    <t>Transport, freight, lorry, fleet average {RER}</t>
  </si>
  <si>
    <t>99f8a4b0-99b5-3130-924c-5de4c10b62ef</t>
  </si>
  <si>
    <t>Transport, freight, lorry, fuel cell electric, hydrogen from electrolysis, 18t gross weight, 2020, long haul {CH}</t>
  </si>
  <si>
    <t>3a31a57b-df92-346c-86c3-379a195876de</t>
  </si>
  <si>
    <t>Transport, freight, lorry, fuel cell electric, hydrogen from electrolysis, 18t gross weight, 2020, regional delivery {CH}</t>
  </si>
  <si>
    <t>4e2f989d-d858-396f-8be9-0b9c1680d3e9</t>
  </si>
  <si>
    <t>Transport, freight, lorry, fuel cell electric, hydrogen from electrolysis, 18t gross weight, 2020, urban delivery {CH}</t>
  </si>
  <si>
    <t>b8c822d5-0588-3682-8055-c7d5379a88f3</t>
  </si>
  <si>
    <t>Transport, freight, lorry, fuel cell electric, hydrogen from electrolysis, 26t gross weight, 2020, long haul {CH}</t>
  </si>
  <si>
    <t>330f9805-1002-3101-839d-ebcc18cd0a96</t>
  </si>
  <si>
    <t>Transport, freight, lorry, fuel cell electric, hydrogen from electrolysis, 26t gross weight, 2020, regional delivery {CH}</t>
  </si>
  <si>
    <t>fabc4c1d-2cbc-3830-abda-3164508fc060</t>
  </si>
  <si>
    <t>Transport, freight, lorry, fuel cell electric, hydrogen from electrolysis, 26t gross weight, 2020, urban delivery {CH}</t>
  </si>
  <si>
    <t>a14093fa-ae70-3dfc-aa35-19f00ae53e40</t>
  </si>
  <si>
    <t>Transport, freight, lorry, fuel cell electric, hydrogen from electrolysis, 3.5t gross weight, 2020, long haul {CH}</t>
  </si>
  <si>
    <t>62e06012-581b-372b-bb38-6d1956e40c28</t>
  </si>
  <si>
    <t>Transport, freight, lorry, fuel cell electric, hydrogen from electrolysis, 3.5t gross weight, 2020, regional delivery {CH}</t>
  </si>
  <si>
    <t>28101416-b2ab-39dd-bbb9-86c2f251be29</t>
  </si>
  <si>
    <t>Transport, freight, lorry, fuel cell electric, hydrogen from electrolysis, 3.5t gross weight, 2020, urban delivery {CH}</t>
  </si>
  <si>
    <t>e29bd342-2e82-3791-b1b5-f2cb85004ffb</t>
  </si>
  <si>
    <t>Transport, freight, lorry, fuel cell electric, hydrogen from electrolysis, 32t gross weight, 2020, long haul {CH}</t>
  </si>
  <si>
    <t>2744eb6e-a15a-3c76-bf6e-aa9d61cf2021</t>
  </si>
  <si>
    <t>Transport, freight, lorry, fuel cell electric, hydrogen from electrolysis, 32t gross weight, 2020, regional delivery {CH}</t>
  </si>
  <si>
    <t>c0ea12fc-d7fc-3d92-b1c6-291953fc4c3e</t>
  </si>
  <si>
    <t>Transport, freight, lorry, fuel cell electric, hydrogen from electrolysis, 32t gross weight, 2020, urban delivery {CH}</t>
  </si>
  <si>
    <t>97fb92eb-8687-3edc-ab9b-d16aaa5e3563</t>
  </si>
  <si>
    <t>Transport, freight, lorry, fuel cell electric, hydrogen from electrolysis, 40t gross weight, 2020, long haul {CH}</t>
  </si>
  <si>
    <t>c9bb24d1-da78-34ff-872d-820f741e4946</t>
  </si>
  <si>
    <t>Transport, freight, lorry, fuel cell electric, hydrogen from electrolysis, 40t gross weight, 2020, regional delivery {CH}</t>
  </si>
  <si>
    <t>e5e88007-35d0-30a5-ac7b-970293886ce1</t>
  </si>
  <si>
    <t>Transport, freight, lorry, fuel cell electric, hydrogen from electrolysis, 40t gross weight, 2020, urban delivery {CH}</t>
  </si>
  <si>
    <t>092e292e-6d97-3a55-b944-9f3ab63a8dbc</t>
  </si>
  <si>
    <t>Transport, freight, lorry, fuel cell electric, hydrogen from electrolysis, 7.5t gross weight, 2020, long haul {CH}</t>
  </si>
  <si>
    <t>f8489941-698a-3329-856d-bc5f7e44b064</t>
  </si>
  <si>
    <t>Transport, freight, lorry, fuel cell electric, hydrogen from electrolysis, 7.5t gross weight, 2020, regional delivery {CH}</t>
  </si>
  <si>
    <t>a4af2ff9-6f29-300b-ba1a-56d98e3b987b</t>
  </si>
  <si>
    <t>Transport, freight, lorry, fuel cell electric, hydrogen from electrolysis, 7.5t gross weight, 2020, urban delivery {CH}</t>
  </si>
  <si>
    <t>efb896c5-e6b1-3257-a369-6c99c7652a76</t>
  </si>
  <si>
    <t>Transport, freight, lorry, fuel cell electric, hydrogen from electrolysis, label-certified electricity, 18t gross weight, 2020, long haul {CH}</t>
  </si>
  <si>
    <t>b91f9655-b3ad-31d9-923d-eace341db137</t>
  </si>
  <si>
    <t>Transport, freight, lorry, fuel cell electric, hydrogen from electrolysis, label-certified electricity, 18t gross weight, 2020, regional delivery {CH}</t>
  </si>
  <si>
    <t>6b6172ee-6ba0-340c-abd8-f0d0ad407f3b</t>
  </si>
  <si>
    <t>Transport, freight, lorry, fuel cell electric, hydrogen from electrolysis, label-certified electricity, 18t gross weight, 2020, urban delivery {CH}</t>
  </si>
  <si>
    <t>2df1dd5a-e651-399c-866c-c0cbb8811d5e</t>
  </si>
  <si>
    <t>Transport, freight, lorry, fuel cell electric, hydrogen from electrolysis, label-certified electricity, 26t gross weight, 2020, long haul {CH}</t>
  </si>
  <si>
    <t>f8c160f4-f319-3c46-b797-eb3c4d4d7321</t>
  </si>
  <si>
    <t>Transport, freight, lorry, fuel cell electric, hydrogen from electrolysis, label-certified electricity, 26t gross weight, 2020, regional delivery {CH}</t>
  </si>
  <si>
    <t>05d9268d-ec2f-3e01-a78b-d865ab9e50ed</t>
  </si>
  <si>
    <t>Transport, freight, lorry, fuel cell electric, hydrogen from electrolysis, label-certified electricity, 26t gross weight, 2020, urban delivery {CH}</t>
  </si>
  <si>
    <t>e4f67e1a-ae3f-3682-a688-786a5fb11ffc</t>
  </si>
  <si>
    <t>Transport, freight, lorry, fuel cell electric, hydrogen from electrolysis, label-certified electricity, 3.5t gross weight, 2020, long haul {CH}</t>
  </si>
  <si>
    <t>0a5a9158-1ac8-3d61-a3f8-805d6f091478</t>
  </si>
  <si>
    <t>Transport, freight, lorry, fuel cell electric, hydrogen from electrolysis, label-certified electricity, 3.5t gross weight, 2020, regional delivery {CH}</t>
  </si>
  <si>
    <t>768d757f-1ef3-3209-87f8-c1dad36fb01f</t>
  </si>
  <si>
    <t>Transport, freight, lorry, fuel cell electric, hydrogen from electrolysis, label-certified electricity, 3.5t gross weight, 2020, urban delivery {CH}</t>
  </si>
  <si>
    <t>929bab04-701f-3e63-b09f-c45acb76c7a5</t>
  </si>
  <si>
    <t>Transport, freight, lorry, fuel cell electric, hydrogen from electrolysis, label-certified electricity, 32t gross weight, 2020, long haul {CH}</t>
  </si>
  <si>
    <t>2a37e01c-0b36-3929-be7b-6bd1180372fb</t>
  </si>
  <si>
    <t>Transport, freight, lorry, fuel cell electric, hydrogen from electrolysis, label-certified electricity, 32t gross weight, 2020, regional delivery {CH}</t>
  </si>
  <si>
    <t>26f8d3fe-7375-3c3d-8c30-37a732ec2242</t>
  </si>
  <si>
    <t>Transport, freight, lorry, fuel cell electric, hydrogen from electrolysis, label-certified electricity, 32t gross weight, 2020, urban delivery {CH}</t>
  </si>
  <si>
    <t>7fbd39e4-fe42-3a50-b252-4589d338ef3d</t>
  </si>
  <si>
    <t>Transport, freight, lorry, fuel cell electric, hydrogen from electrolysis, label-certified electricity, 40t gross weight, 2020, long haul {CH}</t>
  </si>
  <si>
    <t>bf2fc318-678f-3dfe-8009-554733ae1ac9</t>
  </si>
  <si>
    <t>Transport, freight, lorry, fuel cell electric, hydrogen from electrolysis, label-certified electricity, 40t gross weight, 2020, regional delivery {CH}</t>
  </si>
  <si>
    <t>df41889b-be20-31b4-8dd3-47e446087378</t>
  </si>
  <si>
    <t>Transport, freight, lorry, fuel cell electric, hydrogen from electrolysis, label-certified electricity, 40t gross weight, 2020, urban delivery {CH}</t>
  </si>
  <si>
    <t>0a08f6a9-407e-3081-80ea-65c333961d57</t>
  </si>
  <si>
    <t>Transport, freight, lorry, fuel cell electric, hydrogen from electrolysis, label-certified electricity, 7.5t gross weight, 2020, long haul {CH}</t>
  </si>
  <si>
    <t>d9bbdee6-fc07-3fe2-b352-93ffef089fa5</t>
  </si>
  <si>
    <t>Transport, freight, lorry, fuel cell electric, hydrogen from electrolysis, label-certified electricity, 7.5t gross weight, 2020, regional delivery {CH}</t>
  </si>
  <si>
    <t>160b3f04-28f5-300c-bd8e-f882ec79cdc6</t>
  </si>
  <si>
    <t>Transport, freight, lorry, fuel cell electric, hydrogen from electrolysis, label-certified electricity, 7.5t gross weight, 2020, urban delivery {CH}</t>
  </si>
  <si>
    <t>63c14a43-1c45-3e63-b28d-af57e52c005a</t>
  </si>
  <si>
    <t>Transport, freight, lorry, fuel cell electric, hydrogen from SMR of natural gas, 18t gross weight, 2020, long haul {CH}</t>
  </si>
  <si>
    <t>f53eacb5-1c15-3b4f-8c1e-012dd04c3d1a</t>
  </si>
  <si>
    <t>Transport, freight, lorry, fuel cell electric, hydrogen from SMR of natural gas, 18t gross weight, 2020, regional delivery {CH}</t>
  </si>
  <si>
    <t>aa3cbed7-116e-3025-bee0-bc65f4e8b8f6</t>
  </si>
  <si>
    <t>Transport, freight, lorry, fuel cell electric, hydrogen from SMR of natural gas, 18t gross weight, 2020, urban delivery {CH}</t>
  </si>
  <si>
    <t>54e8814e-89aa-376f-84a1-92db95a88529</t>
  </si>
  <si>
    <t>Transport, freight, lorry, fuel cell electric, hydrogen from SMR of natural gas, 26t gross weight, 2020, long haul {CH}</t>
  </si>
  <si>
    <t>720f93b6-53b3-3d9b-813f-f2da570b750a</t>
  </si>
  <si>
    <t>Transport, freight, lorry, fuel cell electric, hydrogen from SMR of natural gas, 26t gross weight, 2020, regional delivery {CH}</t>
  </si>
  <si>
    <t>db242b84-a750-3bf9-8ecb-7635d7dbd5d3</t>
  </si>
  <si>
    <t>Transport, freight, lorry, fuel cell electric, hydrogen from SMR of natural gas, 26t gross weight, 2020, urban delivery {CH}</t>
  </si>
  <si>
    <t>609c85e2-3750-3c7b-aa7b-ed02222ec2a0</t>
  </si>
  <si>
    <t>Transport, freight, lorry, fuel cell electric, hydrogen from SMR of natural gas, 3.5t gross weight, 2020, long haul {CH}</t>
  </si>
  <si>
    <t>610ef7b6-1a1b-3399-81b8-dcc7fa56f075</t>
  </si>
  <si>
    <t>Transport, freight, lorry, fuel cell electric, hydrogen from SMR of natural gas, 3.5t gross weight, 2020, regional delivery {CH}</t>
  </si>
  <si>
    <t>3d22aaf8-18bb-35c6-98d0-cc6fd953dbe0</t>
  </si>
  <si>
    <t>Transport, freight, lorry, fuel cell electric, hydrogen from SMR of natural gas, 3.5t gross weight, 2020, urban delivery {CH}</t>
  </si>
  <si>
    <t>e680aa0a-1ba6-3a31-bdf7-a358821e0976</t>
  </si>
  <si>
    <t>Transport, freight, lorry, fuel cell electric, hydrogen from SMR of natural gas, 32t gross weight, 2020, long haul {CH}</t>
  </si>
  <si>
    <t>c0ab3382-3560-3aee-8ea9-d50433d719a8</t>
  </si>
  <si>
    <t>Transport, freight, lorry, fuel cell electric, hydrogen from SMR of natural gas, 32t gross weight, 2020, regional delivery {CH}</t>
  </si>
  <si>
    <t>a2f9841d-83d6-3d78-aafd-d070ca08819e</t>
  </si>
  <si>
    <t>Transport, freight, lorry, fuel cell electric, hydrogen from SMR of natural gas, 32t gross weight, 2020, urban delivery {CH}</t>
  </si>
  <si>
    <t>ef088403-fbf6-33ef-96fc-edfdac9d9403</t>
  </si>
  <si>
    <t>Transport, freight, lorry, fuel cell electric, hydrogen from SMR of natural gas, 40t gross weight, 2020, long haul {CH}</t>
  </si>
  <si>
    <t>5127296e-e846-3144-a741-6874311504ff</t>
  </si>
  <si>
    <t>Transport, freight, lorry, fuel cell electric, hydrogen from SMR of natural gas, 40t gross weight, 2020, regional delivery {CH}</t>
  </si>
  <si>
    <t>5edd05c9-91dc-3391-b952-245f0d251225</t>
  </si>
  <si>
    <t>Transport, freight, lorry, fuel cell electric, hydrogen from SMR of natural gas, 40t gross weight, 2020, urban delivery {CH}</t>
  </si>
  <si>
    <t>420f13cb-de53-346a-83a5-db6fb9c08141</t>
  </si>
  <si>
    <t>Transport, freight, lorry, fuel cell electric, hydrogen from SMR of natural gas, 7.5t gross weight, 2020, long haul {CH}</t>
  </si>
  <si>
    <t>685ddffb-50b1-3e68-aa69-d87b0710f37d</t>
  </si>
  <si>
    <t>Transport, freight, lorry, fuel cell electric, hydrogen from SMR of natural gas, 7.5t gross weight, 2020, regional delivery {CH}</t>
  </si>
  <si>
    <t>211bc5e4-9420-3100-8f22-5306e50006cc</t>
  </si>
  <si>
    <t>Transport, freight, lorry, fuel cell electric, hydrogen from SMR of natural gas, 7.5t gross weight, 2020, urban delivery {CH}</t>
  </si>
  <si>
    <t>567ad7a3-2335-3c30-8bcb-8bf8167960c3</t>
  </si>
  <si>
    <t>Transport, freight, lorry, plugin diesel hybrid, 18t gross weight, 2020, EURO-VI, urban delivery {CH}</t>
  </si>
  <si>
    <t>be2436aa-a41a-31ca-b600-261a9e062380</t>
  </si>
  <si>
    <t>Transport, freight, lorry, plugin diesel hybrid, 26t gross weight, 2020, EURO-VI, urban delivery {CH}</t>
  </si>
  <si>
    <t>af8acdd6-25fe-3b8d-b378-c117872f2bea</t>
  </si>
  <si>
    <t>Transport, freight, lorry, plugin diesel hybrid, 3.5t gross weight, 2020, EURO-VI, urban delivery {CH}</t>
  </si>
  <si>
    <t>02f5df36-2431-3e9b-b492-7b6c0d35a6da</t>
  </si>
  <si>
    <t>Transport, freight, lorry, plugin diesel hybrid, 32t gross weight, 2020, EURO-VI, urban delivery {CH}</t>
  </si>
  <si>
    <t>2a200d28-a2a1-3419-8b00-96e77e2ea413</t>
  </si>
  <si>
    <t>Transport, freight, lorry, plugin diesel hybrid, 40t gross weight, 2020, EURO-VI, urban delivery {CH}</t>
  </si>
  <si>
    <t>97a836a5-ce6f-3a01-97ef-4df04043487e</t>
  </si>
  <si>
    <t>Transport, freight, lorry, plugin diesel hybrid, 7.5t gross weight, 2020, EURO-VI, urban delivery {CH}</t>
  </si>
  <si>
    <t>6e877e46-91c6-3f50-ab86-a9505dd6fd33</t>
  </si>
  <si>
    <t>Transport, freight, lorry, plugin diesel hybrid, label-certified electricity, 18t gross weight, 2020, EURO-VI, urban delivery {CH}</t>
  </si>
  <si>
    <t>e3fb5854-0b3d-3bbc-abff-c864a0794614</t>
  </si>
  <si>
    <t>Transport, freight, lorry, plugin diesel hybrid, label-certified electricity, 26t gross weight, 2020, EURO-VI, urban delivery {CH}</t>
  </si>
  <si>
    <t>70de7cfd-df8c-3c2a-9591-5b4a75a9b068</t>
  </si>
  <si>
    <t>Transport, freight, lorry, plugin diesel hybrid, label-certified electricity, 3.5t gross weight, 2020, EURO-VI, urban delivery {CH}</t>
  </si>
  <si>
    <t>630f9643-37b0-3c26-8c0b-5203f9f0cbf6</t>
  </si>
  <si>
    <t>Transport, freight, lorry, plugin diesel hybrid, label-certified electricity, 32t gross weight, 2020, EURO-VI, urban delivery {CH}</t>
  </si>
  <si>
    <t>9e63bccc-7592-3151-9e4a-91b03f6f68d5</t>
  </si>
  <si>
    <t>Transport, freight, lorry, plugin diesel hybrid, label-certified electricity, 40t gross weight, 2020, EURO-VI, urban delivery {CH}</t>
  </si>
  <si>
    <t>01663952-8947-3181-9f71-bc726591e8e0</t>
  </si>
  <si>
    <t>Transport, freight, lorry, plugin diesel hybrid, label-certified electricity, 7.5t gross weight, 2020, EURO-VI, urban delivery {CH}</t>
  </si>
  <si>
    <t>4604e6ec-3765-3343-8b62-200d28bf06c9</t>
  </si>
  <si>
    <t>Transport, freight, rail {AT}</t>
  </si>
  <si>
    <t>205a0585-45e1-3a1b-bb9f-6c9737441688</t>
  </si>
  <si>
    <t>Transport, freight, rail {BE}</t>
  </si>
  <si>
    <t>56d15a6c-8dd4-31c7-9a26-10d90a9de7c0</t>
  </si>
  <si>
    <t>Transport, freight, rail {DE}</t>
  </si>
  <si>
    <t>83f61965-0dfe-3b0b-bc52-91350642debb</t>
  </si>
  <si>
    <t>Transport, freight, rail {FR}</t>
  </si>
  <si>
    <t>c5e2c89e-9472-376e-b7ef-ea37076bc94c</t>
  </si>
  <si>
    <t>Transport, freight, rail {IT}</t>
  </si>
  <si>
    <t>58a7e50f-91e8-3981-a720-e766e6996848</t>
  </si>
  <si>
    <t>Transport, freight, rail {RER}</t>
  </si>
  <si>
    <t>aacc6120-0e68-3835-8303-5ae37d62c030</t>
  </si>
  <si>
    <t>Transport, freight, rail, diesel {US}</t>
  </si>
  <si>
    <t>f1531262-cef0-3baa-af7c-0fa46b35a111</t>
  </si>
  <si>
    <t>Transport, freight, rail, diesel, with particle filter {CH}</t>
  </si>
  <si>
    <t>66f5b1f6-22d2-3230-96ca-411aa1d5b6c4</t>
  </si>
  <si>
    <t>Transport, freight, rail, diesel, without particle filter {CH}</t>
  </si>
  <si>
    <t>47502bf7-b8aa-39b1-a247-cd9e332b5a8e</t>
  </si>
  <si>
    <t>Transport, freight, rail, electricity only {AT}</t>
  </si>
  <si>
    <t>33f89bc3-9dfc-3362-9148-9990b979bf80</t>
  </si>
  <si>
    <t>Transport, freight, rail, electricity only {DE}</t>
  </si>
  <si>
    <t>0ff249fa-40cf-3c12-9679-b4ba3667f1ff</t>
  </si>
  <si>
    <t>Transport, freight, rail, electricity only {FR}</t>
  </si>
  <si>
    <t>fee56c23-89ad-39ae-867e-22a0fad902cd</t>
  </si>
  <si>
    <t>Transport, freight, rail, electricity only {IT}</t>
  </si>
  <si>
    <t>41566e6c-7084-33c7-a52b-75402ba34868</t>
  </si>
  <si>
    <t>Transport, freight, rail, electricity only {RER}</t>
  </si>
  <si>
    <t>a4af6698-14fd-376e-adb6-338a83a3985f</t>
  </si>
  <si>
    <t>Transport, freight, rail, electricity with shunting {CH}</t>
  </si>
  <si>
    <t>a169f230-3e05-33d0-a12d-f9d6d4d6abf1</t>
  </si>
  <si>
    <t>Transport, freight, rail, electricity with shunting, Betrieb {CH}</t>
  </si>
  <si>
    <t>9028cd76-63ec-3b34-9cf2-1fc655ff70fd</t>
  </si>
  <si>
    <t>Transport, freight, rail, electricity with shunting, Fahrzeug {CH}</t>
  </si>
  <si>
    <t>cb6b3a1b-23ba-36a6-a840-b75409e19d77</t>
  </si>
  <si>
    <t>Transport, freight, rail, electricity with shunting, Infrastruktur {CH}</t>
  </si>
  <si>
    <t>ad11b5b8-60fa-3540-9b71-fc275456de34</t>
  </si>
  <si>
    <t>Transport, freight, rail, electricity without shunting {CH}</t>
  </si>
  <si>
    <t>d78d71e3-e455-3377-8606-599681966753</t>
  </si>
  <si>
    <t>Transport, helicopter, single-engine, LTO cycle {CH}</t>
  </si>
  <si>
    <t>9771bae1-b20e-31ac-a7f7-976025d085b8</t>
  </si>
  <si>
    <t>Transport, helicopter, twin-engine, LTO cycle {CH}</t>
  </si>
  <si>
    <t>71ecba42-4d7a-33f3-84ad-742e70986cf1</t>
  </si>
  <si>
    <t>Transport, high speed train {DE}</t>
  </si>
  <si>
    <t>6ceccef0-314d-3f59-835d-e8d7130e6e96</t>
  </si>
  <si>
    <t>Transport, high speed train {FR}</t>
  </si>
  <si>
    <t>b78d3312-efbb-34fa-8f13-0fb54e6650ca</t>
  </si>
  <si>
    <t>Transport, high speed train {IT}</t>
  </si>
  <si>
    <t>f9539d76-7cd9-35f4-92a4-c9c2027fa979</t>
  </si>
  <si>
    <t>Transport, high speed train, Betrieb {DE}</t>
  </si>
  <si>
    <t>36f583c0-02fd-3343-b735-8fd0f262b99a</t>
  </si>
  <si>
    <t>Transport, high speed train, Fahrzeug {DE}</t>
  </si>
  <si>
    <t>28a6ab20-4115-309d-ab4e-858302960c20</t>
  </si>
  <si>
    <t>Transport, high speed train, Infrastruktur {DE}</t>
  </si>
  <si>
    <t>cd607b40-5e80-3892-a07b-1149c1ed9ffc</t>
  </si>
  <si>
    <t>Transport, Kick Scooter, electric, &lt;1kW, LFP battery, 2020 {CH}</t>
  </si>
  <si>
    <t>5391d3ce-458a-3cfe-9738-489f38ba18f3</t>
  </si>
  <si>
    <t>Transport, Kick Scooter, electric, &lt;1kW, NCA battery, 2020 {CH}</t>
  </si>
  <si>
    <t>a33d3a2e-6f2e-3cfd-99ab-4693d4af6012</t>
  </si>
  <si>
    <t>Transport, Kick Scooter, electric, &lt;1kW, NMC battery, 2020 {CH}</t>
  </si>
  <si>
    <t>d595485e-45fa-370c-abca-1890a9b0250c</t>
  </si>
  <si>
    <t>Transport, liquefied natural gas AE, freight ship {OCE}</t>
  </si>
  <si>
    <t>cad22f90-7069-3ac3-8b63-7f442808d48b</t>
  </si>
  <si>
    <t>Transport, liquefied natural gas AO, freight ship {OCE}</t>
  </si>
  <si>
    <t>4dbb9308-7c86-362e-a1a4-28a6a3e4b746</t>
  </si>
  <si>
    <t>Transport, liquefied natural gas AU, freight ship {OCE}</t>
  </si>
  <si>
    <t>5774188b-8724-3b97-aa74-31bc6817dc66</t>
  </si>
  <si>
    <t>Transport, liquefied natural gas DZ, freight ship {OCE}</t>
  </si>
  <si>
    <t>d5f0ee01-7a1f-3cc4-9529-fcf11b694e9c</t>
  </si>
  <si>
    <t>Transport, liquefied natural gas EG, freight ship {OCE}</t>
  </si>
  <si>
    <t>e813f87e-cf46-3c5c-ad64-490b25a18443</t>
  </si>
  <si>
    <t>Transport, liquefied natural gas GQ, freight ship {OCE}</t>
  </si>
  <si>
    <t>c5b66c4d-0bb0-3f88-9ad9-65db8bb5ad1d</t>
  </si>
  <si>
    <t>Transport, liquefied natural gas ID, freight ship {OCE}</t>
  </si>
  <si>
    <t>d496807a-a723-3681-bb5c-4b18c012b9ad</t>
  </si>
  <si>
    <t>Transport, liquefied natural gas MY, freight ship {OCE}</t>
  </si>
  <si>
    <t>cd6489b0-0e0a-3e58-98fd-084dfd4ffd74</t>
  </si>
  <si>
    <t>Transport, liquefied natural gas NG, freight ship {OCE}</t>
  </si>
  <si>
    <t>6cc6e1f7-1b2c-39bc-97ee-68c520772523</t>
  </si>
  <si>
    <t>Transport, liquefied natural gas NO, freight ship {OCE}</t>
  </si>
  <si>
    <t>64ec8064-c703-3a9d-994f-206aee4324b0</t>
  </si>
  <si>
    <t>Transport, liquefied natural gas OM, freight ship {OCE}</t>
  </si>
  <si>
    <t>458ed83a-a119-3992-95c9-05f3f1707072</t>
  </si>
  <si>
    <t>Transport, liquefied natural gas PE, freight ship {OCE}</t>
  </si>
  <si>
    <t>21af137a-34b5-3728-b6e6-87c7e41cf14a</t>
  </si>
  <si>
    <t>Transport, liquefied natural gas QA, freight ship {OCE}</t>
  </si>
  <si>
    <t>6266c93b-0c4c-3805-848e-1d80dcc1e589</t>
  </si>
  <si>
    <t>Transport, liquefied natural gas RU, freight ship {OCE}</t>
  </si>
  <si>
    <t>a0dfcc50-7632-32e7-b0bf-62ed7ce4a702</t>
  </si>
  <si>
    <t>Transport, liquefied natural gas TT, freight ship {OCE}</t>
  </si>
  <si>
    <t>20d99fcd-bca7-3678-b7c2-b340b154efc9</t>
  </si>
  <si>
    <t>Transport, liquefied natural gas US, freight ship {OCE}</t>
  </si>
  <si>
    <t>dd42591b-be4d-34ac-afd6-9e8c2b60d8b7</t>
  </si>
  <si>
    <t>Transport, liquefied natural gas, freight ship {OCE}</t>
  </si>
  <si>
    <t>water\unspecified</t>
  </si>
  <si>
    <t>5c2c05cd-e093-3517-82db-f9a2b1389b70</t>
  </si>
  <si>
    <t>Transport, long-distance train, SBB mix {CH}</t>
  </si>
  <si>
    <t>9bdf6416-f2e1-3d5d-a7f3-516962fb0c6a</t>
  </si>
  <si>
    <t>Transport, long-distance train, SBB mix, Betrieb {CH}</t>
  </si>
  <si>
    <t>8914e219-cf32-3295-9f5f-af29008eac3a</t>
  </si>
  <si>
    <t>Transport, long-distance train, SBB mix, Fahrzeug {CH}</t>
  </si>
  <si>
    <t>174c8b95-db98-3f82-ae03-7c00bde9ea7c</t>
  </si>
  <si>
    <t>Transport, long-distance train, SBB mix, Infrastruktur {CH}</t>
  </si>
  <si>
    <t>6a6fb9ab-b65c-3ba2-8eda-70dce1588aa0</t>
  </si>
  <si>
    <t>Transport, metropolitan train, SBB mix {CH}</t>
  </si>
  <si>
    <t>a452bce6-93f2-3d08-bc2e-237333530724</t>
  </si>
  <si>
    <t>Transport, Moped, gasoline, &lt;4kW, EURO-3, 2006 {CH}</t>
  </si>
  <si>
    <t>17ad763d-231d-36ff-ad92-d969abdfe832</t>
  </si>
  <si>
    <t>Transport, Moped, gasoline, &lt;4kW, EURO-4, 2016 {CH}</t>
  </si>
  <si>
    <t>2c0e14a7-2e37-3c35-9f85-25dfb8ee0f1b</t>
  </si>
  <si>
    <t>Transport, Moped, gasoline, &lt;4kW, EURO-5, 2020 {CH}</t>
  </si>
  <si>
    <t>8fefa3d8-5a09-3962-922f-112b1f5f37bc</t>
  </si>
  <si>
    <t>Transport, Motorbike, electric, &lt;4kW, LFP battery, 2020 {CH}</t>
  </si>
  <si>
    <t>546c4c35-c1f9-341c-8994-3ec9c12f1416</t>
  </si>
  <si>
    <t>Transport, Motorbike, electric, &lt;4kW, LFP battery, 2020, label-certified electricity {CH}</t>
  </si>
  <si>
    <t>cef4e3ef-6b1d-33cb-92fc-baaf41a76dc7</t>
  </si>
  <si>
    <t>Transport, Motorbike, electric, &lt;4kW, NCA battery, 2020 {CH}</t>
  </si>
  <si>
    <t>228fb45c-bb23-3bb6-82ca-782b47d6ab00</t>
  </si>
  <si>
    <t>Transport, Motorbike, electric, &lt;4kW, NCA battery, 2020, label-certified electricity {CH}</t>
  </si>
  <si>
    <t>36c2e47b-6462-3a6b-99aa-0148badbeb5d</t>
  </si>
  <si>
    <t>Transport, Motorbike, electric, &lt;4kW, NMC battery, 2020 {CH}</t>
  </si>
  <si>
    <t>8bcc9357-7b11-3367-b310-e5d45eb45239</t>
  </si>
  <si>
    <t>Transport, Motorbike, electric, &lt;4kW, NMC battery, 2020, label-certified electricity {CH}</t>
  </si>
  <si>
    <t>edd269a0-cd07-3587-9a70-1d2674e717c1</t>
  </si>
  <si>
    <t>Transport, Motorbike, electric, &gt;35kW, LFP battery, 2020 {CH}</t>
  </si>
  <si>
    <t>d53a9c93-1cad-3d40-b485-1f823365cc22</t>
  </si>
  <si>
    <t>Transport, Motorbike, electric, &gt;35kW, LFP battery, 2020, label-certified electricity {CH}</t>
  </si>
  <si>
    <t>5ac3bb1b-b5d9-300d-9749-c464b6b3dfa7</t>
  </si>
  <si>
    <t>Transport, Motorbike, electric, &gt;35kW, NCA battery, 2020 {CH}</t>
  </si>
  <si>
    <t>4eb7d027-97c9-381f-a354-a573aae543b5</t>
  </si>
  <si>
    <t>Transport, Motorbike, electric, &gt;35kW, NCA battery, 2020, label-certified electricity {CH}</t>
  </si>
  <si>
    <t>636ff7fd-9e15-39fa-9723-bd26ec335cff</t>
  </si>
  <si>
    <t>Transport, Motorbike, electric, &gt;35kW, NMC battery, 2020 {CH}</t>
  </si>
  <si>
    <t>fd390c9f-02e9-3330-b3ab-4e040b7ffa75</t>
  </si>
  <si>
    <t>Transport, Motorbike, electric, &gt;35kW, NMC battery, 2020, label-certified electricity {CH}</t>
  </si>
  <si>
    <t>2bf2f275-12e9-3f07-932a-2697813f278a</t>
  </si>
  <si>
    <t>Transport, Motorbike, electric, 11-35kW, LFP battery, 2020 {CH}</t>
  </si>
  <si>
    <t>f3ac7fef-7996-3dc2-8fea-81174c7ca700</t>
  </si>
  <si>
    <t>Transport, Motorbike, electric, 11-35kW, LFP battery, 2020, label-certified electricity {CH}</t>
  </si>
  <si>
    <t>fcfc7f9a-8eef-3dcc-b22c-bbbbd3cbcd0b</t>
  </si>
  <si>
    <t>Transport, Motorbike, electric, 11-35kW, NCA battery, 2020 {CH}</t>
  </si>
  <si>
    <t>a87731d5-26e4-302a-b18f-a0f98ce7257d</t>
  </si>
  <si>
    <t>Transport, Motorbike, electric, 11-35kW, NCA battery, 2020, label-certified electricity {CH}</t>
  </si>
  <si>
    <t>ce6a6a37-b270-3308-b348-2b4974249b1e</t>
  </si>
  <si>
    <t>Transport, Motorbike, electric, 11-35kW, NMC battery, 2020 {CH}</t>
  </si>
  <si>
    <t>aac89c61-ef14-39c4-a0bf-0f3956eafdc9</t>
  </si>
  <si>
    <t>Transport, Motorbike, electric, 11-35kW, NMC battery, 2020, label-certified electricity {CH}</t>
  </si>
  <si>
    <t>dae2de87-bafe-3e21-8277-d889901cf95e</t>
  </si>
  <si>
    <t>Transport, Motorbike, electric, 4-11kW, LFP battery, 2020 {CH}</t>
  </si>
  <si>
    <t>f18f6a35-6547-30ac-ad57-a78b4aac76f6</t>
  </si>
  <si>
    <t>Transport, Motorbike, electric, 4-11kW, LFP battery, 2020, label-certified electricity {CH}</t>
  </si>
  <si>
    <t>f819ddea-0b72-3937-9d34-a5c3305916ee</t>
  </si>
  <si>
    <t>Transport, Motorbike, electric, 4-11kW, NCA battery, 2020 {CH}</t>
  </si>
  <si>
    <t>2f8eb261-c670-3d18-a84a-bb6a3aed428e</t>
  </si>
  <si>
    <t>Transport, Motorbike, electric, 4-11kW, NCA battery, 2020, label-certified electricity {CH}</t>
  </si>
  <si>
    <t>00beeea6-7895-3564-a334-4c458dc8b78a</t>
  </si>
  <si>
    <t>Transport, Motorbike, electric, 4-11kW, NMC battery, 2020 {CH}</t>
  </si>
  <si>
    <t>808b3ed4-91d1-3487-9cfe-dc8e0d47a3dd</t>
  </si>
  <si>
    <t>Transport, Motorbike, electric, 4-11kW, NMC battery, 2020, label-certified electricity {CH}</t>
  </si>
  <si>
    <t>92b78d48-0636-3694-936e-3e324c6f19ab</t>
  </si>
  <si>
    <t>Transport, Motorbike, gasoline, &gt;35kW, EURO-3, 2006 {CH}</t>
  </si>
  <si>
    <t>c41eac9a-3dd4-3339-9074-6abb222003ab</t>
  </si>
  <si>
    <t>Transport, Motorbike, gasoline, &gt;35kW, EURO-4, 2016 {CH}</t>
  </si>
  <si>
    <t>4bdbab9c-d3b1-3e85-94d0-af8b7b857250</t>
  </si>
  <si>
    <t>Transport, Motorbike, gasoline, &gt;35kW, EURO-5, 2020 {CH}</t>
  </si>
  <si>
    <t>5ab1daf6-e09e-3a31-85b1-0a156424e727</t>
  </si>
  <si>
    <t>Transport, Motorbike, gasoline, 11-35kW, EURO-3, 2006 {CH}</t>
  </si>
  <si>
    <t>355d68b2-e876-37c3-b460-451f11525693</t>
  </si>
  <si>
    <t>Transport, Motorbike, gasoline, 11-35kW, EURO-4, 2016 {CH}</t>
  </si>
  <si>
    <t>13845f76-3289-3595-8056-c71b56ebe175</t>
  </si>
  <si>
    <t>Transport, Motorbike, gasoline, 11-35kW, EURO-5, 2020 {CH}</t>
  </si>
  <si>
    <t>ec64379f-0c20-3355-98fb-6f9115241180</t>
  </si>
  <si>
    <t>Transport, Motorbike, gasoline, 2020 fleet average {CH}</t>
  </si>
  <si>
    <t>93ac8f2d-7b14-3a92-8c58-71711ddc3471</t>
  </si>
  <si>
    <t>Transport, Motorbike, gasoline, 4-11kW, EURO-3, 2006 {CH}</t>
  </si>
  <si>
    <t>d6339902-a9aa-35e5-897a-4b9ed6483696</t>
  </si>
  <si>
    <t>Transport, Motorbike, gasoline, 4-11kW, EURO-4, 2016 {CH}</t>
  </si>
  <si>
    <t>96c883a4-db30-36f6-96bd-0c543915ecda</t>
  </si>
  <si>
    <t>Transport, Motorbike, gasoline, 4-11kW, EURO-5, 2020 {CH}</t>
  </si>
  <si>
    <t>3dd3f2a7-7efd-3c4b-b52b-e6ee614a4fc3</t>
  </si>
  <si>
    <t>Transport, municipal waste collection, lorry 21t {CH}</t>
  </si>
  <si>
    <t>7ff5004b-3e69-330f-a924-60cb03a87b1f</t>
  </si>
  <si>
    <t>Transport, natural gas, offshore pipeline, long distance {AZ}</t>
  </si>
  <si>
    <t>fuels\natural gas</t>
  </si>
  <si>
    <t>5c52cc7d-2c0c-3a6d-aaaa-9bcf709d422d</t>
  </si>
  <si>
    <t>Transport, natural gas, offshore pipeline, long distance {DZ}</t>
  </si>
  <si>
    <t>4653738d-e002-34ea-877f-d84c95323766</t>
  </si>
  <si>
    <t>Transport, natural gas, offshore pipeline, long distance {GB}</t>
  </si>
  <si>
    <t>00ce87de-5e7f-3e8f-8fa0-ab2247a6537b</t>
  </si>
  <si>
    <t>Transport, natural gas, offshore pipeline, long distance {ID}</t>
  </si>
  <si>
    <t>42bbe9a2-7024-3474-bb26-23d2513e92a5</t>
  </si>
  <si>
    <t>Transport, natural gas, offshore pipeline, long distance {IR}</t>
  </si>
  <si>
    <t>cfca874d-0c75-3fee-bc36-b14c91d54988</t>
  </si>
  <si>
    <t>Transport, natural gas, offshore pipeline, long distance {IT}</t>
  </si>
  <si>
    <t>73cbf3da-a567-3228-8f9e-0c0fa6f52daa</t>
  </si>
  <si>
    <t>Transport, natural gas, offshore pipeline, long distance {LY}</t>
  </si>
  <si>
    <t>4d3be0ab-7b25-3586-ada0-ff1c81227044</t>
  </si>
  <si>
    <t>Transport, natural gas, offshore pipeline, long distance {MY}</t>
  </si>
  <si>
    <t>16cf47b5-6d04-354a-b88e-1af446dd3fc8</t>
  </si>
  <si>
    <t>Transport, natural gas, offshore pipeline, long distance {NG}</t>
  </si>
  <si>
    <t>pipeline\natural gas</t>
  </si>
  <si>
    <t>e405bfbc-e2e6-3766-8dff-b7dc1c6ab64c</t>
  </si>
  <si>
    <t>Transport, natural gas, offshore pipeline, long distance {NL}</t>
  </si>
  <si>
    <t>6e65b625-e68f-352f-afed-f051505eb360</t>
  </si>
  <si>
    <t>Transport, natural gas, offshore pipeline, long distance {NO}</t>
  </si>
  <si>
    <t>032e8c77-8398-31bd-b400-d989f3a5cbc5</t>
  </si>
  <si>
    <t>Transport, natural gas, offshore pipeline, long distance {QA}</t>
  </si>
  <si>
    <t>e3ab46d3-e956-39a8-82a7-a3aadad346ff</t>
  </si>
  <si>
    <t>Transport, natural gas, offshore pipeline, long distance {RU}</t>
  </si>
  <si>
    <t>61ae23c6-bfcd-3722-8077-487739367619</t>
  </si>
  <si>
    <t>Transport, natural gas, offshore pipeline, long distance {UA}</t>
  </si>
  <si>
    <t>df4b3ce9-73ac-3aa4-8c25-497646f3cb0f</t>
  </si>
  <si>
    <t>Transport, natural gas, offshore pipeline, long distance {US}</t>
  </si>
  <si>
    <t>5c1932f3-5b9e-3a0e-b7b6-1409bb16f3cd</t>
  </si>
  <si>
    <t>Transport, natural gas, onshore pipeline, long distance {AE}</t>
  </si>
  <si>
    <t>74313f97-26db-3696-b48d-3cba7e0f6d1d</t>
  </si>
  <si>
    <t>Transport, natural gas, onshore pipeline, long distance {AO}</t>
  </si>
  <si>
    <t>e62fee97-6b0e-3e96-ba63-b6fc3cabe81f</t>
  </si>
  <si>
    <t>Transport, natural gas, onshore pipeline, long distance {AR}</t>
  </si>
  <si>
    <t>2c8f8d81-0547-39d5-93ad-c48ae3ddbc91</t>
  </si>
  <si>
    <t>Transport, natural gas, onshore pipeline, long distance {AU}</t>
  </si>
  <si>
    <t>20bf7a72-6b8d-34f0-876d-b4b5bcc2c055</t>
  </si>
  <si>
    <t>Transport, natural gas, onshore pipeline, long distance {AZ}</t>
  </si>
  <si>
    <t>2b1da97b-8762-3f1a-8346-075c44d8de61</t>
  </si>
  <si>
    <t>Transport, natural gas, onshore pipeline, long distance {BO}</t>
  </si>
  <si>
    <t>933640f2-34c8-397d-90a3-3960a9a80628</t>
  </si>
  <si>
    <t>Transport, natural gas, onshore pipeline, long distance {BR}</t>
  </si>
  <si>
    <t>f9cda4c0-87d3-3c87-9519-a1fd97a52d6c</t>
  </si>
  <si>
    <t>Transport, natural gas, onshore pipeline, long distance {CA}</t>
  </si>
  <si>
    <t>5c5dd6b4-952f-3d60-a120-8a6d1d6d0948</t>
  </si>
  <si>
    <t>Transport, natural gas, onshore pipeline, long distance {CN}</t>
  </si>
  <si>
    <t>f676b8dd-f7b8-3634-ad31-02d5e10a94f0</t>
  </si>
  <si>
    <t>Transport, natural gas, onshore pipeline, long distance {CO}</t>
  </si>
  <si>
    <t>c65654a9-a924-38ac-a6e2-37c20a7f296a</t>
  </si>
  <si>
    <t>Transport, natural gas, onshore pipeline, long distance {DE}</t>
  </si>
  <si>
    <t>ca5037aa-75d1-3c5b-a45f-20372d810be4</t>
  </si>
  <si>
    <t>Transport, natural gas, onshore pipeline, long distance {DZ}</t>
  </si>
  <si>
    <t>34ad5a27-1869-3e88-9f47-956b800ce5f5</t>
  </si>
  <si>
    <t>Transport, natural gas, onshore pipeline, long distance {EG}</t>
  </si>
  <si>
    <t>61dd1daf-2ff5-34e4-b511-bd7a7cdf50b2</t>
  </si>
  <si>
    <t>Transport, natural gas, onshore pipeline, long distance {GB}</t>
  </si>
  <si>
    <t>122c8e16-e8e0-3d6a-9e1b-33115eee8f3d</t>
  </si>
  <si>
    <t>Transport, natural gas, onshore pipeline, long distance {GQ}</t>
  </si>
  <si>
    <t>39e72d13-341e-38b5-8831-7908629aa7a7</t>
  </si>
  <si>
    <t>Transport, natural gas, onshore pipeline, long distance {ID}</t>
  </si>
  <si>
    <t>88c8ef30-6939-3d6c-bf8b-81f3e99e1d10</t>
  </si>
  <si>
    <t>Transport, natural gas, onshore pipeline, long distance {IN}</t>
  </si>
  <si>
    <t>08cb507f-49b2-33f4-99ba-0a2f823e8940</t>
  </si>
  <si>
    <t>Transport, natural gas, onshore pipeline, long distance {IQ}</t>
  </si>
  <si>
    <t>a1e48691-a5b1-35ea-9ab4-5c85cc37de11</t>
  </si>
  <si>
    <t>Transport, natural gas, onshore pipeline, long distance {IR}</t>
  </si>
  <si>
    <t>9d1c42f9-692e-325a-8460-2af9c4be37a5</t>
  </si>
  <si>
    <t>Transport, natural gas, onshore pipeline, long distance {IT}</t>
  </si>
  <si>
    <t>00f2f388-ce70-3459-9858-8a4f37285553</t>
  </si>
  <si>
    <t>Transport, natural gas, onshore pipeline, long distance {KW}</t>
  </si>
  <si>
    <t>c2600ae5-2a4e-32fb-8111-297e519efa77</t>
  </si>
  <si>
    <t>Transport, natural gas, onshore pipeline, long distance {KZ}</t>
  </si>
  <si>
    <t>2c05ef30-bb92-35af-b0a5-251734cd4e1b</t>
  </si>
  <si>
    <t>Transport, natural gas, onshore pipeline, long distance {LY}</t>
  </si>
  <si>
    <t>16ed2ec4-2284-35ba-9075-a1a98898f57a</t>
  </si>
  <si>
    <t>Transport, natural gas, onshore pipeline, long distance {MX}</t>
  </si>
  <si>
    <t>89305bf9-d7dc-3ff7-9a8f-2bcbce8b21e6</t>
  </si>
  <si>
    <t>Transport, natural gas, onshore pipeline, long distance {MY}</t>
  </si>
  <si>
    <t>13577110-579a-34bd-b3ac-50b4b43562f5</t>
  </si>
  <si>
    <t>Transport, natural gas, onshore pipeline, long distance {NG}</t>
  </si>
  <si>
    <t>eb23d039-3e24-329b-9718-877a67405713</t>
  </si>
  <si>
    <t>Transport, natural gas, onshore pipeline, long distance {NL}</t>
  </si>
  <si>
    <t>24452a27-e507-31f1-8d6e-f48646887545</t>
  </si>
  <si>
    <t>Transport, natural gas, onshore pipeline, long distance {NO}</t>
  </si>
  <si>
    <t>8d48593c-ddfd-34ae-be34-dc427b6f4e40</t>
  </si>
  <si>
    <t>Transport, natural gas, onshore pipeline, long distance {OM}</t>
  </si>
  <si>
    <t>65492b34-130d-33f0-8103-d933c547a84d</t>
  </si>
  <si>
    <t>Transport, natural gas, onshore pipeline, long distance {PE}</t>
  </si>
  <si>
    <t>8eb0c9b0-8ebc-37f7-9b92-ddb37ce9da05</t>
  </si>
  <si>
    <t>Transport, natural gas, onshore pipeline, long distance {PL}</t>
  </si>
  <si>
    <t>bb279fbf-89f9-3258-82bc-29502e1acd67</t>
  </si>
  <si>
    <t>Transport, natural gas, onshore pipeline, long distance {QA}</t>
  </si>
  <si>
    <t>4a2e8e24-8033-390a-b98c-48f17fad7699</t>
  </si>
  <si>
    <t>Transport, natural gas, onshore pipeline, long distance {RO}</t>
  </si>
  <si>
    <t>530d317b-3f85-3f1c-8ec9-aaeeeec1ebf9</t>
  </si>
  <si>
    <t>Transport, natural gas, onshore pipeline, long distance {RU}</t>
  </si>
  <si>
    <t>950e6300-627a-3320-8958-01cc697fc77e</t>
  </si>
  <si>
    <t>Transport, natural gas, onshore pipeline, long distance {SA}</t>
  </si>
  <si>
    <t>a72bcbf7-46bf-3770-89c9-722ef65466eb</t>
  </si>
  <si>
    <t>Transport, natural gas, onshore pipeline, long distance {TH}</t>
  </si>
  <si>
    <t>27e3166f-a5a3-36f5-85ba-de63fe8f8790</t>
  </si>
  <si>
    <t>Transport, natural gas, onshore pipeline, long distance {TM}</t>
  </si>
  <si>
    <t>6fd52065-29fc-3da7-92ed-4e3238dae38e</t>
  </si>
  <si>
    <t>Transport, natural gas, onshore pipeline, long distance {TT}</t>
  </si>
  <si>
    <t>cef5548a-604e-3826-8b67-8b50b5745c66</t>
  </si>
  <si>
    <t>Transport, natural gas, onshore pipeline, long distance {UA}</t>
  </si>
  <si>
    <t>90be99e1-17ff-30b1-9a4f-6dad80359b3d</t>
  </si>
  <si>
    <t>Transport, natural gas, onshore pipeline, long distance {US}</t>
  </si>
  <si>
    <t>dacfca7f-7c8e-3637-a458-f57f30c89ecf</t>
  </si>
  <si>
    <t>Transport, natural gas, onshore pipeline, long distance {UZ}</t>
  </si>
  <si>
    <t>1cc06dd1-cd86-37f3-b9fe-6602b4000be7</t>
  </si>
  <si>
    <t>Transport, natural gas, onshore pipeline, long distance {VE}</t>
  </si>
  <si>
    <t>067d5954-09d7-3a53-a573-1ee27f44b53c</t>
  </si>
  <si>
    <t>Transport, natural gas, pipeline, long distance {DE}</t>
  </si>
  <si>
    <t>pipeline\unspecified</t>
  </si>
  <si>
    <t>df839ef1-ac51-3c61-af87-54a83a60feae</t>
  </si>
  <si>
    <t>Transport, natural gas, pipeline, long distance {NG}</t>
  </si>
  <si>
    <t>ff1c8e62-4347-3b89-8034-d8677d701f60</t>
  </si>
  <si>
    <t>Transport, natural gas, pipeline, long distance {NL}</t>
  </si>
  <si>
    <t>c0e2497b-26f6-394a-84e7-8d843db7afef</t>
  </si>
  <si>
    <t>Transport, natural gas, pipeline, long distance {QA}</t>
  </si>
  <si>
    <t>afb131c3-0df5-399a-85b8-f963929ae3a9</t>
  </si>
  <si>
    <t>Transport, natural gas, pipeline, long distance {RER}</t>
  </si>
  <si>
    <t>a4273d5b-5258-343d-9462-8369960dc122</t>
  </si>
  <si>
    <t>Transport, natural gas, pipeline, long distance {RU}</t>
  </si>
  <si>
    <t>134ac708-5e0e-3972-8428-435263764f90</t>
  </si>
  <si>
    <t>Transport, passenger bus, battery electric - battery-equipped trolleybus, fleet average {CH}</t>
  </si>
  <si>
    <t>b3fe049e-a176-32e0-934a-10b2bdc3231f</t>
  </si>
  <si>
    <t>Transport, passenger bus, battery electric - battery-equipped trolleybus, LTO battery, 13m single deck urban bus, 2020 {CH}</t>
  </si>
  <si>
    <t>056fe845-2d19-3e2a-9c08-454212a9728c</t>
  </si>
  <si>
    <t>Transport, passenger bus, battery electric - battery-equipped trolleybus, LTO battery, 18m articulated urban bus, 2020 {CH}</t>
  </si>
  <si>
    <t>ceef3a28-c89a-3c20-b332-8be198411742</t>
  </si>
  <si>
    <t>Transport, passenger bus, battery electric - battery-equipped trolleybus, LTO battery, label-certified electricity, 13m single deck urban bus, 2020 {CH}</t>
  </si>
  <si>
    <t>27690bac-51ee-32ec-92ec-4f5a628ae2c6</t>
  </si>
  <si>
    <t>Transport, passenger bus, battery electric - battery-equipped trolleybus, LTO battery, label-certified electricity, 18m articulated urban bus, 2020 {CH}</t>
  </si>
  <si>
    <t>6a451114-0d6f-3d27-9f0c-5c49dcf57cf1</t>
  </si>
  <si>
    <t>Transport, passenger bus, battery electric - opportunity charging, LTO battery, 13m double deck urban bus, 2020 {CH}</t>
  </si>
  <si>
    <t>af403c4f-6fb3-32b4-af56-a4ad24ca5e89</t>
  </si>
  <si>
    <t>Transport, passenger bus, battery electric - opportunity charging, LTO battery, 13m single deck urban bus, 2020 {CH}</t>
  </si>
  <si>
    <t>f2bf8e99-13ae-34bd-981a-19310391544c</t>
  </si>
  <si>
    <t>Transport, passenger bus, battery electric - opportunity charging, LTO battery, 18m articulated urban bus, 2020 {CH}</t>
  </si>
  <si>
    <t>fa6fda02-deeb-38a4-bd8b-3792298a9881</t>
  </si>
  <si>
    <t>Transport, passenger bus, battery electric - opportunity charging, LTO battery, 9m midibus, 2020 {CH}</t>
  </si>
  <si>
    <t>bdbcf889-789f-3633-bf6b-c07e5bd53209</t>
  </si>
  <si>
    <t>Transport, passenger bus, battery electric - opportunity charging, LTO battery, label-certified electricity, 13m double deck urban bus, 2020 {CH}</t>
  </si>
  <si>
    <t>582a05f8-b5e4-3449-b941-d71aa976e740</t>
  </si>
  <si>
    <t>Transport, passenger bus, battery electric - opportunity charging, LTO battery, label-certified electricity, 13m single deck urban bus, 2020 {CH}</t>
  </si>
  <si>
    <t>ece53c82-ae7a-30a9-acab-3e0fb179723c</t>
  </si>
  <si>
    <t>Transport, passenger bus, battery electric - opportunity charging, LTO battery, label-certified electricity, 18m articulated urban bus, 2020 {CH}</t>
  </si>
  <si>
    <t>ae69ae11-b258-3f88-b947-a7fc957e6b6c</t>
  </si>
  <si>
    <t>Transport, passenger bus, battery electric - opportunity charging, LTO battery, label-certified electricity, 9m midibus, 2020 {CH}</t>
  </si>
  <si>
    <t>f7853909-a2c1-365f-94c6-57bb38023771</t>
  </si>
  <si>
    <t>Transport, passenger bus, battery electric - overnight charging, LFP battery, 13m double deck urban bus, 2020 {CH}</t>
  </si>
  <si>
    <t>bdfd211e-f996-3ab1-a3da-5c440dd45e68</t>
  </si>
  <si>
    <t>Transport, passenger bus, battery electric - overnight charging, LFP battery, 13m single deck urban bus, 2020 {CH}</t>
  </si>
  <si>
    <t>c214824a-5115-3e4a-b997-0b2f8cf823e9</t>
  </si>
  <si>
    <t>Transport, passenger bus, battery electric - overnight charging, LFP battery, 18m articulated urban bus, 2020 {CH}</t>
  </si>
  <si>
    <t>f890a073-f6a2-3af6-a2f2-77c09b12d631</t>
  </si>
  <si>
    <t>Transport, passenger bus, battery electric - overnight charging, LFP battery, 9m midibus, 2020 {CH}</t>
  </si>
  <si>
    <t>fb55d216-67c9-3144-813e-19824b267ca0</t>
  </si>
  <si>
    <t>Transport, passenger bus, battery electric - overnight charging, LFP battery, label-certified electricity, 13m double deck urban bus, 2020 {CH}</t>
  </si>
  <si>
    <t>846a85b8-6695-3677-9d25-43c70fd624a1</t>
  </si>
  <si>
    <t>Transport, passenger bus, battery electric - overnight charging, LFP battery, label-certified electricity, 13m single deck urban bus, 2020 {CH}</t>
  </si>
  <si>
    <t>1cb60467-b24e-30dc-a90c-02edadc36802</t>
  </si>
  <si>
    <t>Transport, passenger bus, battery electric - overnight charging, LFP battery, label-certified electricity, 18m articulated urban bus, 2020 {CH}</t>
  </si>
  <si>
    <t>909432f7-1a71-39a5-884d-d0272b970f0b</t>
  </si>
  <si>
    <t>Transport, passenger bus, battery electric - overnight charging, LFP battery, label-certified electricity, 9m midibus, 2020 {CH}</t>
  </si>
  <si>
    <t>f4fab05f-74bc-3c24-8a13-be108e59ce96</t>
  </si>
  <si>
    <t>Transport, passenger bus, battery electric - overnight charging, NCA battery, 13m double deck urban bus, 2020 {CH}</t>
  </si>
  <si>
    <t>c6edf2c5-d7f6-3200-a3b9-655d560cbcb0</t>
  </si>
  <si>
    <t>Transport, passenger bus, battery electric - overnight charging, NCA battery, 13m single deck urban bus, 2020 {CH}</t>
  </si>
  <si>
    <t>e5d5fcfc-5a1d-3e71-a00c-7e3cae5faa46</t>
  </si>
  <si>
    <t>Transport, passenger bus, battery electric - overnight charging, NCA battery, 18m articulated urban bus, 2020 {CH}</t>
  </si>
  <si>
    <t>ad2a3f5d-f4ee-3452-bcb4-a5630cafe9df</t>
  </si>
  <si>
    <t>Transport, passenger bus, battery electric - overnight charging, NCA battery, 9m midibus, 2020 {CH}</t>
  </si>
  <si>
    <t>cece565e-68ff-35f6-9d32-e216419b7adb</t>
  </si>
  <si>
    <t>Transport, passenger bus, battery electric - overnight charging, NCA battery, label-certified electricity, 13m double deck urban bus, 2020 {CH}</t>
  </si>
  <si>
    <t>3b07fbe9-396b-3c82-acb3-36c3fd1c9e87</t>
  </si>
  <si>
    <t>Transport, passenger bus, battery electric - overnight charging, NCA battery, label-certified electricity, 13m single deck urban bus, 2020 {CH}</t>
  </si>
  <si>
    <t>2d944e51-3b65-3f90-a07e-c34eff9b6c63</t>
  </si>
  <si>
    <t>Transport, passenger bus, battery electric - overnight charging, NCA battery, label-certified electricity, 18m articulated urban bus, 2020 {CH}</t>
  </si>
  <si>
    <t>e189a951-f4db-3688-8686-5c85a06dcba3</t>
  </si>
  <si>
    <t>Transport, passenger bus, battery electric - overnight charging, NCA battery, label-certified electricity, 9m midibus, 2020 {CH}</t>
  </si>
  <si>
    <t>cb2e4fd8-f1ef-3686-bd8c-1418340ed24c</t>
  </si>
  <si>
    <t>Transport, passenger bus, battery electric - overnight charging, NMC-622 battery, 13m double deck urban bus, 2020 {CH}</t>
  </si>
  <si>
    <t>3e6dfed8-2e8f-38c6-8bac-0fac2462759b</t>
  </si>
  <si>
    <t>Transport, passenger bus, battery electric - overnight charging, NMC-622 battery, 13m single deck urban bus, 2020 {CH}</t>
  </si>
  <si>
    <t>ad5d8781-4c2b-3a8f-a9a4-224944cbf30f</t>
  </si>
  <si>
    <t>Transport, passenger bus, battery electric - overnight charging, NMC-622 battery, 18m articulated urban bus, 2020 {CH}</t>
  </si>
  <si>
    <t>8c53aa72-14d8-3e45-94bf-6af24525936e</t>
  </si>
  <si>
    <t>Transport, passenger bus, battery electric - overnight charging, NMC-622 battery, 9m midibus, 2020 {CH}</t>
  </si>
  <si>
    <t>ab3585a6-206b-3d1b-981f-88bc8d707d93</t>
  </si>
  <si>
    <t>Transport, passenger bus, battery electric - overnight charging, NMC-622 battery, label-certified electricity, 13m double deck urban bus, 2020 {CH}</t>
  </si>
  <si>
    <t>22cd257d-6732-3a3c-8aa1-a5201166f9df</t>
  </si>
  <si>
    <t>Transport, passenger bus, battery electric - overnight charging, NMC-622 battery, label-certified electricity, 13m single deck urban bus, 2020 {CH}</t>
  </si>
  <si>
    <t>0d47a6bd-37c7-3e87-b2f3-653c517ed9ce</t>
  </si>
  <si>
    <t>Transport, passenger bus, battery electric - overnight charging, NMC-622 battery, label-certified electricity, 18m articulated urban bus, 2020 {CH}</t>
  </si>
  <si>
    <t>fc93f0a0-208a-3df6-afde-1c3401c50502</t>
  </si>
  <si>
    <t>Transport, passenger bus, battery electric - overnight charging, NMC-622 battery, label-certified electricity, 9m midibus, 2020 {CH}</t>
  </si>
  <si>
    <t>d966da31-d90a-325f-8ca6-ad1d56773119</t>
  </si>
  <si>
    <t>Transport, passenger bus, compressed gas, 100% biomethane, 13m double deck coach bus, 2010, EURO-V {CH}</t>
  </si>
  <si>
    <t>6dad641e-a29e-3a1b-beb5-0f8f944a9bce</t>
  </si>
  <si>
    <t>Transport, passenger bus, compressed gas, 100% biomethane, 13m double deck coach bus, 2020, EURO-VI {CH}</t>
  </si>
  <si>
    <t>7c937707-46ab-3e16-b3a9-8e8a7c0094f4</t>
  </si>
  <si>
    <t>Transport, passenger bus, compressed gas, 100% biomethane, 13m double deck urban bus, 2010, EURO-V {CH}</t>
  </si>
  <si>
    <t>b2ff44b9-01af-32dc-ad8c-024b6cb485d5</t>
  </si>
  <si>
    <t>Transport, passenger bus, compressed gas, 100% biomethane, 13m double deck urban bus, 2020, EURO-VI {CH}</t>
  </si>
  <si>
    <t>cd95f016-b915-370b-995d-a3d8e3a587d6</t>
  </si>
  <si>
    <t>Transport, passenger bus, compressed gas, 100% biomethane, 13m single deck coach bus, 2010, EURO-V {CH}</t>
  </si>
  <si>
    <t>f7b6258e-f85d-3c5f-bbd0-41346be0636f</t>
  </si>
  <si>
    <t>Transport, passenger bus, compressed gas, 100% biomethane, 13m single deck coach bus, 2020, EURO-VI {CH}</t>
  </si>
  <si>
    <t>435a1bd2-2113-31bc-943d-00775db181b1</t>
  </si>
  <si>
    <t>Transport, passenger bus, compressed gas, 100% biomethane, 13m single deck urban bus, 2010, EURO-V {CH}</t>
  </si>
  <si>
    <t>ab7dfbac-3ddb-31d5-b6b6-f1b0b27c362b</t>
  </si>
  <si>
    <t>Transport, passenger bus, compressed gas, 100% biomethane, 13m single deck urban bus, 2020, EURO-VI {CH}</t>
  </si>
  <si>
    <t>5487a5a9-3066-3f54-9ffe-6215f926caab</t>
  </si>
  <si>
    <t>Transport, passenger bus, compressed gas, 100% biomethane, 18m articulated urban bus, 2010, EURO-V {CH}</t>
  </si>
  <si>
    <t>a4c6646e-268a-378c-9ddd-2e485df191e1</t>
  </si>
  <si>
    <t>Transport, passenger bus, compressed gas, 100% biomethane, 18m articulated urban bus, 2020, EURO-VI {CH}</t>
  </si>
  <si>
    <t>f3e657e0-0f59-3c7d-875b-bebf13bf673a</t>
  </si>
  <si>
    <t>Transport, passenger bus, compressed gas, 100% biomethane, 9m midibus, 2010, EURO-V {CH}</t>
  </si>
  <si>
    <t>2cffa5e9-1b7f-31a1-b0d6-b9421c00e388</t>
  </si>
  <si>
    <t>Transport, passenger bus, compressed gas, 100% biomethane, 9m midibus, 2020, EURO-VI {CH}</t>
  </si>
  <si>
    <t>bedb0bbb-3eca-3718-95fc-c4673ca2d3c7</t>
  </si>
  <si>
    <t>Transport, passenger bus, compressed gas, 13m double deck coach bus, 2010, EURO-V {CH}</t>
  </si>
  <si>
    <t>69b3bd02-7c6f-38ee-b26f-3ee8e3322121</t>
  </si>
  <si>
    <t>Transport, passenger bus, compressed gas, 13m double deck coach bus, 2020, EURO-VI {CH}</t>
  </si>
  <si>
    <t>74c2ec24-6d9e-3cbb-8f06-efcc96691cb9</t>
  </si>
  <si>
    <t>Transport, passenger bus, compressed gas, 13m double deck urban bus, 2010, EURO-V {CH}</t>
  </si>
  <si>
    <t>5e8f5a3b-849b-3722-a471-b48e61d36762</t>
  </si>
  <si>
    <t>Transport, passenger bus, compressed gas, 13m double deck urban bus, 2020, EURO-VI {CH}</t>
  </si>
  <si>
    <t>d54df6b4-2890-35de-8e89-9a8c355c7467</t>
  </si>
  <si>
    <t>Transport, passenger bus, compressed gas, 13m single deck coach bus, 2010, EURO-V {CH}</t>
  </si>
  <si>
    <t>273754c9-6277-3721-9009-4f45edf534bf</t>
  </si>
  <si>
    <t>Transport, passenger bus, compressed gas, 13m single deck coach bus, 2020, EURO-VI {CH}</t>
  </si>
  <si>
    <t>63e9cf24-4e27-3588-9c0f-0af51821a574</t>
  </si>
  <si>
    <t>Transport, passenger bus, compressed gas, 13m single deck urban bus, 2010, EURO-V {CH}</t>
  </si>
  <si>
    <t>d954a94b-d549-378d-a6d7-a73df3f8b38f</t>
  </si>
  <si>
    <t>Transport, passenger bus, compressed gas, 13m single deck urban bus, 2020, EURO-VI {CH}</t>
  </si>
  <si>
    <t>38504fb3-804b-3229-99b9-b022763caa90</t>
  </si>
  <si>
    <t>Transport, passenger bus, compressed gas, 18m articulated urban bus, 2010, EURO-V {CH}</t>
  </si>
  <si>
    <t>4ef93067-4088-38f0-860b-35b4b383df7a</t>
  </si>
  <si>
    <t>Transport, passenger bus, compressed gas, 18m articulated urban bus, 2020, EURO-VI {CH}</t>
  </si>
  <si>
    <t>9e143026-df43-3f08-ae35-afd42c91775a</t>
  </si>
  <si>
    <t>Transport, passenger bus, compressed gas, 9m midibus, 2010, EURO-V {CH}</t>
  </si>
  <si>
    <t>2752a34d-3aca-3dd3-8f7c-91ade5ca03fd</t>
  </si>
  <si>
    <t>Transport, passenger bus, compressed gas, 9m midibus, 2020, EURO-VI {CH}</t>
  </si>
  <si>
    <t>9fc319b9-e50b-3677-8e7a-0e2394c754c4</t>
  </si>
  <si>
    <t>Transport, passenger bus, diesel hybrid, 13m double deck coach bus, 2020, EURO-VI {CH}</t>
  </si>
  <si>
    <t>1f708d82-9a90-3356-bdf7-ca482416322b</t>
  </si>
  <si>
    <t>Transport, passenger bus, diesel hybrid, 13m double deck urban bus, 2020, EURO-VI {CH}</t>
  </si>
  <si>
    <t>6264e9ef-23b8-3bf7-9beb-7ee6f5d8e59d</t>
  </si>
  <si>
    <t>Transport, passenger bus, diesel hybrid, 13m single deck coach bus, 2020, EURO-VI {CH}</t>
  </si>
  <si>
    <t>85a14157-f786-30dc-9dc1-ac4f0c233fc3</t>
  </si>
  <si>
    <t>Transport, passenger bus, diesel hybrid, 13m single deck urban bus, 2020, EURO-VI {CH}</t>
  </si>
  <si>
    <t>7928b96a-3190-31e7-b768-9cd149c7ab22</t>
  </si>
  <si>
    <t>Transport, passenger bus, diesel hybrid, 18m articulated urban bus, 2020, EURO-VI {CH}</t>
  </si>
  <si>
    <t>54cf62cf-f937-34fc-9faa-a4e3a8283568</t>
  </si>
  <si>
    <t>Transport, passenger bus, diesel hybrid, 9m midibus, 2020, EURO-VI {CH}</t>
  </si>
  <si>
    <t>b700d3e0-67c1-3ec1-8a2d-54e1bb211baf</t>
  </si>
  <si>
    <t>Transport, passenger bus, diesel, 13m double deck coach bus, 2002, EURO-III {CH}</t>
  </si>
  <si>
    <t>f1175697-c194-3a1f-9463-c2e0df6afaf1</t>
  </si>
  <si>
    <t>Transport, passenger bus, diesel, 13m double deck coach bus, 2006, EURO-IV {CH}</t>
  </si>
  <si>
    <t>8204f1cc-ca2c-30ce-ba1e-3d087270bec8</t>
  </si>
  <si>
    <t>Transport, passenger bus, diesel, 13m double deck coach bus, 2010, EURO-V {CH}</t>
  </si>
  <si>
    <t>486c846e-b5d3-34eb-bee2-c49fe192293b</t>
  </si>
  <si>
    <t>Transport, passenger bus, diesel, 13m double deck coach bus, 2020, EURO-VI {CH}</t>
  </si>
  <si>
    <t>a9ffdd63-2348-39f7-bfb6-4e172e23eed7</t>
  </si>
  <si>
    <t>Transport, passenger bus, diesel, 13m double deck urban bus, 2002, EURO-III {CH}</t>
  </si>
  <si>
    <t>255e771b-4062-3661-9c38-39b7c10c0c7a</t>
  </si>
  <si>
    <t>Transport, passenger bus, diesel, 13m double deck urban bus, 2006, EURO-IV {CH}</t>
  </si>
  <si>
    <t>6a623390-30fe-3234-8f82-aa7a236fa19d</t>
  </si>
  <si>
    <t>Transport, passenger bus, diesel, 13m double deck urban bus, 2010, EURO-V {CH}</t>
  </si>
  <si>
    <t>303afb50-3991-3051-8e18-9eb853af7b7f</t>
  </si>
  <si>
    <t>Transport, passenger bus, diesel, 13m double deck urban bus, 2020, EURO-VI {CH}</t>
  </si>
  <si>
    <t>39380154-ce73-3890-89e7-2540be3fe9d9</t>
  </si>
  <si>
    <t>Transport, passenger bus, diesel, 13m single deck coach bus, 2002, EURO-III {CH}</t>
  </si>
  <si>
    <t>db2b2b36-fc7f-3180-862f-e8abab25776d</t>
  </si>
  <si>
    <t>Transport, passenger bus, diesel, 13m single deck coach bus, 2006, EURO-IV {CH}</t>
  </si>
  <si>
    <t>b81ac060-3f66-3301-8475-1d18652d5c60</t>
  </si>
  <si>
    <t>Transport, passenger bus, diesel, 13m single deck coach bus, 2010, EURO-V {CH}</t>
  </si>
  <si>
    <t>cd35fe8d-a62d-39c8-8e7f-0d359339886b</t>
  </si>
  <si>
    <t>Transport, passenger bus, diesel, 13m single deck coach bus, 2020, EURO-VI {CH}</t>
  </si>
  <si>
    <t>9d365e4b-fe0b-3953-84b8-9695502a28bc</t>
  </si>
  <si>
    <t>Transport, passenger bus, diesel, 13m single deck urban bus, 2002, EURO-III {CH}</t>
  </si>
  <si>
    <t>c2f32f93-c2bb-3f87-9cb5-0ef9a0b1ee2c</t>
  </si>
  <si>
    <t>Transport, passenger bus, diesel, 13m single deck urban bus, 2006, EURO-IV {CH}</t>
  </si>
  <si>
    <t>104aea03-2c14-3db2-a905-f97bece03f58</t>
  </si>
  <si>
    <t>Transport, passenger bus, diesel, 13m single deck urban bus, 2010, EURO-V {CH}</t>
  </si>
  <si>
    <t>4b8f9791-1ca4-3dc5-93be-08d4a526901e</t>
  </si>
  <si>
    <t>Transport, passenger bus, diesel, 13m single deck urban bus, 2020, EURO-VI {CH}</t>
  </si>
  <si>
    <t>f223736c-346e-384a-8292-cc1ab640ad0f</t>
  </si>
  <si>
    <t>Transport, passenger bus, diesel, 18m articulated urban bus, 2002, EURO-III {CH}</t>
  </si>
  <si>
    <t>ba6a9c86-e9f8-3236-818f-bf8eb2deb575</t>
  </si>
  <si>
    <t>Transport, passenger bus, diesel, 18m articulated urban bus, 2006, EURO-IV {CH}</t>
  </si>
  <si>
    <t>7fd60e27-f3be-31ea-9516-ab9778d69443</t>
  </si>
  <si>
    <t>Transport, passenger bus, diesel, 18m articulated urban bus, 2010, EURO-V {CH}</t>
  </si>
  <si>
    <t>19000694-0408-37a2-ac05-be0b90fb0e4d</t>
  </si>
  <si>
    <t>Transport, passenger bus, diesel, 18m articulated urban bus, 2020, EURO-VI {CH}</t>
  </si>
  <si>
    <t>782393a7-dec7-3fe2-8c58-ebeb06ca8ced</t>
  </si>
  <si>
    <t>Transport, passenger bus, diesel, 9m midibus, 2002, EURO-III {CH}</t>
  </si>
  <si>
    <t>1089dd51-8320-3fab-97ab-b09ff8f049f7</t>
  </si>
  <si>
    <t>Transport, passenger bus, diesel, 9m midibus, 2006, EURO-IV {CH}</t>
  </si>
  <si>
    <t>9001edf7-3e07-37bd-9a7a-ca26e4d76bf8</t>
  </si>
  <si>
    <t>Transport, passenger bus, diesel, 9m midibus, 2010, EURO-V {CH}</t>
  </si>
  <si>
    <t>4210c82a-de1d-32d7-998b-e0efc5576dd6</t>
  </si>
  <si>
    <t>Transport, passenger bus, diesel, 9m midibus, 2020, EURO-VI {CH}</t>
  </si>
  <si>
    <t>44828e38-8c56-3fb3-9522-41e8d5eb8d82</t>
  </si>
  <si>
    <t>Transport, passenger bus, fleet average {CH}</t>
  </si>
  <si>
    <t>c174d092-b65a-3234-9bcc-043024e926ad</t>
  </si>
  <si>
    <t>Transport, passenger bus, fuel cell electric, hydrogen from electrolysis, 13m double deck coach bus, 2020 {CH}</t>
  </si>
  <si>
    <t>1d63deaa-0dda-352a-8f33-60b8184461e6</t>
  </si>
  <si>
    <t>Transport, passenger bus, fuel cell electric, hydrogen from electrolysis, 13m double deck urban bus, 2020 {CH}</t>
  </si>
  <si>
    <t>d7bba719-d37e-3438-b66c-2a7e3b74fc2b</t>
  </si>
  <si>
    <t>Transport, passenger bus, fuel cell electric, hydrogen from electrolysis, 13m single deck coach bus, 2020 {CH}</t>
  </si>
  <si>
    <t>efd03134-c13f-3141-b4b8-f6ae4e22718e</t>
  </si>
  <si>
    <t>Transport, passenger bus, fuel cell electric, hydrogen from electrolysis, 13m single deck urban bus, 2020 {CH}</t>
  </si>
  <si>
    <t>b25bd553-197c-3879-97c3-d4d0758dcb99</t>
  </si>
  <si>
    <t>Transport, passenger bus, fuel cell electric, hydrogen from electrolysis, 18m articulated urban bus, 2020 {CH}</t>
  </si>
  <si>
    <t>aa618ee9-12e1-382c-9541-37530efa9021</t>
  </si>
  <si>
    <t>Transport, passenger bus, fuel cell electric, hydrogen from electrolysis, 9m midibus, 2020 {CH}</t>
  </si>
  <si>
    <t>8b708058-3221-3b49-99bc-37ef6d313d4e</t>
  </si>
  <si>
    <t>Transport, passenger bus, fuel cell electric, hydrogen from electrolysis, label-certified electricity, 13m double deck coach bus, 2020 {CH}</t>
  </si>
  <si>
    <t>3730b27f-a216-3321-8b85-622db25fa721</t>
  </si>
  <si>
    <t>Transport, passenger bus, fuel cell electric, hydrogen from electrolysis, label-certified electricity, 13m double deck urban bus, 2020 {CH}</t>
  </si>
  <si>
    <t>65d2b702-01aa-3070-a5ff-7aa0f0dc647a</t>
  </si>
  <si>
    <t>Transport, passenger bus, fuel cell electric, hydrogen from electrolysis, label-certified electricity, 13m single deck coach bus, 2020 {CH}</t>
  </si>
  <si>
    <t>c4a26db1-1fa6-3831-85ea-c1c3a5a932ca</t>
  </si>
  <si>
    <t>Transport, passenger bus, fuel cell electric, hydrogen from electrolysis, label-certified electricity, 13m single deck urban bus, 2020 {CH}</t>
  </si>
  <si>
    <t>1e9d087a-b544-37e1-9381-36fe36f4a6fe</t>
  </si>
  <si>
    <t>Transport, passenger bus, fuel cell electric, hydrogen from electrolysis, label-certified electricity, 18m articulated urban bus, 2020 {CH}</t>
  </si>
  <si>
    <t>934da490-ef1b-31b4-8156-36e202a5dd85</t>
  </si>
  <si>
    <t>Transport, passenger bus, fuel cell electric, hydrogen from electrolysis, label-certified electricity, 9m midibus, 2020 {CH}</t>
  </si>
  <si>
    <t>f8b4d6da-6c91-3b8c-baf2-631e46b5b824</t>
  </si>
  <si>
    <t>Transport, passenger bus, fuel cell electric, hydrogen from SMR of natural gas, 13m double deck coach bus, 2020 {CH}</t>
  </si>
  <si>
    <t>c359344f-5e3d-3c08-9724-f4573a397539</t>
  </si>
  <si>
    <t>Transport, passenger bus, fuel cell electric, hydrogen from SMR of natural gas, 13m double deck urban bus, 2020 {CH}</t>
  </si>
  <si>
    <t>49c27b31-d902-33e3-885a-e2a51ab42e3e</t>
  </si>
  <si>
    <t>Transport, passenger bus, fuel cell electric, hydrogen from SMR of natural gas, 13m single deck coach bus, 2020 {CH}</t>
  </si>
  <si>
    <t>b751c697-abce-3f83-bba5-7ccafe5ed339</t>
  </si>
  <si>
    <t>Transport, passenger bus, fuel cell electric, hydrogen from SMR of natural gas, 13m single deck urban bus, 2020 {CH}</t>
  </si>
  <si>
    <t>334d8208-e912-3f6b-b611-49298f53b16d</t>
  </si>
  <si>
    <t>Transport, passenger bus, fuel cell electric, hydrogen from SMR of natural gas, 18m articulated urban bus, 2020 {CH}</t>
  </si>
  <si>
    <t>5f7eb32b-a2c0-335e-8f4e-fc3c76057340</t>
  </si>
  <si>
    <t>Transport, passenger bus, fuel cell electric, hydrogen from SMR of natural gas, 9m midibus, 2020 {CH}</t>
  </si>
  <si>
    <t>fe363a19-d847-348e-9293-f4b547b12539</t>
  </si>
  <si>
    <t>Transport, passenger cable car {CH}</t>
  </si>
  <si>
    <t>b84fde37-51a7-37ba-b01c-c4a2280304f8</t>
  </si>
  <si>
    <t>Transport, passenger car, battery electric, fleet average {CH}</t>
  </si>
  <si>
    <t>79feb907-fc7e-3276-bba9-aaafbacde84e</t>
  </si>
  <si>
    <t>Transport, passenger car, battery electric, LFP battery, Compact, 2021 {CH}</t>
  </si>
  <si>
    <t>b02b2edc-f290-3daa-89a1-7ff498a1007d</t>
  </si>
  <si>
    <t>Transport, passenger car, battery electric, LFP battery, label-certified electricity, Compact, 2021 {CH}</t>
  </si>
  <si>
    <t>3d2177be-5080-30ff-a758-88f1d39c4a42</t>
  </si>
  <si>
    <t>Transport, passenger car, battery electric, LFP battery, label-certified electricity, Large SUV, 2021 {CH}</t>
  </si>
  <si>
    <t>0b08a644-2b77-33e4-851d-832fb6c4f262</t>
  </si>
  <si>
    <t>Transport, passenger car, battery electric, LFP battery, label-certified electricity, Large, 2021 {CH}</t>
  </si>
  <si>
    <t>192e90cf-b79f-344a-9333-7f0dda4db4f6</t>
  </si>
  <si>
    <t>Transport, passenger car, battery electric, LFP battery, label-certified electricity, Medium, 2021 {CH}</t>
  </si>
  <si>
    <t>ba16c26e-6646-360c-969c-bcc44a35e92c</t>
  </si>
  <si>
    <t>Transport, passenger car, battery electric, LFP battery, label-certified electricity, Micro, 2021 {CH}</t>
  </si>
  <si>
    <t>8618b568-e945-3848-83d3-462abc8a7222</t>
  </si>
  <si>
    <t>Transport, passenger car, battery electric, LFP battery, Large SUV, 2021 {CH}</t>
  </si>
  <si>
    <t>031ced71-2d4e-32e0-a8a7-53d823199352</t>
  </si>
  <si>
    <t>Transport, passenger car, battery electric, LFP battery, Large, 2021 {CH}</t>
  </si>
  <si>
    <t>8fedb48f-ac61-3e85-9c15-a650502d184a</t>
  </si>
  <si>
    <t>Transport, passenger car, battery electric, LFP battery, Medium, 2021 {CH}</t>
  </si>
  <si>
    <t>6ce028bc-21ed-3b56-aa73-11ff9bf0980a</t>
  </si>
  <si>
    <t>Transport, passenger car, battery electric, LFP battery, Micro, 2021 {CH}</t>
  </si>
  <si>
    <t>c51e9f87-2b78-3115-a9b9-3314525d303e</t>
  </si>
  <si>
    <t>Transport, passenger car, battery electric, NCA battery, Compact, 2021 {CH}</t>
  </si>
  <si>
    <t>2711d697-a13b-335a-ae1e-4294a65b91f3</t>
  </si>
  <si>
    <t>Transport, passenger car, battery electric, NCA battery, label-certified electricity, Compact, 2021 {CH}</t>
  </si>
  <si>
    <t>468d98b3-1380-3700-8773-34dd9fc38d99</t>
  </si>
  <si>
    <t>Transport, passenger car, battery electric, NCA battery, label-certified electricity, Large SUV, 2021 {CH}</t>
  </si>
  <si>
    <t>b37b9313-6d05-3b73-ab21-45dabd518a0d</t>
  </si>
  <si>
    <t>Transport, passenger car, battery electric, NCA battery, label-certified electricity, Large, 2021 {CH}</t>
  </si>
  <si>
    <t>5b2f9067-3395-3d0c-82be-267f2904f899</t>
  </si>
  <si>
    <t>Transport, passenger car, battery electric, NCA battery, label-certified electricity, Medium, 2021 {CH}</t>
  </si>
  <si>
    <t>af5eb9f1-8e04-328c-9a0f-87281ecd6306</t>
  </si>
  <si>
    <t>Transport, passenger car, battery electric, NCA battery, label-certified electricity, Micro, 2021 {CH}</t>
  </si>
  <si>
    <t>c6bad972-fac6-3851-8708-91c061f534d5</t>
  </si>
  <si>
    <t>Transport, passenger car, battery electric, NCA battery, Large SUV, 2021 {CH}</t>
  </si>
  <si>
    <t>bb76f967-2e5a-312d-8ba6-3b6dc3d6d7b7</t>
  </si>
  <si>
    <t>Transport, passenger car, battery electric, NCA battery, Large, 2021 {CH}</t>
  </si>
  <si>
    <t>64c5efe3-ff0e-3ee6-a2bc-52af0d4ca889</t>
  </si>
  <si>
    <t>Transport, passenger car, battery electric, NCA battery, Medium, 2021 {CH}</t>
  </si>
  <si>
    <t>7e64e0c4-1e76-3079-884c-f6cb5f881621</t>
  </si>
  <si>
    <t>Transport, passenger car, battery electric, NCA battery, Micro, 2021 {CH}</t>
  </si>
  <si>
    <t>269f2b46-9d03-3786-a1a7-148a245aef4d</t>
  </si>
  <si>
    <t>Transport, passenger car, battery electric, NMC-622 battery, Compact, 2021 {CH}</t>
  </si>
  <si>
    <t>75546c44-164b-3eb6-b805-9e50636c0b2a</t>
  </si>
  <si>
    <t>Transport, passenger car, battery electric, NMC-622 battery, label-certified electricity, Compact, 2021 {CH}</t>
  </si>
  <si>
    <t>da0dbb73-30e8-3738-b7f9-0ea4b53ece1d</t>
  </si>
  <si>
    <t>Transport, passenger car, battery electric, NMC-622 battery, label-certified electricity, Large SUV, 2021 {CH}</t>
  </si>
  <si>
    <t>5d74094a-f673-326e-9698-0708fad4ae1b</t>
  </si>
  <si>
    <t>Transport, passenger car, battery electric, NMC-622 battery, label-certified electricity, Large, 2021 {CH}</t>
  </si>
  <si>
    <t>ea43f156-6d31-3648-b697-457ed633462e</t>
  </si>
  <si>
    <t>Transport, passenger car, battery electric, NMC-622 battery, label-certified electricity, Medium, 2021 {CH}</t>
  </si>
  <si>
    <t>05348cfb-5365-39d5-97be-e240056adac0</t>
  </si>
  <si>
    <t>Transport, passenger car, battery electric, NMC-622 battery, label-certified electricity, Micro, 2021 {CH}</t>
  </si>
  <si>
    <t>97c12f6f-53e0-3703-b8bd-7215d4beb705</t>
  </si>
  <si>
    <t>Transport, passenger car, battery electric, NMC-622 battery, Large SUV, 2021 {CH}</t>
  </si>
  <si>
    <t>1e4df2fb-f0f9-3ffd-a4c8-22e4d8ac0043</t>
  </si>
  <si>
    <t>Transport, passenger car, battery electric, NMC-622 battery, Large, 2021 {CH}</t>
  </si>
  <si>
    <t>d8c95220-1058-3b3c-91c4-f19679755418</t>
  </si>
  <si>
    <t>Transport, passenger car, battery electric, NMC-622 battery, Medium, 2021 {CH}</t>
  </si>
  <si>
    <t>cd378170-aff8-35aa-a84a-bbb1e22dd5cc</t>
  </si>
  <si>
    <t>Transport, passenger car, battery electric, NMC-622 battery, Micro, 2021 {CH}</t>
  </si>
  <si>
    <t>9ab8e738-aee5-3e3c-81e7-105c5db989b8</t>
  </si>
  <si>
    <t>Transport, passenger car, compressed gas, 100% biomethane, Compact, 2003, EURO-3 {CH}</t>
  </si>
  <si>
    <t>fd53cb05-1c15-3aa7-956f-752eace31d86</t>
  </si>
  <si>
    <t>Transport, passenger car, compressed gas, 100% biomethane, Compact, 2003, EURO-3 {RER}</t>
  </si>
  <si>
    <t>0b9ff710-008f-369f-b2e8-8fa99ade99b2</t>
  </si>
  <si>
    <t>Transport, passenger car, compressed gas, 100% biomethane, Compact, 2008, EURO-4 {CH}</t>
  </si>
  <si>
    <t>2b947394-94cb-3e61-bf41-84ba2270ad5e</t>
  </si>
  <si>
    <t>Transport, passenger car, compressed gas, 100% biomethane, Compact, 2008, EURO-4 {RER}</t>
  </si>
  <si>
    <t>878b1143-b2a8-3dd3-bf4c-43bd1b6b8609</t>
  </si>
  <si>
    <t>Transport, passenger car, compressed gas, 100% biomethane, Compact, 2013, EURO-5 {CH}</t>
  </si>
  <si>
    <t>3c179c9f-f0e6-354b-a104-c274363a9a83</t>
  </si>
  <si>
    <t>Transport, passenger car, compressed gas, 100% biomethane, Compact, 2013, EURO-5 {RER}</t>
  </si>
  <si>
    <t>78b2729f-9f6d-33d4-a53a-23465fb48003</t>
  </si>
  <si>
    <t>Transport, passenger car, compressed gas, 100% biomethane, Compact, 2016, EURO-6ab {CH}</t>
  </si>
  <si>
    <t>e9720ed0-9f27-3372-9cff-b82a45614262</t>
  </si>
  <si>
    <t>Transport, passenger car, compressed gas, 100% biomethane, Compact, 2016, EURO-6ab {RER}</t>
  </si>
  <si>
    <t>79161cbc-0026-355e-8527-67aad81eeb8a</t>
  </si>
  <si>
    <t>Transport, passenger car, compressed gas, 100% biomethane, Compact, 2018, EURO-6c {CH}</t>
  </si>
  <si>
    <t>e1c71e89-313e-3ad2-adeb-cdfbc1533911</t>
  </si>
  <si>
    <t>Transport, passenger car, compressed gas, 100% biomethane, Compact, 2018, EURO-6c {RER}</t>
  </si>
  <si>
    <t>f0f8311c-acae-3498-9286-6013ca728305</t>
  </si>
  <si>
    <t>Transport, passenger car, compressed gas, 100% biomethane, Compact, 2019, EURO-6d-TEMP {CH}</t>
  </si>
  <si>
    <t>748aadcb-df8a-3e39-a0ef-3383cb1cd138</t>
  </si>
  <si>
    <t>Transport, passenger car, compressed gas, 100% biomethane, Compact, 2019, EURO-6d-TEMP {RER}</t>
  </si>
  <si>
    <t>4bd26095-7650-39fb-8e7d-86afc137f0f3</t>
  </si>
  <si>
    <t>Transport, passenger car, compressed gas, 100% biomethane, Compact, 2021, EURO-6d {CH}</t>
  </si>
  <si>
    <t>1d918bdd-095f-3c36-baa1-ba40cb27c1e1</t>
  </si>
  <si>
    <t>Transport, passenger car, compressed gas, 100% biomethane, Compact, 2021, EURO-6d {RER}</t>
  </si>
  <si>
    <t>edf44e4c-4495-3f62-9a89-fad548eaccba</t>
  </si>
  <si>
    <t>Transport, passenger car, compressed gas, 100% biomethane, Large SUV, 2003, EURO-3 {CH}</t>
  </si>
  <si>
    <t>cac548c4-4f12-357e-a345-e8ce5d1838a5</t>
  </si>
  <si>
    <t>Transport, passenger car, compressed gas, 100% biomethane, Large SUV, 2003, EURO-3 {RER}</t>
  </si>
  <si>
    <t>06a2ddb1-eb59-3d07-a044-9ae0c02b2dbf</t>
  </si>
  <si>
    <t>Transport, passenger car, compressed gas, 100% biomethane, Large SUV, 2008, EURO-4 {CH}</t>
  </si>
  <si>
    <t>cbfb9a55-bd11-3bde-b7bc-6df8189741f1</t>
  </si>
  <si>
    <t>Transport, passenger car, compressed gas, 100% biomethane, Large SUV, 2008, EURO-4 {RER}</t>
  </si>
  <si>
    <t>122ee52d-e252-3909-9bf2-99892d793b37</t>
  </si>
  <si>
    <t>Transport, passenger car, compressed gas, 100% biomethane, Large SUV, 2013, EURO-5 {CH}</t>
  </si>
  <si>
    <t>acaf43d4-1184-384b-9828-2a6d4c9e01fc</t>
  </si>
  <si>
    <t>Transport, passenger car, compressed gas, 100% biomethane, Large SUV, 2013, EURO-5 {RER}</t>
  </si>
  <si>
    <t>43f08a54-7499-35b7-a566-ccafca310f3c</t>
  </si>
  <si>
    <t>Transport, passenger car, compressed gas, 100% biomethane, Large SUV, 2016, EURO-6ab {CH}</t>
  </si>
  <si>
    <t>a78a58e0-7c52-3962-a654-cb5930cd73b8</t>
  </si>
  <si>
    <t>Transport, passenger car, compressed gas, 100% biomethane, Large SUV, 2016, EURO-6ab {RER}</t>
  </si>
  <si>
    <t>a916d9e5-551c-3dcc-8a04-53807483d063</t>
  </si>
  <si>
    <t>Transport, passenger car, compressed gas, 100% biomethane, Large SUV, 2018, EURO-6c {CH}</t>
  </si>
  <si>
    <t>34b2779d-2004-380e-938f-413ef8f0731a</t>
  </si>
  <si>
    <t>Transport, passenger car, compressed gas, 100% biomethane, Large SUV, 2018, EURO-6c {RER}</t>
  </si>
  <si>
    <t>8861253e-02e5-3cd5-8f78-34cf5236c8eb</t>
  </si>
  <si>
    <t>Transport, passenger car, compressed gas, 100% biomethane, Large SUV, 2019, EURO-6d-TEMP {CH}</t>
  </si>
  <si>
    <t>6d354f0b-78f6-3218-bbe9-12aead6c85e5</t>
  </si>
  <si>
    <t>Transport, passenger car, compressed gas, 100% biomethane, Large SUV, 2019, EURO-6d-TEMP {RER}</t>
  </si>
  <si>
    <t>84cea2b6-8855-3cb7-8bbb-283e2ebd493c</t>
  </si>
  <si>
    <t>Transport, passenger car, compressed gas, 100% biomethane, Large SUV, 2021, EURO-6d {CH}</t>
  </si>
  <si>
    <t>c4be75ab-e10d-3d33-adf7-cf3385cb80d2</t>
  </si>
  <si>
    <t>Transport, passenger car, compressed gas, 100% biomethane, Large SUV, 2021, EURO-6d {RER}</t>
  </si>
  <si>
    <t>1d1b272a-9d2b-3304-9f43-970b194d68eb</t>
  </si>
  <si>
    <t>Transport, passenger car, compressed gas, 100% biomethane, Large, 2003, EURO-3 {CH}</t>
  </si>
  <si>
    <t>1be4556d-acdc-39a3-b21c-56ad1cb6566e</t>
  </si>
  <si>
    <t>Transport, passenger car, compressed gas, 100% biomethane, Large, 2003, EURO-3 {RER}</t>
  </si>
  <si>
    <t>82517a34-fe9c-393f-b91b-e40ca639c8f2</t>
  </si>
  <si>
    <t>Transport, passenger car, compressed gas, 100% biomethane, Large, 2008, EURO-4 {CH}</t>
  </si>
  <si>
    <t>5349812e-089a-3ef0-b3bc-e7f5412028ec</t>
  </si>
  <si>
    <t>Transport, passenger car, compressed gas, 100% biomethane, Large, 2008, EURO-4 {RER}</t>
  </si>
  <si>
    <t>05a07cf9-7587-31db-921b-0a32733d6fe2</t>
  </si>
  <si>
    <t>Transport, passenger car, compressed gas, 100% biomethane, Large, 2013, EURO-5 {CH}</t>
  </si>
  <si>
    <t>efa6a4f5-3716-34c8-a950-257dba6b7be1</t>
  </si>
  <si>
    <t>Transport, passenger car, compressed gas, 100% biomethane, Large, 2013, EURO-5 {RER}</t>
  </si>
  <si>
    <t>7699a9c6-6b08-3451-aa2e-caec38be282d</t>
  </si>
  <si>
    <t>Transport, passenger car, compressed gas, 100% biomethane, Large, 2016, EURO-6ab {CH}</t>
  </si>
  <si>
    <t>a6ed5508-5260-31af-926b-d69ffa9c695f</t>
  </si>
  <si>
    <t>Transport, passenger car, compressed gas, 100% biomethane, Large, 2016, EURO-6ab {RER}</t>
  </si>
  <si>
    <t>c52cdc51-49f7-33bc-86a6-3124922e3c90</t>
  </si>
  <si>
    <t>Transport, passenger car, compressed gas, 100% biomethane, Large, 2018, EURO-6c {CH}</t>
  </si>
  <si>
    <t>88dff1fa-dbc3-3408-a883-0d1ea0f21880</t>
  </si>
  <si>
    <t>Transport, passenger car, compressed gas, 100% biomethane, Large, 2018, EURO-6c {RER}</t>
  </si>
  <si>
    <t>a57a553d-96ef-3cc5-b993-b5688bee0e8a</t>
  </si>
  <si>
    <t>Transport, passenger car, compressed gas, 100% biomethane, Large, 2019, EURO-6d-TEMP {CH}</t>
  </si>
  <si>
    <t>cd8f398c-6705-36f9-adf0-29ef9c471918</t>
  </si>
  <si>
    <t>Transport, passenger car, compressed gas, 100% biomethane, Large, 2019, EURO-6d-TEMP {RER}</t>
  </si>
  <si>
    <t>45dd887c-ce9f-34cb-a023-6cfe8c7a8e75</t>
  </si>
  <si>
    <t>Transport, passenger car, compressed gas, 100% biomethane, Large, 2021, EURO-6d {CH}</t>
  </si>
  <si>
    <t>9ca1b559-da14-36f6-97a4-4f6b73b3422f</t>
  </si>
  <si>
    <t>Transport, passenger car, compressed gas, 100% biomethane, Large, 2021, EURO-6d {RER}</t>
  </si>
  <si>
    <t>a922fd73-ee06-3373-bbe7-b3f3ae4620fa</t>
  </si>
  <si>
    <t>Transport, passenger car, compressed gas, 100% biomethane, Medium, 2003, EURO-3 {CH}</t>
  </si>
  <si>
    <t>56143347-4fae-33c1-af4b-0605638ff447</t>
  </si>
  <si>
    <t>Transport, passenger car, compressed gas, 100% biomethane, Medium, 2003, EURO-3 {RER}</t>
  </si>
  <si>
    <t>cad726f2-7af4-34a8-a1da-c037cc2e693a</t>
  </si>
  <si>
    <t>Transport, passenger car, compressed gas, 100% biomethane, Medium, 2008, EURO-4 {CH}</t>
  </si>
  <si>
    <t>2e52de37-bd0d-3f64-974a-8d0f1077762f</t>
  </si>
  <si>
    <t>Transport, passenger car, compressed gas, 100% biomethane, Medium, 2008, EURO-4 {RER}</t>
  </si>
  <si>
    <t>43244c2c-9cd8-331a-802c-83026cd15635</t>
  </si>
  <si>
    <t>Transport, passenger car, compressed gas, 100% biomethane, Medium, 2013, EURO-5 {CH}</t>
  </si>
  <si>
    <t>15755e16-9f06-3597-a9e3-8642aefb21b3</t>
  </si>
  <si>
    <t>Transport, passenger car, compressed gas, 100% biomethane, Medium, 2013, EURO-5 {RER}</t>
  </si>
  <si>
    <t>34696269-1475-316f-884b-27daf6b187b7</t>
  </si>
  <si>
    <t>Transport, passenger car, compressed gas, 100% biomethane, Medium, 2016, EURO-6ab {CH}</t>
  </si>
  <si>
    <t>85cf3af8-1275-3d6e-8b1f-843960895818</t>
  </si>
  <si>
    <t>Transport, passenger car, compressed gas, 100% biomethane, Medium, 2016, EURO-6ab {RER}</t>
  </si>
  <si>
    <t>13e3e4aa-7c8b-3fbe-8627-7ea9ae47f904</t>
  </si>
  <si>
    <t>Transport, passenger car, compressed gas, 100% biomethane, Medium, 2018, EURO-6c {CH}</t>
  </si>
  <si>
    <t>0d08e8b9-c08f-32ac-b1ad-d8c5e8f1abb8</t>
  </si>
  <si>
    <t>Transport, passenger car, compressed gas, 100% biomethane, Medium, 2018, EURO-6c {RER}</t>
  </si>
  <si>
    <t>d664b621-ffd2-3358-acd1-4133a656e6ab</t>
  </si>
  <si>
    <t>Transport, passenger car, compressed gas, 100% biomethane, Medium, 2019, EURO-6d-TEMP {CH}</t>
  </si>
  <si>
    <t>fd0f7d34-a3bd-35b9-a071-517c099e2438</t>
  </si>
  <si>
    <t>Transport, passenger car, compressed gas, 100% biomethane, Medium, 2019, EURO-6d-TEMP {RER}</t>
  </si>
  <si>
    <t>e5cffe7f-c743-3a55-ad66-dc1feed935e2</t>
  </si>
  <si>
    <t>Transport, passenger car, compressed gas, 100% biomethane, Medium, 2021, EURO-6d {CH}</t>
  </si>
  <si>
    <t>54c3b21f-1591-31fe-92e5-411345e386e6</t>
  </si>
  <si>
    <t>Transport, passenger car, compressed gas, 100% biomethane, Medium, 2021, EURO-6d {RER}</t>
  </si>
  <si>
    <t>ce408333-620f-340e-9e20-8cdf8853ffa2</t>
  </si>
  <si>
    <t>Transport, passenger car, compressed gas, Compact, 2003, EURO-3 {CH}</t>
  </si>
  <si>
    <t>e09251c6-e6ef-367a-9caf-a8ebfac4e3a3</t>
  </si>
  <si>
    <t>Transport, passenger car, compressed gas, Compact, 2003, EURO-3 {RER}</t>
  </si>
  <si>
    <t>180f696c-6f00-39d3-943e-6b8b5042a418</t>
  </si>
  <si>
    <t>Transport, passenger car, compressed gas, Compact, 2008, EURO-4 {CH}</t>
  </si>
  <si>
    <t>87750de9-5ffb-3603-9265-b4f29978778b</t>
  </si>
  <si>
    <t>Transport, passenger car, compressed gas, Compact, 2008, EURO-4 {RER}</t>
  </si>
  <si>
    <t>6b5bd14e-72ef-3519-ae1e-3bde2c6faef4</t>
  </si>
  <si>
    <t>Transport, passenger car, compressed gas, Compact, 2013, EURO-5 {CH}</t>
  </si>
  <si>
    <t>2d66b826-bb93-3abb-9179-acb1c4fc6c7d</t>
  </si>
  <si>
    <t>Transport, passenger car, compressed gas, Compact, 2013, EURO-5 {RER}</t>
  </si>
  <si>
    <t>cb624b2c-aab6-3f50-a68d-ee358052b427</t>
  </si>
  <si>
    <t>Transport, passenger car, compressed gas, Compact, 2016, EURO-6ab {CH}</t>
  </si>
  <si>
    <t>8d7260b6-3d45-3680-8ed2-b4eb3ac38017</t>
  </si>
  <si>
    <t>Transport, passenger car, compressed gas, Compact, 2016, EURO-6ab {RER}</t>
  </si>
  <si>
    <t>ea3f23cd-a6b3-30fc-970c-0d9a47e3df4d</t>
  </si>
  <si>
    <t>Transport, passenger car, compressed gas, Compact, 2018, EURO-6c {CH}</t>
  </si>
  <si>
    <t>147678ef-e97c-3bd5-81e5-f7a2246a2a66</t>
  </si>
  <si>
    <t>Transport, passenger car, compressed gas, Compact, 2018, EURO-6c {RER}</t>
  </si>
  <si>
    <t>7512e5bc-26c4-31ec-8dd5-6a71d47d2767</t>
  </si>
  <si>
    <t>Transport, passenger car, compressed gas, Compact, 2019, EURO-6d-TEMP {CH}</t>
  </si>
  <si>
    <t>7edcca04-7f34-3f83-85dc-2f6632a9d169</t>
  </si>
  <si>
    <t>Transport, passenger car, compressed gas, Compact, 2019, EURO-6d-TEMP {RER}</t>
  </si>
  <si>
    <t>b980cfb4-86a6-3576-9208-e4b9bd05b698</t>
  </si>
  <si>
    <t>Transport, passenger car, compressed gas, Compact, 2021, EURO-6d {CH}</t>
  </si>
  <si>
    <t>16101cc6-c178-361f-ac38-4b630cc30d0c</t>
  </si>
  <si>
    <t>Transport, passenger car, compressed gas, Compact, 2021, EURO-6d {RER}</t>
  </si>
  <si>
    <t>e48de23f-518f-3653-a928-2e747f973931</t>
  </si>
  <si>
    <t>Transport, passenger car, compressed gas, fleet average {CH}</t>
  </si>
  <si>
    <t>23e76caf-0048-3b48-8726-79300256ea38</t>
  </si>
  <si>
    <t>Transport, passenger car, compressed gas, fleet average {RER}</t>
  </si>
  <si>
    <t>cda69098-cae0-3ca2-bcea-f2b00ed5f9ff</t>
  </si>
  <si>
    <t>Transport, passenger car, compressed gas, Large SUV, 2003, EURO-3 {CH}</t>
  </si>
  <si>
    <t>c0e070df-b4bb-3bd7-bfcb-10fcaaacf189</t>
  </si>
  <si>
    <t>Transport, passenger car, compressed gas, Large SUV, 2003, EURO-3 {RER}</t>
  </si>
  <si>
    <t>2d7ce560-aff4-3d2a-99f5-b8f3754b532a</t>
  </si>
  <si>
    <t>Transport, passenger car, compressed gas, Large SUV, 2008, EURO-4 {CH}</t>
  </si>
  <si>
    <t>88148efc-8e1c-33ff-a8f1-036e73ecb4c6</t>
  </si>
  <si>
    <t>Transport, passenger car, compressed gas, Large SUV, 2008, EURO-4 {RER}</t>
  </si>
  <si>
    <t>273d5c16-ccba-35be-b716-efec43233bcf</t>
  </si>
  <si>
    <t>Transport, passenger car, compressed gas, Large SUV, 2013, EURO-5 {CH}</t>
  </si>
  <si>
    <t>1704e930-a26f-39a2-a7ee-8dc62535d88d</t>
  </si>
  <si>
    <t>Transport, passenger car, compressed gas, Large SUV, 2013, EURO-5 {RER}</t>
  </si>
  <si>
    <t>ad790471-daa7-3c07-9169-34018e868610</t>
  </si>
  <si>
    <t>Transport, passenger car, compressed gas, Large SUV, 2016, EURO-6ab {CH}</t>
  </si>
  <si>
    <t>00b30df5-b17e-3105-a05b-ceb1d0c59e57</t>
  </si>
  <si>
    <t>Transport, passenger car, compressed gas, Large SUV, 2016, EURO-6ab {RER}</t>
  </si>
  <si>
    <t>6fda3334-5f11-3a82-98bd-dc2390e64699</t>
  </si>
  <si>
    <t>Transport, passenger car, compressed gas, Large SUV, 2018, EURO-6c {CH}</t>
  </si>
  <si>
    <t>3c9ff8a5-2002-38a9-8084-02887d7286ff</t>
  </si>
  <si>
    <t>Transport, passenger car, compressed gas, Large SUV, 2018, EURO-6c {RER}</t>
  </si>
  <si>
    <t>f492a129-2c7a-361d-b079-1c68e807ede9</t>
  </si>
  <si>
    <t>Transport, passenger car, compressed gas, Large SUV, 2019, EURO-6d-TEMP {CH}</t>
  </si>
  <si>
    <t>ed440dec-ff64-3d1d-8104-fed6928f8fb0</t>
  </si>
  <si>
    <t>Transport, passenger car, compressed gas, Large SUV, 2019, EURO-6d-TEMP {RER}</t>
  </si>
  <si>
    <t>daeeab4d-2105-3a92-9601-f8c9f1f4ad00</t>
  </si>
  <si>
    <t>Transport, passenger car, compressed gas, Large SUV, 2021, EURO-6d {CH}</t>
  </si>
  <si>
    <t>f2eab3c6-58ef-3b2b-9dab-748636e99a1e</t>
  </si>
  <si>
    <t>Transport, passenger car, compressed gas, Large SUV, 2021, EURO-6d {RER}</t>
  </si>
  <si>
    <t>80e483f7-5ef8-3304-ab49-bef0ccb44d14</t>
  </si>
  <si>
    <t>Transport, passenger car, compressed gas, Large, 2003, EURO-3 {CH}</t>
  </si>
  <si>
    <t>5a13fc0e-697c-355e-ade5-be1acf262475</t>
  </si>
  <si>
    <t>Transport, passenger car, compressed gas, Large, 2003, EURO-3 {RER}</t>
  </si>
  <si>
    <t>e834f650-e623-3790-9c8c-94ff90f37840</t>
  </si>
  <si>
    <t>Transport, passenger car, compressed gas, Large, 2008, EURO-4 {CH}</t>
  </si>
  <si>
    <t>4ff814a1-0100-3245-9b1c-bdf27fb80279</t>
  </si>
  <si>
    <t>Transport, passenger car, compressed gas, Large, 2008, EURO-4 {RER}</t>
  </si>
  <si>
    <t>c1776931-f50a-3b1d-807d-f4ecda394467</t>
  </si>
  <si>
    <t>Transport, passenger car, compressed gas, Large, 2013, EURO-5 {CH}</t>
  </si>
  <si>
    <t>ae721954-595b-3a1d-9c09-fac8ba7774ea</t>
  </si>
  <si>
    <t>Transport, passenger car, compressed gas, Large, 2013, EURO-5 {RER}</t>
  </si>
  <si>
    <t>d0de95c0-6668-3b89-aeb2-b8f137e450d5</t>
  </si>
  <si>
    <t>Transport, passenger car, compressed gas, Large, 2016, EURO-6ab {CH}</t>
  </si>
  <si>
    <t>80e03e25-9030-3d99-80c7-26f8fc622f7e</t>
  </si>
  <si>
    <t>Transport, passenger car, compressed gas, Large, 2016, EURO-6ab {RER}</t>
  </si>
  <si>
    <t>1d59fddb-5ea4-3171-a57b-4d6253912551</t>
  </si>
  <si>
    <t>Transport, passenger car, compressed gas, Large, 2018, EURO-6c {CH}</t>
  </si>
  <si>
    <t>f6febb76-a9ee-3694-be17-19c586756473</t>
  </si>
  <si>
    <t>Transport, passenger car, compressed gas, Large, 2018, EURO-6c {RER}</t>
  </si>
  <si>
    <t>b2b62a0a-8b45-34df-949e-81210d7091ef</t>
  </si>
  <si>
    <t>Transport, passenger car, compressed gas, Large, 2019, EURO-6d-TEMP {CH}</t>
  </si>
  <si>
    <t>2c24e681-b774-327e-8bc9-b758752192e3</t>
  </si>
  <si>
    <t>Transport, passenger car, compressed gas, Large, 2019, EURO-6d-TEMP {RER}</t>
  </si>
  <si>
    <t>f991f8d2-51b0-3d70-8fa8-a9704099ef79</t>
  </si>
  <si>
    <t>Transport, passenger car, compressed gas, Large, 2021, EURO-6d {CH}</t>
  </si>
  <si>
    <t>2750e454-0904-3515-8e49-4541f95edec7</t>
  </si>
  <si>
    <t>Transport, passenger car, compressed gas, Large, 2021, EURO-6d {RER}</t>
  </si>
  <si>
    <t>560471b7-8242-38d8-96fb-45d8ac2e2c7f</t>
  </si>
  <si>
    <t>Transport, passenger car, compressed gas, Medium, 2003, EURO-3 {CH}</t>
  </si>
  <si>
    <t>1d99085f-0d37-3992-bdf4-8a1828bbad47</t>
  </si>
  <si>
    <t>Transport, passenger car, compressed gas, Medium, 2003, EURO-3 {RER}</t>
  </si>
  <si>
    <t>750f153f-0794-3e04-aebb-3d3c9e665c00</t>
  </si>
  <si>
    <t>Transport, passenger car, compressed gas, Medium, 2008, EURO-4 {CH}</t>
  </si>
  <si>
    <t>609ed9e0-d3b3-3d5d-9947-270615d647a2</t>
  </si>
  <si>
    <t>Transport, passenger car, compressed gas, Medium, 2008, EURO-4 {RER}</t>
  </si>
  <si>
    <t>bdcf098e-03b8-3faf-a84f-4d86b53763ef</t>
  </si>
  <si>
    <t>Transport, passenger car, compressed gas, Medium, 2013, EURO-5 {CH}</t>
  </si>
  <si>
    <t>acb4a003-e49d-3354-9801-2ecc14888e45</t>
  </si>
  <si>
    <t>Transport, passenger car, compressed gas, Medium, 2013, EURO-5 {RER}</t>
  </si>
  <si>
    <t>9a1ec346-2cec-3ddc-8026-6b1e5d13d9c4</t>
  </si>
  <si>
    <t>Transport, passenger car, compressed gas, Medium, 2016, EURO-6ab {CH}</t>
  </si>
  <si>
    <t>8a4f0de2-cc9b-300d-9022-3e53a4e05ff6</t>
  </si>
  <si>
    <t>Transport, passenger car, compressed gas, Medium, 2016, EURO-6ab {RER}</t>
  </si>
  <si>
    <t>0185c397-a3db-334c-a798-50005b92ae4e</t>
  </si>
  <si>
    <t>Transport, passenger car, compressed gas, Medium, 2018, EURO-6c {CH}</t>
  </si>
  <si>
    <t>83566108-fcd0-3fd3-b6c2-8e27a6c4946a</t>
  </si>
  <si>
    <t>Transport, passenger car, compressed gas, Medium, 2018, EURO-6c {RER}</t>
  </si>
  <si>
    <t>6b2788c6-24bb-360c-8c64-daf63ee8620a</t>
  </si>
  <si>
    <t>Transport, passenger car, compressed gas, Medium, 2019, EURO-6d-TEMP {CH}</t>
  </si>
  <si>
    <t>d226c670-2e42-35aa-928e-d00331e4f566</t>
  </si>
  <si>
    <t>Transport, passenger car, compressed gas, Medium, 2019, EURO-6d-TEMP {RER}</t>
  </si>
  <si>
    <t>daefe769-6091-3756-98ff-6bd678ed7cb6</t>
  </si>
  <si>
    <t>Transport, passenger car, compressed gas, Medium, 2021, EURO-6d {CH}</t>
  </si>
  <si>
    <t>7691f9b2-e43c-3c05-8320-8542ea166bb9</t>
  </si>
  <si>
    <t>Transport, passenger car, compressed gas, Medium, 2021, EURO-6d {RER}</t>
  </si>
  <si>
    <t>4a66c1cb-8696-359c-a032-7ab3050aed1b</t>
  </si>
  <si>
    <t>Transport, passenger car, diesel hybrid, Compact, 2013, EURO-5 {CH}</t>
  </si>
  <si>
    <t>cb3335c4-6652-37a2-b474-7712f69bb801</t>
  </si>
  <si>
    <t>Transport, passenger car, diesel hybrid, Compact, 2013, EURO-5 {RER}</t>
  </si>
  <si>
    <t>68d00f05-adab-30fd-a6cd-84d1d3743abd</t>
  </si>
  <si>
    <t>Transport, passenger car, diesel hybrid, Compact, 2016, EURO-6ab {CH}</t>
  </si>
  <si>
    <t>172e20f1-9e1e-31aa-b60e-2e77d84bbcdb</t>
  </si>
  <si>
    <t>Transport, passenger car, diesel hybrid, Compact, 2016, EURO-6ab {RER}</t>
  </si>
  <si>
    <t>80a2b4f5-1be8-3cb3-9708-b341d59bfcc8</t>
  </si>
  <si>
    <t>Transport, passenger car, diesel hybrid, Compact, 2018, EURO-6c {CH}</t>
  </si>
  <si>
    <t>76ba350d-40e7-3dfa-8a91-ee6f8fe1ecd8</t>
  </si>
  <si>
    <t>Transport, passenger car, diesel hybrid, Compact, 2018, EURO-6c {RER}</t>
  </si>
  <si>
    <t>c4b64128-771c-3c4f-b062-aa8a00ab8a3a</t>
  </si>
  <si>
    <t>Transport, passenger car, diesel hybrid, Compact, 2019, EURO-6d-TEMP {CH}</t>
  </si>
  <si>
    <t>998d91b8-43ed-3870-93fb-d9cd87b4a36e</t>
  </si>
  <si>
    <t>Transport, passenger car, diesel hybrid, Compact, 2019, EURO-6d-TEMP {RER}</t>
  </si>
  <si>
    <t>c54b4cf4-103e-3e1c-9ab4-d49128589ce8</t>
  </si>
  <si>
    <t>Transport, passenger car, diesel hybrid, Compact, 2021, EURO-6d {CH}</t>
  </si>
  <si>
    <t>31cc593e-5507-34b6-8ad0-51f3b0358b39</t>
  </si>
  <si>
    <t>Transport, passenger car, diesel hybrid, Compact, 2021, EURO-6d {RER}</t>
  </si>
  <si>
    <t>b4695290-0091-3022-a86b-7a094ead9c8b</t>
  </si>
  <si>
    <t>Transport, passenger car, diesel hybrid, Large SUV, 2013, EURO-5 {CH}</t>
  </si>
  <si>
    <t>d3874550-0ad3-3a3c-995e-fd2e9322fe3d</t>
  </si>
  <si>
    <t>Transport, passenger car, diesel hybrid, Large SUV, 2013, EURO-5 {RER}</t>
  </si>
  <si>
    <t>9cf52d5f-09fe-3316-803a-b2414c388deb</t>
  </si>
  <si>
    <t>Transport, passenger car, diesel hybrid, Large SUV, 2016, EURO-6ab {CH}</t>
  </si>
  <si>
    <t>46bffa00-dfd1-3d63-8102-047f65df3df8</t>
  </si>
  <si>
    <t>Transport, passenger car, diesel hybrid, Large SUV, 2016, EURO-6ab {RER}</t>
  </si>
  <si>
    <t>6b93c56d-beca-3c70-9e7d-a5e64a3c4d87</t>
  </si>
  <si>
    <t>Transport, passenger car, diesel hybrid, Large SUV, 2018, EURO-6c {CH}</t>
  </si>
  <si>
    <t>e94f6c93-40e0-3338-ad56-ba1640ab2a68</t>
  </si>
  <si>
    <t>Transport, passenger car, diesel hybrid, Large SUV, 2018, EURO-6c {RER}</t>
  </si>
  <si>
    <t>8304a0b0-8833-3e03-be4a-51c91078f7fe</t>
  </si>
  <si>
    <t>Transport, passenger car, diesel hybrid, Large SUV, 2019, EURO-6d-TEMP {CH}</t>
  </si>
  <si>
    <t>aef5ab98-ce23-35ff-8d1a-c3848d3f3873</t>
  </si>
  <si>
    <t>Transport, passenger car, diesel hybrid, Large SUV, 2019, EURO-6d-TEMP {RER}</t>
  </si>
  <si>
    <t>34e895b5-9735-3d4f-8b43-522733cfc588</t>
  </si>
  <si>
    <t>Transport, passenger car, diesel hybrid, Large SUV, 2021, EURO-6d {CH}</t>
  </si>
  <si>
    <t>e2cc14f1-e188-36dd-b6cc-f622079896b2</t>
  </si>
  <si>
    <t>Transport, passenger car, diesel hybrid, Large SUV, 2021, EURO-6d {RER}</t>
  </si>
  <si>
    <t>4e88a30b-7d8f-37f7-a111-4c48fefb6dc4</t>
  </si>
  <si>
    <t>Transport, passenger car, diesel hybrid, Large, 2013, EURO-5 {CH}</t>
  </si>
  <si>
    <t>1722174d-ea3e-32b0-a5df-df03c2d72a6c</t>
  </si>
  <si>
    <t>Transport, passenger car, diesel hybrid, Large, 2013, EURO-5 {RER}</t>
  </si>
  <si>
    <t>bd3cf3e0-0046-3b50-89fc-fc5479381b8b</t>
  </si>
  <si>
    <t>Transport, passenger car, diesel hybrid, Large, 2016, EURO-6ab {CH}</t>
  </si>
  <si>
    <t>6e82d1f7-e866-3730-aa4c-e46052063e2b</t>
  </si>
  <si>
    <t>Transport, passenger car, diesel hybrid, Large, 2016, EURO-6ab {RER}</t>
  </si>
  <si>
    <t>18076c39-a328-3c76-8cfc-2501f912d94d</t>
  </si>
  <si>
    <t>Transport, passenger car, diesel hybrid, Large, 2018, EURO-6c {CH}</t>
  </si>
  <si>
    <t>f27322a2-e263-3a67-86a3-5c47b9303e74</t>
  </si>
  <si>
    <t>Transport, passenger car, diesel hybrid, Large, 2018, EURO-6c {RER}</t>
  </si>
  <si>
    <t>b348e6e9-9a01-3472-8e24-e0a05046a423</t>
  </si>
  <si>
    <t>Transport, passenger car, diesel hybrid, Large, 2019, EURO-6d-TEMP {CH}</t>
  </si>
  <si>
    <t>5471e92a-c8c9-37cc-9d5b-065d7eb686c4</t>
  </si>
  <si>
    <t>Transport, passenger car, diesel hybrid, Large, 2019, EURO-6d-TEMP {RER}</t>
  </si>
  <si>
    <t>a0ffc828-fb7c-3b92-98eb-4233cd19968c</t>
  </si>
  <si>
    <t>Transport, passenger car, diesel hybrid, Large, 2021, EURO-6d {CH}</t>
  </si>
  <si>
    <t>a590687e-8328-3333-90b5-86ac47ba0c7d</t>
  </si>
  <si>
    <t>Transport, passenger car, diesel hybrid, Large, 2021, EURO-6d {RER}</t>
  </si>
  <si>
    <t>53821a3b-5b96-399f-a14b-ad46976b58f5</t>
  </si>
  <si>
    <t>Transport, passenger car, diesel hybrid, Medium, 2013, EURO-5 {CH}</t>
  </si>
  <si>
    <t>75eb22f8-9255-3efe-8e79-adc4d33b7079</t>
  </si>
  <si>
    <t>Transport, passenger car, diesel hybrid, Medium, 2013, EURO-5 {RER}</t>
  </si>
  <si>
    <t>cde82775-d357-3c39-9556-d45ae8dc468d</t>
  </si>
  <si>
    <t>Transport, passenger car, diesel hybrid, Medium, 2016, EURO-6ab {CH}</t>
  </si>
  <si>
    <t>bc7d168b-95b0-325c-8244-4b0c787521cd</t>
  </si>
  <si>
    <t>Transport, passenger car, diesel hybrid, Medium, 2016, EURO-6ab {RER}</t>
  </si>
  <si>
    <t>80ca5cf2-694e-361a-a639-fc288a88f39b</t>
  </si>
  <si>
    <t>Transport, passenger car, diesel hybrid, Medium, 2018, EURO-6c {CH}</t>
  </si>
  <si>
    <t>02def996-95c8-3a63-989a-1659df72c12b</t>
  </si>
  <si>
    <t>Transport, passenger car, diesel hybrid, Medium, 2018, EURO-6c {RER}</t>
  </si>
  <si>
    <t>3ea0947f-7205-3cdc-8c18-d426428018b6</t>
  </si>
  <si>
    <t>Transport, passenger car, diesel hybrid, Medium, 2019, EURO-6d-TEMP {CH}</t>
  </si>
  <si>
    <t>4968145b-526f-3aef-8eb2-b1d5de7715ec</t>
  </si>
  <si>
    <t>Transport, passenger car, diesel hybrid, Medium, 2019, EURO-6d-TEMP {RER}</t>
  </si>
  <si>
    <t>29c4de36-883f-3f74-8526-6391147846c7</t>
  </si>
  <si>
    <t>Transport, passenger car, diesel hybrid, Medium, 2021, EURO-6d {CH}</t>
  </si>
  <si>
    <t>b9be3227-0c15-3690-869b-52a2d39fa143</t>
  </si>
  <si>
    <t>Transport, passenger car, diesel hybrid, Medium, 2021, EURO-6d {RER}</t>
  </si>
  <si>
    <t>d7e03f35-a212-313c-85bc-820cbf80264b</t>
  </si>
  <si>
    <t>Transport, passenger car, diesel, Compact, 2003, EURO-3 {CH}</t>
  </si>
  <si>
    <t>d358ff66-5546-3902-b501-1df204c2fa1e</t>
  </si>
  <si>
    <t>Transport, passenger car, diesel, Compact, 2003, EURO-3 {RER}</t>
  </si>
  <si>
    <t>6d0f6c60-d1a4-36ed-863a-1e036420979f</t>
  </si>
  <si>
    <t>Transport, passenger car, diesel, Compact, 2008, EURO-4 {CH}</t>
  </si>
  <si>
    <t>dca8c850-f02a-3a7c-827e-9bab61a6a116</t>
  </si>
  <si>
    <t>Transport, passenger car, diesel, Compact, 2008, EURO-4 {RER}</t>
  </si>
  <si>
    <t>d6abebd7-907e-3c75-819c-120b8ef84a36</t>
  </si>
  <si>
    <t>Transport, passenger car, diesel, Compact, 2013, EURO-5 {CH}</t>
  </si>
  <si>
    <t>533a079e-36cf-3d28-955e-1d68b07365d3</t>
  </si>
  <si>
    <t>Transport, passenger car, diesel, Compact, 2013, EURO-5 {RER}</t>
  </si>
  <si>
    <t>a72360d0-c4cd-31a1-a4a9-9eb993dbb602</t>
  </si>
  <si>
    <t>Transport, passenger car, diesel, Compact, 2016, EURO-6ab {CH}</t>
  </si>
  <si>
    <t>a89020e0-6271-3f5c-b8e1-95d249f4bfe6</t>
  </si>
  <si>
    <t>Transport, passenger car, diesel, Compact, 2016, EURO-6ab {RER}</t>
  </si>
  <si>
    <t>b6b9afae-6b42-3476-8015-93444544cc21</t>
  </si>
  <si>
    <t>Transport, passenger car, diesel, Compact, 2018, EURO-6c {CH}</t>
  </si>
  <si>
    <t>914b10a8-59a1-3086-bf9e-692cb273227f</t>
  </si>
  <si>
    <t>Transport, passenger car, diesel, Compact, 2018, EURO-6c {RER}</t>
  </si>
  <si>
    <t>e5c94ac2-731f-379f-a35a-bc2256228ca8</t>
  </si>
  <si>
    <t>Transport, passenger car, diesel, Compact, 2019, EURO-6d-TEMP {CH}</t>
  </si>
  <si>
    <t>eecc4367-2ea1-36a1-9403-a2e997d78e36</t>
  </si>
  <si>
    <t>Transport, passenger car, diesel, Compact, 2019, EURO-6d-TEMP {RER}</t>
  </si>
  <si>
    <t>e65f4e0e-bdae-3ff1-b336-f7f468a27968</t>
  </si>
  <si>
    <t>Transport, passenger car, diesel, Compact, 2021, EURO-6d {CH}</t>
  </si>
  <si>
    <t>2837bb5a-4f04-33fa-bda0-34e36cb4a645</t>
  </si>
  <si>
    <t>Transport, passenger car, diesel, Compact, 2021, EURO-6d {RER}</t>
  </si>
  <si>
    <t>11f105c7-9b44-3cf7-a6eb-02eac5bf138f</t>
  </si>
  <si>
    <t>Transport, passenger car, diesel, fleet average {CH}</t>
  </si>
  <si>
    <t>23dfdde0-9d84-3efc-8026-6300a09e132d</t>
  </si>
  <si>
    <t>Transport, passenger car, diesel, fleet average {RER}</t>
  </si>
  <si>
    <t>be84e04a-e61c-32b4-be63-8429d533a5f0</t>
  </si>
  <si>
    <t>Transport, passenger car, diesel, Large SUV, 2003, EURO-3 {CH}</t>
  </si>
  <si>
    <t>99e58730-2cdc-3a56-99d9-03c742e6686f</t>
  </si>
  <si>
    <t>Transport, passenger car, diesel, Large SUV, 2003, EURO-3 {RER}</t>
  </si>
  <si>
    <t>af2f63a8-1155-3c5e-9245-6d0f10297750</t>
  </si>
  <si>
    <t>Transport, passenger car, diesel, Large SUV, 2008, EURO-4 {CH}</t>
  </si>
  <si>
    <t>65aade21-29df-36e2-b7b6-d93d91417236</t>
  </si>
  <si>
    <t>Transport, passenger car, diesel, Large SUV, 2008, EURO-4 {RER}</t>
  </si>
  <si>
    <t>2ef1b1da-a682-3987-b1a6-524728d94c7a</t>
  </si>
  <si>
    <t>Transport, passenger car, diesel, Large SUV, 2013, EURO-5 {CH}</t>
  </si>
  <si>
    <t>2f151112-e610-3382-a0cf-b47568e44092</t>
  </si>
  <si>
    <t>Transport, passenger car, diesel, Large SUV, 2013, EURO-5 {RER}</t>
  </si>
  <si>
    <t>3c33dab4-9e77-3e16-a04e-a8602caa8138</t>
  </si>
  <si>
    <t>Transport, passenger car, diesel, Large SUV, 2016, EURO-6ab {CH}</t>
  </si>
  <si>
    <t>840bffa0-f123-3cbc-8e61-c76cc2575159</t>
  </si>
  <si>
    <t>Transport, passenger car, diesel, Large SUV, 2016, EURO-6ab {RER}</t>
  </si>
  <si>
    <t>678cc349-d92d-3d73-9146-32a669e7721e</t>
  </si>
  <si>
    <t>Transport, passenger car, diesel, Large SUV, 2018, EURO-6c {CH}</t>
  </si>
  <si>
    <t>f37a3261-3d8b-3743-8f54-d79b4f786cd0</t>
  </si>
  <si>
    <t>Transport, passenger car, diesel, Large SUV, 2018, EURO-6c {RER}</t>
  </si>
  <si>
    <t>696598e4-3df3-34b5-be26-85876d247cab</t>
  </si>
  <si>
    <t>Transport, passenger car, diesel, Large SUV, 2019, EURO-6d-TEMP {CH}</t>
  </si>
  <si>
    <t>8b2698e5-84a1-3b82-ab66-a2d902f072b2</t>
  </si>
  <si>
    <t>Transport, passenger car, diesel, Large SUV, 2019, EURO-6d-TEMP {RER}</t>
  </si>
  <si>
    <t>2322c473-7016-327c-a967-0ad43a63dbc7</t>
  </si>
  <si>
    <t>Transport, passenger car, diesel, Large SUV, 2021, EURO-6d {CH}</t>
  </si>
  <si>
    <t>6f0bc75c-d9d7-3a60-a8f7-b3bc9503e418</t>
  </si>
  <si>
    <t>Transport, passenger car, diesel, Large SUV, 2021, EURO-6d {RER}</t>
  </si>
  <si>
    <t>f76ea4ec-4898-367e-bca4-2738e05c6324</t>
  </si>
  <si>
    <t>Transport, passenger car, diesel, Large, 2003, EURO-3 {CH}</t>
  </si>
  <si>
    <t>f87913b9-814a-3a5d-8e2d-c2ff95568788</t>
  </si>
  <si>
    <t>Transport, passenger car, diesel, Large, 2003, EURO-3 {RER}</t>
  </si>
  <si>
    <t>9429368a-bbd1-324c-aa5c-d5bed1cf11dc</t>
  </si>
  <si>
    <t>Transport, passenger car, diesel, Large, 2008, EURO-4 {CH}</t>
  </si>
  <si>
    <t>58504e5e-de52-3957-95cf-75438b1a94fd</t>
  </si>
  <si>
    <t>Transport, passenger car, diesel, Large, 2008, EURO-4 {RER}</t>
  </si>
  <si>
    <t>4202d9cc-8967-32c5-9d7a-c6b5cc12462a</t>
  </si>
  <si>
    <t>Transport, passenger car, diesel, Large, 2013, EURO-5 {CH}</t>
  </si>
  <si>
    <t>0de75e1c-0979-3cfc-a1ea-c52924d46ea8</t>
  </si>
  <si>
    <t>Transport, passenger car, diesel, Large, 2013, EURO-5 {RER}</t>
  </si>
  <si>
    <t>c61c7a3d-2194-3b9d-9e13-b5076d4b1c19</t>
  </si>
  <si>
    <t>Transport, passenger car, diesel, Large, 2016, EURO-6ab {CH}</t>
  </si>
  <si>
    <t>da10843e-7530-3e05-8f18-140c14b788b2</t>
  </si>
  <si>
    <t>Transport, passenger car, diesel, Large, 2016, EURO-6ab {RER}</t>
  </si>
  <si>
    <t>4d6a7ce5-cac9-3230-9410-7822737b3ecb</t>
  </si>
  <si>
    <t>Transport, passenger car, diesel, Large, 2018, EURO-6c {CH}</t>
  </si>
  <si>
    <t>0386c2bc-9b08-3ab2-98e2-d981461fb174</t>
  </si>
  <si>
    <t>Transport, passenger car, diesel, Large, 2018, EURO-6c {RER}</t>
  </si>
  <si>
    <t>915d9735-07fe-354f-87fd-2d752db76308</t>
  </si>
  <si>
    <t>Transport, passenger car, diesel, Large, 2019, EURO-6d-TEMP {CH}</t>
  </si>
  <si>
    <t>af8e48d3-5ef2-3fce-b84d-a08897a1fafe</t>
  </si>
  <si>
    <t>Transport, passenger car, diesel, Large, 2019, EURO-6d-TEMP {RER}</t>
  </si>
  <si>
    <t>62e204b5-1f08-32b4-a04f-1e68ce1833f3</t>
  </si>
  <si>
    <t>Transport, passenger car, diesel, Large, 2021, EURO-6d {CH}</t>
  </si>
  <si>
    <t>2bda6364-8ab9-3279-bfab-7a0f27ca53cb</t>
  </si>
  <si>
    <t>Transport, passenger car, diesel, Large, 2021, EURO-6d {RER}</t>
  </si>
  <si>
    <t>99037999-65ca-3c28-9c25-296d4462a459</t>
  </si>
  <si>
    <t>Transport, passenger car, diesel, Medium, 2003, EURO-3 {CH}</t>
  </si>
  <si>
    <t>75a8abef-2a32-30e5-9f8b-a72d768f4f15</t>
  </si>
  <si>
    <t>Transport, passenger car, diesel, Medium, 2003, EURO-3 {RER}</t>
  </si>
  <si>
    <t>de3cd541-c502-3eb2-996c-a5ad92f1fc6c</t>
  </si>
  <si>
    <t>Transport, passenger car, diesel, Medium, 2008, EURO-4 {CH}</t>
  </si>
  <si>
    <t>d2930a11-5d8e-3105-a325-4f977a96c7d0</t>
  </si>
  <si>
    <t>Transport, passenger car, diesel, Medium, 2008, EURO-4 {RER}</t>
  </si>
  <si>
    <t>1c6acead-21a7-35b2-94ef-822ef0445940</t>
  </si>
  <si>
    <t>Transport, passenger car, diesel, Medium, 2013, EURO-5 {CH}</t>
  </si>
  <si>
    <t>20a1a2c8-59d2-3c35-b9aa-98d65eb3f001</t>
  </si>
  <si>
    <t>Transport, passenger car, diesel, Medium, 2013, EURO-5 {RER}</t>
  </si>
  <si>
    <t>c5fa8b3c-8326-3c7e-af1a-21edbfccbc8a</t>
  </si>
  <si>
    <t>Transport, passenger car, diesel, Medium, 2016, EURO-6ab {CH}</t>
  </si>
  <si>
    <t>29a8018a-bfe4-35f4-8d82-a9ab6daaa2d0</t>
  </si>
  <si>
    <t>Transport, passenger car, diesel, Medium, 2016, EURO-6ab {RER}</t>
  </si>
  <si>
    <t>bd2d01ee-ef41-3f0d-904e-c5958897487e</t>
  </si>
  <si>
    <t>Transport, passenger car, diesel, Medium, 2018, EURO-6c {CH}</t>
  </si>
  <si>
    <t>1ace465b-f619-3ad2-9c3c-dae583810c3d</t>
  </si>
  <si>
    <t>Transport, passenger car, diesel, Medium, 2018, EURO-6c {RER}</t>
  </si>
  <si>
    <t>0f5d17b7-20a6-39ae-be4b-2b4ea26a4638</t>
  </si>
  <si>
    <t>Transport, passenger car, diesel, Medium, 2019, EURO-6d-TEMP {CH}</t>
  </si>
  <si>
    <t>735e73b0-9b85-3953-9197-6955198a6ff7</t>
  </si>
  <si>
    <t>Transport, passenger car, diesel, Medium, 2019, EURO-6d-TEMP {RER}</t>
  </si>
  <si>
    <t>10a62fbe-20f9-3ebe-941e-ea1a524371ce</t>
  </si>
  <si>
    <t>Transport, passenger car, diesel, Medium, 2021, EURO-6d {CH}</t>
  </si>
  <si>
    <t>da1d0563-6eaf-337f-a7f1-ab67c0e12f2a</t>
  </si>
  <si>
    <t>Transport, passenger car, diesel, Medium, 2021, EURO-6d {RER}</t>
  </si>
  <si>
    <t>39ad4084-cfea-3c28-82c4-3f6a5a5ce4f0</t>
  </si>
  <si>
    <t>Transport, passenger car, fleet average {CH}</t>
  </si>
  <si>
    <t>e2f12d27-a509-335c-9337-643eb1235045</t>
  </si>
  <si>
    <t>Transport, passenger car, fleet average {RER}</t>
  </si>
  <si>
    <t>b11f7278-bcdc-4c94-a3df-5243abd5a5f8</t>
  </si>
  <si>
    <t>Transport, passenger car, fuel cell electric, hydrogen from electrolysis, Compact, 2021 {CH}</t>
  </si>
  <si>
    <t>fd90a6c6-0558-3a4a-ae3b-2826eec21748</t>
  </si>
  <si>
    <t>Transport, passenger car, fuel cell electric, hydrogen from electrolysis, label-certified electricity, Compact, 2021 {CH}</t>
  </si>
  <si>
    <t>65129ac1-b3f4-3e2e-b817-bdcf1b110d82</t>
  </si>
  <si>
    <t>Transport, passenger car, fuel cell electric, hydrogen from electrolysis, label-certified electricity, Large SUV, 2021 {CH}</t>
  </si>
  <si>
    <t>1ae2d509-0d0a-3d70-8d9b-bee99726f7fd</t>
  </si>
  <si>
    <t>Transport, passenger car, fuel cell electric, hydrogen from electrolysis, label-certified electricity, Large, 2021 {CH}</t>
  </si>
  <si>
    <t>41ce3666-acef-38b6-b2c3-8fe485a39ad8</t>
  </si>
  <si>
    <t>Transport, passenger car, fuel cell electric, hydrogen from electrolysis, label-certified electricity, Medium, 2021 {CH}</t>
  </si>
  <si>
    <t>0f217c96-9c1b-37e3-9730-76ec376c56c0</t>
  </si>
  <si>
    <t>Transport, passenger car, fuel cell electric, hydrogen from electrolysis, Large SUV, 2021 {CH}</t>
  </si>
  <si>
    <t>5343bb1f-f822-38db-be27-e931a8f1fbae</t>
  </si>
  <si>
    <t>Transport, passenger car, fuel cell electric, hydrogen from electrolysis, Large, 2021 {CH}</t>
  </si>
  <si>
    <t>84b90ae8-31cf-3d0e-96f1-05b66a7ad3d7</t>
  </si>
  <si>
    <t>Transport, passenger car, fuel cell electric, hydrogen from electrolysis, Medium, 2021 {CH}</t>
  </si>
  <si>
    <t>4bfce609-b9b7-3db8-9424-a650edebecef</t>
  </si>
  <si>
    <t>Transport, passenger car, fuel cell electric, SMR of natural gas, Compact, 2021 {CH}</t>
  </si>
  <si>
    <t>6e42cb64-ed29-3fbb-9816-a5ce5708cdd5</t>
  </si>
  <si>
    <t>Transport, passenger car, fuel cell electric, SMR of natural gas, Large SUV, 2021 {CH}</t>
  </si>
  <si>
    <t>df59bb8b-e6e8-32ab-baa4-3f1a018736cb</t>
  </si>
  <si>
    <t>Transport, passenger car, fuel cell electric, SMR of natural gas, Large, 2021 {CH}</t>
  </si>
  <si>
    <t>952377b7-5e02-3543-820d-d18da2d0be69</t>
  </si>
  <si>
    <t>Transport, passenger car, fuel cell electric, SMR of natural gas, Medium, 2021 {CH}</t>
  </si>
  <si>
    <t>5d5d7461-88bd-3158-bf35-40a947751793</t>
  </si>
  <si>
    <t>Transport, passenger car, gasoline hybrid, Compact, 2013, EURO-5 {CH}</t>
  </si>
  <si>
    <t>c09aa5f0-ae35-3d85-b7d9-f106e7fd2c52</t>
  </si>
  <si>
    <t>Transport, passenger car, gasoline hybrid, Compact, 2013, EURO-5 {RER}</t>
  </si>
  <si>
    <t>3127f690-218b-3567-8c43-9ab9fec9b6b3</t>
  </si>
  <si>
    <t>Transport, passenger car, gasoline hybrid, Compact, 2016, EURO-6ab {CH}</t>
  </si>
  <si>
    <t>628a7793-0936-3728-ab41-d1e17f6fe874</t>
  </si>
  <si>
    <t>Transport, passenger car, gasoline hybrid, Compact, 2016, EURO-6ab {RER}</t>
  </si>
  <si>
    <t>8c00e4cb-0ba3-3676-b796-afde9610c17e</t>
  </si>
  <si>
    <t>Transport, passenger car, gasoline hybrid, Compact, 2018, EURO-6c {CH}</t>
  </si>
  <si>
    <t>8ab1955d-941c-32f5-afd5-e47383b0c8ef</t>
  </si>
  <si>
    <t>Transport, passenger car, gasoline hybrid, Compact, 2018, EURO-6c {RER}</t>
  </si>
  <si>
    <t>a6c3b148-1343-38e5-978c-b1b643065922</t>
  </si>
  <si>
    <t>Transport, passenger car, gasoline hybrid, Compact, 2019, EURO-6d-TEMP {CH}</t>
  </si>
  <si>
    <t>8776451e-aac4-34b6-a073-e05bf7e050a3</t>
  </si>
  <si>
    <t>Transport, passenger car, gasoline hybrid, Compact, 2019, EURO-6d-TEMP {RER}</t>
  </si>
  <si>
    <t>1c3d8d9b-01f6-3cad-9f21-a3593899d0c4</t>
  </si>
  <si>
    <t>Transport, passenger car, gasoline hybrid, Compact, 2021, EURO-6d {CH}</t>
  </si>
  <si>
    <t>e87f1099-1303-3a26-b863-5fa1a89ae031</t>
  </si>
  <si>
    <t>Transport, passenger car, gasoline hybrid, Compact, 2021, EURO-6d {RER}</t>
  </si>
  <si>
    <t>8c40db2e-c11e-3282-a3b0-b3029a5e8204</t>
  </si>
  <si>
    <t>Transport, passenger car, gasoline hybrid, Large SUV, 2013, EURO-5 {CH}</t>
  </si>
  <si>
    <t>d1517015-7307-3503-96a9-fda54602a64b</t>
  </si>
  <si>
    <t>Transport, passenger car, gasoline hybrid, Large SUV, 2013, EURO-5 {RER}</t>
  </si>
  <si>
    <t>1004f92f-71f4-3c12-af64-727208909624</t>
  </si>
  <si>
    <t>Transport, passenger car, gasoline hybrid, Large SUV, 2016, EURO-6ab {CH}</t>
  </si>
  <si>
    <t>c07c0428-8ddc-3e90-b84d-42a029da62da</t>
  </si>
  <si>
    <t>Transport, passenger car, gasoline hybrid, Large SUV, 2016, EURO-6ab {RER}</t>
  </si>
  <si>
    <t>5f86948d-3384-34c5-974f-cb12db9c8905</t>
  </si>
  <si>
    <t>Transport, passenger car, gasoline hybrid, Large SUV, 2018, EURO-6c {CH}</t>
  </si>
  <si>
    <t>6b065a30-03c4-3e2f-b67e-4bab75cf4869</t>
  </si>
  <si>
    <t>Transport, passenger car, gasoline hybrid, Large SUV, 2018, EURO-6c {RER}</t>
  </si>
  <si>
    <t>46f0b5d1-aea2-3c1a-b535-1d1515312edd</t>
  </si>
  <si>
    <t>Transport, passenger car, gasoline hybrid, Large SUV, 2019, EURO-6d-TEMP {CH}</t>
  </si>
  <si>
    <t>206eb919-e5f0-393b-bc31-09eac6ff0b49</t>
  </si>
  <si>
    <t>Transport, passenger car, gasoline hybrid, Large SUV, 2019, EURO-6d-TEMP {RER}</t>
  </si>
  <si>
    <t>35768873-863f-3058-99a9-859395413cb1</t>
  </si>
  <si>
    <t>Transport, passenger car, gasoline hybrid, Large SUV, 2021, EURO-6d {CH}</t>
  </si>
  <si>
    <t>34046ed1-bdec-39f9-aae5-7f6f65f12ec0</t>
  </si>
  <si>
    <t>Transport, passenger car, gasoline hybrid, Large SUV, 2021, EURO-6d {RER}</t>
  </si>
  <si>
    <t>d37a6ceb-ef3e-3b9d-b6e8-2e5f0f704a9f</t>
  </si>
  <si>
    <t>Transport, passenger car, gasoline hybrid, Large, 2013, EURO-5 {CH}</t>
  </si>
  <si>
    <t>2eea6cd9-a4c7-33f4-9a44-2c04aa788fed</t>
  </si>
  <si>
    <t>Transport, passenger car, gasoline hybrid, Large, 2013, EURO-5 {RER}</t>
  </si>
  <si>
    <t>df8259f4-d27d-3322-87bc-86cdd3ae67f9</t>
  </si>
  <si>
    <t>Transport, passenger car, gasoline hybrid, Large, 2016, EURO-6ab {CH}</t>
  </si>
  <si>
    <t>005442ca-9bb4-3ac0-b6e6-a912e4b960b5</t>
  </si>
  <si>
    <t>Transport, passenger car, gasoline hybrid, Large, 2016, EURO-6ab {RER}</t>
  </si>
  <si>
    <t>fbd95bb0-e015-3611-b28e-88cbc8e58f9d</t>
  </si>
  <si>
    <t>Transport, passenger car, gasoline hybrid, Large, 2018, EURO-6c {CH}</t>
  </si>
  <si>
    <t>2ec830f1-ddc6-3983-a82b-ef762ca424b2</t>
  </si>
  <si>
    <t>Transport, passenger car, gasoline hybrid, Large, 2018, EURO-6c {RER}</t>
  </si>
  <si>
    <t>a1a2e15a-bfbf-39fa-b999-5ea09df01649</t>
  </si>
  <si>
    <t>Transport, passenger car, gasoline hybrid, Large, 2019, EURO-6d-TEMP {CH}</t>
  </si>
  <si>
    <t>16d79e71-beaa-3548-87ae-5ebe6efa2453</t>
  </si>
  <si>
    <t>Transport, passenger car, gasoline hybrid, Large, 2019, EURO-6d-TEMP {RER}</t>
  </si>
  <si>
    <t>0dc5ae7c-7279-3efd-90dc-83e6d48a0df8</t>
  </si>
  <si>
    <t>Transport, passenger car, gasoline hybrid, Large, 2021, EURO-6d {CH}</t>
  </si>
  <si>
    <t>73ff50d2-3658-3b51-add4-cd95ef37f0a5</t>
  </si>
  <si>
    <t>Transport, passenger car, gasoline hybrid, Large, 2021, EURO-6d {RER}</t>
  </si>
  <si>
    <t>8d099acc-1033-3df5-8d5e-6241a4d3c367</t>
  </si>
  <si>
    <t>Transport, passenger car, gasoline hybrid, Medium, 2013, EURO-5 {CH}</t>
  </si>
  <si>
    <t>d783a949-59fa-3ee9-a00f-3521025605bb</t>
  </si>
  <si>
    <t>Transport, passenger car, gasoline hybrid, Medium, 2013, EURO-5 {RER}</t>
  </si>
  <si>
    <t>bffde016-02d6-3823-94d8-2b3a6cc2cc77</t>
  </si>
  <si>
    <t>Transport, passenger car, gasoline hybrid, Medium, 2016, EURO-6ab {CH}</t>
  </si>
  <si>
    <t>2177d36a-6b97-310f-9bd9-66ed32ace75e</t>
  </si>
  <si>
    <t>Transport, passenger car, gasoline hybrid, Medium, 2016, EURO-6ab {RER}</t>
  </si>
  <si>
    <t>2f90715a-e9d5-3cef-a29e-bed98bb71966</t>
  </si>
  <si>
    <t>Transport, passenger car, gasoline hybrid, Medium, 2018, EURO-6c {CH}</t>
  </si>
  <si>
    <t>a73d684e-fe40-3961-a472-a59a1c36ab85</t>
  </si>
  <si>
    <t>Transport, passenger car, gasoline hybrid, Medium, 2018, EURO-6c {RER}</t>
  </si>
  <si>
    <t>1b2dcbbb-0298-38f2-86bd-88835f0eb749</t>
  </si>
  <si>
    <t>Transport, passenger car, gasoline hybrid, Medium, 2019, EURO-6d-TEMP {CH}</t>
  </si>
  <si>
    <t>0cdc8664-f9ae-3fe7-a16d-d638ae814e95</t>
  </si>
  <si>
    <t>Transport, passenger car, gasoline hybrid, Medium, 2019, EURO-6d-TEMP {RER}</t>
  </si>
  <si>
    <t>36836f07-c9e4-311a-99cb-ec2f6ae67a92</t>
  </si>
  <si>
    <t>Transport, passenger car, gasoline hybrid, Medium, 2021, EURO-6d {CH}</t>
  </si>
  <si>
    <t>22511eb1-6ee6-3cfc-b630-180f7ad0ea7f</t>
  </si>
  <si>
    <t>Transport, passenger car, gasoline hybrid, Medium, 2021, EURO-6d {RER}</t>
  </si>
  <si>
    <t>766a2a0d-1801-3baa-905d-dfeb3aaba291</t>
  </si>
  <si>
    <t>Transport, passenger car, gasoline, Compact, 2003, EURO-3 {CH}</t>
  </si>
  <si>
    <t>ac82dce1-a382-34ca-b71c-042ed478c045</t>
  </si>
  <si>
    <t>Transport, passenger car, gasoline, Compact, 2003, EURO-3 {RER}</t>
  </si>
  <si>
    <t>2bcd5377-1254-3352-be85-16234cfa505a</t>
  </si>
  <si>
    <t>Transport, passenger car, gasoline, Compact, 2008, EURO-4 {CH}</t>
  </si>
  <si>
    <t>8817bf64-b58a-3114-b5f8-7864fca3fb89</t>
  </si>
  <si>
    <t>Transport, passenger car, gasoline, Compact, 2008, EURO-4 {RER}</t>
  </si>
  <si>
    <t>01856da0-5c35-3947-b2bf-4916ef0b54cb</t>
  </si>
  <si>
    <t>Transport, passenger car, gasoline, Compact, 2013, EURO-5 {CH}</t>
  </si>
  <si>
    <t>b408cd3b-2740-3ff3-89da-5d0186339f7c</t>
  </si>
  <si>
    <t>Transport, passenger car, gasoline, Compact, 2013, EURO-5 {RER}</t>
  </si>
  <si>
    <t>6129d7fe-06ad-3bca-ba6a-b1b34d1ea829</t>
  </si>
  <si>
    <t>Transport, passenger car, gasoline, Compact, 2016, EURO-6ab {CH}</t>
  </si>
  <si>
    <t>7d20f3c1-579f-3f0b-896a-72ecab4f7a6c</t>
  </si>
  <si>
    <t>Transport, passenger car, gasoline, Compact, 2016, EURO-6ab {RER}</t>
  </si>
  <si>
    <t>3baeedba-3847-3f5d-aaf8-6e5439400987</t>
  </si>
  <si>
    <t>Transport, passenger car, gasoline, Compact, 2018, EURO-6c {CH}</t>
  </si>
  <si>
    <t>08d84bc2-e585-3b3e-bd3e-bf85a662eba3</t>
  </si>
  <si>
    <t>Transport, passenger car, gasoline, Compact, 2018, EURO-6c {RER}</t>
  </si>
  <si>
    <t>eb98fbb9-29f1-31e4-892e-651116fe6d74</t>
  </si>
  <si>
    <t>Transport, passenger car, gasoline, Compact, 2019, EURO-6d-TEMP {CH}</t>
  </si>
  <si>
    <t>1d2e2258-2095-3216-970e-3fc5ec5be372</t>
  </si>
  <si>
    <t>Transport, passenger car, gasoline, Compact, 2019, EURO-6d-TEMP {RER}</t>
  </si>
  <si>
    <t>cf3ff2e6-b188-375e-ab66-d2d82daad4fa</t>
  </si>
  <si>
    <t>Transport, passenger car, gasoline, Compact, 2021, EURO-6d {CH}</t>
  </si>
  <si>
    <t>925a0007-cbee-39d5-b32b-e027a94e225f</t>
  </si>
  <si>
    <t>Transport, passenger car, gasoline, Compact, 2021, EURO-6d {RER}</t>
  </si>
  <si>
    <t>96908b73-2e67-3a61-8490-a97d39be5975</t>
  </si>
  <si>
    <t>Transport, passenger car, gasoline, fleet average {CH}</t>
  </si>
  <si>
    <t>6e67dfc9-4765-385b-8101-2454a81a02f0</t>
  </si>
  <si>
    <t>Transport, passenger car, gasoline, fleet average {RER}</t>
  </si>
  <si>
    <t>f243ebc3-c88a-3870-95f7-0ac90271ac69</t>
  </si>
  <si>
    <t>Transport, passenger car, gasoline, Large SUV, 2003, EURO-3 {CH}</t>
  </si>
  <si>
    <t>7ea6e9c5-8180-3734-b7cf-4a6cc10f8da3</t>
  </si>
  <si>
    <t>Transport, passenger car, gasoline, Large SUV, 2003, EURO-3 {RER}</t>
  </si>
  <si>
    <t>aecbddd7-87fa-358e-816f-50a76a0264bf</t>
  </si>
  <si>
    <t>Transport, passenger car, gasoline, Large SUV, 2008, EURO-4 {CH}</t>
  </si>
  <si>
    <t>b08f21d9-d37c-3682-9017-79e2f4ff45cf</t>
  </si>
  <si>
    <t>Transport, passenger car, gasoline, Large SUV, 2008, EURO-4 {RER}</t>
  </si>
  <si>
    <t>af2bf5c0-81ba-3bb3-bd8d-11200a752448</t>
  </si>
  <si>
    <t>Transport, passenger car, gasoline, Large SUV, 2013, EURO-5 {CH}</t>
  </si>
  <si>
    <t>d1870495-55ab-3c34-bc5c-da0ddb87472d</t>
  </si>
  <si>
    <t>Transport, passenger car, gasoline, Large SUV, 2013, EURO-5 {RER}</t>
  </si>
  <si>
    <t>af7c50a1-817e-30ec-94ac-54f5e956c1f9</t>
  </si>
  <si>
    <t>Transport, passenger car, gasoline, Large SUV, 2016, EURO-6ab {CH}</t>
  </si>
  <si>
    <t>cea69968-ee99-3bb6-b3c2-d3e0e9f83645</t>
  </si>
  <si>
    <t>Transport, passenger car, gasoline, Large SUV, 2016, EURO-6ab {RER}</t>
  </si>
  <si>
    <t>bd2862a1-8008-3678-8e83-8711b920fc46</t>
  </si>
  <si>
    <t>Transport, passenger car, gasoline, Large SUV, 2018, EURO-6c {CH}</t>
  </si>
  <si>
    <t>82bddb9a-c30f-3ac0-b3b7-7dbaf3dae314</t>
  </si>
  <si>
    <t>Transport, passenger car, gasoline, Large SUV, 2018, EURO-6c {RER}</t>
  </si>
  <si>
    <t>5f00ad18-d9ff-3d71-9f18-fc6f5fa11874</t>
  </si>
  <si>
    <t>Transport, passenger car, gasoline, Large SUV, 2019, EURO-6d-TEMP {CH}</t>
  </si>
  <si>
    <t>9f82c134-b861-34fa-b3d5-1ddd9ac2d3df</t>
  </si>
  <si>
    <t>Transport, passenger car, gasoline, Large SUV, 2019, EURO-6d-TEMP {RER}</t>
  </si>
  <si>
    <t>207f89c5-596d-336a-942d-0be8161e5641</t>
  </si>
  <si>
    <t>Transport, passenger car, gasoline, Large SUV, 2021, EURO-6d {CH}</t>
  </si>
  <si>
    <t>39b32149-460a-3854-bd80-dfc3c2cc290e</t>
  </si>
  <si>
    <t>Transport, passenger car, gasoline, Large SUV, 2021, EURO-6d {RER}</t>
  </si>
  <si>
    <t>4f362878-9738-36c2-8c1f-cd46fc851e6a</t>
  </si>
  <si>
    <t>Transport, passenger car, gasoline, Large, 2003, EURO-3 {CH}</t>
  </si>
  <si>
    <t>0ef234e6-4eed-37c1-b6c7-9f2e38ab2c82</t>
  </si>
  <si>
    <t>Transport, passenger car, gasoline, Large, 2003, EURO-3 {RER}</t>
  </si>
  <si>
    <t>4ae03d60-ecaa-3c0c-95ba-7b44a6991d30</t>
  </si>
  <si>
    <t>Transport, passenger car, gasoline, Large, 2008, EURO-4 {CH}</t>
  </si>
  <si>
    <t>cb8a8d9a-53f3-3e3e-aee4-3b7b36fd324e</t>
  </si>
  <si>
    <t>Transport, passenger car, gasoline, Large, 2008, EURO-4 {RER}</t>
  </si>
  <si>
    <t>4f3b371e-f6f6-38cd-bba2-844450a55b97</t>
  </si>
  <si>
    <t>Transport, passenger car, gasoline, Large, 2013, EURO-5 {CH}</t>
  </si>
  <si>
    <t>c6a26f0f-07d7-3bff-b249-bcba77b19e72</t>
  </si>
  <si>
    <t>Transport, passenger car, gasoline, Large, 2013, EURO-5 {RER}</t>
  </si>
  <si>
    <t>8f6b73ad-8a9e-3621-b889-e43c7179837d</t>
  </si>
  <si>
    <t>Transport, passenger car, gasoline, Large, 2016, EURO-6ab {CH}</t>
  </si>
  <si>
    <t>dc09147c-556a-3ba2-81c9-08a5d6b3df2d</t>
  </si>
  <si>
    <t>Transport, passenger car, gasoline, Large, 2016, EURO-6ab {RER}</t>
  </si>
  <si>
    <t>20ce5457-f6b3-3d76-87de-158c70463bdc</t>
  </si>
  <si>
    <t>Transport, passenger car, gasoline, Large, 2018, EURO-6c {CH}</t>
  </si>
  <si>
    <t>f61324c3-f25b-3206-b859-9c1ef8f052b7</t>
  </si>
  <si>
    <t>Transport, passenger car, gasoline, Large, 2018, EURO-6c {RER}</t>
  </si>
  <si>
    <t>0d723a2e-bf19-3b5a-b315-896f2b4665ed</t>
  </si>
  <si>
    <t>Transport, passenger car, gasoline, Large, 2019, EURO-6d-TEMP {CH}</t>
  </si>
  <si>
    <t>42c1ceaf-ba3a-3666-8409-3a9bac57619f</t>
  </si>
  <si>
    <t>Transport, passenger car, gasoline, Large, 2019, EURO-6d-TEMP {RER}</t>
  </si>
  <si>
    <t>18d0ceef-9b51-3d56-acc1-8afebdf66b36</t>
  </si>
  <si>
    <t>Transport, passenger car, gasoline, Large, 2021, EURO-6d {CH}</t>
  </si>
  <si>
    <t>408b3b48-6d0a-3e4c-9163-46c3d45abb44</t>
  </si>
  <si>
    <t>Transport, passenger car, gasoline, Large, 2021, EURO-6d {RER}</t>
  </si>
  <si>
    <t>c5c30704-9dd0-3d7e-b368-8b964d6dfa4c</t>
  </si>
  <si>
    <t>Transport, passenger car, gasoline, Medium, 2003, EURO-3 {CH}</t>
  </si>
  <si>
    <t>9c6f5347-fc9c-3a92-9286-adc46370678b</t>
  </si>
  <si>
    <t>Transport, passenger car, gasoline, Medium, 2003, EURO-3 {RER}</t>
  </si>
  <si>
    <t>cf22a4a7-9277-3dc1-8e7e-d3c16f9cf5b9</t>
  </si>
  <si>
    <t>Transport, passenger car, gasoline, Medium, 2008, EURO-4 {CH}</t>
  </si>
  <si>
    <t>170ebafb-c1ee-3a3f-99c4-d100cdbb9bd3</t>
  </si>
  <si>
    <t>Transport, passenger car, gasoline, Medium, 2008, EURO-4 {RER}</t>
  </si>
  <si>
    <t>aa2bc1c0-1384-37ec-855f-22d4b9a00061</t>
  </si>
  <si>
    <t>Transport, passenger car, gasoline, Medium, 2013, EURO-5 {CH}</t>
  </si>
  <si>
    <t>4fbdf3e5-14be-3a88-9dbf-278d8f1a5eec</t>
  </si>
  <si>
    <t>Transport, passenger car, gasoline, Medium, 2013, EURO-5 {RER}</t>
  </si>
  <si>
    <t>35323e1b-708f-394b-a88a-ea842104bbcb</t>
  </si>
  <si>
    <t>Transport, passenger car, gasoline, Medium, 2016, EURO-6ab {CH}</t>
  </si>
  <si>
    <t>f34800d9-0493-39fc-b744-7728445006db</t>
  </si>
  <si>
    <t>Transport, passenger car, gasoline, Medium, 2016, EURO-6ab {RER}</t>
  </si>
  <si>
    <t>7c5b155c-87f0-3fdf-92ed-967563e527d5</t>
  </si>
  <si>
    <t>Transport, passenger car, gasoline, Medium, 2018, EURO-6c {CH}</t>
  </si>
  <si>
    <t>69a07ed2-3e0c-3365-ae3f-8000811f092d</t>
  </si>
  <si>
    <t>Transport, passenger car, gasoline, Medium, 2018, EURO-6c {RER}</t>
  </si>
  <si>
    <t>c5f1672d-66a7-33b0-877d-382c6fb30930</t>
  </si>
  <si>
    <t>Transport, passenger car, gasoline, Medium, 2019, EURO-6d-TEMP {CH}</t>
  </si>
  <si>
    <t>154bf9cc-0dad-3b50-8ed3-983418be9ed1</t>
  </si>
  <si>
    <t>Transport, passenger car, gasoline, Medium, 2019, EURO-6d-TEMP {RER}</t>
  </si>
  <si>
    <t>9c9b13b0-f143-3d3e-afa5-1aca836e1216</t>
  </si>
  <si>
    <t>Transport, passenger car, gasoline, Medium, 2021, EURO-6d {CH}</t>
  </si>
  <si>
    <t>e171f38e-43ad-3227-afa3-4d5063cf0074</t>
  </si>
  <si>
    <t>Transport, passenger car, gasoline, Medium, 2021, EURO-6d {RER}</t>
  </si>
  <si>
    <t>6883f4d7-741a-3d6c-910b-fa531725732d</t>
  </si>
  <si>
    <t>Transport, passenger car, plugin diesel hybrid, Compact, 2013, EURO-5 {CH}</t>
  </si>
  <si>
    <t>1655b812-2e83-31c4-aac3-e487da2f8cf2</t>
  </si>
  <si>
    <t>Transport, passenger car, plugin diesel hybrid, Compact, 2013, EURO-5 {RER}</t>
  </si>
  <si>
    <t>a08f0928-b850-3316-82e6-80bd5de898ac</t>
  </si>
  <si>
    <t>Transport, passenger car, plugin diesel hybrid, Compact, 2016, EURO-6ab {CH}</t>
  </si>
  <si>
    <t>90de03f4-cdcf-3042-be96-ef7f3a61c260</t>
  </si>
  <si>
    <t>Transport, passenger car, plugin diesel hybrid, Compact, 2016, EURO-6ab {RER}</t>
  </si>
  <si>
    <t>0b1a23b5-44b2-3f9d-b5aa-caf8a1b63506</t>
  </si>
  <si>
    <t>Transport, passenger car, plugin diesel hybrid, Compact, 2018, EURO-6c {CH}</t>
  </si>
  <si>
    <t>8a03cd36-2353-3be3-a8d8-73e2269d9efe</t>
  </si>
  <si>
    <t>Transport, passenger car, plugin diesel hybrid, Compact, 2018, EURO-6c {RER}</t>
  </si>
  <si>
    <t>ee1fa2fb-2655-3b9f-a8c0-56e0613e8d7d</t>
  </si>
  <si>
    <t>Transport, passenger car, plugin diesel hybrid, Compact, 2019, EURO-6d-TEMP {CH}</t>
  </si>
  <si>
    <t>b22f5b26-80cd-38bf-8833-27ff9801e6fe</t>
  </si>
  <si>
    <t>Transport, passenger car, plugin diesel hybrid, Compact, 2019, EURO-6d-TEMP {RER}</t>
  </si>
  <si>
    <t>76af01f6-fd3f-3dd7-bc77-4db4d3ea9722</t>
  </si>
  <si>
    <t>Transport, passenger car, plugin diesel hybrid, Compact, 2021, EURO-6d {CH}</t>
  </si>
  <si>
    <t>bbb35416-3fcb-3b65-bd7b-150a3151e31f</t>
  </si>
  <si>
    <t>Transport, passenger car, plugin diesel hybrid, Compact, 2021, EURO-6d {RER}</t>
  </si>
  <si>
    <t>aadb5c69-e5f4-38bc-82d4-aada079114d7</t>
  </si>
  <si>
    <t>Transport, passenger car, plugin diesel hybrid, label-certified electricity, Compact, 2013, EURO-5 {CH}</t>
  </si>
  <si>
    <t>95c64895-b6bb-32b5-b02b-c317ea02baf9</t>
  </si>
  <si>
    <t>Transport, passenger car, plugin diesel hybrid, label-certified electricity, Compact, 2016, EURO-6ab {CH}</t>
  </si>
  <si>
    <t>ee27a6a0-d002-3b80-896b-db8728f50dea</t>
  </si>
  <si>
    <t>Transport, passenger car, plugin diesel hybrid, label-certified electricity, Compact, 2018, EURO-6c {CH}</t>
  </si>
  <si>
    <t>e61f7163-b4a1-331c-a834-caf24ae65ede</t>
  </si>
  <si>
    <t>Transport, passenger car, plugin diesel hybrid, label-certified electricity, Compact, 2019, EURO-6d-TEMP {CH}</t>
  </si>
  <si>
    <t>21b6dcd2-9c24-3c4d-a692-253672822de0</t>
  </si>
  <si>
    <t>Transport, passenger car, plugin diesel hybrid, label-certified electricity, Compact, 2021, EURO-6d {CH}</t>
  </si>
  <si>
    <t>3bcf47c2-e096-33f7-a76d-07ec272876ec</t>
  </si>
  <si>
    <t>Transport, passenger car, plugin diesel hybrid, label-certified electricity, Large SUV, 2013, EURO-5 {CH}</t>
  </si>
  <si>
    <t>cc9e1ff1-b6fb-356c-b7c1-72e0d6dc5c5b</t>
  </si>
  <si>
    <t>Transport, passenger car, plugin diesel hybrid, label-certified electricity, Large SUV, 2016, EURO-6ab {CH}</t>
  </si>
  <si>
    <t>2757bd1c-6a6d-3a08-a105-28e378b8a796</t>
  </si>
  <si>
    <t>Transport, passenger car, plugin diesel hybrid, label-certified electricity, Large SUV, 2018, EURO-6c {CH}</t>
  </si>
  <si>
    <t>66ac4c44-a936-3731-859a-dff1ee83ac64</t>
  </si>
  <si>
    <t>Transport, passenger car, plugin diesel hybrid, label-certified electricity, Large SUV, 2019, EURO-6d-TEMP {CH}</t>
  </si>
  <si>
    <t>e2a727a8-6465-3b00-9106-42b11ea80a4a</t>
  </si>
  <si>
    <t>Transport, passenger car, plugin diesel hybrid, label-certified electricity, Large SUV, 2021, EURO-6d {CH}</t>
  </si>
  <si>
    <t>262ce99c-d149-32a3-8fea-dfe12fab0542</t>
  </si>
  <si>
    <t>Transport, passenger car, plugin diesel hybrid, label-certified electricity, Large, 2013, EURO-5 {CH}</t>
  </si>
  <si>
    <t>32e7c936-c38e-3e8c-ad04-a0fae191ae5b</t>
  </si>
  <si>
    <t>Transport, passenger car, plugin diesel hybrid, label-certified electricity, Large, 2016, EURO-6ab {CH}</t>
  </si>
  <si>
    <t>c16d0a80-a976-3b8a-8140-b718a79837f4</t>
  </si>
  <si>
    <t>Transport, passenger car, plugin diesel hybrid, label-certified electricity, Large, 2018, EURO-6c {CH}</t>
  </si>
  <si>
    <t>7769ab17-3550-38a5-9f86-f66437f9e117</t>
  </si>
  <si>
    <t>Transport, passenger car, plugin diesel hybrid, label-certified electricity, Large, 2019, EURO-6d-TEMP {CH}</t>
  </si>
  <si>
    <t>4817fe0b-ecef-34d2-9a78-5ce6e3c63269</t>
  </si>
  <si>
    <t>Transport, passenger car, plugin diesel hybrid, label-certified electricity, Large, 2021, EURO-6d {CH}</t>
  </si>
  <si>
    <t>b913a49c-4c32-3f80-9353-9b5ef63cfaf7</t>
  </si>
  <si>
    <t>Transport, passenger car, plugin diesel hybrid, label-certified electricity, Medium, 2013, EURO-5 {CH}</t>
  </si>
  <si>
    <t>ae35db75-97b6-3cf8-a471-f539d8f417f0</t>
  </si>
  <si>
    <t>Transport, passenger car, plugin diesel hybrid, label-certified electricity, Medium, 2016, EURO-6ab {CH}</t>
  </si>
  <si>
    <t>c7d57764-36db-3e42-9aa2-39241537de6e</t>
  </si>
  <si>
    <t>Transport, passenger car, plugin diesel hybrid, label-certified electricity, Medium, 2018, EURO-6c {CH}</t>
  </si>
  <si>
    <t>1e76e736-6b87-3e4a-893d-294d29ca39f5</t>
  </si>
  <si>
    <t>Transport, passenger car, plugin diesel hybrid, label-certified electricity, Medium, 2019, EURO-6d-TEMP {CH}</t>
  </si>
  <si>
    <t>8bc201bb-5ba8-391c-af29-d2fe78e89847</t>
  </si>
  <si>
    <t>Transport, passenger car, plugin diesel hybrid, label-certified electricity, Medium, 2021, EURO-6d {CH}</t>
  </si>
  <si>
    <t>046ec0ed-6fc4-3458-9b3f-a3c599f67f5d</t>
  </si>
  <si>
    <t>Transport, passenger car, plugin diesel hybrid, Large SUV, 2013, EURO-5 {CH}</t>
  </si>
  <si>
    <t>f7716733-570e-3668-8da1-ce7bef1500dd</t>
  </si>
  <si>
    <t>Transport, passenger car, plugin diesel hybrid, Large SUV, 2013, EURO-5 {RER}</t>
  </si>
  <si>
    <t>17a676a1-8c9c-3e28-a4d1-6eeb733d3ee9</t>
  </si>
  <si>
    <t>Transport, passenger car, plugin diesel hybrid, Large SUV, 2016, EURO-6ab {CH}</t>
  </si>
  <si>
    <t>fac8bb8a-f7be-3c08-8589-fad9cb6fc80f</t>
  </si>
  <si>
    <t>Transport, passenger car, plugin diesel hybrid, Large SUV, 2016, EURO-6ab {RER}</t>
  </si>
  <si>
    <t>7f38e33c-f2ec-31bb-8036-4f3cee62abaf</t>
  </si>
  <si>
    <t>Transport, passenger car, plugin diesel hybrid, Large SUV, 2018, EURO-6c {CH}</t>
  </si>
  <si>
    <t>1b7913aa-d493-3af7-a37b-428613c43ea1</t>
  </si>
  <si>
    <t>Transport, passenger car, plugin diesel hybrid, Large SUV, 2018, EURO-6c {RER}</t>
  </si>
  <si>
    <t>0eb0e590-d13d-3c19-9c55-827cd4957da5</t>
  </si>
  <si>
    <t>Transport, passenger car, plugin diesel hybrid, Large SUV, 2019, EURO-6d-TEMP {CH}</t>
  </si>
  <si>
    <t>b73f74f3-3903-3b19-b1a0-7ee7cf79b186</t>
  </si>
  <si>
    <t>Transport, passenger car, plugin diesel hybrid, Large SUV, 2019, EURO-6d-TEMP {RER}</t>
  </si>
  <si>
    <t>54c192ec-b1f9-3364-bdc7-2bc49abc349c</t>
  </si>
  <si>
    <t>Transport, passenger car, plugin diesel hybrid, Large SUV, 2021, EURO-6d {CH}</t>
  </si>
  <si>
    <t>c0345123-dd99-394b-8e67-7a9e4d1c2047</t>
  </si>
  <si>
    <t>Transport, passenger car, plugin diesel hybrid, Large SUV, 2021, EURO-6d {RER}</t>
  </si>
  <si>
    <t>a6859c7b-68b3-396e-9d80-e20cc1d30c9e</t>
  </si>
  <si>
    <t>Transport, passenger car, plugin diesel hybrid, Large, 2013, EURO-5 {CH}</t>
  </si>
  <si>
    <t>3b589f68-b113-3dee-924d-5e96389fb679</t>
  </si>
  <si>
    <t>Transport, passenger car, plugin diesel hybrid, Large, 2013, EURO-5 {RER}</t>
  </si>
  <si>
    <t>bbfd2b49-bd82-33a5-879e-4fc3f384f2ea</t>
  </si>
  <si>
    <t>Transport, passenger car, plugin diesel hybrid, Large, 2016, EURO-6ab {CH}</t>
  </si>
  <si>
    <t>5dbe3d89-1117-3b7f-b513-7d6750d767fb</t>
  </si>
  <si>
    <t>Transport, passenger car, plugin diesel hybrid, Large, 2016, EURO-6ab {RER}</t>
  </si>
  <si>
    <t>2f317667-0347-3714-8416-b8684e492c97</t>
  </si>
  <si>
    <t>Transport, passenger car, plugin diesel hybrid, Large, 2018, EURO-6c {CH}</t>
  </si>
  <si>
    <t>da49a555-2120-3287-874b-864cfb61fe66</t>
  </si>
  <si>
    <t>Transport, passenger car, plugin diesel hybrid, Large, 2018, EURO-6c {RER}</t>
  </si>
  <si>
    <t>57448da8-22b8-3293-b0af-f640866b4e95</t>
  </si>
  <si>
    <t>Transport, passenger car, plugin diesel hybrid, Large, 2019, EURO-6d-TEMP {CH}</t>
  </si>
  <si>
    <t>f85d0d75-86eb-3106-a9d8-ebdd965155af</t>
  </si>
  <si>
    <t>Transport, passenger car, plugin diesel hybrid, Large, 2019, EURO-6d-TEMP {RER}</t>
  </si>
  <si>
    <t>94773eee-56f3-3373-bc0f-3ea8da905ddb</t>
  </si>
  <si>
    <t>Transport, passenger car, plugin diesel hybrid, Large, 2021, EURO-6d {CH}</t>
  </si>
  <si>
    <t>6e1792e3-c053-3c11-96ff-7da7764a93cb</t>
  </si>
  <si>
    <t>Transport, passenger car, plugin diesel hybrid, Large, 2021, EURO-6d {RER}</t>
  </si>
  <si>
    <t>3ab4bd2b-07d3-3fdf-ac5c-018cca768370</t>
  </si>
  <si>
    <t>Transport, passenger car, plugin diesel hybrid, Medium, 2013, EURO-5 {CH}</t>
  </si>
  <si>
    <t>4d2484fb-5a87-36d6-a710-40e0c775efdd</t>
  </si>
  <si>
    <t>Transport, passenger car, plugin diesel hybrid, Medium, 2013, EURO-5 {RER}</t>
  </si>
  <si>
    <t>31daae12-3dc3-3cb5-901e-c8c9f195dd71</t>
  </si>
  <si>
    <t>Transport, passenger car, plugin diesel hybrid, Medium, 2016, EURO-6ab {CH}</t>
  </si>
  <si>
    <t>ba0e6c26-40cb-3031-b022-1d013c1bb33a</t>
  </si>
  <si>
    <t>Transport, passenger car, plugin diesel hybrid, Medium, 2016, EURO-6ab {RER}</t>
  </si>
  <si>
    <t>3897afbc-54e8-3e3e-848e-ee76b629d2e0</t>
  </si>
  <si>
    <t>Transport, passenger car, plugin diesel hybrid, Medium, 2018, EURO-6c {CH}</t>
  </si>
  <si>
    <t>67cce115-d304-3617-815b-fd8b22cbf48e</t>
  </si>
  <si>
    <t>Transport, passenger car, plugin diesel hybrid, Medium, 2018, EURO-6c {RER}</t>
  </si>
  <si>
    <t>7ffc62dd-40e9-36e3-b192-94aa89b546ed</t>
  </si>
  <si>
    <t>Transport, passenger car, plugin diesel hybrid, Medium, 2019, EURO-6d-TEMP {CH}</t>
  </si>
  <si>
    <t>83070131-2758-3881-8788-0a17a30f2d12</t>
  </si>
  <si>
    <t>Transport, passenger car, plugin diesel hybrid, Medium, 2019, EURO-6d-TEMP {RER}</t>
  </si>
  <si>
    <t>c1a38344-bc18-3380-ae5e-c510148aa6bf</t>
  </si>
  <si>
    <t>Transport, passenger car, plugin diesel hybrid, Medium, 2021, EURO-6d {CH}</t>
  </si>
  <si>
    <t>15704a63-72ae-3af2-b9ff-48b3634e4b40</t>
  </si>
  <si>
    <t>Transport, passenger car, plugin diesel hybrid, Medium, 2021, EURO-6d {RER}</t>
  </si>
  <si>
    <t>166991f7-1572-31c3-a208-ee793eb90d2d</t>
  </si>
  <si>
    <t>Transport, passenger car, plugin diesel hybrid, UF=0%, Compact, 2013, EURO-5 {CH}</t>
  </si>
  <si>
    <t>d0fa14eb-ce41-380f-81a8-498223a03bcd</t>
  </si>
  <si>
    <t>Transport, passenger car, plugin diesel hybrid, UF=0%, Compact, 2016, EURO-6ab {CH}</t>
  </si>
  <si>
    <t>5da72b56-1f50-3cf7-b948-dbba6d129625</t>
  </si>
  <si>
    <t>Transport, passenger car, plugin diesel hybrid, UF=0%, Compact, 2018, EURO-6c {CH}</t>
  </si>
  <si>
    <t>b6f0a3cc-49b2-3500-94a0-211dcae3c774</t>
  </si>
  <si>
    <t>Transport, passenger car, plugin diesel hybrid, UF=0%, Compact, 2019, EURO-6d-TEMP {CH}</t>
  </si>
  <si>
    <t>c811af89-02ef-3d04-a6d6-945cc1c732f2</t>
  </si>
  <si>
    <t>Transport, passenger car, plugin diesel hybrid, UF=0%, Compact, 2021, EURO-6d {CH}</t>
  </si>
  <si>
    <t>d6d09596-aa53-34d7-83d9-d6a996cb6ce9</t>
  </si>
  <si>
    <t>Transport, passenger car, plugin diesel hybrid, UF=0%, Large SUV, 2013, EURO-5 {CH}</t>
  </si>
  <si>
    <t>27c0586a-90c2-3ec9-9b1a-95c11b7691f8</t>
  </si>
  <si>
    <t>Transport, passenger car, plugin diesel hybrid, UF=0%, Large SUV, 2016, EURO-6ab {CH}</t>
  </si>
  <si>
    <t>a0368a91-c229-39ff-810e-878251db0e4e</t>
  </si>
  <si>
    <t>Transport, passenger car, plugin diesel hybrid, UF=0%, Large SUV, 2018, EURO-6c {CH}</t>
  </si>
  <si>
    <t>74f9192b-72e9-3fda-8031-f45f27177db9</t>
  </si>
  <si>
    <t>Transport, passenger car, plugin diesel hybrid, UF=0%, Large SUV, 2019, EURO-6d-TEMP {CH}</t>
  </si>
  <si>
    <t>08517574-c581-30f7-846e-75d7f733a218</t>
  </si>
  <si>
    <t>Transport, passenger car, plugin diesel hybrid, UF=0%, Large SUV, 2021, EURO-6d {CH}</t>
  </si>
  <si>
    <t>742fd94f-76fe-3938-9b9c-65216f626ffc</t>
  </si>
  <si>
    <t>Transport, passenger car, plugin diesel hybrid, UF=0%, Large, 2013, EURO-5 {CH}</t>
  </si>
  <si>
    <t>2dd276a9-3582-36ca-8953-cf7536b887a6</t>
  </si>
  <si>
    <t>Transport, passenger car, plugin diesel hybrid, UF=0%, Large, 2016, EURO-6ab {CH}</t>
  </si>
  <si>
    <t>43055443-81e5-30b9-8601-e512abc9a0be</t>
  </si>
  <si>
    <t>Transport, passenger car, plugin diesel hybrid, UF=0%, Large, 2018, EURO-6c {CH}</t>
  </si>
  <si>
    <t>706638b2-a8a3-3f1a-a452-1345904af694</t>
  </si>
  <si>
    <t>Transport, passenger car, plugin diesel hybrid, UF=0%, Large, 2019, EURO-6d-TEMP {CH}</t>
  </si>
  <si>
    <t>373aa447-15d9-3c9f-83a7-9ef6ec24f744</t>
  </si>
  <si>
    <t>Transport, passenger car, plugin diesel hybrid, UF=0%, Large, 2021, EURO-6d {CH}</t>
  </si>
  <si>
    <t>3138f8aa-18f1-3833-8d30-36d00f542fae</t>
  </si>
  <si>
    <t>Transport, passenger car, plugin diesel hybrid, UF=0%, Medium, 2013, EURO-5 {CH}</t>
  </si>
  <si>
    <t>57ce320b-1dbb-3229-9b99-e2a238627660</t>
  </si>
  <si>
    <t>Transport, passenger car, plugin diesel hybrid, UF=0%, Medium, 2016, EURO-6ab {CH}</t>
  </si>
  <si>
    <t>c61e4783-197f-3e87-89e8-faeed04526a3</t>
  </si>
  <si>
    <t>Transport, passenger car, plugin diesel hybrid, UF=0%, Medium, 2018, EURO-6c {CH}</t>
  </si>
  <si>
    <t>1a9d8f48-a10f-3dfd-90e3-84e627104819</t>
  </si>
  <si>
    <t>Transport, passenger car, plugin diesel hybrid, UF=0%, Medium, 2019, EURO-6d-TEMP {CH}</t>
  </si>
  <si>
    <t>fa52725c-14c1-371c-9540-b584b1ccce4b</t>
  </si>
  <si>
    <t>Transport, passenger car, plugin diesel hybrid, UF=0%, Medium, 2021, EURO-6d {CH}</t>
  </si>
  <si>
    <t>7a017801-00e2-3a00-a079-b4daacb65150</t>
  </si>
  <si>
    <t>Transport, passenger car, plugin gasoline hybrid, Compact, 2013, EURO-5 {CH}</t>
  </si>
  <si>
    <t>d4cdae14-1fb3-314c-9ab6-bd02a1ee1fd7</t>
  </si>
  <si>
    <t>Transport, passenger car, plugin gasoline hybrid, Compact, 2013, EURO-5 {RER}</t>
  </si>
  <si>
    <t>abcb33e0-ed38-3a9e-9f92-e363983c57e5</t>
  </si>
  <si>
    <t>Transport, passenger car, plugin gasoline hybrid, Compact, 2016, EURO-6ab {CH}</t>
  </si>
  <si>
    <t>e77bcd82-27e9-3752-bfc3-e9d18cb68a9d</t>
  </si>
  <si>
    <t>Transport, passenger car, plugin gasoline hybrid, Compact, 2016, EURO-6ab {RER}</t>
  </si>
  <si>
    <t>9478ee68-3937-31f2-9fa7-8e42e8431ddc</t>
  </si>
  <si>
    <t>Transport, passenger car, plugin gasoline hybrid, Compact, 2018, EURO-6c {CH}</t>
  </si>
  <si>
    <t>fbbc95ce-8e98-3a23-8099-044b5ccad178</t>
  </si>
  <si>
    <t>Transport, passenger car, plugin gasoline hybrid, Compact, 2018, EURO-6c {RER}</t>
  </si>
  <si>
    <t>eb703f79-1f09-394e-9e8b-bd7f913beeb4</t>
  </si>
  <si>
    <t>Transport, passenger car, plugin gasoline hybrid, Compact, 2019, EURO-6d-TEMP {CH}</t>
  </si>
  <si>
    <t>4e579784-1907-3bb8-bd42-f60f392dcd3c</t>
  </si>
  <si>
    <t>Transport, passenger car, plugin gasoline hybrid, Compact, 2019, EURO-6d-TEMP {RER}</t>
  </si>
  <si>
    <t>71230c3d-59a9-3386-98a4-edf25580161a</t>
  </si>
  <si>
    <t>Transport, passenger car, plugin gasoline hybrid, Compact, 2021, EURO-6d {CH}</t>
  </si>
  <si>
    <t>91c0bfc7-ed0c-349a-9ddf-71c6ba237bb7</t>
  </si>
  <si>
    <t>Transport, passenger car, plugin gasoline hybrid, Compact, 2021, EURO-6d {RER}</t>
  </si>
  <si>
    <t>1759d228-939b-359b-8169-1d50a3f118c0</t>
  </si>
  <si>
    <t>Transport, passenger car, plugin gasoline hybrid, label-certified electricity, Compact, 2013, EURO-5 {CH}</t>
  </si>
  <si>
    <t>565626ee-6337-3a25-b369-6e552b2e44cf</t>
  </si>
  <si>
    <t>Transport, passenger car, plugin gasoline hybrid, label-certified electricity, Compact, 2016, EURO-6ab {CH}</t>
  </si>
  <si>
    <t>68340855-4cb0-3bdb-ab7c-30d1b542e0ba</t>
  </si>
  <si>
    <t>Transport, passenger car, plugin gasoline hybrid, label-certified electricity, Compact, 2018, EURO-6c {CH}</t>
  </si>
  <si>
    <t>bc7422a5-4056-390b-af54-a45bdfc868ce</t>
  </si>
  <si>
    <t>Transport, passenger car, plugin gasoline hybrid, label-certified electricity, Compact, 2019, EURO-6d-TEMP {CH}</t>
  </si>
  <si>
    <t>20a2ddc4-233f-314b-af42-09b31b0dbf07</t>
  </si>
  <si>
    <t>Transport, passenger car, plugin gasoline hybrid, label-certified electricity, Compact, 2021, EURO-6d {CH}</t>
  </si>
  <si>
    <t>b8244893-2e33-39dd-a683-b0b0e551cf80</t>
  </si>
  <si>
    <t>Transport, passenger car, plugin gasoline hybrid, label-certified electricity, Large SUV, 2013, EURO-5 {CH}</t>
  </si>
  <si>
    <t>b7fe8c38-345b-3612-af6a-8828f587b792</t>
  </si>
  <si>
    <t>Transport, passenger car, plugin gasoline hybrid, label-certified electricity, Large SUV, 2016, EURO-6ab {CH}</t>
  </si>
  <si>
    <t>ce36a8ec-718e-3ea9-bc3f-181213c9c3cb</t>
  </si>
  <si>
    <t>Transport, passenger car, plugin gasoline hybrid, label-certified electricity, Large SUV, 2018, EURO-6c {CH}</t>
  </si>
  <si>
    <t>d49549d4-24c4-362d-a2af-910532e6af53</t>
  </si>
  <si>
    <t>Transport, passenger car, plugin gasoline hybrid, label-certified electricity, Large SUV, 2019, EURO-6d-TEMP {CH}</t>
  </si>
  <si>
    <t>452330ed-1920-30f3-abc6-e65ec677acb1</t>
  </si>
  <si>
    <t>Transport, passenger car, plugin gasoline hybrid, label-certified electricity, Large SUV, 2021, EURO-6d {CH}</t>
  </si>
  <si>
    <t>72f60c59-9ded-31a2-9ccb-7623427cb605</t>
  </si>
  <si>
    <t>Transport, passenger car, plugin gasoline hybrid, label-certified electricity, Large, 2013, EURO-5 {CH}</t>
  </si>
  <si>
    <t>7b5d2ddf-420d-32dc-a07e-db9d2199e981</t>
  </si>
  <si>
    <t>Transport, passenger car, plugin gasoline hybrid, label-certified electricity, Large, 2016, EURO-6ab {CH}</t>
  </si>
  <si>
    <t>cfd3e9b3-1c77-3b7f-83ff-e12fe0fedec8</t>
  </si>
  <si>
    <t>Transport, passenger car, plugin gasoline hybrid, label-certified electricity, Large, 2018, EURO-6c {CH}</t>
  </si>
  <si>
    <t>c9ed9eea-8681-321f-8ab6-463772199678</t>
  </si>
  <si>
    <t>Transport, passenger car, plugin gasoline hybrid, label-certified electricity, Large, 2019, EURO-6d-TEMP {CH}</t>
  </si>
  <si>
    <t>cd3a773a-6519-3a3d-87b6-33aba2447195</t>
  </si>
  <si>
    <t>Transport, passenger car, plugin gasoline hybrid, label-certified electricity, Large, 2021, EURO-6d {CH}</t>
  </si>
  <si>
    <t>b172f742-7ef8-3632-9de1-e3704dd161ed</t>
  </si>
  <si>
    <t>Transport, passenger car, plugin gasoline hybrid, label-certified electricity, Medium, 2013, EURO-5 {CH}</t>
  </si>
  <si>
    <t>4e1f1149-6792-3530-9b9e-a112af93ed20</t>
  </si>
  <si>
    <t>Transport, passenger car, plugin gasoline hybrid, label-certified electricity, Medium, 2016, EURO-6ab {CH}</t>
  </si>
  <si>
    <t>0d03b01c-2a09-3777-b748-2c89322f1cb7</t>
  </si>
  <si>
    <t>Transport, passenger car, plugin gasoline hybrid, label-certified electricity, Medium, 2018, EURO-6c {CH}</t>
  </si>
  <si>
    <t>04f00d68-780f-30db-beaa-600c02923616</t>
  </si>
  <si>
    <t>Transport, passenger car, plugin gasoline hybrid, label-certified electricity, Medium, 2019, EURO-6d-TEMP {CH}</t>
  </si>
  <si>
    <t>6830c64b-d170-3178-bb10-95fe5ba39aca</t>
  </si>
  <si>
    <t>Transport, passenger car, plugin gasoline hybrid, label-certified electricity, Medium, 2021, EURO-6d {CH}</t>
  </si>
  <si>
    <t>390c3fd2-12d1-3ce1-88b2-5efde2fe02ab</t>
  </si>
  <si>
    <t>Transport, passenger car, plugin gasoline hybrid, Large SUV, 2013, EURO-5 {CH}</t>
  </si>
  <si>
    <t>1dc744d7-b9bf-3171-98f5-60787910b130</t>
  </si>
  <si>
    <t>Transport, passenger car, plugin gasoline hybrid, Large SUV, 2013, EURO-5 {RER}</t>
  </si>
  <si>
    <t>b613bd22-20aa-32b3-99f7-8d1937b79390</t>
  </si>
  <si>
    <t>Transport, passenger car, plugin gasoline hybrid, Large SUV, 2016, EURO-6ab {CH}</t>
  </si>
  <si>
    <t>9503fc8a-9a2b-3966-be8b-0ff12aa406b8</t>
  </si>
  <si>
    <t>Transport, passenger car, plugin gasoline hybrid, Large SUV, 2016, EURO-6ab {RER}</t>
  </si>
  <si>
    <t>b21de81a-2b36-3e7c-8ae0-837e6e72b1cc</t>
  </si>
  <si>
    <t>Transport, passenger car, plugin gasoline hybrid, Large SUV, 2018, EURO-6c {CH}</t>
  </si>
  <si>
    <t>4d3ebed0-4af3-3b62-975f-b04c0687cc3e</t>
  </si>
  <si>
    <t>Transport, passenger car, plugin gasoline hybrid, Large SUV, 2018, EURO-6c {RER}</t>
  </si>
  <si>
    <t>50233755-23e4-3324-8040-d135c782c29e</t>
  </si>
  <si>
    <t>Transport, passenger car, plugin gasoline hybrid, Large SUV, 2019, EURO-6d-TEMP {CH}</t>
  </si>
  <si>
    <t>64d425a8-0124-3772-a87d-ce9e4c05c7c4</t>
  </si>
  <si>
    <t>Transport, passenger car, plugin gasoline hybrid, Large SUV, 2019, EURO-6d-TEMP {RER}</t>
  </si>
  <si>
    <t>f98ab544-e424-33d1-9828-584adc20faa9</t>
  </si>
  <si>
    <t>Transport, passenger car, plugin gasoline hybrid, Large SUV, 2021, EURO-6d {CH}</t>
  </si>
  <si>
    <t>5a8415cc-090e-3fcc-a557-0af493753982</t>
  </si>
  <si>
    <t>Transport, passenger car, plugin gasoline hybrid, Large SUV, 2021, EURO-6d {RER}</t>
  </si>
  <si>
    <t>3525e5f5-b77c-379f-83ce-83569e395ae6</t>
  </si>
  <si>
    <t>Transport, passenger car, plugin gasoline hybrid, Large, 2013, EURO-5 {CH}</t>
  </si>
  <si>
    <t>1276a68f-78d6-344b-8092-dec37e083454</t>
  </si>
  <si>
    <t>Transport, passenger car, plugin gasoline hybrid, Large, 2013, EURO-5 {RER}</t>
  </si>
  <si>
    <t>28b4fbdc-ce9c-337f-817c-28fb32f4c3a1</t>
  </si>
  <si>
    <t>Transport, passenger car, plugin gasoline hybrid, Large, 2016, EURO-6ab {CH}</t>
  </si>
  <si>
    <t>a245b88c-41d5-30c2-9065-3d21675bed97</t>
  </si>
  <si>
    <t>Transport, passenger car, plugin gasoline hybrid, Large, 2016, EURO-6ab {RER}</t>
  </si>
  <si>
    <t>d7f9dabe-2385-34bf-ae9e-3a677b31272a</t>
  </si>
  <si>
    <t>Transport, passenger car, plugin gasoline hybrid, Large, 2018, EURO-6c {CH}</t>
  </si>
  <si>
    <t>ea7a6f6c-1302-3d64-8ef0-f2e1fd6ab6e3</t>
  </si>
  <si>
    <t>Transport, passenger car, plugin gasoline hybrid, Large, 2018, EURO-6c {RER}</t>
  </si>
  <si>
    <t>35d4e948-17ac-398a-b59f-b6c4c06a3f6f</t>
  </si>
  <si>
    <t>Transport, passenger car, plugin gasoline hybrid, Large, 2019, EURO-6d-TEMP {CH}</t>
  </si>
  <si>
    <t>aea01258-9a12-3d7d-a29d-347eb81af0c2</t>
  </si>
  <si>
    <t>Transport, passenger car, plugin gasoline hybrid, Large, 2019, EURO-6d-TEMP {RER}</t>
  </si>
  <si>
    <t>540c7c93-489e-3121-ad31-20d9349a4ee2</t>
  </si>
  <si>
    <t>Transport, passenger car, plugin gasoline hybrid, Large, 2021, EURO-6d {CH}</t>
  </si>
  <si>
    <t>491fe067-0794-3e95-a8f4-cab9d428b52f</t>
  </si>
  <si>
    <t>Transport, passenger car, plugin gasoline hybrid, Large, 2021, EURO-6d {RER}</t>
  </si>
  <si>
    <t>faf0c60a-0456-3d71-b64a-e477ec8b6d5b</t>
  </si>
  <si>
    <t>Transport, passenger car, plugin gasoline hybrid, Medium, 2013, EURO-5 {CH}</t>
  </si>
  <si>
    <t>0cfc283b-cf97-30fa-a3b5-307be6ee6c5d</t>
  </si>
  <si>
    <t>Transport, passenger car, plugin gasoline hybrid, Medium, 2013, EURO-5 {RER}</t>
  </si>
  <si>
    <t>c2ad6ab4-508c-382a-8297-07bd3cdedf99</t>
  </si>
  <si>
    <t>Transport, passenger car, plugin gasoline hybrid, Medium, 2016, EURO-6ab {CH}</t>
  </si>
  <si>
    <t>3b84c7d0-1177-3096-b155-e5bc2d3cbc25</t>
  </si>
  <si>
    <t>Transport, passenger car, plugin gasoline hybrid, Medium, 2016, EURO-6ab {RER}</t>
  </si>
  <si>
    <t>959eeac9-b52d-39b9-b03d-bb3c22ad1627</t>
  </si>
  <si>
    <t>Transport, passenger car, plugin gasoline hybrid, Medium, 2018, EURO-6c {CH}</t>
  </si>
  <si>
    <t>7ff6a9aa-ab30-3347-a4bb-b37d1e149b8e</t>
  </si>
  <si>
    <t>Transport, passenger car, plugin gasoline hybrid, Medium, 2018, EURO-6c {RER}</t>
  </si>
  <si>
    <t>57ed2498-9a02-3c09-895f-2bef6ffa4b5d</t>
  </si>
  <si>
    <t>Transport, passenger car, plugin gasoline hybrid, Medium, 2019, EURO-6d-TEMP {CH}</t>
  </si>
  <si>
    <t>b8dcab0a-6fa0-392a-b263-825448c8030d</t>
  </si>
  <si>
    <t>Transport, passenger car, plugin gasoline hybrid, Medium, 2019, EURO-6d-TEMP {RER}</t>
  </si>
  <si>
    <t>4afe97b1-2fec-3cd5-a95a-646feea22316</t>
  </si>
  <si>
    <t>Transport, passenger car, plugin gasoline hybrid, Medium, 2021, EURO-6d {CH}</t>
  </si>
  <si>
    <t>26f9a4f4-a35c-39f6-8dc2-f4e5cae30867</t>
  </si>
  <si>
    <t>Transport, passenger car, plugin gasoline hybrid, Medium, 2021, EURO-6d {RER}</t>
  </si>
  <si>
    <t>fe868c07-1dd4-3df8-be93-43d18e530d11</t>
  </si>
  <si>
    <t>Transport, passenger car, plugin gasoline hybrid, UF=0%, Compact, 2013, EURO-5 {CH}</t>
  </si>
  <si>
    <t>6cd36e89-695e-373b-8e6a-8df4b4043049</t>
  </si>
  <si>
    <t>Transport, passenger car, plugin gasoline hybrid, UF=0%, Compact, 2016, EURO-6ab {CH}</t>
  </si>
  <si>
    <t>1e0c0fc0-f150-3845-86e4-c8c4ff8bd446</t>
  </si>
  <si>
    <t>Transport, passenger car, plugin gasoline hybrid, UF=0%, Compact, 2018, EURO-6c {CH}</t>
  </si>
  <si>
    <t>3429d6b2-c45a-3b62-8783-050e59f21e90</t>
  </si>
  <si>
    <t>Transport, passenger car, plugin gasoline hybrid, UF=0%, Compact, 2019, EURO-6d-TEMP {CH}</t>
  </si>
  <si>
    <t>4a2dc3d9-386c-321c-8b06-72608430e8e2</t>
  </si>
  <si>
    <t>Transport, passenger car, plugin gasoline hybrid, UF=0%, Compact, 2021, EURO-6d {CH}</t>
  </si>
  <si>
    <t>29ba4c27-6c51-3abc-a754-6fd16694d14b</t>
  </si>
  <si>
    <t>Transport, passenger car, plugin gasoline hybrid, UF=0%, Large SUV, 2013, EURO-5 {CH}</t>
  </si>
  <si>
    <t>19e251db-31be-3d20-be58-5e5320d2511a</t>
  </si>
  <si>
    <t>Transport, passenger car, plugin gasoline hybrid, UF=0%, Large SUV, 2016, EURO-6ab {CH}</t>
  </si>
  <si>
    <t>3831c04e-9814-3049-9c3b-32a17f072c47</t>
  </si>
  <si>
    <t>Transport, passenger car, plugin gasoline hybrid, UF=0%, Large SUV, 2018, EURO-6c {CH}</t>
  </si>
  <si>
    <t>37e55617-b396-34aa-9967-b67070f54be6</t>
  </si>
  <si>
    <t>Transport, passenger car, plugin gasoline hybrid, UF=0%, Large SUV, 2019, EURO-6d-TEMP {CH}</t>
  </si>
  <si>
    <t>36280891-8ec9-3b6d-85fb-dd5504ad38ca</t>
  </si>
  <si>
    <t>Transport, passenger car, plugin gasoline hybrid, UF=0%, Large SUV, 2021, EURO-6d {CH}</t>
  </si>
  <si>
    <t>d43584f8-da7a-3c3a-a651-c28e9a5edd68</t>
  </si>
  <si>
    <t>Transport, passenger car, plugin gasoline hybrid, UF=0%, Large, 2013, EURO-5 {CH}</t>
  </si>
  <si>
    <t>e040ed28-0ee2-38a6-b305-23b8f3d54015</t>
  </si>
  <si>
    <t>Transport, passenger car, plugin gasoline hybrid, UF=0%, Large, 2016, EURO-6ab {CH}</t>
  </si>
  <si>
    <t>7e64872c-a852-3961-b35f-ea5201d29413</t>
  </si>
  <si>
    <t>Transport, passenger car, plugin gasoline hybrid, UF=0%, Large, 2018, EURO-6c {CH}</t>
  </si>
  <si>
    <t>5af129ee-2881-359d-9c88-ae3824146a4e</t>
  </si>
  <si>
    <t>Transport, passenger car, plugin gasoline hybrid, UF=0%, Large, 2019, EURO-6d-TEMP {CH}</t>
  </si>
  <si>
    <t>3c0d918c-16a1-37e1-afc0-f66940abb2f2</t>
  </si>
  <si>
    <t>Transport, passenger car, plugin gasoline hybrid, UF=0%, Large, 2021, EURO-6d {CH}</t>
  </si>
  <si>
    <t>24305a7d-dd7b-3306-aeb0-15481b8ccf15</t>
  </si>
  <si>
    <t>Transport, passenger car, plugin gasoline hybrid, UF=0%, Medium, 2013, EURO-5 {CH}</t>
  </si>
  <si>
    <t>1f361512-2fbf-36d0-8011-6e678204f878</t>
  </si>
  <si>
    <t>Transport, passenger car, plugin gasoline hybrid, UF=0%, Medium, 2016, EURO-6ab {CH}</t>
  </si>
  <si>
    <t>ce1db6ae-f85a-3078-9fc5-818c3d1f5c58</t>
  </si>
  <si>
    <t>Transport, passenger car, plugin gasoline hybrid, UF=0%, Medium, 2018, EURO-6c {CH}</t>
  </si>
  <si>
    <t>94a965ae-82b1-3907-8bbc-80376f013f5b</t>
  </si>
  <si>
    <t>Transport, passenger car, plugin gasoline hybrid, UF=0%, Medium, 2019, EURO-6d-TEMP {CH}</t>
  </si>
  <si>
    <t>81dcb730-58ec-3ad9-a6fe-459256af8009</t>
  </si>
  <si>
    <t>Transport, passenger car, plugin gasoline hybrid, UF=0%, Medium, 2021, EURO-6d {CH}</t>
  </si>
  <si>
    <t>dae4a825-2671-31e5-b186-5fb764473fa2</t>
  </si>
  <si>
    <t>Transport, passenger coach, fleet average {CH}</t>
  </si>
  <si>
    <t>a71b5134-8735-3da5-bba1-e7ec67422032</t>
  </si>
  <si>
    <t>Transport, passenger helicopter, twin-engine {CH}</t>
  </si>
  <si>
    <t>4118a4fa-9c74-323e-b359-140dd0faa0e3</t>
  </si>
  <si>
    <t>Transport, passenger helicopter, twin-engine, Betrieb {CH}</t>
  </si>
  <si>
    <t>5b4a688a-bcee-3997-ba23-94e20d8dc0bb</t>
  </si>
  <si>
    <t>Transport, passenger helicopter, twin-engine, Fahrzeug {CH}</t>
  </si>
  <si>
    <t>9c8b6148-7bc1-3509-9462-6cf5858c3e4d</t>
  </si>
  <si>
    <t>Transport, passenger ship {CH}</t>
  </si>
  <si>
    <t>50d1c661-6536-3961-83b0-043c7bc89cda</t>
  </si>
  <si>
    <t>Transport, passenger, helicopter, single-engine {CH}</t>
  </si>
  <si>
    <t>19de6a5d-f909-3579-acac-bbe7bab01211</t>
  </si>
  <si>
    <t>Transport, passenger, helicopter, single-engine, Betrieb {CH}</t>
  </si>
  <si>
    <t>73d97e5c-726d-3fe6-8dad-6201354e15b7</t>
  </si>
  <si>
    <t>Transport, passenger, helicopter, single-engine, Fahrzeug {CH}</t>
  </si>
  <si>
    <t>ce66d6c4-4970-3282-b806-f4f0e20ffe27</t>
  </si>
  <si>
    <t>Transport, passenger, helicopter, single-engine, without LTO {CH}</t>
  </si>
  <si>
    <t>0fefeea9-59d9-303d-944c-9a918dfc47b9</t>
  </si>
  <si>
    <t>Transport, pipeline, long distance, carbon dioxide, with recompression {CH}</t>
  </si>
  <si>
    <t>pipeline\transformation</t>
  </si>
  <si>
    <t>01f33676-6c4a-39fc-981f-52177da6a6a0</t>
  </si>
  <si>
    <t>Transport, regional train, SBB mix {CH}</t>
  </si>
  <si>
    <t>b618fae8-199e-3736-8e11-a71e509a26db</t>
  </si>
  <si>
    <t>Transport, regional train, SBB mix, Betrieb {CH}</t>
  </si>
  <si>
    <t>71e09948-3ccf-3196-a7f6-de4de02774b3</t>
  </si>
  <si>
    <t>Transport, regional train, SBB mix, Fahrzeug {CH}</t>
  </si>
  <si>
    <t>1ca770b3-69b2-3f04-8b96-3ffdaedffd9e</t>
  </si>
  <si>
    <t>Transport, regional train, SBB mix, Infrastruktur {CH}</t>
  </si>
  <si>
    <t>e2cc93b6-01bb-302c-b1dd-e13e6cb84801</t>
  </si>
  <si>
    <t>Transport, Scooter, electric, &lt;4kW, LFP battery, 2020 {CH}</t>
  </si>
  <si>
    <t>d112a88e-6de4-3fcc-b398-190ddb615dc0</t>
  </si>
  <si>
    <t>Transport, Scooter, electric, &lt;4kW, LFP battery, 2020, label-certified electricity {CH}</t>
  </si>
  <si>
    <t>d162673f-8e31-3cd0-a498-640a175fe995</t>
  </si>
  <si>
    <t>Transport, Scooter, electric, &lt;4kW, NCA battery, 2020 {CH}</t>
  </si>
  <si>
    <t>b583dfef-b45f-3fc2-be5b-7cfe232f750c</t>
  </si>
  <si>
    <t>Transport, Scooter, electric, &lt;4kW, NCA battery, 2020, label-certified electricity {CH}</t>
  </si>
  <si>
    <t>0e7154be-b513-3085-8873-4267ccd0e11d</t>
  </si>
  <si>
    <t>Transport, Scooter, electric, &lt;4kW, NMC battery, 2020 {CH}</t>
  </si>
  <si>
    <t>e25f4200-c93c-3dfc-95ee-26ab53f62291</t>
  </si>
  <si>
    <t>Transport, Scooter, electric, &lt;4kW, NMC battery, 2020, label-certified electricity {CH}</t>
  </si>
  <si>
    <t>34921e5a-7975-3431-afd9-2b17c0488192</t>
  </si>
  <si>
    <t>Transport, Scooter, electric, 4-11kW, LFP battery, 2020 {CH}</t>
  </si>
  <si>
    <t>eff87e1f-83f2-30f3-8e20-960be70239fe</t>
  </si>
  <si>
    <t>Transport, Scooter, electric, 4-11kW, LFP battery, 2020, label-certified electricity {CH}</t>
  </si>
  <si>
    <t>7dac6f75-4a0e-3d9f-b90d-75c7bd024f25</t>
  </si>
  <si>
    <t>Transport, Scooter, electric, 4-11kW, NCA battery, 2020 {CH}</t>
  </si>
  <si>
    <t>87a2a08c-feb3-30e6-8e94-4ce9b74778d5</t>
  </si>
  <si>
    <t>Transport, Scooter, electric, 4-11kW, NCA battery, 2020, label-certified electricity {CH}</t>
  </si>
  <si>
    <t>2783dc54-6485-32b4-9227-a9d04d8dba15</t>
  </si>
  <si>
    <t>Transport, Scooter, electric, 4-11kW, NMC battery, 2020 {CH}</t>
  </si>
  <si>
    <t>ab7ba8fc-e410-3638-9fca-2cf2962bd7db</t>
  </si>
  <si>
    <t>Transport, Scooter, electric, 4-11kW, NMC battery, 2020, label-certified electricity {CH}</t>
  </si>
  <si>
    <t>c9fc39bc-6508-34c0-b12c-c0b0405ce682</t>
  </si>
  <si>
    <t>Transport, Scooter, electric, fleet average {CH}</t>
  </si>
  <si>
    <t>8e7060c0-91a2-39b4-82c3-347bef66a54f</t>
  </si>
  <si>
    <t>Transport, Scooter, electric, label-certified electricity, fleet average {CH}</t>
  </si>
  <si>
    <t>5d4f9378-7992-3e27-8f8e-84d7a18c4efe</t>
  </si>
  <si>
    <t>Transport, scooter, fleet average {CH}</t>
  </si>
  <si>
    <t>648e10de-4e26-3a6c-aa45-02dc9e8d974c</t>
  </si>
  <si>
    <t>Transport, Scooter, gasoline, &lt;4kW, EURO-3, 2006 {CH}</t>
  </si>
  <si>
    <t>325a0bf1-3dd1-3990-b82a-d221979d2bf5</t>
  </si>
  <si>
    <t>Transport, Scooter, gasoline, &lt;4kW, EURO-4, 2016 {CH}</t>
  </si>
  <si>
    <t>fb1ed64f-9bb8-3283-8477-9de7648ebc15</t>
  </si>
  <si>
    <t>Transport, Scooter, gasoline, &lt;4kW, EURO-5, 2020 {CH}</t>
  </si>
  <si>
    <t>37028ebc-3398-3701-8312-c05be75ed970</t>
  </si>
  <si>
    <t>Transport, Scooter, gasoline, 4-11kW, EURO-3, 2006 {CH}</t>
  </si>
  <si>
    <t>a3cfcfc6-a5ff-371e-9d4f-198ebd24f816</t>
  </si>
  <si>
    <t>Transport, Scooter, gasoline, 4-11kW, EURO-4, 2016 {CH}</t>
  </si>
  <si>
    <t>80bcb9fc-1ea8-36a8-94e7-6b02116616f3</t>
  </si>
  <si>
    <t>Transport, Scooter, gasoline, 4-11kW, EURO-5, 2020 {CH}</t>
  </si>
  <si>
    <t>e75949d1-88d2-3cfe-9011-a8986dfff989</t>
  </si>
  <si>
    <t>Transport, Tram, electric, 2020 {CH}</t>
  </si>
  <si>
    <t>518611e6-5695-34b3-8d22-f6d54d0c595f</t>
  </si>
  <si>
    <t>Transport, Tram, electric, 2020, label-certified electricity {CH}</t>
  </si>
  <si>
    <t>85443127-2ad3-3a1c-8416-8a528149a7b3</t>
  </si>
  <si>
    <t>Transport, transoceanic container ship {OCE}</t>
  </si>
  <si>
    <t>dc299788-d8c5-3adc-b025-d607edd4d973</t>
  </si>
  <si>
    <t>Transport, transoceanic freight ship {OCE}</t>
  </si>
  <si>
    <t>1846e2f7-dc18-37a6-9bb7-da1570d8798c</t>
  </si>
  <si>
    <t>Transport, transoceanic freight ship, Betrieb {OCE}</t>
  </si>
  <si>
    <t>8cc05208-bbb1-33d8-95de-d05957ec80d8</t>
  </si>
  <si>
    <t>Transport, transoceanic freight ship, Fahrzeug {OCE}</t>
  </si>
  <si>
    <t>de4cd917-9057-3073-86a4-2cf3c309018d</t>
  </si>
  <si>
    <t>Transport, transoceanic freight ship, Infrastruktur {OCE}</t>
  </si>
  <si>
    <t>25ac4b57-d4d4-3918-9df2-b30e30fc45f9</t>
  </si>
  <si>
    <t>Transport, transoceanic tanker {OCE}</t>
  </si>
  <si>
    <t>b2a17f00-0798-33f3-a498-dd6da770c269</t>
  </si>
  <si>
    <t>Transport, transoceanic tanker, Betrieb {OCE}</t>
  </si>
  <si>
    <t>7a080411-89e0-394d-8ba8-e99c3586c661</t>
  </si>
  <si>
    <t>Transport, transoceanic tanker, Fahrzeug {OCE}</t>
  </si>
  <si>
    <t>0bf0c03e-a271-348b-890e-459fff1d56af</t>
  </si>
  <si>
    <t>Transport, transoceanic tanker, Infrastruktur {OCE}</t>
  </si>
  <si>
    <t>c5577d6c-43ed-35ab-abf9-bb45fc4df02a</t>
  </si>
  <si>
    <t>Tray lid {GLO}</t>
  </si>
  <si>
    <t>ef16b8dc-05a0-3d02-800e-a530d4749bfd</t>
  </si>
  <si>
    <t>Tray seal {GLO}</t>
  </si>
  <si>
    <t>744a708a-abda-3e12-a2bd-eb3981c44a1a</t>
  </si>
  <si>
    <t>Tray with fasteners {GLO}</t>
  </si>
  <si>
    <t>de26b996-72c9-3e53-9da3-b935dc49b96b</t>
  </si>
  <si>
    <t>Treatment hard fibreboard production effluent, to wastewater treatment, class 1 {RER}</t>
  </si>
  <si>
    <t>75828096-ebc2-366b-a61a-2ff9989a3ee0</t>
  </si>
  <si>
    <t>Treatment of direct air capture system, solvent-based, 1MtCO2 {RER}</t>
  </si>
  <si>
    <t>01db200b-d3a9-4299-849c-b2c9bafa4916</t>
  </si>
  <si>
    <t>Treatment of direct air capture system, sorbent-based, 100ktCO2 {RER}</t>
  </si>
  <si>
    <t>47d6d122-ffd0-4d06-afc0-cc34e6796a0b</t>
  </si>
  <si>
    <t>Treatment of fuel cell balance of plant, 1MWe, AEC {RER}</t>
  </si>
  <si>
    <t>1673c1a2-1b46-43e1-9489-6b673c4bb5cf</t>
  </si>
  <si>
    <t>Treatment of fuel cell balance of plant, 1MWe, PEM {RER}</t>
  </si>
  <si>
    <t>0134eea3-7697-4aae-b4aa-840bc0d8cf89</t>
  </si>
  <si>
    <t>Treatment of fuel cell balance of plant, 1MWe, SOEC {RER}</t>
  </si>
  <si>
    <t>3177ff73-0efc-4812-86c1-615b7857a763</t>
  </si>
  <si>
    <t>Treatment of fuel cell stack, 1MWe, AEC {RER}</t>
  </si>
  <si>
    <t>111d3f88-eef3-4267-bc23-df76f3cfab01</t>
  </si>
  <si>
    <t>Treatment of fuel cell stack, 1MWe, PEM {RER}</t>
  </si>
  <si>
    <t>c9c9c61d-b6c4-421b-981f-f2713a497ddd</t>
  </si>
  <si>
    <t>Treatment of fuel cell stack, 1MWe, SOEC {RER}</t>
  </si>
  <si>
    <t>73dbd037-c253-4343-964e-cc3d65b2be96</t>
  </si>
  <si>
    <t>Treatment of heat pump 10 kW production for air source heat pump system {CH}</t>
  </si>
  <si>
    <t>c6ad9829-8f7b-4856-978c-8597f8a51147</t>
  </si>
  <si>
    <t>Treatment of heat pump 10 kW production for ground source heat pump system {CH}</t>
  </si>
  <si>
    <t>42d08f7d-7316-4dcf-8f6e-0227617e9781</t>
  </si>
  <si>
    <t>Treatment of heat pump 10 kW production for water source heat pump system {CH}</t>
  </si>
  <si>
    <t>716314b3-66af-4ef8-9560-44b0f62f0c80</t>
  </si>
  <si>
    <t>Treatment of hydrogen distribution pipeline {CH}</t>
  </si>
  <si>
    <t>5611b81c-ff36-40ba-aa75-8434a5321918</t>
  </si>
  <si>
    <t>Treatment of hydrogen transmission pipeline {CH}</t>
  </si>
  <si>
    <t>56b84039-230d-46b8-9738-264c0ff90c96</t>
  </si>
  <si>
    <t>Treatment, black chrome coating effluent, to wastewater treatment, class 2 {CH}</t>
  </si>
  <si>
    <t>wastewater treatment\unspecified</t>
  </si>
  <si>
    <t>8a9e5c58-d9ea-4f8c-890d-593b329db4c6</t>
  </si>
  <si>
    <t>Treatment, c-Si PV module {RER}</t>
  </si>
  <si>
    <t>a8e50690-8e9b-4ea4-9092-a59cbd06972c</t>
  </si>
  <si>
    <t>Treatment, CdTe PV module {DE}</t>
  </si>
  <si>
    <t>ef5a9e5f-1c63-4f91-82cd-ef1d429cbb94</t>
  </si>
  <si>
    <t>Treatment, ceramic production effluent, to wastewater treatment, class 3 {CH}</t>
  </si>
  <si>
    <t>334227ac-b816-44e7-9c33-8d68d1cf169a</t>
  </si>
  <si>
    <t>Treatment, concrete production effluent, to wastewater treatment, class 3 {CH}</t>
  </si>
  <si>
    <t>89d24e35-54b0-40a6-8568-4251cb96bad8</t>
  </si>
  <si>
    <t>Treatment, condensate from light oil boiler, to wastewater treatment, class 2 {CH}</t>
  </si>
  <si>
    <t>6c06f455-eff5-4b9e-87f1-809ad2548bd1</t>
  </si>
  <si>
    <t>Treatment, CRT tube production effluent, to wastewater treatment, class 2 {CH}</t>
  </si>
  <si>
    <t>ed083ee2-896a-4eb1-a80e-54caffbe2ef3</t>
  </si>
  <si>
    <t>Treatment, effluent from NF3 production, to wastewater treatment, class 3 {CH}</t>
  </si>
  <si>
    <t>waste management\wastewater treatment</t>
  </si>
  <si>
    <t>8148929b-4543-49a5-bff8-65b0b6e1230d</t>
  </si>
  <si>
    <t>Treatment, fibre board production effluent, to wastewater treatment, class 3 {CH}</t>
  </si>
  <si>
    <t>5cce293b-37c0-415c-8c86-cf0ff0df8715</t>
  </si>
  <si>
    <t>Treatment, glass production effluent, to wastewater treatment, class 2 {CH}</t>
  </si>
  <si>
    <t>96979845-0617-4681-a3d7-96c27fd714a5</t>
  </si>
  <si>
    <t>Treatment, heat carrier liquid, 40% C3H8O2, to wastewater treatment, class 2 {CH}</t>
  </si>
  <si>
    <t>331a7790-b820-44be-9b7b-b1332f439be5</t>
  </si>
  <si>
    <t>Treatment, LCD backlight production effluent, to wastewater treatment, class 2 {CH}</t>
  </si>
  <si>
    <t>44f31fef-2676-4b46-9fbc-f3f74d22ddcb</t>
  </si>
  <si>
    <t>Treatment, LCD module production effluent, to wastewater treatment, class 2 {CH}</t>
  </si>
  <si>
    <t>ffefb0f3-f2c1-492d-9da8-b04b55ab2a51</t>
  </si>
  <si>
    <t>Treatment, liquid crystal production effluent, to wastewater treatment, class 2 {CH}</t>
  </si>
  <si>
    <t>bd905cfc-7261-4cc7-8cb6-2c35cd63aceb</t>
  </si>
  <si>
    <t>Treatment, lorry production effluent, to wastewater treatment, class 1 {CH}</t>
  </si>
  <si>
    <t>ea8d9733-d68b-4b1b-a23a-a62ce658d52f</t>
  </si>
  <si>
    <t>Treatment, maize starch production effluent, to wastewater treatment, class 2 {CH}</t>
  </si>
  <si>
    <t>884c3911-8301-434c-9929-419e006c8900</t>
  </si>
  <si>
    <t>Treatment, medium density fibreboard production effluent, to wastewater treatment, class 1 {RER}</t>
  </si>
  <si>
    <t>b87ea23b-cc4e-3bfd-8274-9ae025b78267</t>
  </si>
  <si>
    <t>Treatment, particle board production effluent, to wastewater treatment, class 1 {RER}</t>
  </si>
  <si>
    <t>6baa7070-e419-33c4-b1aa-e3906b669648</t>
  </si>
  <si>
    <t>Treatment, particle board production effluent, to wastewater treatment, class 3 {CH}</t>
  </si>
  <si>
    <t>493f3900-2a4b-4e7c-ace9-19e4749a81db</t>
  </si>
  <si>
    <t>Treatment, pig iron production effluent, to wastewater treatment, class 3 {CH}</t>
  </si>
  <si>
    <t>39cdbd4b-b68e-4931-90bb-c9a06db750a6</t>
  </si>
  <si>
    <t>Treatment, plywood production effluent, to wastewater treatment, class 3 {CH}</t>
  </si>
  <si>
    <t>228e2094-6a7b-4e0d-aa83-91a445e76284</t>
  </si>
  <si>
    <t>Treatment, potato starch production effluent, to wastewater treatment, class 2 {CH}</t>
  </si>
  <si>
    <t>8db7b433-75f2-4df3-8e6d-5c582da0be8b</t>
  </si>
  <si>
    <t>Treatment, PV cell production effluent, to wastewater treatment, class 3 {CH}</t>
  </si>
  <si>
    <t>3941f1df-8e44-4acf-a337-01f05c220c35</t>
  </si>
  <si>
    <t>Treatment, rainwater mineral oil storage, to wastewater treatment, class 2 {CH}</t>
  </si>
  <si>
    <t>a2a877e0-973c-4054-971a-796f285cc360</t>
  </si>
  <si>
    <t>Treatment, sewage grass refinery, to wastewater treatment, class 3 {CH}</t>
  </si>
  <si>
    <t>a475e344-90b0-403a-a78a-f8f1c748c36f</t>
  </si>
  <si>
    <t>Treatment, sewage whey digestion, to wastewater treatment, class 4 {CH}</t>
  </si>
  <si>
    <t>0ee8ebef-8a20-4b52-b36a-e023333f4192</t>
  </si>
  <si>
    <t>Treatment, sewage, from residence, to wastewater treatment, class 2 {CH}</t>
  </si>
  <si>
    <t>af36788f-505a-462c-bc7b-2b30e1f5f756</t>
  </si>
  <si>
    <t>Treatment, sewage, to wastewater treatment, class 1 {CH}</t>
  </si>
  <si>
    <t>67f2f405-ebb6-4818-9450-a9bdba5c44df</t>
  </si>
  <si>
    <t>Treatment, sewage, to wastewater treatment, class 2 {CH}</t>
  </si>
  <si>
    <t>6d1c288b-5b34-47f4-98ef-a391fd4ddf61</t>
  </si>
  <si>
    <t>Treatment, sewage, to wastewater treatment, class 3 {CH}</t>
  </si>
  <si>
    <t>9360a3cb-1d99-43ff-b12b-d12795f0332e</t>
  </si>
  <si>
    <t>Treatment, sewage, to wastewater treatment, class 4 {CH}</t>
  </si>
  <si>
    <t>2c813f54-0307-4743-b269-ef273a6acbaf</t>
  </si>
  <si>
    <t>Treatment, sewage, to wastewater treatment, class 5 {CH}</t>
  </si>
  <si>
    <t>0face651-26f9-401b-8ead-4062d9df0dc3</t>
  </si>
  <si>
    <t>Treatment, sewage, unpolluted, from residence, to wastewater treatment, class 2 {CH}</t>
  </si>
  <si>
    <t>2ab3e95e-b88b-46ea-b024-4e43ed7fd5cd</t>
  </si>
  <si>
    <t>Treatment, sewage, unpolluted, to wastewater treatment, class 3 {CH}</t>
  </si>
  <si>
    <t>f2814ced-c83a-4b71-8506-3ba89d599de6</t>
  </si>
  <si>
    <t>Treatment, soft fibreboard production effluent, to wastewater treatment, class 1 {RER}</t>
  </si>
  <si>
    <t>e65a6573-2984-3379-8903-8d22ea781f41</t>
  </si>
  <si>
    <t>Treatment, soft fibreboard production effluent, to wastewater treatment, class 3 {CH}</t>
  </si>
  <si>
    <t>34af72b8-2bea-463b-bc16-7901b78eb38a</t>
  </si>
  <si>
    <t>Treatment, tube collector production effluent, to wastewater treatment, class 2 {CH}</t>
  </si>
  <si>
    <t>8e64af7c-1fa6-45ff-97c5-28e9d8578ce0</t>
  </si>
  <si>
    <t>Treatment, wafer fabrication effluent, to wastewater treatment, class 2 {CH}</t>
  </si>
  <si>
    <t>360c2dea-b675-4881-8d19-6b521c975c56</t>
  </si>
  <si>
    <t>Tree seedling, from heated greenhouse, 1000 units, at tree nursery {RER}</t>
  </si>
  <si>
    <t>aa05bac2-98f2-320c-bdad-56111030a4bb</t>
  </si>
  <si>
    <t>Tree seedling, from unheated greenhouse, 1000 units, at tree nursery {RER}</t>
  </si>
  <si>
    <t>3b2d9801-442f-3709-a811-6187ea8d1761</t>
  </si>
  <si>
    <t>Triazine-compounds, at regional storehouse {CH}</t>
  </si>
  <si>
    <t>4c6453dd-21c8-3adb-8970-37b0f245a46e</t>
  </si>
  <si>
    <t>Triazine-compounds, at regional storehouse {RER}</t>
  </si>
  <si>
    <t>fa5bd83c-f5ff-3dd1-83b3-af87812ccb28</t>
  </si>
  <si>
    <t>Trichloroborane, at plant {GLO}</t>
  </si>
  <si>
    <t>4485d0dd-00ef-31e0-b19f-04cd601be66f</t>
  </si>
  <si>
    <t>Trichloroethylene, at plant {WEU}</t>
  </si>
  <si>
    <t>48a7efb7-799c-30c3-b932-2c52a61da6bd</t>
  </si>
  <si>
    <t>Trichloromethane, at plant {RER}</t>
  </si>
  <si>
    <t>31a0a246-a61f-3cab-a004-9ffbbdc41b60</t>
  </si>
  <si>
    <t>Trichloropropane, from hypochlorination of allyl chloride, at plant {RER}</t>
  </si>
  <si>
    <t>57d4cfbf-afc1-3904-88c5-01db000f0e6d</t>
  </si>
  <si>
    <t>Triethanolamine, at plant {RER}</t>
  </si>
  <si>
    <t>f9a82b94-96af-328c-aa75-bef4103d4a6c</t>
  </si>
  <si>
    <t>Triethylene glycol, at plant {RER}</t>
  </si>
  <si>
    <t>2ba86a05-e5a3-373d-ac26-6da95ad62daf</t>
  </si>
  <si>
    <t>Triethylene glycol, recycling, at plant {RER}</t>
  </si>
  <si>
    <t>3eec8b78-d82e-3ea0-af1a-b54b3cc09a54</t>
  </si>
  <si>
    <t>Trifluoromethane, at plant {GLO}</t>
  </si>
  <si>
    <t>a5da0248-74b4-3fa7-a07b-0e2666900a28</t>
  </si>
  <si>
    <t>Trimethyl borate, at plant {GLO}</t>
  </si>
  <si>
    <t>afe7026a-4272-3e6b-9b1b-fa54d433923f</t>
  </si>
  <si>
    <t>Trimethylamine, at plant {RER}</t>
  </si>
  <si>
    <t>ebd9b242-5561-3dd9-9ac8-e3e4d7e0315a</t>
  </si>
  <si>
    <t>699524fc-113e-3b97-bdd7-7824e907f601</t>
  </si>
  <si>
    <t>Tube insulation plant {DE}</t>
  </si>
  <si>
    <t>c0851291-6357-3fd9-b831-3ab789f006ed</t>
  </si>
  <si>
    <t>Tube insulation, elastomere, at plant {DE}</t>
  </si>
  <si>
    <t>54b7636c-499b-3841-a9cb-33cdaa32b619</t>
  </si>
  <si>
    <t>Tubular particleboard production, at regional storage {CH}</t>
  </si>
  <si>
    <t>a7e18022-e2eb-3f49-8005-923122a4a724</t>
  </si>
  <si>
    <t>Tubular particleboard production, at regional storage, with resource correction {CH}</t>
  </si>
  <si>
    <t>b92d2c24-72e2-3010-8e4a-6d098e379a28</t>
  </si>
  <si>
    <t>Tubular particleboard, at plant {RER}</t>
  </si>
  <si>
    <t>5e5d6a4e-6794-3d6f-8f2e-69b90ee52361</t>
  </si>
  <si>
    <t>Turning, chromium steel, CNC, primarily roughing {RER}</t>
  </si>
  <si>
    <t>metals\chipping</t>
  </si>
  <si>
    <t>d3b83f99-95de-33a9-a993-17362c3a66c3</t>
  </si>
  <si>
    <t>Turning, chromium steel, conventional, average {RER}</t>
  </si>
  <si>
    <t>29540f83-897e-3707-8223-74845aa8f9a7</t>
  </si>
  <si>
    <t>Turning, steel, conventional, primarily roughing {RER}</t>
  </si>
  <si>
    <t>b88a92dd-ae08-3092-a2a1-f07429ae4d57</t>
  </si>
  <si>
    <t>Tyre wear emissions, lorry {RER}</t>
  </si>
  <si>
    <t>9b01adff-bd0c-3881-b8c2-5b5ed1195519</t>
  </si>
  <si>
    <t>Tyre wear emissions, passenger car {RER}</t>
  </si>
  <si>
    <t>b0b635cf-368a-3b82-adbb-2fa21da7f802</t>
  </si>
  <si>
    <t>U enriched 3.0%, in fuel element for LWR, at nuclear fuel fabrication plant {US}</t>
  </si>
  <si>
    <t>fuels\uranium\enriched</t>
  </si>
  <si>
    <t>765ae4ac-5f36-3a91-a126-972dab4a887a</t>
  </si>
  <si>
    <t>U enriched 3.8%, in fuel element for LWR, at nuclear fuel fabrication plant {CH}</t>
  </si>
  <si>
    <t>1479c8f6-09fa-3337-9ad2-55ebada663b0</t>
  </si>
  <si>
    <t>U enriched 3.8%, in fuel element for LWR, at nuclear fuel fabrication plant {CN}</t>
  </si>
  <si>
    <t>a8b9a960-c7f6-37fb-af72-9b06fc94ec96</t>
  </si>
  <si>
    <t>U enriched 3.8%, in fuel element for LWR, at nuclear fuel fabrication plant {FR}</t>
  </si>
  <si>
    <t>a781f223-c29a-35d1-94b4-d572731581ce</t>
  </si>
  <si>
    <t>U enriched 3.8%, in fuel element for LWR, at nuclear fuel fabrication plant {US}</t>
  </si>
  <si>
    <t>cd8dd26c-5026-3b42-97d3-fe4f2fe19628</t>
  </si>
  <si>
    <t>U enriched 3.9%, in fuel element for LWR, at nuclear fuel fabrication plant {UCTE}</t>
  </si>
  <si>
    <t>00c06e32-15c6-3c9b-8c22-5996b41f3931</t>
  </si>
  <si>
    <t>U enriched 4.0%, in fuel element for LWR, at nuclear fuel fabrication plant {DE}</t>
  </si>
  <si>
    <t>ef4619ea-87e8-3cb0-94a0-c73e7543c104</t>
  </si>
  <si>
    <t>U enriched 4.0%, in fuel element for LWR, at nuclear fuel fabrication plant {UCTE}</t>
  </si>
  <si>
    <t>22f365a5-f340-3467-b2d4-acdd19f2814d</t>
  </si>
  <si>
    <t>U enriched 4.2%, centrifugal enrichment, at nuclear fuel fabrication plant {CH}</t>
  </si>
  <si>
    <t>74abf1a7-6ff0-35a4-8ca4-594136d71654</t>
  </si>
  <si>
    <t>U enriched 4.2%, in fuel element for LWR, at nuclear fuel fabrication plant {CH}</t>
  </si>
  <si>
    <t>69a36d56-0af0-3e3a-898e-ba0b6c85f65f</t>
  </si>
  <si>
    <t>U enriched 4.43%, in fuel element for LWR, at nuclear fuel fabrication plant {CH}</t>
  </si>
  <si>
    <t>515e3440-6085-34ab-af42-3909fc16b95c</t>
  </si>
  <si>
    <t>U enriched 4.75%, in fuel element for LWR, at nuclear fuel fabrication plant {CH}</t>
  </si>
  <si>
    <t>4c4b7b09-aaf3-38d2-9907-ff93ea718164</t>
  </si>
  <si>
    <t>Underground mine, hard coal {CN}</t>
  </si>
  <si>
    <t>79bdba99-1510-328d-939e-243330d18882</t>
  </si>
  <si>
    <t>Underground mine, hard coal {GLO}</t>
  </si>
  <si>
    <t>695901ce-3394-363f-9833-e258e6b2f8a0</t>
  </si>
  <si>
    <t>Uranium conversion plant {CN}</t>
  </si>
  <si>
    <t>64116582-5009-3632-a6e8-25a78688a2fd</t>
  </si>
  <si>
    <t>Uranium conversion plant {US}</t>
  </si>
  <si>
    <t>3e12912d-79d7-335a-999d-791a5313ac69</t>
  </si>
  <si>
    <t>Uranium enriched 3.8%, for boiling water reactor {CH}</t>
  </si>
  <si>
    <t>2112cd64-a7cb-31a6-96c2-818a5bfe2fc3</t>
  </si>
  <si>
    <t>Uranium enrichment centrifuge plant {CN}</t>
  </si>
  <si>
    <t>37c060d3-7997-3b82-8484-cc4231514484</t>
  </si>
  <si>
    <t>Uranium enrichment centrifuge plant {GLO}</t>
  </si>
  <si>
    <t>cdd17adf-0f08-318f-ad39-5549abf63d0c</t>
  </si>
  <si>
    <t>Uranium enrichment centrifuge plant {RU}</t>
  </si>
  <si>
    <t>eb105de6-e14c-3e73-9ff0-99f67a383c0b</t>
  </si>
  <si>
    <t>Uranium enrichment diffusion plant {US}</t>
  </si>
  <si>
    <t>2d38d217-9665-31dc-adbb-229750e0e3a6</t>
  </si>
  <si>
    <t>Uranium mill {US}</t>
  </si>
  <si>
    <t>360e0b56-81c3-3c92-9cb5-c8ff1780cdc6</t>
  </si>
  <si>
    <t>Uranium natural, at mine {GLO}</t>
  </si>
  <si>
    <t>998297bd-b18b-3654-94c8-30a6a93f78b5</t>
  </si>
  <si>
    <t>Uranium natural, at open pit mine {BR}</t>
  </si>
  <si>
    <t>fc86b3d3-835a-345b-923c-4f1cd84bdd57</t>
  </si>
  <si>
    <t>Uranium natural, at open pit mine {US}</t>
  </si>
  <si>
    <t>892da9e3-91f4-3af8-9440-ccfce765f015</t>
  </si>
  <si>
    <t>Uranium natural, at underground mine {RU}</t>
  </si>
  <si>
    <t>e68046ab-62f7-308a-a3ae-c46d1520a046</t>
  </si>
  <si>
    <t>Uranium natural, at underground mine {US}</t>
  </si>
  <si>
    <t>208df472-c4d1-3a78-83c9-e7b191fb6616</t>
  </si>
  <si>
    <t>Uranium natural, in uranium hexafluoride, at conversion plant {CN}</t>
  </si>
  <si>
    <t>a796b3d7-c8b1-3a53-988b-0b27e7cea833</t>
  </si>
  <si>
    <t>Uranium natural, in uranium hexafluoride, at conversion plant {GLO}</t>
  </si>
  <si>
    <t>7ff634a7-5588-3ed0-b154-ae28a1bc78d4</t>
  </si>
  <si>
    <t>Uranium natural, in uranium hexafluoride, at conversion plant {RU}</t>
  </si>
  <si>
    <t>6b994af7-ef4a-31ac-83f1-6cefb1e99815</t>
  </si>
  <si>
    <t>Uranium natural, in uranium hexafluoride, at conversion plant {US}</t>
  </si>
  <si>
    <t>d3d7cacc-c4aa-3341-a468-c5de11c3941f</t>
  </si>
  <si>
    <t>Uranium natural, in yellowcake, at in-situ leaching mine {GLO}</t>
  </si>
  <si>
    <t>3f40afb0-2d2b-3789-9da7-a0f8cdc435b5</t>
  </si>
  <si>
    <t>Uranium natural, in yellowcake, at mill {AU}</t>
  </si>
  <si>
    <t>27e680dc-0bb5-383e-88df-0105b22cb97d</t>
  </si>
  <si>
    <t>Uranium natural, in yellowcake, at mill {BR}</t>
  </si>
  <si>
    <t>3a63e776-d32f-3013-bae4-9f24cb581ec0</t>
  </si>
  <si>
    <t>Uranium natural, in yellowcake, at mill {CA}</t>
  </si>
  <si>
    <t>c2a26b7c-c241-3ab7-a9e5-25aaed87a329</t>
  </si>
  <si>
    <t>Uranium natural, in yellowcake, at mill {GLO}</t>
  </si>
  <si>
    <t>82127aea-c7f1-3fb1-89fb-c509a94ff7a6</t>
  </si>
  <si>
    <t>Uranium natural, in yellowcake, at mill {MW}</t>
  </si>
  <si>
    <t>6f107823-a2ee-315b-92f6-37cb3f9af750</t>
  </si>
  <si>
    <t>Uranium natural, in yellowcake, at mill {NA}</t>
  </si>
  <si>
    <t>76325cc1-9f04-3015-bac6-7c48ab5f9b3c</t>
  </si>
  <si>
    <t>Uranium natural, in yellowcake, at mill {NE}</t>
  </si>
  <si>
    <t>518f2fc1-cf6d-386c-a81f-9c4d9ced7648</t>
  </si>
  <si>
    <t>Uranium natural, in yellowcake, at mill {RU}</t>
  </si>
  <si>
    <t>9333eb4d-24cc-37e9-9676-13742b51656f</t>
  </si>
  <si>
    <t>Uranium natural, in yellowcake, at mill {UA}</t>
  </si>
  <si>
    <t>2f3ad0db-190b-3d51-aa80-f112040e23da</t>
  </si>
  <si>
    <t>Uranium natural, in yellowcake, at mill plant {US}</t>
  </si>
  <si>
    <t>76021317-f4e1-383f-bfea-c1ad21ca2246</t>
  </si>
  <si>
    <t>Uranium open pit mine {US}</t>
  </si>
  <si>
    <t>62090792-a2cc-3939-a09b-4749eb63cdae</t>
  </si>
  <si>
    <t>Uranium underground mine {US}</t>
  </si>
  <si>
    <t>cbd111cd-1d58-30be-af52-a6a0cdb5967a</t>
  </si>
  <si>
    <t>Uranium, enriched 3.0% at TENEX enrichment plant {RU}</t>
  </si>
  <si>
    <t>18105a64-471c-326c-b04f-13666c22e4e0</t>
  </si>
  <si>
    <t>Uranium, enriched 3.0% at URENCO enrichment plant {RER}</t>
  </si>
  <si>
    <t>0e944da2-d609-3af8-80a5-73aec07d87dd</t>
  </si>
  <si>
    <t>Uranium, enriched 3.0% for boiling water reactor {US}</t>
  </si>
  <si>
    <t>5c22ce00-7e17-3198-a7ad-21888efd0110</t>
  </si>
  <si>
    <t>Uranium, enriched 3.0%, at CNNC centrifuge enrichment plant {CN}</t>
  </si>
  <si>
    <t>16cf5dbf-6d79-3bdc-921c-9cabb68b69d7</t>
  </si>
  <si>
    <t>Uranium, enriched 3.0%, at EURODIF enrichment plant {FR}</t>
  </si>
  <si>
    <t>af340ec1-4a9e-3b3c-9a84-6c57c601ff71</t>
  </si>
  <si>
    <t>Uranium, enriched 3.0%, at USEC enrichment plant {US}</t>
  </si>
  <si>
    <t>836eede2-4658-3a54-a77e-0fa20e04d22c</t>
  </si>
  <si>
    <t>Uranium, enriched 3.8% for pressure water reactor {FR}</t>
  </si>
  <si>
    <t>227ed5a8-b61e-3eda-b655-794929180441</t>
  </si>
  <si>
    <t>Uranium, enriched 3.8% for pressure water reactor {US}</t>
  </si>
  <si>
    <t>8546a24d-b37d-39be-81d6-5364b583d841</t>
  </si>
  <si>
    <t>Uranium, enriched 3.8%, at CNNC centrifuge enrichment plant {CN}</t>
  </si>
  <si>
    <t>202d95d4-a4a4-3b8f-9479-25df50d9ee57</t>
  </si>
  <si>
    <t>Uranium, enriched 3.8%, at EURODIF enrichment plant {FR}</t>
  </si>
  <si>
    <t>442c04ef-5220-35c7-8ed7-ca85c5b352fd</t>
  </si>
  <si>
    <t>Uranium, enriched 3.8%, at TENEX enrichment plant {RU}</t>
  </si>
  <si>
    <t>e7204c24-bbf0-3938-a894-80441afb4eff</t>
  </si>
  <si>
    <t>Uranium, enriched 3.8%, at URENCO enrichment plant {RER}</t>
  </si>
  <si>
    <t>6c8a2380-c89c-336f-a71f-c903a838b1c1</t>
  </si>
  <si>
    <t>Uranium, enriched 3.8%, at USEC enrichment plant {US}</t>
  </si>
  <si>
    <t>4f84f0ed-66eb-350d-bb58-0493b8d380b3</t>
  </si>
  <si>
    <t>Uranium, enriched 3.9% at URENCO enrichment plant {RER}</t>
  </si>
  <si>
    <t>136bd587-c460-3a16-ac53-e3e7f106ec6b</t>
  </si>
  <si>
    <t>Uranium, enriched 3.9% for pressure water reactor {UCTE}</t>
  </si>
  <si>
    <t>3743939f-06bd-3615-9636-44f85ade22b5</t>
  </si>
  <si>
    <t>Uranium, enriched 3.9%, at EURODIF enrichment plant {FR}</t>
  </si>
  <si>
    <t>5962284b-5870-3fc6-8429-eb6da4235316</t>
  </si>
  <si>
    <t>Uranium, enriched 3.9%, at TENEX enrichment plant {RU}</t>
  </si>
  <si>
    <t>7973e989-9a22-39e3-8157-66bdd2cdda3d</t>
  </si>
  <si>
    <t>Uranium, enriched 3.9%, at USEC enrichment plant {US}</t>
  </si>
  <si>
    <t>b967a36f-8dcd-382e-b627-28d62607b577</t>
  </si>
  <si>
    <t>Uranium, enriched 4.0% for boiling water reactor {DE}</t>
  </si>
  <si>
    <t>4493897a-6310-31a8-b72e-6edf815dfba4</t>
  </si>
  <si>
    <t>Uranium, enriched 4.0% for boiling water reactor {UCTE}</t>
  </si>
  <si>
    <t>15405a23-420b-3d79-b7bd-8c1f092d49f9</t>
  </si>
  <si>
    <t>Uranium, enriched 4.0% for pressure water reactor {DE}</t>
  </si>
  <si>
    <t>1b009dc7-3ced-3c43-913d-c5a3adc8d349</t>
  </si>
  <si>
    <t>Uranium, enriched 4.0%, at EURODIF enrichment plant {FR}</t>
  </si>
  <si>
    <t>c076c9cd-ee7c-3e40-a94f-fdaa4e45ca3e</t>
  </si>
  <si>
    <t>Uranium, enriched 4.0%, at TENEX enrichment plant {RU}</t>
  </si>
  <si>
    <t>4e76415e-a2ad-32d5-a802-94a1761b092b</t>
  </si>
  <si>
    <t>Uranium, enriched 4.0%, at URENCO enrichment plant {RER}</t>
  </si>
  <si>
    <t>883f0c56-eaed-3885-a91a-84e3f215ad12</t>
  </si>
  <si>
    <t>Uranium, enriched 4.0%, at USEC enrichment plant {US}</t>
  </si>
  <si>
    <t>045349c3-1f74-3858-983c-8e34f10247de</t>
  </si>
  <si>
    <t>Uranium, enriched 4.2% for pressure water reactor {CH}</t>
  </si>
  <si>
    <t>6162c2ee-1447-3ec8-a042-d376bb9f8e4a</t>
  </si>
  <si>
    <t>Uranium, enriched 4.2%, at EURODIF enrichment plant {FR}</t>
  </si>
  <si>
    <t>9175c76f-257b-3786-85e0-2a3d93ecd111</t>
  </si>
  <si>
    <t>Uranium, enriched 4.2%, at TENEX enrichment plant {RU}</t>
  </si>
  <si>
    <t>c33809cf-bf54-379b-9b28-48022c5a66a1</t>
  </si>
  <si>
    <t>Uranium, enriched 4.2%, at URENCO enrichment plant {RER}</t>
  </si>
  <si>
    <t>f8778130-919b-3dec-ba29-1dfdb7e1fd4d</t>
  </si>
  <si>
    <t>Uranium, enriched 4.2%, at USEC enrichment plant {US}</t>
  </si>
  <si>
    <t>74adf615-6301-3708-b0b8-ffa3ad91ca65</t>
  </si>
  <si>
    <t>Uranium, enriched 4.2%, centrifugal enrichment, for pressure water reactor {CH}</t>
  </si>
  <si>
    <t>94a136e1-aa30-38fa-8c75-de15ede6385e</t>
  </si>
  <si>
    <t>Uranium, enriched 4.43% for BWR {CH}</t>
  </si>
  <si>
    <t>63da7e1c-be7e-3ac6-8e7f-5eb0c2ff1034</t>
  </si>
  <si>
    <t>Uranium, enriched 4.43%, at EURODIF enrichment plant {FR}</t>
  </si>
  <si>
    <t>633ce384-e62c-3e74-9414-d536ac3be592</t>
  </si>
  <si>
    <t>Uranium, enriched 4.43%, at TENEX enrichment plant {RU}</t>
  </si>
  <si>
    <t>70d30738-4364-382d-bfb8-1ab39f927847</t>
  </si>
  <si>
    <t>Uranium, enriched 4.43%, at URENCO enrichment plant {RER}</t>
  </si>
  <si>
    <t>abb70bba-fed9-3474-a94d-20a250e7b4ee</t>
  </si>
  <si>
    <t>Uranium, enriched 4.43%, at USEC enrichment plant {US}</t>
  </si>
  <si>
    <t>320fd3d2-63a6-3fb2-b37f-d93eda275b5e</t>
  </si>
  <si>
    <t>Uranium, enriched 4.75% for PWR {CH}</t>
  </si>
  <si>
    <t>d99707ac-3cff-3487-834e-032c8299694b</t>
  </si>
  <si>
    <t>Uranium, enriched 4.75%, at EURODIF enrichment plant {FR}</t>
  </si>
  <si>
    <t>9c127c91-c601-3a16-84b0-cc65f60a0c90</t>
  </si>
  <si>
    <t>Uranium, enriched 4.75%, at TENEX enrichment plant {RU}</t>
  </si>
  <si>
    <t>5c94017c-272d-3481-8b1a-d9b7111e4a63</t>
  </si>
  <si>
    <t>Uranium, enriched 4.75%, at URENCO enrichment plant {RER}</t>
  </si>
  <si>
    <t>1f6860cd-06ee-3d46-a4fd-85e6eb5f4b46</t>
  </si>
  <si>
    <t>Uranium, enriched 4.75%, at USEC enrichment plant {US}</t>
  </si>
  <si>
    <t>aaa7fdfd-6838-3403-9cc3-01f9d9579e7e</t>
  </si>
  <si>
    <t>Urea formaldehyde foam, in situ foaming, at plant {CH}</t>
  </si>
  <si>
    <t>6d2ceb01-b971-397b-bb02-a5644d0125d2</t>
  </si>
  <si>
    <t>Urea formaldehyde resin, at plant {RER}</t>
  </si>
  <si>
    <t>b15e6bf5-56f9-3e44-a46e-f8b5e406e568</t>
  </si>
  <si>
    <t>36fe2f4f-91bb-3bfe-a13d-06a59f95beac</t>
  </si>
  <si>
    <t>Use</t>
  </si>
  <si>
    <t>Use of cable, fixed IP access network per GB {CH}</t>
  </si>
  <si>
    <t>computers &amp;amp; network\use cases</t>
  </si>
  <si>
    <t>76f29627-3973-3627-8204-b45eae56301e</t>
  </si>
  <si>
    <t>Use of cable, fixed IP access network per hour {CH}</t>
  </si>
  <si>
    <t>387bb641-b284-3d8d-b25b-3d438a1f28c3</t>
  </si>
  <si>
    <t>Use of core national IP network per GB {CH}</t>
  </si>
  <si>
    <t>f079ab6b-5b72-335a-82de-1feeebae4691</t>
  </si>
  <si>
    <t>Use of core national IP network per hour {CH}</t>
  </si>
  <si>
    <t>d3991e88-d640-3de3-90ff-066966dea8ab</t>
  </si>
  <si>
    <t>Use of CPE, for transmission network per GB {CH}</t>
  </si>
  <si>
    <t>f10c9b6b-0361-3c75-9351-bf362e21339b</t>
  </si>
  <si>
    <t>Use of CPE, for transmission network per hour {CH}</t>
  </si>
  <si>
    <t>587bfe49-d2e6-372a-b85f-f0dd1e3dcf09</t>
  </si>
  <si>
    <t>Use of fixed IP access network per GB {CH}</t>
  </si>
  <si>
    <t>f38a0b30-a3b5-32e5-a005-0d50c20ed972</t>
  </si>
  <si>
    <t>Use of fixed IP access network per hour {CH}</t>
  </si>
  <si>
    <t>2bad20d4-c914-375a-ab3c-51f90a21bfda</t>
  </si>
  <si>
    <t>Use of global transmission network per GB {GLO}</t>
  </si>
  <si>
    <t>278db06b-bcc6-3dcc-9b29-e0334dfe2af9</t>
  </si>
  <si>
    <t>Use of IP access network, shares per GB {CH}</t>
  </si>
  <si>
    <t>43e03083-33ca-3bbe-884e-d64932ae3ce6</t>
  </si>
  <si>
    <t>Use of IP access network, shares per hour {CH}</t>
  </si>
  <si>
    <t>e16d1e0b-e218-338f-9522-16553e1c97d4</t>
  </si>
  <si>
    <t>Use of optic fibre, fixed IP access network per GB {CH}</t>
  </si>
  <si>
    <t>36605f18-7868-3015-b890-670e0903508f</t>
  </si>
  <si>
    <t>Use of optic fibre, fixed IP access network per hour {CH}</t>
  </si>
  <si>
    <t>c4905e85-a62a-3f9c-b41b-60dc1707453f</t>
  </si>
  <si>
    <t>Use of wireless IP access network per GB {CH}</t>
  </si>
  <si>
    <t>fa98e92e-eb41-3b3b-81b5-2fbd27beb87f</t>
  </si>
  <si>
    <t>Use of wireless IP access network per hour {CH}</t>
  </si>
  <si>
    <t>6914b423-73dd-3e72-be77-bda95980c3d6</t>
  </si>
  <si>
    <t>Use of wireless IP access network, 2-4G per GB {CH}</t>
  </si>
  <si>
    <t>d1b931c5-6a3d-3b02-8825-733e2fd80e28</t>
  </si>
  <si>
    <t>Use of wireless IP access network, 2-4G per hour {CH}</t>
  </si>
  <si>
    <t>91769337-e735-3336-b260-861e5562528a</t>
  </si>
  <si>
    <t>Use of wireless IP access network, 5G per GB {CH}</t>
  </si>
  <si>
    <t>df629e90-d86c-3779-b3b7-faff4e5a4abb</t>
  </si>
  <si>
    <t>Use of wireless IP access network, 5G per hour {CH}</t>
  </si>
  <si>
    <t>2405f8dc-ccf4-3db2-abc4-79d541f0795a</t>
  </si>
  <si>
    <t>Use of xDSL, fixed IP access network per GB {CH}</t>
  </si>
  <si>
    <t>34c4fea2-add6-34fa-bce3-afc12ebddcc1</t>
  </si>
  <si>
    <t>Use of xDSL, fixed IP access network per hour {CH}</t>
  </si>
  <si>
    <t>7b22286e-abe2-3dc3-9f2f-76649d5e0579</t>
  </si>
  <si>
    <t>Use, computer, desktop with CRT monitor, active mode {CH}</t>
  </si>
  <si>
    <t>computers &amp;amp; network\use, obsolete\computers &amp;amp; network</t>
  </si>
  <si>
    <t>769ea112-742d-37e4-b44e-b1abed02537a</t>
  </si>
  <si>
    <t>Use, computer, desktop with CRT monitor, active mode {RER}</t>
  </si>
  <si>
    <t>8926703f-3f2e-3313-871e-ba8affb556d0</t>
  </si>
  <si>
    <t>Use, computer, desktop with CRT monitor, home use {CH}</t>
  </si>
  <si>
    <t>4e0d48cf-541d-30dd-8f4e-744357a8d9f3</t>
  </si>
  <si>
    <t>Use, computer, desktop with CRT monitor, home use {RER}</t>
  </si>
  <si>
    <t>80d2569d-efcb-3c33-9db1-5848a1190634</t>
  </si>
  <si>
    <t>Use, computer, desktop with CRT monitor, off mode {CH}</t>
  </si>
  <si>
    <t>c1525a1c-8757-3607-adac-1d72a83cc869</t>
  </si>
  <si>
    <t>Use, computer, desktop with CRT monitor, off mode {RER}</t>
  </si>
  <si>
    <t>9a41013b-2114-3599-8459-5c671b322cf7</t>
  </si>
  <si>
    <t>Use, computer, desktop with CRT monitor, office use {CH}</t>
  </si>
  <si>
    <t>d39d6b75-22e8-3ee8-bc0a-34aac611c1c2</t>
  </si>
  <si>
    <t>Use, computer, desktop with CRT monitor, standby/sleep mode {CH}</t>
  </si>
  <si>
    <t>717df9ed-08c0-365d-b888-640d879e149b</t>
  </si>
  <si>
    <t>Use, computer, desktop with CRT monitor, standby/sleep mode {RER}</t>
  </si>
  <si>
    <t>58ef0ed8-67b5-371c-a346-e7194e4a50a3</t>
  </si>
  <si>
    <t>Use, computer, desktop with LCD monitor, active mode {CH}</t>
  </si>
  <si>
    <t>8ab95a02-54bf-3364-8698-67d1bd2ea925</t>
  </si>
  <si>
    <t>Use, computer, desktop with LCD monitor, active mode {RER}</t>
  </si>
  <si>
    <t>bfae6486-7668-31af-bd42-403ab795bce2</t>
  </si>
  <si>
    <t>Use, computer, desktop with LCD monitor, home use {CH}</t>
  </si>
  <si>
    <t>520dd304-db2a-32c9-95f1-088e1db2f327</t>
  </si>
  <si>
    <t>Use, computer, desktop with LCD monitor, home use {RER}</t>
  </si>
  <si>
    <t>c4023807-e960-345f-a4ac-ed7c32f644a3</t>
  </si>
  <si>
    <t>Use, computer, desktop with LCD monitor, off mode {CH}</t>
  </si>
  <si>
    <t>b757b9e5-f01f-34a2-b75f-43b645ad3d79</t>
  </si>
  <si>
    <t>Use, computer, desktop with LCD monitor, off mode {RER}</t>
  </si>
  <si>
    <t>72c1dedd-9fdd-3309-bad8-3f69514415c2</t>
  </si>
  <si>
    <t>Use, computer, desktop with LCD monitor, sleep/standby mode {CH}</t>
  </si>
  <si>
    <t>c0f963df-2cb0-3be9-9f23-82f402062dc2</t>
  </si>
  <si>
    <t>Use, computer, desktop with LCD monitor, sleep/standby mode {RER}</t>
  </si>
  <si>
    <t>b1b670bc-473a-3e69-afeb-9464ef91ec58</t>
  </si>
  <si>
    <t>Use, computer, desktop, mix, office use {RER}</t>
  </si>
  <si>
    <t>75630438-8271-3c37-b19f-f29411c60045</t>
  </si>
  <si>
    <t>Use, computer, desktop, with CRT monitor, office use {RER}</t>
  </si>
  <si>
    <t>01ad5094-cafb-3aa3-8e93-10dfa4bb267f</t>
  </si>
  <si>
    <t>Use, computer, desktop, with LCD monitor, office use {CH}</t>
  </si>
  <si>
    <t>11aeb14c-5e10-3a9a-a358-e05ba6d3707f</t>
  </si>
  <si>
    <t>Use, computer, desktop, with LCD monitor, office use {RER}</t>
  </si>
  <si>
    <t>e5bcb473-bcdf-3817-980a-2590d7088ab9</t>
  </si>
  <si>
    <t>Use, computer, laptop, active mode {CH}</t>
  </si>
  <si>
    <t>35dfbc9e-81be-3b26-a91d-71398f7bed10</t>
  </si>
  <si>
    <t>Use, computer, laptop, active mode {RER}</t>
  </si>
  <si>
    <t>0b3211dd-f123-330d-a007-50413613ee86</t>
  </si>
  <si>
    <t>Use, computer, laptop, off mode {CH}</t>
  </si>
  <si>
    <t>3ef315e7-bf7e-3413-bc8f-993d78684162</t>
  </si>
  <si>
    <t>Use, computer, laptop, off mode {RER}</t>
  </si>
  <si>
    <t>29e03e5b-41bc-3998-b649-c224b522376e</t>
  </si>
  <si>
    <t>Use, computer, laptop, office use {RER}</t>
  </si>
  <si>
    <t>729a78a7-3d78-38d8-b192-a60ac8e6989c</t>
  </si>
  <si>
    <t>Use, computer, laptop, standby/sleep mode {CH}</t>
  </si>
  <si>
    <t>cc2e7bee-80b7-35da-a651-9ba551b7248a</t>
  </si>
  <si>
    <t>Use, computer, laptop, standby/sleep mode {RER}</t>
  </si>
  <si>
    <t>254903d1-d665-3454-a4c2-ae1b69bbb0e0</t>
  </si>
  <si>
    <t>Use, computer, laptop, videoconference {CH}</t>
  </si>
  <si>
    <t>96b414fa-c206-3293-92be-007fc5861eb8</t>
  </si>
  <si>
    <t>Use, computer, laptop, videoconference, certified electricity mix {CH}</t>
  </si>
  <si>
    <t>0d6f55ac-7560-3bc0-8f18-ad07ab5e9526</t>
  </si>
  <si>
    <t>Use, computer, laptop, work at home {CH}</t>
  </si>
  <si>
    <t>adac9a52-dd3d-3b02-a43a-ba16f4e03852</t>
  </si>
  <si>
    <t>Use, computer, laptop, work at home, certified electricity mix {CH}</t>
  </si>
  <si>
    <t>a3bac30d-0a94-39f4-8349-3ca3878848a4</t>
  </si>
  <si>
    <t>Use, IP network, videoconference {CH}</t>
  </si>
  <si>
    <t>b5ff0073-f05d-3819-888d-fb2780440486</t>
  </si>
  <si>
    <t>Use, IP network, work at home {CH}</t>
  </si>
  <si>
    <t>efead584-d460-3c09-b30d-4b453ceba860</t>
  </si>
  <si>
    <t>Use, laptop, high intensity per GB {CH}</t>
  </si>
  <si>
    <t>2145005b-44ed-300f-b30b-c18ded78a356</t>
  </si>
  <si>
    <t>Use, laptop, high intensity per hour {CH}</t>
  </si>
  <si>
    <t>ffa53b98-dbb4-34a6-85b7-e4c160e35333</t>
  </si>
  <si>
    <t>Use, laptop, low intensity per GB {CH}</t>
  </si>
  <si>
    <t>ed0bc1b1-9428-37dc-ac14-227538993e21</t>
  </si>
  <si>
    <t>Use, laptop, low intensity per hour {CH}</t>
  </si>
  <si>
    <t>d9e27859-398a-3033-bb0c-ee89ce52af36</t>
  </si>
  <si>
    <t>Use, laptop, medium intensity per GB {CH}</t>
  </si>
  <si>
    <t>06937aa5-692d-3d80-8799-7e573a1d33e1</t>
  </si>
  <si>
    <t>Use, laptop, medium intensity per hour {CH}</t>
  </si>
  <si>
    <t>784f6954-74bc-366a-a170-4b497490190a</t>
  </si>
  <si>
    <t>Use, network access devices {CH}</t>
  </si>
  <si>
    <t>91226b81-0c27-3adf-b050-89b371b2d37e</t>
  </si>
  <si>
    <t>Use, network access devices, certified electricity {CH}</t>
  </si>
  <si>
    <t>7ac63b54-8f05-3423-8eac-bc477d17086a</t>
  </si>
  <si>
    <t>Use, smartphone, high intensity per GB {CH}</t>
  </si>
  <si>
    <t>87596ade-aef2-3cdb-ba27-abf128b33351</t>
  </si>
  <si>
    <t>Use, smartphone, high intensity per hour {CH}</t>
  </si>
  <si>
    <t>1cab839e-f478-3c0e-abaf-25ba54d694c5</t>
  </si>
  <si>
    <t>Use, smartphone, low intensity per GB {CH}</t>
  </si>
  <si>
    <t>a30586a0-8b3e-3498-8ea4-7d1be8eb9d81</t>
  </si>
  <si>
    <t>Use, smartphone, low intensity per hour {CH}</t>
  </si>
  <si>
    <t>2744a116-d4f8-3557-9476-29299b18d0bf</t>
  </si>
  <si>
    <t>Use, smartphone, medium intensity per GB {CH}</t>
  </si>
  <si>
    <t>156a6fde-00b0-3707-9200-ddc18d390cfd</t>
  </si>
  <si>
    <t>Use, smartphone, medium intensity per hour {CH}</t>
  </si>
  <si>
    <t>3af659dd-4098-3797-a332-c3ca0a7b2889</t>
  </si>
  <si>
    <t>Van &lt;3.5t {RER}</t>
  </si>
  <si>
    <t>9e0da2a4-f34c-3525-bdef-e4ec5d1e88d1</t>
  </si>
  <si>
    <t>Various components for heating system {CH}</t>
  </si>
  <si>
    <t>16e37c74-6ceb-3a46-bb55-c6e280e75e4b</t>
  </si>
  <si>
    <t>Vegetable oil esterification plant {CH}</t>
  </si>
  <si>
    <t>12666e91-86eb-35e8-986a-c45e6121d4ac</t>
  </si>
  <si>
    <t>Vegetable oil methyl ester, at esterification plant {CH}</t>
  </si>
  <si>
    <t>b467f422-026c-3488-8a6a-e68cb75405a7</t>
  </si>
  <si>
    <t>Vegetable oil methyl ester, at esterification plant {FR}</t>
  </si>
  <si>
    <t>2109d35e-b8cb-37d4-90fe-fed74391ffa3</t>
  </si>
  <si>
    <t>Vegetable oil methyl ester, production FR, at service station {CH}</t>
  </si>
  <si>
    <t>ed8c934d-201e-36b0-a1f9-c8e441b50b34</t>
  </si>
  <si>
    <t>Vegetable oil, from waste cooking oil, at plant {CH}</t>
  </si>
  <si>
    <t>59a6fa86-262d-3e94-abf4-68aec5a9ea12</t>
  </si>
  <si>
    <t>Vegetable oil, from waste cooking oil, at plant {FR}</t>
  </si>
  <si>
    <t>5434a9bd-1e9f-39b9-98f5-89571c000c16</t>
  </si>
  <si>
    <t>Ventilated ceiling system, commercial kitchen {CH}</t>
  </si>
  <si>
    <t>c6b2bccc-3afd-3e8e-b361-51b3da891168</t>
  </si>
  <si>
    <t>Ventilation components factory {RER}</t>
  </si>
  <si>
    <t>5edc5164-40c2-331a-8fe2-e16fb0a8c565</t>
  </si>
  <si>
    <t>Ventilation duct, PE corrugated tube, DN 75, at plant {RER}</t>
  </si>
  <si>
    <t>e17bcaea-37c4-3b28-8fb0-f25194a77bd3</t>
  </si>
  <si>
    <t>Ventilation duct, stainless steel, s= 0.62mm, at plant {CH}</t>
  </si>
  <si>
    <t>912c4b85-7918-345e-babe-cf15f5ffc6f3</t>
  </si>
  <si>
    <t>Ventilation duct, stainless steel, s= 0.75mm, at plant {CH}</t>
  </si>
  <si>
    <t>41485519-743d-3dc0-8399-22f9adb4e9aa</t>
  </si>
  <si>
    <t>Ventilation duct, stainless steel, s= 0.87mm, at plant {CH}</t>
  </si>
  <si>
    <t>04047a41-df0e-3c56-a917-adad4a5cb39a</t>
  </si>
  <si>
    <t>Ventilation duct, stainless steel, s= 1.0mm, at plant {CH}</t>
  </si>
  <si>
    <t>86f24215-60a8-31ba-b2e2-e25785251129</t>
  </si>
  <si>
    <t>Ventilation duct, stainless steel, s= 1.25mm, at plant {CH}</t>
  </si>
  <si>
    <t>70625134-2bc0-3a6b-a7b6-4b533de3d568</t>
  </si>
  <si>
    <t>Ventilation duct, stainless steel, s= 1.5mm, at plant {CH}</t>
  </si>
  <si>
    <t>7cf88dde-69be-3a0a-a60f-aff4895545d9</t>
  </si>
  <si>
    <t>Ventilation duct, steel, 100x50 mm, at plant {RER}</t>
  </si>
  <si>
    <t>d8b96d45-e99c-3d7e-877a-5bf9a7568286</t>
  </si>
  <si>
    <t>Ventilation duct, steel, zinc coated, s= 0.62mm, at plant {CH}</t>
  </si>
  <si>
    <t>a2009d19-e0ab-34df-a351-41cc4e5a4bf5</t>
  </si>
  <si>
    <t>Ventilation duct, steel, zinc coated, s= 0.75mm, at plant {CH}</t>
  </si>
  <si>
    <t>e1f228bf-f70b-3032-aee7-0ea982b2b87e</t>
  </si>
  <si>
    <t>Ventilation duct, steel, zinc coated, s= 0.87mm, at plant {CH}</t>
  </si>
  <si>
    <t>78adab48-b58b-3a1d-95a7-37239aa98b71</t>
  </si>
  <si>
    <t>Ventilation duct, steel, zinc coated, s= 1.0mm, at plant {CH}</t>
  </si>
  <si>
    <t>d0171a47-ec64-30f5-80a0-0998c3891252</t>
  </si>
  <si>
    <t>Ventilation duct, steel, zinc coated, s= 1.25mm, at plant {CH}</t>
  </si>
  <si>
    <t>a4c3a04f-3905-3697-9c77-2c4c75ba883d</t>
  </si>
  <si>
    <t>Ventilation duct, steel, zinc coated, s= 1.5mm, at plant {CH}</t>
  </si>
  <si>
    <t>05bf2434-8e40-3663-9d07-c8164dc2b2ec</t>
  </si>
  <si>
    <t>Ventilation equipment, Avent E 97, at plant {RER}</t>
  </si>
  <si>
    <t>5588b496-afb7-387c-9c2c-c754792872c3</t>
  </si>
  <si>
    <t>Ventilation equipment, central, 600-1200 m3/h, at plant {RER}</t>
  </si>
  <si>
    <t>877ce695-7c68-3114-8172-182bbb9d9f0b</t>
  </si>
  <si>
    <t>Ventilation equipment, decentralized, 180-250 m3/h, at plant {RER}</t>
  </si>
  <si>
    <t>c25055c0-9d4e-330e-8b97-e53ec820c533</t>
  </si>
  <si>
    <t>Ventilation equipment, GE 250 RH, at plant {CH}</t>
  </si>
  <si>
    <t>a3791578-3e2a-37e3-a690-0c49c9e5999b</t>
  </si>
  <si>
    <t>Ventilation equipment, KWL 250, at plant {RER}</t>
  </si>
  <si>
    <t>675fdae3-5e2c-34e2-bc4e-389a77d37d14</t>
  </si>
  <si>
    <t>Ventilation equipment, Twl-700, at plant {RER}</t>
  </si>
  <si>
    <t>417918d7-832c-39e1-b977-dc5ab3695bf0</t>
  </si>
  <si>
    <t>Ventilation of dwellings, central, 1 x 720 m3/h, PE ducts, with GHE {CH}</t>
  </si>
  <si>
    <t>ventilation\unspecified</t>
  </si>
  <si>
    <t>f3366d5f-d21a-36dc-b522-c73b23ae996b</t>
  </si>
  <si>
    <t>Ventilation of dwellings, central, 1 x 720 m3/h, steel ducts, with GHE {CH}</t>
  </si>
  <si>
    <t>c2b5dd55-cc7d-3dbd-8bc6-2bf753cbd754</t>
  </si>
  <si>
    <t>Ventilation of dwellings, decentralized, 6 x 120 m3/h, PE ducts, with GHE {CH}</t>
  </si>
  <si>
    <t>6e16b1e3-629a-3347-a5bb-2c213ccc745d</t>
  </si>
  <si>
    <t>Ventilation of dwellings, decentralized, 6 x 120 m3/h, PE ducts, without GHE {CH}</t>
  </si>
  <si>
    <t>5975eaf7-68e1-3eef-9a5b-f3002d022649</t>
  </si>
  <si>
    <t>Ventilation of dwellings, decentralized, 6 x 120 m3/h, steel ducts, with GHE {CH}</t>
  </si>
  <si>
    <t>66746de9-e20b-3db8-ae9d-3a1bc820e06e</t>
  </si>
  <si>
    <t>Ventilation of dwellings, decentralized, 6 x 120 m3/h, steel ducts, without GHE {CH}</t>
  </si>
  <si>
    <t>e4c3e0cd-7e76-31fb-b1bd-d81c9c311b38</t>
  </si>
  <si>
    <t>Ventilation system, Altersheim Dorflinde {CH}</t>
  </si>
  <si>
    <t>4c28c29d-c72a-3761-b969-324418f65ad4</t>
  </si>
  <si>
    <t>Ventilation system, Altersheim Dorflinde, special components {CH}</t>
  </si>
  <si>
    <t>4a250e2f-3e32-3e0b-b1a8-e04ffd4fff66</t>
  </si>
  <si>
    <t>Ventilation system, Altersheim Dorflinde, various components {CH}</t>
  </si>
  <si>
    <t>c512b169-06a9-3d41-a215-9befe6aaa075</t>
  </si>
  <si>
    <t>Ventilation system, Alterswohnungen Geeren {CH}</t>
  </si>
  <si>
    <t>8da9da50-2638-3611-8cc0-2962daa7c170</t>
  </si>
  <si>
    <t>Ventilation system, Alterswohnungen Geeren, various components {CH}</t>
  </si>
  <si>
    <t>5a780158-5f58-3b09-a179-5617246cdfed</t>
  </si>
  <si>
    <t>Ventilation system, average for appartment buildings, PE ducts, without GHE {CH}</t>
  </si>
  <si>
    <t>10929b10-32e2-3c73-85db-da6c8b26d307</t>
  </si>
  <si>
    <t>Ventilation system, average for appartment buildings, steel ducts, without GHE {CH}</t>
  </si>
  <si>
    <t>1c1d1081-ccdf-3c67-b178-12e0e282da4c</t>
  </si>
  <si>
    <t>Ventilation system, Bürogebäude Verenastrasse, Baden {CH}</t>
  </si>
  <si>
    <t>eb47096f-614c-3e18-a294-169c98a8bca6</t>
  </si>
  <si>
    <t>Ventilation system, Bürogebäude Verenastrasse, Baden, special components {CH}</t>
  </si>
  <si>
    <t>bfccabff-3006-33bf-8cf9-7bc4fbb4a938</t>
  </si>
  <si>
    <t>Ventilation system, Bürogebäude Verenastrasse, Baden, various components {CH}</t>
  </si>
  <si>
    <t>50806d09-db8f-33c5-ab0a-6530ab15afc1</t>
  </si>
  <si>
    <t>Ventilation system, Bürohaus Fribourg {CH}</t>
  </si>
  <si>
    <t>c4e07610-8363-3ecf-b332-006b66f3ae79</t>
  </si>
  <si>
    <t>Ventilation system, Bürohaus Fribourg, special components {CH}</t>
  </si>
  <si>
    <t>07f7e330-a513-3720-9d43-dee8ddea6364</t>
  </si>
  <si>
    <t>Ventilation system, Bürohaus Fribourg, various components {CH}</t>
  </si>
  <si>
    <t>5696b1d0-d5cb-36dd-99bd-26131815f54a</t>
  </si>
  <si>
    <t>Ventilation system, central, 1 x 720 m3/h, PE ducts, with GHE {CH}</t>
  </si>
  <si>
    <t>6e9f60f5-635b-390a-9150-bfcdd7cf2a4b</t>
  </si>
  <si>
    <t>Ventilation system, central, 1 x 720 m3/h, steel ducts, with GHE {CH}</t>
  </si>
  <si>
    <t>d3405832-5079-3417-9494-43e92dcf3c0a</t>
  </si>
  <si>
    <t>Ventilation system, centralized, average for 1 m3/(h m2) {CH}</t>
  </si>
  <si>
    <t>4666b564-d9d8-3314-8d75-21ca13f9234a</t>
  </si>
  <si>
    <t>Ventilation system, centralized, average for 2 m3/(h m2) {CH}</t>
  </si>
  <si>
    <t>e95dc8a0-6f85-3250-8b9f-59c2de7928f7</t>
  </si>
  <si>
    <t>Ventilation system, centralized, average for 4 m3/(h m2) {CH}</t>
  </si>
  <si>
    <t>35ab1054-61e6-3d8a-8da6-c74fb55b8fb2</t>
  </si>
  <si>
    <t>Ventilation system, centralized, average for 6 m3/(h m2) {CH}</t>
  </si>
  <si>
    <t>1ce35a9e-be00-390a-a774-97363a5e82cf</t>
  </si>
  <si>
    <t>Ventilation system, centralized, average for 8 m3/(h m2) {CH}</t>
  </si>
  <si>
    <t>55cee5bc-7dbd-3c6b-bab2-f45013e3a254</t>
  </si>
  <si>
    <t>Ventilation system, decentralized, 6 x 120 m3/h, PE ducts, with GHE {CH}</t>
  </si>
  <si>
    <t>956be907-69e7-351f-863e-71310ba30b82</t>
  </si>
  <si>
    <t>Ventilation system, decentralized, 6 x 120 m3/h, PE ducts, without GHE {CH}</t>
  </si>
  <si>
    <t>92bc39b8-4518-3faa-82b5-5b69c5838714</t>
  </si>
  <si>
    <t>Ventilation system, decentralized, 6 x 120 m3/h, steel ducts, with GHE {CH}</t>
  </si>
  <si>
    <t>70eef20a-c281-361c-b3ad-c0c8a893fd45</t>
  </si>
  <si>
    <t>Ventilation system, decentralized, 6 x 120 m3/h, steel ducts, without GHE {CH}</t>
  </si>
  <si>
    <t>033f47a6-05da-3aa9-bcab-3ddafb1c937f</t>
  </si>
  <si>
    <t>Ventilation system, Geschäftshaus B, Esslingen {CH}</t>
  </si>
  <si>
    <t>c7182cef-98b3-3577-9c17-829665d9d1f1</t>
  </si>
  <si>
    <t>Ventilation system, Geschäftshaus B, Esslingen, various components {CH}</t>
  </si>
  <si>
    <t>8e74122d-d293-3307-80bb-537fd671e2ef</t>
  </si>
  <si>
    <t>Ventilation system, Geschäftshaus C, Esslingen {CH}</t>
  </si>
  <si>
    <t>f3ab93e7-d2eb-3827-acdb-a8d6cde65e9e</t>
  </si>
  <si>
    <t>Ventilation system, Geschäftshaus C, Esslingen, special components {CH}</t>
  </si>
  <si>
    <t>ee4e6217-09f5-3e62-b94a-1d169c650f69</t>
  </si>
  <si>
    <t>Ventilation system, Geschäftshaus C, Esslingen, various components {CH}</t>
  </si>
  <si>
    <t>855211a9-86e4-3062-87b6-615eb02d1ee3</t>
  </si>
  <si>
    <t>Ventilation system, Pflegezentrum Witikon {CH}</t>
  </si>
  <si>
    <t>22d75160-d40f-3e2b-b646-e614691124f2</t>
  </si>
  <si>
    <t>Ventilation system, Pflegezentrum Witikon, special components {CH}</t>
  </si>
  <si>
    <t>df419d56-1289-3714-b47f-b8a5d2c4f26f</t>
  </si>
  <si>
    <t>Ventilation system, Pflegezentrum Witikon, various components {CH}</t>
  </si>
  <si>
    <t>726eb9cd-0304-37a1-97e8-a994142c3c06</t>
  </si>
  <si>
    <t>Ventilation system, Schulhaus Albisriederplatz {CH}</t>
  </si>
  <si>
    <t>c5b028a8-be72-30da-b7f3-3f0a958b3574</t>
  </si>
  <si>
    <t>Ventilation system, Schulhaus Albisriederplatz, special components {CH}</t>
  </si>
  <si>
    <t>12620720-dbd4-30bc-a10f-b14455f211db</t>
  </si>
  <si>
    <t>Ventilation system, Schulhaus Albisriederplatz, various components {CH}</t>
  </si>
  <si>
    <t>019c2cb0-846b-35f6-8ce6-51e356450ffa</t>
  </si>
  <si>
    <t>Ventilation system, Schulhaus Fallätsche {CH}</t>
  </si>
  <si>
    <t>fdb97f74-b62a-39be-ae11-fd3f958070b2</t>
  </si>
  <si>
    <t>Ventilation system, Schulhaus Fallätsche, various components {CH}</t>
  </si>
  <si>
    <t>d79bd1d9-c07d-3be1-a426-c18ae5cb91e9</t>
  </si>
  <si>
    <t>Ventilation system, Schulhaus Heslibach {CH}</t>
  </si>
  <si>
    <t>e1b60142-d8ce-38e9-a84f-55aed983f585</t>
  </si>
  <si>
    <t>Ventilation system, Schulhaus Heslibach, various components {CH}</t>
  </si>
  <si>
    <t>8b9311ff-e34e-3365-aab9-52f414f33fb9</t>
  </si>
  <si>
    <t>Ventilation system, various components {CH}</t>
  </si>
  <si>
    <t>7f6f7ddd-1d8f-3843-9ffb-5790b51be31c</t>
  </si>
  <si>
    <t>Ventilation system, various components, m2 {CH}</t>
  </si>
  <si>
    <t>8658d5e4-109c-3054-abe5-59430c4c7b50</t>
  </si>
  <si>
    <t>Ventilation unit 13000 m3/h, w. circuit connected heat exchanger, at plant {CH}</t>
  </si>
  <si>
    <t>adf42e1c-7073-3618-b927-ee2aaf7cfeee</t>
  </si>
  <si>
    <t>Ventilation unit 13000 m3/h, w. cross plate heat excanger, at plant {CH}</t>
  </si>
  <si>
    <t>fdfe3042-1c9a-341c-abff-e3b953311440</t>
  </si>
  <si>
    <t>Ventilation unit 13000 m3/h, w. rotary heat exchanger, at plant {CH}</t>
  </si>
  <si>
    <t>f505b446-a4d0-37d7-a887-4cf900ae3744</t>
  </si>
  <si>
    <t>Ventilation unit 1800 m3/h, w. circuit connected heat exchanger, at plant {CH}</t>
  </si>
  <si>
    <t>846a3b52-e36e-3a83-8a32-1dc105a7219e</t>
  </si>
  <si>
    <t>Ventilation unit 1800 m3/h, w. cross plate heat excanger, at plant {CH}</t>
  </si>
  <si>
    <t>856eb52a-e1be-3688-9b94-1df33d0d1a53</t>
  </si>
  <si>
    <t>Ventilation unit 1800 m3/h, w. heat excanger, at plant {CH}</t>
  </si>
  <si>
    <t>877314d7-6f0f-35c1-b92c-a08efc4f059c</t>
  </si>
  <si>
    <t>Ventilation unit 1800 m3/h, w. rotary heat exchanger, at plant {CH}</t>
  </si>
  <si>
    <t>e0244e8c-ab32-3150-9557-b596a4512a89</t>
  </si>
  <si>
    <t>Ventilation unit 3500 m3/h, w. circuit connected heat exchanger, at plant {CH}</t>
  </si>
  <si>
    <t>58c96545-0b1a-3ac1-b8f7-9de6ad5f5500</t>
  </si>
  <si>
    <t>Ventilation unit 3500 m3/h, w. cross plate heat excanger, at plant {CH}</t>
  </si>
  <si>
    <t>cb176b9b-d69d-3c8f-8006-623bb6eeddad</t>
  </si>
  <si>
    <t>Ventilation unit 3500 m3/h, w. rotary heat exchanger, at plant {CH}</t>
  </si>
  <si>
    <t>5eec064d-3338-3c7c-8b88-ca3ec638f60d</t>
  </si>
  <si>
    <t>Ventilation unit 6700 m3/h, w. circuit connected heat exchanger, at plant {CH}</t>
  </si>
  <si>
    <t>d13f0739-2096-3354-a8c5-d9ef032cfd8c</t>
  </si>
  <si>
    <t>Ventilation unit 6700 m3/h, w. cross plate heat excanger, at plant {CH}</t>
  </si>
  <si>
    <t>90524f15-4207-3af0-93c6-979e3a4037e4</t>
  </si>
  <si>
    <t>Ventilation unit 6700 m3/h, w. heat excanger, at plant {CH}</t>
  </si>
  <si>
    <t>3f04ff8c-6b6a-3705-8fe6-928968137e5a</t>
  </si>
  <si>
    <t>Ventilation unit 6700 m3/h, w. rotary heat exchanger, at plant {CH}</t>
  </si>
  <si>
    <t>662d857d-863b-31e2-a23c-b1bfd3ab9259</t>
  </si>
  <si>
    <t>Ventilator unit 13000 m3/h, modular, w. filter, without silencer, at plant {CH}</t>
  </si>
  <si>
    <t>e2e124b0-e1df-3682-bb64-1200f161ab4b</t>
  </si>
  <si>
    <t>Ventilator unit 1800 m3/h, modular, w. filter, without silencer, at plant {CH}</t>
  </si>
  <si>
    <t>d04a86f8-03c1-3d8a-abb1-c3441eaef207</t>
  </si>
  <si>
    <t>Ventilator unit 1800 m3/h, modular, w. filter, without silencer, at plant, Device {CH}</t>
  </si>
  <si>
    <t>eceb0954-0483-3395-97a9-6409c5a9af4e</t>
  </si>
  <si>
    <t>Ventilator unit 3500 m3/h, modular, w. filter, without silencer, at plant {CH}</t>
  </si>
  <si>
    <t>7e48fcd2-639f-3edf-9356-a5004894f75d</t>
  </si>
  <si>
    <t>Ventilator unit 6700 m3/h, modular, w. filter, without silencer, at plant {CH}</t>
  </si>
  <si>
    <t>fb10b387-53d8-3400-81c8-a977ad2f89c2</t>
  </si>
  <si>
    <t>Ventilator unit 6700 m3/h, modular, w. filter, without silencer, at plant, Device {CH}</t>
  </si>
  <si>
    <t>44de6ba5-b811-3b28-b578-a25c2124d3f1</t>
  </si>
  <si>
    <t>Vermiculite, at mine {ZA}</t>
  </si>
  <si>
    <t>96da7ab9-3f6d-3b4c-847a-113818353957</t>
  </si>
  <si>
    <t>Vinasse, from sugarcane molasses, at sugar refinery {BR}</t>
  </si>
  <si>
    <t>1bd4a869-17e2-3eae-b0fc-40849998eee1</t>
  </si>
  <si>
    <t>Vinasse, from sugarcane, at fermentation {BR}</t>
  </si>
  <si>
    <t>727a330a-89e9-3c81-8854-1b59dc8922da</t>
  </si>
  <si>
    <t>Vinasse, from sweet sorghum, at distillery {CN}</t>
  </si>
  <si>
    <t>c02ab928-1508-3c45-a71b-974439a7ed7a</t>
  </si>
  <si>
    <t>Vinyl acetate, at plant {RER}</t>
  </si>
  <si>
    <t>c2a2901a-d00a-377e-aa01-9a1083e40f4e</t>
  </si>
  <si>
    <t>Vinyl chloride, at plant {RER}</t>
  </si>
  <si>
    <t>99a93e93-a8a8-34f3-88f3-6af0c21c4762</t>
  </si>
  <si>
    <t>Vinyl fluoride, at plant {US}</t>
  </si>
  <si>
    <t>222ec2d4-936b-3dfa-a94e-841bd39ea004</t>
  </si>
  <si>
    <t>cb128b98-9f59-3bba-a73d-dd28b73332ca</t>
  </si>
  <si>
    <t>Wafer factory {DE}</t>
  </si>
  <si>
    <t>3f886ae6-0fd6-31bd-8ebf-6eee0cbf6d1a</t>
  </si>
  <si>
    <t>Wafer, fabricated, for integrated circuit, logic type, at plant {GLO}</t>
  </si>
  <si>
    <t>36868178-7cb5-3098-82e5-831e7c12cf13</t>
  </si>
  <si>
    <t>Wafer, fabricated, for integrated circuit, memory type, at plant {GLO}</t>
  </si>
  <si>
    <t>c9bf4821-3883-39d9-90c5-e6f7fbb1de5b</t>
  </si>
  <si>
    <t>Walls and foundations, for hydrogen refuelling station {RER}</t>
  </si>
  <si>
    <t>c3070ca7-1969-39ce-8f7f-7ac7c87e7d09</t>
  </si>
  <si>
    <t>Warm impact extrusion, steel, 5 strokes {RER}</t>
  </si>
  <si>
    <t>86430de4-ec8d-3970-9a71-4d46a4ea87db</t>
  </si>
  <si>
    <t>Warming, hot impact extrusion, steel {RER}</t>
  </si>
  <si>
    <t>8f1c62b7-0423-35e9-a9d7-8e8c11ba5b4e</t>
  </si>
  <si>
    <t>Warming, warm impact extrusion, steel {RER}</t>
  </si>
  <si>
    <t>1f0b381e-76d3-3aec-be03-e029a91a317e</t>
  </si>
  <si>
    <t>Washing machine {CH}</t>
  </si>
  <si>
    <t>3b62ceeb-bbd2-35c6-b2e8-ea59f71d7690</t>
  </si>
  <si>
    <t>Washing machine, at retailer {CH}</t>
  </si>
  <si>
    <t>e33af7c7-9f40-3d65-8238-14602389c1a1</t>
  </si>
  <si>
    <t>Waste Cooking Oil {RER}</t>
  </si>
  <si>
    <t>3bc77733-7cd8-3470-a05f-251236c2191b</t>
  </si>
  <si>
    <t>Waste paper sorting plant {RER}</t>
  </si>
  <si>
    <t>paper+ board\waste paper\infrastructure</t>
  </si>
  <si>
    <t>f62ad7bf-c54a-3c7e-af5f-2eda8c3d6faf</t>
  </si>
  <si>
    <t>Waste paper, mixed, from public collection, for further treatment {CH}</t>
  </si>
  <si>
    <t>paper+ board\waste paper</t>
  </si>
  <si>
    <t>d9109552-bb79-3fc5-a06c-4c373333842b</t>
  </si>
  <si>
    <t>Waste paper, mixed, from public collection, for further treatment {RER}</t>
  </si>
  <si>
    <t>60914a9e-c8b0-3005-ba2b-763d7b9fff34</t>
  </si>
  <si>
    <t>Waste paper, sorted, for further treatment {CH}</t>
  </si>
  <si>
    <t>edc4210a-ebec-3dac-a5ab-6a7a0fdbfa90</t>
  </si>
  <si>
    <t>Waste paper, sorted, for further treatment {RER}</t>
  </si>
  <si>
    <t>f14e2b43-687c-3d4d-9f3d-8ec12f3ffb2a</t>
  </si>
  <si>
    <t>Waste separation system, at plant {CH}</t>
  </si>
  <si>
    <t>3c1d2286-76ff-3d3e-97e1-0422ccca85d9</t>
  </si>
  <si>
    <t>Waste wood chips, mixed, from industry, u=40%, at plant {CH}</t>
  </si>
  <si>
    <t>wood\byproducts</t>
  </si>
  <si>
    <t>83109e15-d481-3c76-ab9c-9b5dc321621f</t>
  </si>
  <si>
    <t>Waste, non-hazardous, from combined oil and gas production, offshore {NO}</t>
  </si>
  <si>
    <t>4422f302-9405-3bab-990b-1411ee2077be</t>
  </si>
  <si>
    <t>Wastewater treatment plant, class 1 {CH}</t>
  </si>
  <si>
    <t>6a196234-a82a-3087-ad92-2b29b8225c28</t>
  </si>
  <si>
    <t>Wastewater treatment plant, class 2 {CH}</t>
  </si>
  <si>
    <t>a674049d-a54d-3679-aee5-ac94ff126639</t>
  </si>
  <si>
    <t>Wastewater treatment plant, class 3 {CH}</t>
  </si>
  <si>
    <t>5ae22488-0b2a-3888-8a6b-c5df9adab1be</t>
  </si>
  <si>
    <t>Wastewater treatment plant, class 4 {CH}</t>
  </si>
  <si>
    <t>5c5f06b7-6e4d-3b92-81ec-2fbbe7cf9f56</t>
  </si>
  <si>
    <t>Wastewater treatment plant, class 5 {CH}</t>
  </si>
  <si>
    <t>670e7ef3-20eb-3c0a-bde5-8351e1def75d</t>
  </si>
  <si>
    <t>Water storage {CH}</t>
  </si>
  <si>
    <t>3c0dce96-33ec-3a7f-8444-c45c56eb958d</t>
  </si>
  <si>
    <t>Water supply network {CH}</t>
  </si>
  <si>
    <t>83e88ab5-0a07-3a06-b975-c1bcf39cccae</t>
  </si>
  <si>
    <t>Water treatment plant, deionisation {CH}</t>
  </si>
  <si>
    <t>water\industry water\infrastructure</t>
  </si>
  <si>
    <t>310e3a98-694e-3969-9783-1c2da129d150</t>
  </si>
  <si>
    <t>Water works {CH}</t>
  </si>
  <si>
    <t>27a4a175-8e34-3f04-aa68-dc9b45e87514</t>
  </si>
  <si>
    <t>Water, completely softened, at plant {RER}</t>
  </si>
  <si>
    <t>water\industry water</t>
  </si>
  <si>
    <t>82ca8b8e-5480-3fae-9187-7399adf84de5</t>
  </si>
  <si>
    <t>Water, decarbonised, at plant {RER}</t>
  </si>
  <si>
    <t>d51355e5-b0a8-3db5-bd7e-c74fd60c87e0</t>
  </si>
  <si>
    <t>e094d7d0-d0c6-31bf-9fa1-1e1685a4a6c3</t>
  </si>
  <si>
    <t>Water, deionised, water balance according to MoeK 2013, at plant {AT}</t>
  </si>
  <si>
    <t>54be69df-e725-3c91-938e-1e45e1b5b60e</t>
  </si>
  <si>
    <t>Water, deionised, water balance according to MoeK 2013, at plant {BA}</t>
  </si>
  <si>
    <t>c62aa749-de7f-330c-840e-bd1f48b4f1f2</t>
  </si>
  <si>
    <t>Water, deionised, water balance according to MoeK 2013, at plant {BE}</t>
  </si>
  <si>
    <t>ae67feb7-7647-3718-9ba6-56bae0e373e1</t>
  </si>
  <si>
    <t>Water, deionised, water balance according to MoeK 2013, at plant {CH}</t>
  </si>
  <si>
    <t>844ad100-c41d-3d21-b0e6-667f3d1f575b</t>
  </si>
  <si>
    <t>Water, deionised, water balance according to MoeK 2013, at plant {CN}</t>
  </si>
  <si>
    <t>7669b351-84e3-39ed-a420-6e4ea16cfec0</t>
  </si>
  <si>
    <t>Water, deionised, water balance according to MoeK 2013, at plant {CZ}</t>
  </si>
  <si>
    <t>9fdee238-ce3e-3b4e-a1ef-c27e0e7e5c25</t>
  </si>
  <si>
    <t>Water, deionised, water balance according to MoeK 2013, at plant {DE}</t>
  </si>
  <si>
    <t>5ca510fe-8980-3e97-8a30-eb990e4016d8</t>
  </si>
  <si>
    <t>Water, deionised, water balance according to MoeK 2013, at plant {DK}</t>
  </si>
  <si>
    <t>bb32c5b3-26a5-3d25-b2e8-e24d0779fe2d</t>
  </si>
  <si>
    <t>Water, deionised, water balance according to MoeK 2013, at plant {ES}</t>
  </si>
  <si>
    <t>67712877-4980-3097-8d13-629f7ceae865</t>
  </si>
  <si>
    <t>Water, deionised, water balance according to MoeK 2013, at plant {FI}</t>
  </si>
  <si>
    <t>d105585b-ecf1-37fd-84e1-f72fbb7a78f8</t>
  </si>
  <si>
    <t>Water, deionised, water balance according to MoeK 2013, at plant {FR}</t>
  </si>
  <si>
    <t>b7084a64-15ac-340f-9b7a-87fd8c77fe82</t>
  </si>
  <si>
    <t>Water, deionised, water balance according to MoeK 2013, at plant {GB}</t>
  </si>
  <si>
    <t>5076401d-776a-30dc-ad21-1b167e3d2b12</t>
  </si>
  <si>
    <t>Water, deionised, water balance according to MoeK 2013, at plant {GR}</t>
  </si>
  <si>
    <t>2851589a-72aa-3020-a7b5-a1138d9e9694</t>
  </si>
  <si>
    <t>Water, deionised, water balance according to MoeK 2013, at plant {HR}</t>
  </si>
  <si>
    <t>71c4d41d-eeec-35b0-81a5-c80b62b45048</t>
  </si>
  <si>
    <t>Water, deionised, water balance according to MoeK 2013, at plant {HU}</t>
  </si>
  <si>
    <t>87f5a513-bfe2-382c-a708-b6b11145410d</t>
  </si>
  <si>
    <t>Water, deionised, water balance according to MoeK 2013, at plant {IE}</t>
  </si>
  <si>
    <t>03d53946-f84b-322c-abd2-80e9467ca9c6</t>
  </si>
  <si>
    <t>Water, deionised, water balance according to MoeK 2013, at plant {IN}</t>
  </si>
  <si>
    <t>50a4a011-167e-3778-808e-6657b18ada71</t>
  </si>
  <si>
    <t>Water, deionised, water balance according to MoeK 2013, at plant {IT}</t>
  </si>
  <si>
    <t>d85a98fc-9f4b-3bee-b4f7-0b9b390f9e0e</t>
  </si>
  <si>
    <t>Water, deionised, water balance according to MoeK 2013, at plant {JP}</t>
  </si>
  <si>
    <t>0cca57b0-930c-32f0-8cfa-e5df2ea053f8</t>
  </si>
  <si>
    <t>Water, deionised, water balance according to MoeK 2013, at plant {KR}</t>
  </si>
  <si>
    <t>fffa683f-4133-39e1-9faf-19710fc08031</t>
  </si>
  <si>
    <t>Water, deionised, water balance according to MoeK 2013, at plant {LU}</t>
  </si>
  <si>
    <t>1f12cdd1-53df-3d3b-a200-3fbafc09788c</t>
  </si>
  <si>
    <t>Water, deionised, water balance according to MoeK 2013, at plant {MK}</t>
  </si>
  <si>
    <t>41a9c0f8-ccd9-3de7-9c01-e64d25109920</t>
  </si>
  <si>
    <t>Water, deionised, water balance according to MoeK 2013, at plant {NL}</t>
  </si>
  <si>
    <t>64b93c35-a87c-33d3-8983-01a8c951d462</t>
  </si>
  <si>
    <t>Water, deionised, water balance according to MoeK 2013, at plant {PL}</t>
  </si>
  <si>
    <t>a91f6714-8fd5-3801-bb0d-4be639673cca</t>
  </si>
  <si>
    <t>Water, deionised, water balance according to MoeK 2013, at plant {PT}</t>
  </si>
  <si>
    <t>0d7b8c6d-857f-3844-a650-d7c625ce482e</t>
  </si>
  <si>
    <t>Water, deionised, water balance according to MoeK 2013, at plant {RER}</t>
  </si>
  <si>
    <t>e1108fba-40a1-3c02-b715-f190d916bc74</t>
  </si>
  <si>
    <t>Water, deionised, water balance according to MoeK 2013, at plant {RS}</t>
  </si>
  <si>
    <t>3070faec-c2ee-3517-ad86-8736df78b79a</t>
  </si>
  <si>
    <t>Water, deionised, water balance according to MoeK 2013, at plant {RU}</t>
  </si>
  <si>
    <t>3efac744-a166-3e26-93fc-086d9e347fae</t>
  </si>
  <si>
    <t>Water, deionised, water balance according to MoeK 2013, at plant {SE}</t>
  </si>
  <si>
    <t>f1a607ce-153c-391f-8b4e-86790859ed60</t>
  </si>
  <si>
    <t>Water, deionised, water balance according to MoeK 2013, at plant {SI}</t>
  </si>
  <si>
    <t>b94bf8d2-102d-3e74-a8e6-1d1b357dfb54</t>
  </si>
  <si>
    <t>Water, deionised, water balance according to MoeK 2013, at plant {SK}</t>
  </si>
  <si>
    <t>71c571da-8451-35dd-9ec7-9a92a2e2b8e1</t>
  </si>
  <si>
    <t>Water, deionised, water balance according to MoeK 2013, at plant {US}</t>
  </si>
  <si>
    <t>6e482f03-49b0-34d1-945e-f8ff3a45fa17</t>
  </si>
  <si>
    <t>Water, ultrapure, at plant {GLO}</t>
  </si>
  <si>
    <t>60a0292b-3297-3fcc-97ce-dea4df098350</t>
  </si>
  <si>
    <t>Weeving, bast fibres {IN}</t>
  </si>
  <si>
    <t>3208d237-7666-3858-a8fb-ae8a951bcc92</t>
  </si>
  <si>
    <t>Weeving, cotton {GLO}</t>
  </si>
  <si>
    <t>bd5523e1-3bad-3d62-a578-49037daf5bbe</t>
  </si>
  <si>
    <t>Welding, arc, aluminium {RER}</t>
  </si>
  <si>
    <t>metals\welding</t>
  </si>
  <si>
    <t>7d8bbc64-b7e7-391d-9865-bf1bed4a04d3</t>
  </si>
  <si>
    <t>Welding, arc, steel {RER}</t>
  </si>
  <si>
    <t>a757475d-7631-3166-a856-6c72e3804a19</t>
  </si>
  <si>
    <t>Welding, gas, steel {RER}</t>
  </si>
  <si>
    <t>e1a25a27-51ba-3301-82ec-ce503631a0be</t>
  </si>
  <si>
    <t>Well for exploration and production, offshore {OCE}</t>
  </si>
  <si>
    <t>4e467d03-a80f-37c4-a765-ad723cbd9def</t>
  </si>
  <si>
    <t>Well for exploration and production, onshore {GLO}</t>
  </si>
  <si>
    <t>3262b4af-fed2-3190-876f-bf5edca24ffd</t>
  </si>
  <si>
    <t>Wheat grains conventional, Saxony-Anhalt, at farm {DE}</t>
  </si>
  <si>
    <t>f938636e-61c9-3727-a3fe-faa056100d1a</t>
  </si>
  <si>
    <t>Wheat grains extensive, at farm {CH}</t>
  </si>
  <si>
    <t>d7d21e2d-9bc0-395d-9d3a-f651b2fd0177</t>
  </si>
  <si>
    <t>4ed576d3-ad06-3422-aa4d-00c86455ed41</t>
  </si>
  <si>
    <t>Wheat grains organic, at farm {CH}</t>
  </si>
  <si>
    <t>9d9c365c-f90c-38bb-8ce0-e0aef25c3cc9</t>
  </si>
  <si>
    <t>Wheat IP, at feed mill {CH}</t>
  </si>
  <si>
    <t>a469599a-f6b9-3b5a-b90b-eb512ef684f6</t>
  </si>
  <si>
    <t>Wheat organic, at feed mill {CH}</t>
  </si>
  <si>
    <t>6ae8d15a-8f31-3040-a43d-fa7faf7a567c</t>
  </si>
  <si>
    <t>Wheat seed IP, at regional storehouse {CH}</t>
  </si>
  <si>
    <t>14beef6b-8ce0-3f3f-b8c0-b7943d0799d3</t>
  </si>
  <si>
    <t>Wheat seed organic, at regional storehouse {CH}</t>
  </si>
  <si>
    <t>699cfb58-3ac5-357f-8619-dd5ed72d49a1</t>
  </si>
  <si>
    <t>Wheat straw extensive, at farm {CH}</t>
  </si>
  <si>
    <t>4c36bf42-e38c-3bd5-8ca8-28418ed254da</t>
  </si>
  <si>
    <t>Wheat straw IP, at farm {CH}</t>
  </si>
  <si>
    <t>64807fa0-3b79-3a55-8e64-7c24b3eaffa6</t>
  </si>
  <si>
    <t>Wheat straw organic, at farm {CH}</t>
  </si>
  <si>
    <t>62d1941c-5dbe-385b-bbd3-81a012a9c5c6</t>
  </si>
  <si>
    <t>Whey, at dairy {CH}</t>
  </si>
  <si>
    <t>cb1d497f-52d7-3103-9d00-1816002cdca3</t>
  </si>
  <si>
    <t>White cement plaster, at plant {CH}</t>
  </si>
  <si>
    <t>9b3838e0-eb3d-35a3-afec-76abfea49e21</t>
  </si>
  <si>
    <t>White cement plaster, matured {CH}</t>
  </si>
  <si>
    <t>4e213d4c-61b6-3ba7-ac5f-98510aeb4e78</t>
  </si>
  <si>
    <t>White cement, at plant {CH}</t>
  </si>
  <si>
    <t>0e11e271-2595-36cb-89b4-7fb7b765d81d</t>
  </si>
  <si>
    <t>7a06cff3-ccf6-3ea5-8bc1-a1929ff732e9</t>
  </si>
  <si>
    <t>Whitelined chipboard, WLC, at plant {RER}</t>
  </si>
  <si>
    <t>1e8d18ab-063a-39ae-aff7-21ebdad70860</t>
  </si>
  <si>
    <t>Wind turbine 10MW, offshore, monopile substructure {RER}</t>
  </si>
  <si>
    <t>e7aaf097-d6fc-39c1-946e-30e5c6ea3dc2</t>
  </si>
  <si>
    <t>Wind turbine 10MW, offshore, moving parts {RER}</t>
  </si>
  <si>
    <t>a298d58c-74c6-3f22-a483-78533cf7f9a9</t>
  </si>
  <si>
    <t>Wind turbine 10MW, offshore, tower {RER}</t>
  </si>
  <si>
    <t>53f780e1-6261-3178-a4b0-9c24e25161a6</t>
  </si>
  <si>
    <t>Wind turbine 15MW, offshore, monopile substructure {RER}</t>
  </si>
  <si>
    <t>c479ee5f-85b0-3364-a042-49e18f72a88d</t>
  </si>
  <si>
    <t>Wind turbine 15MW, offshore, moving parts {RER}</t>
  </si>
  <si>
    <t>c09af813-ffdf-3fea-bb09-a7897ce6b65c</t>
  </si>
  <si>
    <t>Wind turbine 15MW, offshore, tower {RER}</t>
  </si>
  <si>
    <t>1fea7dab-86f9-359d-8153-3b3bd0f87d7b</t>
  </si>
  <si>
    <t>Wind turbine 2.3MW, onshore, foundation {CH}</t>
  </si>
  <si>
    <t>d83334f0-598b-43fe-bb2b-d8deff11b7cb</t>
  </si>
  <si>
    <t>Wind turbine 2.3MW, onshore, moving parts {CH}</t>
  </si>
  <si>
    <t>6e544d77-6d52-4f3a-b377-12454020ab0f</t>
  </si>
  <si>
    <t>Wind turbine 2.3MW, onshore, tower, concrete {CH}</t>
  </si>
  <si>
    <t>2ee50d97-40ce-3c97-a60f-dc30d0da763c</t>
  </si>
  <si>
    <t>Wind turbine 2.3MW, onshore, tower, steel {CH}</t>
  </si>
  <si>
    <t>aa1733ce-f3b7-4f95-9fb6-5ed2992394bc</t>
  </si>
  <si>
    <t>Wind turbine 3.4MW, onshore, foundation {RER}</t>
  </si>
  <si>
    <t>08fcf92b-bb35-3e11-8dc3-55e95d6ea79b</t>
  </si>
  <si>
    <t>Wind turbine 3.4MW, onshore, moving parts {RER}</t>
  </si>
  <si>
    <t>222d5085-a9c1-3f7f-a90d-dddc79549fd3</t>
  </si>
  <si>
    <t>Wind turbine 3.4MW, onshore, tower {RER}</t>
  </si>
  <si>
    <t>5fcf18ab-abb5-33d8-abb2-26dce0c5e67a</t>
  </si>
  <si>
    <t>Wind turbine 4.5MW, onshore, foundation {RER}</t>
  </si>
  <si>
    <t>630e4a00-e193-3c91-ba1d-453f71ec0d1d</t>
  </si>
  <si>
    <t>Wind turbine 4.5MW, onshore, moving parts {RER}</t>
  </si>
  <si>
    <t>f22fbd8d-5e35-3e30-9d37-663821e69fbe</t>
  </si>
  <si>
    <t>Wind turbine 4.5MW, onshore, tower {RER}</t>
  </si>
  <si>
    <t>5cfeacc6-cd82-32ff-a988-4943ac946c26</t>
  </si>
  <si>
    <t>Wind turbine 5MW, offshore, jacket substructure {RER}</t>
  </si>
  <si>
    <t>c1666d68-463b-3134-88fe-f7c22b884153</t>
  </si>
  <si>
    <t>Wind turbine 5MW, offshore, moving parts {RER}</t>
  </si>
  <si>
    <t>47c614a8-7ca0-3b41-be94-8148a5823cff</t>
  </si>
  <si>
    <t>Wind turbine 5MW, offshore, tower {RER}</t>
  </si>
  <si>
    <t>cc8c02da-14df-351b-a03a-64f03f0e4f97</t>
  </si>
  <si>
    <t>Wind turbine 6.2MW, onshore, foundation {RER}</t>
  </si>
  <si>
    <t>9e23b3a7-bb0d-3010-91f2-e71170fcc8a3</t>
  </si>
  <si>
    <t>Wind turbine 6.2MW, onshore, moving parts {RER}</t>
  </si>
  <si>
    <t>c42ec4fa-5ca4-3f74-860c-b13831462e78</t>
  </si>
  <si>
    <t>Wind turbine 6.2MW, onshore, tower {RER}</t>
  </si>
  <si>
    <t>6f737726-046e-368f-a76a-49e67447c110</t>
  </si>
  <si>
    <t>Window frame, aluminium, Hydro, Circal, Wicline 75evo, U=1.2W/m2K, at regional storage {CH}</t>
  </si>
  <si>
    <t>3a8c93a3-f89e-30d6-8203-ee0ead9dbfff</t>
  </si>
  <si>
    <t>Window frame, aluminium, U=1.5 W/m2K, at plant {CH}</t>
  </si>
  <si>
    <t>construction materials\window profiles</t>
  </si>
  <si>
    <t>2e03468d-b792-379b-adec-275ce375e583</t>
  </si>
  <si>
    <t>Window frame, aluminium, U=1.5 W/m2K, at plant, with resource correction {CH}</t>
  </si>
  <si>
    <t>42fba062-cd9c-3cd0-aaac-dfa8588b9ec1</t>
  </si>
  <si>
    <t>Window frame, plastic (PVC), U=1.1 W/m2K, at regional storage {CH}</t>
  </si>
  <si>
    <t>224f2247-f7b9-3f78-aba0-2abee2f6e5a6</t>
  </si>
  <si>
    <t>Window frame, wood-metal, natural/varnished, casement cover, m2 visible, at plant {CH}</t>
  </si>
  <si>
    <t>03259848-00da-39c4-a273-24ac4290baac</t>
  </si>
  <si>
    <t>Window frame, wood-metal, natural/varnished, casement cover, wall opening, at plant {CH}</t>
  </si>
  <si>
    <t>15a2749f-87dd-3b39-8204-a73e47845385</t>
  </si>
  <si>
    <t>Window frame, wood-metal, natural/varnished, frame cover, m2 visible, at plant {CH}</t>
  </si>
  <si>
    <t>c76fc3ea-71e3-3fc2-a5e4-02cc6ae079d3</t>
  </si>
  <si>
    <t>Window frame, wood-metal, natural/varnished, frame cover, wall opening, at plant {CH}</t>
  </si>
  <si>
    <t>ecdfc095-193e-378f-b770-114b0849318b</t>
  </si>
  <si>
    <t>Window frame, wood-metal, natural/varnished, U=1.1 W/m2K, m2 visible, at plant {CH}</t>
  </si>
  <si>
    <t>6da5d6e4-a014-3d2b-8ac2-c82b2893db19</t>
  </si>
  <si>
    <t>Window frame, wood-metal, natural/varnished, U=1.1 W/m2K, wall opening, at plant {CH}</t>
  </si>
  <si>
    <t>f17aa6c7-fd6a-314d-911b-46a7350240fd</t>
  </si>
  <si>
    <t>Window frame, wood-metal, opaquely painted, casement cover, m2 visible, at plant {CH}</t>
  </si>
  <si>
    <t>bbb73e99-cdf2-3def-97ab-5879aeaf7f44</t>
  </si>
  <si>
    <t>Window frame, wood-metal, opaquely painted, casement cover, wall opening, at plant {CH}</t>
  </si>
  <si>
    <t>24e7385b-fe76-3a6a-b139-3e74b53a0f4a</t>
  </si>
  <si>
    <t>Window frame, wood-metal, opaquely painted, frame cover, m2 visible, at plant {CH}</t>
  </si>
  <si>
    <t>53e30a84-872f-38bb-9945-703e404e15cb</t>
  </si>
  <si>
    <t>Window frame, wood-metal, opaquely painted, frame cover, wall opening, at plant {CH}</t>
  </si>
  <si>
    <t>b3700720-7d05-34fa-b2a6-12a402a29dde</t>
  </si>
  <si>
    <t>Window frame, wood-metal, opaquely painted, U=1.0 W/m2K, Baumgartner, wall opening, at plant {CH}</t>
  </si>
  <si>
    <t>a525830f-1696-3c3d-9e5e-93419c206be6</t>
  </si>
  <si>
    <t>Window frame, wood-metal, opaquely painted, U=1.1 W/m2K, m2 visible, at plant {CH}</t>
  </si>
  <si>
    <t>815a93fb-c5cd-3379-83e9-b1cd7d2080a2</t>
  </si>
  <si>
    <t>Window frame, wood-metal, opaquely painted, U=1.1 W/m2K, wall opening, at plant {CH}</t>
  </si>
  <si>
    <t>f8f0bf02-f71f-3630-8a1a-39c3e44116b2</t>
  </si>
  <si>
    <t>Window frame, wood-metal, U=1.1 W/m2K, market mix, m2 visible, at plant {CH}</t>
  </si>
  <si>
    <t>22577b0b-2de3-3827-a87c-1a244d424908</t>
  </si>
  <si>
    <t>Window frame, wood-metal, U=1.1 W/m2K, market mix, wall opening, at plant {CH}</t>
  </si>
  <si>
    <t>858d9b8d-4269-3f41-a2ea-f558c5817414</t>
  </si>
  <si>
    <t>Window frame, wood-metal, w/o surface treatment, m2 visible, at plant {CH}</t>
  </si>
  <si>
    <t>20fe14d8-fbf8-3e3a-a98b-46fcb786e35e</t>
  </si>
  <si>
    <t>Window frame, wood-metal, w/o surface treatment, wall opening, at plant {CH}</t>
  </si>
  <si>
    <t>08214b4f-e1e3-3317-8e1d-d7b2971dc56a</t>
  </si>
  <si>
    <t>Window frame, wood, natural/varnished, U=1.2 W/m2K, m2 visible, at plant {CH}</t>
  </si>
  <si>
    <t>169b4266-4bdf-3598-8d18-fc2881890530</t>
  </si>
  <si>
    <t>Window frame, wood, natural/varnished, U=1.2 W/m2K, wall opening, at plant {CH}</t>
  </si>
  <si>
    <t>18eebcaa-19b5-37fa-8efc-bf5c06859cba</t>
  </si>
  <si>
    <t>Window frame, wood, opaquely painted, U=1.0 W/m2K, Baumgartner, wall opening, at plant {CH}</t>
  </si>
  <si>
    <t>74915c71-54fa-3aa1-b27b-c6d86c00acea</t>
  </si>
  <si>
    <t>Window frame, wood, opaquely painted, U=1.2 W/m2K, m2 visible, at plant {CH}</t>
  </si>
  <si>
    <t>ad20cea3-f529-3026-ae07-04c77f73783a</t>
  </si>
  <si>
    <t>Window frame, wood, opaquely painted, U=1.2 W/m2K, wall opening, at plant {CH}</t>
  </si>
  <si>
    <t>33f77673-a98f-33e8-9dba-3c22917516f2</t>
  </si>
  <si>
    <t>Window frame, wood, U=1.2 W/m2K, market mix, m2 visible, at plant {CH}</t>
  </si>
  <si>
    <t>3bd2756d-059f-3a37-91f4-d39eb05e87f7</t>
  </si>
  <si>
    <t>Window frame, wood, U=1.2 W/m2K, market mix, wall opening, at plant {CH}</t>
  </si>
  <si>
    <t>246aca1f-5cb1-3396-8dac-8126859b40b3</t>
  </si>
  <si>
    <t>Window frame, wood, w/o surface treatment, m2 visible, at plant {CH}</t>
  </si>
  <si>
    <t>building components\civil engineering_transport</t>
  </si>
  <si>
    <t>f0ef9255-921a-3adc-9782-773d9c62ab18</t>
  </si>
  <si>
    <t>Window frame, wood, w/o surface treatment, wall opening, at plant {CH}</t>
  </si>
  <si>
    <t>dee05f1c-feeb-3b2e-8133-9f12a9a01494</t>
  </si>
  <si>
    <t>Wire drawing, copper {RER}</t>
  </si>
  <si>
    <t>7cab0912-ac94-3deb-bd13-5ede9c7d223d</t>
  </si>
  <si>
    <t>Wire drawing, steel {RER}</t>
  </si>
  <si>
    <t>0e9b3810-2895-33cb-884b-d0528fa86e8d</t>
  </si>
  <si>
    <t>Wiring and tubing, carbon dioxide capture process {RER}</t>
  </si>
  <si>
    <t>681abbb4-852c-30d7-a064-4ef362530ea5</t>
  </si>
  <si>
    <t>Wood chipping, chipper, mobile, diesel, at forest road {RER}</t>
  </si>
  <si>
    <t>c2b2137d-ed3c-352c-8923-91509c9c2666</t>
  </si>
  <si>
    <t>Wood chipping, forwarder with terrain chipper, in forest {RER}</t>
  </si>
  <si>
    <t>c754e580-5d9c-322e-a733-9ea7c715c3da</t>
  </si>
  <si>
    <t>Wood chipping, industrial residual wood, stationary electric chipper {RER}</t>
  </si>
  <si>
    <t>e359030c-ab8b-36ee-8046-f1d15cc040be</t>
  </si>
  <si>
    <t>Wood chips, beech, wet, sustainable forest management, measured as dry mass, at forest road {DE}</t>
  </si>
  <si>
    <t>60b32ab5-514c-3976-9ea0-23ef9e9b58e9</t>
  </si>
  <si>
    <t>Wood chips, birch, wet, sustainable forest management, measured as dry mass, at forest road {SE}</t>
  </si>
  <si>
    <t>3d8569e6-7cf7-357f-984e-25f4469b1933</t>
  </si>
  <si>
    <t>Wood chips, burned in cogen 1MWth {CH}</t>
  </si>
  <si>
    <t>448d0743-641b-368b-8979-d1707f00537b</t>
  </si>
  <si>
    <t>Wood chips, burned in cogen 300kWth {CH}</t>
  </si>
  <si>
    <t>0ca6e3da-e5f6-3a0a-ab6a-1e2209ce5352</t>
  </si>
  <si>
    <t>Wood chips, burned in cogen ORC 1400kWth {CH}</t>
  </si>
  <si>
    <t>heat\wood\cogeneration\power unit</t>
  </si>
  <si>
    <t>a7c6b7cb-32a0-35af-8d2d-5a29ad4619f2</t>
  </si>
  <si>
    <t>Wood chips, from forest, hardwood, burned in furnace 1000kW {CH}</t>
  </si>
  <si>
    <t>9932aa91-f0fe-3da4-b5f1-6d577b378033</t>
  </si>
  <si>
    <t>Wood chips, from forest, hardwood, burned in furnace 300kW {CH}</t>
  </si>
  <si>
    <t>8bfdc6a6-2fcc-34c9-952d-d02e3fd5d474</t>
  </si>
  <si>
    <t>Wood chips, from forest, hardwood, burned in furnace 5000kW {CH}</t>
  </si>
  <si>
    <t>60f7a780-8419-38fe-a929-9b68c90dda6d</t>
  </si>
  <si>
    <t>Wood chips, from forest, hardwood, burned in furnace 50kW (proj. 210) {CH}</t>
  </si>
  <si>
    <t>47a8ff96-e5cc-3ac7-8707-0a96404d9c63</t>
  </si>
  <si>
    <t>Wood chips, from forest, hardwood, burned in furnace 50kW {CH}</t>
  </si>
  <si>
    <t>51906022-1595-37be-b7e0-a0a55e58934b</t>
  </si>
  <si>
    <t>Wood chips, from forest, mixed, burned in furnace 1000kW {CH}</t>
  </si>
  <si>
    <t>9de3e1c7-c0d0-369a-b11d-0c364070f062</t>
  </si>
  <si>
    <t>Wood chips, from forest, mixed, burned in furnace 300kW {CH}</t>
  </si>
  <si>
    <t>b07ff56e-d8c9-3495-87a8-5f0d77782ec8</t>
  </si>
  <si>
    <t>Wood chips, from forest, mixed, burned in furnace 5000kW {CH}</t>
  </si>
  <si>
    <t>cba6a1fd-011e-38e6-affc-483249ec298d</t>
  </si>
  <si>
    <t>Wood chips, from forest, mixed, burned in furnace 50kW {CH}</t>
  </si>
  <si>
    <t>434f6c6f-c162-3ccb-841a-f58130145f88</t>
  </si>
  <si>
    <t>Wood chips, from forest, softwood, burned in furnace 1000kW {CH}</t>
  </si>
  <si>
    <t>d0ca54cb-9671-3cda-8b75-1618c9d578fe</t>
  </si>
  <si>
    <t>Wood chips, from forest, softwood, burned in furnace 300kW {CH}</t>
  </si>
  <si>
    <t>1abc5226-569f-36d4-8575-d9d154a0ec71</t>
  </si>
  <si>
    <t>Wood chips, from forest, softwood, burned in furnace 5000kW {CH}</t>
  </si>
  <si>
    <t>03cbe0fe-45e5-3065-8519-adc5a4e3138b</t>
  </si>
  <si>
    <t>Wood chips, from forest, softwood, burned in furnace 50kW {CH}</t>
  </si>
  <si>
    <t>0ce914af-10f4-3da4-b863-c1fece19121c</t>
  </si>
  <si>
    <t>Wood chips, from holzpur manufacturing, softwood, burned in furnace 300kW {CH}</t>
  </si>
  <si>
    <t>464a1921-be42-378f-bcea-c9f1c953ecdb</t>
  </si>
  <si>
    <t>Wood chips, from industry, hardwood, burned in furnace 1000kW {CH}</t>
  </si>
  <si>
    <t>7ee043f9-79da-3d04-86d8-6c79de293849</t>
  </si>
  <si>
    <t>Wood chips, from industry, hardwood, burned in furnace 300kW {CH}</t>
  </si>
  <si>
    <t>d00f2ab3-46b9-3936-af59-f4af8d516dab</t>
  </si>
  <si>
    <t>Wood chips, from industry, hardwood, burned in furnace 5000kW {CH}</t>
  </si>
  <si>
    <t>4c8cabaf-5997-3f9b-9851-256c6cf6572b</t>
  </si>
  <si>
    <t>Wood chips, from industry, hardwood, burned in furnace 50kW {CH}</t>
  </si>
  <si>
    <t>eb04ab08-e9dc-322b-954c-d87a8852d475</t>
  </si>
  <si>
    <t>Wood chips, from industry, mixed, burned in furnace 1000kW {CH}</t>
  </si>
  <si>
    <t>2a0508ef-90f0-3292-8666-7869c44c4b5b</t>
  </si>
  <si>
    <t>Wood chips, from industry, mixed, burned in furnace 300kW {CH}</t>
  </si>
  <si>
    <t>8d6c8c1e-8f56-31a9-af2c-523a9ca5f9f2</t>
  </si>
  <si>
    <t>Wood chips, from industry, mixed, burned in furnace 5000kW {CH}</t>
  </si>
  <si>
    <t>b3c7648d-0553-30af-bfe1-50291f1cab61</t>
  </si>
  <si>
    <t>Wood chips, from industry, mixed, burned in furnace 50kW {CH}</t>
  </si>
  <si>
    <t>30476005-fbf4-33cc-ad77-d5e0e80d1949</t>
  </si>
  <si>
    <t>Wood chips, from industry, softwood, burned in furnace 1000kW {CH}</t>
  </si>
  <si>
    <t>71493667-796e-36d7-99b8-2c87bcbf25cf</t>
  </si>
  <si>
    <t>Wood chips, from industry, softwood, burned in furnace 300kW - ohne Holzinput {CH}</t>
  </si>
  <si>
    <t>heat\wood\furnace</t>
  </si>
  <si>
    <t>8e90122c-d629-31c4-83c1-aa6d953e5600</t>
  </si>
  <si>
    <t>Wood chips, from industry, softwood, burned in furnace 300kW {CH}</t>
  </si>
  <si>
    <t>6eaaf8c3-29cd-3c22-82bc-0d32953018ae</t>
  </si>
  <si>
    <t>Wood chips, from industry, softwood, burned in furnace 5000kW {CH}</t>
  </si>
  <si>
    <t>9ab0a6dc-b8f0-3dec-bcd5-a8d3f8071bee</t>
  </si>
  <si>
    <t>Wood chips, from industry, softwood, burned in furnace 50kW {CH}</t>
  </si>
  <si>
    <t>956b5014-7525-3d50-939e-1a23e486edfa</t>
  </si>
  <si>
    <t>Wood chips, from sawmill, softwood, holzpur, burned in furnace 300kW {CH}</t>
  </si>
  <si>
    <t>7d4d62c4-cce7-30f5-b6f3-25dd4d2f8d0b</t>
  </si>
  <si>
    <t>Wood chips, hardwood, wet, measured as dry mass, at sawmill {CH}</t>
  </si>
  <si>
    <t>49837389-578c-3ba9-90ce-a9e860e3801a</t>
  </si>
  <si>
    <t>Wood chips, hardwood, wet, measured as dry mass, at sawmill {RER}</t>
  </si>
  <si>
    <t>ecca66ae-593b-3221-8405-33ef0c817251</t>
  </si>
  <si>
    <t>Wood chips, hardwood, wet, sustainable forest management, measured as dry mass, at forest road {CH}</t>
  </si>
  <si>
    <t>4b87931c-f997-31a0-b5ed-f1e5c754c7e1</t>
  </si>
  <si>
    <t>Wood chips, oak, wet, sustainable forest management, measured as dry mass, at forest road {DE}</t>
  </si>
  <si>
    <t>ee18e4ef-f983-3a47-97cf-c244d1d1362a</t>
  </si>
  <si>
    <t>Wood chips, pine, wet, sustainable forest management, measured as dry mass, at forest road {DE}</t>
  </si>
  <si>
    <t>587f1764-997b-3165-8ece-9a94e48665ab</t>
  </si>
  <si>
    <t>Wood chips, pine, wet, sustainable forest management, measured as dry mass, at forest road {SE}</t>
  </si>
  <si>
    <t>109793eb-1da8-3b5b-a1cb-7feb84c6bbd3</t>
  </si>
  <si>
    <t>Wood chips, post-consumer wood, burned in furnace 1000kW {CH}</t>
  </si>
  <si>
    <t>f6761524-6bcb-398c-b8ab-9e222c79c502</t>
  </si>
  <si>
    <t>Wood chips, production mix, wet, measured as dry mass, at forest road &amp; at sawmill {CH}</t>
  </si>
  <si>
    <t>36bdefd6-4f92-3696-9813-c88a1cb70e17</t>
  </si>
  <si>
    <t>Wood chips, production mix, wet, measured as dry mass, at forest road &amp; at sawmill {RER}</t>
  </si>
  <si>
    <t>dee32d4e-57b9-3461-b4cd-94651dc4d927</t>
  </si>
  <si>
    <t>Wood chips, softwood, wet, measured as dry mass, at sawmill {AT}</t>
  </si>
  <si>
    <t>67782200-c675-3f1e-b488-0d7877178ca5</t>
  </si>
  <si>
    <t>60f1e332-3011-3515-bda3-788fc4034f95</t>
  </si>
  <si>
    <t>Wood chips, softwood, wet, measured as dry mass, at sawmill {RER}</t>
  </si>
  <si>
    <t>422925ce-e7aa-380d-a4ce-23750e19f3de</t>
  </si>
  <si>
    <t>Wood chips, softwood, wet, sustainable forest management, measured as dry mass, at forest road {CH}</t>
  </si>
  <si>
    <t>d4177671-fc4d-3a6a-a906-e1022a20b4e2</t>
  </si>
  <si>
    <t>Wood chips, spruce, wet, sustainable forest management, measured as dry mass, at forest road {DE}</t>
  </si>
  <si>
    <t>99d645b6-82c1-390e-ac4d-cabf01bcbb06</t>
  </si>
  <si>
    <t>Wood chips, spruce, wet, sustainable forest management, measured as dry mass, at forest road {SE}</t>
  </si>
  <si>
    <t>3fbac2d7-07ff-3c4f-8e28-bb509c8a5d53</t>
  </si>
  <si>
    <t>Wood laths, softwood, plant-debarked, u=70%, holzpur, at plant {CH}</t>
  </si>
  <si>
    <t>e40d566f-ded1-3b85-b442-22f198adc1da</t>
  </si>
  <si>
    <t>Wood pellet manufacturing, infrastructure {RER}</t>
  </si>
  <si>
    <t>b0b2bbd8-a529-32b9-948b-075b6eec4227</t>
  </si>
  <si>
    <t>Wood pellet, measured as dry mass, at plant {RER}</t>
  </si>
  <si>
    <t>a1339fd1-9be5-38c0-ae66-9c39b683f35f</t>
  </si>
  <si>
    <t>Wood preservative, creosote, at plant {RER}</t>
  </si>
  <si>
    <t>64b6f5a4-daa3-3b2d-85a1-8d7bb7120539</t>
  </si>
  <si>
    <t>Wood preservative, inorganic salt, containing Cr, at plant {RER}</t>
  </si>
  <si>
    <t>be501b1b-8393-3760-8658-39e93bcd6934</t>
  </si>
  <si>
    <t>Wood preservative, organic salt, Cr-free, at plant {RER}</t>
  </si>
  <si>
    <t>1b7a81dc-1797-3c93-ae60-f239501da3c3</t>
  </si>
  <si>
    <t>Wood to waste wood sorting {CH}</t>
  </si>
  <si>
    <t>361f10c8-f926-4cd2-868e-d0649fcc983c</t>
  </si>
  <si>
    <t>Wood wool board, cement bonded, at regional storage {CH}</t>
  </si>
  <si>
    <t>95d49075-0a2b-3780-b1a1-37cda412eb8e</t>
  </si>
  <si>
    <t>Wood wool board, cement bonded, at regional storage, with resource correction {CH}</t>
  </si>
  <si>
    <t>5502193c-f673-3e22-ad56-8c5d3d22b1ce</t>
  </si>
  <si>
    <t>Wood wool boards, cement bonded, at plant {RER}</t>
  </si>
  <si>
    <t>53764c44-cfc1-3094-8763-7ed49b55cd0d</t>
  </si>
  <si>
    <t>Wood wool boards, cement bonded, at plant, with resource correction {CH}</t>
  </si>
  <si>
    <t>899c28ab-5491-3a0a-ba39-f39da36a2187</t>
  </si>
  <si>
    <t>Wood wool, at plant {RER}</t>
  </si>
  <si>
    <t>36c4bb40-13ca-3fdf-9440-5d28e360ccb7</t>
  </si>
  <si>
    <t>Woodchips from forestry residues {RER}</t>
  </si>
  <si>
    <t>e4c7cf64-ced9-3154-acb7-48777c5ad7fb</t>
  </si>
  <si>
    <t>Wooden board manufacturing plant, cement bonded boards {RER}</t>
  </si>
  <si>
    <t>3d785591-507e-3c4a-8c69-f689c5bf5bc7</t>
  </si>
  <si>
    <t>Wooden board manufacturing plant, organic bonded boards {RER}</t>
  </si>
  <si>
    <t>90039d7f-2872-3c9f-b721-544860a8d3fa</t>
  </si>
  <si>
    <t>Work at home, corporate access {CH}</t>
  </si>
  <si>
    <t>d4a0e8a1-2385-36bb-8470-0077eac1c043</t>
  </si>
  <si>
    <t>Wrecking, transocean container ship {IN}</t>
  </si>
  <si>
    <t>ddf3ddf0-a910-3a27-b506-4ff0e293b1c4</t>
  </si>
  <si>
    <t>Wrecking, transocean ship {IN}</t>
  </si>
  <si>
    <t>ae21353f-11c9-35ca-bd67-9d7b5f7ed663</t>
  </si>
  <si>
    <t>Wrecking, transocean tanker {IN}</t>
  </si>
  <si>
    <t>ee7141f8-dec8-350b-a51e-b89f67239475</t>
  </si>
  <si>
    <t>Xenon, gaseous, at plant {RER}</t>
  </si>
  <si>
    <t>b27bb9ee-a99d-31fb-8978-688468101c3d</t>
  </si>
  <si>
    <t>Xenon, gaseous, at regional storage {CH}</t>
  </si>
  <si>
    <t>4a49d4c8-3a1d-340b-9f43-5ab745a6a0b0</t>
  </si>
  <si>
    <t>xx 1,1-dimethylcyclopentane, from naphtha, at plant {RER}</t>
  </si>
  <si>
    <t>material, obsolete\chemicals, obsolete\organic, obsolete</t>
  </si>
  <si>
    <t>95b9c55d-2fd8-3762-a056-14edfe924e75</t>
  </si>
  <si>
    <t>xx 2-methyl-1-butanol, at plant {RER}</t>
  </si>
  <si>
    <t>1780694e-0f44-3eee-8ffd-d2c2ce11b4f2</t>
  </si>
  <si>
    <t>xx 2-methylpentane, from naphtha, at plant {RER}</t>
  </si>
  <si>
    <t>71511a4d-5f0d-3f14-aba4-4e506169e31f</t>
  </si>
  <si>
    <t>xx 2,3-dimethylbutan, from naphtha, at plant {RER}</t>
  </si>
  <si>
    <t>ea06c172-bcc0-3ad0-bd2c-7c0ff1a6da32</t>
  </si>
  <si>
    <t>xx 2,4-D, at regional storehouse {CH}</t>
  </si>
  <si>
    <t>material, obsolete\wood, obsolete\extraction, obsolete\pesticides, obsolete</t>
  </si>
  <si>
    <t>4e8daae6-b0ef-3926-a984-437e0a86471c</t>
  </si>
  <si>
    <t>xx 3-methyl-1-butyl acetate, at plant {RER}</t>
  </si>
  <si>
    <t>b0c01332-d778-3f14-89d5-2166fec8c294</t>
  </si>
  <si>
    <t>xx 4-methyl-2-pentanone, at plant {RER}</t>
  </si>
  <si>
    <t>6931fb2e-057d-3510-bdaa-539c0fd13f41</t>
  </si>
  <si>
    <t>xx Acetic acid from acetaldehyde, at plant {RER}</t>
  </si>
  <si>
    <t>c8788f81-09da-34fb-bf49-8d26c3218840</t>
  </si>
  <si>
    <t>xx Acetic acid from butane, at plant {RER}</t>
  </si>
  <si>
    <t>1a7242c7-3e43-30bc-9cee-9e5182f17216</t>
  </si>
  <si>
    <t>xx Acetone cyanohydrin, at plant {RER}</t>
  </si>
  <si>
    <t>69fc38b9-c577-3cb3-b1d2-dd37d22c46df</t>
  </si>
  <si>
    <t>xx Acetone from butane, at plant {RER}</t>
  </si>
  <si>
    <t>a1e82090-871b-33ae-8bac-02844685db19</t>
  </si>
  <si>
    <t>xx Adhesive mortar, at plant {CH}</t>
  </si>
  <si>
    <t>material, obsolete\construction, obsolete\binders, obsolete</t>
  </si>
  <si>
    <t>70d11d2f-74ae-3784-bb0e-3a729fcaaf46</t>
  </si>
  <si>
    <t>xx Air filter, decentralized unit, 250 m3/h, at plant {RER}</t>
  </si>
  <si>
    <t>material, obsolete\construction, obsolete\ventilation, obsolete\components, obsolete</t>
  </si>
  <si>
    <t>ddec9ef1-be4c-37b0-a9ec-5a5901a84731</t>
  </si>
  <si>
    <t>xx Aircraft, freight {RER}</t>
  </si>
  <si>
    <t>transport systems\transport, obsolete\air, obsolete\infrastucture, obsolete</t>
  </si>
  <si>
    <t>e7c38843-9161-3348-9169-a8987bfb8e35</t>
  </si>
  <si>
    <t>xx Aircraft, passenger {RER}</t>
  </si>
  <si>
    <t>127d283c-4435-33e8-b341-ae5e2f9cf5a6</t>
  </si>
  <si>
    <t>xx Al fraction, mechanical treatment, CRT screen, at plant {GLO}</t>
  </si>
  <si>
    <t>waste treatment, obsolete\electronic wastes, obsolete\non-ferro, obsolete</t>
  </si>
  <si>
    <t>e1f3289f-8310-4afc-9259-ba8458c154f8</t>
  </si>
  <si>
    <t>xx Al fraction, mechanical treatment, desktop computer, at plant {GLO}</t>
  </si>
  <si>
    <t>6f5bcfb4-f5ec-4c8c-bed9-2c72ead6fa9b</t>
  </si>
  <si>
    <t>xx Al fraction, mechanical treatment, industrial devices, at plant {GLO}</t>
  </si>
  <si>
    <t>6f425cbc-5cf9-454f-86b2-9b726c9385e0</t>
  </si>
  <si>
    <t>xx Al fraction, mechanical treatment, IT accessoires, at plant {GLO}</t>
  </si>
  <si>
    <t>ad3d9bc4-3656-4962-a072-7b78c2056eea</t>
  </si>
  <si>
    <t>xx Al fraction, mechanical treatment, laptop computer, at plant {GLO}</t>
  </si>
  <si>
    <t>809b9f42-0d78-449a-91cd-9dfd46480a9a</t>
  </si>
  <si>
    <t>xx Al fraction, mechanical treatment, LCD screen, at plant {GLO}</t>
  </si>
  <si>
    <t>79ccbb0c-4598-4d1d-9c2e-3b9dda12799a</t>
  </si>
  <si>
    <t>xx Al fraction, mechanical treatment, printer, laser, at plant {GLO}</t>
  </si>
  <si>
    <t>cd859d2d-9a67-422e-9b26-1cfe27f204f7</t>
  </si>
  <si>
    <t>xx Al fraction, mechanical treatment, shredder mat. of manual dismantling, at plant {GLO}</t>
  </si>
  <si>
    <t>2bdd5ba3-f05b-4baa-8579-6a2051aac083</t>
  </si>
  <si>
    <t>xx Alachlor, at regional storehouse {CH}</t>
  </si>
  <si>
    <t>8d512c22-8636-34bd-9169-8d479b8a1dac</t>
  </si>
  <si>
    <t>xx Ammonium chloride from chlorosilane, at plant {GLO}</t>
  </si>
  <si>
    <t>material, obsolete\chemicals, obsolete\inorganic, obsolete</t>
  </si>
  <si>
    <t>75d57b1e-3682-3e43-92d7-13a96d37eb27</t>
  </si>
  <si>
    <t>xx Anhydrite floor, at plant {CH}</t>
  </si>
  <si>
    <t>material, obsolete\construction, obsolete</t>
  </si>
  <si>
    <t>b2b0d494-9701-371b-a77d-2a26a7a2ae08</t>
  </si>
  <si>
    <t>xx Application, digested matter from biowaste in agricultural co-digestion, covered {CH}</t>
  </si>
  <si>
    <t>processing, obsolete\agricultural, obsolete</t>
  </si>
  <si>
    <t>cbc085d1-8fa8-3ed4-8f71-19feb9c407c1</t>
  </si>
  <si>
    <t>xx Auxiliary heating, electric, 5kW, at plant {CH}</t>
  </si>
  <si>
    <t>energy, obsolete\heat, obsolete\solar, obsolete\infrastructure, obsolete</t>
  </si>
  <si>
    <t>a9f215f6-6bad-3e8e-93ac-26944a76b67a</t>
  </si>
  <si>
    <t>xx Bagasse, from sugarcane, at sugar refinery {BR}</t>
  </si>
  <si>
    <t>material, obsolete\food, obsolete</t>
  </si>
  <si>
    <t>31f49ce3-a128-3f53-88f9-8479e2cb0c96</t>
  </si>
  <si>
    <t>xx Barley grains conventional, Barrois, at farm {FR}</t>
  </si>
  <si>
    <t>material, obsolete\agricultural, obsolete\plant production, obsolete</t>
  </si>
  <si>
    <t>a5ffacd6-84f3-3095-9d2f-d0b2858b49a3</t>
  </si>
  <si>
    <t>xx Barley grains conventional, Castilla-y-Leon, at farm {ES}</t>
  </si>
  <si>
    <t>4be1d991-319e-3ef9-9420-d6b12b0bcbbe</t>
  </si>
  <si>
    <t>xx Barley grains conventional, Saxony-Anhalt, at farm {DE}</t>
  </si>
  <si>
    <t>26f01420-6079-3963-bcc6-5077fce4e108</t>
  </si>
  <si>
    <t>xx Barley IP, at feed mill {CH}</t>
  </si>
  <si>
    <t>material, obsolete\agricultural, obsolete\animal production, obsolete\animal foods, obsolete</t>
  </si>
  <si>
    <t>526017d3-1a98-3ab7-b147-37a166fea765</t>
  </si>
  <si>
    <t>xx Barley organic, at feed mill {CH}</t>
  </si>
  <si>
    <t>4813a7b1-9f69-3b7d-ad06-d1c45d0f4b16</t>
  </si>
  <si>
    <t>xx Base plaster, at plant {CH}</t>
  </si>
  <si>
    <t>material, obsolete\construction, obsolete\coverings, obsolete</t>
  </si>
  <si>
    <t>f6fd627d-2738-3e38-ad6e-03941cb8175e</t>
  </si>
  <si>
    <t>xx Beet chips, at fermentation plant {CH}</t>
  </si>
  <si>
    <t>material, obsolete\fuels, obsolete\biofuels, obsolete</t>
  </si>
  <si>
    <t>677ca5ae-9dd0-3b7c-aa39-8ee736cbfc26</t>
  </si>
  <si>
    <t>xx Benzaldehyde, at plant {RER}</t>
  </si>
  <si>
    <t>6af091c5-06d5-3693-a1a3-6abbb6f31a6e</t>
  </si>
  <si>
    <t>xx Benzene, at coke plant {DE}</t>
  </si>
  <si>
    <t>2aa8b094-33d9-36bc-a9b9-2944297f0728</t>
  </si>
  <si>
    <t>xx Benzene, at coke plant {GLO}</t>
  </si>
  <si>
    <t>8b50c8b0-c633-3574-bf15-652bba747c5a</t>
  </si>
  <si>
    <t>326b9720-7b11-32dd-a859-b00acc67c150</t>
  </si>
  <si>
    <t>xx Benzoic-compounds, at regional storehouse {RER}</t>
  </si>
  <si>
    <t>bb4a19a8-9cc5-35c9-9b89-50d0c060aca1</t>
  </si>
  <si>
    <t>xx Biogas, from grass, digestion, at storage {CH}</t>
  </si>
  <si>
    <t>material, obsolete\fuels, obsolete\biofuels, obsolete\biogas</t>
  </si>
  <si>
    <t>af0e1677-02ad-3db1-8bbf-4d90304d03e0</t>
  </si>
  <si>
    <t>xx Biogas, from whey, digestion, at storage {CH}</t>
  </si>
  <si>
    <t>0dc256dd-5a79-3ddc-87f6-a33b4ce283cd</t>
  </si>
  <si>
    <t>xx Blow moulding {RER}</t>
  </si>
  <si>
    <t>processing, obsolete\plastics</t>
  </si>
  <si>
    <t>d1dd6b3c-bb30-3e41-b99d-40f533a5fd8f</t>
  </si>
  <si>
    <t>xx Butanes from butenes, at plant {RER}</t>
  </si>
  <si>
    <t>c2173649-a7eb-3399-af8c-a7dc15f7a2a0</t>
  </si>
  <si>
    <t>xx Butyl acetate, at plant {RER}</t>
  </si>
  <si>
    <t>b6aa048f-18eb-3c5d-84fa-ca87adc80b17</t>
  </si>
  <si>
    <t>xx Calcium chloride, from hypochlorination of allyl chloride, at plant {RER}</t>
  </si>
  <si>
    <t>fa36a896-ca52-3084-b061-286a4bb766d5</t>
  </si>
  <si>
    <t>0aeb876d-94cc-39f4-a030-f7544ade63cf</t>
  </si>
  <si>
    <t>xx Carbofuran, at regional storehouse {CH}</t>
  </si>
  <si>
    <t>449f7908-3da0-3bde-9577-4f62b1e9266e</t>
  </si>
  <si>
    <t>xx Carbofuran, at regional storehouse {RER}</t>
  </si>
  <si>
    <t>8644f881-449d-32f2-b9d9-275d911de5d2</t>
  </si>
  <si>
    <t>material, obsolete\metals, obsolete\non ferro, obsolete</t>
  </si>
  <si>
    <t>f3cb3170-e687-3885-9f62-f2ca7a005bf8</t>
  </si>
  <si>
    <t>xx Cellulose fibre, inclusive blowing in, at plant {CH}</t>
  </si>
  <si>
    <t>material, obsolete\construction, obsolete\insulation, obsolete</t>
  </si>
  <si>
    <t>a76fddbc-05c5-386e-84f3-d4f1ecad697c</t>
  </si>
  <si>
    <t>xx Cement cast plaster floor, at plant {CH}</t>
  </si>
  <si>
    <t>1c8bab34-ccb6-3f04-9b30-b0beea947c6e</t>
  </si>
  <si>
    <t>xx Chemi-thermomechanical pulp, at plant {RER}</t>
  </si>
  <si>
    <t>material, obsolete\paper + board, obsolete\pulp, obsolete</t>
  </si>
  <si>
    <t>26771275-5a00-34f7-848a-cfee668cdb71</t>
  </si>
  <si>
    <t>xx Chlorine, gaseous, lithium chloride electrolysis, at plant {GLO}</t>
  </si>
  <si>
    <t>material, obsolete\chemicals, obsolete\gases, obsolete</t>
  </si>
  <si>
    <t>658876c2-84a8-3659-bc53-58d20ce8b9b2</t>
  </si>
  <si>
    <t>xx Chloroacetic acid, at plant {RER}</t>
  </si>
  <si>
    <t>e5b0821c-048e-3e4c-b68d-9a694798715a</t>
  </si>
  <si>
    <t>xx Chlorothalonil, at regional storage {RER}</t>
  </si>
  <si>
    <t>d3bde4d5-6abb-3d5c-abb5-063b31c719ca</t>
  </si>
  <si>
    <t>xx Chlorotoluron, at regional storage {RER}</t>
  </si>
  <si>
    <t>dd9005c2-a23b-3ba3-bad0-fc438c176d76</t>
  </si>
  <si>
    <t>xx Co powder, hydrometallurgical processing Li-ion batteries, at plant {GLO}</t>
  </si>
  <si>
    <t>waste treatment, obsolete\electronic wastes, obsolete\others, obsolete</t>
  </si>
  <si>
    <t>c0dd70ba-a5bf-4781-81ce-d3550f68ca2b</t>
  </si>
  <si>
    <t>xx Co powder, pyrometallurgical processing Li-ion batteries, at plant {GLO}</t>
  </si>
  <si>
    <t>bc059813-8c72-4e48-82a2-fda1d53c69c8</t>
  </si>
  <si>
    <t>xx Cobwork, at plant {CH}</t>
  </si>
  <si>
    <t>02845c61-b5b9-3dcc-bff1-e6310a88a4c7</t>
  </si>
  <si>
    <t>xx Coke oven gas, at plant {DE}</t>
  </si>
  <si>
    <t>material, obsolete\fuels, obsolete\oil, obsolete\coke oven gas, obsolete</t>
  </si>
  <si>
    <t>8d3a3c98-0c8f-3880-80e7-cd83574ef021</t>
  </si>
  <si>
    <t>xx Cold impact extrusion, aluminium, 1 stroke {RER}</t>
  </si>
  <si>
    <t>processing, obsolete\metals\chipless shaping</t>
  </si>
  <si>
    <t>ac163ec4-c1e5-38c4-bfa5-fe79cdb042f8</t>
  </si>
  <si>
    <t>xx Cold impact extrusion, aluminium, 2 strokes {RER}</t>
  </si>
  <si>
    <t>a049a802-12fd-39a2-9a3b-0b1e0fe22846</t>
  </si>
  <si>
    <t>xx Cold impact extrusion, aluminium, 3 strokes {RER}</t>
  </si>
  <si>
    <t>6ec6670e-aae3-3b4f-817b-8dcbdc627e6e</t>
  </si>
  <si>
    <t>xx Cold impact extrusion, aluminium, 4 strokes {RER}</t>
  </si>
  <si>
    <t>ccc6b6b9-897e-3ccb-a6fc-d8242e49d5ad</t>
  </si>
  <si>
    <t>xx Cold impact extrusion, aluminium, 5 strokes {RER}</t>
  </si>
  <si>
    <t>8e1a59d4-ec3a-3aff-9049-82ec6587e101</t>
  </si>
  <si>
    <t>xx Cold impact extrusion, steel, 1 stroke {RER}</t>
  </si>
  <si>
    <t>22e81902-8bd4-394e-b179-512ff054705e</t>
  </si>
  <si>
    <t>xx Cold impact extrusion, steel, 2 strokes {RER}</t>
  </si>
  <si>
    <t>2a86817e-8ba4-3a77-a61c-fe7f806ee865</t>
  </si>
  <si>
    <t>xx Cold impact extrusion, steel, 3 strokes {RER}</t>
  </si>
  <si>
    <t>05e62de9-b10f-3e53-af75-71bc88a97c12</t>
  </si>
  <si>
    <t>xx Cold impact extrusion, steel, 4 strokes {RER}</t>
  </si>
  <si>
    <t>78a7b290-6e31-30ee-8d52-b1c10fe62235</t>
  </si>
  <si>
    <t>xx Cold impact extrusion, steel, 5 strokes {RER}</t>
  </si>
  <si>
    <t>751af40c-dcef-3a6e-ab97-e4dd9f76c517</t>
  </si>
  <si>
    <t>material, obsolete\chemicals, obsolete\fertilizers, organic, obsolete</t>
  </si>
  <si>
    <t>1a993a51-593a-37f3-b4db-7a82bbac99ab</t>
  </si>
  <si>
    <t>xx Compressed air, average installation, &lt;30kW, 10 bar gauge, at supply network {RER}</t>
  </si>
  <si>
    <t>8d56b89d-8281-351b-9536-1972434a6d1d</t>
  </si>
  <si>
    <t>xx Compressed air, average installation, &lt;30kW, 12 bar gauge, at supply network {RER}</t>
  </si>
  <si>
    <t>fbdf33d9-e755-35ce-8812-bf9e1d0753cf</t>
  </si>
  <si>
    <t>xx Compressed air, best installation, &gt;30kW, 6 bar gauge, at supply network {RER}</t>
  </si>
  <si>
    <t>ff78fb1c-6b4a-3eab-8e2f-a94c04ce3caf</t>
  </si>
  <si>
    <t>xx Compressed air, best installation, &gt;30kW, 7 bar gauge, at supply network {RER}</t>
  </si>
  <si>
    <t>2f1fd9b6-edaa-3782-bc8e-1acd9932b02a</t>
  </si>
  <si>
    <t>xx Compressed air, best installation, &gt;30kW, 8 bar gauge, at supply network {RER}</t>
  </si>
  <si>
    <t>63d4489e-c01a-39fd-9c93-767c4267ae81</t>
  </si>
  <si>
    <t>xx Compressed air, optimised installation, &lt;30kW, 12 bar gauge, at supply network {RER}</t>
  </si>
  <si>
    <t>aefe14f9-377b-318d-8926-cd74396e5d91</t>
  </si>
  <si>
    <t>xx Compressed air, optimised installation, &lt;30kW, 8 bar gauge, at supply network {RER}</t>
  </si>
  <si>
    <t>08c954a6-9723-30ec-9827-210763f2d583</t>
  </si>
  <si>
    <t>xx Compressed air, optimised installation, &gt;30kW, 6 bar gauge, at supply network {RER}</t>
  </si>
  <si>
    <t>96156558-6712-357c-a5ea-ed44ce368837</t>
  </si>
  <si>
    <t>xx Compressed air, optimised installation, &gt;30kW, 7 bar gauge, at supply network {RER}</t>
  </si>
  <si>
    <t>4bb5c593-820e-3ec7-af4c-cdc32642545e</t>
  </si>
  <si>
    <t>xx Compressed air, optimised installation, &gt;30kW, 8 bar gauge, at supply network {RER}</t>
  </si>
  <si>
    <t>fbeb2fe3-96ce-3567-b9b8-d1e6bca440be</t>
  </si>
  <si>
    <t>xx Concrete block, at plant {DE}</t>
  </si>
  <si>
    <t>material, obsolete\construction, obsolete\concrete, obsolete</t>
  </si>
  <si>
    <t>31d8dcab-ffc9-30c5-8a83-34a9b074514c</t>
  </si>
  <si>
    <t>xx Concrete roof tile, at plant {CH}</t>
  </si>
  <si>
    <t>e3b70646-0e30-34ec-8839-274f5131fcb5</t>
  </si>
  <si>
    <t>xx Cooling energy, natural gas, at cogen unit with absorption chiller 100 kW {CH}</t>
  </si>
  <si>
    <t>energy, obsolete\cogeneration, obsolete\gas, obsolete</t>
  </si>
  <si>
    <t>c9b7c536-96fd-3db2-8c6f-d69b2fe4c79f</t>
  </si>
  <si>
    <t>xx Copper concentrate, couple production Mo {GLO}</t>
  </si>
  <si>
    <t>9f0be9c2-5a29-37b5-8748-e3a1b3bedfac</t>
  </si>
  <si>
    <t>xx Copper, from combined metal production, at refinery {SE}</t>
  </si>
  <si>
    <t>caa0b1f0-e445-3fd7-bbc7-7e3152056d3c</t>
  </si>
  <si>
    <t>xx Copper, primary, at refinery {US}</t>
  </si>
  <si>
    <t>f5faeb9a-32cd-3d24-946f-5e9274ad5a8f</t>
  </si>
  <si>
    <t>xx Copper, primary, couple production nickel {GLO}</t>
  </si>
  <si>
    <t>c47091e0-2d5d-3079-b421-5accdacc0429</t>
  </si>
  <si>
    <t>xx Copper, primary, from platinum group metal production {RU}</t>
  </si>
  <si>
    <t>bc65ae58-9451-3a4e-9b62-4beca69fee5d</t>
  </si>
  <si>
    <t>xx Copper, primary, from platinum group metal production {ZA}</t>
  </si>
  <si>
    <t>4e205100-ac29-3c1b-ac99-a4d181c7ec17</t>
  </si>
  <si>
    <t>xx Copper, secondary, from cable treatment, at plant {GLO}</t>
  </si>
  <si>
    <t>274ff9b6-e717-482a-92f7-2c66804d2ab0</t>
  </si>
  <si>
    <t>xx Copper, secondary, from electronic and electric scrap recycling, at refinery {SE}</t>
  </si>
  <si>
    <t>5f686814-2c54-3909-892a-a03e25e211e5</t>
  </si>
  <si>
    <t>xx Corrugated board, fresh fibre, single wall, at plant {CH}</t>
  </si>
  <si>
    <t>1b87e2c2-9bec-343e-bac1-90333ca056bf</t>
  </si>
  <si>
    <t>xx Corrugated board, fresh fibre, single wall, at plant {RER}</t>
  </si>
  <si>
    <t>3ab42d3f-2ae3-35b4-ad79-b7e8688d2ac2</t>
  </si>
  <si>
    <t>xx Corrugated board, recycling fibre, single wall, at plant {CH}</t>
  </si>
  <si>
    <t>1e429fc2-cffe-3c13-97a6-2442a71252a6</t>
  </si>
  <si>
    <t>xx Corrugated board, recycling fibre, single wall, at plant {RER}</t>
  </si>
  <si>
    <t>8a676e9a-22b1-3800-8c2a-8e78824abdf4</t>
  </si>
  <si>
    <t>xx Cotton seed, at farm {CN}</t>
  </si>
  <si>
    <t>63c54f0a-bc52-357d-8f39-5e19f0ff21ca</t>
  </si>
  <si>
    <t>xx Cover coat, mineral, at plant {CH}</t>
  </si>
  <si>
    <t>99d26e4d-b38f-342e-919a-eb6a0975326c</t>
  </si>
  <si>
    <t>xx Cover coat, organic, at plant {CH}</t>
  </si>
  <si>
    <t>c3e545eb-3764-361e-97da-4fdd49abb8ac</t>
  </si>
  <si>
    <t>xx Cu fraction, mechanical treatment, CRT screen, at plant {GLO}</t>
  </si>
  <si>
    <t>977a20fd-c757-4506-8208-542e08ce295e</t>
  </si>
  <si>
    <t>xx Cu fraction, mechanical treatment, desktop computer, at plant {GLO}</t>
  </si>
  <si>
    <t>b77247ee-b258-4d80-a0c3-c0605ce950de</t>
  </si>
  <si>
    <t>xx Cu fraction, mechanical treatment, industrial devices, at plant {GLO}</t>
  </si>
  <si>
    <t>295c8dd0-5e48-4aca-a93d-47f11effb750</t>
  </si>
  <si>
    <t>xx Cu fraction, mechanical treatment, IT accessoires, at plant {GLO}</t>
  </si>
  <si>
    <t>2f318b10-3805-4a1a-923b-d21ecd58c03e</t>
  </si>
  <si>
    <t>xx Cu fraction, mechanical treatment, laptop computer, at plant {GLO}</t>
  </si>
  <si>
    <t>8b3d8e12-6675-47e3-9c7e-6c0f99b684ab</t>
  </si>
  <si>
    <t>xx Cu fraction, mechanical treatment, LCD screen, at plant {GLO}</t>
  </si>
  <si>
    <t>8332b6f0-addb-416d-a235-35fb6b81200a</t>
  </si>
  <si>
    <t>xx Cu fraction, mechanical treatment, printer, laser, at plant {GLO}</t>
  </si>
  <si>
    <t>49261a94-9c41-4bb0-a151-27a5b88a13a7</t>
  </si>
  <si>
    <t>xx Cu fraction, mechanical treatment, shredder mat. of manual dismantling, at plant {GLO}</t>
  </si>
  <si>
    <t>78a1f9ff-dac6-44c8-bb51-5376183d2046</t>
  </si>
  <si>
    <t>xx Cyanazine, at regional storehouse {CH}</t>
  </si>
  <si>
    <t>36447e13-0a90-32aa-825e-3839247dd10a</t>
  </si>
  <si>
    <t>xx Cyclohexanone, at plant {RER}</t>
  </si>
  <si>
    <t>cb1d29fc-0a62-35f9-a249-30a170d80073</t>
  </si>
  <si>
    <t>xx DDGS, from corn, at distillery {US}</t>
  </si>
  <si>
    <t>material, obsolete\fuels, obsolete\biofuels, obsolete\ethanols\byproducts</t>
  </si>
  <si>
    <t>4e083923-b4b1-3c3e-8cc8-b6b3450b0d46</t>
  </si>
  <si>
    <t>xx DDGS, from potatoes, at distillery {CH}</t>
  </si>
  <si>
    <t>bfcf9653-bade-3308-9425-525456a842aa</t>
  </si>
  <si>
    <t>xx DDGS, from rye, at distillery {RER}</t>
  </si>
  <si>
    <t>56bc0f74-fe09-3103-a0f5-2b23d1969dee</t>
  </si>
  <si>
    <t>xx Deep drawing, steel, 10000 kN press, single stroke operation {RER}</t>
  </si>
  <si>
    <t>4a3a6edf-14a9-3df6-a552-cbc2927e7a50</t>
  </si>
  <si>
    <t>xx Deep drawing, steel, 3500 kN press, automode operation {RER}</t>
  </si>
  <si>
    <t>00ff85a3-f229-353c-8d01-4ee96ad585ee</t>
  </si>
  <si>
    <t>xx Deep drawing, steel, 3500 kN press, single stroke operation {RER}</t>
  </si>
  <si>
    <t>1a882ece-c154-384c-997c-d305a29b6359</t>
  </si>
  <si>
    <t>xx Deep drawing, steel, 38000 kN press, automode operation {RER}</t>
  </si>
  <si>
    <t>1af732c8-ad78-3d07-b876-8994084bbe12</t>
  </si>
  <si>
    <t>xx Deep drawing, steel, 38000 kN press, single stroke operation {RER}</t>
  </si>
  <si>
    <t>b8b4056f-e27d-3504-bf5a-43c41b881dc4</t>
  </si>
  <si>
    <t>xx Deep drawing, steel, 650 kN press, automode operation {RER}</t>
  </si>
  <si>
    <t>9157d6a9-f9bb-3563-b896-bda57828de22</t>
  </si>
  <si>
    <t>xx Deep drawing, steel, 650 kN press, single stroke operation {RER}</t>
  </si>
  <si>
    <t>dce2f984-81b9-3878-9747-cdc86938cefd</t>
  </si>
  <si>
    <t>xx Degreasing, metal part in alkaline bath {RER}</t>
  </si>
  <si>
    <t>processing, obsolete\metals\general manufacturing</t>
  </si>
  <si>
    <t>f5319236-611d-320b-b335-990f7fa70eaa</t>
  </si>
  <si>
    <t>xx Diazine-compounds, at regional storehouse {RER}</t>
  </si>
  <si>
    <t>a90f3bfd-e6ae-3372-95d7-1256bac54da4</t>
  </si>
  <si>
    <t>xx Diazole-compounds, at regional storehouse {RER}</t>
  </si>
  <si>
    <t>18c3303f-fdbd-3d73-97c7-9e591ff5b3c4</t>
  </si>
  <si>
    <t>xx Dichloropropene, from reacting propylene and chlorine, at plant {RER}</t>
  </si>
  <si>
    <t>4f66c988-bb08-3092-afed-2e54c35382dd</t>
  </si>
  <si>
    <t>xx Diesel, burned in chopper {RER}</t>
  </si>
  <si>
    <t>mechanical\unspecified</t>
  </si>
  <si>
    <t>0ea9d4fd-7412-34ea-b162-83988d1a0054</t>
  </si>
  <si>
    <t>xx Diethanolamine, at plant {RER}</t>
  </si>
  <si>
    <t>de6e3c8c-797d-3fa0-b329-0e8a4ae006d1</t>
  </si>
  <si>
    <t>xx Dimethenamide, at regional storage {RER}</t>
  </si>
  <si>
    <t>f55968e8-12c3-324e-9eba-732cf35c133e</t>
  </si>
  <si>
    <t>xx Dimethylamine borane, at plant {GLO}</t>
  </si>
  <si>
    <t>24467f3c-6ad9-342b-a737-c8e6ad501b6c</t>
  </si>
  <si>
    <t>xx Dioxane, at plant {RER}</t>
  </si>
  <si>
    <t>0d6733a9-020a-38c5-9c55-2ae16c0df66c</t>
  </si>
  <si>
    <t>xx Disposal, air filter, decentralized unit, 250 m3/h {CH}</t>
  </si>
  <si>
    <t>waste treatment, obsolete\construction waste, obsolete</t>
  </si>
  <si>
    <t>73c34382-7e16-4cc0-834f-dc5f8fcb2933</t>
  </si>
  <si>
    <t>xx Disposal, biowaste, 60% H2O, to municipal incineration, future, alloc. price {CH}</t>
  </si>
  <si>
    <t>ab93d460-d529-443e-a3e0-d5b08d8cd1a7</t>
  </si>
  <si>
    <t>xx Disposal, biowaste, to agricultural co-fermentation, covered {CH}</t>
  </si>
  <si>
    <t>processing, obsolete\metals\chipping\others</t>
  </si>
  <si>
    <t>f4fe8e73-1a59-3a87-834c-ebf2c6ff4e21</t>
  </si>
  <si>
    <t>xx Disposal, building, brick, to recycling {CH}</t>
  </si>
  <si>
    <t>3f41f5aa-b8d0-4485-afc2-29063e647193</t>
  </si>
  <si>
    <t>xx Disposal, building, cement-fibre slab, to recycling {CH}</t>
  </si>
  <si>
    <t>129433c9-636d-4ff3-80b5-50f3965d356a</t>
  </si>
  <si>
    <t>xx Disposal, building, concrete, not reinforced, to recycling {CH}</t>
  </si>
  <si>
    <t>cc708f71-8301-4748-aabd-28d49c127959</t>
  </si>
  <si>
    <t>xx Disposal, building, emulsion paint on walls, to final disposal {CH}</t>
  </si>
  <si>
    <t>cbfa04ad-676e-4a11-acfd-054b813cc505</t>
  </si>
  <si>
    <t>xx Disposal, building, emulsion paint on walls, to sorting plant {CH}</t>
  </si>
  <si>
    <t>c772132c-c8c1-4e63-aaab-f15cf6a4a927</t>
  </si>
  <si>
    <t>xx Disposal, building, emulsion paint on wood, to final disposal {CH}</t>
  </si>
  <si>
    <t>0f332901-5d5f-47f4-b4d2-a6fa2ea9ce04</t>
  </si>
  <si>
    <t>xx Disposal, building, glazing 2-IV, U&lt;1.1W/m2K, LSG, to final disposal {CH}</t>
  </si>
  <si>
    <t>902ac640-1b5b-4574-9250-853f044c57cf</t>
  </si>
  <si>
    <t>xx Disposal, building, glazing 2-IV, U&lt;1.1W/m2K, to final disposal {CH}</t>
  </si>
  <si>
    <t>64cb2442-ec46-43ab-a519-14ac3da892d5</t>
  </si>
  <si>
    <t>xx Disposal, building, glazing 3-IV, U&lt;0.5W/m2K, to final disposal {CH}</t>
  </si>
  <si>
    <t>d918e918-6539-4b05-80d4-cf9e22cef987</t>
  </si>
  <si>
    <t>xx Disposal, building, mineral wool, to recycling {CH}</t>
  </si>
  <si>
    <t>f8bfbafc-9557-42da-bfcd-389e11949103</t>
  </si>
  <si>
    <t>xx Disposal, building, paint on walls, to final disposal {CH}</t>
  </si>
  <si>
    <t>cd8b4e67-895b-42eb-a850-5816dba1a794</t>
  </si>
  <si>
    <t>xx Disposal, building, plaster-cardboard sandwich, to final disposal {CH}</t>
  </si>
  <si>
    <t>9e0a23d2-da68-4d02-bae4-cde2efc786b0</t>
  </si>
  <si>
    <t>xx Disposal, building, plaster-cardboard sandwich, to sorting plant {CH}</t>
  </si>
  <si>
    <t>ed067f5f-cb0a-467d-a92e-e83a81a48dd8</t>
  </si>
  <si>
    <t>xx Disposal, building, plaster board, gypsum plaster, to recycling {CH}</t>
  </si>
  <si>
    <t>43cf3113-b666-4edc-9ed7-283b43eab09b</t>
  </si>
  <si>
    <t>xx Disposal, building, plastic plaster, to sorting plant {CH}</t>
  </si>
  <si>
    <t>2d7eba77-b61f-43c3-a682-54dc0a5f73e1</t>
  </si>
  <si>
    <t>xx Disposal, building, polyurethane sealing, to sorting plant {CH}</t>
  </si>
  <si>
    <t>5070e149-0416-455c-b8f5-21d2e8ee93b9</t>
  </si>
  <si>
    <t>xx Disposal, building, reinforced plaster board, to final disposal {CH}</t>
  </si>
  <si>
    <t>125618f9-3576-479a-9c92-5ca6c4f40c6d</t>
  </si>
  <si>
    <t>xx Disposal, building, reinforced plaster board, to recycling {CH}</t>
  </si>
  <si>
    <t>6fc9f5b2-f1c1-43e4-8b2c-8c906fe41957</t>
  </si>
  <si>
    <t>xx Disposal, building, reinforced plaster board, to sorting plant {CH}</t>
  </si>
  <si>
    <t>4364fb08-3254-4b0a-9a69-5f313a0bf6bb</t>
  </si>
  <si>
    <t>xx Disposal, building, reinforcement steel, to final disposal {CH}</t>
  </si>
  <si>
    <t>4db4beab-693a-42e9-a509-18be2c3e2be5</t>
  </si>
  <si>
    <t>xx Disposal, carbon SPL, Al elec.lysis, 0% water, to residual material landfill {CH}</t>
  </si>
  <si>
    <t>waste treatment, obsolete\landfill, obsolete\residual material landfill, obsolete</t>
  </si>
  <si>
    <t>18e6fc6c-81e4-43c4-87c7-5e9a889a58a4</t>
  </si>
  <si>
    <t>xx Disposal, catalyst for EDC production, 0% water, to hazardous waste incineration {CH}</t>
  </si>
  <si>
    <t>waste treatment, obsolete\incineration, obsolete\hazardous waste incineration, obsolete</t>
  </si>
  <si>
    <t>a272f922-90e7-44aa-a836-823629dd3229</t>
  </si>
  <si>
    <t>xx Disposal, catalyst for EDC production, 0% water, to underground deposit {DE}</t>
  </si>
  <si>
    <t>waste treatment, obsolete\underground deposit, obsolete</t>
  </si>
  <si>
    <t>03a03a9a-afd2-4b6a-93ef-3b6ec50d2ac1</t>
  </si>
  <si>
    <t>xx Disposal, catalytic converter for cars, 0% water, to underground deposit {DE}</t>
  </si>
  <si>
    <t>ca8452ba-5cf7-43f7-a070-412b7fc1263f</t>
  </si>
  <si>
    <t>xx Disposal, CRT screen, 17 inches, to WEEE treatment {CH}</t>
  </si>
  <si>
    <t>waste treatment, obsolete\electronic wastes, obsolete</t>
  </si>
  <si>
    <t>51f81c15-e7c0-42de-a7f4-a30fe9d4648c</t>
  </si>
  <si>
    <t>xx Disposal, digester sludge, to incineration, future, allocation price {CH}</t>
  </si>
  <si>
    <t>eb99eb42-e4d6-4fa5-b8a3-136e946d6162</t>
  </si>
  <si>
    <t>xx Disposal, dross from Al electrolysis, 0% water, to residual material landfill {CH}</t>
  </si>
  <si>
    <t>129a07eb-d7cd-4075-a414-465786ba956b</t>
  </si>
  <si>
    <t>xx Disposal, fat and oil, to agricultural co-fermentation, covered {CH}</t>
  </si>
  <si>
    <t>3485e18b-4e9a-3ac4-bf06-8a671256a862</t>
  </si>
  <si>
    <t>xx Disposal, hard coal ash from stove, 0% water, to sanitary landfill {CH}</t>
  </si>
  <si>
    <t>waste treatment, obsolete\landfill, obsolete\sanitary landfill, obsolete</t>
  </si>
  <si>
    <t>c0dacc7a-949f-4c12-90b9-f670a22debbd</t>
  </si>
  <si>
    <t>xx Disposal, LCD flat screen, 17 inches, to WEEE treatment {CH}</t>
  </si>
  <si>
    <t>a0308aa5-00ef-4e8b-b322-b0dc07c703a1</t>
  </si>
  <si>
    <t>xx Disposal, lignite ash from stove, 0% water, to sanitary landfill {CH}</t>
  </si>
  <si>
    <t>5e7c84b1-3b97-403c-ba9b-5ddf36d08ad9</t>
  </si>
  <si>
    <t>xx Disposal, packaging paper, 13.7% water, to sanitary landfill {CH}</t>
  </si>
  <si>
    <t>e9a02bcf-98b9-4976-af65-18332311a27f</t>
  </si>
  <si>
    <t>xx Disposal, polyethylene terephtalate, 0.2% water, to sanitary landfill {CH}</t>
  </si>
  <si>
    <t>7a78d54d-595f-4873-89e1-b810ca9949e1</t>
  </si>
  <si>
    <t>xx Disposal, polypropylene, 15.9% water, to sanitary landfill {CH}</t>
  </si>
  <si>
    <t>7f198c5c-b8d9-4372-9da5-1d67a5671371</t>
  </si>
  <si>
    <t>xx Disposal, refinery sludge, 89.5% water, to landfarming {CH}</t>
  </si>
  <si>
    <t>waste treatment, obsolete\landfarming, obsolete</t>
  </si>
  <si>
    <t>07526ca5-a29d-4d26-86c7-242c21f09924</t>
  </si>
  <si>
    <t>xx Disposal, residue from TiO2 prod. Cl, 56% water, to residual material landfill {CH}</t>
  </si>
  <si>
    <t>188872ed-2560-4d85-bd58-7cf5ee588519</t>
  </si>
  <si>
    <t>xx Disposal, residue from TiO2 prod. SO4, 30% water, to residual material landfill {CH}</t>
  </si>
  <si>
    <t>0060e86b-ecd1-49ff-8c8b-3c7b352d90c6</t>
  </si>
  <si>
    <t>xx Disposal, van &lt; 3.5t {CH}</t>
  </si>
  <si>
    <t>waste treatment, obsolete\transport waste, obsolete</t>
  </si>
  <si>
    <t>2bba2abd-74a1-4434-baca-49590c63f7d0</t>
  </si>
  <si>
    <t>xx Disposal, ventilation equipment, Avent E 97 {CH}</t>
  </si>
  <si>
    <t>0b84aba7-e7ac-45f9-96ef-d0719dd0dbb2</t>
  </si>
  <si>
    <t>xx Disposal, ventilation equipment, GE 250 RH {CH}</t>
  </si>
  <si>
    <t>abcc7ff1-6261-4bb0-9e20-3d8567e64d31</t>
  </si>
  <si>
    <t>xx Disposal, ventilation equipment, Storkair G 90 {CH}</t>
  </si>
  <si>
    <t>3a0dff18-1382-44b5-b90a-366afaa9ff8e</t>
  </si>
  <si>
    <t>xx Disposal, ventilation equipment, Twl-700 {CH}</t>
  </si>
  <si>
    <t>124579a2-f40e-40b1-976a-e3fd61d41e4b</t>
  </si>
  <si>
    <t>xx Dried roughage store, air dried, solar, operation {CH}</t>
  </si>
  <si>
    <t>processing, obsolete\agricultural, obsolete\operations</t>
  </si>
  <si>
    <t>fd0ed3a0-b02b-314d-ab4b-93ba1a57ab75</t>
  </si>
  <si>
    <t>xx Drilling, CNC, aluminium {RER}</t>
  </si>
  <si>
    <t>processing, obsolete\metals\chipping</t>
  </si>
  <si>
    <t>cddc7791-4078-3c03-849f-8e4aa1966cb0</t>
  </si>
  <si>
    <t>xx Drilling, CNC, brass {RER}</t>
  </si>
  <si>
    <t>dcab58c4-7e16-3ed2-8679-900f56a7d91a</t>
  </si>
  <si>
    <t>xx Drilling, CNC, cast iron {RER}</t>
  </si>
  <si>
    <t>901de479-d2dc-36ca-825a-e21e199575b0</t>
  </si>
  <si>
    <t>xx Drilling, CNC, chromium steel {RER}</t>
  </si>
  <si>
    <t>9df8cba9-ec6e-38f6-8f96-9d4962855bf9</t>
  </si>
  <si>
    <t>xx Drilling, CNC, steel {RER}</t>
  </si>
  <si>
    <t>f5d85fa5-1d4e-371b-99b5-16d46771adb7</t>
  </si>
  <si>
    <t>xx Drilling, conventional, aluminium {RER}</t>
  </si>
  <si>
    <t>91b50337-dc51-3cc6-bf12-b110f17a52b8</t>
  </si>
  <si>
    <t>xx Drilling, conventional, brass {RER}</t>
  </si>
  <si>
    <t>09b25d11-943e-38a7-90b3-0014b8358ebb</t>
  </si>
  <si>
    <t>xx Drilling, conventional, cast iron {RER}</t>
  </si>
  <si>
    <t>f8f45595-47df-3fc4-8063-611a8cfc8430</t>
  </si>
  <si>
    <t>xx Drilling, conventional, chromium steel {RER}</t>
  </si>
  <si>
    <t>342c7f49-4e6b-31d8-878e-f2ea91d00550</t>
  </si>
  <si>
    <t>xx Drilling, conventional, steel {RER}</t>
  </si>
  <si>
    <t>53ab66c0-c1f6-3d55-9353-a3dc9974cefe</t>
  </si>
  <si>
    <t>xx Electricity, at cogen 160kWe lambda=1, allocation electricity {CH}</t>
  </si>
  <si>
    <t>c5245998-7087-3f3a-ab62-6a48f85940b7</t>
  </si>
  <si>
    <t>xx Electricity, at cogen 160kWe lambda=1, allocation energy {CH}</t>
  </si>
  <si>
    <t>3571661c-7246-33d3-9846-1b3d90a41015</t>
  </si>
  <si>
    <t>xx Electricity, at cogen 160kWe lambda=1, allocation exergy {CH}</t>
  </si>
  <si>
    <t>bff6c055-5eeb-39ed-9df8-8a5ebdd87e7b</t>
  </si>
  <si>
    <t>xx Electricity, at cogen 160kWe lambda=1, allocation heat {CH}</t>
  </si>
  <si>
    <t>4307de02-d3f0-3c10-9b8e-6b97774e543f</t>
  </si>
  <si>
    <t>xx Electricity, at cogen 160kWe lambda=1, allocation price {CH}</t>
  </si>
  <si>
    <t>0157c0eb-78df-380d-aca7-25bc33ed6f74</t>
  </si>
  <si>
    <t>xx Electricity, at cogen 1MWe lean burn, allocation energy {RER}</t>
  </si>
  <si>
    <t>a980b66a-e2e2-37a1-93c8-782367f8ec97</t>
  </si>
  <si>
    <t>xx Electricity, at cogen 1MWe lean burn, allocation heat {RER}</t>
  </si>
  <si>
    <t>6f50afa1-e935-34aa-8945-402b26fba44c</t>
  </si>
  <si>
    <t>xx Electricity, at cogen ORC 1400kWth, wood, allocation energy {CH}</t>
  </si>
  <si>
    <t>energy, obsolete\cogeneration, obsolete\wood</t>
  </si>
  <si>
    <t>fe1bca0a-dc7e-36cd-be38-39428f57a072</t>
  </si>
  <si>
    <t>xx Electricity, at cogen ORC 1400kWth, wood, allocation heat {CH}</t>
  </si>
  <si>
    <t>1964335d-f378-3981-b4bf-67e70905b8e4</t>
  </si>
  <si>
    <t>xx Electricity, at cogen ORC 1400kWth, wood, emission control, allocation energy {CH}</t>
  </si>
  <si>
    <t>6f252a30-5261-35b5-9a5e-34055be10dfd</t>
  </si>
  <si>
    <t>xx Electricity, at cogen ORC 1400kWth, wood, emission control, allocation exergy {CH}</t>
  </si>
  <si>
    <t>61dd85c0-da1c-35c2-ac67-9052e41d83d2</t>
  </si>
  <si>
    <t>xx Electricity, at cogen ORC 1400kWth, wood, emission control, allocation heat {CH}</t>
  </si>
  <si>
    <t>ceecaaf1-3a2a-3c90-bd86-5ca6f5ca67f5</t>
  </si>
  <si>
    <t>xx Electricity, at cogen, biogas agricultural mix, allocation exergy {CH}</t>
  </si>
  <si>
    <t>energy, obsolete\biomass, obsolete\cogeneration, obsolete</t>
  </si>
  <si>
    <t>720ab013-4c7d-3539-bc08-50d2c3542776</t>
  </si>
  <si>
    <t>xx Electricity, at refinery {CH}</t>
  </si>
  <si>
    <t>energy, obsolete\electricity by fuel, obsolete\oil, obsolete</t>
  </si>
  <si>
    <t>bb7ffe38-902b-3cd6-a383-4732d8073c82</t>
  </si>
  <si>
    <t>xx Electricity, at wind power plant {CH}</t>
  </si>
  <si>
    <t>a61f7b4e-2c3c-3367-97ba-53fc2feffb6b</t>
  </si>
  <si>
    <t>xx Electricity, at wind power plant {RER}</t>
  </si>
  <si>
    <t>0e678922-d768-37a1-a8d0-ee3c8f9cf959</t>
  </si>
  <si>
    <t>xx Electricity, at wind power plant 2MW, offshore {OCE}</t>
  </si>
  <si>
    <t>23f2cd16-32d3-3312-85c9-8095bfe6815c</t>
  </si>
  <si>
    <t>xx Electricity, at wind power plant 600kW {CH}</t>
  </si>
  <si>
    <t>bc6483f1-b96c-3fc1-b8b4-206d9cd2b855</t>
  </si>
  <si>
    <t>xx Electricity, at wind power plant 800kW {CH}</t>
  </si>
  <si>
    <t>f1ae6c0c-9895-3637-b81d-f1d8460642a9</t>
  </si>
  <si>
    <t>xx Electricity, at wind power plant 800kW {RER}</t>
  </si>
  <si>
    <t>25a227ad-f0a6-3ca5-8fe3-c0429729d1a0</t>
  </si>
  <si>
    <t>xx Electricity, at wind power plant Grenchenberg 150kW {CH}</t>
  </si>
  <si>
    <t>85e23a9e-8109-3521-bd6f-efcada420b37</t>
  </si>
  <si>
    <t>xx Electricity, at wind power plant Simplon 30kW {CH}</t>
  </si>
  <si>
    <t>e84f40e5-cfb8-3169-aba7-09563537a7a8</t>
  </si>
  <si>
    <t>xx Electricity, bagasse, sugarcane, at sugar refinery {BR}</t>
  </si>
  <si>
    <t>01fb872c-fe7c-3591-af55-b75f860bd075</t>
  </si>
  <si>
    <t>xx Electricity, bagasse, sweet sorghum, at distillery {CN}</t>
  </si>
  <si>
    <t>1e94a32c-a136-304d-9756-43d98ad8702c</t>
  </si>
  <si>
    <t>xx Electricity, biogas, allocation exergy, at micro gas turbine 100kWe {CH}</t>
  </si>
  <si>
    <t>b5020d23-aa33-33d9-8a5c-72e89abb72bc</t>
  </si>
  <si>
    <t>xx Electricity, biogas, allocation exergy, at PEM fuel cell 2kWe, future {CH}</t>
  </si>
  <si>
    <t>c08e1314-10cd-38e2-97b9-31d9e855c66a</t>
  </si>
  <si>
    <t>xx Electricity, biogas, allocation exergy, at SOFC-GT fuel cell 180kWe, future {CH}</t>
  </si>
  <si>
    <t>5a64c784-45a8-37a0-819c-35a5b520b1d7</t>
  </si>
  <si>
    <t>xx Electricity, biogas, allocation exergy, at SOFC fuel cell 125kWe, future {CH}</t>
  </si>
  <si>
    <t>cd71d240-159e-34a6-8ee6-940eaff91a79</t>
  </si>
  <si>
    <t>xx Electricity, biowaste, at waste incineration plant, allocation price {CH}</t>
  </si>
  <si>
    <t>energy, obsolete\electricity by fuel, obsolete\waste, obsolete</t>
  </si>
  <si>
    <t>ba6bb803-d579-3078-b032-5e28a4d8f8d9</t>
  </si>
  <si>
    <t>xx Electricity, biowaste, at waste incineration plant, future, alloc. price {CH}</t>
  </si>
  <si>
    <t>3044d814-d274-3c49-99da-44da98858cc0</t>
  </si>
  <si>
    <t>xx Electricity, digester sludge, at incineration plant, future, alloc. price {CH}</t>
  </si>
  <si>
    <t>23f07810-b192-3a82-8636-b74c3e01f376</t>
  </si>
  <si>
    <t>xx Electricity, hydropower, at power plant {JP}</t>
  </si>
  <si>
    <t>energy, obsolete\electricity by fuel, obsolete\hydro, obsolete</t>
  </si>
  <si>
    <t>dfeab191-d9a1-3253-930c-2e6665526db8</t>
  </si>
  <si>
    <t>xx Electricity, natural gas, allocation exergy, at micro gas turbine 100kWe {CH}</t>
  </si>
  <si>
    <t>4a549cd9-e56d-3fba-98d8-b8f557524cb9</t>
  </si>
  <si>
    <t>xx Electricity, natural gas, allocation exergy, at PEM fuel cell 2kWe, future {CH}</t>
  </si>
  <si>
    <t>27ca890b-c4b8-318e-897a-3e47c3c59122</t>
  </si>
  <si>
    <t>xx Electricity, natural gas, allocation exergy, at SOFC-GT fuel cell 180kWe, future {CH}</t>
  </si>
  <si>
    <t>2e4ec349-de8b-344d-8bc6-8923dafc0716</t>
  </si>
  <si>
    <t>xx Electricity, natural gas, allocation exergy, at SOFC fuel cell 125kWe, future {CH}</t>
  </si>
  <si>
    <t>3cf4e019-b7c2-3102-9e25-b9e456b8b829</t>
  </si>
  <si>
    <t>xx Electricity, natural gas, at power plant {ASCC}</t>
  </si>
  <si>
    <t>energy, obsolete\electricity by fuel, obsolete\gas, obsolete</t>
  </si>
  <si>
    <t>b8416077-9183-35f2-b812-9d1ee8133cb7</t>
  </si>
  <si>
    <t>xx Electricity, natural gas, at power plant {CENTREL}</t>
  </si>
  <si>
    <t>790e4977-2ef9-35f5-a111-d661b873de43</t>
  </si>
  <si>
    <t>xx Electricity, natural gas, at power plant {ERCOT}</t>
  </si>
  <si>
    <t>8d96a7d9-bcef-3045-9490-45a30b905a86</t>
  </si>
  <si>
    <t>xx Electricity, natural gas, at power plant {FRCC}</t>
  </si>
  <si>
    <t>7c58915a-cf06-3d01-81aa-b76fa9f98dc3</t>
  </si>
  <si>
    <t>xx Electricity, natural gas, at power plant {MRO}</t>
  </si>
  <si>
    <t>acd3d1b0-e7a8-3a3d-9faa-647f249baa2b</t>
  </si>
  <si>
    <t>xx Electricity, natural gas, at power plant {NORDEL}</t>
  </si>
  <si>
    <t>71564df7-77ee-365e-aed2-7bc99a4148ab</t>
  </si>
  <si>
    <t>xx Electricity, natural gas, at power plant {NPCC}</t>
  </si>
  <si>
    <t>4be127c5-1feb-3f97-9b8d-74abf14f1e1c</t>
  </si>
  <si>
    <t>xx Electricity, natural gas, at power plant {RFC}</t>
  </si>
  <si>
    <t>f40e6bf4-8ed7-31c8-a40a-e944676e42cf</t>
  </si>
  <si>
    <t>xx Electricity, natural gas, at power plant {SERC}</t>
  </si>
  <si>
    <t>2d0e5dfd-72c2-3422-89ad-45e2c9c6a4f8</t>
  </si>
  <si>
    <t>xx Electricity, natural gas, at power plant {SPP}</t>
  </si>
  <si>
    <t>ed346969-848c-3ec5-a22f-6c1204d887c6</t>
  </si>
  <si>
    <t>xx Electricity, natural gas, at power plant {UCTE}</t>
  </si>
  <si>
    <t>48305ceb-c807-3ad3-9716-ac475d4aba4f</t>
  </si>
  <si>
    <t>xx Electricity, natural gas, at power plant {WECC}</t>
  </si>
  <si>
    <t>9152755b-961b-312e-ae63-d7140577d9d9</t>
  </si>
  <si>
    <t>xx Electricity, natural gas, at turbine, 10MW {GLO}</t>
  </si>
  <si>
    <t>b35ac5e9-3a0f-35ff-9621-0b30b71788b8</t>
  </si>
  <si>
    <t>xx Electricity, nuclear, at pressure water reactor, centrifugal enrichment {CH}</t>
  </si>
  <si>
    <t>energy, obsolete\electricity by fuel, obsolete\nuclear, obsolete\pwr, obsolete</t>
  </si>
  <si>
    <t>b121af30-b662-33fa-9840-0053a9785d22</t>
  </si>
  <si>
    <t>xx Electricity, pellets, allocation exergy, at stirling cogen unit 3kWe, future {CH}</t>
  </si>
  <si>
    <t>d7db1bd1-062a-38ee-8b67-8b38249c9384</t>
  </si>
  <si>
    <t>xx Electricity, wood, at distillery {CH}</t>
  </si>
  <si>
    <t>energy, obsolete\biomass, obsolete\power plants, obsolete</t>
  </si>
  <si>
    <t>26d924de-5729-32c5-b877-d7bef2a433c0</t>
  </si>
  <si>
    <t>xx Electricity, wood, at distillery {SE}</t>
  </si>
  <si>
    <t>energy, obsolete\electricity by fuel, obsolete\wood, obsolete</t>
  </si>
  <si>
    <t>ca57dde7-86e2-39af-9c0b-103001fe831b</t>
  </si>
  <si>
    <t>xx Electrode, negative, LiC6, at plant {GLO}</t>
  </si>
  <si>
    <t>material, obsolete\electronics, obsolete\devices, obsolete\module, obsolete</t>
  </si>
  <si>
    <t>c8e4ee89-e540-3996-8075-40cc6b9227b5</t>
  </si>
  <si>
    <t>xx Electrode, positive, LiMn2O4, at plant {GLO}</t>
  </si>
  <si>
    <t>a1fb3f7e-922a-3adf-808d-bb8f90354f99</t>
  </si>
  <si>
    <t>xx Electronics scrap, for precious metal recovery, at preparation plant {GLO}</t>
  </si>
  <si>
    <t>e2939899-4c9a-4f8b-9e64-886aec8b4dd6</t>
  </si>
  <si>
    <t>xx Energy reduction, ventilation system, 1 x 720 m3/h, PE ducts, with GHE {CH}</t>
  </si>
  <si>
    <t>processing, obsolete\ventilation\energy reduction</t>
  </si>
  <si>
    <t>d2c68bdc-ada6-3528-8930-503029d0fcdc</t>
  </si>
  <si>
    <t>xx Energy reduction, ventilation system, 1 x 720 m3/h, steel ducts, with GHE {CH}</t>
  </si>
  <si>
    <t>d3c138e3-1415-3473-9fe4-2424f9e8408b</t>
  </si>
  <si>
    <t>xx Energy reduction, ventilation system, 6 x 120 m3/h, PE ducts, with GHE {CH}</t>
  </si>
  <si>
    <t>e43c70e0-bce3-3b6a-9bcf-561915ad17ab</t>
  </si>
  <si>
    <t>xx Energy reduction, ventilation system, 6 x 120 m3/h, PE ducts, without GHE {CH}</t>
  </si>
  <si>
    <t>a2d62868-337a-3ad3-b75c-2a15ad11c540</t>
  </si>
  <si>
    <t>xx Energy reduction, ventilation system, 6 x 120 m3/h, steel ducts, with GHE {CH}</t>
  </si>
  <si>
    <t>a0872f65-39e0-39b8-a649-2ee0b4b4368f</t>
  </si>
  <si>
    <t>xx Energy reduction, ventilation system, 6 x 120 m3/h, steel ducts, without GHE {CH}</t>
  </si>
  <si>
    <t>87cc8808-b179-3352-bef6-80e223edbdf5</t>
  </si>
  <si>
    <t>xx Esterquat, coconut oil and palm kernel oil, at plant {RER}</t>
  </si>
  <si>
    <t>material, obsolete\chemicals, obsolete\washing agents, obsolete\tensides, obsolete</t>
  </si>
  <si>
    <t>fffdb676-3d66-307f-a788-339fb4878087</t>
  </si>
  <si>
    <t>xx Esterquat, tallow, at plant {RER}</t>
  </si>
  <si>
    <t>00edfa61-f21e-3658-aaa4-1d03503b8f47</t>
  </si>
  <si>
    <t>xx Ethanol, 95% in H2O, from potatoes, at distillery {CH}</t>
  </si>
  <si>
    <t>material, obsolete\fuels, obsolete\biofuels, obsolete\ethanols</t>
  </si>
  <si>
    <t>650e0e41-dbbe-3d18-bd35-1bb837a0c287</t>
  </si>
  <si>
    <t>xx Ethanol, 95% in H2O, from sugar beet molasses, at distillery {CH}</t>
  </si>
  <si>
    <t>1273d235-9fa6-320f-87a9-2abd93448855</t>
  </si>
  <si>
    <t>xx Ethanol, 95% in H2O, from wood, at distillery {CH}</t>
  </si>
  <si>
    <t>431a1a2d-aa33-305b-841a-06c8a6719eed</t>
  </si>
  <si>
    <t>xx Ethanol, 99.7% in H2O, from biomass, production CN, at service station {CH}</t>
  </si>
  <si>
    <t>fc12999b-2a57-31e8-8f78-2f18774d6c24</t>
  </si>
  <si>
    <t>xx Ethanol, 99.7% in H2O, from biomass, production US, at service station {CH}</t>
  </si>
  <si>
    <t>a9ad99f0-7b59-3dfc-b36c-5470989ef835</t>
  </si>
  <si>
    <t>xx Ethoxylated alcohols (AE11), palm oil, at plant {RER}</t>
  </si>
  <si>
    <t>988011d7-caa1-34a9-b332-9e23a1a0cc3d</t>
  </si>
  <si>
    <t>xx Ethylene glycol diethyl ether, at plant {RER}</t>
  </si>
  <si>
    <t>18beaca0-2298-3392-9665-1e27b8d1bd4a</t>
  </si>
  <si>
    <t>xx Ethylene glycol dimethyl ether, at plant {RER}</t>
  </si>
  <si>
    <t>77e5a70f-3215-3336-a51d-dc37a1ec0926</t>
  </si>
  <si>
    <t>xx Ethylene, pipeline system, at plant {RER}</t>
  </si>
  <si>
    <t>ada054d4-788d-3c16-aefb-e280c49a807b</t>
  </si>
  <si>
    <t>xx Fava beans IP, at feed mill {CH}</t>
  </si>
  <si>
    <t>0d2c694a-f62b-3a07-bb8e-81ac61defccb</t>
  </si>
  <si>
    <t>xx Fava beans organic, at farm {CH}</t>
  </si>
  <si>
    <t>54b6937d-6ac1-3de9-bc17-a71204b5d747</t>
  </si>
  <si>
    <t>xx Fe fraction, mechanical treatment, CRT screen, at plant {GLO}</t>
  </si>
  <si>
    <t>waste treatment, obsolete\electronic wastes, obsolete\ferro, obsolete</t>
  </si>
  <si>
    <t>eb3d559b-0e09-4732-8d0d-66241cbb54b6</t>
  </si>
  <si>
    <t>xx Fe fraction, mechanical treatment, desktop computer, at plant {GLO}</t>
  </si>
  <si>
    <t>4f1568e8-1d84-435f-ba20-c26b7d6a662a</t>
  </si>
  <si>
    <t>xx Fe fraction, mechanical treatment, industrial devices, at plant {GLO}</t>
  </si>
  <si>
    <t>5e52325c-d95c-4b67-9b6e-ef6f32f3d6a1</t>
  </si>
  <si>
    <t>xx Fe fraction, mechanical treatment, IT accessoires, at plant {GLO}</t>
  </si>
  <si>
    <t>a9297c84-35ea-4225-bc43-115f1ced1bb9</t>
  </si>
  <si>
    <t>xx Fe fraction, mechanical treatment, laptop computer, at plant {GLO}</t>
  </si>
  <si>
    <t>6352d240-931d-4110-8489-8e0d4c08d6e3</t>
  </si>
  <si>
    <t>xx Fe fraction, mechanical treatment, LCD screen, at plant {GLO}</t>
  </si>
  <si>
    <t>31f3ba43-55d2-4e36-b945-d0c8c58180c9</t>
  </si>
  <si>
    <t>xx Fe fraction, mechanical treatment, printer, laser, at plant {GLO}</t>
  </si>
  <si>
    <t>b32c0a39-c1e6-4780-afe6-03c2b2eda1b5</t>
  </si>
  <si>
    <t>xx Fe fraction, mechanical treatment, shredder mat. of manual dismantling, at plant {GLO}</t>
  </si>
  <si>
    <t>5bdaaf89-d619-4ba5-ae25-bd777b8a6e28</t>
  </si>
  <si>
    <t>xx Foam glass, at regional storage {AT}</t>
  </si>
  <si>
    <t>93a2cc02-9300-3e73-9e39-bafca8869f65</t>
  </si>
  <si>
    <t>45f3351a-ed56-3e5f-b5de-51c6659fe5ab</t>
  </si>
  <si>
    <t>xx Fosetyl-Al, at regional storage {RER}</t>
  </si>
  <si>
    <t>a79e1c4c-baa8-3ff9-8a34-f31824cee474</t>
  </si>
  <si>
    <t>xx Fraction 1, from naphtha, at plant {RER}</t>
  </si>
  <si>
    <t>a1d9b143-f2bd-3ebe-94dd-e67c8d516c4e</t>
  </si>
  <si>
    <t>xx Fraction 7, from naphtha, at plant {RER}</t>
  </si>
  <si>
    <t>b2b5e4a2-cd50-33c1-9966-cd774cbf4665</t>
  </si>
  <si>
    <t>xx Fraction 8, from naphtha, at plant {RER}</t>
  </si>
  <si>
    <t>15ae9e90-4b20-35b8-a281-1fc9857c6e46</t>
  </si>
  <si>
    <t>xx Fuel elements PWR, UO2 4.2% &amp; MOX, at nuclear fuel fabrication plant {CH}</t>
  </si>
  <si>
    <t>c8cf1fa7-7ac8-3721-a28a-482bcf319f81</t>
  </si>
  <si>
    <t>xx Fungicides, at regional storehouse {RER}</t>
  </si>
  <si>
    <t>9496d9ea-e689-3516-a88b-b622b51a2c3c</t>
  </si>
  <si>
    <t>xx Glass cullets, from fluorescent lamps treatment, at plant {GLO}</t>
  </si>
  <si>
    <t>51ae1d7e-b472-4bf1-9d64-d049d84fb9ed</t>
  </si>
  <si>
    <t>xx Glass cullets, funnel glass, for CRT glass production, at plant {GLO}</t>
  </si>
  <si>
    <t>a81172e6-075e-440a-85b7-7d4f0ea7ceb6</t>
  </si>
  <si>
    <t>xx Glass cullets, mixed glass, for CRT glass production, at plant {GLO}</t>
  </si>
  <si>
    <t>060d6209-893a-497b-8e43-b12003d1106c</t>
  </si>
  <si>
    <t>xx Glass cullets, panel glass, for CRT glass production, at plant {GLO}</t>
  </si>
  <si>
    <t>0b854a92-601c-4c8a-95ba-8f6de44df630</t>
  </si>
  <si>
    <t>xx Glazing, double (2-IV), U&lt;1.1 W/m2K, laminated safety glass, at plant {RER}</t>
  </si>
  <si>
    <t>material, obsolete\glass, obsolete\construction, obsolete</t>
  </si>
  <si>
    <t>b510d811-7fb0-319d-b74f-954526aa999f</t>
  </si>
  <si>
    <t>xx Glazing, triple (3-IV), U&lt;0.5 W/m2K, at plant {RER}</t>
  </si>
  <si>
    <t>35905b76-be91-3d5f-bbc0-b6bf63b9071e</t>
  </si>
  <si>
    <t>xx Glycerine, from epichlorohydrin, at plant {RER}</t>
  </si>
  <si>
    <t>65968bec-b0a8-3330-9852-dd11a8aff98e</t>
  </si>
  <si>
    <t>xx Glycerine, from palm oil, at esterification plant {MY}</t>
  </si>
  <si>
    <t>72caaace-453b-3b7b-97d1-f363b6819ba8</t>
  </si>
  <si>
    <t>xx Glycerine, from rape oil, at esterification plant {RER}</t>
  </si>
  <si>
    <t>52793110-d993-3146-90b5-ff06de1f623f</t>
  </si>
  <si>
    <t>xx Glycerine, from soybean oil, at esterification plant {BR}</t>
  </si>
  <si>
    <t>897d20c2-c519-3832-97d0-7ff84a6ebc9d</t>
  </si>
  <si>
    <t>xx Glycerine, from soybean oil, at esterification plant {US}</t>
  </si>
  <si>
    <t>e39821e4-7789-30d3-b4b1-bbecad79f8aa</t>
  </si>
  <si>
    <t>xx Grain maize organic, at feed mill {CH}</t>
  </si>
  <si>
    <t>b21f5a71-bedd-31ed-b94e-999345c9cfdc</t>
  </si>
  <si>
    <t>xx Grass drying {CH}</t>
  </si>
  <si>
    <t>443c902c-611b-3b80-8f79-265b5127ee35</t>
  </si>
  <si>
    <t>xx Grass fibres, at digestion {CH}</t>
  </si>
  <si>
    <t>fe86a757-2c7c-3f0e-8a5e-8e62d6d6fa2c</t>
  </si>
  <si>
    <t>xx Grass fibres, at fermentation {CH}</t>
  </si>
  <si>
    <t>0ab3343a-d294-3257-a341-cf7da6d1c28f</t>
  </si>
  <si>
    <t>xx Grass from meadow intensive, organic, at field {CH}</t>
  </si>
  <si>
    <t>9f6ebdd8-81eb-3cb6-a875-99af965b0633</t>
  </si>
  <si>
    <t>xx Grass from natural meadow extensive organic, at field {CH}</t>
  </si>
  <si>
    <t>ee49c91f-90ad-3bdf-b598-7848938dff41</t>
  </si>
  <si>
    <t>xx Grass from natural meadow intensive organic, at field {CH}</t>
  </si>
  <si>
    <t>5da50fb9-c77e-36df-895b-946415940050</t>
  </si>
  <si>
    <t>xx Grass silage IP, at farm {CH}</t>
  </si>
  <si>
    <t>ca55e619-a69d-3077-9ff0-f322659bb465</t>
  </si>
  <si>
    <t>xx Grass silage organic, at farm {CH}</t>
  </si>
  <si>
    <t>9f8d8419-458d-3c82-972a-0d014eccbec3</t>
  </si>
  <si>
    <t>xx Green manure organic, until February {CH}</t>
  </si>
  <si>
    <t>6f61e1cf-94e9-314b-ae36-6d50802681c7</t>
  </si>
  <si>
    <t>xx Growth regluators, at regional storehouse {RER}</t>
  </si>
  <si>
    <t>e3371e8c-a914-33da-a349-05f2bbce4719</t>
  </si>
  <si>
    <t>xx Gypsum plaster board, at plant {CH}</t>
  </si>
  <si>
    <t>a0203cf9-1d84-3ee4-a18b-e9882d9f6df5</t>
  </si>
  <si>
    <t>xx Hardwood, allocation correction, 2 {RER}</t>
  </si>
  <si>
    <t>material, obsolete\wood, obsolete\extraction, obsolete\allocation corrections, obsolete</t>
  </si>
  <si>
    <t>a09bfe4f-a5af-37c5-9dad-88b4757f41a8</t>
  </si>
  <si>
    <t>xx Hardwood, allocation correction, 3 {RER}</t>
  </si>
  <si>
    <t>7db19b76-715f-307a-9a2e-c40670b64be7</t>
  </si>
  <si>
    <t>xx Hay extensive, at farm {CH}</t>
  </si>
  <si>
    <t>89bf075e-13f2-35b5-8573-7666495687f4</t>
  </si>
  <si>
    <t>xx Hay intensive IP, at farm {CH}</t>
  </si>
  <si>
    <t>1a708f5a-094b-3f1b-a071-593baef3773e</t>
  </si>
  <si>
    <t>xx Hay intensive organic, at farm {CH}</t>
  </si>
  <si>
    <t>01ffbdcb-29a2-3370-a000-d903fa6215cf</t>
  </si>
  <si>
    <t>xx Heat, air-water heat pump 10kW, at heat radiator {CH}</t>
  </si>
  <si>
    <t>6d661f73-707f-3054-b8ee-93a9ae32fb83</t>
  </si>
  <si>
    <t>xx Heat, air-water heat pump 10kW, at heat radiator {RER}</t>
  </si>
  <si>
    <t>4ec5e342-f52e-3cd2-a336-77e74c3c2c80</t>
  </si>
  <si>
    <t>xx Heat, anthracite, at stove 5-15kW {RER}</t>
  </si>
  <si>
    <t>energy, obsolete\heat, obsolete\coal, obsolete</t>
  </si>
  <si>
    <t>26053add-4c4c-3672-8b7e-4b923151810b</t>
  </si>
  <si>
    <t>xx Heat, at cogen 160kWe lambda=1, allocation electricity {CH}</t>
  </si>
  <si>
    <t>654434fe-ba81-31c3-9a8b-2202e03952f8</t>
  </si>
  <si>
    <t>xx Heat, at cogen 160kWe lambda=1, allocation energy {CH}</t>
  </si>
  <si>
    <t>3a6c3f16-e47d-3286-bf9e-715260a2b997</t>
  </si>
  <si>
    <t>xx Heat, at cogen 160kWe lambda=1, allocation heat {CH}</t>
  </si>
  <si>
    <t>15cfe9b6-a12f-38e2-bffa-a745f9cfcfbd</t>
  </si>
  <si>
    <t>xx Heat, at cogen 160kWe lambda=1, allocation price {CH}</t>
  </si>
  <si>
    <t>959c22e6-4ed0-3a00-b0a6-197853fc61ff</t>
  </si>
  <si>
    <t>xx Heat, at cogen 1MWe lean burn, allocation energy {RER}</t>
  </si>
  <si>
    <t>687768d1-d9ba-35b7-9619-1db3ecd93390</t>
  </si>
  <si>
    <t>xx Heat, at cogen ORC 1400kWth, wood, allocation energy {CH}</t>
  </si>
  <si>
    <t>ad3c9368-ec62-3195-ba34-f996ba9ceed0</t>
  </si>
  <si>
    <t>xx Heat, at cogen ORC 1400kWth, wood, allocation exergy {CH}</t>
  </si>
  <si>
    <t>5ee4808b-de39-3cd2-b159-3afbd9065f99</t>
  </si>
  <si>
    <t>xx Heat, at cogen ORC 1400kWth, wood, allocation heat {CH}</t>
  </si>
  <si>
    <t>28e12257-4bd3-31da-9fcc-8be77487c02a</t>
  </si>
  <si>
    <t>xx Heat, at cogen ORC 1400kWth, wood, emission control, allocation energy {CH}</t>
  </si>
  <si>
    <t>6d1681e0-1318-32d9-8231-068ad4938b5e</t>
  </si>
  <si>
    <t>xx Heat, at cogen ORC 1400kWth, wood, emission control, allocation exergy {CH}</t>
  </si>
  <si>
    <t>d1af29af-faf5-3401-aed0-387a48a8ee58</t>
  </si>
  <si>
    <t>xx Heat, at cogen ORC 1400kWth, wood, emission control, allocation heat {CH}</t>
  </si>
  <si>
    <t>325f7707-368f-3a0e-9d52-f544bc20cd45</t>
  </si>
  <si>
    <t>xx Heat, at cogen, biogas agricultural mix, allocation exergy {CH}</t>
  </si>
  <si>
    <t>046f714f-4c6c-3473-a84a-c6456902f932</t>
  </si>
  <si>
    <t>xx Heat, at local distribution cogen 160kWe Jakobsberg, allocation electricity {CH}</t>
  </si>
  <si>
    <t>9e7b226e-33d7-3bb1-8866-c010fcdf16f0</t>
  </si>
  <si>
    <t>xx Heat, at local distribution cogen 160kWe Jakobsberg, allocation energy {CH}</t>
  </si>
  <si>
    <t>a5f0bee9-ddf5-3f6b-aa3d-97ebb9d5aaf1</t>
  </si>
  <si>
    <t>xx Heat, at local distribution cogen 160kWe Jakobsberg, allocation exergy {CH}</t>
  </si>
  <si>
    <t>e04bac73-d659-3cef-82f1-6646610ddbfa</t>
  </si>
  <si>
    <t>xx Heat, at local distribution cogen 160kWe Jakobsberg, allocation heat {CH}</t>
  </si>
  <si>
    <t>206aaaf1-1de4-31b5-a28b-74dba00c9205</t>
  </si>
  <si>
    <t>xx Heat, at local distribution cogen 160kWe Jakobsberg, allocation price {CH}</t>
  </si>
  <si>
    <t>3f3fb23c-f784-3421-b6ed-e3c158707b75</t>
  </si>
  <si>
    <t>xx Heat, at Mini CHP plant, allocation energy {CH}</t>
  </si>
  <si>
    <t>42e05d87-5486-3617-8067-93522eeba154</t>
  </si>
  <si>
    <t>xx Heat, at Mini CHP plant, allocation heat {CH}</t>
  </si>
  <si>
    <t>9064d448-65b2-3a05-b8bc-169ee7517f6b</t>
  </si>
  <si>
    <t>xx Heat, biogas, allocation exergy, at micro gas turbine 100kWe {CH}</t>
  </si>
  <si>
    <t>17cf069f-e3d6-3960-a5f0-fcf5949a5284</t>
  </si>
  <si>
    <t>xx Heat, biogas, allocation exergy, at PEM fuel cell 2kWe, future {CH}</t>
  </si>
  <si>
    <t>d91613e4-7686-30fa-b787-89544dd1ca35</t>
  </si>
  <si>
    <t>xx Heat, biogas, allocation exergy, at SOFC-GT fuel cell 180kWe, future {CH}</t>
  </si>
  <si>
    <t>e2ce4adc-314d-3928-9168-456c5031d65e</t>
  </si>
  <si>
    <t>xx Heat, biogas, allocation exergy, at SOFC fuel cell 125kWe, future {CH}</t>
  </si>
  <si>
    <t>c835f58b-5674-3f83-96fd-54bdb373e608</t>
  </si>
  <si>
    <t>xx Heat, biogas, at diffusion absorption heat pump 4kW, future {CH}</t>
  </si>
  <si>
    <t>9ebfbf80-397e-3b3a-ad1c-37b0346987f1</t>
  </si>
  <si>
    <t>xx Heat, biowaste, at waste incineration plant, allocation price {CH}</t>
  </si>
  <si>
    <t>energy, obsolete\heat, obsolete\waste, obsolete</t>
  </si>
  <si>
    <t>54b96acf-4e25-34af-87e6-f897794f34d9</t>
  </si>
  <si>
    <t>xx Heat, biowaste, at waste incineration plant, future, allocation price {CH}</t>
  </si>
  <si>
    <t>fc09c7de-1cba-38af-9bcb-c9b82d5d475f</t>
  </si>
  <si>
    <t>xx Heat, borehole heat exchanger, brine-water heat pump 10kW, at heat radiator {CH}</t>
  </si>
  <si>
    <t>50a3b249-c460-3704-8df1-84b29c955a5f</t>
  </si>
  <si>
    <t>xx Heat, borehole heat exchanger, brine-water heat pump 10kW, at heat radiator {RER}</t>
  </si>
  <si>
    <t>172cb40a-3f3f-3c5d-8b93-dfc4c6077b82</t>
  </si>
  <si>
    <t>xx Heat, lignite briquette, at stove 5-15kW {RER}</t>
  </si>
  <si>
    <t>energy, obsolete\heat, obsolete\lignite, obsolete</t>
  </si>
  <si>
    <t>04990583-dc35-3812-b18b-22be1e0b628b</t>
  </si>
  <si>
    <t>xx Heat, natural gas, allocation exergy, at micro gas turbine 100kWe {CH}</t>
  </si>
  <si>
    <t>b565ccac-454e-3500-b0cf-61a228c6cb44</t>
  </si>
  <si>
    <t>xx Heat, natural gas, allocation exergy, at SOFC-GT fuel cell 180kWe, future {CH}</t>
  </si>
  <si>
    <t>f28eb9a9-7153-388d-8a27-f517b1d04a25</t>
  </si>
  <si>
    <t>xx Heat, natural gas, allocation exergy, at SOFC fuel cell 125kWe, future {CH}</t>
  </si>
  <si>
    <t>32cc3373-1b45-39ff-9598-caa4b618ecaf</t>
  </si>
  <si>
    <t>xx Heat, natural gas, at boiler atm. low-NOx condensing non-modulating &lt;100kW {RER}</t>
  </si>
  <si>
    <t>energy, obsolete\heat, obsolete\gas, obsolete</t>
  </si>
  <si>
    <t>7742b343-d653-3d6c-a747-975699bd4e49</t>
  </si>
  <si>
    <t>xx Heat, natural gas, at boiler atmospheric low-NOx non-modulating &lt;100kW {RER}</t>
  </si>
  <si>
    <t>be49d9cc-c32e-3471-8130-00d3d3893d46</t>
  </si>
  <si>
    <t>xx Heat, natural gas, at boiler atmospheric non-modulating &lt;100kW {RER}</t>
  </si>
  <si>
    <t>487be8c2-2a24-3c6c-a418-83589cde4b98</t>
  </si>
  <si>
    <t>xx Heat, natural gas, at boiler fan burner low-NOx non-modulating &lt;100kW {RER}</t>
  </si>
  <si>
    <t>504cb43c-1eec-322b-a6a6-fbb4f84279b9</t>
  </si>
  <si>
    <t>xx Heat, natural gas, at boiler fan burner non-modulating &lt;100kW {RER}</t>
  </si>
  <si>
    <t>f59663ac-afa6-3ff2-8b2d-c5ecf0ae365a</t>
  </si>
  <si>
    <t>xx Heat, natural gas, at boiler modulating &lt;100kW {RER}</t>
  </si>
  <si>
    <t>02ec2028-60e9-3f4f-a2af-a7f04d63e2a1</t>
  </si>
  <si>
    <t>xx Heat, natural gas, at boiler modulating &gt;100kW {RER}</t>
  </si>
  <si>
    <t>a3d49f2b-7363-3c00-ad5f-c248a33438c4</t>
  </si>
  <si>
    <t>xx Heat, natural gas, at diffusion absorption heat pump 4kW, future {CH}</t>
  </si>
  <si>
    <t>61442c88-f488-3dcf-af70-f7e58333136a</t>
  </si>
  <si>
    <t>xx Heat, pellets, allocation exergy, at stirling cogen unit 3kWe, future {CH}</t>
  </si>
  <si>
    <t>3f4b8535-aabe-3f4a-9309-24586c54f913</t>
  </si>
  <si>
    <t>xx Heavy fuel oil, burned in refinery furnace {CH}</t>
  </si>
  <si>
    <t>energy, obsolete\heat, obsolete\oil, obsolete\furnace, obsolete</t>
  </si>
  <si>
    <t>b32a475e-1842-3f7b-a6d0-5522bc48d5a9</t>
  </si>
  <si>
    <t>xx Heavy fuel oil, burned in refinery furnace {RER}</t>
  </si>
  <si>
    <t>a726e94f-0e7a-3382-ab72-672b40cd35b3</t>
  </si>
  <si>
    <t>xx Helicopter {GLO}</t>
  </si>
  <si>
    <t>0e773176-66c8-334b-9eae-6e18514873db</t>
  </si>
  <si>
    <t>xx Herbicides, at regional storehouse {RER}</t>
  </si>
  <si>
    <t>777dc776-1834-3578-ab9b-a4e20aa16804</t>
  </si>
  <si>
    <t>fb3b4b81-6dc6-3385-8dca-9c8df7b0e187</t>
  </si>
  <si>
    <t>xx Hot impact extrusion, steel, 1 stroke {RER}</t>
  </si>
  <si>
    <t>9a9f299f-74cb-301f-9eba-6d0347fe247e</t>
  </si>
  <si>
    <t>xx Hot impact extrusion, steel, 2 strokes {RER}</t>
  </si>
  <si>
    <t>d57588a9-4837-3290-bb1e-fcc8b1b4bdd1</t>
  </si>
  <si>
    <t>xx Hot impact extrusion, steel, 3 strokes {RER}</t>
  </si>
  <si>
    <t>0ff3166a-ad71-3eae-afcf-87f45b8cc2d6</t>
  </si>
  <si>
    <t>xx Hot impact extrusion, steel, 4 strokes {RER}</t>
  </si>
  <si>
    <t>f8f399d0-78c1-3472-b30e-19d5ff93b692</t>
  </si>
  <si>
    <t>xx Hot impact extrusion, steel, 5 strokes {RER}</t>
  </si>
  <si>
    <t>907627ab-c6c2-39bd-b78a-93b27ee2fd67</t>
  </si>
  <si>
    <t>xx Housing system with fully-slatted floor, pig, operation {CH}</t>
  </si>
  <si>
    <t>791f76a8-c83a-3fbe-8b5b-bc069157be73</t>
  </si>
  <si>
    <t>xx Hydrochloric acid from benzene chlorination, at plant {RER}</t>
  </si>
  <si>
    <t>material, obsolete\chemicals, obsolete\acids (inorganic), obsolete</t>
  </si>
  <si>
    <t>5e86bbb2-cb95-3fac-9e84-1108b3b9bbda</t>
  </si>
  <si>
    <t>xx Hydrochloric acid, 36% in H2O, from reacting propylene and chlorine, at plant {RER}</t>
  </si>
  <si>
    <t>a1be9076-de9b-3845-9c59-9691e4cd6f11</t>
  </si>
  <si>
    <t>xx Hydrogen cyanide from Sohio process, at plant {RER}</t>
  </si>
  <si>
    <t>eb38f85d-d438-32de-a269-de02d1139033</t>
  </si>
  <si>
    <t>xx Hydrogen, from butanediol dehdrogenation {GLO}</t>
  </si>
  <si>
    <t>0b68a03d-d566-3b69-a05c-b4706963c8e5</t>
  </si>
  <si>
    <t>xx Ilmenite, 54% titanium dioxide, at plant {AU}</t>
  </si>
  <si>
    <t>material, obsolete\minerals, obsolete</t>
  </si>
  <si>
    <t>f98cb58b-17d7-3738-9217-9df00f4c0469</t>
  </si>
  <si>
    <t>xx Industrial residual wood chopping, stationary electric chopper, at plant {RER}</t>
  </si>
  <si>
    <t>processing, obsolete\wood</t>
  </si>
  <si>
    <t>9e1169f6-0acd-377e-b88f-5b8ce31a6f66</t>
  </si>
  <si>
    <t>xx Industrial residual wood, azobe (SFM), u=15%, CM, at sawmill {RER}</t>
  </si>
  <si>
    <t>material, obsolete\wood, obsolete\extraction, obsolete</t>
  </si>
  <si>
    <t>f76db83e-835a-3446-9564-9d78253d3a8b</t>
  </si>
  <si>
    <t>xx Industrial residual wood, paraná pine (SFM), u=15%, at sawmill {BR}</t>
  </si>
  <si>
    <t>f3925f42-82e5-3ab1-86d7-fa36c6ef7bfe</t>
  </si>
  <si>
    <t>xx Inert material landfill facility {CH}</t>
  </si>
  <si>
    <t>processing, obsolete\waste\infrastructure</t>
  </si>
  <si>
    <t>080e3d3b-2a77-3164-93f9-6c3d5d229743</t>
  </si>
  <si>
    <t>xx Insecticides, at regional storehouse {RER}</t>
  </si>
  <si>
    <t>23d87992-3da1-3b42-a190-ca264281f5fb</t>
  </si>
  <si>
    <t>xx Intral, at plant {RER}</t>
  </si>
  <si>
    <t>8aa244cc-00da-38da-bc6d-bc7df2be280c</t>
  </si>
  <si>
    <t>xx Inverter, 500W, at plant {RER}</t>
  </si>
  <si>
    <t>material, obsolete\electronics, obsolete\photovoltaic, obsolete\infrastructure, obsolete</t>
  </si>
  <si>
    <t>ac149637-98f4-3f52-8b98-a9e168c40c40</t>
  </si>
  <si>
    <t>xx Iron and steel, hydrometallurgical processing Li-ion batteries, at plant {GLO}</t>
  </si>
  <si>
    <t>10082f84-e556-4bc8-b2fd-44a29f723771</t>
  </si>
  <si>
    <t>xx Irrigating {CH}</t>
  </si>
  <si>
    <t>a772ac64-a43b-3b26-9b9a-8b56f1000b44</t>
  </si>
  <si>
    <t>xx Isobutyl acetate, at plant {RER}</t>
  </si>
  <si>
    <t>0354afa5-1783-3073-b3ff-2af2f5c53990</t>
  </si>
  <si>
    <t>xx Isohexane, at plant {RER}</t>
  </si>
  <si>
    <t>f02799e0-ceb1-3061-86a6-081f8bf59524</t>
  </si>
  <si>
    <t>xx Isopropyl acetate, at plant {RER}</t>
  </si>
  <si>
    <t>ffc24bb2-3ca1-38d8-947d-33a4c5ac9dc0</t>
  </si>
  <si>
    <t>xx Isoproturon, at regional storage {RER}</t>
  </si>
  <si>
    <t>d8fa3e0a-5c52-3a01-bafe-40a1a2f5eb53</t>
  </si>
  <si>
    <t>xx Jute stalks, from fibre production, irrigated system, at farm {IN}</t>
  </si>
  <si>
    <t>04cc8d0c-80b9-3320-8aa7-b725079ac431</t>
  </si>
  <si>
    <t>xx Jute stalks, from fibre production, rainfed system, at farm {IN}</t>
  </si>
  <si>
    <t>dc2f71a7-9b69-3550-bca2-4aa309259d29</t>
  </si>
  <si>
    <t>xx Kenaf stalks, from fibre production, at farm {IN}</t>
  </si>
  <si>
    <t>d2d208b5-bd70-394d-87bf-19a6d12c009d</t>
  </si>
  <si>
    <t>xx Label housing system, pig, operation {CH}</t>
  </si>
  <si>
    <t>97d0eb6b-237e-3968-8d17-123eda39e9da</t>
  </si>
  <si>
    <t>xx Laser machining, metal, with CO2-laser, 2000W power {RER}</t>
  </si>
  <si>
    <t>cc0a318c-f4b4-37ff-af1c-785ec0e6152a</t>
  </si>
  <si>
    <t>xx Laser machining, metal, with CO2-laser, 2700W power {RER}</t>
  </si>
  <si>
    <t>1daf7dcf-e527-393d-891c-c2e73b7e568f</t>
  </si>
  <si>
    <t>xx Laser machining, metal, with CO2-laser, 3200W power {RER}</t>
  </si>
  <si>
    <t>0e6b0794-ee1a-367d-ae44-c0cd2e3b07cb</t>
  </si>
  <si>
    <t>xx Laser machining, metal, with CO2-laser, 4000W power {RER}</t>
  </si>
  <si>
    <t>c8fa0183-4f2f-3732-ac92-012198b9bf79</t>
  </si>
  <si>
    <t>xx Laser machining, metal, with CO2-laser, 5000W power {RER}</t>
  </si>
  <si>
    <t>a6d23d98-9039-3e98-b910-8318c25b12a1</t>
  </si>
  <si>
    <t>xx Laser machining, metal, with CO2-laser, 6000W power {RER}</t>
  </si>
  <si>
    <t>86fbbc84-fb5e-38be-8654-3bddf2a598b9</t>
  </si>
  <si>
    <t>xx Laser machining, metal, with YAG-laser, 120W power {RER}</t>
  </si>
  <si>
    <t>5bd32e75-86b0-313a-b0bd-01c6fbd8fe53</t>
  </si>
  <si>
    <t>xx Laser machining, metal, with YAG-laser, 200W power {RER}</t>
  </si>
  <si>
    <t>cd43e544-1184-35aa-968b-6de72be8abdc</t>
  </si>
  <si>
    <t>xx Laser machining, metal, with YAG-laser, 30W power {RER}</t>
  </si>
  <si>
    <t>3edfe241-9acf-31d9-9beb-3c25f7e43ea7</t>
  </si>
  <si>
    <t>xx Laser machining, metal, with YAG-laser, 330W power {RER}</t>
  </si>
  <si>
    <t>529386c6-35eb-339f-b84b-04a84853590c</t>
  </si>
  <si>
    <t>xx Laser machining, metal, with YAG-laser, 40W power {RER}</t>
  </si>
  <si>
    <t>f34e3cda-330f-3ad1-9059-d3743101a731</t>
  </si>
  <si>
    <t>xx Laser machining, metal, with YAG-laser, 500W power {RER}</t>
  </si>
  <si>
    <t>6946f156-e16a-348a-851f-0e0bdaab3fd1</t>
  </si>
  <si>
    <t>xx Laser machining, metal, with YAG-laser, 50W power {RER}</t>
  </si>
  <si>
    <t>b12c59c2-9e12-33cb-9401-1e3bf6b6ebfb</t>
  </si>
  <si>
    <t>xx Laser machining, metal, with YAG-laser, 60W power {RER}</t>
  </si>
  <si>
    <t>b3d91bfa-1782-3731-be7f-b845f9a77a5f</t>
  </si>
  <si>
    <t>xx Layered sodium silicate, SKS-6, powder, at plant {RER}</t>
  </si>
  <si>
    <t>material, obsolete\chemicals, obsolete\washing agents, obsolete\builders, obsolete</t>
  </si>
  <si>
    <t>c3604814-e4ea-34f4-b598-79591fbf1483</t>
  </si>
  <si>
    <t>xx Lead, from combined metal production, at refinery {SE}</t>
  </si>
  <si>
    <t>f7effb41-3afd-3fb5-bec8-464447637f51</t>
  </si>
  <si>
    <t>xx Lead, secondary, from electronic and electric scrap recycling, at plant {SE}</t>
  </si>
  <si>
    <t>ceb8aefd-b53f-3d2a-a5e2-57dd8e57af7d</t>
  </si>
  <si>
    <t>xx Li salt, hydrometallurgical processing Li-ion batteries, at plant {GLO}</t>
  </si>
  <si>
    <t>413c1574-6a3c-47ef-b238-1b784549f903</t>
  </si>
  <si>
    <t>xx Light mortar, at plant {CH}</t>
  </si>
  <si>
    <t>14203ab1-84ca-300a-b834-0e8e83be6d39</t>
  </si>
  <si>
    <t>xx Lightweight concrete block, expanded perlite, at plant {CH}</t>
  </si>
  <si>
    <t>32205dbc-6754-3d67-aeea-bc6219bc5948</t>
  </si>
  <si>
    <t>xx Lightweight concrete block, expanded vermiculite, at plant {CH}</t>
  </si>
  <si>
    <t>c1bd8c53-b77a-3c0e-852b-dc892ffc5ab5</t>
  </si>
  <si>
    <t>0db556f2-127d-3736-9aa7-dd7b6bbdaf4e</t>
  </si>
  <si>
    <t>xx Lime from lithium carbonate hydration {GLO}</t>
  </si>
  <si>
    <t>7c78cc4a-f857-37c2-8725-5f26677e377d</t>
  </si>
  <si>
    <t>xx Lime mortar, at plant {CH}</t>
  </si>
  <si>
    <t>a1d2c7bf-4c1f-3fca-8f3a-0cef512eae26</t>
  </si>
  <si>
    <t>xx Lime, algae, at regional storehouse {CH}</t>
  </si>
  <si>
    <t>fc187590-66b2-3f17-9aea-fda4ad9fef23</t>
  </si>
  <si>
    <t>xx Loose housing system, cattle, operation {CH}</t>
  </si>
  <si>
    <t>fcd2c97e-1b18-3b95-98b2-31a05b164293</t>
  </si>
  <si>
    <t>3839020f-e68a-3825-8f2b-93b9add28959</t>
  </si>
  <si>
    <t>xx Maneb, at regional storehouse {RER}</t>
  </si>
  <si>
    <t>81d2346e-aae0-376c-b2d9-94659a681c88</t>
  </si>
  <si>
    <t>xx Mecoprop, at regional storage {RER}</t>
  </si>
  <si>
    <t>4ed192c5-a44c-3c8e-9ba0-e2b33389e48d</t>
  </si>
  <si>
    <t>xx Mercury, from fluorescent lamps treatment, at plant {GLO}</t>
  </si>
  <si>
    <t>fc9110b9-af92-4970-853d-3b3f7fe543fe</t>
  </si>
  <si>
    <t>xx Metal working factory operation, heat energy from hard coal {RER}</t>
  </si>
  <si>
    <t>d59f2376-79cb-3d53-ac8b-dacfad61add1</t>
  </si>
  <si>
    <t>xx Metal working factory operation, heat energy from heavy fuel oil {RER}</t>
  </si>
  <si>
    <t>c623c330-4f25-3508-9286-32a09a4f77f8</t>
  </si>
  <si>
    <t>xx Metal working factory operation, heat energy from light fuel oil {RER}</t>
  </si>
  <si>
    <t>97e33821-64f8-3d0e-b758-91a11b216904</t>
  </si>
  <si>
    <t>xx Metal working factory operation, heat energy from natural gas {RER}</t>
  </si>
  <si>
    <t>be4ebfd2-802a-3cef-b03b-49bfcec11cfd</t>
  </si>
  <si>
    <t>xx Metal working machine operation, process heat from hard coal {RER}</t>
  </si>
  <si>
    <t>ed28bae5-b4b7-3da0-a4a4-ca3170ac52e8</t>
  </si>
  <si>
    <t>xx Metal working machine operation, process heat from heavy fuel oil {RER}</t>
  </si>
  <si>
    <t>41dcc213-f924-3e8a-9360-fa062dcfb9e7</t>
  </si>
  <si>
    <t>xx Metal working machine operation, process heat from light fuel oil {RER}</t>
  </si>
  <si>
    <t>bdebd204-1aba-3fc1-ba04-0d62b4abaa98</t>
  </si>
  <si>
    <t>xx Metal working machine operation, process heat from natural gas {RER}</t>
  </si>
  <si>
    <t>361dc753-4cd1-3934-b026-cb269e2c197a</t>
  </si>
  <si>
    <t>f3df14d5-4e0b-3497-b6fd-82b497828356</t>
  </si>
  <si>
    <t>xx Methane, 96 vol-%, from biogas, from high pressure network, at service station {CH}</t>
  </si>
  <si>
    <t>material, obsolete\fuels, obsolete\biofuels, obsolete\methane</t>
  </si>
  <si>
    <t>0f45cbb8-2ced-38eb-81fc-645b1bb44bcf</t>
  </si>
  <si>
    <t>xx Methane, 96 vol-%, from biogas, from low pressure network, at service station {CH}</t>
  </si>
  <si>
    <t>1c2ab771-9fab-3e76-9649-f21954c321b7</t>
  </si>
  <si>
    <t>xx Methane, 96 vol-%, from biogas, from medium pressure network, at service station {CH}</t>
  </si>
  <si>
    <t>056c2f3c-ad33-3e8d-8d02-1372795eb194</t>
  </si>
  <si>
    <t>xx Methyl formate, at plant {RER}</t>
  </si>
  <si>
    <t>c7c879a1-d7b5-3785-b266-77c3db366968</t>
  </si>
  <si>
    <t>xx Methylcyclohexane, at plant {RER}</t>
  </si>
  <si>
    <t>e6591575-f9a1-3289-8b09-6a017fcf57ae</t>
  </si>
  <si>
    <t>xx Methylcyclohexane, from naphtha, at plant {RER}</t>
  </si>
  <si>
    <t>439d1a93-bbc3-3378-b1cd-d3b2e877069f</t>
  </si>
  <si>
    <t>xx Methylcyclopentane, from naphtha, at plant {RER}</t>
  </si>
  <si>
    <t>aa1abb76-689f-3944-b7a2-3d16e739a70f</t>
  </si>
  <si>
    <t>xx Milking {CH}</t>
  </si>
  <si>
    <t>6daab73d-486c-3ae5-9cb9-d577b7f91ade</t>
  </si>
  <si>
    <t>xx Milling, aluminium, average {RER}</t>
  </si>
  <si>
    <t>9ff924fe-d6f3-3977-846e-bd755c6c4df5</t>
  </si>
  <si>
    <t>xx Milling, aluminium, dressing {RER}</t>
  </si>
  <si>
    <t>a04b66da-e82d-3bb9-b67d-3f19a5310542</t>
  </si>
  <si>
    <t>xx Milling, aluminium, large parts {RER}</t>
  </si>
  <si>
    <t>263962e9-a82b-336d-ba41-796c5bb4feda</t>
  </si>
  <si>
    <t>xx Milling, aluminium, small parts {RER}</t>
  </si>
  <si>
    <t>279e353f-0ccd-353c-9b63-6306a77db986</t>
  </si>
  <si>
    <t>xx Milling, cast iron, average {RER}</t>
  </si>
  <si>
    <t>1166a298-dba3-341b-852f-fcfe6150a185</t>
  </si>
  <si>
    <t>xx Milling, cast iron, dressing {RER}</t>
  </si>
  <si>
    <t>aac7648c-cedc-3db1-a9c4-e369da340dc3</t>
  </si>
  <si>
    <t>xx Milling, cast iron, large parts {RER}</t>
  </si>
  <si>
    <t>107db683-2f08-356c-99e5-9d2f5fc9c794</t>
  </si>
  <si>
    <t>xx Milling, cast iron, small parts {RER}</t>
  </si>
  <si>
    <t>223ffab1-d7cb-354b-8ae8-1bdbdc58dcfc</t>
  </si>
  <si>
    <t>xx Milling, chromium steel, average {RER}</t>
  </si>
  <si>
    <t>1b2896e6-b2d3-3591-86b3-4d13a510f50f</t>
  </si>
  <si>
    <t>xx Milling, chromium steel, dressing {RER}</t>
  </si>
  <si>
    <t>0f1fc37b-95d9-34f9-ad42-cf60be6112dc</t>
  </si>
  <si>
    <t>xx Milling, chromium steel, large parts {RER}</t>
  </si>
  <si>
    <t>f6de9aa5-36fa-36a2-ad87-7f70d5482f15</t>
  </si>
  <si>
    <t>xx Milling, chromium steel, small parts {RER}</t>
  </si>
  <si>
    <t>48dc0848-50b7-3ab6-b02b-15c878bb83b7</t>
  </si>
  <si>
    <t>xx Milling, steel, average {RER}</t>
  </si>
  <si>
    <t>d6f57d2d-7d7a-3cdf-a4a3-5d88322faabf</t>
  </si>
  <si>
    <t>xx Milling, steel, dressing {RER}</t>
  </si>
  <si>
    <t>d7c6baf4-ce1a-32d7-a63a-cb759cd4bf66</t>
  </si>
  <si>
    <t>xx Milling, steel, large parts {RER}</t>
  </si>
  <si>
    <t>a8185c0b-ec3a-3bb6-818b-e494bf523240</t>
  </si>
  <si>
    <t>xx Milling, steel, small parts {RER}</t>
  </si>
  <si>
    <t>940cff69-c0d4-3160-a466-3024c715c704</t>
  </si>
  <si>
    <t>xx MnO2 powder, pyrometallurgical processing Li-ion batteries, at plant {GLO}</t>
  </si>
  <si>
    <t>62e86286-019f-4f20-9eda-c65dc2d22d98</t>
  </si>
  <si>
    <t>xx Molybdenum concentrate, couple production Cu {ID}</t>
  </si>
  <si>
    <t>d7fb24df-732c-32a2-a08c-36e3a92ecac7</t>
  </si>
  <si>
    <t>xx Molybdenum concentrate, couple production Cu {RAS}</t>
  </si>
  <si>
    <t>2a2eacdd-8ba4-389a-b4bf-9c4b396cd85d</t>
  </si>
  <si>
    <t>xx Molybdenum concentrate, couple production Cu {RER}</t>
  </si>
  <si>
    <t>2c61e303-fd01-33fb-a848-286b506b5206</t>
  </si>
  <si>
    <t>xx Molybdenum concentrate, couple production Cu {RLA}</t>
  </si>
  <si>
    <t>1a1ae93f-7532-35b8-a46b-25b133a4981d</t>
  </si>
  <si>
    <t>xx Molybdenum concentrate, couple production Cu {US}</t>
  </si>
  <si>
    <t>d4363eed-a7ae-3c19-b303-6e8dcb7712f3</t>
  </si>
  <si>
    <t>material, obsolete\chemicals, obsolete\fertilisers (inorganic), obsolete</t>
  </si>
  <si>
    <t>28669d66-f8ce-3b73-94eb-1b9525d4976e</t>
  </si>
  <si>
    <t>xx Monoammonium phosphate, as P2O5, at regional storehouse {RER}</t>
  </si>
  <si>
    <t>accbb39d-fdac-3910-94cb-19fa5c470b02</t>
  </si>
  <si>
    <t>xx Mowing, by motor mower {CH}</t>
  </si>
  <si>
    <t>70f4f4c1-0882-3eea-8b8c-d0b62b16b247</t>
  </si>
  <si>
    <t>xx N,N-dimethylformamide, at plant {RER}</t>
  </si>
  <si>
    <t>18ead1e0-e3ea-3ada-9d8a-029a42350e4c</t>
  </si>
  <si>
    <t>xx Napropamide, at regional storage {RER}</t>
  </si>
  <si>
    <t>ea02a2aa-84fb-3a23-88bc-7149cf6b7e7e</t>
  </si>
  <si>
    <t>xx Natural gas liquids, from natural gas, helium extraction {GLO}</t>
  </si>
  <si>
    <t>a0a1fe26-5ad6-3a25-975e-986d4f12b7cc</t>
  </si>
  <si>
    <t>xx Natural gas, burned in cogen 160kWe Jakobsberg {CH}</t>
  </si>
  <si>
    <t>energy, obsolete\cogeneration, obsolete\gas, obsolete\power unit, obsolete</t>
  </si>
  <si>
    <t>b19d2d4e-4e80-3a61-9639-2fd7d324d952</t>
  </si>
  <si>
    <t>xx Natural gas, burned in cogen 160kWe lambda=1 {CH}</t>
  </si>
  <si>
    <t>e4e4daa6-eb3e-3dca-a488-96d24d48053a</t>
  </si>
  <si>
    <t>xx Natural gas, burned in gas turbine {NL}</t>
  </si>
  <si>
    <t>energy, obsolete\electricity by fuel, obsolete\gas, obsolete\gas turbine, obsolete</t>
  </si>
  <si>
    <t>f3274bd7-bfe7-32cb-81d6-8f3d4801078f</t>
  </si>
  <si>
    <t>xx Natural gas, burned in Mini CHP plant {CH}</t>
  </si>
  <si>
    <t>8dba486d-3a2b-3335-810d-282bd343e67e</t>
  </si>
  <si>
    <t>xx Natural gas, from low pressure network (&lt;0.1 bar), at service station {CH}</t>
  </si>
  <si>
    <t>material, obsolete\fuels, obsolete\natural gas, obsolete</t>
  </si>
  <si>
    <t>7fd92306-9ecf-3b08-824b-7092c6caca4e</t>
  </si>
  <si>
    <t>xx Ni-Co-Fe residues, pyrometallurgical processing NiMH batteries, at plant {GLO}</t>
  </si>
  <si>
    <t>2b867410-9031-4049-b67a-471c61a202e3</t>
  </si>
  <si>
    <t>xx Nickel, primary, from platinum group metal production {RU}</t>
  </si>
  <si>
    <t>04fa8b85-fef8-315b-bad8-60de8e584d66</t>
  </si>
  <si>
    <t>xx Nickel, primary, from platinum group metal production {ZA}</t>
  </si>
  <si>
    <t>3f048d41-14a1-3ea8-8fe9-1e11def1a39e</t>
  </si>
  <si>
    <t>xx Nickel, secondary, from electronic and electric scrap recycling, at refinery {SE}</t>
  </si>
  <si>
    <t>8bae4793-9741-3fc4-ba34-c3458ab8e372</t>
  </si>
  <si>
    <t>xx Nitro-compounds, at regional storehouse {CH}</t>
  </si>
  <si>
    <t>a5e4603b-5ff3-3262-816e-5eed49de29ca</t>
  </si>
  <si>
    <t>xx Non-Fe-metals, hydrometallurgical processing Li-ion batteries, at plant {GLO}</t>
  </si>
  <si>
    <t>25c94237-c4fc-4912-8c81-fd9ffaf9434d</t>
  </si>
  <si>
    <t>xx Non-Fe-metals, pyrometallurgical processing Li-ion batteries, at plant {GLO}</t>
  </si>
  <si>
    <t>9756acdb-1b71-4318-a386-680e7c5e591b</t>
  </si>
  <si>
    <t>xx Nuclear fuel fabrication plant {US}</t>
  </si>
  <si>
    <t>material, obsolete\fuels, obsolete\uranium, obsolete\enriched, obsolete\infrastructure, obsolete</t>
  </si>
  <si>
    <t>892e7951-5e81-3179-8192-963cff6a9ac5</t>
  </si>
  <si>
    <t>xx Nuclear power plant, boiling water reactor 1000MW {US}</t>
  </si>
  <si>
    <t>energy, obsolete\electricity by fuel, obsolete\nuclear, obsolete\bwr, obsolete\infrastructure, obsolete</t>
  </si>
  <si>
    <t>f8860edc-546d-3cef-90a5-2b2ee194af1b</t>
  </si>
  <si>
    <t>xx Nuclear power plant, pressure water reactor 1000MW {US}</t>
  </si>
  <si>
    <t>ed24f7ef-acd5-3292-9403-745c355f2385</t>
  </si>
  <si>
    <t>xx Nylon 6, glass-filled, at plant {RER}</t>
  </si>
  <si>
    <t>material, obsolete\plastics, obsolete\thermoplasts, obsolete</t>
  </si>
  <si>
    <t>ebb59715-41fd-36c1-81c1-70ee260e240e</t>
  </si>
  <si>
    <t>xx Orbencarb, at regional storage {RER}</t>
  </si>
  <si>
    <t>68ab05ba-e6cc-33bf-9c0f-f05509009687</t>
  </si>
  <si>
    <t>xx Packaging glass, brown, at plant {CH}</t>
  </si>
  <si>
    <t>material, obsolete\glass, obsolete\packaging, obsolete</t>
  </si>
  <si>
    <t>ddefdbda-3a45-39fc-84ad-17c4c7bdc3f9</t>
  </si>
  <si>
    <t>xx Packaging glass, brown, at plant {DE}</t>
  </si>
  <si>
    <t>a626c11e-dc72-3e19-8fa3-3ec35a368990</t>
  </si>
  <si>
    <t>xx Packaging glass, brown, at plant {RER}</t>
  </si>
  <si>
    <t>25305ae3-e288-373e-bde5-1094769b58b0</t>
  </si>
  <si>
    <t>xx Packaging glass, brown, at regional storage {CH}</t>
  </si>
  <si>
    <t>a66b5e9d-fce8-3d9d-afc4-8c422a9b9410</t>
  </si>
  <si>
    <t>xx Packaging glass, green, at plant {CH}</t>
  </si>
  <si>
    <t>b3da2a0c-5179-317d-8f16-84285a50248f</t>
  </si>
  <si>
    <t>xx Packaging glass, green, at plant {DE}</t>
  </si>
  <si>
    <t>a2ce97f1-47d4-304a-b386-5d76f9cd2427</t>
  </si>
  <si>
    <t>xx Packaging glass, green, at plant {RER}</t>
  </si>
  <si>
    <t>2c00896f-3b3b-3dc9-bb39-adbcf32ac010</t>
  </si>
  <si>
    <t>xx Packaging glass, green, at regional storage {CH}</t>
  </si>
  <si>
    <t>fdbb581d-5d5c-31e2-ab83-aaa51229114d</t>
  </si>
  <si>
    <t>xx Packaging glass, white, at plant {CH}</t>
  </si>
  <si>
    <t>22f39631-187e-3cce-b067-be74006bb52a</t>
  </si>
  <si>
    <t>xx Packaging glass, white, at plant {DE}</t>
  </si>
  <si>
    <t>bd6e059a-4642-3e3a-8bbd-45e372e6d0d2</t>
  </si>
  <si>
    <t>xx Packaging glass, white, at plant {RER}</t>
  </si>
  <si>
    <t>f49261d3-608a-3946-b816-23cb2cb66ddb</t>
  </si>
  <si>
    <t>6d36bf06-a935-397b-871f-5da5b0b79b0b</t>
  </si>
  <si>
    <t>xx Palladium, secondary, at precious metal refinery {SE}</t>
  </si>
  <si>
    <t>a941ac2b-0819-3fdf-b282-0cd3b116ebbb</t>
  </si>
  <si>
    <t>xx Palm kernel meal, at oil mill {MY}</t>
  </si>
  <si>
    <t>material, obsolete\agricultural, obsolete\plant oils, obsolete\byproducts, obsolete</t>
  </si>
  <si>
    <t>f923fbb5-7476-36ed-a603-25b12d683706</t>
  </si>
  <si>
    <t>xx Palm methyl ester, production MY, at service station {CH}</t>
  </si>
  <si>
    <t>a048cc46-075e-3aa3-a738-7e9a168751f9</t>
  </si>
  <si>
    <t>xx Paper, newsprint, at regional storage {CH}</t>
  </si>
  <si>
    <t>material, obsolete\paper + board, obsolete\graphic paper, obsolete</t>
  </si>
  <si>
    <t>39130cc9-8efe-3cce-9dc2-f756432dd2fb</t>
  </si>
  <si>
    <t>xx Paper, newsprint, at regional storage {RER}</t>
  </si>
  <si>
    <t>587d5759-4b0f-33a5-a29f-4430dc4928ba</t>
  </si>
  <si>
    <t>xx Paper, wood-containing, supercalendred (SC), at regional storage {CH}</t>
  </si>
  <si>
    <t>914484be-6a4f-3fbf-b148-c1ab592f7a21</t>
  </si>
  <si>
    <t>xx Paper, wood-containing, supercalendred (SC), at regional storage {RER}</t>
  </si>
  <si>
    <t>ace3ef79-dd11-3e43-bf76-7025b8495fe5</t>
  </si>
  <si>
    <t>xx Paper, woodfree, coated, at regional storage {CH}</t>
  </si>
  <si>
    <t>7d1dc73b-254b-3f69-93ad-0f0bec5075ae</t>
  </si>
  <si>
    <t>xx Paper, woodfree, uncoated, at regional storage {CH}</t>
  </si>
  <si>
    <t>d35eab11-6698-324a-8e46-21f9ebb69c06</t>
  </si>
  <si>
    <t>xx Parathion, at regional storehouse {CH}</t>
  </si>
  <si>
    <t>4fba125a-4b2a-332a-bf94-4f66a78cd4f2</t>
  </si>
  <si>
    <t>xx Petrol, 5% vol. ethanol, from biomass, at service station {CH}</t>
  </si>
  <si>
    <t>material, obsolete\fuels, obsolete\oil, obsolete\petrol, obsolete</t>
  </si>
  <si>
    <t>b97e879a-07e6-3cba-be5c-7d8580f42eaa</t>
  </si>
  <si>
    <t>xx Petrol, 85% vol. ethanol, from biomass, at service station {CH}</t>
  </si>
  <si>
    <t>edc27901-3ce8-36dd-b537-832528aa554b</t>
  </si>
  <si>
    <t>xx Petrol, 85% vol. ethanol, from Swedish wood, at service station {CH}</t>
  </si>
  <si>
    <t>4bbf9fa2-c688-344d-a978-810b00850e8e</t>
  </si>
  <si>
    <t>xx Polystyrene foam slab, 100% recycled, at plant {CH}</t>
  </si>
  <si>
    <t>c37e15ad-73ca-34d7-b237-1d6c9055a93b</t>
  </si>
  <si>
    <t>xx Potatoes organic, at farm {CH}</t>
  </si>
  <si>
    <t>b77c0593-841c-376a-9cd0-a9dede2242aa</t>
  </si>
  <si>
    <t>xx Praseodymium oxide, at plant {CN}</t>
  </si>
  <si>
    <t>6bf7d4d4-b53e-3801-bb23-ebc61e7b1e38</t>
  </si>
  <si>
    <t>xx Production of carton board boxes, gravure printing, at plant {CH}</t>
  </si>
  <si>
    <t>processing, obsolete\cardboard</t>
  </si>
  <si>
    <t>3bd2d76e-6ef6-34e6-992f-1cb0f03d8ff8</t>
  </si>
  <si>
    <t>xx Production of carton board boxes, offset printing, at plant {CH}</t>
  </si>
  <si>
    <t>dad0a6c9-f4f4-3f9e-91f5-c89b3eb00826</t>
  </si>
  <si>
    <t>xx Propachlor, at regional storehouse {CH}</t>
  </si>
  <si>
    <t>342cf92f-ef75-354d-837e-1c405e13f7b8</t>
  </si>
  <si>
    <t>xx Propylene, pipeline system, at plant {RER}</t>
  </si>
  <si>
    <t>62ed2669-7c6d-3924-abd3-39bd842f5207</t>
  </si>
  <si>
    <t>xx Prosulfocarb, at regional storage {RER}</t>
  </si>
  <si>
    <t>5ff6acd0-a782-3575-a2bb-fc56a3fbd7be</t>
  </si>
  <si>
    <t>xx Protein concentrate, from whey, at fermentation {CH}</t>
  </si>
  <si>
    <t>9581d31e-8d36-3030-ba35-d74d5f429e8e</t>
  </si>
  <si>
    <t>xx Protein peas conventional, Barrois, at farm {FR}</t>
  </si>
  <si>
    <t>b7c104b6-17e1-335a-9e77-289a70cb75b2</t>
  </si>
  <si>
    <t>xx Protein peas conventional, Castilla-y-Leon, at farm {ES}</t>
  </si>
  <si>
    <t>26cadb68-a786-3c80-a2ca-e811ea9dc150</t>
  </si>
  <si>
    <t>xx Protein peas conventional, Saxony-Anhalt, at farm {DE}</t>
  </si>
  <si>
    <t>c1a3104b-c59d-3098-8313-df19198a7c1b</t>
  </si>
  <si>
    <t>xx Proteins, from grass, at digestion {CH}</t>
  </si>
  <si>
    <t>c1f54e75-317f-392d-be40-18ffe43689de</t>
  </si>
  <si>
    <t>xx Pyridine-compounds, at regional storehouse {RER}</t>
  </si>
  <si>
    <t>4f54a029-542e-3265-9054-58bc942a9510</t>
  </si>
  <si>
    <t>xx Rape meal, at oil mill {CH}</t>
  </si>
  <si>
    <t>8836b365-3a30-3fed-a9df-21fa26e54f3f</t>
  </si>
  <si>
    <t>xx Rape seed conventional, Barrois, at farm {FR}</t>
  </si>
  <si>
    <t>0e038a60-aeb5-34e1-907b-a10a9c8bf3c5</t>
  </si>
  <si>
    <t>xx Recycling aluminium {RER}</t>
  </si>
  <si>
    <t>waste treatment, obsolete\recycling, obsolete</t>
  </si>
  <si>
    <t>c0762199-702d-4f0d-818d-65ebbf76d945</t>
  </si>
  <si>
    <t>xx Recycling cardboard {RER}</t>
  </si>
  <si>
    <t>420ca5e5-d9a5-45da-a7de-1a235fa17340</t>
  </si>
  <si>
    <t>xx Recycling glass {RER}</t>
  </si>
  <si>
    <t>a20d5550-3997-443e-afcf-71014fa7a82d</t>
  </si>
  <si>
    <t>xx Recycling mixed plastics {RER}</t>
  </si>
  <si>
    <t>4e7e6d00-0d4e-488b-b611-eaf8b2e740bf</t>
  </si>
  <si>
    <t>xx Recycling non-ferro {RER}</t>
  </si>
  <si>
    <t>2d0f39ee-3677-4ee7-af35-5ee4adb2dfc1</t>
  </si>
  <si>
    <t>xx Recycling paper {RER}</t>
  </si>
  <si>
    <t>c02a87d8-68f8-4505-b866-af0a84fa4ad8</t>
  </si>
  <si>
    <t>xx Recycling PE {RER}</t>
  </si>
  <si>
    <t>a7ad3ed2-68ab-4f52-93f3-a7da6487206d</t>
  </si>
  <si>
    <t>xx Recycling PET {RER}</t>
  </si>
  <si>
    <t>e30a7ffc-9ec5-4676-a6e9-73dc77cb0d7a</t>
  </si>
  <si>
    <t>xx Recycling PP {RER}</t>
  </si>
  <si>
    <t>f9feff10-be19-4eb8-bf3d-15afb755863d</t>
  </si>
  <si>
    <t>xx Recycling PS {RER}</t>
  </si>
  <si>
    <t>73fc0159-131c-4906-87dd-59f91a126a11</t>
  </si>
  <si>
    <t>xx Recycling PVC {RER}</t>
  </si>
  <si>
    <t>e7397be3-c525-4c24-8ced-d1fe6acb451f</t>
  </si>
  <si>
    <t>xx Recycling textiles {RER}</t>
  </si>
  <si>
    <t>4965032e-3f5b-4704-8b36-f656f3499ca9</t>
  </si>
  <si>
    <t>xx Refinery gas, burned in furnace {CH}</t>
  </si>
  <si>
    <t>energy, obsolete\heat, obsolete\gas, obsolete\furnace, obsolete</t>
  </si>
  <si>
    <t>748e6c77-9e50-326e-83c8-21dcfaf75158</t>
  </si>
  <si>
    <t>xx Round wood, primary forest, clear-cutting, at forest road {BR}</t>
  </si>
  <si>
    <t>171b4581-8e36-3c55-884f-6e8d85e95bd9</t>
  </si>
  <si>
    <t>xx Rye IP, at feed mill {CH}</t>
  </si>
  <si>
    <t>81e8982b-9121-3dbd-be14-f5928a534bce</t>
  </si>
  <si>
    <t>xx Samarium europium gadolinium concentrate, 94% rare earth oxide, at plant {CN}</t>
  </si>
  <si>
    <t>75d5ca34-b97f-3a0a-b94a-6223b39ad1a2</t>
  </si>
  <si>
    <t>xx Secondary metals, from fluorescent lamps treatment, at plant {GLO}</t>
  </si>
  <si>
    <t>586f9c3d-0a7b-4fc4-8876-508aa02a128a</t>
  </si>
  <si>
    <t>xx Sheep for slaughtering, live weight, at farm {US}</t>
  </si>
  <si>
    <t>material, obsolete\agricultural, obsolete\animal production, obsolete</t>
  </si>
  <si>
    <t>624a141e-d314-300f-a4c8-495e4566a906</t>
  </si>
  <si>
    <t>xx Sodium sulphat from viscose production, at plant {GLO}</t>
  </si>
  <si>
    <t>43da71a5-0774-3c65-add6-6f2a46334dff</t>
  </si>
  <si>
    <t>xx Softwood, allocation correction, 2 {RER}</t>
  </si>
  <si>
    <t>bb00ada1-0824-3cac-9d68-0cafa5746879</t>
  </si>
  <si>
    <t>xx Soya scrap, at plant {RER}</t>
  </si>
  <si>
    <t>material, obsolete\chemicals, obsolete\others, obsolete</t>
  </si>
  <si>
    <t>389cf97b-81e4-3c1d-a5a7-21f9fed2c243</t>
  </si>
  <si>
    <t>xx Soybean methyl ester, production BR, at service station {CH}</t>
  </si>
  <si>
    <t>a9d79b01-a896-3730-89af-b19b8d3f6701</t>
  </si>
  <si>
    <t>xx Steam from catalytic oxidation of benzene, at plant {RER}</t>
  </si>
  <si>
    <t>energy, obsolete\heat, obsolete\steam, obsolete</t>
  </si>
  <si>
    <t>e4310d09-3996-3b69-9381-40455ce967af</t>
  </si>
  <si>
    <t>xx Steam from direct oxidation of n-butane, at plant {RER}</t>
  </si>
  <si>
    <t>97895f3b-18bf-3f54-a07f-a289bf63470c</t>
  </si>
  <si>
    <t>7a87d893-3c50-336d-98d6-b882bffcddbb</t>
  </si>
  <si>
    <t>xx Sulphite pulp, bleached, at plant {RER}</t>
  </si>
  <si>
    <t>68dda68c-b0c9-3d4d-9e54-a20758f3b43e</t>
  </si>
  <si>
    <t>xx Sunflower conventional, Castilla-y-Leon, at farm {ES}</t>
  </si>
  <si>
    <t>196013fb-21dc-3491-b230-354f46b8c547</t>
  </si>
  <si>
    <t>xx Tar, at coke plant {DE}</t>
  </si>
  <si>
    <t>c2c1f835-dc6f-30a0-a334-d0ae87091731</t>
  </si>
  <si>
    <t>xx Tetrachloroethylene, at regional storage {CH}</t>
  </si>
  <si>
    <t>5b56b412-592a-3a86-b7b0-30aa4bc9c0c2</t>
  </si>
  <si>
    <t>material, obsolete\textiles, obsolete</t>
  </si>
  <si>
    <t>2ef9b5d0-b624-3efc-80d9-f7d0853e1007</t>
  </si>
  <si>
    <t>xx Textile, kenaf, at plant {IN}</t>
  </si>
  <si>
    <t>223ebbd6-98ca-3d7f-8968-e485f0466c6c</t>
  </si>
  <si>
    <t>xx Thermal plaster, at plant {CH}</t>
  </si>
  <si>
    <t>ff8cb7d8-1c6b-3724-8347-9746bdd29d41</t>
  </si>
  <si>
    <t>xx Tillage, rotary cultivator {CH}</t>
  </si>
  <si>
    <t>44450b8c-6ce2-3d59-87b0-d21cd5ad6237</t>
  </si>
  <si>
    <t>xx Transport, average train {BE}</t>
  </si>
  <si>
    <t>transport systems\transport, obsolete\rail, obsolete</t>
  </si>
  <si>
    <t>8950f9b1-7ebb-39b9-a4b9-8b035ca9773c</t>
  </si>
  <si>
    <t>xx Turning, aluminium, CNC, average {RER}</t>
  </si>
  <si>
    <t>ab73e562-2b08-3a29-9602-89245da7b6ca</t>
  </si>
  <si>
    <t>xx Turning, aluminium, CNC, primarily dressing {RER}</t>
  </si>
  <si>
    <t>ab57b872-406e-3c5e-8cf2-6c31ec94b9de</t>
  </si>
  <si>
    <t>xx Turning, aluminium, CNC, primarily roughing {RER}</t>
  </si>
  <si>
    <t>4eb3c8be-a0cb-39f1-be10-2e6010df8421</t>
  </si>
  <si>
    <t>xx Turning, aluminium, conventional, average {RER}</t>
  </si>
  <si>
    <t>fbdbf9d1-35bb-371f-bc73-03f35644b21e</t>
  </si>
  <si>
    <t>xx Turning, aluminium, conventional, primarily dressing {RER}</t>
  </si>
  <si>
    <t>f7cd8b44-a2be-3426-afc3-40afe183259b</t>
  </si>
  <si>
    <t>xx Turning, aluminium, conventional, primarily roughing {RER}</t>
  </si>
  <si>
    <t>e4253cd3-6dca-300c-8250-f4ab142fe1cb</t>
  </si>
  <si>
    <t>xx Turning, brass, CNC, average {RER}</t>
  </si>
  <si>
    <t>9691c60b-1dc1-31ac-b509-6438356ac5b3</t>
  </si>
  <si>
    <t>xx Turning, brass, CNC, primarily dressing {RER}</t>
  </si>
  <si>
    <t>6c98d518-7d51-3a92-8752-6a9f56b0d7ef</t>
  </si>
  <si>
    <t>xx Turning, brass, CNC, primarily roughing {RER}</t>
  </si>
  <si>
    <t>5384dbd8-6d5b-3983-abc9-547a06b8b837</t>
  </si>
  <si>
    <t>xx Turning, brass, conventional, average {RER}</t>
  </si>
  <si>
    <t>1a41430e-abd5-3f9b-a8a5-10645a5a8ed3</t>
  </si>
  <si>
    <t>xx Turning, brass, conventional, primarily dressing {RER}</t>
  </si>
  <si>
    <t>f7d0b238-7869-3ee2-891e-31cdb0165a92</t>
  </si>
  <si>
    <t>xx Turning, brass, conventional, primarily roughing {RER}</t>
  </si>
  <si>
    <t>6a6d2b3a-a6f3-3db6-8fbd-0b7b13ebc051</t>
  </si>
  <si>
    <t>xx Turning, cast iron, CNC, average {RER}</t>
  </si>
  <si>
    <t>7e3f562e-4f41-3e7a-b05b-246f9759c339</t>
  </si>
  <si>
    <t>xx Turning, cast iron, CNC, primarily dressing {RER}</t>
  </si>
  <si>
    <t>06a7a885-fc21-3643-bc36-d94190089d4f</t>
  </si>
  <si>
    <t>xx Turning, cast iron, CNC, primarily roughing {RER}</t>
  </si>
  <si>
    <t>1ca2dbfa-c003-3923-a5d2-83f64678df8f</t>
  </si>
  <si>
    <t>xx Turning, cast iron, conventional, average {RER}</t>
  </si>
  <si>
    <t>a4000632-36b7-36db-bed0-f93dd4915ed2</t>
  </si>
  <si>
    <t>xx Turning, cast iron, conventional, primarily dressing {RER}</t>
  </si>
  <si>
    <t>68477fbf-81c6-3270-af2e-a316a5847e7f</t>
  </si>
  <si>
    <t>xx Turning, cast iron, conventional, primarily roughing {RER}</t>
  </si>
  <si>
    <t>4cf23967-7eb2-31e7-8672-3e56be9b3387</t>
  </si>
  <si>
    <t>xx Turning, chromium steel, CNC, average {RER}</t>
  </si>
  <si>
    <t>94cb52ef-5c39-31b6-ba88-5684821ede98</t>
  </si>
  <si>
    <t>xx Turning, chromium steel, CNC, primarily dressing {RER}</t>
  </si>
  <si>
    <t>9e2c8897-f4c7-31ba-bb1d-1b09634f5adb</t>
  </si>
  <si>
    <t>xx Turning, chromium steel, conventional, primarily dressing {RER}</t>
  </si>
  <si>
    <t>d33409d0-834f-3742-9c94-99723dfe2ff9</t>
  </si>
  <si>
    <t>xx Turning, chromium steel, conventional, primarily roughing {RER}</t>
  </si>
  <si>
    <t>9b6bf401-6e79-3f17-9b99-d2a8ff43f6b4</t>
  </si>
  <si>
    <t>xx Turning, steel, CNC, average {RER}</t>
  </si>
  <si>
    <t>f706736c-c26d-315d-a43d-8feb13af1656</t>
  </si>
  <si>
    <t>xx Turning, steel, CNC, primarily dressing {RER}</t>
  </si>
  <si>
    <t>afb661b3-57a8-3be2-a6bb-8ebc4824a9c3</t>
  </si>
  <si>
    <t>xx Turning, steel, CNC, primarily roughing {RER}</t>
  </si>
  <si>
    <t>a7b0fd08-c067-3155-a60f-7bd327abe0d4</t>
  </si>
  <si>
    <t>xx Turning, steel, conventional, average {RER}</t>
  </si>
  <si>
    <t>a3c10980-30bd-34ed-8424-fd8cf1118eaa</t>
  </si>
  <si>
    <t>xx Turning, steel, conventional, primarily dressing {RER}</t>
  </si>
  <si>
    <t>c74d3572-4bea-3b44-a108-03f7008540b0</t>
  </si>
  <si>
    <t>xx Urea ammonium nitrate, as N, at regional storehouse {RER}</t>
  </si>
  <si>
    <t>7f1a3747-6490-392e-9d6f-fae1dfd9db0e</t>
  </si>
  <si>
    <t>xx Urea formaldehyde foam slab, hard, at plant {CH}</t>
  </si>
  <si>
    <t>83081737-38ad-356f-8f4a-d07e7d829c7f</t>
  </si>
  <si>
    <t>xx Use, computer, desktop, mix, home use {CH}</t>
  </si>
  <si>
    <t>86f12cb7-5514-3e06-8c7b-687febc4facb</t>
  </si>
  <si>
    <t>xx Use, computer, desktop, mix, home use {RER}</t>
  </si>
  <si>
    <t>3a1ff55d-90a1-3ed5-87c2-1cb69002c9e0</t>
  </si>
  <si>
    <t>xx Use, computer, desktop, mix, office use {CH}</t>
  </si>
  <si>
    <t>58de8acf-b77e-37c9-adb2-17b1a6ab2e82</t>
  </si>
  <si>
    <t>xx Use, computer, laptop, office use {CH}</t>
  </si>
  <si>
    <t>b0e12f5a-63a7-34fe-9ceb-0c213ac015fb</t>
  </si>
  <si>
    <t>xx Use, printer, laser jet, b/w, per kg printed paper {CH}</t>
  </si>
  <si>
    <t>36e171cb-b911-3b53-bc35-65c45c82cc1c</t>
  </si>
  <si>
    <t>xx Use, printer, laser jet, b/w, per kg printed paper {RER}</t>
  </si>
  <si>
    <t>1e639863-8ecc-33cc-9c53-0d22543ab2d9</t>
  </si>
  <si>
    <t>xx Use, printer, laser jet, b/w, printing per h {CH}</t>
  </si>
  <si>
    <t>3ab3c19f-2a69-3f28-82fb-361344d5b793</t>
  </si>
  <si>
    <t>xx Use, printer, laser jet, b/w, printing per h {RER}</t>
  </si>
  <si>
    <t>ffefceb8-f056-3f23-b24c-0250a8b03984</t>
  </si>
  <si>
    <t>xx Use, printer, laser jet, colour, per kg printed paper {CH}</t>
  </si>
  <si>
    <t>5461312b-92d3-3117-87e7-78072f1a97bc</t>
  </si>
  <si>
    <t>xx Use, printer, laser jet, colour, per kg printed paper {RER}</t>
  </si>
  <si>
    <t>c23fb2b5-d9f2-3e71-ab50-1571f98512cd</t>
  </si>
  <si>
    <t>xx Use, printer, laser jet, colour, printing per h {CH}</t>
  </si>
  <si>
    <t>0130a87a-840d-3f9f-9805-1fbfbc408c74</t>
  </si>
  <si>
    <t>xx Use, printer, laser jet, colour, printing per h {RER}</t>
  </si>
  <si>
    <t>2b644322-52ee-303c-9410-da3482e67816</t>
  </si>
  <si>
    <t>xx Ventilation equipment, KWLC 1200, at plant {RER}</t>
  </si>
  <si>
    <t>13dfb0e3-96b8-3424-bc50-7ed04541c90e</t>
  </si>
  <si>
    <t>xx Ventilation equipment, Storkair G 90, at plant {RER}</t>
  </si>
  <si>
    <t>f358c7ef-a8b2-33ff-a149-43d95f656623</t>
  </si>
  <si>
    <t>xx Videoconference, laptop, participant {CH}</t>
  </si>
  <si>
    <t>5666f0db-e961-376e-8361-701b150aedf9</t>
  </si>
  <si>
    <t>xx Videoconference, laptop, participant, certified electricity mix {CH}</t>
  </si>
  <si>
    <t>621fd7a5-4db5-3a70-ba7e-c1bd20a5b843</t>
  </si>
  <si>
    <t>xx Vinasse, at fermentation plant {CH}</t>
  </si>
  <si>
    <t>ba56b9cd-111e-334a-8e6e-6b6ef1ed2f7c</t>
  </si>
  <si>
    <t>xx Warm impact extrusion, steel, 1 stroke {RER}</t>
  </si>
  <si>
    <t>0ce8f587-1ff8-3890-b5be-260597905fd9</t>
  </si>
  <si>
    <t>xx Warm impact extrusion, steel, 2 strokes {RER}</t>
  </si>
  <si>
    <t>02c82d06-16ac-330e-94f6-be145fbe5ac0</t>
  </si>
  <si>
    <t>xx Warm impact extrusion, steel, 3 strokes {RER}</t>
  </si>
  <si>
    <t>72bc5bd1-720d-31a7-8f1f-0e1e21be4d19</t>
  </si>
  <si>
    <t>xx Warm impact extrusion, steel, 4 strokes {RER}</t>
  </si>
  <si>
    <t>5a7941d1-5a1f-38a4-b22c-d7ba90f85eb4</t>
  </si>
  <si>
    <t>xx Wheat grains conventional, Barrois, at farm {FR}</t>
  </si>
  <si>
    <t>9328165f-d300-303e-8668-e8b0ca58d7cf</t>
  </si>
  <si>
    <t>xx Wheat grains conventional, Castilla-y-Leon, at farm {ES}</t>
  </si>
  <si>
    <t>f7e3bd6f-17c3-3e35-8756-21d848b16c27</t>
  </si>
  <si>
    <t>xx Wheat grains, at farm {US}</t>
  </si>
  <si>
    <t>889059fe-99d3-374a-9f6c-8473c7521174</t>
  </si>
  <si>
    <t>xx Wind power plant 150kW, fixed parts {CH}</t>
  </si>
  <si>
    <t>electricity by fuel\wind\infrastructure</t>
  </si>
  <si>
    <t>a0839090-0ed0-3cf4-9986-0c1d600ffb50</t>
  </si>
  <si>
    <t>xx Wind power plant 150kW, moving parts {CH}</t>
  </si>
  <si>
    <t>c743bb08-e1e6-3de6-8c4f-11425b4c3673</t>
  </si>
  <si>
    <t>xx Wind power plant 2MW, offshore, fixed parts {OCE}</t>
  </si>
  <si>
    <t>df701032-133d-384d-bc71-9be1a5101436</t>
  </si>
  <si>
    <t>xx Wind power plant 2MW, offshore, moving parts {OCE}</t>
  </si>
  <si>
    <t>b3fd9908-a6f1-3ab8-98b0-d6f6164f273f</t>
  </si>
  <si>
    <t>xx Wind power plant 30kW, fixed parts {CH}</t>
  </si>
  <si>
    <t>cb0abe80-d2e1-38eb-990d-007ac5051cc0</t>
  </si>
  <si>
    <t>xx Wind power plant 30kW, moving parts {CH}</t>
  </si>
  <si>
    <t>b7dbb308-fc7d-37b0-bf58-b82d1b8077cb</t>
  </si>
  <si>
    <t>xx Wind power plant 600kW, fixed parts {CH}</t>
  </si>
  <si>
    <t>f443602e-8634-378f-91d6-21e6151c9846</t>
  </si>
  <si>
    <t>xx Wind power plant 600kW, moving parts {CH}</t>
  </si>
  <si>
    <t>fa64df2d-104b-3baa-8399-98f681ac9005</t>
  </si>
  <si>
    <t>xx Wind power plant 800kW, fixed parts {CH}</t>
  </si>
  <si>
    <t>073b162b-a47f-3825-85e8-3c108d974566</t>
  </si>
  <si>
    <t>xx Wind power plant 800kW, fixed parts {RER}</t>
  </si>
  <si>
    <t>3942451a-46b5-391b-aca1-04cf98b3a9b2</t>
  </si>
  <si>
    <t>xx Wind power plant 800kW, moving parts {CH}</t>
  </si>
  <si>
    <t>c8d6a807-05c0-3906-8e8a-d12410c48f1d</t>
  </si>
  <si>
    <t>xx Wind power plant 800kW, moving parts {RER}</t>
  </si>
  <si>
    <t>fdb5737a-6c7f-3ae3-b0c2-d14e16df5959</t>
  </si>
  <si>
    <t>xx Window frame, aluminium, U=1.6 W/m2K, at plant {RER}</t>
  </si>
  <si>
    <t>material, obsolete\construction, obsolete\windows, obsolete</t>
  </si>
  <si>
    <t>02969425-db5a-3338-8d6f-ca841ef71845</t>
  </si>
  <si>
    <t>xx Window frame, plastic (PVC), U=1.6 W/m2K, at plant {RER}</t>
  </si>
  <si>
    <t>0b88140b-07ed-30d2-b5a5-fb1be3082794</t>
  </si>
  <si>
    <t>xx Wood chips, burned in cogen ORC 1400kWth, emission control {CH}</t>
  </si>
  <si>
    <t>energy, obsolete\cogeneration, obsolete\wood\power unit</t>
  </si>
  <si>
    <t>ea95aab7-6ad7-366a-a078-6c4312896730</t>
  </si>
  <si>
    <t>xx Wool, sheep, at farm {US}</t>
  </si>
  <si>
    <t>57e3f850-916d-3552-9ffc-b0d486a6ecce</t>
  </si>
  <si>
    <t>xx Work at home, corporate access, certified electricity mix {CH}</t>
  </si>
  <si>
    <t>4f2fcddc-4ecc-3ddb-8399-80bcbfda1a38</t>
  </si>
  <si>
    <t>xxx 3kWp slanted-roof installation, mc-Si, future, on roof {CH}</t>
  </si>
  <si>
    <t>energy, obsolete\others, obsolete</t>
  </si>
  <si>
    <t>8a181741-2cd2-37f7-9a0a-8dc9940bad15</t>
  </si>
  <si>
    <t>xxx 3kWp slanted-roof installation, pc-Si, future, on roof {CH}</t>
  </si>
  <si>
    <t>4dab8fa8-38a6-3f70-9772-52cd70487f78</t>
  </si>
  <si>
    <t>xxx Acrylonitrile, at plant {RER}</t>
  </si>
  <si>
    <t>material, obsolete\others, obsolete</t>
  </si>
  <si>
    <t>e7e4c9cb-fd39-3892-a120-00aad6041a27</t>
  </si>
  <si>
    <t>xxx Bark chips, softwood, u=140%, at forest road {RER}</t>
  </si>
  <si>
    <t>material, obsolete\wood, obsolete\byproducts, obsolete</t>
  </si>
  <si>
    <t>ec45c979-5c74-35ad-8883-c149a1bff27c</t>
  </si>
  <si>
    <t>xxx Bark chips, softwood, u=140%, at plant {RER}</t>
  </si>
  <si>
    <t>981177c0-fc50-3e74-b17b-f4b0bf89737a</t>
  </si>
  <si>
    <t>xxx Borehole heat exchanger 150 m {CH}</t>
  </si>
  <si>
    <t>energy, obsolete\heat, obsolete\heat pumps, obsolete\infrastructure, obsolete</t>
  </si>
  <si>
    <t>fd051f35-0b76-36a0-96b3-ca224eeba9e2</t>
  </si>
  <si>
    <t>xxx Butanol, 1-, at plant {RER}</t>
  </si>
  <si>
    <t>3cdd8c25-34a5-3305-8b1f-058505becbac</t>
  </si>
  <si>
    <t>xxx Chips, Scandinavian softwood (plant-debarked), u=70%, at plant {NORDEL}</t>
  </si>
  <si>
    <t>e72127a2-3ea1-35f5-999c-9a308d6ff19d</t>
  </si>
  <si>
    <t>xxx Crude oil, import mix, at long distance transport {CH}</t>
  </si>
  <si>
    <t>fuels\oil\obsolete</t>
  </si>
  <si>
    <t>494cf019-21e6-3813-b93c-22ed80f7c715</t>
  </si>
  <si>
    <t>xxx Crude oil, import mix, at long distance transport {RER}</t>
  </si>
  <si>
    <t>57f3a557-cc9c-305c-964a-77fd22b38910</t>
  </si>
  <si>
    <t>xxx Diesel, at refinery {CH}</t>
  </si>
  <si>
    <t>material, obsolete\oil, obsolete\fuels, obsolete</t>
  </si>
  <si>
    <t>b31f1efe-3bc1-3485-a8e8-204e1d938d9c</t>
  </si>
  <si>
    <t>xxx Diesel, at refinery {RER}</t>
  </si>
  <si>
    <t>ab00eb13-bef3-3b6f-823f-8075029da519</t>
  </si>
  <si>
    <t>xxx Diesel, at regional storage {CH}</t>
  </si>
  <si>
    <t>e2f4d08e-3132-3502-ac46-89f6ad6b3b77</t>
  </si>
  <si>
    <t>xxx Diesel, at regional storage {RER}</t>
  </si>
  <si>
    <t>fuels\oil\diesel</t>
  </si>
  <si>
    <t>86fb882f-3183-3210-8deb-f4f2a585d89b</t>
  </si>
  <si>
    <t>xxx Disposal, building, door, inner, glass-wood, to final disposal {CH}</t>
  </si>
  <si>
    <t>0d318b04-c50d-4847-aa8c-e46ccf0da28b</t>
  </si>
  <si>
    <t>xxx Disposal, building, door, inner, wood, to final disposal {CH}</t>
  </si>
  <si>
    <t>970ccd25-46a7-4244-8daa-cd29fe06e470</t>
  </si>
  <si>
    <t>xxx Disposal, building, door, outer, wood-aluminium, to final disposal {CH}</t>
  </si>
  <si>
    <t>4f856f2b-f345-4295-b2b1-1389d454b41b</t>
  </si>
  <si>
    <t>xxx Disposal, building, door, outer, wood-glass, to final disposal {CH}</t>
  </si>
  <si>
    <t>3e9b02dc-bddd-4ac5-a384-53b5a3c112b9</t>
  </si>
  <si>
    <t>xxx Disposal, building, window frame, wood-metal, to final disposal {CH}</t>
  </si>
  <si>
    <t>7d2235c0-1c07-4c21-a44e-5209aef27bc7</t>
  </si>
  <si>
    <t>xxx Disposal, building, window frame, wood, to final disposal {CH}</t>
  </si>
  <si>
    <t>2f2c6bdb-1035-4b27-8412-5fc41972f17c</t>
  </si>
  <si>
    <t>xxx Disposal, hard coal mining waste tailings, in surface backfill {GLO}</t>
  </si>
  <si>
    <t>waste treatment, obsolete\unspecified</t>
  </si>
  <si>
    <t>0504f56f-ac53-46ca-a438-8f14885f4bb5</t>
  </si>
  <si>
    <t>xxx Disposal, railway track, ICE {DE}</t>
  </si>
  <si>
    <t>e45c19cf-e5c7-4331-857d-0d14647cf596</t>
  </si>
  <si>
    <t>xxx Door, inner, glass-wood, at plant {RER}</t>
  </si>
  <si>
    <t>material, obsolete\construction, obsolete\doors, obsolete</t>
  </si>
  <si>
    <t>803af2c7-5f58-377f-95fc-e461084c9ff9</t>
  </si>
  <si>
    <t>xxx Door, inner, wood, at plant {RER}</t>
  </si>
  <si>
    <t>a060cbc7-d848-3cfa-8b04-25f97a1a36a4</t>
  </si>
  <si>
    <t>xxx Door, outer, wood-aluminium, at plant {RER}</t>
  </si>
  <si>
    <t>7c9ca4c8-8b61-3a61-be06-b04285f98d3b</t>
  </si>
  <si>
    <t>xxx Door, outer, wood-glass, at plant {RER}</t>
  </si>
  <si>
    <t>eeed239c-58ca-3bd0-aac2-ab56344428e6</t>
  </si>
  <si>
    <t>xxx Electricity mix {CS}</t>
  </si>
  <si>
    <t>electricity\notMaintained</t>
  </si>
  <si>
    <t>8ea287b6-2778-3caa-b640-0375c91067ea</t>
  </si>
  <si>
    <t>xxx Electricity mix, GO cancellations {AT}</t>
  </si>
  <si>
    <t>bd0979e3-77ed-3d46-ad52-b13f2f6590df</t>
  </si>
  <si>
    <t>xxx Electricity mix, GO cancellations {BE}</t>
  </si>
  <si>
    <t>e9c9a67b-77ec-352a-9ba2-2cc3309b6759</t>
  </si>
  <si>
    <t>xxx Electricity mix, GO cancellations {BG}</t>
  </si>
  <si>
    <t>a3400493-62c8-36ef-9424-035700aa124e</t>
  </si>
  <si>
    <t>xxx Electricity mix, GO cancellations {CH}</t>
  </si>
  <si>
    <t>d00541d5-d01b-3e99-a8a0-28407db82eb0</t>
  </si>
  <si>
    <t>xxx Electricity mix, GO cancellations {CY}</t>
  </si>
  <si>
    <t>07fbf9ee-1f39-35a8-828a-32e1fe42f90d</t>
  </si>
  <si>
    <t>xxx Electricity mix, GO cancellations {CZ}</t>
  </si>
  <si>
    <t>cfe36b54-f286-36a3-9117-a6c83d70ec5d</t>
  </si>
  <si>
    <t>xxx Electricity mix, GO cancellations {DE}</t>
  </si>
  <si>
    <t>f532cb73-151a-31cb-a09b-3024d977c980</t>
  </si>
  <si>
    <t>xxx Electricity mix, GO cancellations {DK}</t>
  </si>
  <si>
    <t>afbda32c-49ec-342c-82ee-7e0070a2aac7</t>
  </si>
  <si>
    <t>xxx Electricity mix, GO cancellations {EE}</t>
  </si>
  <si>
    <t>e76a1463-2d15-35db-bdd7-3b9c73383292</t>
  </si>
  <si>
    <t>xxx Electricity mix, GO cancellations {ES}</t>
  </si>
  <si>
    <t>fd610790-094e-3f17-a541-e09411080b87</t>
  </si>
  <si>
    <t>xxx Electricity mix, GO cancellations {FI}</t>
  </si>
  <si>
    <t>5d372815-63a0-33b5-b503-2b2e1e005c04</t>
  </si>
  <si>
    <t>xxx Electricity mix, GO cancellations {FR}</t>
  </si>
  <si>
    <t>7887558b-46b6-3ddb-bf4b-e51144074c6e</t>
  </si>
  <si>
    <t>xxx Electricity mix, GO cancellations {GB}</t>
  </si>
  <si>
    <t>cd656be0-3ba0-37cf-aab8-9ecfed15c0cf</t>
  </si>
  <si>
    <t>xxx Electricity mix, GO cancellations {GR}</t>
  </si>
  <si>
    <t>88635191-ff37-31f2-9169-5b242c0a5ef7</t>
  </si>
  <si>
    <t>xxx Electricity mix, GO cancellations {HR}</t>
  </si>
  <si>
    <t>66ea35d5-9610-3b36-a368-da40d55c036f</t>
  </si>
  <si>
    <t>xxx Electricity mix, GO cancellations {HU}</t>
  </si>
  <si>
    <t>168abc5b-d7b0-3a32-bb99-b45d745ff5ed</t>
  </si>
  <si>
    <t>xxx Electricity mix, GO cancellations {IE}</t>
  </si>
  <si>
    <t>20598ede-c887-32cc-9a3b-a67de0e70966</t>
  </si>
  <si>
    <t>xxx Electricity mix, GO cancellations {IS}</t>
  </si>
  <si>
    <t>8e3b4767-17ed-3ed6-90d4-6b866784d69c</t>
  </si>
  <si>
    <t>xxx Electricity mix, GO cancellations {IT}</t>
  </si>
  <si>
    <t>32913dea-5842-377e-9bc1-9363c10b3c9d</t>
  </si>
  <si>
    <t>xxx Electricity mix, GO cancellations {LT}</t>
  </si>
  <si>
    <t>a60a93f1-7eea-31f3-a32b-c7a84e2b53f2</t>
  </si>
  <si>
    <t>xxx Electricity mix, GO cancellations {LU}</t>
  </si>
  <si>
    <t>3063fcd9-9950-3a70-9a11-6c766f8ee3f4</t>
  </si>
  <si>
    <t>xxx Electricity mix, GO cancellations {LV}</t>
  </si>
  <si>
    <t>f2c2c6f9-6e2d-34ad-af48-1ec885a02529</t>
  </si>
  <si>
    <t>xxx Electricity mix, GO cancellations {MT}</t>
  </si>
  <si>
    <t>f2772ca9-99be-3421-adca-228a0f4aa298</t>
  </si>
  <si>
    <t>xxx Electricity mix, GO cancellations {NL}</t>
  </si>
  <si>
    <t>4f77e8b5-2806-3182-9b86-4bc16174c3c0</t>
  </si>
  <si>
    <t>xxx Electricity mix, GO cancellations {NO}</t>
  </si>
  <si>
    <t>e00dfc48-fcbc-3a58-a189-344ccb833a8b</t>
  </si>
  <si>
    <t>xxx Electricity mix, GO cancellations {PL}</t>
  </si>
  <si>
    <t>e87cde15-4889-3770-88ac-e4f250818454</t>
  </si>
  <si>
    <t>xxx Electricity mix, GO cancellations {PT}</t>
  </si>
  <si>
    <t>80b75e3f-a248-3a6c-b13a-eda21ea03e37</t>
  </si>
  <si>
    <t>xxx Electricity mix, GO cancellations {RO}</t>
  </si>
  <si>
    <t>ba22f7f9-a074-3a9c-90da-d96869afa444</t>
  </si>
  <si>
    <t>xxx Electricity mix, GO cancellations {SE}</t>
  </si>
  <si>
    <t>3e764199-1f69-3fae-930b-245ca10a3f9d</t>
  </si>
  <si>
    <t>xxx Electricity mix, GO cancellations {SI}</t>
  </si>
  <si>
    <t>2bc5ca65-ac54-32ed-b6fb-d2eb7854763d</t>
  </si>
  <si>
    <t>xxx Electricity mix, GO cancellations {SK}</t>
  </si>
  <si>
    <t>5d1a2317-a4d1-394d-b251-71e9c1931db2</t>
  </si>
  <si>
    <t>xxx Electricity mix, high voltage, GO cancellations {AT}</t>
  </si>
  <si>
    <t>bc9075e5-512e-3aca-84bf-8992c22fdb09</t>
  </si>
  <si>
    <t>xxx Electricity mix, high voltage, GO cancellations {BE}</t>
  </si>
  <si>
    <t>b6517026-4683-3fd6-a89a-f1a1d5dba608</t>
  </si>
  <si>
    <t>xxx Electricity mix, high voltage, GO cancellations {BG}</t>
  </si>
  <si>
    <t>73e4c1fb-38d7-338a-adf9-2f293bfa959c</t>
  </si>
  <si>
    <t>xxx Electricity mix, high voltage, GO cancellations {CH}</t>
  </si>
  <si>
    <t>4bc78b61-3e55-3e0e-be8d-384043cfc50d</t>
  </si>
  <si>
    <t>xxx Electricity mix, high voltage, GO cancellations {CY}</t>
  </si>
  <si>
    <t>c51c0fe2-2b2a-3d0a-95a9-5d5b5e383b5a</t>
  </si>
  <si>
    <t>xxx Electricity mix, high voltage, GO cancellations {CZ}</t>
  </si>
  <si>
    <t>e141aa1e-cc19-38ff-94e6-c8d5defddfa6</t>
  </si>
  <si>
    <t>xxx Electricity mix, high voltage, GO cancellations {DE}</t>
  </si>
  <si>
    <t>f792fe76-7059-30ac-8906-3e6f81d4fe37</t>
  </si>
  <si>
    <t>xxx Electricity mix, high voltage, GO cancellations {DK}</t>
  </si>
  <si>
    <t>d0eff1ed-5b70-31a5-aeca-70ac374035e1</t>
  </si>
  <si>
    <t>xxx Electricity mix, high voltage, GO cancellations {EE}</t>
  </si>
  <si>
    <t>8f366d8a-4707-393f-8dff-54a1bbaac194</t>
  </si>
  <si>
    <t>xxx Electricity mix, high voltage, GO cancellations {ES}</t>
  </si>
  <si>
    <t>c8a6d430-fd0d-394a-a3b8-f6d617b2d1e0</t>
  </si>
  <si>
    <t>xxx Electricity mix, high voltage, GO cancellations {FI}</t>
  </si>
  <si>
    <t>ff6a48d7-bc4c-3c42-9b2f-b44502a62f03</t>
  </si>
  <si>
    <t>xxx Electricity mix, high voltage, GO cancellations {FR}</t>
  </si>
  <si>
    <t>fbd6e70d-2f2b-3e85-925f-c83ac53546d4</t>
  </si>
  <si>
    <t>xxx Electricity mix, high voltage, GO cancellations {GB}</t>
  </si>
  <si>
    <t>c11311bd-028c-31db-a594-4b2e7104e255</t>
  </si>
  <si>
    <t>xxx Electricity mix, high voltage, GO cancellations {GR}</t>
  </si>
  <si>
    <t>1182b584-525f-37a7-87f9-bd7616b6e9e7</t>
  </si>
  <si>
    <t>xxx Electricity mix, high voltage, GO cancellations {HR}</t>
  </si>
  <si>
    <t>c3058586-234a-305a-b61a-ecefe51da098</t>
  </si>
  <si>
    <t>xxx Electricity mix, high voltage, GO cancellations {HU}</t>
  </si>
  <si>
    <t>5bb48900-1a32-3290-bdd0-f72a615f7d27</t>
  </si>
  <si>
    <t>xxx Electricity mix, high voltage, GO cancellations {IE}</t>
  </si>
  <si>
    <t>2cd77bff-aea7-312d-bdb2-0d6a741eabb3</t>
  </si>
  <si>
    <t>xxx Electricity mix, high voltage, GO cancellations {IS}</t>
  </si>
  <si>
    <t>6e27a3c4-b60e-3dbc-88ae-0653b088bc56</t>
  </si>
  <si>
    <t>xxx Electricity mix, high voltage, GO cancellations {IT}</t>
  </si>
  <si>
    <t>7f686e52-9df8-35d1-a777-5c12f5d8e64f</t>
  </si>
  <si>
    <t>xxx Electricity mix, high voltage, GO cancellations {LT}</t>
  </si>
  <si>
    <t>88611a28-0772-345e-bed0-709e7087fec0</t>
  </si>
  <si>
    <t>xxx Electricity mix, high voltage, GO cancellations {LU}</t>
  </si>
  <si>
    <t>c35d3061-3fae-3430-bfa2-6b42ba6dc2c4</t>
  </si>
  <si>
    <t>xxx Electricity mix, high voltage, GO cancellations {LV}</t>
  </si>
  <si>
    <t>84c667ae-0096-3e1f-9ae2-4706c70e473e</t>
  </si>
  <si>
    <t>xxx Electricity mix, high voltage, GO cancellations {MT}</t>
  </si>
  <si>
    <t>aabad7cc-3e94-3dfe-8983-8897f79ec398</t>
  </si>
  <si>
    <t>xxx Electricity mix, high voltage, GO cancellations {NL}</t>
  </si>
  <si>
    <t>8abe2cfd-dbab-3ffd-82ec-ee344ee0431c</t>
  </si>
  <si>
    <t>xxx Electricity mix, high voltage, GO cancellations {NO}</t>
  </si>
  <si>
    <t>416a99aa-30ee-3e5b-8388-9779557709cb</t>
  </si>
  <si>
    <t>xxx Electricity mix, high voltage, GO cancellations {PL}</t>
  </si>
  <si>
    <t>7e376250-d70e-3156-a0be-fefac98dbdfd</t>
  </si>
  <si>
    <t>xxx Electricity mix, high voltage, GO cancellations {PT}</t>
  </si>
  <si>
    <t>7d1dfe02-d1a1-3a9b-9bba-b2e27be29cdf</t>
  </si>
  <si>
    <t>xxx Electricity mix, high voltage, GO cancellations {RO}</t>
  </si>
  <si>
    <t>ebf6f631-7a95-32b7-96c0-107aa688c5d0</t>
  </si>
  <si>
    <t>xxx Electricity mix, high voltage, GO cancellations {SE}</t>
  </si>
  <si>
    <t>3a21dfb8-6438-330d-bfbd-29b901cb9713</t>
  </si>
  <si>
    <t>xxx Electricity mix, high voltage, GO cancellations {SI}</t>
  </si>
  <si>
    <t>19edc59b-47ec-3baa-8d25-cb8304b52fcc</t>
  </si>
  <si>
    <t>xxx Electricity mix, high voltage, GO cancellations {SK}</t>
  </si>
  <si>
    <t>585371d2-4210-3d76-a8d9-9e7728b0c99e</t>
  </si>
  <si>
    <t>xxx Electricity mix, low voltage, GO cancellations {AT}</t>
  </si>
  <si>
    <t>c686b007-3341-3547-938b-67802d76bc60</t>
  </si>
  <si>
    <t>xxx Electricity mix, low voltage, GO cancellations {BE}</t>
  </si>
  <si>
    <t>bc5ff6a3-8ae5-3747-97fd-b55bcbb22926</t>
  </si>
  <si>
    <t>xxx Electricity mix, low voltage, GO cancellations {BG}</t>
  </si>
  <si>
    <t>728999ac-8286-328d-9535-4083949d5495</t>
  </si>
  <si>
    <t>xxx Electricity mix, low voltage, GO cancellations {CH}</t>
  </si>
  <si>
    <t>de6c1fc5-2ab2-3677-83a4-87262ad5eceb</t>
  </si>
  <si>
    <t>xxx Electricity mix, low voltage, GO cancellations {CY}</t>
  </si>
  <si>
    <t>0cfb0e33-3885-36d9-bdd1-d0a253ddcbd3</t>
  </si>
  <si>
    <t>xxx Electricity mix, low voltage, GO cancellations {CZ}</t>
  </si>
  <si>
    <t>fed93f58-7cad-3026-87ab-65265775b6b1</t>
  </si>
  <si>
    <t>xxx Electricity mix, low voltage, GO cancellations {DE}</t>
  </si>
  <si>
    <t>cda63aba-8955-31c6-857f-ce63adb0116d</t>
  </si>
  <si>
    <t>xxx Electricity mix, low voltage, GO cancellations {DK}</t>
  </si>
  <si>
    <t>1dfcd353-f955-3406-a6cf-b88cdec188b7</t>
  </si>
  <si>
    <t>xxx Electricity mix, low voltage, GO cancellations {EE}</t>
  </si>
  <si>
    <t>eb9d1efe-cf98-324d-83bb-e6b6f3039c5f</t>
  </si>
  <si>
    <t>xxx Electricity mix, low voltage, GO cancellations {ES}</t>
  </si>
  <si>
    <t>1c1c907e-863c-36f5-8b98-08b337bf9be5</t>
  </si>
  <si>
    <t>xxx Electricity mix, low voltage, GO cancellations {FI}</t>
  </si>
  <si>
    <t>ec36bb35-a1c2-3eea-b354-ad56903711ba</t>
  </si>
  <si>
    <t>xxx Electricity mix, low voltage, GO cancellations {FR}</t>
  </si>
  <si>
    <t>cf80708d-aa6a-366b-80ac-8e9db5fca163</t>
  </si>
  <si>
    <t>xxx Electricity mix, low voltage, GO cancellations {GB}</t>
  </si>
  <si>
    <t>7adb43c6-47ab-3bd0-b1bc-71b8c3fe1805</t>
  </si>
  <si>
    <t>xxx Electricity mix, low voltage, GO cancellations {GR}</t>
  </si>
  <si>
    <t>0a2d6c65-afa0-30e4-a745-9289c2d42879</t>
  </si>
  <si>
    <t>xxx Electricity mix, low voltage, GO cancellations {HR}</t>
  </si>
  <si>
    <t>8f88a136-3e18-32be-b7dc-6396884ff5ee</t>
  </si>
  <si>
    <t>xxx Electricity mix, low voltage, GO cancellations {HU}</t>
  </si>
  <si>
    <t>f9883422-3792-3c5a-8d1a-045984ba83a8</t>
  </si>
  <si>
    <t>xxx Electricity mix, low voltage, GO cancellations {IE}</t>
  </si>
  <si>
    <t>81985c46-3ab2-3139-a642-3cc8844b2fcc</t>
  </si>
  <si>
    <t>xxx Electricity mix, low voltage, GO cancellations {IS}</t>
  </si>
  <si>
    <t>a1677846-2872-3270-a001-0d5819055747</t>
  </si>
  <si>
    <t>xxx Electricity mix, low voltage, GO cancellations {IT}</t>
  </si>
  <si>
    <t>b9329ee4-f1bd-3f05-9154-becebb129c22</t>
  </si>
  <si>
    <t>xxx Electricity mix, low voltage, GO cancellations {LT}</t>
  </si>
  <si>
    <t>61e2f7b6-6b94-386a-9f5e-01957c6f7bef</t>
  </si>
  <si>
    <t>xxx Electricity mix, low voltage, GO cancellations {LU}</t>
  </si>
  <si>
    <t>10e1475f-5b05-31c4-a3a5-35876b4500e2</t>
  </si>
  <si>
    <t>xxx Electricity mix, low voltage, GO cancellations {LV}</t>
  </si>
  <si>
    <t>8b79f0d9-017c-3695-813a-386941b52718</t>
  </si>
  <si>
    <t>xxx Electricity mix, low voltage, GO cancellations {MT}</t>
  </si>
  <si>
    <t>563520b5-8849-35ec-afe4-aea56111dc20</t>
  </si>
  <si>
    <t>xxx Electricity mix, low voltage, GO cancellations {NL}</t>
  </si>
  <si>
    <t>bb8b3e36-ef71-3a4e-8f7d-067f027a42af</t>
  </si>
  <si>
    <t>xxx Electricity mix, low voltage, GO cancellations {NO}</t>
  </si>
  <si>
    <t>767d5395-3e4e-3eda-8888-e09d38e02b7c</t>
  </si>
  <si>
    <t>xxx Electricity mix, low voltage, GO cancellations {PL}</t>
  </si>
  <si>
    <t>f4f04933-6f4d-3f27-af65-eb6b0936169d</t>
  </si>
  <si>
    <t>xxx Electricity mix, low voltage, GO cancellations {PT}</t>
  </si>
  <si>
    <t>a6a270a1-7bb6-3cca-ba6c-6da67db16674</t>
  </si>
  <si>
    <t>xxx Electricity mix, low voltage, GO cancellations {RO}</t>
  </si>
  <si>
    <t>cead20c8-bec3-30d9-9898-ea4313981437</t>
  </si>
  <si>
    <t>xxx Electricity mix, low voltage, GO cancellations {SE}</t>
  </si>
  <si>
    <t>6fab832d-3732-31e6-9f3d-aec8167310a8</t>
  </si>
  <si>
    <t>xxx Electricity mix, low voltage, GO cancellations {SI}</t>
  </si>
  <si>
    <t>b24ad92e-7628-3d23-b924-0780f803956e</t>
  </si>
  <si>
    <t>xxx Electricity mix, low voltage, GO cancellations {SK}</t>
  </si>
  <si>
    <t>42071c02-0360-3b5f-8617-32671b39d0da</t>
  </si>
  <si>
    <t>xxx Electricity mix, medium voltage, GO cancellations {AT}</t>
  </si>
  <si>
    <t>521b7e7e-37e7-3549-a1bd-6271c008e761</t>
  </si>
  <si>
    <t>xxx Electricity mix, medium voltage, GO cancellations {BE}</t>
  </si>
  <si>
    <t>ba4e24c8-2d09-3918-ac94-4def4f893391</t>
  </si>
  <si>
    <t>xxx Electricity mix, medium voltage, GO cancellations {BG}</t>
  </si>
  <si>
    <t>9468b998-f786-37c1-be4d-96f46c86fe27</t>
  </si>
  <si>
    <t>xxx Electricity mix, medium voltage, GO cancellations {CH}</t>
  </si>
  <si>
    <t>c6f37664-d3ec-382b-b550-a97a4dbaa2ed</t>
  </si>
  <si>
    <t>xxx Electricity mix, medium voltage, GO cancellations {CY}</t>
  </si>
  <si>
    <t>5f1d569b-afa1-3a7b-bfff-77b26f17dace</t>
  </si>
  <si>
    <t>xxx Electricity mix, medium voltage, GO cancellations {CZ}</t>
  </si>
  <si>
    <t>ebb4c1e8-8430-3174-9070-68dab2acd551</t>
  </si>
  <si>
    <t>xxx Electricity mix, medium voltage, GO cancellations {DE}</t>
  </si>
  <si>
    <t>ff2f2c93-0828-3ce5-9603-6c4d10c5cdd8</t>
  </si>
  <si>
    <t>xxx Electricity mix, medium voltage, GO cancellations {DK}</t>
  </si>
  <si>
    <t>1de6a772-3724-3424-a2b4-992ccaeca953</t>
  </si>
  <si>
    <t>xxx Electricity mix, medium voltage, GO cancellations {EE}</t>
  </si>
  <si>
    <t>fd073236-eba5-39ab-aa7f-f0b5af471711</t>
  </si>
  <si>
    <t>xxx Electricity mix, medium voltage, GO cancellations {ES}</t>
  </si>
  <si>
    <t>a748f0f5-096b-3e99-ad90-39f914b5f9f6</t>
  </si>
  <si>
    <t>xxx Electricity mix, medium voltage, GO cancellations {FI}</t>
  </si>
  <si>
    <t>64b5ae53-49cd-38fb-aed4-35c3fe1a3293</t>
  </si>
  <si>
    <t>xxx Electricity mix, medium voltage, GO cancellations {FR}</t>
  </si>
  <si>
    <t>513e890d-7beb-3d4a-94ca-1825e944215d</t>
  </si>
  <si>
    <t>xxx Electricity mix, medium voltage, GO cancellations {GB}</t>
  </si>
  <si>
    <t>0b54bc63-8f28-3f6d-9077-0012a5a47a6e</t>
  </si>
  <si>
    <t>xxx Electricity mix, medium voltage, GO cancellations {GR}</t>
  </si>
  <si>
    <t>e5ee249e-40ca-3620-b9ba-680d8a0ecbd4</t>
  </si>
  <si>
    <t>xxx Electricity mix, medium voltage, GO cancellations {HR}</t>
  </si>
  <si>
    <t>4ae95fdf-c5c4-3ac8-b86c-a6a568d161b1</t>
  </si>
  <si>
    <t>xxx Electricity mix, medium voltage, GO cancellations {HU}</t>
  </si>
  <si>
    <t>978c4a5c-1cc9-36c7-9add-246ddd8f70d5</t>
  </si>
  <si>
    <t>xxx Electricity mix, medium voltage, GO cancellations {IE}</t>
  </si>
  <si>
    <t>befe8a15-19b3-358a-9e42-67b2cfde143e</t>
  </si>
  <si>
    <t>xxx Electricity mix, medium voltage, GO cancellations {IS}</t>
  </si>
  <si>
    <t>07feb657-7e30-3e87-a0fc-5d5da50ad963</t>
  </si>
  <si>
    <t>xxx Electricity mix, medium voltage, GO cancellations {IT}</t>
  </si>
  <si>
    <t>10526d72-5a39-34bd-8d00-5512323994bc</t>
  </si>
  <si>
    <t>xxx Electricity mix, medium voltage, GO cancellations {LT}</t>
  </si>
  <si>
    <t>944c3779-67bd-3a0e-919e-e12c00a914ff</t>
  </si>
  <si>
    <t>xxx Electricity mix, medium voltage, GO cancellations {LU}</t>
  </si>
  <si>
    <t>21a50508-e910-3a67-8e25-e4ca2e9e0bd7</t>
  </si>
  <si>
    <t>xxx Electricity mix, medium voltage, GO cancellations {LV}</t>
  </si>
  <si>
    <t>af26df1c-8d7a-3071-9f8e-40c20ac2fd9b</t>
  </si>
  <si>
    <t>xxx Electricity mix, medium voltage, GO cancellations {MT}</t>
  </si>
  <si>
    <t>5828b2ee-cc26-3849-ad7f-7720c7bc92e3</t>
  </si>
  <si>
    <t>xxx Electricity mix, medium voltage, GO cancellations {NL}</t>
  </si>
  <si>
    <t>a6dc5c23-e107-3b23-be5d-869a12395b43</t>
  </si>
  <si>
    <t>xxx Electricity mix, medium voltage, GO cancellations {NO}</t>
  </si>
  <si>
    <t>66f183f4-a834-31f3-9c98-c802ce1ea38a</t>
  </si>
  <si>
    <t>xxx Electricity mix, medium voltage, GO cancellations {PL}</t>
  </si>
  <si>
    <t>dd695b2d-1f06-39f4-be7e-a0db7e1e948d</t>
  </si>
  <si>
    <t>xxx Electricity mix, medium voltage, GO cancellations {PT}</t>
  </si>
  <si>
    <t>9349e844-cc16-3425-b374-90cb854b4866</t>
  </si>
  <si>
    <t>xxx Electricity mix, medium voltage, GO cancellations {RO}</t>
  </si>
  <si>
    <t>0d1b9c57-846f-36a6-a13a-f0ea3309317c</t>
  </si>
  <si>
    <t>xxx Electricity mix, medium voltage, GO cancellations {SE}</t>
  </si>
  <si>
    <t>888753f2-ccb5-3e8d-88eb-de3d43bad583</t>
  </si>
  <si>
    <t>xxx Electricity mix, medium voltage, GO cancellations {SI}</t>
  </si>
  <si>
    <t>1a121d7a-6024-3f9a-b173-76dbaeb4b513</t>
  </si>
  <si>
    <t>xxx Electricity mix, medium voltage, GO cancellations {SK}</t>
  </si>
  <si>
    <t>002534dc-d30b-3a2e-aef7-1fb791a4b6fe</t>
  </si>
  <si>
    <t>xxx Electricity, at cogen 1MWe lean burn, allocation energy {CH}</t>
  </si>
  <si>
    <t>7efebec1-6a89-3ea7-a8f0-fd685c6a1d7f</t>
  </si>
  <si>
    <t>xxx Electricity, at cogen 1MWe lean burn, allocation heat {CH}</t>
  </si>
  <si>
    <t>5a0e76c6-4ff6-30f7-9986-dbccfcbbac68</t>
  </si>
  <si>
    <t>xxx Electricity, at cogen 200kWe diesel SCR, allocation energy {CH}</t>
  </si>
  <si>
    <t>energy, obsolete\heat, obsolete\oil, obsolete</t>
  </si>
  <si>
    <t>ff15ac20-2458-3af0-96b7-9afb52d4e3a2</t>
  </si>
  <si>
    <t>xxx Electricity, at cogen 200kWe diesel, allocation heat {CH}</t>
  </si>
  <si>
    <t>6d99aa3d-89fc-3912-9174-84d2b84abb4c</t>
  </si>
  <si>
    <t>xxx Electricity, at cogen 200kWe lean burn, allocation energy {CH}</t>
  </si>
  <si>
    <t>74a0a4b9-9a53-308d-a993-87b8f3ac0f09</t>
  </si>
  <si>
    <t>xxx Electricity, at cogen 200kWe lean burn, allocation heat {CH}</t>
  </si>
  <si>
    <t>86d7963a-f3ce-3d4c-b90b-eae89ff581a4</t>
  </si>
  <si>
    <t>xxx Electricity, at cogen 500kWe lean burn, allocation energy {CH}</t>
  </si>
  <si>
    <t>de6348ec-f7d5-3fef-afdf-fe3ae1247ffd</t>
  </si>
  <si>
    <t>xxx Electricity, at cogen 500kWe lean burn, allocation exergy {CH}</t>
  </si>
  <si>
    <t>b860b469-9a20-36de-b3a1-14f37652b2d5</t>
  </si>
  <si>
    <t>xxx Electricity, at cogen 500kWe lean burn, allocation heat {CH}</t>
  </si>
  <si>
    <t>3da9e8c9-7403-32f0-9e72-14d1680dcad6</t>
  </si>
  <si>
    <t>xxx Electricity, at cogen 50kWe lean burn, allocation energy {CH}</t>
  </si>
  <si>
    <t>8e04912a-8543-3f23-b9e7-31f16d08cfcf</t>
  </si>
  <si>
    <t>xxx Electricity, at cogen 50kWe lean burn, allocation heat {CH}</t>
  </si>
  <si>
    <t>2d85f083-bf89-380a-bde2-8244fd3d4ec0</t>
  </si>
  <si>
    <t>xxx Electricity, at cogen 6400kWth, wood, allocation energy {CH}</t>
  </si>
  <si>
    <t>93e68ae2-a6ba-3ba3-bd3d-0630218ef578</t>
  </si>
  <si>
    <t>xxx Electricity, at cogen 6400kWth, wood, allocation exergy {CH}</t>
  </si>
  <si>
    <t>7cb42f99-4a2f-38be-ae79-72b00a710527</t>
  </si>
  <si>
    <t>xxx Electricity, at cogen 6400kWth, wood, allocation heat {CH}</t>
  </si>
  <si>
    <t>4c511e8b-73ee-3092-b140-8e74fc7bdd31</t>
  </si>
  <si>
    <t>xxx Electricity, at cogen 6400kWth, wood, emission control, allocation energy {CH}</t>
  </si>
  <si>
    <t>404f0a11-5abc-341a-9579-cf83f4d381d1</t>
  </si>
  <si>
    <t>xxx Electricity, at cogen 6400kWth, wood, emission control, allocation heat {CH}</t>
  </si>
  <si>
    <t>40d9eb0c-ee2e-35e7-a102-f8064a9ad50f</t>
  </si>
  <si>
    <t>xxx Electricity, consumer mix, Bereich 1 {CH}</t>
  </si>
  <si>
    <t>57647374-f5f3-3a80-876b-8daf8b268bb6</t>
  </si>
  <si>
    <t>xxx Electricity, consumer mix, Bereich 4 {CH}</t>
  </si>
  <si>
    <t>d1591be2-499a-3f50-8209-fd889ab585e3</t>
  </si>
  <si>
    <t>xxx Electricity, GO supply mix {AT}</t>
  </si>
  <si>
    <t>4549182a-efe0-390d-bf1a-813322b5024c</t>
  </si>
  <si>
    <t>xxx Electricity, GO supply mix {BE}</t>
  </si>
  <si>
    <t>f497a4d7-1e3b-3198-bf57-873f56bc746f</t>
  </si>
  <si>
    <t>xxx Electricity, GO supply mix {BG}</t>
  </si>
  <si>
    <t>1af9cfe9-140c-3649-bd1a-207ca37edddc</t>
  </si>
  <si>
    <t>xxx Electricity, GO supply mix {CH}</t>
  </si>
  <si>
    <t>6bf8090e-f6cc-3e1f-92c1-e9321ca033ee</t>
  </si>
  <si>
    <t>xxx Electricity, GO supply mix {CY}</t>
  </si>
  <si>
    <t>f8e16119-b00c-34df-9016-63c5ba9ae108</t>
  </si>
  <si>
    <t>xxx Electricity, GO supply mix {CZ}</t>
  </si>
  <si>
    <t>db90f374-9d0c-3ace-b910-b3b036cdaf61</t>
  </si>
  <si>
    <t>xxx Electricity, GO supply mix {DE}</t>
  </si>
  <si>
    <t>b22a49cd-ff55-3fe2-b9b9-55185c2b23d2</t>
  </si>
  <si>
    <t>xxx Electricity, GO supply mix {DK}</t>
  </si>
  <si>
    <t>f37206c5-5ead-37df-a663-e36fff8f5942</t>
  </si>
  <si>
    <t>xxx Electricity, GO supply mix {EE}</t>
  </si>
  <si>
    <t>db1a037b-2380-3a4e-8f7b-fe537a99b86f</t>
  </si>
  <si>
    <t>xxx Electricity, GO supply mix {ES}</t>
  </si>
  <si>
    <t>811a401d-25c8-3928-8967-02883a8f459c</t>
  </si>
  <si>
    <t>xxx Electricity, GO supply mix {FI}</t>
  </si>
  <si>
    <t>0663e623-93e4-3587-b0b1-e37743be67c1</t>
  </si>
  <si>
    <t>xxx Electricity, GO supply mix {FR}</t>
  </si>
  <si>
    <t>9937a0f9-33e3-3cd7-b596-722bd0fc19b9</t>
  </si>
  <si>
    <t>xxx Electricity, GO supply mix {GB}</t>
  </si>
  <si>
    <t>1888b688-2bb3-311c-ba90-145614fd8823</t>
  </si>
  <si>
    <t>xxx Electricity, GO supply mix {GR}</t>
  </si>
  <si>
    <t>ee40b269-b1a8-3532-8ced-5420b84288cb</t>
  </si>
  <si>
    <t>xxx Electricity, GO supply mix {HR}</t>
  </si>
  <si>
    <t>33fcae9f-62a2-3bbb-b0f7-7a48f4c2b2ea</t>
  </si>
  <si>
    <t>xxx Electricity, GO supply mix {HU}</t>
  </si>
  <si>
    <t>e3551225-c5aa-3835-884c-bef954688bb7</t>
  </si>
  <si>
    <t>xxx Electricity, GO supply mix {IE}</t>
  </si>
  <si>
    <t>5c7271ee-8cb0-3739-a77b-8317fb6e190e</t>
  </si>
  <si>
    <t>xxx Electricity, GO supply mix {IS}</t>
  </si>
  <si>
    <t>e552d0b7-a7d1-33da-948d-80521ae9b1c4</t>
  </si>
  <si>
    <t>xxx Electricity, GO supply mix {IT}</t>
  </si>
  <si>
    <t>4b5cc7f4-983f-38d7-93d2-c0961d0fec75</t>
  </si>
  <si>
    <t>xxx Electricity, GO supply mix {LT}</t>
  </si>
  <si>
    <t>ff7cc4cf-a07b-36a2-a69b-8e2219acde2f</t>
  </si>
  <si>
    <t>xxx Electricity, GO supply mix {LU}</t>
  </si>
  <si>
    <t>5f62d17c-d1fe-3a84-b140-72714a294ba3</t>
  </si>
  <si>
    <t>xxx Electricity, GO supply mix {LV}</t>
  </si>
  <si>
    <t>064fe786-249c-3adb-8710-edbc03bd1e9a</t>
  </si>
  <si>
    <t>xxx Electricity, GO supply mix {MT}</t>
  </si>
  <si>
    <t>db36cd05-2759-3c72-bcbb-20d6a370a84c</t>
  </si>
  <si>
    <t>xxx Electricity, GO supply mix {NL}</t>
  </si>
  <si>
    <t>9fa64bcf-e39f-3469-b7d8-d192b8825138</t>
  </si>
  <si>
    <t>xxx Electricity, GO supply mix {NO}</t>
  </si>
  <si>
    <t>69103784-a06f-3861-ac6a-6fad598c0d33</t>
  </si>
  <si>
    <t>xxx Electricity, GO supply mix {PL}</t>
  </si>
  <si>
    <t>fb2cf8dd-2c77-306b-b937-20f2cb9ac6a0</t>
  </si>
  <si>
    <t>xxx Electricity, GO supply mix {PT}</t>
  </si>
  <si>
    <t>a5c7025b-2589-37b7-8d86-a540d6fead01</t>
  </si>
  <si>
    <t>xxx Electricity, GO supply mix {RO}</t>
  </si>
  <si>
    <t>83e85974-8f45-365b-82a4-284c98d7e925</t>
  </si>
  <si>
    <t>xxx Electricity, GO supply mix {SE}</t>
  </si>
  <si>
    <t>5f2a4059-253c-3dfc-9eb3-48733d895011</t>
  </si>
  <si>
    <t>xxx Electricity, GO supply mix {SI}</t>
  </si>
  <si>
    <t>04aa31c0-67f1-3327-a149-0f829bd28ec5</t>
  </si>
  <si>
    <t>xxx Electricity, GO supply mix {SK}</t>
  </si>
  <si>
    <t>2836fb85-b019-341c-84d1-74b8be714634</t>
  </si>
  <si>
    <t>xxx Electricity, high voltage, at grid {CS}</t>
  </si>
  <si>
    <t>4b76a18f-f39e-3674-97a9-d29efd5d2400</t>
  </si>
  <si>
    <t>xxx Electricity, high voltage, GO supply mix {AT}</t>
  </si>
  <si>
    <t>11c831af-bafb-3845-b019-74660fb48d2c</t>
  </si>
  <si>
    <t>xxx Electricity, high voltage, GO supply mix {BE}</t>
  </si>
  <si>
    <t>5d47edd5-7007-3021-98a7-869551591267</t>
  </si>
  <si>
    <t>xxx Electricity, high voltage, GO supply mix {BG}</t>
  </si>
  <si>
    <t>43a35405-78ca-365b-9de4-edce4fc38430</t>
  </si>
  <si>
    <t>xxx Electricity, high voltage, GO supply mix {CH}</t>
  </si>
  <si>
    <t>f6f7019b-f6d8-3f37-ad36-9ed913eca695</t>
  </si>
  <si>
    <t>xxx Electricity, high voltage, GO supply mix {CY}</t>
  </si>
  <si>
    <t>db046f60-737a-332a-bf9a-06e40d23990e</t>
  </si>
  <si>
    <t>xxx Electricity, high voltage, GO supply mix {CZ}</t>
  </si>
  <si>
    <t>02e694eb-5315-3a74-bd00-eb87905854bf</t>
  </si>
  <si>
    <t>xxx Electricity, high voltage, GO supply mix {DE}</t>
  </si>
  <si>
    <t>ec076c2c-a3e7-38cd-81cd-6e05fbd97ac4</t>
  </si>
  <si>
    <t>xxx Electricity, high voltage, GO supply mix {DK}</t>
  </si>
  <si>
    <t>bd2ee079-a32b-305e-af91-9b58198e5fb9</t>
  </si>
  <si>
    <t>xxx Electricity, high voltage, GO supply mix {EE}</t>
  </si>
  <si>
    <t>35c05dbb-ea6f-380c-8744-a026e14b3882</t>
  </si>
  <si>
    <t>xxx Electricity, high voltage, GO supply mix {ES}</t>
  </si>
  <si>
    <t>3e716ca8-71fe-3d5a-88a3-04be2c62d023</t>
  </si>
  <si>
    <t>xxx Electricity, high voltage, GO supply mix {FI}</t>
  </si>
  <si>
    <t>2a718fbe-64e8-344a-b2df-f3339b378ad7</t>
  </si>
  <si>
    <t>xxx Electricity, high voltage, GO supply mix {FR}</t>
  </si>
  <si>
    <t>7a2e82e8-b93e-36f5-81aa-6c1a17989517</t>
  </si>
  <si>
    <t>xxx Electricity, high voltage, GO supply mix {GB}</t>
  </si>
  <si>
    <t>07c568a3-0203-3c1a-b9df-1722f595e4c2</t>
  </si>
  <si>
    <t>xxx Electricity, high voltage, GO supply mix {GR}</t>
  </si>
  <si>
    <t>2f774b9d-45fb-34ed-93ab-a3b1a4b24a1d</t>
  </si>
  <si>
    <t>xxx Electricity, high voltage, GO supply mix {HR}</t>
  </si>
  <si>
    <t>a1affa66-9099-3b1d-a869-04537b628ccd</t>
  </si>
  <si>
    <t>xxx Electricity, high voltage, GO supply mix {HU}</t>
  </si>
  <si>
    <t>b5106a50-d2bc-3797-80c4-a4a186976e20</t>
  </si>
  <si>
    <t>xxx Electricity, high voltage, GO supply mix {IE}</t>
  </si>
  <si>
    <t>8ffd6bf6-09fb-32ab-9dbc-a8ed0a34d74f</t>
  </si>
  <si>
    <t>xxx Electricity, high voltage, GO supply mix {IS}</t>
  </si>
  <si>
    <t>0197b81c-1e88-36b7-851a-cd06fd2665e7</t>
  </si>
  <si>
    <t>xxx Electricity, high voltage, GO supply mix {IT}</t>
  </si>
  <si>
    <t>f16e162a-dcbd-3a9e-9cdd-58afda26d29a</t>
  </si>
  <si>
    <t>xxx Electricity, high voltage, GO supply mix {LT}</t>
  </si>
  <si>
    <t>2411ff63-5aec-399f-9c50-3c1f98c145c3</t>
  </si>
  <si>
    <t>xxx Electricity, high voltage, GO supply mix {LU}</t>
  </si>
  <si>
    <t>bd47623f-bb61-3041-b5c1-2e0008eba556</t>
  </si>
  <si>
    <t>xxx Electricity, high voltage, GO supply mix {LV}</t>
  </si>
  <si>
    <t>2f9c01c9-49f2-378b-9993-8b67b6e5a3e6</t>
  </si>
  <si>
    <t>xxx Electricity, high voltage, GO supply mix {MT}</t>
  </si>
  <si>
    <t>b8a01b6a-44de-39c5-8b15-83291589cf82</t>
  </si>
  <si>
    <t>xxx Electricity, high voltage, GO supply mix {NL}</t>
  </si>
  <si>
    <t>ee07f2dc-758c-3e06-a4f5-c20c3c27c5bf</t>
  </si>
  <si>
    <t>xxx Electricity, high voltage, GO supply mix {NO}</t>
  </si>
  <si>
    <t>ee306ef3-9a47-30e9-8327-1d3f77560608</t>
  </si>
  <si>
    <t>xxx Electricity, high voltage, GO supply mix {PL}</t>
  </si>
  <si>
    <t>c447b809-da59-30dd-b197-ae9daec6206f</t>
  </si>
  <si>
    <t>xxx Electricity, high voltage, GO supply mix {PT}</t>
  </si>
  <si>
    <t>697eeb98-d677-3f40-b9a9-319770da38dc</t>
  </si>
  <si>
    <t>xxx Electricity, high voltage, GO supply mix {RO}</t>
  </si>
  <si>
    <t>3c0a712f-1223-33b3-a6ee-bef69b7d33f2</t>
  </si>
  <si>
    <t>xxx Electricity, high voltage, GO supply mix {SE}</t>
  </si>
  <si>
    <t>112cb31b-2455-32f8-870b-b8aa4a6e0ea2</t>
  </si>
  <si>
    <t>xxx Electricity, high voltage, GO supply mix {SI}</t>
  </si>
  <si>
    <t>1a5a0ace-9722-35b1-98c1-4cece61c061a</t>
  </si>
  <si>
    <t>xxx Electricity, high voltage, GO supply mix {SK}</t>
  </si>
  <si>
    <t>09bd1759-67b8-3d65-95ea-98ecb5a78693</t>
  </si>
  <si>
    <t>xxx Electricity, high voltage, production CENTREL, at grid {CENTREL}</t>
  </si>
  <si>
    <t>9c5e6c74-4d0a-3c38-bce0-9fd3ea8365fd</t>
  </si>
  <si>
    <t>xxx Electricity, high voltage, production CS, at grid {CS}</t>
  </si>
  <si>
    <t>f4c122a9-7100-33d6-8f6d-fc19aa883844</t>
  </si>
  <si>
    <t>xxx Electricity, high voltage, production ENTSO, at grid {ENTSO-E}</t>
  </si>
  <si>
    <t>7ce16a86-cde4-40ae-bc3f-31abb439a2d5</t>
  </si>
  <si>
    <t>xxx Electricity, high voltage, production UCTE, at grid {UCTE}</t>
  </si>
  <si>
    <t>energy, obsolete\electricity, obsolete\production mix, obsolete</t>
  </si>
  <si>
    <t>8374adc5-28d9-39c3-9384-829195688a0f</t>
  </si>
  <si>
    <t>xxx Electricity, high voltage, residual mix {AT}</t>
  </si>
  <si>
    <t>ea47263f-d19c-3c55-9abb-593bdc7bad72</t>
  </si>
  <si>
    <t>xxx Electricity, high voltage, residual mix {BE}</t>
  </si>
  <si>
    <t>63fe01db-e45c-31c5-b896-874fcbb6c905</t>
  </si>
  <si>
    <t>xxx Electricity, high voltage, residual mix {BG}</t>
  </si>
  <si>
    <t>8b6af516-74b0-3dab-ba55-2cf45dd1ff46</t>
  </si>
  <si>
    <t>xxx Electricity, high voltage, residual mix {CY}</t>
  </si>
  <si>
    <t>d9b83611-03d8-33ad-933f-87a23eeb038f</t>
  </si>
  <si>
    <t>xxx Electricity, high voltage, residual mix {CZ}</t>
  </si>
  <si>
    <t>ca1341a5-04d4-3962-98d1-16acdc6ce37a</t>
  </si>
  <si>
    <t>xxx Electricity, high voltage, residual mix {DE}</t>
  </si>
  <si>
    <t>deb7a312-0c0f-3056-9e8c-c985d685bb55</t>
  </si>
  <si>
    <t>xxx Electricity, high voltage, residual mix {DK}</t>
  </si>
  <si>
    <t>ff135b54-eb07-3532-b363-1fe4c1bef956</t>
  </si>
  <si>
    <t>xxx Electricity, high voltage, residual mix {EE}</t>
  </si>
  <si>
    <t>2f45ccdf-950a-3e4f-8f10-283ce16d4235</t>
  </si>
  <si>
    <t>xxx Electricity, high voltage, residual mix {ES}</t>
  </si>
  <si>
    <t>c7436a6a-ec26-3df6-892b-9795d743998c</t>
  </si>
  <si>
    <t>xxx Electricity, high voltage, residual mix {FI}</t>
  </si>
  <si>
    <t>0d445f68-330f-361a-9b78-f5227cf8d19e</t>
  </si>
  <si>
    <t>xxx Electricity, high voltage, residual mix {FR}</t>
  </si>
  <si>
    <t>8742c3e8-012e-37f8-b73f-f7e41164001d</t>
  </si>
  <si>
    <t>xxx Electricity, high voltage, residual mix {GB}</t>
  </si>
  <si>
    <t>f888603f-1d80-38d4-9fdd-7ae88826d5b0</t>
  </si>
  <si>
    <t>xxx Electricity, high voltage, residual mix {GR}</t>
  </si>
  <si>
    <t>70376eb7-e9fe-384d-98fd-3d32ce290d2c</t>
  </si>
  <si>
    <t>xxx Electricity, high voltage, residual mix {HR}</t>
  </si>
  <si>
    <t>0fd290ed-8673-3be8-a2a4-7b7f1b6f1378</t>
  </si>
  <si>
    <t>xxx Electricity, high voltage, residual mix {HU}</t>
  </si>
  <si>
    <t>73fa3cfa-91bd-3f4d-aead-5c17829ae4bf</t>
  </si>
  <si>
    <t>xxx Electricity, high voltage, residual mix {IE}</t>
  </si>
  <si>
    <t>3f2e74a6-be67-3e63-ac11-d21258c5b7dd</t>
  </si>
  <si>
    <t>xxx Electricity, high voltage, residual mix {IS}</t>
  </si>
  <si>
    <t>11590979-71f0-365d-ad97-d64abee08b3e</t>
  </si>
  <si>
    <t>xxx Electricity, high voltage, residual mix {IT}</t>
  </si>
  <si>
    <t>2b7260d3-e923-3aa4-a3c1-d44f247af817</t>
  </si>
  <si>
    <t>xxx Electricity, high voltage, residual mix {LT}</t>
  </si>
  <si>
    <t>48fa984d-1fed-3a5b-8861-cc0f48cb0baa</t>
  </si>
  <si>
    <t>xxx Electricity, high voltage, residual mix {LU}</t>
  </si>
  <si>
    <t>74eba5e1-53c7-3272-80ce-4216e5bae8ff</t>
  </si>
  <si>
    <t>xxx Electricity, high voltage, residual mix {LV}</t>
  </si>
  <si>
    <t>cc2b2ec1-c9df-371d-b2ad-b3d25b6de563</t>
  </si>
  <si>
    <t>xxx Electricity, high voltage, residual mix {MT}</t>
  </si>
  <si>
    <t>908449e0-e9fb-3f85-80f7-05a4cff1395d</t>
  </si>
  <si>
    <t>xxx Electricity, high voltage, residual mix {NL}</t>
  </si>
  <si>
    <t>92565d5b-ec69-3b10-8954-fb3dd0174fa0</t>
  </si>
  <si>
    <t>xxx Electricity, high voltage, residual mix {NO}</t>
  </si>
  <si>
    <t>0dec6ff9-2d5d-32d3-926f-37b973eac8de</t>
  </si>
  <si>
    <t>xxx Electricity, high voltage, residual mix {PL}</t>
  </si>
  <si>
    <t>9d82ed53-a65c-3e1d-bf3d-b8cd8f1a8640</t>
  </si>
  <si>
    <t>xxx Electricity, high voltage, residual mix {PT}</t>
  </si>
  <si>
    <t>c5929ef4-2e6e-3f13-9770-163c8bb075dc</t>
  </si>
  <si>
    <t>xxx Electricity, high voltage, residual mix {RO}</t>
  </si>
  <si>
    <t>093e8a37-9dfd-312c-85b9-e3e29dae0c9d</t>
  </si>
  <si>
    <t>xxx Electricity, high voltage, residual mix {SE}</t>
  </si>
  <si>
    <t>0f1ac4d8-e0dd-3ced-80b6-5d011ce2d2da</t>
  </si>
  <si>
    <t>xxx Electricity, high voltage, residual mix {SI}</t>
  </si>
  <si>
    <t>2428de70-0373-3334-818f-b35400b517b0</t>
  </si>
  <si>
    <t>xxx Electricity, high voltage, residual mix {SK}</t>
  </si>
  <si>
    <t>da2f96da-4d2a-373a-a031-3f0b18e30141</t>
  </si>
  <si>
    <t>xxx Electricity, low voltage, at grid {CS}</t>
  </si>
  <si>
    <t>e6ca2c98-4dac-3163-ba18-42f805f892a1</t>
  </si>
  <si>
    <t>xxx Electricity, low voltage, GO supply mix {AT}</t>
  </si>
  <si>
    <t>a64b52a6-cf04-3bcb-907e-c444ec971bea</t>
  </si>
  <si>
    <t>xxx Electricity, low voltage, GO supply mix {BE}</t>
  </si>
  <si>
    <t>3a037fd4-7b25-309b-9d02-201553c3f7ee</t>
  </si>
  <si>
    <t>xxx Electricity, low voltage, GO supply mix {BG}</t>
  </si>
  <si>
    <t>32e2581e-633b-344b-a4d1-1f44e92a544a</t>
  </si>
  <si>
    <t>xxx Electricity, low voltage, GO supply mix {CH}</t>
  </si>
  <si>
    <t>5011a394-1514-3975-8d04-5015b4a95d73</t>
  </si>
  <si>
    <t>xxx Electricity, low voltage, GO supply mix {CY}</t>
  </si>
  <si>
    <t>cbcf5d7b-631a-3c34-b26f-dc0138c65b7f</t>
  </si>
  <si>
    <t>xxx Electricity, low voltage, GO supply mix {CZ}</t>
  </si>
  <si>
    <t>23079bc1-6720-3fa9-a708-68a9e1bce3c0</t>
  </si>
  <si>
    <t>xxx Electricity, low voltage, GO supply mix {DE}</t>
  </si>
  <si>
    <t>5bfb826d-1ce0-3df7-8a47-8d9701bdd926</t>
  </si>
  <si>
    <t>xxx Electricity, low voltage, GO supply mix {DK}</t>
  </si>
  <si>
    <t>a0352244-68d0-3581-bc2a-58c4bb41a5e3</t>
  </si>
  <si>
    <t>xxx Electricity, low voltage, GO supply mix {EE}</t>
  </si>
  <si>
    <t>33b0c04e-35d2-3a17-aaa6-67625ecb8d68</t>
  </si>
  <si>
    <t>xxx Electricity, low voltage, GO supply mix {ES}</t>
  </si>
  <si>
    <t>ff63ebc7-854a-332b-840e-348fdfd610b3</t>
  </si>
  <si>
    <t>xxx Electricity, low voltage, GO supply mix {FI}</t>
  </si>
  <si>
    <t>3046bdd8-456c-3ebc-8b14-c9c0a5c879ae</t>
  </si>
  <si>
    <t>xxx Electricity, low voltage, GO supply mix {FR}</t>
  </si>
  <si>
    <t>f548fa89-a92b-323e-8f1a-5d7b92d94655</t>
  </si>
  <si>
    <t>xxx Electricity, low voltage, GO supply mix {GB}</t>
  </si>
  <si>
    <t>679ee2ac-2e78-3db8-8e26-d59532e107da</t>
  </si>
  <si>
    <t>xxx Electricity, low voltage, GO supply mix {GR}</t>
  </si>
  <si>
    <t>d5dea817-a7d6-3a98-b9f3-88fb94df8629</t>
  </si>
  <si>
    <t>xxx Electricity, low voltage, GO supply mix {HR}</t>
  </si>
  <si>
    <t>983d1281-55bb-35cc-aa4a-9d2efe7d26ef</t>
  </si>
  <si>
    <t>xxx Electricity, low voltage, GO supply mix {HU}</t>
  </si>
  <si>
    <t>1471e3ef-105e-36b5-8547-ae149a1c6a7e</t>
  </si>
  <si>
    <t>xxx Electricity, low voltage, GO supply mix {IE}</t>
  </si>
  <si>
    <t>ec551705-40f6-39ca-8b02-1ab0cdbb9397</t>
  </si>
  <si>
    <t>xxx Electricity, low voltage, GO supply mix {IS}</t>
  </si>
  <si>
    <t>484d7469-0707-34e0-908c-1c49278bcdf7</t>
  </si>
  <si>
    <t>xxx Electricity, low voltage, GO supply mix {IT}</t>
  </si>
  <si>
    <t>32632cee-44f8-308e-835a-d359efa4a9e6</t>
  </si>
  <si>
    <t>xxx Electricity, low voltage, GO supply mix {LT}</t>
  </si>
  <si>
    <t>1c45cc8d-3e8f-3b41-b50d-89eb872e5ef2</t>
  </si>
  <si>
    <t>xxx Electricity, low voltage, GO supply mix {LU}</t>
  </si>
  <si>
    <t>1505604a-5d5c-3335-a565-680daad93474</t>
  </si>
  <si>
    <t>xxx Electricity, low voltage, GO supply mix {LV}</t>
  </si>
  <si>
    <t>cdaf8a55-cac9-354b-94ac-9d68b6786fc8</t>
  </si>
  <si>
    <t>xxx Electricity, low voltage, GO supply mix {MT}</t>
  </si>
  <si>
    <t>8cc8eaf3-67cc-369c-89cf-18fc4fcbc16b</t>
  </si>
  <si>
    <t>xxx Electricity, low voltage, GO supply mix {NL}</t>
  </si>
  <si>
    <t>9f7e071c-0f95-395b-a420-30701de3716f</t>
  </si>
  <si>
    <t>xxx Electricity, low voltage, GO supply mix {NO}</t>
  </si>
  <si>
    <t>3e90512e-b15c-39a8-acf7-c9e9d5690cb2</t>
  </si>
  <si>
    <t>xxx Electricity, low voltage, GO supply mix {PL}</t>
  </si>
  <si>
    <t>c3b2ab39-f561-3d5b-baa0-7dd62afab606</t>
  </si>
  <si>
    <t>xxx Electricity, low voltage, GO supply mix {PT}</t>
  </si>
  <si>
    <t>e134f0cf-293d-3102-a2c9-7708bd8acd72</t>
  </si>
  <si>
    <t>xxx Electricity, low voltage, GO supply mix {RO}</t>
  </si>
  <si>
    <t>22f1e4ec-d255-3235-ae6b-31570c92e239</t>
  </si>
  <si>
    <t>xxx Electricity, low voltage, GO supply mix {SE}</t>
  </si>
  <si>
    <t>261d3ad3-c70a-3c3b-9dce-3ce7c4253cb3</t>
  </si>
  <si>
    <t>xxx Electricity, low voltage, GO supply mix {SI}</t>
  </si>
  <si>
    <t>ca59565a-2b07-3552-8bdf-79f4b453d807</t>
  </si>
  <si>
    <t>xxx Electricity, low voltage, GO supply mix {SK}</t>
  </si>
  <si>
    <t>525a6674-b6dd-3d01-98e1-939199859184</t>
  </si>
  <si>
    <t>xxx Electricity, low voltage, production CENTREL, at grid {CENTREL}</t>
  </si>
  <si>
    <t>2acb87c2-5e4c-33f7-b960-de99fac2e4e4</t>
  </si>
  <si>
    <t>xxx Electricity, low voltage, production CS, at grid {CS}</t>
  </si>
  <si>
    <t>e7fb866c-8e35-3247-9b92-32e850622be7</t>
  </si>
  <si>
    <t>xxx Electricity, low voltage, production ENTSO, at grid {ENTSO-E}</t>
  </si>
  <si>
    <t>86c24a85-ced7-3cbe-a491-989b2097c3c1</t>
  </si>
  <si>
    <t>xxx Electricity, low voltage, production UCTE, at grid {UCTE}</t>
  </si>
  <si>
    <t>5a18ad1e-ddf4-306d-8604-0a58350df06c</t>
  </si>
  <si>
    <t>xxx Electricity, low voltage, residual mix {AT}</t>
  </si>
  <si>
    <t>5e88372e-9c66-3fff-8a7e-a90a28fb18d2</t>
  </si>
  <si>
    <t>xxx Electricity, low voltage, residual mix {BE}</t>
  </si>
  <si>
    <t>01c83eda-d04d-32d4-8a43-865d2b06546d</t>
  </si>
  <si>
    <t>xxx Electricity, low voltage, residual mix {BG}</t>
  </si>
  <si>
    <t>7cf116c2-6373-3b8e-bd05-23e4e6ac7c8a</t>
  </si>
  <si>
    <t>xxx Electricity, low voltage, residual mix {CY}</t>
  </si>
  <si>
    <t>179b41b6-c270-39b4-a405-e2ad40b4ddca</t>
  </si>
  <si>
    <t>xxx Electricity, low voltage, residual mix {CZ}</t>
  </si>
  <si>
    <t>554e5615-bb82-35b9-b06d-a354a10e7aed</t>
  </si>
  <si>
    <t>xxx Electricity, low voltage, residual mix {DE}</t>
  </si>
  <si>
    <t>2fa37940-d6d5-3f51-ba54-29c272913dd1</t>
  </si>
  <si>
    <t>xxx Electricity, low voltage, residual mix {DK}</t>
  </si>
  <si>
    <t>0d468e58-bdcb-3fa8-865e-21dd5971d5b0</t>
  </si>
  <si>
    <t>xxx Electricity, low voltage, residual mix {EE}</t>
  </si>
  <si>
    <t>5b04a212-9948-34fe-adaf-f33799ce26b2</t>
  </si>
  <si>
    <t>xxx Electricity, low voltage, residual mix {ES}</t>
  </si>
  <si>
    <t>aac0ba36-a796-3012-bbd3-078e5fbba098</t>
  </si>
  <si>
    <t>xxx Electricity, low voltage, residual mix {FI}</t>
  </si>
  <si>
    <t>3286e823-0f21-349e-affb-7e82ce819538</t>
  </si>
  <si>
    <t>xxx Electricity, low voltage, residual mix {FR}</t>
  </si>
  <si>
    <t>524b991e-2ebd-30cd-b749-759267198257</t>
  </si>
  <si>
    <t>xxx Electricity, low voltage, residual mix {GB}</t>
  </si>
  <si>
    <t>fc9caa46-50a1-3dbb-b4f5-7c53763f6ec6</t>
  </si>
  <si>
    <t>xxx Electricity, low voltage, residual mix {GR}</t>
  </si>
  <si>
    <t>66a17ac7-ae01-31c7-9e44-0897b995b851</t>
  </si>
  <si>
    <t>xxx Electricity, low voltage, residual mix {HR}</t>
  </si>
  <si>
    <t>20bb6fcf-26ff-3e4e-acf3-813947679d9f</t>
  </si>
  <si>
    <t>xxx Electricity, low voltage, residual mix {HU}</t>
  </si>
  <si>
    <t>7254023f-9b5a-3a5f-b36b-aa26f603d2ec</t>
  </si>
  <si>
    <t>xxx Electricity, low voltage, residual mix {IE}</t>
  </si>
  <si>
    <t>8e39282d-0efa-3507-bfba-c2a2cf0e43d0</t>
  </si>
  <si>
    <t>xxx Electricity, low voltage, residual mix {IS}</t>
  </si>
  <si>
    <t>1de18aff-dc5b-39a5-a2a3-2ef3ee1ce52a</t>
  </si>
  <si>
    <t>xxx Electricity, low voltage, residual mix {IT}</t>
  </si>
  <si>
    <t>f435de98-1921-3c5b-9af8-662140e6a40a</t>
  </si>
  <si>
    <t>xxx Electricity, low voltage, residual mix {LT}</t>
  </si>
  <si>
    <t>f4e93fdb-1b5d-3246-9fe5-0a5ad9019a1d</t>
  </si>
  <si>
    <t>xxx Electricity, low voltage, residual mix {LU}</t>
  </si>
  <si>
    <t>d0696f37-0a17-3e21-af0c-1abdffd8879e</t>
  </si>
  <si>
    <t>xxx Electricity, low voltage, residual mix {LV}</t>
  </si>
  <si>
    <t>70bec23b-0852-3a4d-8285-3ba16d44b274</t>
  </si>
  <si>
    <t>xxx Electricity, low voltage, residual mix {MT}</t>
  </si>
  <si>
    <t>5c65f240-62fd-3d2d-b191-528410637e43</t>
  </si>
  <si>
    <t>xxx Electricity, low voltage, residual mix {NL}</t>
  </si>
  <si>
    <t>4ad67334-0c75-30b3-832b-47ba27933469</t>
  </si>
  <si>
    <t>xxx Electricity, low voltage, residual mix {NO}</t>
  </si>
  <si>
    <t>0cea0813-da0e-3053-81f3-71e1200bba20</t>
  </si>
  <si>
    <t>xxx Electricity, low voltage, residual mix {PL}</t>
  </si>
  <si>
    <t>761309ba-d86e-3209-9366-7b9ccd9519aa</t>
  </si>
  <si>
    <t>xxx Electricity, low voltage, residual mix {PT}</t>
  </si>
  <si>
    <t>fdd6dcfe-2831-3194-ba1a-d691fc8215ae</t>
  </si>
  <si>
    <t>xxx Electricity, low voltage, residual mix {RO}</t>
  </si>
  <si>
    <t>4c7c2fd0-f330-3a55-ad83-320e2b9eb63d</t>
  </si>
  <si>
    <t>xxx Electricity, low voltage, residual mix {SE}</t>
  </si>
  <si>
    <t>0709bf57-d827-3651-b1df-a0edbbbe1957</t>
  </si>
  <si>
    <t>xxx Electricity, low voltage, residual mix {SI}</t>
  </si>
  <si>
    <t>0302f1f9-2cce-3258-b00b-9329f53b8a6e</t>
  </si>
  <si>
    <t>xxx Electricity, low voltage, residual mix {SK}</t>
  </si>
  <si>
    <t>1bb884ea-c73c-31e3-b9b8-71c87aa6adf4</t>
  </si>
  <si>
    <t>xxx Electricity, medium voltage, at grid {CS}</t>
  </si>
  <si>
    <t>0a537975-4fb6-3f63-b83a-a461c4a00630</t>
  </si>
  <si>
    <t>xxx Electricity, medium voltage, GO supply mix {AT}</t>
  </si>
  <si>
    <t>9e38bdde-f2b7-3993-8ad1-fa992bfd92aa</t>
  </si>
  <si>
    <t>xxx Electricity, medium voltage, GO supply mix {BE}</t>
  </si>
  <si>
    <t>713d261a-c5fc-31ba-bcd0-c4e72ef6c0d0</t>
  </si>
  <si>
    <t>xxx Electricity, medium voltage, GO supply mix {BG}</t>
  </si>
  <si>
    <t>8f56b393-ab5c-3e9b-8d8e-9e0669991ac4</t>
  </si>
  <si>
    <t>xxx Electricity, medium voltage, GO supply mix {CH}</t>
  </si>
  <si>
    <t>bf7a104c-1feb-3dd3-bea4-b9f627ef53bc</t>
  </si>
  <si>
    <t>xxx Electricity, medium voltage, GO supply mix {CY}</t>
  </si>
  <si>
    <t>964fe05b-50a8-3369-9abe-29a3aed12535</t>
  </si>
  <si>
    <t>xxx Electricity, medium voltage, GO supply mix {CZ}</t>
  </si>
  <si>
    <t>fdab32bd-c094-3b6e-97aa-c8b78c5328d7</t>
  </si>
  <si>
    <t>xxx Electricity, medium voltage, GO supply mix {DE}</t>
  </si>
  <si>
    <t>b0829c64-a90f-3107-bbc7-e060dd208f3f</t>
  </si>
  <si>
    <t>xxx Electricity, medium voltage, GO supply mix {DK}</t>
  </si>
  <si>
    <t>3aef27b3-4099-39f8-b090-1a361fe26e39</t>
  </si>
  <si>
    <t>xxx Electricity, medium voltage, GO supply mix {EE}</t>
  </si>
  <si>
    <t>dcf7006c-f88e-3bf3-9b07-799e1e595bbd</t>
  </si>
  <si>
    <t>xxx Electricity, medium voltage, GO supply mix {ES}</t>
  </si>
  <si>
    <t>5d270b3a-af8a-3cd1-bd2f-88643af25eb1</t>
  </si>
  <si>
    <t>xxx Electricity, medium voltage, GO supply mix {FI}</t>
  </si>
  <si>
    <t>eb42d67a-47c3-3c30-adf5-6b382438bbc5</t>
  </si>
  <si>
    <t>xxx Electricity, medium voltage, GO supply mix {FR}</t>
  </si>
  <si>
    <t>4d89ed3f-6a6b-38a4-b94f-5fbd009f4382</t>
  </si>
  <si>
    <t>xxx Electricity, medium voltage, GO supply mix {GB}</t>
  </si>
  <si>
    <t>73fe84ae-2dd9-3f1a-84fb-85713bba1153</t>
  </si>
  <si>
    <t>xxx Electricity, medium voltage, GO supply mix {GR}</t>
  </si>
  <si>
    <t>32db52ec-0b88-3bbe-ad9b-8f32f240e174</t>
  </si>
  <si>
    <t>xxx Electricity, medium voltage, GO supply mix {HR}</t>
  </si>
  <si>
    <t>2bbd28b8-692c-385e-930c-5e15c816fd2c</t>
  </si>
  <si>
    <t>xxx Electricity, medium voltage, GO supply mix {HU}</t>
  </si>
  <si>
    <t>d8d395b1-4db2-3d29-b22d-76dc952471e2</t>
  </si>
  <si>
    <t>xxx Electricity, medium voltage, GO supply mix {IE}</t>
  </si>
  <si>
    <t>e3396e46-9afd-35f7-9bbe-0c9f618f0c12</t>
  </si>
  <si>
    <t>xxx Electricity, medium voltage, GO supply mix {IS}</t>
  </si>
  <si>
    <t>f2903c8e-21e4-31e6-86aa-e396fc999a04</t>
  </si>
  <si>
    <t>xxx Electricity, medium voltage, GO supply mix {IT}</t>
  </si>
  <si>
    <t>16831a90-4044-3cda-8934-76bef1893e4f</t>
  </si>
  <si>
    <t>xxx Electricity, medium voltage, GO supply mix {LT}</t>
  </si>
  <si>
    <t>4045f7f3-0b7a-3e00-8ea0-3c575f60aad1</t>
  </si>
  <si>
    <t>xxx Electricity, medium voltage, GO supply mix {LU}</t>
  </si>
  <si>
    <t>ce9b15cd-7495-38c1-817a-a398554d99e7</t>
  </si>
  <si>
    <t>xxx Electricity, medium voltage, GO supply mix {LV}</t>
  </si>
  <si>
    <t>eaa13bf0-b393-303f-bd35-2c6d0790424c</t>
  </si>
  <si>
    <t>xxx Electricity, medium voltage, GO supply mix {MT}</t>
  </si>
  <si>
    <t>375b265b-9904-376e-803a-83c86a4a1f32</t>
  </si>
  <si>
    <t>xxx Electricity, medium voltage, GO supply mix {NL}</t>
  </si>
  <si>
    <t>0a01c206-50e7-3786-bf90-1b90e85386d9</t>
  </si>
  <si>
    <t>xxx Electricity, medium voltage, GO supply mix {NO}</t>
  </si>
  <si>
    <t>d4472a4c-0135-3789-911f-9a34e342d319</t>
  </si>
  <si>
    <t>xxx Electricity, medium voltage, GO supply mix {PL}</t>
  </si>
  <si>
    <t>0c469b5e-4249-3ef5-b0f9-84ddb1ae545f</t>
  </si>
  <si>
    <t>xxx Electricity, medium voltage, GO supply mix {PT}</t>
  </si>
  <si>
    <t>517a0bf1-b921-37cc-a06c-69d8aecc8c7a</t>
  </si>
  <si>
    <t>xxx Electricity, medium voltage, GO supply mix {RO}</t>
  </si>
  <si>
    <t>6b2de7b7-d1ee-3ee9-b303-d768367e6133</t>
  </si>
  <si>
    <t>xxx Electricity, medium voltage, GO supply mix {SE}</t>
  </si>
  <si>
    <t>fb99808b-6c05-32dc-9ec5-5bb8b4c6c566</t>
  </si>
  <si>
    <t>xxx Electricity, medium voltage, GO supply mix {SI}</t>
  </si>
  <si>
    <t>491bcb12-e6c9-3c36-958c-780bfb551ffb</t>
  </si>
  <si>
    <t>xxx Electricity, medium voltage, GO supply mix {SK}</t>
  </si>
  <si>
    <t>ddb83ee5-2116-3c65-8009-41a1272f3e86</t>
  </si>
  <si>
    <t>xxx Electricity, medium voltage, production CENTREL, at grid {CENTREL}</t>
  </si>
  <si>
    <t>834f917e-b8dd-30e6-9ccd-7325bafa351a</t>
  </si>
  <si>
    <t>xxx Electricity, medium voltage, production CS, at grid {CS}</t>
  </si>
  <si>
    <t>48caf704-70c3-3c6f-94fc-c1898d0ae393</t>
  </si>
  <si>
    <t>xxx Electricity, medium voltage, production ENTSO, at grid {ENTSO-E}</t>
  </si>
  <si>
    <t>03d0c48b-1e60-4375-a256-3da3a0546222</t>
  </si>
  <si>
    <t>xxx Electricity, medium voltage, production UCTE, at grid {UCTE}</t>
  </si>
  <si>
    <t>d86e2374-784b-3fd9-910b-7583462ea81b</t>
  </si>
  <si>
    <t>xxx Electricity, medium voltage, residual mix {AT}</t>
  </si>
  <si>
    <t>3107c787-72fe-3e88-970f-1f8e5a6e7c55</t>
  </si>
  <si>
    <t>xxx Electricity, medium voltage, residual mix {BE}</t>
  </si>
  <si>
    <t>827f7ddf-34c7-3a9b-8387-7390842280db</t>
  </si>
  <si>
    <t>xxx Electricity, medium voltage, residual mix {BG}</t>
  </si>
  <si>
    <t>a547c643-c56a-3b8f-8aa5-acbf433af808</t>
  </si>
  <si>
    <t>xxx Electricity, medium voltage, residual mix {CY}</t>
  </si>
  <si>
    <t>0f38e9a5-b700-379e-a99f-7e78022dc298</t>
  </si>
  <si>
    <t>xxx Electricity, medium voltage, residual mix {CZ}</t>
  </si>
  <si>
    <t>e8fb4ff2-66fe-34e3-9e48-f29dac652e85</t>
  </si>
  <si>
    <t>xxx Electricity, medium voltage, residual mix {DE}</t>
  </si>
  <si>
    <t>ac57d005-288a-3015-8659-f1216fa45e5f</t>
  </si>
  <si>
    <t>xxx Electricity, medium voltage, residual mix {DK}</t>
  </si>
  <si>
    <t>7614739d-73e1-358f-8feb-e1a66d5d0ea8</t>
  </si>
  <si>
    <t>xxx Electricity, medium voltage, residual mix {EE}</t>
  </si>
  <si>
    <t>cf8e395e-b87a-3d91-a7d0-bacf6aa398cc</t>
  </si>
  <si>
    <t>xxx Electricity, medium voltage, residual mix {ES}</t>
  </si>
  <si>
    <t>5dc95193-fd37-362e-84f0-1dd0e52b47c3</t>
  </si>
  <si>
    <t>xxx Electricity, medium voltage, residual mix {FI}</t>
  </si>
  <si>
    <t>7a6d448a-d2e0-3c72-b061-25a852873c64</t>
  </si>
  <si>
    <t>xxx Electricity, medium voltage, residual mix {FR}</t>
  </si>
  <si>
    <t>5b94ab2a-265d-39b6-ab50-d266905745eb</t>
  </si>
  <si>
    <t>xxx Electricity, medium voltage, residual mix {GB}</t>
  </si>
  <si>
    <t>13005f0e-9927-3c31-832b-690018308c7e</t>
  </si>
  <si>
    <t>xxx Electricity, medium voltage, residual mix {GR}</t>
  </si>
  <si>
    <t>e645ade0-a0ac-3f85-80bc-d9885919dde5</t>
  </si>
  <si>
    <t>xxx Electricity, medium voltage, residual mix {HR}</t>
  </si>
  <si>
    <t>0827b1e5-6b1a-373b-9a2a-b5cbc6feafdb</t>
  </si>
  <si>
    <t>xxx Electricity, medium voltage, residual mix {HU}</t>
  </si>
  <si>
    <t>2e4fff5c-51b8-3919-b911-586dbb03effe</t>
  </si>
  <si>
    <t>xxx Electricity, medium voltage, residual mix {IE}</t>
  </si>
  <si>
    <t>8c7fe274-98f2-3c5e-9331-0f2e5081538f</t>
  </si>
  <si>
    <t>xxx Electricity, medium voltage, residual mix {IS}</t>
  </si>
  <si>
    <t>5f0ecdeb-70f5-3f31-b4c0-bdb5a9d5b819</t>
  </si>
  <si>
    <t>xxx Electricity, medium voltage, residual mix {IT}</t>
  </si>
  <si>
    <t>93531ca0-831b-3b8d-8529-c304855deff9</t>
  </si>
  <si>
    <t>xxx Electricity, medium voltage, residual mix {LT}</t>
  </si>
  <si>
    <t>a4f9e4aa-7844-3670-a2ab-a59afae9172f</t>
  </si>
  <si>
    <t>xxx Electricity, medium voltage, residual mix {LU}</t>
  </si>
  <si>
    <t>d6b3319a-a6db-34ce-b516-428c2f2e8f5d</t>
  </si>
  <si>
    <t>xxx Electricity, medium voltage, residual mix {LV}</t>
  </si>
  <si>
    <t>1c1dbb7f-2d18-352b-998d-af3f5332d66b</t>
  </si>
  <si>
    <t>xxx Electricity, medium voltage, residual mix {MT}</t>
  </si>
  <si>
    <t>1476bd80-51c7-3c4f-aa46-981e29fe09f7</t>
  </si>
  <si>
    <t>xxx Electricity, medium voltage, residual mix {NL}</t>
  </si>
  <si>
    <t>4310dada-df74-38f5-b8cd-3fcff3eb8542</t>
  </si>
  <si>
    <t>xxx Electricity, medium voltage, residual mix {NO}</t>
  </si>
  <si>
    <t>13dcb7d6-5a0a-376b-95ac-182b187582b9</t>
  </si>
  <si>
    <t>xxx Electricity, medium voltage, residual mix {PL}</t>
  </si>
  <si>
    <t>ef57fc33-b90c-32ea-aea9-5564b9201e29</t>
  </si>
  <si>
    <t>xxx Electricity, medium voltage, residual mix {PT}</t>
  </si>
  <si>
    <t>cd0da0f1-9e6a-3ff0-ba32-908b8f663433</t>
  </si>
  <si>
    <t>xxx Electricity, medium voltage, residual mix {RO}</t>
  </si>
  <si>
    <t>dd486719-10a3-3de7-82e5-a3a46b3eeb67</t>
  </si>
  <si>
    <t>xxx Electricity, medium voltage, residual mix {SE}</t>
  </si>
  <si>
    <t>6ca99b28-6f80-3bc3-b12f-ce9c0e0f034a</t>
  </si>
  <si>
    <t>xxx Electricity, medium voltage, residual mix {SI}</t>
  </si>
  <si>
    <t>9828dab2-7d3f-3f3f-82d2-4b9c7235326b</t>
  </si>
  <si>
    <t>xxx Electricity, medium voltage, residual mix {SK}</t>
  </si>
  <si>
    <t>872f686f-5f80-3af4-b449-f990fb5d659d</t>
  </si>
  <si>
    <t>xxx Electricity, photovoltaic, at 3kWp slanted-roof , mc-Si, future {CH}</t>
  </si>
  <si>
    <t>935e8495-188e-313d-89bc-72e23ae98c58</t>
  </si>
  <si>
    <t>xxx Electricity, photovoltaic, at 3kWp slanted-roof , pc-Si, future {CH}</t>
  </si>
  <si>
    <t>d2925389-049f-35b6-97fa-cec82c11b938</t>
  </si>
  <si>
    <t>xxx Electricity, production mix AT {AT}</t>
  </si>
  <si>
    <t>34c4e439-0d49-3f64-bd11-dae4146d7606</t>
  </si>
  <si>
    <t>xxx Electricity, production mix AU {AU}</t>
  </si>
  <si>
    <t>d4067c4a-4c38-3f88-8079-e0f998b5de72</t>
  </si>
  <si>
    <t>xxx Electricity, production mix BA {BA}</t>
  </si>
  <si>
    <t>8d24917f-7dcf-36cb-a5bf-422f0d73fb9d</t>
  </si>
  <si>
    <t>xxx Electricity, production mix BE {BE}</t>
  </si>
  <si>
    <t>a9d7964f-c351-3a9c-b9b2-603f28ab316d</t>
  </si>
  <si>
    <t>xxx Electricity, production mix BG {BG}</t>
  </si>
  <si>
    <t>b5eac187-fcc0-30fe-badc-6f638548ad7b</t>
  </si>
  <si>
    <t>xxx Electricity, production mix BR {BR}</t>
  </si>
  <si>
    <t>1adff21f-323a-3170-97d0-c0c25c5dcaa2</t>
  </si>
  <si>
    <t>xxx Electricity, production mix CA {CA}</t>
  </si>
  <si>
    <t>4482bd40-8671-31be-a644-c93bc69e70b8</t>
  </si>
  <si>
    <t>xxx Electricity, production mix CENTREL {CENTREL}</t>
  </si>
  <si>
    <t>80d50db6-be54-39d8-bd08-582817b9e03a</t>
  </si>
  <si>
    <t>xxx Electricity, production mix CH, Bereich 1 {CH}</t>
  </si>
  <si>
    <t>9af57110-8225-374f-b33c-c4de33a81750</t>
  </si>
  <si>
    <t>xxx Electricity, production mix CH, Bereich 4 {CH}</t>
  </si>
  <si>
    <t>5f6b057b-7759-319d-bc12-b757bd795c59</t>
  </si>
  <si>
    <t>xxx Electricity, production mix CL {CL}</t>
  </si>
  <si>
    <t>21ff0e4e-d501-39b1-9ea4-cafb9112e601</t>
  </si>
  <si>
    <t>xxx Electricity, production mix CN {CN}</t>
  </si>
  <si>
    <t>e139a8ca-aaee-39fa-81d8-6a957edfe100</t>
  </si>
  <si>
    <t>xxx Electricity, production mix CS {CS}</t>
  </si>
  <si>
    <t>0b287bee-60dc-3497-b796-1b289fd7e1cc</t>
  </si>
  <si>
    <t>xxx Electricity, production mix CZ {CZ}</t>
  </si>
  <si>
    <t>a9657712-fc20-3541-b483-60a19f4fb6f9</t>
  </si>
  <si>
    <t>xxx Electricity, production mix DE {DE}</t>
  </si>
  <si>
    <t>76db8ddb-c3cb-3efe-9292-2ac3f433f606</t>
  </si>
  <si>
    <t>xxx Electricity, production mix DK {DK}</t>
  </si>
  <si>
    <t>09112f67-5440-3616-bea7-5e061f125cfe</t>
  </si>
  <si>
    <t>xxx Electricity, production mix EE {EE}</t>
  </si>
  <si>
    <t>6ec98019-0b0c-3640-986b-44133f08062e</t>
  </si>
  <si>
    <t>xxx Electricity, production mix ENTSO {ENTSO-E}</t>
  </si>
  <si>
    <t>1a16679b-cf4a-4c51-b2eb-f55d460a123f</t>
  </si>
  <si>
    <t>xxx Electricity, production mix ES {ES}</t>
  </si>
  <si>
    <t>255afda1-d676-3228-93f2-3c16812c481f</t>
  </si>
  <si>
    <t>xxx Electricity, production mix FI {FI}</t>
  </si>
  <si>
    <t>86b8592e-250a-3c59-9618-0349046c97b1</t>
  </si>
  <si>
    <t>xxx Electricity, production mix FR {FR}</t>
  </si>
  <si>
    <t>294c3b52-c8d7-3cf9-8206-0b3c27c42b40</t>
  </si>
  <si>
    <t>xxx Electricity, production mix GB {GB}</t>
  </si>
  <si>
    <t>64c56dd4-4b11-3ac0-a9d7-485b4354fc23</t>
  </si>
  <si>
    <t>xxx Electricity, production mix GLO {GLO}</t>
  </si>
  <si>
    <t>5339f9af-faeb-3b9d-8802-b06e5c80ad2c</t>
  </si>
  <si>
    <t>xxx Electricity, production mix GR {GR}</t>
  </si>
  <si>
    <t>131b7fbd-b7d4-3415-a1c5-e07bae86241b</t>
  </si>
  <si>
    <t>xxx Electricity, production mix HR {HR}</t>
  </si>
  <si>
    <t>3874560b-2333-3c18-967b-732a5d2fa9f4</t>
  </si>
  <si>
    <t>xxx Electricity, production mix HU {HU}</t>
  </si>
  <si>
    <t>488d0480-2c29-36f9-940f-54127606cff8</t>
  </si>
  <si>
    <t>xxx Electricity, production mix ID {ID}</t>
  </si>
  <si>
    <t>e1cd8ef5-d759-3f88-833f-f6a74de717ce</t>
  </si>
  <si>
    <t>xxx Electricity, production mix IE {IE}</t>
  </si>
  <si>
    <t>d1029f26-9116-399b-a20d-d134046f50c0</t>
  </si>
  <si>
    <t>xxx Electricity, production mix IN {IN}</t>
  </si>
  <si>
    <t>1c80c77f-0f74-3d9c-89cb-909d9dad0786</t>
  </si>
  <si>
    <t>xxx Electricity, production mix IR {IR}</t>
  </si>
  <si>
    <t>cb1f357d-d26a-383f-913e-b06972398c41</t>
  </si>
  <si>
    <t>xxx Electricity, production mix IS {IS}</t>
  </si>
  <si>
    <t>819a3b92-eeba-381d-9784-b7a0f016ed0d</t>
  </si>
  <si>
    <t>xxx Electricity, production mix IT {IT}</t>
  </si>
  <si>
    <t>b84a16c7-dc6f-38e2-85de-f7d243376518</t>
  </si>
  <si>
    <t>xxx Electricity, production mix JP {JP}</t>
  </si>
  <si>
    <t>6522d1f1-0e28-3f68-9796-1b28bb36bacc</t>
  </si>
  <si>
    <t>xxx Electricity, production mix KR {KR}</t>
  </si>
  <si>
    <t>23d979b1-fb5a-326a-9001-12d0e6b97344</t>
  </si>
  <si>
    <t>xxx Electricity, production mix LT {LT}</t>
  </si>
  <si>
    <t>4eecd31f-2fb0-34cc-a3b1-987dacedb5c1</t>
  </si>
  <si>
    <t>xxx Electricity, production mix LU {LU}</t>
  </si>
  <si>
    <t>1d2b062a-1eac-36c4-8ccc-cf0e954d110b</t>
  </si>
  <si>
    <t>xxx Electricity, production mix LV {LV}</t>
  </si>
  <si>
    <t>b5accb6f-a9a3-36ed-a829-44d16caf9ffb</t>
  </si>
  <si>
    <t>xxx Electricity, production mix MK {MK}</t>
  </si>
  <si>
    <t>4a08b047-925e-35b7-8452-289655f439b3</t>
  </si>
  <si>
    <t>xxx Electricity, production mix MX {MX}</t>
  </si>
  <si>
    <t>0016d799-566a-3a58-bf88-48e3a349ee00</t>
  </si>
  <si>
    <t>xxx Electricity, production mix MY {MY}</t>
  </si>
  <si>
    <t>f4d3602c-7cae-34fd-b90f-d2b77ea433a1</t>
  </si>
  <si>
    <t>xxx Electricity, production mix NL {NL}</t>
  </si>
  <si>
    <t>16e3cfa6-88ac-33cb-8f80-912dc25bec9b</t>
  </si>
  <si>
    <t>xxx Electricity, production mix NO {NO}</t>
  </si>
  <si>
    <t>0dd6c1c6-44e9-38ca-b280-ad57d597302a</t>
  </si>
  <si>
    <t>xxx Electricity, production mix PE {PE}</t>
  </si>
  <si>
    <t>4fa54f79-cf8a-3e45-84ff-0f48a63baea8</t>
  </si>
  <si>
    <t>xxx Electricity, production mix PL {PL}</t>
  </si>
  <si>
    <t>ba0f66e3-b124-3e06-94c2-dc4fe3af5bb4</t>
  </si>
  <si>
    <t>xxx Electricity, production mix PT {PT}</t>
  </si>
  <si>
    <t>0d341ae5-5dd1-329b-9ce7-f814e2b7f38e</t>
  </si>
  <si>
    <t>xxx Electricity, production mix RO {RO}</t>
  </si>
  <si>
    <t>9670d3f4-9ea7-352c-8583-a9b3058990cf</t>
  </si>
  <si>
    <t>xxx Electricity, production mix RU {RU}</t>
  </si>
  <si>
    <t>58e98ae8-4970-3e51-acee-1216447b2b2d</t>
  </si>
  <si>
    <t>xxx Electricity, production mix SA {SA}</t>
  </si>
  <si>
    <t>cfd4609f-9e26-3dc2-ae17-7e0b534323ac</t>
  </si>
  <si>
    <t>xxx Electricity, production mix SE {SE}</t>
  </si>
  <si>
    <t>c49a6440-910f-39aa-9a8e-e93c95ab9a68</t>
  </si>
  <si>
    <t>xxx Electricity, production mix SI {SI}</t>
  </si>
  <si>
    <t>af5b02b0-3f80-3e23-ace7-043fe278dfe2</t>
  </si>
  <si>
    <t>xxx Electricity, production mix SK {SK}</t>
  </si>
  <si>
    <t>3ccc2a18-aa58-3368-a8bb-620fb676b037</t>
  </si>
  <si>
    <t>xxx Electricity, production mix TH {TH}</t>
  </si>
  <si>
    <t>f2448fcb-07af-370f-90d1-e0eaa1be01e5</t>
  </si>
  <si>
    <t>xxx Electricity, production mix TN {TN}</t>
  </si>
  <si>
    <t>fbd560e3-6df6-3f1e-bde9-fd8e10d869f6</t>
  </si>
  <si>
    <t>xxx Electricity, production mix TR {TR}</t>
  </si>
  <si>
    <t>464f623e-6550-3177-b54a-371ea9db4cfe</t>
  </si>
  <si>
    <t>xxx Electricity, production mix TW {TW}</t>
  </si>
  <si>
    <t>2c3d140a-e2dd-3466-afd9-6bf7bf99c193</t>
  </si>
  <si>
    <t>xxx Electricity, production mix TZ {TZ}</t>
  </si>
  <si>
    <t>1af95926-9851-3be6-8869-e17cca2c7314</t>
  </si>
  <si>
    <t>xxx Electricity, production mix UA {UA}</t>
  </si>
  <si>
    <t>5eaac184-fd78-391e-8333-4c700fc6954a</t>
  </si>
  <si>
    <t>xxx Electricity, production mix UCTE {UCTE}</t>
  </si>
  <si>
    <t>69d96275-7566-3a4d-a6a1-04d4faeede99</t>
  </si>
  <si>
    <t>xxx Electricity, production mix US {US}</t>
  </si>
  <si>
    <t>b6f8560c-47cd-3e3b-a6fc-49bc4ad5c56a</t>
  </si>
  <si>
    <t>xxx Electricity, residual mix {AT}</t>
  </si>
  <si>
    <t>95f3a262-d1d4-37e1-9533-e88109beccc6</t>
  </si>
  <si>
    <t>xxx Electricity, residual mix {BE}</t>
  </si>
  <si>
    <t>da6faa24-10fa-32e1-af69-e13add120539</t>
  </si>
  <si>
    <t>xxx Electricity, residual mix {BG}</t>
  </si>
  <si>
    <t>96c1efed-565b-3ea5-b196-fce6cf1a4bea</t>
  </si>
  <si>
    <t>xxx Electricity, residual mix {CY}</t>
  </si>
  <si>
    <t>850a0c9d-eb5e-3eaf-a75b-b2ff089c0df1</t>
  </si>
  <si>
    <t>xxx Electricity, residual mix {CZ}</t>
  </si>
  <si>
    <t>39b4e91a-54d1-308a-ba45-12fe30d3918b</t>
  </si>
  <si>
    <t>xxx Electricity, residual mix {DE}</t>
  </si>
  <si>
    <t>2f67a5b1-1519-3bfe-9f04-a14bd125bd06</t>
  </si>
  <si>
    <t>xxx Electricity, residual mix {DK}</t>
  </si>
  <si>
    <t>9dff8e0e-cd57-3025-82dd-538a05110e46</t>
  </si>
  <si>
    <t>xxx Electricity, residual mix {EE}</t>
  </si>
  <si>
    <t>50369067-28f3-30f8-b888-0f791322ddca</t>
  </si>
  <si>
    <t>xxx Electricity, residual mix {ES}</t>
  </si>
  <si>
    <t>c9c3b0e4-398f-3103-99e6-76e321a36ff0</t>
  </si>
  <si>
    <t>xxx Electricity, residual mix {FI}</t>
  </si>
  <si>
    <t>322736cd-a8a1-3b47-9172-52e6e8150454</t>
  </si>
  <si>
    <t>xxx Electricity, residual mix {FR}</t>
  </si>
  <si>
    <t>19117ab8-2f16-3943-98c3-5404c7b82ea2</t>
  </si>
  <si>
    <t>xxx Electricity, residual mix {GB}</t>
  </si>
  <si>
    <t>2f64197a-87bc-384c-a5db-091aecb15a39</t>
  </si>
  <si>
    <t>xxx Electricity, residual mix {GR}</t>
  </si>
  <si>
    <t>24bb2081-67d3-3da1-9cba-faa9a51491ad</t>
  </si>
  <si>
    <t>xxx Electricity, residual mix {HR}</t>
  </si>
  <si>
    <t>18a9f940-5ed3-3263-8200-5075d3d21855</t>
  </si>
  <si>
    <t>xxx Electricity, residual mix {HU}</t>
  </si>
  <si>
    <t>419c8565-3be6-3863-87d9-08e120ee91d3</t>
  </si>
  <si>
    <t>xxx Electricity, residual mix {IE}</t>
  </si>
  <si>
    <t>330de721-cbd9-3fba-a397-fce4d1a2bf11</t>
  </si>
  <si>
    <t>xxx Electricity, residual mix {IS}</t>
  </si>
  <si>
    <t>2933e972-b8c1-3c06-bc74-1844034739ea</t>
  </si>
  <si>
    <t>xxx Electricity, residual mix {IT}</t>
  </si>
  <si>
    <t>128a9518-47b1-33c1-94fc-297a0248990a</t>
  </si>
  <si>
    <t>xxx Electricity, residual mix {LT}</t>
  </si>
  <si>
    <t>7e198a90-7ba4-35fd-8ca6-9af0366d410b</t>
  </si>
  <si>
    <t>xxx Electricity, residual mix {LU}</t>
  </si>
  <si>
    <t>bb46dd24-c3a6-3524-90db-ff0236313e25</t>
  </si>
  <si>
    <t>xxx Electricity, residual mix {LV}</t>
  </si>
  <si>
    <t>c8aa573f-52d3-36f8-81c4-5aa7df3dd02e</t>
  </si>
  <si>
    <t>xxx Electricity, residual mix {MT}</t>
  </si>
  <si>
    <t>da7801f4-b75f-38c3-94b6-95c657788290</t>
  </si>
  <si>
    <t>xxx Electricity, residual mix {NL}</t>
  </si>
  <si>
    <t>98bc1899-62c5-3a75-aa68-b56059a3ee82</t>
  </si>
  <si>
    <t>xxx Electricity, residual mix {NO}</t>
  </si>
  <si>
    <t>1d89f6f5-c4fb-32b8-9305-f45eb3e19f07</t>
  </si>
  <si>
    <t>xxx Electricity, residual mix {PL}</t>
  </si>
  <si>
    <t>d2d51a6a-7254-307c-9fe5-fb0986fa05fa</t>
  </si>
  <si>
    <t>xxx Electricity, residual mix {PT}</t>
  </si>
  <si>
    <t>09d838c8-9cff-39c9-9de6-a96e3daf9a50</t>
  </si>
  <si>
    <t>xxx Electricity, residual mix {RO}</t>
  </si>
  <si>
    <t>37c65847-15a2-3934-8c9c-09a95e39b739</t>
  </si>
  <si>
    <t>xxx Electricity, residual mix {SE}</t>
  </si>
  <si>
    <t>fe64d3fe-957f-3f7f-b496-bebb015039a7</t>
  </si>
  <si>
    <t>xxx Electricity, residual mix {SI}</t>
  </si>
  <si>
    <t>c5e636be-b466-39b1-9608-7b3afe046754</t>
  </si>
  <si>
    <t>xxx Electricity, residual mix {SK}</t>
  </si>
  <si>
    <t>5413230e-e715-33cb-98dc-12e90879e4fc</t>
  </si>
  <si>
    <t>xxx Facade construction, integrated, at building {CH}</t>
  </si>
  <si>
    <t>6b3b027a-5066-318c-8961-707ea3f05673</t>
  </si>
  <si>
    <t>xxx Facade construction, integrated, on roof {CH}</t>
  </si>
  <si>
    <t>6243c04d-a622-3196-8909-a43a92fba594</t>
  </si>
  <si>
    <t>xxx Facade construction, mounted, at building {CH}</t>
  </si>
  <si>
    <t>7c071109-dcca-39af-8024-97a40e7587f5</t>
  </si>
  <si>
    <t>xxx Facade construction, mounted, on roof {CH}</t>
  </si>
  <si>
    <t>64ef30f6-f358-3f07-9cff-597823e3a19d</t>
  </si>
  <si>
    <t>xxx Fibreboard hard, at plant {RER}</t>
  </si>
  <si>
    <t>material, obsolete\wood, obsolete\products, obsolete</t>
  </si>
  <si>
    <t>5f4c1838-85b5-3384-b4f7-696e0e22928f</t>
  </si>
  <si>
    <t>xxx Fibreboard soft, at plant {RER}</t>
  </si>
  <si>
    <t>0c129428-6003-3b7a-902e-61fa42b66bc0</t>
  </si>
  <si>
    <t>xxx Fibreboard soft, latex bonded, at plant (u=7%) {CH}</t>
  </si>
  <si>
    <t>eae68395-c634-3b72-a5f1-d7e34647ae58</t>
  </si>
  <si>
    <t>xxx Fibreboard soft, without adhesives, at plant (u=7%) {CH}</t>
  </si>
  <si>
    <t>047131f7-2f82-30f9-9c74-12f9dff5298f</t>
  </si>
  <si>
    <t>xxx Flat plate collector, at plant {CH}</t>
  </si>
  <si>
    <t>9c25aa5f-f6a2-3ef7-bdd4-3077de53185d</t>
  </si>
  <si>
    <t>xxx Flat roof construction, on roof, m2 {CH}</t>
  </si>
  <si>
    <t>7a9be371-b380-38a9-86a3-91ba2b2ff392</t>
  </si>
  <si>
    <t>xxx Flat roof construction, on roof, p {CH}</t>
  </si>
  <si>
    <t>bd345c94-226b-37c3-8186-d0bc608868c5</t>
  </si>
  <si>
    <t>xxx Furnace, logs, hardwood, 100kW {CH}</t>
  </si>
  <si>
    <t>energy, obsolete\heat, obsolete\wood, obsolete\furnace, obsolete\infrastructure, obsolete</t>
  </si>
  <si>
    <t>b7af86ad-d6e5-3ce4-89f4-b3c788b705e9</t>
  </si>
  <si>
    <t>xxx Furnace, logs, hardwood, 30kW {CH}</t>
  </si>
  <si>
    <t>4ead775d-ee23-38b5-8e5b-6c267fcb75a6</t>
  </si>
  <si>
    <t>xxx Furnace, logs, mixed, 100kW {CH}</t>
  </si>
  <si>
    <t>982afd94-30b5-3451-90b3-14020fae488f</t>
  </si>
  <si>
    <t>xxx Furnace, logs, mixed, 30kW {CH}</t>
  </si>
  <si>
    <t>de2c4ed7-d066-36f7-a87e-8e880f9e74f1</t>
  </si>
  <si>
    <t>xxx Furnace, logs, softwood, 100kW {CH}</t>
  </si>
  <si>
    <t>c21cc0da-449f-3dc5-bb1c-65f2aa31352f</t>
  </si>
  <si>
    <t>xxx Furnace, logs, softwood, 30kW {CH}</t>
  </si>
  <si>
    <t>dda0222a-a357-3ea9-8e46-e16364d4e61f</t>
  </si>
  <si>
    <t>xxx Gas boiler {RER}</t>
  </si>
  <si>
    <t>energy, obsolete\heat, obsolete\gas, obsolete\furnace, obsolete\infrastructure, obsolete</t>
  </si>
  <si>
    <t>3ea17eca-23cf-36f3-aed8-a032c0ec0f8e</t>
  </si>
  <si>
    <t>xxx Glued laminated timber, indoor use, at regional storage {CH}</t>
  </si>
  <si>
    <t>material, obsolete\wood, obsolete</t>
  </si>
  <si>
    <t>56708464-adf7-3dc2-8272-5bdaa5bee177</t>
  </si>
  <si>
    <t>xxx Glued laminated timber, oudoor use, at regional storage {CH}</t>
  </si>
  <si>
    <t>66279d07-f2d6-37a6-9947-7f07a677d8ca</t>
  </si>
  <si>
    <t>xxx Glued laminated timber, outdoor use, at plant {CH}</t>
  </si>
  <si>
    <t>material, obsolete\wooden material updated processes, obsolete\other material, obsolete</t>
  </si>
  <si>
    <t>d8c959fb-78ca-3f56-919b-c867a3849cc0</t>
  </si>
  <si>
    <t>xxx Glued laminated timber, outdoor use, at plant {RER}</t>
  </si>
  <si>
    <t>1ead72b8-b3e9-3d5a-8c28-7a2c0182e32c</t>
  </si>
  <si>
    <t>xxx Hardwood, Scandinavian, standing, under bark, in forest {NORDEL}</t>
  </si>
  <si>
    <t>139cddc6-8cc9-3316-b9af-142209ef6ab4</t>
  </si>
  <si>
    <t>xxx Hardwood, stand establishment, tending, site development, under bark {RER}</t>
  </si>
  <si>
    <t>165b2a57-bf0b-3684-942c-ed57f63ce55b</t>
  </si>
  <si>
    <t>xxx Hardwood, standing, under bark, in forest {RER}</t>
  </si>
  <si>
    <t>eda3df4e-84d5-327c-a694-0b0d78facc62</t>
  </si>
  <si>
    <t>xxx Heat, at cogen 1MWe lean burn, allocation energy {CH}</t>
  </si>
  <si>
    <t>d9121c9a-00fd-3452-978c-d5e3ec560dfe</t>
  </si>
  <si>
    <t>xxx Heat, at cogen 1MWe lean burn, allocation heat {CH}</t>
  </si>
  <si>
    <t>e069d917-6367-32c2-849f-3b335eef02e7</t>
  </si>
  <si>
    <t>xxx Heat, at cogen 200kWe diesel SCR, allocation energy {CH}</t>
  </si>
  <si>
    <t>08dc131a-8cc7-3903-a379-aa93461d7104</t>
  </si>
  <si>
    <t>xxx Heat, at cogen 200kWe diesel, allocation heat {CH}</t>
  </si>
  <si>
    <t>0c6b1c10-ace3-308b-a245-6665946e525d</t>
  </si>
  <si>
    <t>xxx Heat, at cogen 200kWe lean burn, allocation energy {CH}</t>
  </si>
  <si>
    <t>16120619-2f23-3772-bc08-421c374e5818</t>
  </si>
  <si>
    <t>xxx Heat, at cogen 200kWe lean burn, allocation heat {CH}</t>
  </si>
  <si>
    <t>6b9122e8-6f92-34eb-b990-79c2a8cc3193</t>
  </si>
  <si>
    <t>xxx Heat, at cogen 500kWe lean burn, allocation energy {CH}</t>
  </si>
  <si>
    <t>19fe7461-cf7e-3531-b223-875586f2e9f6</t>
  </si>
  <si>
    <t>xxx Heat, at cogen 500kWe lean burn, allocation exergy {CH}</t>
  </si>
  <si>
    <t>fdf59e16-24c6-3152-be4f-d16309a2b6e3</t>
  </si>
  <si>
    <t>xxx Heat, at cogen 500kWe lean burn, allocation heat {CH}</t>
  </si>
  <si>
    <t>00936c28-4271-35fa-87f1-8f1de930380e</t>
  </si>
  <si>
    <t>xxx Heat, at cogen 50kWe lean burn, allocation energy {CH}</t>
  </si>
  <si>
    <t>a28a0c82-9e5e-3b9d-ade1-110ed80f4412</t>
  </si>
  <si>
    <t>xxx Heat, at cogen 50kWe lean burn, allocation heat {CH}</t>
  </si>
  <si>
    <t>aeb47e1e-b4bd-3a6d-8159-a2f9513d30c6</t>
  </si>
  <si>
    <t>xxx Heat, at cogen 6400kWth, wood, allocation energy {CH}</t>
  </si>
  <si>
    <t>ed3c0eea-86fe-36e8-8586-793772aef07a</t>
  </si>
  <si>
    <t>xxx Heat, at cogen 6400kWth, wood, allocation exergy {CH}</t>
  </si>
  <si>
    <t>a8fadfc7-bc48-3e28-b48c-8c75f1eee0f7</t>
  </si>
  <si>
    <t>xxx Heat, at cogen 6400kWth, wood, allocation heat {CH}</t>
  </si>
  <si>
    <t>087ccca6-ea34-3cb9-a24d-c58b20be6e20</t>
  </si>
  <si>
    <t>xxx Heat, at cogen 6400kWth, wood, emission control, allocation energy {CH}</t>
  </si>
  <si>
    <t>2000de71-390d-3cf6-a106-4d9a477feba1</t>
  </si>
  <si>
    <t>xxx Heat, at cogen 6400kWth, wood, emission control, allocation exergy {CH}</t>
  </si>
  <si>
    <t>4b6fee4b-682d-321d-b856-7878d30e5e24</t>
  </si>
  <si>
    <t>xxx Heat, at cogen 6400kWth, wood, emission control, allocation heat {CH}</t>
  </si>
  <si>
    <t>fe4f1cb6-3bb3-3adb-a313-ea65683da596</t>
  </si>
  <si>
    <t>xxx Heat, at flat plate collector, multiple dwelling, for hot water {CH}</t>
  </si>
  <si>
    <t>3100dcab-dc76-36b3-b870-b6bba1171a66</t>
  </si>
  <si>
    <t>xxx Heat, at flat plate collector, one-family house, for combined system {CH}</t>
  </si>
  <si>
    <t>3d83eeb5-b1dc-3dd1-b1c1-ddcf5867080d</t>
  </si>
  <si>
    <t>xxx Heat, at flat plate collector, one-family house, for hot water {CH}</t>
  </si>
  <si>
    <t>e2f11263-60ea-3a75-be65-c3a64c05022b</t>
  </si>
  <si>
    <t>xxx Heat, at hot water tank, solar+electric, flat plate, multiple dwelling {CH}</t>
  </si>
  <si>
    <t>001f4c49-9ea8-3342-8a17-dfa8db07e634</t>
  </si>
  <si>
    <t>xxx Heat, at hot water tank, solar+gas, flat plate, multiple dwelling {CH}</t>
  </si>
  <si>
    <t>5ab70239-263e-30f0-acb8-65fbb970dddb</t>
  </si>
  <si>
    <t>xxx Heat, at hot water tank, solar+gas, flat plate, one-family house {CH}</t>
  </si>
  <si>
    <t>43aaa399-b5be-3aac-bb47-bea54e982e1f</t>
  </si>
  <si>
    <t>xxx Heat, at solar+gas heating, flat plate, one-family house, combined system {CH}</t>
  </si>
  <si>
    <t>85e55f34-a374-3aee-82ea-b62885aac241</t>
  </si>
  <si>
    <t>xxx Heat, at solar+gas heating, tube collector, one-family house, combined system {CH}</t>
  </si>
  <si>
    <t>5475c737-62b6-3b0d-8bba-99f0ce7f727d</t>
  </si>
  <si>
    <t>xxx Heat, at solar+wood heating, flat plate, one-family house, combined system {CH}</t>
  </si>
  <si>
    <t>5e9545bd-e40b-34eb-8072-5ea80330b699</t>
  </si>
  <si>
    <t>xxx Heat, at tube collector, one-family house, for combined system {CH}</t>
  </si>
  <si>
    <t>f198c711-83ab-3997-9a8f-54e2be81c69f</t>
  </si>
  <si>
    <t>xxx Heat, natural gas, at industrial furnace low-NOx &gt;100kW {RER}</t>
  </si>
  <si>
    <t>72d574ad-634c-33e3-a037-41c027e813f0</t>
  </si>
  <si>
    <t>xxx Helium, gaseous, at plant {RER}</t>
  </si>
  <si>
    <t>30d17e0e-4d9a-36fc-92a8-10ec495219ac</t>
  </si>
  <si>
    <t>xxx Industrial residue wood, 3-layered LB production, softwood, u=20%, at plant {RER}</t>
  </si>
  <si>
    <t>55a20b58-5eda-36a2-b48a-604b505c091d</t>
  </si>
  <si>
    <t>xxx Industrial residue wood, from planing, hard, air, kiln dried, u=10%, at plant {RER}</t>
  </si>
  <si>
    <t>b4ed1582-325b-3f9d-a35c-460b78218ed6</t>
  </si>
  <si>
    <t>xxx Industrial residue wood, from planing, hardwood, kiln dried, u=10%, at plant {RER}</t>
  </si>
  <si>
    <t>9cac51c6-ee72-3568-a738-8d0d726da058</t>
  </si>
  <si>
    <t>xxx Industrial residue wood, from planing, softwood, air dried, u=20%, at plant {RER}</t>
  </si>
  <si>
    <t>8c81b9e8-824e-3c0a-844f-c8371bab3ba0</t>
  </si>
  <si>
    <t>xxx Industrial residue wood, from planing, softwood, kiln dried, u=10%, at plant {RER}</t>
  </si>
  <si>
    <t>157712ab-6d77-3005-a651-a2b490cb1e86</t>
  </si>
  <si>
    <t>xxx Industrial residue wood, GLT production, indoor use, u=10%, at plant {RER}</t>
  </si>
  <si>
    <t>2531c17b-0c74-3fad-8c28-e758ec06f2aa</t>
  </si>
  <si>
    <t>xxx Industrial residue wood, GLT production, outdoor use, u=10%, at plant {RER}</t>
  </si>
  <si>
    <t>30ba313c-f25d-344b-89e0-21efd14ba6d7</t>
  </si>
  <si>
    <t>xxx Industrial residue wood, hardwood, including bark, air dried, u=20%, at plant {RER}</t>
  </si>
  <si>
    <t>a278ac2f-eba8-33b9-a3c1-46436e764a77</t>
  </si>
  <si>
    <t>xxx Industrial residue wood, hardwood, including bark, u=70%, at plant {RER}</t>
  </si>
  <si>
    <t>14635e0c-0fe8-3c09-98d3-0b1459c8e5fa</t>
  </si>
  <si>
    <t>xxx Industrial residue wood, LTE production, hardwood, u=20%, at plant {RER}</t>
  </si>
  <si>
    <t>1d8bed16-7340-3fda-8217-a2d3d7c4d805</t>
  </si>
  <si>
    <t>xxx Industrial residue wood, LTE production, softwood, u=20%, at plant {RER}</t>
  </si>
  <si>
    <t>896f32ce-acb3-3fa1-82bf-78019c74e658</t>
  </si>
  <si>
    <t>xxx Industrial residue wood, mix, hardwood, u=40%, at plant {RER}</t>
  </si>
  <si>
    <t>cf50c749-3575-33d8-bf71-c6f3d3ac92cb</t>
  </si>
  <si>
    <t>xxx Industrial residue wood, mix, softwood, u=40%, at plant {RER}</t>
  </si>
  <si>
    <t>164f42c5-91e3-38f0-8a54-887917e27141</t>
  </si>
  <si>
    <t>xxx Industrial residue wood, plywood prod., indoor use, hardwood, u=20%, at plant {RER}</t>
  </si>
  <si>
    <t>b126ad57-88fe-3b17-a76d-1bff32f306ed</t>
  </si>
  <si>
    <t>xxx Industrial residue wood, plywood prod., outdoor use, hardwood, u=20%, at plant {RER}</t>
  </si>
  <si>
    <t>afb0e290-d71f-37f4-a086-1a514ec02770</t>
  </si>
  <si>
    <t>xxx Industrial residue wood, softwood, forest-debarked, air dried, u=20%, at plant {RER}</t>
  </si>
  <si>
    <t>baad50d6-be95-3675-8714-c10273766310</t>
  </si>
  <si>
    <t>xxx Industrial residue wood, softwood, forest-debarked, u=70%, at plant {RER}</t>
  </si>
  <si>
    <t>b4f43da2-8193-3b89-8383-f6a0de1f403e</t>
  </si>
  <si>
    <t>xxx Industrial residue wood, softwood, plant-debarked, u=70%, at plant {RER}</t>
  </si>
  <si>
    <t>3b109d35-a30e-3945-8a4c-ded640d75646</t>
  </si>
  <si>
    <t>xxx Industrial residue wood, wood wool production, softwood, u=20%, at plant {RER}</t>
  </si>
  <si>
    <t>8e0efb3a-fa1b-3f9a-bfc2-5a3a224a672b</t>
  </si>
  <si>
    <t>xxx Industrial wood, hardwood, under bark, u=80%, at forest road {RER}</t>
  </si>
  <si>
    <t>50a182a7-3772-3b50-8155-9465a171663c</t>
  </si>
  <si>
    <t>xxx Industrial wood, Scandinavian hardwood, under bark, u=80%, at forest road {NORDEL}</t>
  </si>
  <si>
    <t>98693b06-272b-31ee-9025-38f8577b6fcd</t>
  </si>
  <si>
    <t>xxx Industrial wood, Scandinavian softwood, under bark, u=140%, at forest road {NORDEL}</t>
  </si>
  <si>
    <t>c70f44c1-7bbf-314f-9cec-4729733acaf5</t>
  </si>
  <si>
    <t>xxx Industrial wood, softwood, under bark, u=140%, at forest road {RER}</t>
  </si>
  <si>
    <t>d6ec26b8-907a-345c-b4eb-fa5c9d24b337</t>
  </si>
  <si>
    <t>xxx Logs, hardwood, at forest {RER}</t>
  </si>
  <si>
    <t>cd9360d5-2910-3b95-949e-ef4420a9f760</t>
  </si>
  <si>
    <t>xxx Logs, mixed, at forest {RER}</t>
  </si>
  <si>
    <t>410aed90-695f-3f43-9c9f-55e71beca7d5</t>
  </si>
  <si>
    <t>xxx Logs, softwood, at forest {RER}</t>
  </si>
  <si>
    <t>2aed76ae-b622-3745-a18c-a6dd41e59ade</t>
  </si>
  <si>
    <t>xxx Mc-Si wafer, at plant {RER}</t>
  </si>
  <si>
    <t>af225e75-ce2d-365b-a609-1b652d5c18a5</t>
  </si>
  <si>
    <t>xxx Mc-Si wafer, future, at plant {RER}</t>
  </si>
  <si>
    <t>85042622-b3c1-38ff-b0b7-de34cda947b7</t>
  </si>
  <si>
    <t>xxx Medium density fibreboard, at plant {RER}</t>
  </si>
  <si>
    <t>4df4ffac-269c-3019-be43-34a3e024c5e9</t>
  </si>
  <si>
    <t>xxx Methane, 96 vol-%, from sewage sludge, at purification {CH}</t>
  </si>
  <si>
    <t>dc0f3595-aace-3fe8-96ac-ee0615b265f7</t>
  </si>
  <si>
    <t>xxx Methane, 96 vol-%, from sewage sludge, high pressure, at consumer {CH}</t>
  </si>
  <si>
    <t>4bc8eba2-bf5a-3510-8fb8-9a15a4d38684</t>
  </si>
  <si>
    <t>xxx Natural gas, burned in cogen 500kWe lean burn {CH}</t>
  </si>
  <si>
    <t>c8920fe4-b2f1-31e7-ae46-583669d1faf0</t>
  </si>
  <si>
    <t>xxx Operation, aircraft, freight {RER}</t>
  </si>
  <si>
    <t>transport systems\transport, obsolete\air, obsolete</t>
  </si>
  <si>
    <t>541e7c7c-2860-3d21-8a64-e68a048584c1</t>
  </si>
  <si>
    <t>xxx Operation, aircraft, freight, Europe {RER}</t>
  </si>
  <si>
    <t>11decf32-182b-37e8-8bc3-b26e574b518a</t>
  </si>
  <si>
    <t>xxx Operation, aircraft, freight, intercontinental {RER}</t>
  </si>
  <si>
    <t>830d1927-289e-3bc7-b41a-dd47e6906c7c</t>
  </si>
  <si>
    <t>xxx Operation, aircraft, passenger {RER}</t>
  </si>
  <si>
    <t>881b2510-ff3a-3971-99a9-04d13bcdf54b</t>
  </si>
  <si>
    <t>xxx Operation, aircraft, passenger, Europe {RER}</t>
  </si>
  <si>
    <t>551527a2-f201-3f17-8e71-21292de41016</t>
  </si>
  <si>
    <t>xxx Operation, aircraft, passenger, intercontinental {RER}</t>
  </si>
  <si>
    <t>e872e69b-cb24-39ff-954e-1f00740a6162</t>
  </si>
  <si>
    <t>xxx Operation, barge {RER}</t>
  </si>
  <si>
    <t>transport systems\transport, obsolete\operations, obsolete</t>
  </si>
  <si>
    <t>e6b6033c-5ab1-3626-aa90-5bcaa2a0783d</t>
  </si>
  <si>
    <t>xxx Operation, coach {CH}</t>
  </si>
  <si>
    <t>transport systems\transport, obsolete\road, obsolete\operations, obsolete</t>
  </si>
  <si>
    <t>2a3875d8-f254-3ddf-acd8-d09307991edb</t>
  </si>
  <si>
    <t>xxx Operation, freight train {CH}</t>
  </si>
  <si>
    <t>transport systems\transport, obsolete\rail, obsolete\operations, obsolete</t>
  </si>
  <si>
    <t>bb2a9d50-f060-36a5-b99b-6d15bccd1e8b</t>
  </si>
  <si>
    <t>xxx Operation, high speed train {DE}</t>
  </si>
  <si>
    <t>e5982598-c5da-3be6-9667-f015a4e152bf</t>
  </si>
  <si>
    <t>xxx Operation, long-distance train, SBB mix {CH}</t>
  </si>
  <si>
    <t>6551952a-2a4c-32c1-9f43-460e1232de57</t>
  </si>
  <si>
    <t>xxx Operation, lorry &gt;28t, fleet average {CH}</t>
  </si>
  <si>
    <t>d59160d5-58b0-3af1-972e-2d2f7426d813</t>
  </si>
  <si>
    <t>xxx Operation, lorry 20-28t, fleet average {CH}</t>
  </si>
  <si>
    <t>5ac1e6fe-8fd4-3b34-b306-0be4f1d95857</t>
  </si>
  <si>
    <t>xxx Operation, lorry 3.5-20t, fleet average {CH}</t>
  </si>
  <si>
    <t>de471a7d-71ef-3396-b2ca-91d4e687f82c</t>
  </si>
  <si>
    <t>xxx Operation, passenger car {CH}</t>
  </si>
  <si>
    <t>eb843160-3145-3e22-acfa-dace76f53b15</t>
  </si>
  <si>
    <t>xxx Operation, passenger car, diesel, fleet average {CH}</t>
  </si>
  <si>
    <t>43ff82e2-400a-3664-9d06-144428fbd9c1</t>
  </si>
  <si>
    <t>xxx Operation, regional train, SBB mix {CH}</t>
  </si>
  <si>
    <t>1b890c42-e3da-32f3-bd6b-c9c1f1c116af</t>
  </si>
  <si>
    <t>xxx Operation, regular bus {CH}</t>
  </si>
  <si>
    <t>3d6b71fb-ec43-3f45-8326-02fd6f66b6bb</t>
  </si>
  <si>
    <t>xxx Operation, tram {CH}</t>
  </si>
  <si>
    <t>ad25793a-52eb-34d6-bb30-b350d18de185</t>
  </si>
  <si>
    <t>xxx Operation, transoceanic freight ship {OCE}</t>
  </si>
  <si>
    <t>8fb9482c-4415-3a82-9125-0e3c334f269b</t>
  </si>
  <si>
    <t>xxx Operation, transoceanic tanker {OCE}</t>
  </si>
  <si>
    <t>6aa55fe1-55f9-3ebd-aa76-4ee8187a2027</t>
  </si>
  <si>
    <t>xxx Operation, trolleybus {CH}</t>
  </si>
  <si>
    <t>0c163649-aa6d-3250-a185-26b114aa9627</t>
  </si>
  <si>
    <t>xxx Operation, van &lt; 3,5t {CH}</t>
  </si>
  <si>
    <t>c21996a4-ec68-361e-8fda-dc3ad1081e7d</t>
  </si>
  <si>
    <t>xxx Oriented strand board, at plant {RER}</t>
  </si>
  <si>
    <t>fb9a4417-59a3-3f51-b58d-d020daccf64a</t>
  </si>
  <si>
    <t>xxx Particle board, indoor use, at plant {RER}</t>
  </si>
  <si>
    <t>1a5654af-1040-3a9f-9572-3159aceb62d4</t>
  </si>
  <si>
    <t>xxx Particle board, outdoor use, at plant {RER}</t>
  </si>
  <si>
    <t>e0a52364-aa74-3713-acb8-4ddddc26f369</t>
  </si>
  <si>
    <t>xxx Pc-Si wafer, at plant {RER}</t>
  </si>
  <si>
    <t>0a4a365d-990a-3c89-b290-055f390fafa9</t>
  </si>
  <si>
    <t>xxx Pc-Si wafer, future, at plant {RER}</t>
  </si>
  <si>
    <t>a036d9da-5f56-327a-a1df-b40ccb798f5c</t>
  </si>
  <si>
    <t>xxx Petrol, unleaded, at refinery {CH}</t>
  </si>
  <si>
    <t>a9102706-8a3d-3eb8-9ec7-9463ef1dd115</t>
  </si>
  <si>
    <t>xxx Petrol, unleaded, at refinery {RER}</t>
  </si>
  <si>
    <t>6beb9487-2922-3aa9-8dcb-e6c5cf93a7ba</t>
  </si>
  <si>
    <t>xxx Petrol, unleaded, at regional storage {CH}</t>
  </si>
  <si>
    <t>54682b21-667d-3ef0-8da3-a5d72904cba5</t>
  </si>
  <si>
    <t>xxx Petrol, unleaded, at regional storage {RER}</t>
  </si>
  <si>
    <t>4c1344ac-8366-320f-8201-4e93b5325c91</t>
  </si>
  <si>
    <t>xxx Photovoltaic cell, mc-Si , future, at plant {RER}</t>
  </si>
  <si>
    <t>7eb84cb3-e5bb-3810-b59a-2284b218c07d</t>
  </si>
  <si>
    <t>xxx Photovoltaic cell, mc-Si, at plant {RER}</t>
  </si>
  <si>
    <t>22200e1a-f204-32c1-b381-34f0aa675024</t>
  </si>
  <si>
    <t>xxx Photovoltaic cell, pc-Si , at plant {RER}</t>
  </si>
  <si>
    <t>e4f2e138-5b05-3a38-8175-ec5c93052449</t>
  </si>
  <si>
    <t>xxx Photovoltaic cell, pc-Si , future, at plant {RER}</t>
  </si>
  <si>
    <t>822cd6d0-8940-3854-8d7d-6c371b92f0b7</t>
  </si>
  <si>
    <t>xxx Photovoltaic laminate, mc-Si, at plant {RER}</t>
  </si>
  <si>
    <t>0c86356d-6371-3f11-be21-dc78c59df83b</t>
  </si>
  <si>
    <t>xxx Photovoltaic laminate, mc-Si, future, at plant {RER}</t>
  </si>
  <si>
    <t>e70fc483-8875-39ba-bc9d-a4c944e26496</t>
  </si>
  <si>
    <t>xxx Photovoltaic laminate, pc-Si, at plant {RER}</t>
  </si>
  <si>
    <t>be3e890d-be29-3e7f-bc20-2fc6a7be8ab4</t>
  </si>
  <si>
    <t>xxx Photovoltaic laminate, pc-Si, future, at plant {RER}</t>
  </si>
  <si>
    <t>83206d5e-8a74-3fde-99df-832cf76d01ee</t>
  </si>
  <si>
    <t>xxx Photovoltaic panel, mc-Si, at plant {RER}</t>
  </si>
  <si>
    <t>31098d8a-5b32-3767-9c86-ea8e5f7942f4</t>
  </si>
  <si>
    <t>xxx Photovoltaic panel, pc-Si, at plant {RER}</t>
  </si>
  <si>
    <t>7851ecc2-de72-36a5-9a96-fa5402df46ae</t>
  </si>
  <si>
    <t>xxx Polylactide, granulate, NatureWorks Nebraska {US}</t>
  </si>
  <si>
    <t>fba31eaa-9310-3098-86ba-1732d42311f5</t>
  </si>
  <si>
    <t>xxx Raw cork, at forest road {RER}</t>
  </si>
  <si>
    <t>4f6062fa-d840-371f-80f4-a51f203586d1</t>
  </si>
  <si>
    <t>xxx Residual wood, hardwood, under bark, air dried, u=20%, at forest road {RER}</t>
  </si>
  <si>
    <t>70fdb45a-9870-3227-9572-63db218aea10</t>
  </si>
  <si>
    <t>xxx Residual wood, hardwood, under bark, u=80%, at forest road {RER}</t>
  </si>
  <si>
    <t>dae31981-d56a-3092-8a0f-76172692161b</t>
  </si>
  <si>
    <t>xxx Residual wood, softwood, under bark, air dried, u=20%, at forest road {RER}</t>
  </si>
  <si>
    <t>203bc266-3227-30bc-b938-24f2bfd589b7</t>
  </si>
  <si>
    <t>xxx Residual wood, softwood, under bark, u=140%, at forest road {RER}</t>
  </si>
  <si>
    <t>feb69517-f2fe-3054-abde-baf6b071ec86</t>
  </si>
  <si>
    <t>xxx Round wood, hardwood, under bark, u=70%, at forest road {RER}</t>
  </si>
  <si>
    <t>2fd104bf-4ff6-3f98-8653-79b335bfd6db</t>
  </si>
  <si>
    <t>xxx Round wood, Scandinavian softwood, under bark, u=70% at forest road {NORDEL}</t>
  </si>
  <si>
    <t>56c23a35-7fd2-3b4c-affb-ce4ebb1220aa</t>
  </si>
  <si>
    <t>xxx Round wood, softwood, debarked, u=70% at forest road {RER}</t>
  </si>
  <si>
    <t>ce0a4c63-e839-3e07-b7cc-3c2044709b02</t>
  </si>
  <si>
    <t>xxx Round wood, softwood, under bark, u=70% at forest road {RER}</t>
  </si>
  <si>
    <t>525a7af3-8a90-3965-875a-20a72737ea2a</t>
  </si>
  <si>
    <t>xxx Sawdust, Scandinavian softwood (plant-debarked), u=70%, at plant {NORDEL}</t>
  </si>
  <si>
    <t>7c9ab791-20eb-357d-ba93-55dd0fd335f9</t>
  </si>
  <si>
    <t>xxx Sawn timber, hardwood, planed, air / kiln dried, u=10%, at plant {RER}</t>
  </si>
  <si>
    <t>65df62e3-c071-3971-b9fd-2011f668069c</t>
  </si>
  <si>
    <t>xxx Sawn timber, hardwood, planed, kiln dried, u=10%, at plant {RER}</t>
  </si>
  <si>
    <t>497b9b51-ab57-3389-a45a-bdb567b3fbda</t>
  </si>
  <si>
    <t>xxx Sawn timber, hardwood, raw, air / kiln dried, u=10%, at plant {RER}</t>
  </si>
  <si>
    <t>77127274-ed45-3b96-8baa-68877405457b</t>
  </si>
  <si>
    <t>xxx Sawn timber, hardwood, raw, air dried, u=20%, at plant {RER}</t>
  </si>
  <si>
    <t>af5ccf52-5c50-3b12-896c-5752fd738fcc</t>
  </si>
  <si>
    <t>xxx Sawn timber, hardwood, raw, kiln dried, u=10%, at plant {RER}</t>
  </si>
  <si>
    <t>2103116a-cf7b-313c-ba9e-d85c0dc74b65</t>
  </si>
  <si>
    <t>xxx Sawn timber, hardwood, raw, plant-debarked, u=70%, at plant {RER}</t>
  </si>
  <si>
    <t>c1a72c38-a5d9-3f09-8bb7-d0e4a862d8a5</t>
  </si>
  <si>
    <t>xxx Sawn timber, Scandinavian softwood, raw, plant-debarked, u=70%, at plant {NORDEL}</t>
  </si>
  <si>
    <t>952cee7b-d171-3741-ad76-b3f80baeb85a</t>
  </si>
  <si>
    <t>xxx Sawn timber, softwood, planed, air dried, at plant {RER}</t>
  </si>
  <si>
    <t>7ac6c653-0dae-35fa-88d6-86e4da0d210b</t>
  </si>
  <si>
    <t>xxx Sawn timber, softwood, planed, kiln dried, at plant {RER}</t>
  </si>
  <si>
    <t>be2a8281-5c7d-3c86-99b9-6d8ee7ce1392</t>
  </si>
  <si>
    <t>xxx Sawn timber, softwood, raw, air dried, u=20%, at plant {RER}</t>
  </si>
  <si>
    <t>f381d335-64a5-3da9-9d9b-669660a008f3</t>
  </si>
  <si>
    <t>xxx Sawn timber, softwood, raw, forest-debarked, u=70%, at plant {RER}</t>
  </si>
  <si>
    <t>f32119db-f508-3a66-b5ec-c135906c261f</t>
  </si>
  <si>
    <t>xxx Sawn timber, softwood, raw, kiln dried, u=10%, at plant {RER}</t>
  </si>
  <si>
    <t>d4b708c9-52d3-30a9-8628-a06a7573f20f</t>
  </si>
  <si>
    <t>xxx Sawn timber, softwood, raw, kiln dried, u=20%, at plant {RER}</t>
  </si>
  <si>
    <t>c0e78d9a-5339-343a-ad44-65106e2822b7</t>
  </si>
  <si>
    <t>xxx Sawn timber, softwood, raw, plant-debarked, u=70%, at plant {RER}</t>
  </si>
  <si>
    <t>33819127-75eb-3787-ab01-a93944b07317</t>
  </si>
  <si>
    <t>xxx Silicon, pc, future, casted, at plant {RER}</t>
  </si>
  <si>
    <t>956fa37f-d5a3-3ea2-ba5d-0c6aa1b4552e</t>
  </si>
  <si>
    <t>xxx Slanted-roof construction, integrated, on roof, m2 {CH}</t>
  </si>
  <si>
    <t>58b6dcaf-d95d-3174-9459-4b60b033cf8c</t>
  </si>
  <si>
    <t>xxx Slanted-roof construction, integrated, on roof, p {CH}</t>
  </si>
  <si>
    <t>390a147c-8278-3d5a-9cfc-41c9eab10414</t>
  </si>
  <si>
    <t>xxx Slanted-roof construction, mounted, on roof, m2 {CH}</t>
  </si>
  <si>
    <t>b7142fd4-b3b8-3579-ae8b-37f9985812a4</t>
  </si>
  <si>
    <t>xxx Softwood, Scandinavian, standing, under bark, in forest {NORDEL}</t>
  </si>
  <si>
    <t>43f83ccf-e697-3e15-b9a0-0194557dda7c</t>
  </si>
  <si>
    <t>xxx Softwood, stand establishment, tending, site development, under bark {RER}</t>
  </si>
  <si>
    <t>f8175bdf-6c28-33c3-93dd-f6cd989d0426</t>
  </si>
  <si>
    <t>xxx Softwood, standing, under bark, in forest {RER}</t>
  </si>
  <si>
    <t>e789344b-af7e-311f-9ad9-c40670963dc5</t>
  </si>
  <si>
    <t>xxx Solar system with evacuated tube collector, one-family house, combined system {CH}</t>
  </si>
  <si>
    <t>56989c84-e150-3f0c-8669-65fd9bd8e791</t>
  </si>
  <si>
    <t>xxx Solar system, flat plate collector, multiple dwelling, hot water {CH}</t>
  </si>
  <si>
    <t>c0068721-2881-3ea2-af66-8bbb21dd2e8e</t>
  </si>
  <si>
    <t>xxx Solar system, flat plate collector, one-family house, combined system {CH}</t>
  </si>
  <si>
    <t>7370770a-08f4-387d-a70a-0581fe66f050</t>
  </si>
  <si>
    <t>xxx Solar system, flat plate collector, one-family house, hot water {CH}</t>
  </si>
  <si>
    <t>0dcaa65e-20b9-33b0-aa20-2acdc110b206</t>
  </si>
  <si>
    <t>xxx Three layered laminated board, at plant {CH}</t>
  </si>
  <si>
    <t>7b6a2394-00b9-3ee3-b347-9e62991cbc2f</t>
  </si>
  <si>
    <t>xxx Three layered laminated board, at regional storage {CH}</t>
  </si>
  <si>
    <t>2aaadf2a-9291-3027-99e4-d98b131552c7</t>
  </si>
  <si>
    <t>xxx Vinasse, at regional storehouse {CH}</t>
  </si>
  <si>
    <t>ef482d77-eeb2-345a-89f4-1067a43581f9</t>
  </si>
  <si>
    <t>xxx Window frame, wood-metal, U=1.6 W/m2K, at plant {RER}</t>
  </si>
  <si>
    <t>97cd58ba-b91e-3a4c-9960-88f21536a425</t>
  </si>
  <si>
    <t>xxx Window frame, wood, U=1.5 W/m2K, at plant {RER}</t>
  </si>
  <si>
    <t>1917712f-c364-3c54-9d46-8747fce70e9f</t>
  </si>
  <si>
    <t>xxx Wood chips, burned in cogen 6400kWth, emission control {CH}</t>
  </si>
  <si>
    <t>2cb07bcf-62ad-39a6-b939-1dea6c996edf</t>
  </si>
  <si>
    <t>xxx Wood chips, hardwood, from industry, u=40%, at plant {RER}</t>
  </si>
  <si>
    <t>9f12a409-8be4-3468-83d7-90929d93efe2</t>
  </si>
  <si>
    <t>xxx Wood chips, hardwood, u=80%, at forest {RER}</t>
  </si>
  <si>
    <t>3531fff0-bac5-332a-bbbe-e8e4a1c7ccea</t>
  </si>
  <si>
    <t>xxx Wood chips, mixed, from industry, u=40%, at plant {RER}</t>
  </si>
  <si>
    <t>039c9fd8-ce1b-3456-83e8-b87ed8fff25e</t>
  </si>
  <si>
    <t>xxx Wood chips, mixed, u=120%, at forest {RER}</t>
  </si>
  <si>
    <t>23e379e6-5be8-34a2-983f-abb6922efe1f</t>
  </si>
  <si>
    <t>xxx Wood chips, softwood, from industry, u=40%, at plant {RER}</t>
  </si>
  <si>
    <t>2966b525-8cde-39fa-869a-3b05954a3fcb</t>
  </si>
  <si>
    <t>xxx Wood chips, softwood, u=140%, at forest {RER}</t>
  </si>
  <si>
    <t>4d60d379-1301-3f10-b579-8391ab9b1da3</t>
  </si>
  <si>
    <t>xxx Wood pellets, u=10%, at storehouse {RER}</t>
  </si>
  <si>
    <t>cfc71d06-a527-3c6f-b81b-091fe5aa6892</t>
  </si>
  <si>
    <t>xxx Wood wool boards, cement bonded, at plant {RER}</t>
  </si>
  <si>
    <t>2b7663df-e40b-3aa9-b7ee-2ae098409a40</t>
  </si>
  <si>
    <t>xxx Wood wool, u=20%, at plant {RER}</t>
  </si>
  <si>
    <t>e6bceb53-883e-34b3-8b33-686bc80b5f5f</t>
  </si>
  <si>
    <t>xxx Wood, cork oak, under bark, u=70%, at forest road {RER}</t>
  </si>
  <si>
    <t>6458179a-ebe6-31b1-9553-feff6416cc0f</t>
  </si>
  <si>
    <t>xxx Zinc , from Imperial smelting furnace {GLO}</t>
  </si>
  <si>
    <t>28c91c94-a0d4-3846-8a29-e0fc3585504a</t>
  </si>
  <si>
    <t>a29aa0d5-9e37-34d7-8868-8a4fff95350a</t>
  </si>
  <si>
    <t>Yarn production, bast fibres {IN}</t>
  </si>
  <si>
    <t>10004d2b-e7b0-3584-b73f-69a240182122</t>
  </si>
  <si>
    <t>Yarn production, cotton fibres {GLO}</t>
  </si>
  <si>
    <t>37b6099c-6662-3634-8c61-878b0d3c3b8d</t>
  </si>
  <si>
    <t>Yarn, cotton, at plant {GLO}</t>
  </si>
  <si>
    <t>f92cec91-c777-3762-a6d6-6be6706f42a5</t>
  </si>
  <si>
    <t>Yarn, jute, at plant {IN}</t>
  </si>
  <si>
    <t>149d50a5-084b-301e-8468-b3cec9251ac5</t>
  </si>
  <si>
    <t>Yarn, kenaf, at plant {IN}</t>
  </si>
  <si>
    <t>78c9905a-84a2-3261-afff-efe171fd5f51</t>
  </si>
  <si>
    <t>Yeast paste, from whey, at fermentation {CH}</t>
  </si>
  <si>
    <t>2e22fe81-a5ab-3ab9-80ea-e70d9a1c2f6f</t>
  </si>
  <si>
    <t>Zeolite, powder, at plant {RER}</t>
  </si>
  <si>
    <t>68bb95fd-1526-388c-a01a-50b8d99534b1</t>
  </si>
  <si>
    <t>Zeolite, slurry, 50% in H2O, at plant {RER}</t>
  </si>
  <si>
    <t>daf2331c-b983-3d66-a43d-676900fd0d36</t>
  </si>
  <si>
    <t>Zinc coating for hydrogen pipeline {RER}</t>
  </si>
  <si>
    <t>86509785-80fe-3857-b04d-721798aec610</t>
  </si>
  <si>
    <t>Zinc coating, coils {RER}</t>
  </si>
  <si>
    <t>9d201ff7-2ee4-3b8b-85df-1660a5b37ef9</t>
  </si>
  <si>
    <t>Zinc coating, pieces {RER}</t>
  </si>
  <si>
    <t>887baada-b40f-39b4-b4f1-63f03606e790</t>
  </si>
  <si>
    <t>Zinc coating, pieces, adjustment per um {RER}</t>
  </si>
  <si>
    <t>de92b301-64c9-38e3-ad50-8c40d1e0c897</t>
  </si>
  <si>
    <t>Zinc concentrate, at beneficiation {GLO}</t>
  </si>
  <si>
    <t>4b7c911d-f95a-3d99-a16c-389eaf259c0d</t>
  </si>
  <si>
    <t>Zinc monosulphate, ZnSO4.H2O, at plant {RER}</t>
  </si>
  <si>
    <t>bd50195e-d16d-3507-88c7-57f246462a95</t>
  </si>
  <si>
    <t>Zinc oxide, at plant {RER}</t>
  </si>
  <si>
    <t>1663ffbe-5722-3413-b13b-23c44323dabf</t>
  </si>
  <si>
    <t>Zinc sulphide, ZnS, at plant {RER}</t>
  </si>
  <si>
    <t>49d678f2-4612-36db-8f26-4a37692d5ca3</t>
  </si>
  <si>
    <t>Zinc, from combined metal production, at beneficiation {SE}</t>
  </si>
  <si>
    <t>b073c0a8-dea3-3039-adb8-2e7b36da5b99</t>
  </si>
  <si>
    <t>Zinc, from combined metal production, at refinery {SE}</t>
  </si>
  <si>
    <t>45f1082c-dc11-3c6d-9c31-b664d63d7419</t>
  </si>
  <si>
    <t>4335cd04-b42d-3f4b-b940-b641081bf59c</t>
  </si>
  <si>
    <t>Zircon, 50% zirconium, at plant {AU}</t>
  </si>
  <si>
    <t>a32ef325-a697-3d4d-9dd4-543d684e4f5e</t>
  </si>
  <si>
    <t>Zirconium oxide, at plant {AU}</t>
  </si>
  <si>
    <t>89801f28-7a33-35a5-a2a1-6f9195f0329b</t>
  </si>
  <si>
    <t>Abc</t>
  </si>
  <si>
    <t>_</t>
  </si>
  <si>
    <t>__</t>
  </si>
  <si>
    <t>_2</t>
  </si>
  <si>
    <r>
      <t>CO</t>
    </r>
    <r>
      <rPr>
        <vertAlign val="subscript"/>
        <sz val="11"/>
        <color theme="1"/>
        <rFont val="Arial"/>
        <family val="2"/>
      </rPr>
      <t>2</t>
    </r>
  </si>
  <si>
    <r>
      <t>N</t>
    </r>
    <r>
      <rPr>
        <vertAlign val="subscript"/>
        <sz val="11"/>
        <color theme="1"/>
        <rFont val="Arial"/>
        <family val="2"/>
      </rPr>
      <t>2</t>
    </r>
    <r>
      <rPr>
        <sz val="11"/>
        <color theme="1"/>
        <rFont val="Arial"/>
        <family val="2"/>
      </rPr>
      <t>O</t>
    </r>
  </si>
  <si>
    <r>
      <t>NF</t>
    </r>
    <r>
      <rPr>
        <vertAlign val="subscript"/>
        <sz val="11"/>
        <color theme="1"/>
        <rFont val="Arial"/>
        <family val="2"/>
      </rPr>
      <t>3</t>
    </r>
  </si>
  <si>
    <r>
      <t>SF</t>
    </r>
    <r>
      <rPr>
        <vertAlign val="subscript"/>
        <sz val="11"/>
        <color theme="1"/>
        <rFont val="Arial"/>
        <family val="2"/>
      </rPr>
      <t>6</t>
    </r>
  </si>
  <si>
    <t>Landnutzung</t>
  </si>
  <si>
    <t>liter</t>
  </si>
  <si>
    <t>Erfassen Sie alle Geschäftsreisen von Mitarbeitenden mit Verkehrsmittel, die nicht im Besitz Ihres Unternehmens sind.
Dazu zählen z.B. Privatfahrzeuge von Mitarbeitenden, kurzfristig gemietete Fahrzeuge und öffentliche Verkehrsmittel.</t>
  </si>
  <si>
    <t>Geben Sie unter "Eingabe" die zurückgelegten Distanzen je Verkehrsmittel in Personenkilometern (pkm) oder Fahrzeugkilometern (vkm) an.</t>
  </si>
  <si>
    <t>Erfassen Sie den Arbeitsweg der Mitarbeitenden zwischen Wohn- und Arbeitsort.</t>
  </si>
  <si>
    <t>Vereinfachte Eingabe: Geben Sie die Anzahl Mitarbeitende in Vollzeitäquivalenten (FTE) ein. Es werden Schweizer Durchschnittswerte verwendet.
Verfeinerte Eingabe: Geben Sie die zurückgelegten Personenkilometer (pkm) je Verkehrsmittel ein (kumulativ über das Bilanzjahr).</t>
  </si>
  <si>
    <t>Erfassen Sie alle Transportaktivitäten zwischen Lieferanten und Ihrem Unternehmen.</t>
  </si>
  <si>
    <t>Geben Sie die Transportleistung in Tonnenkilometern (tkm) ein.</t>
  </si>
  <si>
    <t>Erfassen Sie alle Transportaktivitäten zwischen Ihrem Unternehmen und den Kunden, an die Produkte verkauft werden.</t>
  </si>
  <si>
    <t>Erfassen Sie alle betriebsrelevanten Abfallmengen, die extern entsorgt oder behandelt werden.</t>
  </si>
  <si>
    <t>Ordnen Sie alle Abfälle einem Abfalltypen und einer entsprechenden Entsorgungsart zu.
Geben Sie unter "kg" die entsorgten Mengen in Kilogramm an.</t>
  </si>
  <si>
    <t>Erfassen Sie den Treibstoff-, Brennstoff- und Stromverbrauch beim Kunden, der für die Weiterverarbeitung Ihrer verkauften Produkte anfällt.
Dies betrifft z.B. den Energieeinsatz bei der Weiterverarbeitung von Vorprodukten wie Kunststoffgranulat im Spritzguss.</t>
  </si>
  <si>
    <t>Erfassen Sie den Treibstoff-, Brennstoff- und Stromverbrauch beim Kunden während der Nutzungsphase Ihrer verkauften Produkte.
Dies betrifft z.B. den Strombedarf von Elektronikgeräten oder den Treibstoffverbrauch von Fahrzeugen.</t>
  </si>
  <si>
    <t>Erfassen Sie die Gesamtmenge der verkauften Produkte im Bilanzjahr, bezogen auf das Ende ihrer Lebensdauer (Entsorgung / Recycling).
Beispielsweise ein Staubsauger besteht grösstenteils aus Plastik und wird verbrannt, während ein Metallprodukt wahrscheinlich recycelt wird.</t>
  </si>
  <si>
    <t>Erfassen Sie Treibstoff-, Brennstoff- und Stromverbrauch von Franchise-Unternehmen, die unter Ihrer Marke Tätig sind.</t>
  </si>
  <si>
    <t>kgCO2eq</t>
  </si>
  <si>
    <t>Scope 1</t>
  </si>
  <si>
    <t>Scope 2</t>
  </si>
  <si>
    <t>Erfassen Sie Emissionen aus Investitionen, die Ihrem Unternehmen anteilig zuzurechnen sind.
Dazu gehören z.B. Beteiligungen an Unternehmen, Fonds, Immobilien- oder Infrastrukturprojekten.</t>
  </si>
  <si>
    <t>Sector</t>
  </si>
  <si>
    <t>n2Data_10Transport_1Bussinesstrip_Text1.1</t>
  </si>
  <si>
    <t>Section 9</t>
  </si>
  <si>
    <t>Section 10</t>
  </si>
  <si>
    <t>Section 11</t>
  </si>
  <si>
    <t>Section 12</t>
  </si>
  <si>
    <t>Section 13</t>
  </si>
  <si>
    <t>Section 14</t>
  </si>
  <si>
    <t>Mode of Transport</t>
  </si>
  <si>
    <t>Data</t>
  </si>
  <si>
    <t>Employee</t>
  </si>
  <si>
    <t>Mode</t>
  </si>
  <si>
    <t>n2Data_10Transport_3Upstream_Text101</t>
  </si>
  <si>
    <t>n2Data_10Transport_4Downstream_Text101</t>
  </si>
  <si>
    <t>n2Data_11Waste_Text14</t>
  </si>
  <si>
    <t>n2Data_11Waste_Text101</t>
  </si>
  <si>
    <t>Waste Type</t>
  </si>
  <si>
    <t>n2Data_12SoldProducts_1Processing_Text101</t>
  </si>
  <si>
    <t>Fuel</t>
  </si>
  <si>
    <t>n2Data_12SoldProducts_3EndOfLife_Text101</t>
  </si>
  <si>
    <t>n2Data_13Franchise_Text101</t>
  </si>
  <si>
    <t>Greenhouse Gas Emissions</t>
  </si>
  <si>
    <t>n2Data_14Investments_Text101</t>
  </si>
  <si>
    <t>Capital Share [%]</t>
  </si>
  <si>
    <t>Revenue [CHF]</t>
  </si>
  <si>
    <t>Energy Source</t>
  </si>
  <si>
    <t>Emissions (air / water)</t>
  </si>
  <si>
    <t>Weitere Informationen finden Sie im User Manual, Kapitel</t>
  </si>
  <si>
    <t>Pour plus d’informations, voir le User Manual, chapitre</t>
  </si>
  <si>
    <t>Vehicle</t>
  </si>
  <si>
    <t>Unit a)</t>
  </si>
  <si>
    <t>b) Fuel</t>
  </si>
  <si>
    <t>Unit b)</t>
  </si>
  <si>
    <t>Fuel use (simplified)</t>
  </si>
  <si>
    <t>Losses over GO?</t>
  </si>
  <si>
    <t>Voltage</t>
  </si>
  <si>
    <t>Verluste über HKN gedeckt?</t>
  </si>
  <si>
    <t>Material Cat. 1</t>
  </si>
  <si>
    <t>Material Cat. 2</t>
  </si>
  <si>
    <t>Geben Sie die berechneten Scope 1 und Scope 2 Emissionsdaten in Kilogramm CO2-Äquivalenten an.
Hierzu kann das Franchise-Unternehmen eine eigene Version des Corporate Footprint Calculator ausfüllen (Beschränkt auf Scope 1 + 2).</t>
  </si>
  <si>
    <t>Emissioni di gas a effetto serra</t>
  </si>
  <si>
    <t>(Émissions des scopes 1 et 2) x part de capital</t>
  </si>
  <si>
    <t>(Emissioni degli scope 1 e 2) x quota di capitale</t>
  </si>
  <si>
    <t>Settore</t>
  </si>
  <si>
    <t>Part de capital [%]</t>
  </si>
  <si>
    <t>Material Cat. 3</t>
  </si>
  <si>
    <t>Berechnungen</t>
  </si>
  <si>
    <r>
      <t>EF(kg CO</t>
    </r>
    <r>
      <rPr>
        <vertAlign val="subscript"/>
        <sz val="11"/>
        <color theme="1"/>
        <rFont val="Arial"/>
        <family val="2"/>
      </rPr>
      <t>2</t>
    </r>
    <r>
      <rPr>
        <sz val="11"/>
        <color theme="1"/>
        <rFont val="Arial"/>
        <family val="2"/>
      </rPr>
      <t>eq) / FU)</t>
    </r>
  </si>
  <si>
    <t>Result UBP</t>
  </si>
  <si>
    <t>Background dataset</t>
  </si>
  <si>
    <t>Dataset source</t>
  </si>
  <si>
    <t>formula</t>
  </si>
  <si>
    <t>hardcopy</t>
  </si>
  <si>
    <t>Resultat UBP</t>
  </si>
  <si>
    <t>Fernwärme und Dampf</t>
  </si>
  <si>
    <t>Scope 3.1</t>
  </si>
  <si>
    <t>Scope 3.2</t>
  </si>
  <si>
    <t>Scope 3.4</t>
  </si>
  <si>
    <t>Scope 3.5</t>
  </si>
  <si>
    <t>Scope 3.6</t>
  </si>
  <si>
    <t>Scope 3.7</t>
  </si>
  <si>
    <t>Scope 3.9</t>
  </si>
  <si>
    <t>Scope 3.10</t>
  </si>
  <si>
    <t>Scope 3.11</t>
  </si>
  <si>
    <t>Scope 3.12</t>
  </si>
  <si>
    <t>Scope 3.14</t>
  </si>
  <si>
    <t>Scope 3.15</t>
  </si>
  <si>
    <t>Hintergrunddatensatz</t>
  </si>
  <si>
    <t>DE Category</t>
  </si>
  <si>
    <t>FR Category</t>
  </si>
  <si>
    <t>IT Category</t>
  </si>
  <si>
    <t>Biens de consommation</t>
  </si>
  <si>
    <t>Beni di consumo</t>
  </si>
  <si>
    <t>Prodotti petroliferi, sostanze chimiche</t>
  </si>
  <si>
    <t>Machines, Électricité</t>
  </si>
  <si>
    <t>Macchinari, elettricità</t>
  </si>
  <si>
    <t>Véhicules</t>
  </si>
  <si>
    <t>Veicoli</t>
  </si>
  <si>
    <t>Énergie (gaz)</t>
  </si>
  <si>
    <t>Energia (gas)</t>
  </si>
  <si>
    <t>Énergie (autre)</t>
  </si>
  <si>
    <t>Energia (altro)</t>
  </si>
  <si>
    <t>Eau, Élimination</t>
  </si>
  <si>
    <t>Acqua, Smaltimento</t>
  </si>
  <si>
    <t>Commerce</t>
  </si>
  <si>
    <t>Commercio</t>
  </si>
  <si>
    <t>DL de trafic</t>
  </si>
  <si>
    <t>DL Traffico</t>
  </si>
  <si>
    <t>Transport aérien</t>
  </si>
  <si>
    <t>Trasporto aereo</t>
  </si>
  <si>
    <t>Hébergement</t>
  </si>
  <si>
    <t>Alloggi</t>
  </si>
  <si>
    <t>Gastronomia</t>
  </si>
  <si>
    <t>Autres DL</t>
  </si>
  <si>
    <t>Altri DL</t>
  </si>
  <si>
    <t>Administration, Éducation</t>
  </si>
  <si>
    <t>Amministrazione, Istruzione</t>
  </si>
  <si>
    <t>Santé, Affaires sociales</t>
  </si>
  <si>
    <t>Salute, Affari Sociali</t>
  </si>
  <si>
    <t>Bâtiments</t>
  </si>
  <si>
    <t>Edifici</t>
  </si>
  <si>
    <t>Machines</t>
  </si>
  <si>
    <t>Macchine</t>
  </si>
  <si>
    <t>Scope 3.3 (owned and own use; Lessor / Lessee, see below)</t>
  </si>
  <si>
    <t>Source (no GO)</t>
  </si>
  <si>
    <t>Stationary Combustion</t>
  </si>
  <si>
    <t>District Heat and Steam</t>
  </si>
  <si>
    <t>Mobile Combustion (Fleet)</t>
  </si>
  <si>
    <t>Emission</t>
  </si>
  <si>
    <t>Fugitive Emissions</t>
  </si>
  <si>
    <t>(Scope 1 + Scope 2 Emissions) x Capital Share</t>
  </si>
  <si>
    <t>Fuel (simplified)</t>
  </si>
  <si>
    <t>Transport, freight, lorry, diesel, 7.5t gross weight, fleet average, regional delivery {CH} l Direct</t>
  </si>
  <si>
    <t>Transport, passenger car, diesel, fleet average {CH} l Direct</t>
  </si>
  <si>
    <t>Transport, passenger car, gasoline, fleet average {CH} l Direct</t>
  </si>
  <si>
    <t>Transport, passenger car, diesel, Large SUV, 2016, EURO-6ab {CH} l Direct</t>
  </si>
  <si>
    <t>Transport, passenger car, diesel, Large, 2016, EURO-6ab {CH} l Direct</t>
  </si>
  <si>
    <t>Transport, passenger car, diesel, Medium, 2016, EURO-6ab {CH} l Direct</t>
  </si>
  <si>
    <t>Transport, passenger car, diesel, Compact, 2016, EURO-6ab {CH} l Direct</t>
  </si>
  <si>
    <t>Transport, passenger car, gasoline, Large SUV, 2016, EURO-6ab {CH} l Direct</t>
  </si>
  <si>
    <t>Transport, passenger car, gasoline, Large, 2016, EURO-6ab {CH} l Direct</t>
  </si>
  <si>
    <t>Transport, passenger car, gasoline, Medium, 2016, EURO-6ab {CH} l Direct</t>
  </si>
  <si>
    <t>Transport, passenger car, gasoline, Compact, 2016, EURO-6ab {CH} l Direct</t>
  </si>
  <si>
    <t>Transport, freight, lorry, diesel, 18t gross weight, fleet average, regional delivery {CH} l Direct</t>
  </si>
  <si>
    <t>Transport, freight, lorry, diesel, 26t gross weight, fleet average, regional delivery {CH} l Direct</t>
  </si>
  <si>
    <t>Transport, freight, lorry, diesel, 32t gross weight, fleet average, regional delivery {CH} l Direct</t>
  </si>
  <si>
    <t>Transport, freight, lorry, diesel, 40t gross weight, fleet average, regional delivery {CH} l Direct</t>
  </si>
  <si>
    <t>Transport, transoceanic freight ship {OCE} l Direct</t>
  </si>
  <si>
    <t>Transport, aircraft, freight {RER} l Direct</t>
  </si>
  <si>
    <t>Transport, freight, lorry, diesel, 7.5t gross weight, fleet average, regional delivery {CH} l Indirect</t>
  </si>
  <si>
    <t>Transport, passenger car, gasoline, fleet average {CH} l Indirect</t>
  </si>
  <si>
    <t>Transport, passenger car, diesel, fleet average {CH} l</t>
  </si>
  <si>
    <t>Transport, passenger car, gasoline, fleet average {CH} l</t>
  </si>
  <si>
    <t>Transport, freight, lorry, diesel, 7.5t gross weight, fleet average, regional delivery {CH} l</t>
  </si>
  <si>
    <t>Transport, freight, lorry, diesel, 18t gross weight, fleet average, regional delivery {CH} l</t>
  </si>
  <si>
    <t>Transport, freight, lorry, diesel, 26t gross weight, fleet average, regional delivery {CH} l</t>
  </si>
  <si>
    <t>Transport, freight, lorry, diesel, 32t gross weight, fleet average, regional delivery {CH} l</t>
  </si>
  <si>
    <t>Transport, freight, lorry, diesel, 40t gross weight, fleet average, regional delivery {CH} l</t>
  </si>
  <si>
    <t>Transport, transoceanic freight ship {OCE} l</t>
  </si>
  <si>
    <t>Transport, aircraft, freight {RER} l</t>
  </si>
  <si>
    <t>Transport, passenger car, diesel, Large SUV, 2016, EURO-6ab {CH} l</t>
  </si>
  <si>
    <t>Transport, passenger car, diesel, Large, 2016, EURO-6ab {CH} l</t>
  </si>
  <si>
    <t>Transport, passenger car, diesel, Medium, 2016, EURO-6ab {CH} l</t>
  </si>
  <si>
    <t>Transport, passenger car, diesel, Compact, 2016, EURO-6ab {CH} l</t>
  </si>
  <si>
    <t>Transport, passenger car, gasoline, Large SUV, 2016, EURO-6ab {CH} l</t>
  </si>
  <si>
    <t>Transport, passenger car, gasoline, Large, 2016, EURO-6ab {CH} l</t>
  </si>
  <si>
    <t>Transport, passenger car, gasoline, Medium, 2016, EURO-6ab {CH} l</t>
  </si>
  <si>
    <t>Transport, passenger car, gasoline, Compact, 2016, EURO-6ab {CH} l</t>
  </si>
  <si>
    <t>Transport, passenger car, battery electric, NMC-622 battery, Large SUV, 2021 {CH} kWh</t>
  </si>
  <si>
    <t>Transport, passenger car, battery electric, NMC-622 battery, Large, 2021 {CH} kWh</t>
  </si>
  <si>
    <t>Transport, passenger car, battery electric, NMC-622 battery, Medium, 2021 {CH} kWh</t>
  </si>
  <si>
    <t>Transport, passenger car, battery electric, NMC-622 battery, Compact, 2021 {CH} kWh</t>
  </si>
  <si>
    <t>Transport, Personenwagen, Diesel, gross SUV</t>
  </si>
  <si>
    <t>Transport, Personenwagen, Diesel, gross</t>
  </si>
  <si>
    <t>Transport, Personenwagen, Diesel, mittel</t>
  </si>
  <si>
    <t>Transport, Personenwagen, Diesel, klein</t>
  </si>
  <si>
    <t>Transport, Personenwagen, Benzin, gross SUV</t>
  </si>
  <si>
    <t>Transport, Personenwagen, Benzin, gross</t>
  </si>
  <si>
    <t>Transport, Personenwagen, Benzin, mittel</t>
  </si>
  <si>
    <t>Transport, Personenwagen, Benzin, klein</t>
  </si>
  <si>
    <t>Transport, Personenwagen, batterieelektrisch, gross SUV</t>
  </si>
  <si>
    <t>Transport, Personenwagen, batterieelektrisch, gross</t>
  </si>
  <si>
    <t>Transport, Personenwagen, batterieelektrisch, klein</t>
  </si>
  <si>
    <t>Transport, Personenwagen, batterieelektrisch, mittel</t>
  </si>
  <si>
    <t>Transport, voiture particulière, diesel, grand SUV</t>
  </si>
  <si>
    <t>Transport, voiture particulière, diesel, petite</t>
  </si>
  <si>
    <t>Transport, voiture particulière, essence, grand SUV</t>
  </si>
  <si>
    <t>Transport, voiture particulière, essence, petite</t>
  </si>
  <si>
    <t>Transport, voiture particulière, batterie électrique, grand SUV</t>
  </si>
  <si>
    <t>Transport, camion 18t, fret, diesel, moyenne de la flotte, livraison régionale</t>
  </si>
  <si>
    <t>split_direct172</t>
  </si>
  <si>
    <t>split_direct173</t>
  </si>
  <si>
    <t>split_direct174</t>
  </si>
  <si>
    <t>split_direct175</t>
  </si>
  <si>
    <t>split_direct176</t>
  </si>
  <si>
    <t>split_direct177</t>
  </si>
  <si>
    <t>split_direct178</t>
  </si>
  <si>
    <t>split_direct179</t>
  </si>
  <si>
    <t>split_direct180</t>
  </si>
  <si>
    <t>split_direct181</t>
  </si>
  <si>
    <t>split_direct182</t>
  </si>
  <si>
    <t>split_direct183</t>
  </si>
  <si>
    <t>split_direct184</t>
  </si>
  <si>
    <t>split_direct185</t>
  </si>
  <si>
    <t>split_direct186</t>
  </si>
  <si>
    <t>split_direct187</t>
  </si>
  <si>
    <t>split_direct188</t>
  </si>
  <si>
    <t>Transport, passenger car, diesel, fleet average {CH} l Indirect</t>
  </si>
  <si>
    <t>split_indirect172</t>
  </si>
  <si>
    <t>split_indirect173</t>
  </si>
  <si>
    <t>Transport, passenger car, diesel, Large SUV, 2016, EURO-6ab {CH} l Indirect</t>
  </si>
  <si>
    <t>split_indirect174</t>
  </si>
  <si>
    <t>Transport, passenger car, diesel, Large, 2016, EURO-6ab {CH} l Indirect</t>
  </si>
  <si>
    <t>split_indirect175</t>
  </si>
  <si>
    <t>Transport, passenger car, diesel, Medium, 2016, EURO-6ab {CH} l Indirect</t>
  </si>
  <si>
    <t>split_indirect176</t>
  </si>
  <si>
    <t>Transport, passenger car, diesel, Compact, 2016, EURO-6ab {CH} l Indirect</t>
  </si>
  <si>
    <t>split_indirect177</t>
  </si>
  <si>
    <t>Transport, passenger car, gasoline, Large SUV, 2016, EURO-6ab {CH} l Indirect</t>
  </si>
  <si>
    <t>split_indirect178</t>
  </si>
  <si>
    <t>Transport, passenger car, gasoline, Large, 2016, EURO-6ab {CH} l Indirect</t>
  </si>
  <si>
    <t>split_indirect179</t>
  </si>
  <si>
    <t>Transport, passenger car, gasoline, Medium, 2016, EURO-6ab {CH} l Indirect</t>
  </si>
  <si>
    <t>split_indirect180</t>
  </si>
  <si>
    <t>Transport, passenger car, gasoline, Compact, 2016, EURO-6ab {CH} l Indirect</t>
  </si>
  <si>
    <t>split_indirect181</t>
  </si>
  <si>
    <t>split_indirect182</t>
  </si>
  <si>
    <t>Transport, freight, lorry, diesel, 18t gross weight, fleet average, regional delivery {CH} l Indirect</t>
  </si>
  <si>
    <t>split_indirect183</t>
  </si>
  <si>
    <t>Transport, freight, lorry, diesel, 26t gross weight, fleet average, regional delivery {CH} l Indirect</t>
  </si>
  <si>
    <t>split_indirect184</t>
  </si>
  <si>
    <t>Transport, freight, lorry, diesel, 32t gross weight, fleet average, regional delivery {CH} l Indirect</t>
  </si>
  <si>
    <t>split_indirect185</t>
  </si>
  <si>
    <t>Transport, freight, lorry, diesel, 40t gross weight, fleet average, regional delivery {CH} l Indirect</t>
  </si>
  <si>
    <t>split_indirect186</t>
  </si>
  <si>
    <t>Transport, transoceanic freight ship {OCE} l Indirect</t>
  </si>
  <si>
    <t>split_indirect187</t>
  </si>
  <si>
    <t>Transport, aircraft, freight {RER} l Indirect</t>
  </si>
  <si>
    <t>split_indirect188</t>
  </si>
  <si>
    <t>Electricity (no GO)</t>
  </si>
  <si>
    <t>Consolidation Apporach</t>
  </si>
  <si>
    <t>Emissions sources</t>
  </si>
  <si>
    <t>On site Emissions (kg CO2e)</t>
  </si>
  <si>
    <r>
      <t xml:space="preserve">Total Emissions using </t>
    </r>
    <r>
      <rPr>
        <b/>
        <sz val="11"/>
        <color theme="1"/>
        <rFont val="Aptos"/>
        <family val="2"/>
      </rPr>
      <t>Operational Control</t>
    </r>
    <r>
      <rPr>
        <sz val="11"/>
        <color theme="1"/>
        <rFont val="Aptos"/>
        <family val="2"/>
      </rPr>
      <t xml:space="preserve"> Approach</t>
    </r>
  </si>
  <si>
    <r>
      <t xml:space="preserve">Total Emissions using  </t>
    </r>
    <r>
      <rPr>
        <b/>
        <sz val="11"/>
        <color theme="1"/>
        <rFont val="Aptos"/>
        <family val="2"/>
      </rPr>
      <t>Financial/ Operating Control</t>
    </r>
    <r>
      <rPr>
        <sz val="11"/>
        <color theme="1"/>
        <rFont val="Aptos"/>
        <family val="2"/>
      </rPr>
      <t xml:space="preserve"> Approach</t>
    </r>
  </si>
  <si>
    <t xml:space="preserve">Prozess Emissionen </t>
  </si>
  <si>
    <t xml:space="preserve">Strom (+ eigene elektrische Flotte) </t>
  </si>
  <si>
    <t>3.1 Waren und Dienstleistungen</t>
  </si>
  <si>
    <t>3.2 Kapitalgüter</t>
  </si>
  <si>
    <t>3.4 Vorgelagerter Transport</t>
  </si>
  <si>
    <t xml:space="preserve">3.5 Betriebliche Abfallproduktion </t>
  </si>
  <si>
    <t>3.6 Geschäftsreisen</t>
  </si>
  <si>
    <t>3.7 Pendelverkehr</t>
  </si>
  <si>
    <t>3.9 Nachgelagerter Verkehr</t>
  </si>
  <si>
    <t>3.12 Entsorgung verkaufter Produkte</t>
  </si>
  <si>
    <t>3.15 Investitionen</t>
  </si>
  <si>
    <r>
      <t xml:space="preserve">Total Emissions using </t>
    </r>
    <r>
      <rPr>
        <b/>
        <sz val="11"/>
        <color theme="1"/>
        <rFont val="Aptos"/>
        <family val="2"/>
      </rPr>
      <t xml:space="preserve">Operational Control </t>
    </r>
    <r>
      <rPr>
        <sz val="11"/>
        <color theme="1"/>
        <rFont val="Aptos"/>
        <family val="2"/>
      </rPr>
      <t>Approach</t>
    </r>
  </si>
  <si>
    <t>Sie brauchen in diesem Blatt nichts zu tun, es dient lediglich zur Transparenz der Berechnungen und verwendeten Hintergrunddaten.</t>
  </si>
  <si>
    <t>Registra tutte le attività di trasporto tra la tua attività e i clienti a cui vengono venduti i prodotti.</t>
  </si>
  <si>
    <t>Enregistrez tous les volumes de déchets opérationnellement pertinents qui sont éliminés ou traités à l’extérieur.</t>
  </si>
  <si>
    <t>Attribuez tous les déchets à un type de déchet et à un type d’élimination correspondant.
Sous « kg », saisissez les quantités éliminées en kilogrammes.</t>
  </si>
  <si>
    <t>Calculs</t>
  </si>
  <si>
    <t>Calcoli</t>
  </si>
  <si>
    <t>Non è necessario fare nulla in questo foglio, serve solo a rendere trasparenti i calcoli e i dati di background usati.</t>
  </si>
  <si>
    <t>Translation Codes</t>
  </si>
  <si>
    <t>4 Dashboard</t>
  </si>
  <si>
    <t>5 BG Data</t>
  </si>
  <si>
    <t>Translation through Lists</t>
  </si>
  <si>
    <t>n1Inputs_6CDirectEmissions_Text101</t>
  </si>
  <si>
    <t>n1Inputs_6CDirectEmissions_Text102</t>
  </si>
  <si>
    <t>n1Inputs_6CDirectEmissions_Text401</t>
  </si>
  <si>
    <t>n1Inputs_6CDirectEmissions_Text402</t>
  </si>
  <si>
    <t>Nutzt Ihr Unternehmen betrieblich relevante Flächen oder Anlagen, die sich nicht im Eigentum des Unternehmens befinden (Bezug von Strom/Wärme/Prozessenergie über einen Miet-/Pachtvertrag)?</t>
  </si>
  <si>
    <t>Mietet ihr Unternehmen Fahrzeuge oder mobile Maschinen von anderen Unternehmen?</t>
  </si>
  <si>
    <t>Votre entreprise loue-t-elle des véhicules ou des machines mobiles auprès d’autres entreprises ?</t>
  </si>
  <si>
    <t>Votre entreprise loue-t-elle des véhicules à des tiers externes ?</t>
  </si>
  <si>
    <t>Office fédéral de l'environnement OFEV</t>
  </si>
  <si>
    <t>Ufficio federale dell'ambiente UFAM</t>
  </si>
  <si>
    <t>Office fédéral de l'énergie OFEN</t>
  </si>
  <si>
    <t>Translation Codes (Names)</t>
  </si>
  <si>
    <t>Structure</t>
  </si>
  <si>
    <t>Site web de l'OFEN</t>
  </si>
  <si>
    <t>Ufficio federale dell'energia UFE</t>
  </si>
  <si>
    <t>Photovoltaik-Installation, 3 kWp (17 m²)</t>
  </si>
  <si>
    <t>Ölkessel 10 kW</t>
  </si>
  <si>
    <t>Ölkessel 100 kW</t>
  </si>
  <si>
    <t>Gaskessel 15 kW</t>
  </si>
  <si>
    <t>Gaskessel 50 kW</t>
  </si>
  <si>
    <t>Wärmepumpe, Luft-Wasser, 15 kW</t>
  </si>
  <si>
    <t>Wärmepumpe, Luft-Wasser, 50 kW</t>
  </si>
  <si>
    <t>Wärmepumpe, Solewasser, 15 kW</t>
  </si>
  <si>
    <t>Wärmepumpe, Solewasser 50 kW</t>
  </si>
  <si>
    <t>Personenwagen elektrisch</t>
  </si>
  <si>
    <t>Personenwagen-Benzin/Diesel</t>
  </si>
  <si>
    <t>LKW 3,5t, elektrisch</t>
  </si>
  <si>
    <t>LKW 7,5t, elektrisch</t>
  </si>
  <si>
    <t>LKW 32t, elektrisch</t>
  </si>
  <si>
    <t>Personenbus 9m</t>
  </si>
  <si>
    <t>Personenbus 13m</t>
  </si>
  <si>
    <t>Baumaschine</t>
  </si>
  <si>
    <t>n4Dashboard</t>
  </si>
  <si>
    <t>n4Dashboard_Text1</t>
  </si>
  <si>
    <t>n4Dashboard_1Instruction</t>
  </si>
  <si>
    <t>n4Dashboard_1Instruction_Text1</t>
  </si>
  <si>
    <t>n4Dashboard_2TotalEmissions</t>
  </si>
  <si>
    <t>n4Dashboard_2TotalEmissions_Text1</t>
  </si>
  <si>
    <t>n4Dashboard_2TotalEmissions_Text2</t>
  </si>
  <si>
    <t>n4Dashboard_2TotalEmissions_Text3</t>
  </si>
  <si>
    <t>n4Dashboard_2TotalEmissions_Text4</t>
  </si>
  <si>
    <t>n4Dashboard_2TotalEmissions_Text5</t>
  </si>
  <si>
    <t>n4Dashboard_2TotalEmissions_Text6</t>
  </si>
  <si>
    <t>n4Dashboard_2TotalEmissions_Text7</t>
  </si>
  <si>
    <t>n4Dashboard_2TotalEmissions_Text8</t>
  </si>
  <si>
    <t>n4Dashboard_2TotalEmissions_Text9</t>
  </si>
  <si>
    <t>n4Dashboard_2TotalEmissions_Text10</t>
  </si>
  <si>
    <t>n4Dashboard_2TotalEmissions_Text11</t>
  </si>
  <si>
    <t>n4Dashboard_2TotalEmissions_Text12</t>
  </si>
  <si>
    <t>n4Dashboard_2TotalEmissions_Text13</t>
  </si>
  <si>
    <t>n4Dashboard_2TotalEmissions_Text14</t>
  </si>
  <si>
    <t>n4Dashboard_2TotalEmissions_Text15</t>
  </si>
  <si>
    <t>n4Dashboard_2TotalEmissions_Text16</t>
  </si>
  <si>
    <t>n4Dashboard_2TotalEmissions_Text17</t>
  </si>
  <si>
    <t>n4Dashboard_2TotalEmissions_Text18</t>
  </si>
  <si>
    <t>n4Dashboard_2TotalEmissions_Text19</t>
  </si>
  <si>
    <t>n4Dashboard_2TotalEmissions_Text20</t>
  </si>
  <si>
    <t>n4Dashboard_2TotalEmissions_Text21</t>
  </si>
  <si>
    <t>n4Dashboard_2TotalEmissions_Text22</t>
  </si>
  <si>
    <t>Électricité (+ flotte électrique propre)</t>
  </si>
  <si>
    <t>3.1 Biens et services</t>
  </si>
  <si>
    <t>3.2 Biens d’équipement</t>
  </si>
  <si>
    <t>3.4 Transport en amont</t>
  </si>
  <si>
    <t>3.6 Voyages d’affaires</t>
  </si>
  <si>
    <t>3.12 Élimination des produits vendus</t>
  </si>
  <si>
    <t>3.15 Investissements</t>
  </si>
  <si>
    <t>3.15 Investimenti</t>
  </si>
  <si>
    <t>Electricity (+ Fleet Electric)</t>
  </si>
  <si>
    <t>3.1 Purchased Goods &amp; Services</t>
  </si>
  <si>
    <t>3.2 Capital Goods</t>
  </si>
  <si>
    <t>3.3 Indirect Emissions</t>
  </si>
  <si>
    <t>3.4 Upstream Transport</t>
  </si>
  <si>
    <t>3.5 Waste</t>
  </si>
  <si>
    <t>3.6 Business Travel</t>
  </si>
  <si>
    <t>3.7 Employee Commuting</t>
  </si>
  <si>
    <t>3.9 Downstream Transport</t>
  </si>
  <si>
    <t>3.10 Processing of Sold Products</t>
  </si>
  <si>
    <t>3.11 Use of Sold Porducts</t>
  </si>
  <si>
    <t>3.12 End of Life of Sold Products</t>
  </si>
  <si>
    <t>3.14 Franchises</t>
  </si>
  <si>
    <t>3.15 Investments</t>
  </si>
  <si>
    <t>3.8 Upstream leased assets</t>
  </si>
  <si>
    <t>3.13 Downstream leased assets</t>
  </si>
  <si>
    <t>Total Emissions kg CO2e</t>
  </si>
  <si>
    <t>Total Emissions kg CO2e biogen</t>
  </si>
  <si>
    <t>Total Emissions UBP</t>
  </si>
  <si>
    <t>Strings for Calculation</t>
  </si>
  <si>
    <t>Resultate</t>
  </si>
  <si>
    <t xml:space="preserve">Mithilfe Ihrer Angaben in den vorherigen Tabellenblättern werden hier automatisch die Treibhausgasemissionen, sowie die biogenen Treibhausgasemissionen und die Umweltbelastungspunkte in den Scopes 1, 2 und 3 nach GHG Protocol berechnet. Sie brauchen hier nichts auszufüllen. </t>
  </si>
  <si>
    <t>Der Methodikbericht zeigt auf, wie die Methodik der Treibhausgasbilanzierung aus dem GHG Protocol im Tool umgesetzt wurde.</t>
  </si>
  <si>
    <t>Hier werden die Resultate aus der Emissionsberechnung dargestellt. Die Einteilung geschieht nach Scopes gemäss GHG Protocol.</t>
  </si>
  <si>
    <t>Le rapport méthodologique montre comment la méthodologie de comptabilisation des gaz à effet de serre du GHG Protocol a été mise en œuvre dans l’outil.</t>
  </si>
  <si>
    <t>Il rapporto metodologico mostra come la metodologia di contabilità dei gas serra del GHG Protocol sia stata implementata nello strumento.</t>
  </si>
  <si>
    <t>Waste in MWI, burned MJ</t>
  </si>
  <si>
    <t>Waste oil, burned MJ</t>
  </si>
  <si>
    <t>Plastics, burned MJ</t>
  </si>
  <si>
    <t>Waste tyres, burned MJ</t>
  </si>
  <si>
    <t>Sawdust, burned MJ</t>
  </si>
  <si>
    <t>Animal meal, burned MJ</t>
  </si>
  <si>
    <t>Methane, burned MJ</t>
  </si>
  <si>
    <t>Ethane, burned MJ</t>
  </si>
  <si>
    <t>Propane, burned MJ</t>
  </si>
  <si>
    <t>Butane, burned MJ</t>
  </si>
  <si>
    <t>Ethanol, burned MJ</t>
  </si>
  <si>
    <t>Methanol, burned MJ</t>
  </si>
  <si>
    <t>lessee</t>
  </si>
  <si>
    <t>lessor</t>
  </si>
  <si>
    <r>
      <t xml:space="preserve">Total Emissions using  </t>
    </r>
    <r>
      <rPr>
        <b/>
        <sz val="11"/>
        <color theme="1"/>
        <rFont val="Aptos"/>
        <family val="2"/>
      </rPr>
      <t>Financial / Operating Control</t>
    </r>
    <r>
      <rPr>
        <sz val="11"/>
        <color theme="1"/>
        <rFont val="Aptos"/>
        <family val="2"/>
      </rPr>
      <t xml:space="preserve"> Approach</t>
    </r>
  </si>
  <si>
    <t>Support-Col1</t>
  </si>
  <si>
    <t>Support-Col2</t>
  </si>
  <si>
    <t>Français</t>
  </si>
  <si>
    <t>Für Netto-Null-Fahrpläne ist es obligatorisch, die Scope 1 &amp; 2 Emissionen zu bilanzieren.</t>
  </si>
  <si>
    <t>Énergie solaireJaNiederspannung</t>
  </si>
  <si>
    <t>Énergie éolienneJaNiederspannung</t>
  </si>
  <si>
    <t>BiomasseJaNiederspannung</t>
  </si>
  <si>
    <t>Énergie géothermiqueJaNiederspannung</t>
  </si>
  <si>
    <t>NucléaireJaNiederspannung</t>
  </si>
  <si>
    <t>PétroleJaNiederspannung</t>
  </si>
  <si>
    <t>Gaz naturelJaNiederspannung</t>
  </si>
  <si>
    <t>DéchetsJaNiederspannung</t>
  </si>
  <si>
    <t>Énergie solaireNeinNiederspannung</t>
  </si>
  <si>
    <t>Énergie éolienneNeinNiederspannung</t>
  </si>
  <si>
    <t>BiomasseNeinNiederspannung</t>
  </si>
  <si>
    <t>Énergie géothermiqueNeinNiederspannung</t>
  </si>
  <si>
    <t>NucléaireNeinNiederspannung</t>
  </si>
  <si>
    <t>PétroleNeinNiederspannung</t>
  </si>
  <si>
    <t>Gaz naturelNeinNiederspannung</t>
  </si>
  <si>
    <t>DéchetsNeinNiederspannung</t>
  </si>
  <si>
    <t>Énergie solaireJaMittelspannung</t>
  </si>
  <si>
    <t>Énergie éolienneJaMittelspannung</t>
  </si>
  <si>
    <t>BiomasseJaMittelspannung</t>
  </si>
  <si>
    <t>Énergie géothermiqueJaMittelspannung</t>
  </si>
  <si>
    <t>NucléaireJaMittelspannung</t>
  </si>
  <si>
    <t>PétroleJaMittelspannung</t>
  </si>
  <si>
    <t>Gaz naturelJaMittelspannung</t>
  </si>
  <si>
    <t>DéchetsJaMittelspannung</t>
  </si>
  <si>
    <t>Énergie solaireNeinMittelspannung</t>
  </si>
  <si>
    <t>Énergie éolienneNeinMittelspannung</t>
  </si>
  <si>
    <t>BiomasseNeinMittelspannung</t>
  </si>
  <si>
    <t>Énergie géothermiqueNeinMittelspannung</t>
  </si>
  <si>
    <t>NucléaireNeinMittelspannung</t>
  </si>
  <si>
    <t>PétroleNeinMittelspannung</t>
  </si>
  <si>
    <t>Gaz naturelNeinMittelspannung</t>
  </si>
  <si>
    <t>DéchetsNeinMittelspannung</t>
  </si>
  <si>
    <t>Energia idroelettricaJaNiederspannung</t>
  </si>
  <si>
    <t>Energia solareJaNiederspannung</t>
  </si>
  <si>
    <t>Energia eolicaJaNiederspannung</t>
  </si>
  <si>
    <t>BiomassaJaNiederspannung</t>
  </si>
  <si>
    <t>Energia geotermicaJaNiederspannung</t>
  </si>
  <si>
    <t>NucleareJaNiederspannung</t>
  </si>
  <si>
    <t>PetrolioJaNiederspannung</t>
  </si>
  <si>
    <t>Gas naturaleJaNiederspannung</t>
  </si>
  <si>
    <t>ScartiJaNiederspannung</t>
  </si>
  <si>
    <t>Energia solareNeinNiederspannung</t>
  </si>
  <si>
    <t>Energia eolicaNeinNiederspannung</t>
  </si>
  <si>
    <t>BiomassaNeinNiederspannung</t>
  </si>
  <si>
    <t>Energia geotermicaNeinNiederspannung</t>
  </si>
  <si>
    <t>NucleareNeinNiederspannung</t>
  </si>
  <si>
    <t>PetrolioNeinNiederspannung</t>
  </si>
  <si>
    <t>Gas naturaleNeinNiederspannung</t>
  </si>
  <si>
    <t>ScartiNeinNiederspannung</t>
  </si>
  <si>
    <t>Energia idroelettricaJaMittelspannung</t>
  </si>
  <si>
    <t>Energia solareJaMittelspannung</t>
  </si>
  <si>
    <t>Energia eolicaJaMittelspannung</t>
  </si>
  <si>
    <t>BiomassaJaMittelspannung</t>
  </si>
  <si>
    <t>Energia geotermicaJaMittelspannung</t>
  </si>
  <si>
    <t>NucleareJaMittelspannung</t>
  </si>
  <si>
    <t>PetrolioJaMittelspannung</t>
  </si>
  <si>
    <t>Gas naturaleJaMittelspannung</t>
  </si>
  <si>
    <t>ScartiJaMittelspannung</t>
  </si>
  <si>
    <t>Energia idroelettricaNeinMittelspannung</t>
  </si>
  <si>
    <t>Energia solareNeinMittelspannung</t>
  </si>
  <si>
    <t>Energia eolicaNeinMittelspannung</t>
  </si>
  <si>
    <t>BiomassaNeinMittelspannung</t>
  </si>
  <si>
    <t>Energia geotermicaNeinMittelspannung</t>
  </si>
  <si>
    <t>NucleareNeinMittelspannung</t>
  </si>
  <si>
    <t>PetrolioNeinMittelspannung</t>
  </si>
  <si>
    <t>Gas naturaleNeinMittelspannung</t>
  </si>
  <si>
    <t>ScartiNeinMittelspannung</t>
  </si>
  <si>
    <r>
      <t>Result kg CO</t>
    </r>
    <r>
      <rPr>
        <vertAlign val="subscript"/>
        <sz val="11"/>
        <color theme="1"/>
        <rFont val="Arial"/>
        <family val="2"/>
      </rPr>
      <t>2</t>
    </r>
    <r>
      <rPr>
        <sz val="11"/>
        <color theme="1"/>
        <rFont val="Arial"/>
        <family val="2"/>
      </rPr>
      <t>eq</t>
    </r>
  </si>
  <si>
    <r>
      <t>Result kg CO</t>
    </r>
    <r>
      <rPr>
        <vertAlign val="subscript"/>
        <sz val="11"/>
        <color theme="1"/>
        <rFont val="Arial"/>
        <family val="2"/>
      </rPr>
      <t>2</t>
    </r>
    <r>
      <rPr>
        <sz val="11"/>
        <color theme="1"/>
        <rFont val="Arial"/>
        <family val="2"/>
      </rPr>
      <t xml:space="preserve"> biogenic</t>
    </r>
  </si>
  <si>
    <t>Chauffage à distance, échangeur thermique des eaux usées</t>
  </si>
  <si>
    <t>Teleriscaldamento, scambiatore termico delle acque reflue</t>
  </si>
  <si>
    <t>Chauffage à distance, pompe à chaleur, eaux souterraines, 50 kW</t>
  </si>
  <si>
    <t>Énergie hydraulique</t>
  </si>
  <si>
    <t>Transport, voiture particulière, essence, moyenne de la flotte</t>
  </si>
  <si>
    <t>Transport, voiture particulière, batterie électrique, moyenne de la flotte</t>
  </si>
  <si>
    <t>Transport, voiture particulière, diesel, grande</t>
  </si>
  <si>
    <t>Transport, voiture particulière, diesel, moyenne</t>
  </si>
  <si>
    <t>Transport, voiture particulière, essence, grande</t>
  </si>
  <si>
    <t>Transport, voiture particulière, essence, moyenne</t>
  </si>
  <si>
    <t>Transport, voiture particulière, batterie électrique, grande</t>
  </si>
  <si>
    <t>Transport, voiture particulière, batterie électrique, moyenne</t>
  </si>
  <si>
    <t>Transport, voiture particulière, batterie électrique, petite</t>
  </si>
  <si>
    <t>Transport, camion 7.5 t, fret, diesel, moyenne de la flotte, livraison régionale</t>
  </si>
  <si>
    <t>Transport, camion 26t, fret, diesel, moyenne de la flotte, livraison régionale</t>
  </si>
  <si>
    <t>Transport, camion 32t, fret, diesel, moyenne de la flotte, livraison régionale</t>
  </si>
  <si>
    <t>Transport, camion 40t, fret, diesel, moyenne de la flotte, livraison régionale</t>
  </si>
  <si>
    <t>Produits de la construction mécanique</t>
  </si>
  <si>
    <t>Prodotti dell'ingegneria meccanica</t>
  </si>
  <si>
    <t>Réparation et installation de machines et d'équipements</t>
  </si>
  <si>
    <t>Entreposage, services liés au transport</t>
  </si>
  <si>
    <t>Magazzinaggio, servizi per il trasporto</t>
  </si>
  <si>
    <t>Services postaux, de messagerie et de livraison express</t>
  </si>
  <si>
    <t>Produits/services liés à l’hébergement</t>
  </si>
  <si>
    <t>Produits/services liés à la restauration</t>
  </si>
  <si>
    <t>Produits/services liés à l'édition, aux médias audiovisuels et à la radiodiffusion</t>
  </si>
  <si>
    <t>Services informatiques et d'information</t>
  </si>
  <si>
    <t>Services liés à l'immobilier et au logement</t>
  </si>
  <si>
    <t>Services libéraux et techniques</t>
  </si>
  <si>
    <t>Servizi di ricerca e sviluppo</t>
  </si>
  <si>
    <t>Services liés à d'autres activités libérales, scientifiques et techniques</t>
  </si>
  <si>
    <t>Services dans le domaine de l'éducation et de l'enseignement</t>
  </si>
  <si>
    <t>Servizi nel settore dell'istruzione e dell'insegnamento</t>
  </si>
  <si>
    <t>Services liés aux établissements d'hébergement et aux services sociaux</t>
  </si>
  <si>
    <t>Services liés aux arts, aux loisirs et aux divertissements</t>
  </si>
  <si>
    <t>Bürogebäude, pro m3</t>
  </si>
  <si>
    <t>Immeuble de bureaux, par m3</t>
  </si>
  <si>
    <t>Edificio per uffici, per m3</t>
  </si>
  <si>
    <t>Produktionshalle / Lagerhaus, pro m2</t>
  </si>
  <si>
    <t>Hall de production / entrepôt, par m2</t>
  </si>
  <si>
    <t>Chaudière à mazout 100 kW</t>
  </si>
  <si>
    <t>Chaudière à gaz 15 kW</t>
  </si>
  <si>
    <t>Chaudière à gaz 50 kW</t>
  </si>
  <si>
    <t>Pompe à chaleur, air-eau, 50 kW</t>
  </si>
  <si>
    <t>Pompe à chaleur, eau glycolée, 15 kW</t>
  </si>
  <si>
    <t>Pompa di calore, acqua salina, 15kW</t>
  </si>
  <si>
    <t>Pompe à chaleur, eau glycolée, 50 kW</t>
  </si>
  <si>
    <t>Pompa di calore, acqua salina, 50kW</t>
  </si>
  <si>
    <t>Straßen- / Parkplätze, pro m²</t>
  </si>
  <si>
    <t>Routes / places de stationnemen,t par m2</t>
  </si>
  <si>
    <t>Camion 3.5 t, électrique</t>
  </si>
  <si>
    <t>Camion 7.5 t, électrique</t>
  </si>
  <si>
    <t>Autocar 9m</t>
  </si>
  <si>
    <t>Autocar 13m</t>
  </si>
  <si>
    <t>Déchets ménagers / industriels mixtes, incinération</t>
  </si>
  <si>
    <t>Rifiuti domestici / industriali misti, inceneritore</t>
  </si>
  <si>
    <t>Déchets dangereux, incinération</t>
  </si>
  <si>
    <t>Rifiuti pericolosi, inceneritore</t>
  </si>
  <si>
    <t>Plastique, incinération</t>
  </si>
  <si>
    <t>Plastica, inceneritore</t>
  </si>
  <si>
    <t>Plastica, riciclo</t>
  </si>
  <si>
    <t>Metallo, riciclo</t>
  </si>
  <si>
    <t>Biodéchets, incinération</t>
  </si>
  <si>
    <t>Biorifiuti, inceneritore</t>
  </si>
  <si>
    <t>Plomb, dans l'air</t>
  </si>
  <si>
    <t>Chrome, dans l’air</t>
  </si>
  <si>
    <t>Chrome, dans l’eau</t>
  </si>
  <si>
    <t>TOC (carbone organique total), dans les eaux souterraines</t>
  </si>
  <si>
    <t>Phosphore, dans l’eau</t>
  </si>
  <si>
    <t>Azote, dans l’eau</t>
  </si>
  <si>
    <t>Zinc, dans l’air</t>
  </si>
  <si>
    <t>Participation au capital</t>
  </si>
  <si>
    <t>Bail d'exploitation</t>
  </si>
  <si>
    <t>Bail financier</t>
  </si>
  <si>
    <t>Le type de bail n'est pas pertinent dans ce cas.</t>
  </si>
  <si>
    <t>La majorité de vos biens loués en amont et aval sont-ils en location type "Bail d'exploitation" ou "Bail financier"?
(aide dans le User Manual)</t>
  </si>
  <si>
    <t>Maschine, generisch, pro kg</t>
  </si>
  <si>
    <t>Maschine, Hightech, Pro kg</t>
  </si>
  <si>
    <t>Maschine, Haushalt, pro kg</t>
  </si>
  <si>
    <t>LKW 18t, elektrisch</t>
  </si>
  <si>
    <t>LKW 26t, elektrisch</t>
  </si>
  <si>
    <t>LkW 40t, elektrisch</t>
  </si>
  <si>
    <t>Machine, génériques, par kg</t>
  </si>
  <si>
    <t>Machine, haute technologie, par kg</t>
  </si>
  <si>
    <t>Machine, ménagères, par kg</t>
  </si>
  <si>
    <t>Macchina, high-tech, per kg</t>
  </si>
  <si>
    <t>Elettrodomestico, per kg</t>
  </si>
  <si>
    <t>Plâtre</t>
  </si>
  <si>
    <t>Peinture</t>
  </si>
  <si>
    <t>Soude caustique</t>
  </si>
  <si>
    <t>Oxyde d'aluminium</t>
  </si>
  <si>
    <t>Ammoniac (liquide)</t>
  </si>
  <si>
    <t>Sable silicieux</t>
  </si>
  <si>
    <t>Sulfure d’hydrogène</t>
  </si>
  <si>
    <t>Acide benzoïque</t>
  </si>
  <si>
    <t>Savon</t>
  </si>
  <si>
    <t>Autres</t>
  </si>
  <si>
    <t>Batterie lithium rechargeable</t>
  </si>
  <si>
    <t>Batterie NaCl (cellule)</t>
  </si>
  <si>
    <t>Encre d'imprimante</t>
  </si>
  <si>
    <t>Appareils</t>
  </si>
  <si>
    <t>Imprimante</t>
  </si>
  <si>
    <t>Routeur internet</t>
  </si>
  <si>
    <t>Ordinateur de bureau / serveur (sans écran)</t>
  </si>
  <si>
    <t>Écran LED</t>
  </si>
  <si>
    <t>Composant électronique (actif)</t>
  </si>
  <si>
    <t>Composant électronique (passif)</t>
  </si>
  <si>
    <t>Verre plat (revêtu)</t>
  </si>
  <si>
    <t>Emballage en verre</t>
  </si>
  <si>
    <t>Panneau de fibres de bois</t>
  </si>
  <si>
    <t>Bioplastique</t>
  </si>
  <si>
    <t>Acétate d'éthyle-vinyle</t>
  </si>
  <si>
    <t>Acétate d'éthyle-vinyle (feuilles)</t>
  </si>
  <si>
    <t>HDPE (granulés)</t>
  </si>
  <si>
    <t>LDPE (granulés)</t>
  </si>
  <si>
    <t>PMMA (granulés)</t>
  </si>
  <si>
    <t>PP (granulés)</t>
  </si>
  <si>
    <t>PS (usage général)</t>
  </si>
  <si>
    <t>PS (expansible)</t>
  </si>
  <si>
    <t>Chlorure de polyvinylidène</t>
  </si>
  <si>
    <t>Phosphate monoammonique (N)</t>
  </si>
  <si>
    <t>Phosphate diammonique (N)</t>
  </si>
  <si>
    <t>Engrais organiques</t>
  </si>
  <si>
    <t>Grains d'orge</t>
  </si>
  <si>
    <t>Graines de soja</t>
  </si>
  <si>
    <t>Grains de blé, IP-Suisse</t>
  </si>
  <si>
    <t>Aluminium, alliage coulé</t>
  </si>
  <si>
    <t>Aluminium, alliage coulé (recyclage)</t>
  </si>
  <si>
    <t>Alliage fer-nickel-chrome</t>
  </si>
  <si>
    <t>Acier d’armement CH (recyclé, laminé)</t>
  </si>
  <si>
    <t>Acier inoxydable (recyclé)</t>
  </si>
  <si>
    <t>Acier à faible alliage (recyclé)</t>
  </si>
  <si>
    <t>Aluminium (primaire)</t>
  </si>
  <si>
    <t>Aluminium (recyclé)</t>
  </si>
  <si>
    <t>Laiton</t>
  </si>
  <si>
    <t>Mercure</t>
  </si>
  <si>
    <t>Tantale</t>
  </si>
  <si>
    <t>Étain</t>
  </si>
  <si>
    <t>Titane</t>
  </si>
  <si>
    <t>Chaux</t>
  </si>
  <si>
    <t>Amiante (crysotile)</t>
  </si>
  <si>
    <t>Argile</t>
  </si>
  <si>
    <t>Carton</t>
  </si>
  <si>
    <t>Emballage carton pour liquides</t>
  </si>
  <si>
    <t>Carton solide (non blanchi)</t>
  </si>
  <si>
    <t>Fibres mixtes</t>
  </si>
  <si>
    <t>Bande de papier ondulée</t>
  </si>
  <si>
    <t>Bande de papier lisse</t>
  </si>
  <si>
    <t>Papier non couché</t>
  </si>
  <si>
    <t>Papier non couché (recyclé)</t>
  </si>
  <si>
    <t>Papier kraft (blanchi)</t>
  </si>
  <si>
    <t>Papier kraft (non blanchi)</t>
  </si>
  <si>
    <t>Pulpe</t>
  </si>
  <si>
    <t>Pulpe de sulfate (blanchie)</t>
  </si>
  <si>
    <t>Pulpe de sulfate (non blanchie)</t>
  </si>
  <si>
    <t>Textile (en coton)</t>
  </si>
  <si>
    <t>Textile (en jute)</t>
  </si>
  <si>
    <t>Batteria al litio ricaricabile</t>
  </si>
  <si>
    <t>Batteria NaCl (cella)</t>
  </si>
  <si>
    <t>Carta kraft (sbiancata)</t>
  </si>
  <si>
    <t>Carta kraft (non sbiancata)</t>
  </si>
  <si>
    <t>Polpa</t>
  </si>
  <si>
    <t>Polpa di solfato (sbiancata)</t>
  </si>
  <si>
    <t>Polpa di solfato (non sbiancata)</t>
  </si>
  <si>
    <t>Cartone</t>
  </si>
  <si>
    <t>Les cinq tableaux Excel suivants doivent être traités dans l’ordre (de gauche à droite) :</t>
  </si>
  <si>
    <t>D’abord, définissez l’unité opérationnelle à prendre en compte (par exemple, l’ensemble de l’entreprise ou les emplacements/unités individuels), la période et le périmètre du bilan. Cela fait automatiquement griser les zones qui ne sont pas pertinentes pour votre entreprise dans les champs d’entrée suivants.</t>
  </si>
  <si>
    <t>Pour toutes les zones restantes, vous entrez désormais les données de votre entreprise. Toutes les données doivent être rassemblées pour l’unité opérationnelle précédemment définie. La collecte de données peut demander un certain effort. La qualité de ces données détermine la qualité de vos résultats.
Le « User Manual » donne des conseils utiles pour le remplir, le « Developer Manual » explique comment les champs de saisie et les calculs correspondants peuvent être modifiés (voir ci-dessous).</t>
  </si>
  <si>
    <t>Grâce aux informations contenues dans les feuilles de calcul précédentes, les émissions de gaz à effet de serre, ainsi que les émissions biogéniques de gaz à effet de serre et les points d’impact environnementaux des Scope 1, 2 et 3 selon le GHG Protocol sont calculés automatiquement. Vous n’avez rien à remplir ici.</t>
  </si>
  <si>
    <t>Enfin, les résultats du bilan de l’unité opérationnelle définie issus de la feuille précédente sont résumés. Vous n’avez rien à remplir ici.</t>
  </si>
  <si>
    <t>Vous trouverez ici la dernière version de l’outil ainsi que les documents associés :</t>
  </si>
  <si>
    <t>Das Entwicklungshandbuch enthält weitere Informationen und Anleitungen zum Tool, falls Sie Anpassungen in den Eingaben oder Berechnungen vornehmen möchten.</t>
  </si>
  <si>
    <t>Le guide du développeur fournit plus d’informations et des conseils sur l’outil au cas où vous souhaiteriez ajuster les saisies ou les calculs.</t>
  </si>
  <si>
    <t>Des calculs supplémentaires pour le calcul de données énergétiques et de transport sont documentés dans un document Excel séparé (divisé selon les Scopes 1, 2, 3).</t>
  </si>
  <si>
    <t>Calcoli aggiuntivi per i dati di energia e trasporti sono documentati in un documento Excel separato (suddiviso secondo gli Scope 1, 2, 3).</t>
  </si>
  <si>
    <t>Contact</t>
  </si>
  <si>
    <t>Contatti</t>
  </si>
  <si>
    <t>Les champs verts ont déjà été remplis et peuvent être ajustés à tout moment.</t>
  </si>
  <si>
    <t>A Délimitation organisationnelle (approche de consolidation)</t>
  </si>
  <si>
    <t>A Delimitazione organizzativa (approccio di consolidamento)</t>
  </si>
  <si>
    <t>B Périmètre du bilan (Scopes)</t>
  </si>
  <si>
    <t>B Perimetro di bilancio (Scopes)</t>
  </si>
  <si>
    <t>Pour les feuilles de route net-zéro, il est obligatoire d’inclure les émissions de Scope 1 et 2.</t>
  </si>
  <si>
    <t>C Betriebliche Emissionsquellen - Direktemissionen</t>
  </si>
  <si>
    <t>Votre entreprise utilise-t-elle des espaces ou des installations opérationnellement pertinents qui ne lui appartiennent pas (approvisionnement en électricité/chaleur/énergie via un contrat de location/bail) ?</t>
  </si>
  <si>
    <t>Besitzt Ihr Unternehmen Flächen oder Anlagen, die von anderen Unternehmen genutzt werden? (Bezug von Strom/Wärme/Prozessenergie durch Dritte über einen Miet-/Pachtvertrag)?</t>
  </si>
  <si>
    <t>Votre entreprise possède-t-elle des espaces ou des installations utilisés par d’autres entreprises ? (approvisionnement en électricité/chauffage/énergie auprès de tiers via un contrat de location/bail) ?</t>
  </si>
  <si>
    <t>Votre entreprise a-t-elle réalisé des investissements importants dans les biens d’équipement (par exemple, bâtiments, véhicules, machines) au cours de l’année du bilan ?</t>
  </si>
  <si>
    <t>Ici, vous saisissez toutes les données de l’entreprise pour l’année de bilan de l’unité organisationnelle définie. Ces « données d’activité » sont au cœur du bilan. En fonction de vos saisies, les émissions sont automatiquement calculées dans le feuille de calcul suivante « 3 Calculation » et résumées sous « 4 Dashboard ».</t>
  </si>
  <si>
    <t>Saisie</t>
  </si>
  <si>
    <t>La saisie des données de votre entreprise est divisée en cases thématiques (pas selon les Scopes). Suivez les instructions dans les cases et remplissez les champs concernés en utilisant le code couleur suivant :</t>
  </si>
  <si>
    <t>Les champs jaunes peuvent être remplis (menu déroulant ou entrées numériques).</t>
  </si>
  <si>
    <t>Les cases avec du texte grisé n’ont pas besoin d’être prises en compte (masquées en fonction de vos saisies sous 1 General Inputs).</t>
  </si>
  <si>
    <t>Le caselle con testo grigio non devono essere considerate (nascoste in base alle impostazioni specificate in 1 General Inputs).</t>
  </si>
  <si>
    <t>Lorsque vous avez saisi toutes les données de l’entreprise dans un encadré, marquez la comme terminée (tout deviendra automatiquement vert).</t>
  </si>
  <si>
    <t>La table des matières vous indique la progression actuelle de votre traitement.</t>
  </si>
  <si>
    <t>Combustion stationnaire</t>
  </si>
  <si>
    <t>Combustione stazionaria</t>
  </si>
  <si>
    <t>Indiquez les combustibles que votre entreprise brûle sur place dans des systèmes de production d’énergie installés en permanence (par exemple, chaudières, centrales thermiques et électriques mixtes, fours, générateurs fixes ; fossiles ou biogéniques). Ne notez que les installations que vous utilisez vous-même.</t>
  </si>
  <si>
    <t>Indiquez la consommation de chauffage urbain ou de vapeur pour votre consommation personnelle dans les bâtiments ou installations appartenant à votre entreprise.</t>
  </si>
  <si>
    <t>Source d’énergie</t>
  </si>
  <si>
    <t>Fonte di energia</t>
  </si>
  <si>
    <t>Indiquez les combustibles que votre entreprise brûle sur place dans des systèmes de production d’énergie loués et installés de façon permanente (par exemple, chaudières, centrales thermiques et électriques mixtes, fours, générateurs fixes ; fossiles ou biogéniques). Indiquez uniquement les actifs que votre entreprise loue ici.</t>
  </si>
  <si>
    <t>Achat de chauffage à distance ou de vapeur pour des bâtiments ou installations loués.</t>
  </si>
  <si>
    <t>Indiquez les émissions directes de gaz à effet de serre provenant de procédés ou d’utilisations des sols qui ne proviennent pas de la combustion du combustible.
Cela inclut, par exemple, les réactions chimiques, les procédés de fermentation, le traitement des eaux usées, le compostage ou d’autres transformations de matériaux.</t>
  </si>
  <si>
    <t>Équivalents CO2 (lorsque les chiffres des émissions sont combinés)</t>
  </si>
  <si>
    <t>CH4 (fossil)</t>
  </si>
  <si>
    <t>CH4 non fossil</t>
  </si>
  <si>
    <t>Emissioni fuggitive</t>
  </si>
  <si>
    <t>Indiquez les émissions directes de gaz à effet de serre causées par la fuite accidentelle de gaz des installations de votre entreprise.
Cela inclut, par exemple, les pertes de réfrigérants dues aux systèmes de refroidissement et de climatisation, les émissions de méthane provenant des gazoducs ou les fuites des systèmes techniques.</t>
  </si>
  <si>
    <t>Indiquez les émissions issues de la consommation de carburant ou d’électricité des véhicules et machines mobiles appartenant à votre entreprise que vous utilisez vous-même.
Cela inclut, par exemple, des voitures particulières, des camions, des chariots élévateurs, des machines de construction, des machines de jardinage.</t>
  </si>
  <si>
    <t>Électricité</t>
  </si>
  <si>
    <t>Elettricità</t>
  </si>
  <si>
    <t>Unité b)</t>
  </si>
  <si>
    <t>Unità b)</t>
  </si>
  <si>
    <t>Indiquez les émissions provenant de la consommation de carburant ou d’électricité des véhicules et des machines mobiles appartenant à votre entreprise et que vous louez.
Cela inclut, par exemple, des voitures particulières, des camions, des chariots élévateurs, des machines de construction, des machines de jardinage.</t>
  </si>
  <si>
    <t>Indiquez la consommation d’électricité de tous les bâtiments, actifs et processus appartenant à votre entreprise que vous utilisez vous-même.
La consommation électrique est différenciée entre l'électricité sans garantie d'origine (GO) et l'électricité avec GO.</t>
  </si>
  <si>
    <t>Pertes couvertes par GO ?</t>
  </si>
  <si>
    <t>Perdite coperte da GO?</t>
  </si>
  <si>
    <t>Électricité achetée sans garantie d'origine</t>
  </si>
  <si>
    <t>Électricité achetée avec garantie d'origine</t>
  </si>
  <si>
    <t>Elettricità acquistata con garanzia di origine</t>
  </si>
  <si>
    <t>Indiquez la consommation d’électricité de tous les bâtiments, installations et processus loués.
La consommation électrique est différenciée entre l'électricité sans garantie d'origine (GO) et l'électricité avec GO.</t>
  </si>
  <si>
    <t>Indiquez tous les biens et services achetés au cours de l’année du bilan.
Cela inclut, par exemple, les matières premières, la nourriture, l’équipement ou les services tels que le conseil, la planification et le nettoyage.</t>
  </si>
  <si>
    <t>Secteur d'activité</t>
  </si>
  <si>
    <t>Indiquez tous les biens et services achetés au cours de l’année du bilan qui ne sont pas couverts par l'« approche basée sur les dépenses ».
Cela inclut, par exemple, les matières premières, la nourriture, les consommables ou les équipements.</t>
  </si>
  <si>
    <t>Matériau cat. 1</t>
  </si>
  <si>
    <t>Materiale cat. 1</t>
  </si>
  <si>
    <t>Matériau cat. 2</t>
  </si>
  <si>
    <t>Materiale cat. 2</t>
  </si>
  <si>
    <t>Matériau cat. 3</t>
  </si>
  <si>
    <t>Materiale cat. 3</t>
  </si>
  <si>
    <t xml:space="preserve">Indiquez tous les biens d’équipement achetés au cours de l’année du bilan, par exemple les bâtiments, véhicules ou machines.
</t>
  </si>
  <si>
    <t>Indiquez tous les déplacements d’affaires des employés utilisant un moyen de transport qui ne'appartient pas à votre entreprise.
Cela inclut, par exemple, les véhicules privés des employés, les véhicules loués à court-terme et les transports en commun.</t>
  </si>
  <si>
    <t>Sous « Saisie », indiquez les distances parcourues par moyen de transport en kilomètres passagers (pkm) ou kilomètres véhicules (vkm).</t>
  </si>
  <si>
    <t>Voiture particulière</t>
  </si>
  <si>
    <t>Autovettura</t>
  </si>
  <si>
    <t>Trajets pendulaires</t>
  </si>
  <si>
    <t>Percorsi pendolari</t>
  </si>
  <si>
    <t>Indiquez les trajets pendulaires des employés entre leur domicile et leur travail.</t>
  </si>
  <si>
    <t>Saisie simplifiée : Indiquez le nombre d’employés en équivalents temps plein (FTE). Des moyennes suisses sont utilisées.
Saisie plus précise : Indiquez le nombre de passagers-kilomètres parcourus (pkm) par mode de transport (cumulé sur l’année du bilan).</t>
  </si>
  <si>
    <t>Indiquez toutes les activités de transport entre les fournisseurs et votre entreprise.</t>
  </si>
  <si>
    <t>Indiquez le serrvice de transport en tonnes-kilomètres (tkm).</t>
  </si>
  <si>
    <t>Bateau</t>
  </si>
  <si>
    <t>Indiquez toutes les activités de transport entre votre entreprise et les clients à qui les produits sont vendus.</t>
  </si>
  <si>
    <t>Indiquez la consommation de carburant, de combustible et d'électricité chez le client, qui est nécessaire pour la transformation ultérieure des produits que vous avez vendus.
Cela s’applique, par exemple, à l’utilisation de l’énergie dans le traitement ultérieur de produits intermédiaires tels que les granulés plastiques dans le moulage par injection.</t>
  </si>
  <si>
    <t>Carburants et combustibles</t>
  </si>
  <si>
    <t>Carburanti e combustibili</t>
  </si>
  <si>
    <t>Indiquez la consommation de carburant, de combustible et d'électricité chez le client pendant la phase d'utilisation des produits que vous avez vendus.
Cela s’applique, par exemple, aux besoins énergétiques des appareils électroniques ou à la consommation de carburant des véhicules.</t>
  </si>
  <si>
    <t>Indiquez la quantité totale de produits vendus au cours de l’année du bilan, en lien avec la fin de leur vie (élimination / recyclage).
Par exemple, un aspirateur est principalement en plastique et est incinéré, tandis qu’un produit métallique est susceptible d’être recyclé.</t>
  </si>
  <si>
    <t>Indiquez la consommation de carburants, de combustibles et d’électricité des entreprises franchisées opérant sous votre marque.</t>
  </si>
  <si>
    <t>Indiquez les données d’émissions calculées des scopes 1 et 2 en kilogrammes d’équivalents CO2.
À cet effet, l’entreprise franchisée peut remplir sa propre version du Corporate Footprint Calculator (limitée aux Scopes 1 et 2).</t>
  </si>
  <si>
    <t>Indiquez les émissions liées aux investissements imputables proportionnellement à votre entreprise.
Il s’agit notamment de participations dans des entreprises, des fonds, des projets immobiliers ou d’infrastructure.</t>
  </si>
  <si>
    <t>Résultats</t>
  </si>
  <si>
    <t>Risultati</t>
  </si>
  <si>
    <t>Les résultats du calcul des émissions sont présentés ici. La classification s'effectue selon les Scopes définis dans le GHG Protocol.</t>
  </si>
  <si>
    <t>Émissions liées aux processus</t>
  </si>
  <si>
    <t>Emissioni di processo</t>
  </si>
  <si>
    <t>Elettricità (+ flotta elettrica propria)</t>
  </si>
  <si>
    <t>Chauffage à distance et vapeur</t>
  </si>
  <si>
    <t>Teleriscaldamento e vapore</t>
  </si>
  <si>
    <t>3.1 Beni e servizi</t>
  </si>
  <si>
    <t>3.4 Trasporto a monte</t>
  </si>
  <si>
    <t>3.5 Déchets d'exploitation</t>
  </si>
  <si>
    <t>3.6 Viaggi di lavoro</t>
  </si>
  <si>
    <t>3.7 Trajets pendulaires</t>
  </si>
  <si>
    <t>3.7 Percorsi pendolari</t>
  </si>
  <si>
    <t>3.9 Transport en aval</t>
  </si>
  <si>
    <t>3.9 Trasporto a valle</t>
  </si>
  <si>
    <t>3.12 Smaltimento dei prodotti venduti</t>
  </si>
  <si>
    <t>3.14 Franchise</t>
  </si>
  <si>
    <t>3.14 Franchising</t>
  </si>
  <si>
    <t>Database BAFU:2025</t>
  </si>
  <si>
    <t>Setzt Ihr Unternehmen Chemikalien oder grosse Mengen an Reinigungsmitteln ein oder betreibt Ihr Unternehmen eine eigene Abwasser- oder Wasseraufbereitungsanlage oder entstehen durch Ihre Unternehmenstätigkeiten andere relevante Umweltemissionen neben Treibhausgasemissionen?</t>
  </si>
  <si>
    <t>Votre entreprise utilise-t-elle des produits chimiques ou de grandes quantités de détergents, exploite-t-elle sa propre station d'épuration ou de traitement des eaux, ou ses activités génèrent-elles d'autres émissions environnementales pertinentes en plus des émissions de gaz à effet de serre?</t>
  </si>
  <si>
    <t>n3Calculation_28Upstream_StationaryDirect</t>
  </si>
  <si>
    <t>n3Calculation_29Upstream_StationaryIndirect</t>
  </si>
  <si>
    <t>n3Calculation_30Upstream_DistrictDirect</t>
  </si>
  <si>
    <t>n3Calculation_31Upstream_DistrictIndirect</t>
  </si>
  <si>
    <t>n3Calculation_34Upstream_MobileCombustionDirect</t>
  </si>
  <si>
    <t>n3Calculation_35Upstream_MobileCombustionIndirect</t>
  </si>
  <si>
    <t>n3Calculation_38Downstream_StationaryDirect</t>
  </si>
  <si>
    <t>n3Calculation_39Downstream_StationaryIndirect</t>
  </si>
  <si>
    <t>n3Calculation_40Downstream_DistrictDirect</t>
  </si>
  <si>
    <t>n3Calculation_41Downstream_DistrictIndirect</t>
  </si>
  <si>
    <t>n3Calculation_44Downstream_MobileCombustionDirect</t>
  </si>
  <si>
    <t>n3Calculation_45Downstream_MobileCombustionIndirect</t>
  </si>
  <si>
    <t>Switzerland</t>
  </si>
  <si>
    <t>Wiederaufladbare Lithium-Batterie (Zelle)</t>
  </si>
  <si>
    <t>NaCl-Batterie</t>
  </si>
  <si>
    <t>gebleichtes Kraftpapier</t>
  </si>
  <si>
    <t>ungebleichtes Kraftpapier</t>
  </si>
  <si>
    <t>gebleichter Sulfatzellstoff</t>
  </si>
  <si>
    <t>ungebleichter Sulfatzellstoff</t>
  </si>
  <si>
    <t>Rohphosphate (P25)</t>
  </si>
  <si>
    <t>Phosphatdünger (P25)</t>
  </si>
  <si>
    <t>Dreifaches Superphosphat (P25)</t>
  </si>
  <si>
    <t>Betonstahl CH (1% RC, gerollt)</t>
  </si>
  <si>
    <t>Location</t>
  </si>
  <si>
    <t>1 Stationäre Verbrennung</t>
  </si>
  <si>
    <t>1 Combustion stationnaire</t>
  </si>
  <si>
    <t>1 Combustione stazionaria</t>
  </si>
  <si>
    <t>2 Prozesse</t>
  </si>
  <si>
    <t>2 Processus</t>
  </si>
  <si>
    <t>2 Processi</t>
  </si>
  <si>
    <t>3 Flüchtige Emissionen</t>
  </si>
  <si>
    <t>3 Émissions fugitives</t>
  </si>
  <si>
    <t>3 Emissioni fuggitive</t>
  </si>
  <si>
    <t>4 Flotte</t>
  </si>
  <si>
    <t>4 Flotta</t>
  </si>
  <si>
    <t>5 Strom</t>
  </si>
  <si>
    <t>5 Électricité</t>
  </si>
  <si>
    <t>5 Elettricità</t>
  </si>
  <si>
    <t xml:space="preserve">6 Eingekaufte Waren &amp; Dienstleistungen </t>
  </si>
  <si>
    <t>6 Biens et services achetés</t>
  </si>
  <si>
    <t>6 Beni e servizi acquistati</t>
  </si>
  <si>
    <t>7 Kapitalgüter</t>
  </si>
  <si>
    <t>7 Biens d’équipement</t>
  </si>
  <si>
    <t>7 Beni capitali</t>
  </si>
  <si>
    <t>8 Transport</t>
  </si>
  <si>
    <t>8 Trasporti</t>
  </si>
  <si>
    <t>9 Betrieblicher Abfall</t>
  </si>
  <si>
    <t>9 Déchets d'exploitation</t>
  </si>
  <si>
    <t>9 Rifiuti operativi</t>
  </si>
  <si>
    <t>10 Verkaufte Produkte</t>
  </si>
  <si>
    <t>10 Produits vendus</t>
  </si>
  <si>
    <t>10 Prodotti venduti</t>
  </si>
  <si>
    <t>11 Franchise-Unternehmen</t>
  </si>
  <si>
    <t>11 Entreprises franchisées</t>
  </si>
  <si>
    <t>11 Imprese in franchising</t>
  </si>
  <si>
    <t>12 Investitionen</t>
  </si>
  <si>
    <t>12 Investissements</t>
  </si>
  <si>
    <t>12 Investimenti</t>
  </si>
  <si>
    <t>Market Based</t>
  </si>
  <si>
    <t>Location Based</t>
  </si>
  <si>
    <t>On site Emissions 
(kg CO2e)</t>
  </si>
  <si>
    <t>Transport, 7,5t- Lastwagen, Fracht, batterieelektrisch, Regionale Lieferung</t>
  </si>
  <si>
    <t>Transport, 18t- Lastwagen, Fracht, batterieelektrisch, Regionale Lieferung</t>
  </si>
  <si>
    <t>Transport, 26t- Lastwagen, Fracht, batterieelektrisch, Regionale Lieferung</t>
  </si>
  <si>
    <t>Transport, 32t- Lastwagen, Fracht, batterieelektrisch, Regionale Lieferung</t>
  </si>
  <si>
    <t>Transport, 40t- Lastwagen, Fracht, batterieelektrisch, Regionale Lieferung</t>
  </si>
  <si>
    <t>Transport, camion 7.5t, fret, batterie électrique, livraison régionale</t>
  </si>
  <si>
    <t>Transport, camion 18t, fret, batterie électrique, livraison régionale</t>
  </si>
  <si>
    <t>Transport, camion 26t, fret, batterie électrique, livraison régionale</t>
  </si>
  <si>
    <t>Transport, camion 32t, fret, batterie électrique, livraison régionale</t>
  </si>
  <si>
    <t>Transport, camion 40t, fret, batterie électrique, livraison régionale</t>
  </si>
  <si>
    <t>Transport,  Frachtschiff, transozeanisch</t>
  </si>
  <si>
    <t>Transport, cargo, transocéanique</t>
  </si>
  <si>
    <t>LKW 3,5t, Diesel</t>
  </si>
  <si>
    <t>LKW 7,5t, Diesel</t>
  </si>
  <si>
    <t>LKW 18t, Diesel</t>
  </si>
  <si>
    <t>LKW 26t, Diesel</t>
  </si>
  <si>
    <t>LKW 32t, Diesel</t>
  </si>
  <si>
    <t>LKW 40t, Diesel</t>
  </si>
  <si>
    <t>Camion 3.5t, diesel</t>
  </si>
  <si>
    <t>Camion 7.5t, diesel</t>
  </si>
  <si>
    <t>Camion 18t, diesel</t>
  </si>
  <si>
    <t>Camion 26t, diesel</t>
  </si>
  <si>
    <t>Camion 32t, diesel</t>
  </si>
  <si>
    <t>Camion 40t, diesel</t>
  </si>
  <si>
    <t>Camion 7,5t, diesel</t>
  </si>
  <si>
    <t>LEASE</t>
  </si>
  <si>
    <t>Trockene Hackschnitzel</t>
  </si>
  <si>
    <t>Copeaux de bois</t>
  </si>
  <si>
    <t>Trucioli di legno secchi</t>
  </si>
  <si>
    <t>Edelstahl (sekundär)</t>
  </si>
  <si>
    <t>Aluminiumbarren (sekundär)</t>
  </si>
  <si>
    <t>PET (granulés)</t>
  </si>
  <si>
    <t>PET (Granulat)</t>
  </si>
  <si>
    <t>PET (granuli)</t>
  </si>
  <si>
    <t>Chicchi di mais, IP-Suisse</t>
  </si>
  <si>
    <t>IUD</t>
  </si>
  <si>
    <t>Refrigerant</t>
  </si>
  <si>
    <t>ConstructionBitumen compound</t>
  </si>
  <si>
    <t>ConstructionBricks</t>
  </si>
  <si>
    <t>ConstructionBricksClay brick</t>
  </si>
  <si>
    <t>ConstructionBricksSand-lime brick</t>
  </si>
  <si>
    <t>ConstructionBricksClay brick (light)</t>
  </si>
  <si>
    <t>ConstructionCladding</t>
  </si>
  <si>
    <t>ConstructionBeton</t>
  </si>
  <si>
    <t>ConstructionBetonConcrete (normal)</t>
  </si>
  <si>
    <t>ConstructionBetonConcrete (lean)</t>
  </si>
  <si>
    <t>ConstructionBetonConcrete, expanded clay (lightweight)</t>
  </si>
  <si>
    <t>ConstructionBetonConcrete, polystyrene integrated (lightweight)</t>
  </si>
  <si>
    <t>ConstructionCoveringsAcrylic filler</t>
  </si>
  <si>
    <t>ConstructionCoveringsClay plaster</t>
  </si>
  <si>
    <t>ConstructionPaint (acryl)</t>
  </si>
  <si>
    <t>ConstructionInsulation</t>
  </si>
  <si>
    <t>ConstructionInsulationCellulose fibre</t>
  </si>
  <si>
    <t>ConstructionInsulationFoam glass</t>
  </si>
  <si>
    <t>ConstructionInsulationPolystyrene foam</t>
  </si>
  <si>
    <t>ConstructionInsulationStone wool</t>
  </si>
  <si>
    <t>ConstructionInsulationGlass wool</t>
  </si>
  <si>
    <t>ConstructionNatural stone</t>
  </si>
  <si>
    <t>ChemicalsInorganic chemicals</t>
  </si>
  <si>
    <t>ChemicalsInorganic chemicalsPhosphate rock (P2O5)</t>
  </si>
  <si>
    <t>ChemicalsInorganic chemicalsSodium Hydroxide</t>
  </si>
  <si>
    <t>ChemicalsInorganic chemicalsAluminium Hydroxide</t>
  </si>
  <si>
    <t>ChemicalsInorganic chemicalsAluminium Oxide</t>
  </si>
  <si>
    <t>ChemicalsInorganic chemicalsAmmonia (liquid)</t>
  </si>
  <si>
    <t>ChemicalsInorganic chemicalsCalcium Chloride</t>
  </si>
  <si>
    <t>ChemicalsInorganic chemicalsGraphite</t>
  </si>
  <si>
    <t>ChemicalsInorganic chemicalsHydrogen peroxide</t>
  </si>
  <si>
    <t>ChemicalsInorganic chemicalsSilica Sand</t>
  </si>
  <si>
    <t>ChemicalsInorganic chemicalsSodium Hypochlorite</t>
  </si>
  <si>
    <t>ChemicalsInorganic chemicalsSulfite</t>
  </si>
  <si>
    <t>ChemicalsInorganic chemicalsSoufre</t>
  </si>
  <si>
    <t>ChemicalsInorganic chemicalsTitanium dioxide</t>
  </si>
  <si>
    <t>ChemicalsAcids, inorganic</t>
  </si>
  <si>
    <t>ChemicalsAcids, inorganicSulfamic acid</t>
  </si>
  <si>
    <t>ChemicalsAcids, inorganicPhosphoric acid (fertiliser grade)</t>
  </si>
  <si>
    <t>ChemicalsAcids, inorganicPhosphoric acid (industrial grade)</t>
  </si>
  <si>
    <t>ChemicalsAcids, inorganicHydrochloric acid</t>
  </si>
  <si>
    <t>ChemicalsAcids, inorganicNitric acid</t>
  </si>
  <si>
    <t>ChemicalsAcids, inorganicSulfuric acid</t>
  </si>
  <si>
    <t>ChemicalsAcids, inorganicFluosilicic acid</t>
  </si>
  <si>
    <t>ChemicalsGases</t>
  </si>
  <si>
    <t>ChemicalsGasesArgon (liquid)</t>
  </si>
  <si>
    <t>ChemicalsGasesHydrogen (liquid)</t>
  </si>
  <si>
    <t>ChemicalsGasesOzone (liquid)</t>
  </si>
  <si>
    <t>ChemicalsGasesOxygen (liquid)</t>
  </si>
  <si>
    <t>ChemicalsGasesCarbon dioxide (liquid)</t>
  </si>
  <si>
    <t>ChemicalsGasesHelium</t>
  </si>
  <si>
    <t>ChemicalsGasesHydrogen sulfide</t>
  </si>
  <si>
    <t>ChemicalsGasesNitrogen (liquid)</t>
  </si>
  <si>
    <t>ChemicalsGasesSulfur dioxide (liquid)</t>
  </si>
  <si>
    <t>ChemicalsChemical, organic</t>
  </si>
  <si>
    <t>ChemicalsChemical, organicAcetone (liquid)</t>
  </si>
  <si>
    <t>ChemicalsChemical, organicBenzene</t>
  </si>
  <si>
    <t>ChemicalsChemical, organicButane</t>
  </si>
  <si>
    <t>ChemicalsChemical, organicEpoxy resin</t>
  </si>
  <si>
    <t>ChemicalsChemical, organicIsopropanol</t>
  </si>
  <si>
    <t>ChemicalsChemical, organicPhenolic resin</t>
  </si>
  <si>
    <t>ChemicalsChemical, organicPropylene glycol (liquid)</t>
  </si>
  <si>
    <t>ChemicalsChemical, organicToluene (liquid)</t>
  </si>
  <si>
    <t>ChemicalsChemical, organicWhite spirit</t>
  </si>
  <si>
    <t>ChemicalsChemical, organicXylene</t>
  </si>
  <si>
    <t>ChemicalsAcids, organic</t>
  </si>
  <si>
    <t>ChemicalsAcids, organicAcetic acid</t>
  </si>
  <si>
    <t>ChemicalsAcids, organicAcrylic acid</t>
  </si>
  <si>
    <t>ChemicalsAcids, organicBenzoic acid</t>
  </si>
  <si>
    <t>ChemicalsAcids, organicFormic acid</t>
  </si>
  <si>
    <t>ChemicalsWashing agents</t>
  </si>
  <si>
    <t>ChemicalsWashing agentsEthoxylated alcohol</t>
  </si>
  <si>
    <t>ChemicalsWashing agentsFatty alcohol sulfate</t>
  </si>
  <si>
    <t>ChemicalsWashing agentsSoap</t>
  </si>
  <si>
    <t>OthersAdhesive</t>
  </si>
  <si>
    <t>OthersLubricating oil</t>
  </si>
  <si>
    <t>OthersSilicone product</t>
  </si>
  <si>
    <t>ElectronicsBattery</t>
  </si>
  <si>
    <t>ElectronicsBatteryBattery cell, LFP</t>
  </si>
  <si>
    <t>ElectronicsBatteryBattery cell, Li-ion (rechargeable)</t>
  </si>
  <si>
    <t>ElectronicsBatteryBattery cell, NMC-111</t>
  </si>
  <si>
    <t>ElectronicsComponentPrinting ink, offset (without solvent)</t>
  </si>
  <si>
    <t>ElectronicsComponentPrinting ink, rotogravure (without solvent)</t>
  </si>
  <si>
    <t>ElectronicsComponentToner, colour (powder)</t>
  </si>
  <si>
    <t>ElectronicsDevicesComputer, laptop</t>
  </si>
  <si>
    <t>ElectronicsDevicesPrinter</t>
  </si>
  <si>
    <t>ElectronicsDevicesRouter, internet</t>
  </si>
  <si>
    <t>ElectronicsDevicesDesktop computer / Server (whitout screen)</t>
  </si>
  <si>
    <t>ElectronicsDevicesLED-Screen 23 Zoll</t>
  </si>
  <si>
    <t>ElectronicsDevicesOLED-Screen 43 Zoll</t>
  </si>
  <si>
    <t>ElectronicsDevicesLCD module, at plant {GLO}</t>
  </si>
  <si>
    <t>ElectronicsComponent</t>
  </si>
  <si>
    <t>ElectronicsComponentElectronic component (active)</t>
  </si>
  <si>
    <t>ElectronicsComponentElectronic component (passive)</t>
  </si>
  <si>
    <t>ElectronicsComponentPrinted wiring board</t>
  </si>
  <si>
    <t>GlassFlat glass (coated)</t>
  </si>
  <si>
    <t>GlassPackaging glass</t>
  </si>
  <si>
    <t>WoodWood chips CH (dry)</t>
  </si>
  <si>
    <t>WoodCork</t>
  </si>
  <si>
    <t>WoodFireboard</t>
  </si>
  <si>
    <t>WoodGlued laminated timber</t>
  </si>
  <si>
    <t>WoodSawnwood (hard)</t>
  </si>
  <si>
    <t>WoodSawnwood (soft)</t>
  </si>
  <si>
    <t>WoodPlywood (indoor use)</t>
  </si>
  <si>
    <t>WoodPlywood (outdoor use)</t>
  </si>
  <si>
    <t>PlasticsBiopolymers</t>
  </si>
  <si>
    <t>PlasticsRubbersAcrylonitrile butadiene styrene (ABS)</t>
  </si>
  <si>
    <t>PlasticsRubbersPolybutadiene</t>
  </si>
  <si>
    <t>PlasticsRubbersStyrene acrylonitrile</t>
  </si>
  <si>
    <t>PlasticsRubbersSynthetic rubber</t>
  </si>
  <si>
    <t>PlasticsThermoplastics</t>
  </si>
  <si>
    <t>PlasticsThermoplasticsEthylene Vynil Acetate</t>
  </si>
  <si>
    <t>PlasticsThermoplasticsEthylene Vynil Acetate (foil)</t>
  </si>
  <si>
    <t>PlasticsThermoplasticsGlass fibre, reinforced polyamide</t>
  </si>
  <si>
    <t>PlasticsThermoplasticsFleece, polyethylene</t>
  </si>
  <si>
    <t>PlasticsThermoplasticsNylon 6</t>
  </si>
  <si>
    <t>PlasticsThermoplasticsPackaging film</t>
  </si>
  <si>
    <t>PlasticsThermoplasticsPolycarbonate</t>
  </si>
  <si>
    <t>PlasticsThermoplasticsPET (granulate)</t>
  </si>
  <si>
    <t>PlasticsThermoplasticsHDPE (granulate)</t>
  </si>
  <si>
    <t>PlasticsThermoplasticsLDPE (granulate)</t>
  </si>
  <si>
    <t>PlasticsThermoplasticsPMMA (granulate)</t>
  </si>
  <si>
    <t>PlasticsThermoplasticsPMMA (feuilles)</t>
  </si>
  <si>
    <t>PlasticsThermoplasticsPolyester</t>
  </si>
  <si>
    <t>PlasticsThermoplasticsPolyphenylene sulfide</t>
  </si>
  <si>
    <t>PlasticsThermoplasticsPP (granulate)</t>
  </si>
  <si>
    <t>PlasticsThermoplasticsPS (general purpose)</t>
  </si>
  <si>
    <t>PlasticsThermoplasticsPS, expandable</t>
  </si>
  <si>
    <t>PlasticsThermoplasticsPS, extruded</t>
  </si>
  <si>
    <t>PlasticsThermoplasticsPVC</t>
  </si>
  <si>
    <t>PlasticsThermoplasticsPolyvinylidenchloride</t>
  </si>
  <si>
    <t>PlasticsThermoplasticsPolyvinylfluoride, film</t>
  </si>
  <si>
    <t>PlasticsThermoplasticsTetrafluoroethylene</t>
  </si>
  <si>
    <t>PlasticsThermosets</t>
  </si>
  <si>
    <t>PlasticsThermosetsPolyurethane (flexible foam)</t>
  </si>
  <si>
    <t>PlasticsThermosetsPolyurethane (rigid foam)</t>
  </si>
  <si>
    <t>Agricultural productionFertilisers inorganicAmmonium nitrate (N)</t>
  </si>
  <si>
    <t>Agricultural productionFertilisers inorganicAmmonium sulfate  (N)</t>
  </si>
  <si>
    <t>Agricultural productionFertilisers inorganicUrea (N)</t>
  </si>
  <si>
    <t>Agricultural productionFertilisers inorganicMonoammonium phosphate (N)</t>
  </si>
  <si>
    <t>Agricultural productionFertilisers inorganicDiammonium phosphate (N)</t>
  </si>
  <si>
    <t>Agricultural productionFertilisers inorganicPhosphate fertiliser (P205)</t>
  </si>
  <si>
    <t>Agricultural productionFertilisers inorganicPotassium fertiliser (K2O)</t>
  </si>
  <si>
    <t>Agricultural productionFertilisers inorganicTriple superphosphate (P205)</t>
  </si>
  <si>
    <t>Agricultural productionFertilisers inorganicPotassium chloride (K2O)</t>
  </si>
  <si>
    <t>Agricultural productionFertilisers inorganicCalcium nitrate</t>
  </si>
  <si>
    <t>Agricultural productionFertilisers inorganicPotassium nitrate</t>
  </si>
  <si>
    <t>Agricultural productionFertlisers organic</t>
  </si>
  <si>
    <t>Agricultural productionFertlisers organicCompost</t>
  </si>
  <si>
    <t>Agricultural productionFertlisers organicGreen manure</t>
  </si>
  <si>
    <t>Agricultural productionFertlisers organicHorn meal</t>
  </si>
  <si>
    <t>Agricultural productionFungicides</t>
  </si>
  <si>
    <t>Agricultural productionFungicidesFolpet</t>
  </si>
  <si>
    <t>Agricultural productionFungicidesMancozeb</t>
  </si>
  <si>
    <t>Agricultural productionFungicidesCaptan</t>
  </si>
  <si>
    <t>Agricultural productionHerbicide</t>
  </si>
  <si>
    <t>Agricultural productionHerbicideGlyphosate</t>
  </si>
  <si>
    <t>Agricultural productionHerbicideMetamitron</t>
  </si>
  <si>
    <t>Agricultural productionInsecticideKaolin</t>
  </si>
  <si>
    <t>Agricultural productionAnimal feed</t>
  </si>
  <si>
    <t>Agricultural productionAnimal feedBarley grain</t>
  </si>
  <si>
    <t>Agricultural productionAnimal feedMaize grain</t>
  </si>
  <si>
    <t>Agricultural productionAnimal feedSoybean</t>
  </si>
  <si>
    <t>FoodCereals</t>
  </si>
  <si>
    <t>FoodCerealsWheat grain, Swiss production</t>
  </si>
  <si>
    <t>FoodLegumes</t>
  </si>
  <si>
    <t>FoodLegumesSoybean</t>
  </si>
  <si>
    <t>FoodLegumesFava bean`</t>
  </si>
  <si>
    <t>FoodPlant oils</t>
  </si>
  <si>
    <t>FoodPlant oilsPalm oil</t>
  </si>
  <si>
    <t>FoodPlant oilsSoybean oil</t>
  </si>
  <si>
    <t>FoodPlant oilsRapeseed oil</t>
  </si>
  <si>
    <t>FoodSugar</t>
  </si>
  <si>
    <t>FoodSugarSugar (from sugarcane)</t>
  </si>
  <si>
    <t>FoodSugarSugar (from sugarbeet)</t>
  </si>
  <si>
    <t>MetalsAlloys</t>
  </si>
  <si>
    <t>MetalsAlloysAlluminium alloy</t>
  </si>
  <si>
    <t>MetalsAlloysAlluminium cast alloy, ingot</t>
  </si>
  <si>
    <t>MetalsAlloysAluminium cast alloy (recycled)</t>
  </si>
  <si>
    <t>MetalsAlloysIron-Nickel-Chromium alloy</t>
  </si>
  <si>
    <t>MetalsAlloysMagnesium alloy</t>
  </si>
  <si>
    <t>MetalsAlloysFerrochromium</t>
  </si>
  <si>
    <t>MetalsAlloysFerromanganese</t>
  </si>
  <si>
    <t>MetalsAlloysFerronickel</t>
  </si>
  <si>
    <t>MetalsFerro</t>
  </si>
  <si>
    <t>MetalsFerroCast iron</t>
  </si>
  <si>
    <t>MetalsFerroPig Iron</t>
  </si>
  <si>
    <t>MetalsFerroReinforcing steel CH-Mix</t>
  </si>
  <si>
    <t>MetalsFerroReinforcing steel EU-Mix (hot rolled)</t>
  </si>
  <si>
    <t>MetalsFerroReinforcing steel CH (100% RC; hot rolled)</t>
  </si>
  <si>
    <t>MetalsFerroChromium steel 18/8 EU-Mix</t>
  </si>
  <si>
    <t>MetalsFerroChromium steel 18/8 CH-Recycling 37%</t>
  </si>
  <si>
    <t>MetalsFerroLow-alloyed steel EU-Mix</t>
  </si>
  <si>
    <t>MetalsFerroLow-alloyed steel CH-Recycling</t>
  </si>
  <si>
    <t>MetalsNon ferroAluminium (primär)</t>
  </si>
  <si>
    <t>MetalsNon ferroAluminium (recycled)</t>
  </si>
  <si>
    <t>MetalsNon ferroAntimony</t>
  </si>
  <si>
    <t>MetalsNon ferroBrass</t>
  </si>
  <si>
    <t>MetalsNon ferroBronze</t>
  </si>
  <si>
    <t>MetalsNon ferroCadmium</t>
  </si>
  <si>
    <t>MetalsNon ferroChromium</t>
  </si>
  <si>
    <t>MetalsNon ferroCobalt</t>
  </si>
  <si>
    <t>MetalsNon ferroCopper</t>
  </si>
  <si>
    <t>MetalsNon ferroGallium</t>
  </si>
  <si>
    <t>MetalsNon ferroGold</t>
  </si>
  <si>
    <t>MetalsNon ferroIndium</t>
  </si>
  <si>
    <t>MetalsNon ferroLead</t>
  </si>
  <si>
    <t>MetalsNon ferroLithium</t>
  </si>
  <si>
    <t>MetalsNon ferroMagnesium</t>
  </si>
  <si>
    <t>MetalsNon ferroManganese</t>
  </si>
  <si>
    <t>MetalsNon ferroMecury</t>
  </si>
  <si>
    <t>MetalsNon ferroMolybdenum</t>
  </si>
  <si>
    <t>MetalsNon ferroNickel</t>
  </si>
  <si>
    <t>MetalsNon ferroPalladium</t>
  </si>
  <si>
    <t>MetalsNon ferroPlatinum</t>
  </si>
  <si>
    <t>MetalsNon ferroSilver</t>
  </si>
  <si>
    <t>MetalsNon ferroTantalum</t>
  </si>
  <si>
    <t>MetalsNon ferroTin</t>
  </si>
  <si>
    <t>MetalsNon ferroTitanium zinc plate</t>
  </si>
  <si>
    <t>MetalsNon ferroZinc</t>
  </si>
  <si>
    <t>MineralsLimestone</t>
  </si>
  <si>
    <t>MineralsLime</t>
  </si>
  <si>
    <t>MineralsAsbestos (crysolite)</t>
  </si>
  <si>
    <t>MineralsClay</t>
  </si>
  <si>
    <t>MineralsGravel</t>
  </si>
  <si>
    <t>MineralsSand</t>
  </si>
  <si>
    <t>Paper &amp; BoardBoard</t>
  </si>
  <si>
    <t>Paper &amp; BoardBoardCore board</t>
  </si>
  <si>
    <t>Paper &amp; BoardBoardLiquid packaging board</t>
  </si>
  <si>
    <t>Paper &amp; BoardBoardSolid bleached board</t>
  </si>
  <si>
    <t>Paper &amp; BoardBoardSolid unbleached board</t>
  </si>
  <si>
    <t>Paper &amp; BoardCorrugated board boxContainerboard, mixed fibre</t>
  </si>
  <si>
    <t>Paper &amp; BoardCorrugated board boxContainerboard, fluting medium</t>
  </si>
  <si>
    <t>Paper &amp; BoardCorrugated board boxContainerboard, linerboard</t>
  </si>
  <si>
    <t>Paper &amp; BoardPaperUncoated paper</t>
  </si>
  <si>
    <t>Paper &amp; BoardPaperUncoated paper (recycling)</t>
  </si>
  <si>
    <t>Paper &amp; BoardPackaging paper</t>
  </si>
  <si>
    <t>Paper &amp; BoardPackaging paperKraft paper (bleached)</t>
  </si>
  <si>
    <t>Paper &amp; BoardPackaging paperKraft paper (unbleached)</t>
  </si>
  <si>
    <t>Paper &amp; BoardPulp</t>
  </si>
  <si>
    <t>Paper &amp; BoardPulpsulfate pulp (bleached)</t>
  </si>
  <si>
    <t>Paper &amp; BoardPulpsulfate pulp (unbleached)</t>
  </si>
  <si>
    <t>TextilesTextile (cotton based)</t>
  </si>
  <si>
    <t>TextilesTextile (jute based)</t>
  </si>
  <si>
    <t>TextilesViscose fibre</t>
  </si>
  <si>
    <t>WaterTap water</t>
  </si>
  <si>
    <t>WaterDionised water</t>
  </si>
  <si>
    <t>RefrigerantRefrigerant</t>
  </si>
  <si>
    <t>Gründüngung, IP-Suisse</t>
  </si>
  <si>
    <t>Maiskörner, IP-Suisse</t>
  </si>
  <si>
    <t>Bohnen, IP-Suisse</t>
  </si>
  <si>
    <t>Fumier vert, IP-Suisse</t>
  </si>
  <si>
    <t>Grains de maïs, IP-Suisse</t>
  </si>
  <si>
    <t>Haricots, IP-Suisse</t>
  </si>
  <si>
    <t>Letame verde, IP-Suisse</t>
  </si>
  <si>
    <t>Fagioli, IP-Suisse</t>
  </si>
  <si>
    <t>Chicco di grano, IP-Suisse</t>
  </si>
  <si>
    <t>Support Column</t>
  </si>
  <si>
    <t>Support Col1</t>
  </si>
  <si>
    <t>Support Col2</t>
  </si>
  <si>
    <t>Support Col3 (Index)</t>
  </si>
  <si>
    <t>Entwickelt durch EBP Schweiz AG, Veröffentlicht und Unterhalten durch BAFU</t>
  </si>
  <si>
    <t>Développé par EBP Suisse SA, publié et géré par l'OFEV</t>
  </si>
  <si>
    <t>Sviluppato da EBP Schweiz AG, pubblicato e gestito dall'UFAM</t>
  </si>
  <si>
    <t>Nutzungsbedingungen</t>
  </si>
  <si>
    <t>n0Info_2FurtherInfo_Text12</t>
  </si>
  <si>
    <t>n0Info_2FurtherInfo_Text13</t>
  </si>
  <si>
    <t>n0Info_2FurtherInfo_Text10</t>
  </si>
  <si>
    <t>Conditions d’utilisation</t>
  </si>
  <si>
    <t>Condizioni di utilizzo</t>
  </si>
  <si>
    <t>En téléchargeant le Corporate Footprint Calculator, les utilisateurs reconnaissent avoir lu, compris et accepté les présentes conditions d’utilisation.
L’outil peut être utilisé librement, à condition qu’il ne soit pas vendu, revendu, distribué ou commercialisé séparément en tant que tel ou comme partie d’un autre outil.
L’utilisation des données contenues dans l’outil et issues de BAFU:2025 est soumise aux conditions d’utilisation de cette base de données (voir https://nexus.openlca.org/database/BAFU pour plus d’informations).
Toute utilisation de l’outil ou d’une partie de celui-ci doit mentionner la source originale comme suit : « Corporate Footprint Calculator vXX (BAFU) ». Toute modification apportée à l’outil doit être signalée.
L’outil est fourni « en l’état », sans aucune garantie, expresse ou implicite. La Confédération suisse ne garantit pas qu’il soit exempt d’erreurs ni qu’il convienne à un usage particulier.
La Confédération suisse ne peut être tenue responsable des problèmes, pertes ou dommages pouvant résulter de l’utilisation ou de la modification de l’outil.</t>
  </si>
  <si>
    <t>Mit dem Herunterladen des Corporate Footprint Calculator bestätigen die Nutzenden, dass sie die Nutzungsbedingungen gelesen und verstanden haben und diese akzeptieren.
Das Tool darf frei verwendet werden, sofern es nicht separat oder als Bestandteil eines anderen Tools verkauft, weiterverkauft, verbreitet oder vermarktet wird.
Die Nutzung der im Tool enthaltenen Daten aus BAFU:2025 unterliegt den separaten Nutzungsbedingungen der Datenbank (vgl. https://nexus.openlca.org/database/BAFU).
Bei jeder Nutzung des Tools oder von Teilen des Tools ist die ursprüngliche Quelle wie folgt anzugeben: «Corporate Footprint Calculator vXX (BAFU)». 
Jede Änderung am Tool ist gut sichtbar zu kennzeichnen.
Das Tool wird ohne jegliche Gewährleistung, weder ausdrücklich noch stillschweigend, zur Verfügung gestellt. Die Schweizerische Eidgenossenschaft übernimmt keine Garantie dafür, dass es fehlerfrei ist oder für einen bestimmten Zweck geeignet ist.
Die Schweizerische Eidgenossenschaft haftet nicht für Probleme, Verluste oder Schäden, die sich aus der Nutzung oder Änderung des Tools ergeben.</t>
  </si>
  <si>
    <t>Treibstoffverbrauch</t>
  </si>
  <si>
    <t>Consommation de carburant</t>
  </si>
  <si>
    <t>Consumo di carburante</t>
  </si>
  <si>
    <t>n2Data_10Transport_1Bussinesstrip_Text4.1</t>
  </si>
  <si>
    <t>n2Data_10Transport_1Bussinesstrip_Text4.2</t>
  </si>
  <si>
    <t>n2Data_10Transport_1Bussinesstrip_Text4.3</t>
  </si>
  <si>
    <t>n2Data_10Transport_1Bussinesstrip_Text4.4</t>
  </si>
  <si>
    <t>Kurzstreckenflüge Economy</t>
  </si>
  <si>
    <t>Langstreckenflüge Business</t>
  </si>
  <si>
    <t>Kurzstreckenflüge Business</t>
  </si>
  <si>
    <t>Mittelstreckenflüge Economy</t>
  </si>
  <si>
    <t>Mittelstreckenflüge Business</t>
  </si>
  <si>
    <t>Langstreckenflüge Economy</t>
  </si>
  <si>
    <t>Vols court-courriers en classe économique</t>
  </si>
  <si>
    <t>Vols moyen-courriers en classe économique</t>
  </si>
  <si>
    <t>Vols court-courriers en classe affaires</t>
  </si>
  <si>
    <t>Vols moyen-courriers en classe affaires</t>
  </si>
  <si>
    <t>Vols long-courriers en classe économique</t>
  </si>
  <si>
    <t>Vols long-courriers en classe affaires</t>
  </si>
  <si>
    <t>Voli a media distanza in Economy</t>
  </si>
  <si>
    <t>TOTAL</t>
  </si>
  <si>
    <t>ATTENTION: This sheet is only used as reference for "Lists_S3.2_CapitalGoods" and for the conditional drop-downs. Any changes made here need to be made in the sheet Lists, as well!</t>
  </si>
  <si>
    <t>Scope 3.3 Electricity</t>
  </si>
  <si>
    <t>Scope 3.3 Fleet</t>
  </si>
  <si>
    <t>A1</t>
  </si>
  <si>
    <t>A2</t>
  </si>
  <si>
    <t>B1</t>
  </si>
  <si>
    <t>C1</t>
  </si>
  <si>
    <t>C2</t>
  </si>
  <si>
    <t>C3</t>
  </si>
  <si>
    <t>C4</t>
  </si>
  <si>
    <t>D1</t>
  </si>
  <si>
    <t>D2</t>
  </si>
  <si>
    <t>D3</t>
  </si>
  <si>
    <t>D4</t>
  </si>
  <si>
    <t>D5</t>
  </si>
  <si>
    <t>D6</t>
  </si>
  <si>
    <t>D7</t>
  </si>
  <si>
    <t>D8</t>
  </si>
  <si>
    <t>E1</t>
  </si>
  <si>
    <t>Chauffage urbain, chez le consommateur, usine d'incinération des ordures ménagères UIOM</t>
  </si>
  <si>
    <t>Strom (nach Treibstoffverbrauch)</t>
  </si>
  <si>
    <t>Möchten Sie zusätzlich die Scope 3 Emissionen in die Bilanzierung miteinbeziehen (empfohlen um eine Gesamtübersicht zu gewinnen und im Rahmen der Netto-Null-Fahrpläne)?</t>
  </si>
  <si>
    <t>Souhaitez-vous également inclure les émissions du Scope 3 dans le bilan (recommandé afin d'obtenir une vue d'ensemble et dans le cadre des feuilles de route net-zéro) ?</t>
  </si>
  <si>
    <t>Gemietete Vermögenswerte</t>
  </si>
  <si>
    <t>Actifs loués en amont</t>
  </si>
  <si>
    <t>Vermietete Vermögenswerte</t>
  </si>
  <si>
    <t>Actifs loués en aval</t>
  </si>
  <si>
    <t>Vermietete Vermögenswerte (Fernwärme und Dampf)</t>
  </si>
  <si>
    <t>Actifs loués en aval (chauffage à distance et vapeur)</t>
  </si>
  <si>
    <t>Vermietete Vermögenswerte (vor Ort)</t>
  </si>
  <si>
    <t>Actifs loués en aval (sur place)</t>
  </si>
  <si>
    <t>Gemietete Vermögenswerte (Fernwärme und Dampf)</t>
  </si>
  <si>
    <t>Actifs loués en amont (chauffage à distance et vapeur)</t>
  </si>
  <si>
    <t>Gemietete Vermögenswerte (vor Ort)</t>
  </si>
  <si>
    <t>Actifs loués en amont (sur place)</t>
  </si>
  <si>
    <t>n3Calculation_3S1_StationaryCombustion</t>
  </si>
  <si>
    <t>n3Calculation_4S1_FugitiveEmissions</t>
  </si>
  <si>
    <t>n3Calculation_5S1_MobileCombustion</t>
  </si>
  <si>
    <t>n3Calculation_6S1_ProcessEmissions</t>
  </si>
  <si>
    <t>n3Calculation_8S2_District</t>
  </si>
  <si>
    <t>n3Calculation_7.2_S2_ElectricityLocation</t>
  </si>
  <si>
    <t>n3Calculation_7.1_S2_ElectricityMarket</t>
  </si>
  <si>
    <t>n3Calculation_9.1_S2_FleetMarket</t>
  </si>
  <si>
    <t>n3Calculation_9.2_S2_FleetLocation</t>
  </si>
  <si>
    <t>n3Calculation_10_S3.1_SpendBased</t>
  </si>
  <si>
    <t>n3Calculation_11_S3.1_ProductBased</t>
  </si>
  <si>
    <t>n3Calculation_12_S3.2_CapitalGoods</t>
  </si>
  <si>
    <t>n3Calculation_13_S3.3_StationaryCombustion</t>
  </si>
  <si>
    <t>n3Calculation_14_S3.3_District</t>
  </si>
  <si>
    <t>n3Calculation_15.1_S3.3_ElectricityMarket</t>
  </si>
  <si>
    <t>n3Calculation_15.2_S3.3_ElectricityLocation</t>
  </si>
  <si>
    <t>n3Calculation_16_S3.3_FossilFleet</t>
  </si>
  <si>
    <t>n3Calculation_17.1_S3.3_elFleetMarket</t>
  </si>
  <si>
    <t>n3Calculation_17.2_S3.3_elFleetLocation</t>
  </si>
  <si>
    <t>n3Calculation_18_S3.4_UpstreamTransport</t>
  </si>
  <si>
    <t>n3Calculation_19_S3.5_Waste</t>
  </si>
  <si>
    <t>n3Calculation_20_S3.6_BusinessTravel</t>
  </si>
  <si>
    <t>n3Calculation_21_S3.7_EmployeeCommuting</t>
  </si>
  <si>
    <t>n3Calculation_22_S3.9_DownstreanTransport</t>
  </si>
  <si>
    <t>n3Calculation_23_S3.10_Processing</t>
  </si>
  <si>
    <t>n3Calculation_24_S3.11_Use</t>
  </si>
  <si>
    <t>n3Calculation_25_S3.12_EndOFLife</t>
  </si>
  <si>
    <t>n3Calculation_26_S3.14_Franchises</t>
  </si>
  <si>
    <t>n3Calculation_27_S3.15_Investments</t>
  </si>
  <si>
    <t>n3Calculation_32.1Upstream_ElectricityDirectMarket</t>
  </si>
  <si>
    <t>n3Calculation_32.2Upstream_ElectricityDirectLocation</t>
  </si>
  <si>
    <t>n3Calculation_33.1Upstream_ElectricityIndirectMarket</t>
  </si>
  <si>
    <t>n3Calculation_33.2Upstream_ElectricityIndirectLocation</t>
  </si>
  <si>
    <t>n3Calculation_42.1Downstream_ElectricityDirectMarket</t>
  </si>
  <si>
    <t>n3Calculation_42.2Downstream_ElectricityDirectLocation</t>
  </si>
  <si>
    <t>n3Calculation_43.1Downstream_ElectricityIndirectMarket</t>
  </si>
  <si>
    <t>n3Calculation_43.2Downstream_ElectricityIndirectLocation</t>
  </si>
  <si>
    <t>n3Calculation_47.2Downstream_elFleetIndirectLocation</t>
  </si>
  <si>
    <t>n3Calculation_47.1Downstream_elFleetIndirectMarket</t>
  </si>
  <si>
    <t>n3Calculation_46.2Downstream_elFleetDirectLoation</t>
  </si>
  <si>
    <t>n3Calculation_46.1Downstream_elFleetDirectMarket</t>
  </si>
  <si>
    <t>n3Calculation_37.2Upstream_elFleetIndirectLocation</t>
  </si>
  <si>
    <t>n3Calculation_37.1Upstream_elFleetIndirectMarket</t>
  </si>
  <si>
    <t>n3Calculation_36.2Upstream_elFleetDirectLocation</t>
  </si>
  <si>
    <t>n3Calculation_36.1Upstream_elFleetDirectMarket</t>
  </si>
  <si>
    <t>Stationäre Verbrennung</t>
  </si>
  <si>
    <t>Mobile Verbrennung (Flotte)</t>
  </si>
  <si>
    <t>Prozessemissionen</t>
  </si>
  <si>
    <t>Elektrische Flotte – Marktbasiert</t>
  </si>
  <si>
    <t>Abfall</t>
  </si>
  <si>
    <t>Mitarbeiterpendeln</t>
  </si>
  <si>
    <t>Verarbeitung verkaufter Produkte</t>
  </si>
  <si>
    <t>Verwendung verkaufter Produkte</t>
  </si>
  <si>
    <t>Investitionen</t>
  </si>
  <si>
    <t>Stationäre Verbrennung – Direkt</t>
  </si>
  <si>
    <t>Stationäre Verbrennung – Indirekt</t>
  </si>
  <si>
    <t>Fernwärme und Dampf – Direkt</t>
  </si>
  <si>
    <t>Fernwärme und Dampf – Indirekt</t>
  </si>
  <si>
    <t>Strom – Marktbasiert – Direkt</t>
  </si>
  <si>
    <t>Strom – Marktbasiert – Indirekt</t>
  </si>
  <si>
    <t>Mobile Verbrennung (Flotte) – Direct</t>
  </si>
  <si>
    <t>Mobile Verbrennung (Flotte) – Indirekt</t>
  </si>
  <si>
    <t>Elektrische Flotte – Standortbasiert – Indirekt</t>
  </si>
  <si>
    <t>Combustion mobile (flotte)</t>
  </si>
  <si>
    <t>Électricité - Basée sur le marché</t>
  </si>
  <si>
    <t>Électricité - Basée sur la localisation</t>
  </si>
  <si>
    <t>Chauffage et vapeur du district</t>
  </si>
  <si>
    <t>Flotte électrique - Basée sur le marché</t>
  </si>
  <si>
    <t>Biens et services achetés - Basé sur les dépenses</t>
  </si>
  <si>
    <t>Biens d’équipement</t>
  </si>
  <si>
    <t>Voyage d’affaires</t>
  </si>
  <si>
    <t>Transport des employés</t>
  </si>
  <si>
    <t>Fin de vie des produits vendus</t>
  </si>
  <si>
    <t>Investissements</t>
  </si>
  <si>
    <t>Combustion stationnaire - Direct</t>
  </si>
  <si>
    <t>Électricité - Basée sur la localisation - Direct</t>
  </si>
  <si>
    <t>Combustion mobile (flotte) - Direct</t>
  </si>
  <si>
    <t>Combustion mobile (flotte) - Indirecte</t>
  </si>
  <si>
    <t>Combustione mobile (flotta)</t>
  </si>
  <si>
    <t>Trasporti a monte</t>
  </si>
  <si>
    <t>Spostamenti dei dipendenti</t>
  </si>
  <si>
    <t>Trasporti a valle</t>
  </si>
  <si>
    <t>Fine della vita dei prodotti venduti</t>
  </si>
  <si>
    <t>Investimenti</t>
  </si>
  <si>
    <t>Strom – Standortbasiert – Indirekt</t>
  </si>
  <si>
    <t>Elektrische Flotte – Standortbasiert – Direkt</t>
  </si>
  <si>
    <t>Eigenverbrauch Vermögenswerte (Fernwärme und Dampf)</t>
  </si>
  <si>
    <t>Eigennutzung Vermögenswerte</t>
  </si>
  <si>
    <t>Actifs à usage propre</t>
  </si>
  <si>
    <t>Attività per uso proprio</t>
  </si>
  <si>
    <t>Elektrische Flotte – Standortbasiert</t>
  </si>
  <si>
    <t>Eingekaufte Waren und Dienstleistungen – Ausgabenbasierter Ansatz</t>
  </si>
  <si>
    <t>Eingekaufte Waren und Dienstleistungen – Mengenbasierter Ansatz</t>
  </si>
  <si>
    <t>Kapitalgüter</t>
  </si>
  <si>
    <t>Strom – Marktbasiert</t>
  </si>
  <si>
    <t>Strom – Standortbasiert</t>
  </si>
  <si>
    <t>Vorgelagerter Verkehr</t>
  </si>
  <si>
    <t>Entsorgung der verkauften Produkte</t>
  </si>
  <si>
    <t>Nachgelagerter Verkehr</t>
  </si>
  <si>
    <t>Trasformazione dei prodotti venduti</t>
  </si>
  <si>
    <t>Combustione mobile (flotta) - Diretto</t>
  </si>
  <si>
    <t>Strom– Standortbasiert – Direkt</t>
  </si>
  <si>
    <t>Strom – Standortbasiert – Direkt</t>
  </si>
  <si>
    <t>Elektrische Flotte – Marktbasiert – Direkt</t>
  </si>
  <si>
    <t>Elektrische Flotte – Marktbasiert – Indirekt</t>
  </si>
  <si>
    <t>Attività di capitale</t>
  </si>
  <si>
    <t>Flotte électrique - Basé sur la localisation</t>
  </si>
  <si>
    <t>Das Handbuch für Nutzende führt Sie Schritt für Schritt durch das Tool und gibt praktische Tipps zu Datenerhebung und zum Ausfüllung des Tools.</t>
  </si>
  <si>
    <t>Actifs à consommation propre (sur site)</t>
  </si>
  <si>
    <t>Actifs à consommation propre (chauffage à distance et vapeur)</t>
  </si>
  <si>
    <t>Attività per consumo proprio (in loco)</t>
  </si>
  <si>
    <t>Attività per consumo proprio (teleriscaldamento e vapore)</t>
  </si>
  <si>
    <t>5_9</t>
  </si>
  <si>
    <t>10_12</t>
  </si>
  <si>
    <t>13_15</t>
  </si>
  <si>
    <t>19_20</t>
  </si>
  <si>
    <t>31_32</t>
  </si>
  <si>
    <t>36_39</t>
  </si>
  <si>
    <t>41_43</t>
  </si>
  <si>
    <t>45_47</t>
  </si>
  <si>
    <t>49_50</t>
  </si>
  <si>
    <t>58_60</t>
  </si>
  <si>
    <t>62_63</t>
  </si>
  <si>
    <t>69_71</t>
  </si>
  <si>
    <t>73_75</t>
  </si>
  <si>
    <t>77_82</t>
  </si>
  <si>
    <t>87_88</t>
  </si>
  <si>
    <t>90_93</t>
  </si>
  <si>
    <t>94_96</t>
  </si>
  <si>
    <t>Aluminiumbarren, Gusslegierung (sekundär)</t>
  </si>
  <si>
    <t>Niedriglegierter Stahl (sekundär)</t>
  </si>
  <si>
    <t>Unbeschichtetes Papier (sekundär)</t>
  </si>
  <si>
    <t>EBP:LSC 2026-02-24</t>
  </si>
  <si>
    <t>Per prima cosa, definisca l'entità aziendale da contabilizzare (ad esempio l'intera azienda o le singole sedi/entità), il periodo e i limiti di bilancio. Questo cancella automaticamente le aree non rilevanti per la sua azienda nei campi di input successivi.</t>
  </si>
  <si>
    <t>Per tutte le aree rimanenti, ora inserisca i dati aziendali. Tutti i dati dovrebbero essere raccolti per l'entità aziendale precedentemente definita. La raccolta dati può richiedere una certa quantità di impegno. La qualità di questi dati determina la qualità dei suoi risultati.
Il "User Manual" fornisce consigli utili per compilarlo, il "Developer Manual" spiega come i campi di input e i calcoli successivi possono essere modificati (vedi sotto).</t>
  </si>
  <si>
    <t>Con l'aiuto delle informazioni contenute nei fogli di calcolo precedenti, le emissioni di gas serra, così come le emissioni biogeniche di gas serra e i punti di impatto ambientale negli Scope 1, 2 e 3 secondo il GHG Protocol vengono calcolate automaticamente. Non deve compilare nulla qui.</t>
  </si>
  <si>
    <t>Infine, i risultati del bilancio per l'entità azeindale definita dal foglio di calcolo precedente sono riassunti. Non deve compilare nulla qui.</t>
  </si>
  <si>
    <t>Qui trova sempre l'ultima versione dello strumento e i documenti allegati:</t>
  </si>
  <si>
    <t>Sito web dell'UFE</t>
  </si>
  <si>
    <t>Il manuale per gli utenti la guida passo dopo passo nello strumento e offre consigli pratici sulla raccolta dei dati e su come compilare lo strumento.</t>
  </si>
  <si>
    <t>Il manuale di sviluppo fornisce ulteriori informazioni e indicazioni sullo strumento nel caso voglia apportare modifiche agli input o ai calcoli.</t>
  </si>
  <si>
    <t>Scaricando il Corporate Footprint Calculator, gli utenti dichiarano di aver letto, compreso e accettato le presenti condizioni d’uso.
Lo strumento può essere utilizzato liberamente, a condizione che non venga venduto, rivenduto, distribuito o commercializzato separatamente in quanto tale o come parte di un altro strumento.
L’utilizzo dei dati contenuti nello strumento e provenienti da UFAM:2025 è soggetto alle condizioni d’uso di tale banca dati (si veda https://nexus.openlca.org/database/BAFU per ulteriori informazioni).
Qualsiasi utilizzo dello strumento o di parti di esso deve indicare la fonte originale come segue: « Corporate Footprint Calculator vXX (BAFU) ». Qualsiasi modifica apportata allo strumento deve essere segnalata.
Lo strumento è fornito senza alcuna garanzia, espressa o implicita. La Confederazione Svizzera non garantisce che sia privo di errori o idoneo a uno scopo specifico.
La Confederazione Svizzera non può essere ritenuta responsabile per eventuali problemi, perdite o danni derivanti dall’utilizzo o dalla modifica dello strumento.</t>
  </si>
  <si>
    <t>Per favore, compila tutte le domande in ordine. In base alle sue risposte, domande successive e dati che non sono rilevanti per la sua azienda verranno nascosti.</t>
  </si>
  <si>
    <t>Per il cronoprogramma netto zero, è obbligatorio bilanciare le emissioni di Scope 1 e 2.</t>
  </si>
  <si>
    <t>Desidera includere anche le emissioni dello Scope 3 nel bilancio (raccomandato al fine di ottenere una visione complessiva e nell’ambito dei cronoprogrammi netto zero)?</t>
  </si>
  <si>
    <t>La sua azienda utilizza o possiede edifici o strutture (acquisto di elettricità o riscaldamento, o generazione di energia)?</t>
  </si>
  <si>
    <t>La sua azienda utilizza terreni o strutture operativamente rilevanti che non sono di proprietà dell'azienda (acquisto di elettricità/calore/energia di processo tramite un contratto di affitto/locazione)?</t>
  </si>
  <si>
    <t>La sua azienda possiede terreni o strutture utilizzate da altre aziende? (Acquisto di elettricità/calore/energia di processo da terzi tramite un contratto di locazione)?</t>
  </si>
  <si>
    <t>La sua azienda produce emissioni dirette di gas serra (ad esempio CO2, CH4, N2O, NF3, SF6) da processi industriali (ad esempio calcinazione di calce e cemento, produzione di fertilizzanti, fusione dei metalli, processi vetro/ceramiche, fermentazione)?</t>
  </si>
  <si>
    <t>La sua azienda gestisce veicoli o macchine mobili (consumo carburante)?</t>
  </si>
  <si>
    <t>La sua azienda noleggia veicoli o macchine mobili da altre aziende?</t>
  </si>
  <si>
    <t>La sua azienda noleggia veicoli a terze parti esterne?</t>
  </si>
  <si>
    <t>La sua azienda ha effettuato investimenti significativi in beni capitali (ad esempio edifici, veicoli, macchinari) durante l'anno di bilancio?</t>
  </si>
  <si>
    <t>La sua azienda vende prodotti fisici o prodotti intermedi?</t>
  </si>
  <si>
    <t>La sua azienda vende prodotti intermedi che vengono ulteriormente processati da altri?</t>
  </si>
  <si>
    <t>La sua azienda vende prodotti il cui utilizzo da parte dei clienti richiede energia o causa emissioni (ad esempio consumo di elettricità, consumo di carburante)?</t>
  </si>
  <si>
    <t>La sua azienda concede licenze di franchising a terzi che gestiscono sedi proprie?</t>
  </si>
  <si>
    <t>La sua azienda detiene azioni o strumenti finanziari (investimenti in equity o debito) in altre aziende o progetti?</t>
  </si>
  <si>
    <t>La sua azienda utilizza sostanze chimiche o grandi quantità di detergenti, gestisce un proprio impianto di trattamento delle acque reflue o di depurazione dell'acqua, oppure le sue attività aziendali generano altre emissioni ambientali rilevanti oltre alle emissioni di gas serra?</t>
  </si>
  <si>
    <t>Qui inseriscia tutti i dati aziendali relativi all'anno di bilancio dell'unità organizzativa definita. Questi "dati di attività" sono al centro del bilancio. In base alle sue voci, le emissioni vengono calcolate automaticamente nel prossimo foglio di calcolo "3 Calculation" e riassunte sotto "4 Dashboard".</t>
  </si>
  <si>
    <t>Per ulteriori informazioni, consulti il User Manual, capitolo</t>
  </si>
  <si>
    <t>Selezioni la casella quando ha completato la tabella.</t>
  </si>
  <si>
    <t>L'inserimento dei dati aziendali è suddiviso in riquadri tematici (non in base agli Scopes). Segua le istruzioni nelle caselle e compili i campi rilevanti usando i seguenti codici colore:</t>
  </si>
  <si>
    <t>Quando ha inserito tutti i dati aziendali in una casella, contrassegnatela come completata (tutto diventerà automaticamente verde).</t>
  </si>
  <si>
    <t>L'indice mostra i suoi progressi attuali nella revisione.</t>
  </si>
  <si>
    <t>Registri i combustibili che la sua azienda brucia in loco in sistemi di generazione energetica installati permanentemente (ad esempio caldaie, boiler, impianti di cogenerazione, forni, generatori stazionari; fossili o biogenici). Registri solo i beni in suo possesso che usa lei stesso/a.</t>
  </si>
  <si>
    <t>Registri il consumo di teleriscaldamento o vapore per l'uso proprio in edifici o strutture di proprietà della sua azienda.</t>
  </si>
  <si>
    <t>Registri i combustibili che la sua azienda brucia in loco in attrezzature di generazione di energia a noleggio e installate permanentemente (ad esempio caldaie, boiler, impianti di cogenerazione, forni, generatori stazionari; fossili o biogenici). Inserisca qui solo i sistemi che la sua azienda prende in locazione.</t>
  </si>
  <si>
    <t>Registri il consumo di teleriscaldamento o vapore per edifici o strutture prese in locazione.</t>
  </si>
  <si>
    <t>Registri i combustibili che la sua azienda brucia in loco in sistemi di generazione di energia a noleggio e installati permanentemente (ad esempio caldaie, boiler, impianti di cogenerazione, forni, generatori stazionari; fossili o biogenici). Registri solo i beni che la sua azienda concede in locazione.</t>
  </si>
  <si>
    <t>Registri il consumo di teleriscaldamento o vapore per edifici o strutture concesse in locazione.</t>
  </si>
  <si>
    <t>Indichi direttamente le emissioni annuali di gas serra in chilogrammi (kg).</t>
  </si>
  <si>
    <t>Equivalenti di CO2 (in caso di dati sulle emissioni aggregati)</t>
  </si>
  <si>
    <t>Emissioni dirette di gas serra derivanti da perdite</t>
  </si>
  <si>
    <t>Registri le emissioni dirette di gas serra causate dalla fuoriuscita accidentale di gas dagli impianti della sua azienda.
Questi includono, ad esempio, perdite di refrigerante derivanti dai sistemi di raffreddamento e condizionamento dell'aria, emissioni di metano dai gasdotti o perdite nei sistemi tecnici.</t>
  </si>
  <si>
    <t>Registri le emissioni derivanti dal consumo di carburante o elettricità di veicoli e macchinari mobili di proprietà della sua azienda che utilizza personalmente.
Questi includono, ad esempio, carrozze passeggeri, camion, carrelli elevatori, macchinari da costruzione, macchinari da giardino.</t>
  </si>
  <si>
    <t>Registri le emissioni derivanti dal consumo di carburante o elettricità da veicoli e macchine mobili a noleggio.
Questi includono, ad esempio, carrozze passeggeri, camion, carrelli elevatori, macchinari da costruzione, macchinari da giardino.</t>
  </si>
  <si>
    <t>Registri le emissioni derivanti dal consumo di carburante o elettricità di veicoli e macchinari mobili di proprietà della sua azienda che affitta.
Questi includono, ad esempio, carrozze passeggeri, camion, carrelli elevatori, macchinari da costruzione, macchinari da giardino.</t>
  </si>
  <si>
    <t>Registri il consumo elettrico di tutti gli edifici, i beni e i processi di proprietà della sua azienda che utilizza personalmente.
Il consumo energetico viene suddiviso in energia elettrica senza garanzia di origine (GO) ed energia elettrica con GO.</t>
  </si>
  <si>
    <t>Elettricità acquistata senza garanzia di origine</t>
  </si>
  <si>
    <t>Registri il consumo elettrico di tutti gli edifici, le strutture e i processi presi in affitto.
Il consumo energetico viene suddiviso in energia elettrica senza garanzia di origine (GO) ed energia elettrica con GO.</t>
  </si>
  <si>
    <t>Registri il consumo elettrico di tutti gli edifici, le strutture e i processi concessi in affitto.
Il consumo energetico viene suddiviso in energia elettrica senza garanzia di origine (GO) ed energia elettrica con GO.</t>
  </si>
  <si>
    <t>Approccio basato sulle spese</t>
  </si>
  <si>
    <t>Registri tutti i beni e servizi acquistati nell'anno di bilancio.
Questo include, ad esempio, materie prime, alimenti, attrezzature o servizi come consulenza, pianificazione e pulizia.</t>
  </si>
  <si>
    <t>Registri tutti i beni e servizi acquistati nell'anno di bilancio che non sono coperti dall'approccio basato sulle spese.
Questi includono, ad esempio, materie prime, cibo, materiali di consumo o attrezzature.</t>
  </si>
  <si>
    <t xml:space="preserve">Registri tutti i beni capitali acquistati nell'anno di bilancio, ad esempio edifici, veicoli o macchinari.
</t>
  </si>
  <si>
    <t>Decida lei stesso/a se un bene acquistato deve essere registrato come bene capitale o come bene risp. servizio. Segua la sua contabilità finanziaria. Si asicuri che tutti i beni e servizi acquistati siano registrati in un unico posto (non più volte).</t>
  </si>
  <si>
    <t>Registri tutti i viaggi di lavoro dei dipendenti che utilizzano mezzi di trasporto che non appartengono alla sua azienda.
Questi includono, ad esempio, i veicoli privati dei dipendenti, veicoli noleggiati a breve termine e i trasporti pubblici.</t>
  </si>
  <si>
    <t>Sotto "Input", inserisca le distanze percorse per mezzo di trasporto i passeggeri-chilometro (pkm) o chilometri-veicolo (vkm).</t>
  </si>
  <si>
    <t>Voli a corta distanza in Economy</t>
  </si>
  <si>
    <t>Voli a corta distanza in Business</t>
  </si>
  <si>
    <t>Voli a media distanza in Business</t>
  </si>
  <si>
    <t>Voli a lunga distanza in Economy</t>
  </si>
  <si>
    <t>Voli a lunga distanza in Business</t>
  </si>
  <si>
    <t>Registri il tragitto casas-lavoro dei dipendenti tra il luogo di residenza e il luogo di lavoro.</t>
  </si>
  <si>
    <t>Input semplificato: inserisca il numero di dipendenti in equivalenti a tempo pieno (FTE). Si utilizzano valori medi svizzeri.
Input più dettagliato: Inserisca i passeggeri-chilometro percorsi (pkm) per modalità di trasporto (cumulativi sull'anno di bilancio).</t>
  </si>
  <si>
    <t>Proporzione dei dipendenti</t>
  </si>
  <si>
    <t>Registri tutte le attività di trasporto tra fornitori e la sua azienda.</t>
  </si>
  <si>
    <t>Inserisca le prestazioni di trasporto in tonnellati-chilometri (tkm).</t>
  </si>
  <si>
    <t>Inserite le prestazioni di trasporto in tonnellate-chilometro (tkm).</t>
  </si>
  <si>
    <t>Registri tutti i volumi di rifiuti operativamente rilevanti che vengono smaltiti o trattati esternamente.</t>
  </si>
  <si>
    <t>Assegnare tutti i rifiuti a un tipo di rifiuto e a un tipo di smaltimento corrispondente.
Sotto "kg", inserisca le quantità smaltite in chilogrammi.</t>
  </si>
  <si>
    <t>Registri il consumo di carburante, combustibilie ed elettricità del cliente che si sostiene per la lavorazione successiva dei prodotti venduti.
Questo vale, ad esempio, per l'uso di energia nell'ulteriore lavorazione di prodotti intermedi come i granulati di plastica nello stampaggio a iniezione.</t>
  </si>
  <si>
    <t>Registri il consumo di carburante, combustibilie ed elettricità del cliente durante la fase di utilizzo dei prodotti venduti.
Questo vale, ad esempio, per i requisiti energetici dei dispositivi elettronici o il consumo di carburante dei veicoli.</t>
  </si>
  <si>
    <t>Registri il totale dei prodotti venduti nell'anno di bilancio, relativo alla fine della loro vita (smaltimento/riciclaggio).
Ad esempio, un aspirapolvere è per lo più fatto di plastica ed è incenerito, mentre un prodotto metallico è probabile che venga riciclato.</t>
  </si>
  <si>
    <t>Registri il consumo di carburanti, combustibili ed elettricità delle imprese in franchising che operano sotto il suo marchio.</t>
  </si>
  <si>
    <t>Indichi i dati di emissione calcolati degli scope 1 e 2 in chilogrammi di CO2 equivalente.
A tal fine, l’impresa di franchising può compilare una propria versione del Corporate Footprint Calculator (limitata agli scope 1 e 2).</t>
  </si>
  <si>
    <t>Registri le emissioni derivanti da investimenti attribuibili proporzionalmente alla sua impresa.
Ciò include, ad esempio, partecipazioni in imprese, fondi, progetti immobiliari o infrastrutturali.</t>
  </si>
  <si>
    <t xml:space="preserve">Teleriscaldamento e vapore </t>
  </si>
  <si>
    <t>Beni e servizi acquistati - Basati sulle spese</t>
  </si>
  <si>
    <t>Beni e servizi acquistati - Basati sulle quantità</t>
  </si>
  <si>
    <t>Rifiuti</t>
  </si>
  <si>
    <t>Franchising</t>
  </si>
  <si>
    <t>Combustione stazionaria - Diretto</t>
  </si>
  <si>
    <t>Combustione stazionaria - Indiretto</t>
  </si>
  <si>
    <t>Teleriscaldamento e vapore - Indiretto</t>
  </si>
  <si>
    <t>Combustione mobile (flotta) - Indiretto</t>
  </si>
  <si>
    <t>I risultati del calcolo delle emissioni sono presentati qui. La classificazione viene effettuata secondo gli scopes del GHG Protocol.</t>
  </si>
  <si>
    <t>3.2 Attività di capitale</t>
  </si>
  <si>
    <t>3.5 Produzione di rifiuti d'esercizio</t>
  </si>
  <si>
    <t>3.8 Attività prese in locazione (a monte)</t>
  </si>
  <si>
    <t>3.13 Attività concesse in locazione (a valle)</t>
  </si>
  <si>
    <t>Dieses Blatt enthält alle Hintergrunddaten, die in diesem Tool verwendet werden (Emissionsfaktoren). Die meisten der im Tool verwendeten Hintergrunddaten stammen aus der hier zur Verfügung gestellten Ökoinventar-Datenbank der Schweizer Bundesverwaltung BAFU:2025. Für die Unternehmensbilanzierung müssen Sie diese Daten nicht selbst zuordnen.</t>
  </si>
  <si>
    <t>Cette feuille regroupe toutes les données de fond utilisées dans l'outil. La plupart des données de fond utilisées dans l’outil proviennent de la base de données d’inventaires écologiques de l’Administration fédérale suisse BAFU:2025, qui est disponible ici. Pour le bilan d’entreprise, vous n’êtes pas obligé d’affecter ces données vous-même.</t>
  </si>
  <si>
    <t>Questo foglio raccoglie tutti i dati di base utilizzati nello strumento. La maggior parte dei dati di background utilizzati nello strumento proviene dal banca dati ecoinvent dell'Amministrazione Federale Svizzera UFAM:2025, disponibile qui. Per la contabilità aziendale, non è necessario che lei assegni autonomamente questi dati.</t>
  </si>
  <si>
    <t>Kernenergie</t>
  </si>
  <si>
    <r>
      <t>Dioxyde de carbone (CO</t>
    </r>
    <r>
      <rPr>
        <vertAlign val="subscript"/>
        <sz val="11"/>
        <color theme="1"/>
        <rFont val="Aptos"/>
        <family val="2"/>
      </rPr>
      <t>2</t>
    </r>
    <r>
      <rPr>
        <sz val="11"/>
        <color theme="1"/>
        <rFont val="Aptos"/>
        <family val="2"/>
      </rPr>
      <t>)</t>
    </r>
  </si>
  <si>
    <r>
      <t>Méthane, non fossile (CH</t>
    </r>
    <r>
      <rPr>
        <vertAlign val="subscript"/>
        <sz val="11"/>
        <color theme="1"/>
        <rFont val="Aptos"/>
        <family val="2"/>
      </rPr>
      <t>4</t>
    </r>
    <r>
      <rPr>
        <sz val="11"/>
        <color theme="1"/>
        <rFont val="Aptos"/>
        <family val="2"/>
      </rPr>
      <t>)</t>
    </r>
  </si>
  <si>
    <r>
      <t>Méthane, fossile  (CH</t>
    </r>
    <r>
      <rPr>
        <vertAlign val="subscript"/>
        <sz val="11"/>
        <color theme="1"/>
        <rFont val="Aptos"/>
        <family val="2"/>
      </rPr>
      <t>4</t>
    </r>
    <r>
      <rPr>
        <sz val="11"/>
        <color theme="1"/>
        <rFont val="Aptos"/>
        <family val="2"/>
      </rPr>
      <t>)</t>
    </r>
  </si>
  <si>
    <r>
      <t>Protoxyde d’azote (N</t>
    </r>
    <r>
      <rPr>
        <vertAlign val="subscript"/>
        <sz val="11"/>
        <color theme="1"/>
        <rFont val="Aptos"/>
        <family val="2"/>
      </rPr>
      <t>2</t>
    </r>
    <r>
      <rPr>
        <sz val="11"/>
        <color theme="1"/>
        <rFont val="Aptos"/>
        <family val="2"/>
      </rPr>
      <t>O)</t>
    </r>
  </si>
  <si>
    <r>
      <t>Trifluorure d’azote (NF</t>
    </r>
    <r>
      <rPr>
        <vertAlign val="subscript"/>
        <sz val="11"/>
        <color theme="1"/>
        <rFont val="Aptos"/>
        <family val="2"/>
      </rPr>
      <t>3</t>
    </r>
    <r>
      <rPr>
        <sz val="11"/>
        <color theme="1"/>
        <rFont val="Aptos"/>
        <family val="2"/>
      </rPr>
      <t>)</t>
    </r>
  </si>
  <si>
    <r>
      <t>Schwefelhexafluorid (SF</t>
    </r>
    <r>
      <rPr>
        <vertAlign val="subscript"/>
        <sz val="11"/>
        <rFont val="Calibri"/>
        <family val="2"/>
        <scheme val="minor"/>
      </rPr>
      <t>6</t>
    </r>
    <r>
      <rPr>
        <sz val="11"/>
        <rFont val="Calibri"/>
        <family val="2"/>
        <scheme val="minor"/>
      </rPr>
      <t>)</t>
    </r>
  </si>
  <si>
    <r>
      <t>Hexafluorure de soufre (SF</t>
    </r>
    <r>
      <rPr>
        <vertAlign val="subscript"/>
        <sz val="11"/>
        <color theme="1"/>
        <rFont val="Aptos"/>
        <family val="2"/>
      </rPr>
      <t>6</t>
    </r>
    <r>
      <rPr>
        <sz val="11"/>
        <color theme="1"/>
        <rFont val="Aptos"/>
        <family val="2"/>
      </rPr>
      <t>)</t>
    </r>
  </si>
  <si>
    <r>
      <t>Kohlendioxid (CO</t>
    </r>
    <r>
      <rPr>
        <vertAlign val="subscript"/>
        <sz val="11"/>
        <rFont val="Calibri"/>
        <family val="2"/>
        <scheme val="minor"/>
      </rPr>
      <t>2</t>
    </r>
    <r>
      <rPr>
        <sz val="11"/>
        <rFont val="Calibri"/>
        <family val="2"/>
        <scheme val="minor"/>
      </rPr>
      <t>)</t>
    </r>
  </si>
  <si>
    <r>
      <t>Methan, nicht-fossil (CH</t>
    </r>
    <r>
      <rPr>
        <vertAlign val="subscript"/>
        <sz val="11"/>
        <rFont val="Calibri"/>
        <family val="2"/>
        <scheme val="minor"/>
      </rPr>
      <t>4</t>
    </r>
    <r>
      <rPr>
        <sz val="11"/>
        <rFont val="Calibri"/>
        <family val="2"/>
        <scheme val="minor"/>
      </rPr>
      <t xml:space="preserve">) </t>
    </r>
  </si>
  <si>
    <r>
      <t>Methan, fossil (CH</t>
    </r>
    <r>
      <rPr>
        <vertAlign val="subscript"/>
        <sz val="11"/>
        <rFont val="Calibri"/>
        <family val="2"/>
        <scheme val="minor"/>
      </rPr>
      <t>4</t>
    </r>
    <r>
      <rPr>
        <sz val="11"/>
        <rFont val="Calibri"/>
        <family val="2"/>
        <scheme val="minor"/>
      </rPr>
      <t>)</t>
    </r>
  </si>
  <si>
    <r>
      <t>Stickstofftrifluorid (NF</t>
    </r>
    <r>
      <rPr>
        <vertAlign val="subscript"/>
        <sz val="11"/>
        <rFont val="Calibri"/>
        <family val="2"/>
        <scheme val="minor"/>
      </rPr>
      <t>3</t>
    </r>
    <r>
      <rPr>
        <sz val="11"/>
        <rFont val="Calibri"/>
        <family val="2"/>
        <scheme val="minor"/>
      </rPr>
      <t>)</t>
    </r>
  </si>
  <si>
    <r>
      <t>Lachgas (N</t>
    </r>
    <r>
      <rPr>
        <vertAlign val="subscript"/>
        <sz val="11"/>
        <rFont val="Calibri"/>
        <family val="2"/>
        <scheme val="minor"/>
      </rPr>
      <t>2</t>
    </r>
    <r>
      <rPr>
        <sz val="11"/>
        <rFont val="Calibri"/>
        <family val="2"/>
        <scheme val="minor"/>
      </rPr>
      <t>O)</t>
    </r>
  </si>
  <si>
    <t>Wasserkraft</t>
  </si>
  <si>
    <t>Solarkraft</t>
  </si>
  <si>
    <t>Windkraft</t>
  </si>
  <si>
    <t>Geothermie</t>
  </si>
  <si>
    <t>Erdöl</t>
  </si>
  <si>
    <t>Erdgas</t>
  </si>
  <si>
    <t>Entry in FU (MJ)</t>
  </si>
  <si>
    <t>Entry in FU (kg)</t>
  </si>
  <si>
    <t>Entry in FU (liter)</t>
  </si>
  <si>
    <t>Entry in FU (kWh)</t>
  </si>
  <si>
    <t>Entry in FU (CHF)</t>
  </si>
  <si>
    <t>Entry in FU (tkm)</t>
  </si>
  <si>
    <t>Entry in FU (pkm/vkm)</t>
  </si>
  <si>
    <t>Entry in FU (FTE)</t>
  </si>
  <si>
    <t>Entry in FU (pkm)</t>
  </si>
  <si>
    <t>Entry in FU (kg CO2eq)</t>
  </si>
  <si>
    <t>3.10 Verarbeitung verkaufter Güter</t>
  </si>
  <si>
    <t>3.11 Nutzung verkaufter Güter</t>
  </si>
  <si>
    <t>3.10 Transformation des biens vendus</t>
  </si>
  <si>
    <t>3.11 Utilisation des biens vendus</t>
  </si>
  <si>
    <t>3.10 Lavorazione dei beni venduti</t>
  </si>
  <si>
    <t xml:space="preserve">3.11 Utilizzo dei beni venduti </t>
  </si>
  <si>
    <t>Electricity direct entry</t>
  </si>
  <si>
    <t>Anstellungsbasiert</t>
  </si>
  <si>
    <t>Mobile Verbrennung (Flotte) – Direkt</t>
  </si>
  <si>
    <t>Rifiuti in impianti di incenerimento die rifiuti, inceneriti</t>
  </si>
  <si>
    <t>Teleriscaldamento, presso il consumatore, impianto di incenerimento dei rifiuti</t>
  </si>
  <si>
    <t>Idrogeno, fornitura tramite condotta (elettrolisi, mix svizzero)</t>
  </si>
  <si>
    <t>Anidride carbonica (CO2)</t>
  </si>
  <si>
    <t>Metano, non fossile (CH4)</t>
  </si>
  <si>
    <t>Metano, fossile (CH4)</t>
  </si>
  <si>
    <t>Ossido di azoto (N2O)</t>
  </si>
  <si>
    <t>Trifluoruro di azoto (NF3)</t>
  </si>
  <si>
    <t>Esafluoruro di zolfo (SF6)</t>
  </si>
  <si>
    <t>Trasporti, auto passeggeri, diesel, Media della flotta</t>
  </si>
  <si>
    <t>Trasporti, auto passeggeri, benzina, Media della flotta</t>
  </si>
  <si>
    <t>Trasporti, auto passeggeri, elettrica a batteria, Media della flotta</t>
  </si>
  <si>
    <t>Trasporti, auto passeggeri, diesel, SUV di grandi dimensioni</t>
  </si>
  <si>
    <t>Trasporti, auto passeggeri, diesel, grande</t>
  </si>
  <si>
    <t>Trasporti, auto passeggeri, diesel, media</t>
  </si>
  <si>
    <t>Trasporti, auto passeggeri, diesel, piccola</t>
  </si>
  <si>
    <t>Trasporti, auto passeggeri, benzina, SUV di grandi dimensioni</t>
  </si>
  <si>
    <t>Trasporti, auto passeggeri, benzina, grande</t>
  </si>
  <si>
    <t>Trasporti, auto passeggeri, benzina, media</t>
  </si>
  <si>
    <t>Trasporti, auto passeggeri, benzina, piccola</t>
  </si>
  <si>
    <t>Trasporti, auto passeggeri, elettrica a batteria, SUV di grandi dimensioni</t>
  </si>
  <si>
    <t>Trasporti, auto passeggeri, elettrica a batteria, grande</t>
  </si>
  <si>
    <t>Trasporti, auto passeggeri, elettrica a batteria, media</t>
  </si>
  <si>
    <t>Trasporti, auto passeggeri, elettrica a batteria, piccola</t>
  </si>
  <si>
    <t>Trasporti, camion 7,5 t, Merci, Diesel, Media della flotta, Consegna regionale</t>
  </si>
  <si>
    <t>Trasporti, camion 18t, Merci, Diesel, Media della flotta, Consegna regionale</t>
  </si>
  <si>
    <t>Trasporti, camion 26t, Merci, Diesel, Media della flotta, Consegna regionale</t>
  </si>
  <si>
    <t>Trasporti, camion 32t, Merci, Diesel, Media della flotta, Consegna regionale</t>
  </si>
  <si>
    <t>Trasporti, camion 40t, Merci, Diesel, Media della flotta, Consegna regionale</t>
  </si>
  <si>
    <t>Trasporti, camion 7,5t, Merci, elettrico a batteria, Consegna regionale</t>
  </si>
  <si>
    <t>Trasporti, camion 18t, Merci, elettrico a batteria, Consegna regionale</t>
  </si>
  <si>
    <t>Trasporti, camion 26t, Merci, elettrico a batteria, Consegna regionale</t>
  </si>
  <si>
    <t>Trasporti, camion 32t, Merci, elettrico a batteria, Consegna regionale</t>
  </si>
  <si>
    <t>Trasporti, camion 40t, merci, elettrico a batteria, Consegna regionale</t>
  </si>
  <si>
    <t>Trasporti, nave cargo, transoceanico</t>
  </si>
  <si>
    <t>Trasporti, Aereo cargo</t>
  </si>
  <si>
    <t>Vetro, ceramica, pietre e terre</t>
  </si>
  <si>
    <t>Capannone di produzione / Magazzino, per m2</t>
  </si>
  <si>
    <t>Aree stradali / Parcheggi, per m2</t>
  </si>
  <si>
    <t>Camion 3,5t, diesel</t>
  </si>
  <si>
    <t>Camion 3,5t, elettrico</t>
  </si>
  <si>
    <t>Macchina, generica, per kg</t>
  </si>
  <si>
    <t>Particelle nell'aria</t>
  </si>
  <si>
    <t>La maggior parte delle sue attività in affitto e affittate sono prevalentemente oggetto di leasing operativo "Operating Lease" o di leasing finanziario "Capital Lease"?
(Indicazioni di supporto nel manuale per gli utenti "User Manual")</t>
  </si>
  <si>
    <t>Refrigeranti</t>
  </si>
  <si>
    <t>Vehicle type</t>
  </si>
  <si>
    <t>Heat source</t>
  </si>
  <si>
    <t>Mode of transport</t>
  </si>
  <si>
    <t>Average data</t>
  </si>
  <si>
    <t>Electricity use</t>
  </si>
  <si>
    <t>Fuel use</t>
  </si>
  <si>
    <t>Disposal type</t>
  </si>
  <si>
    <t>GHG emissions</t>
  </si>
  <si>
    <t>Électricité - Basé sur le marché - Direct</t>
  </si>
  <si>
    <t>Électricité - Basé sur la localisation - Direct</t>
  </si>
  <si>
    <t>Électricité - Basé sur le marché - Indirect</t>
  </si>
  <si>
    <t>Électricité - Basé sur la localisation - Indirect</t>
  </si>
  <si>
    <t>Flotte électrique - Basé sur le marché - Direct</t>
  </si>
  <si>
    <t>Flotte électrique - Basé sur la localisation - Direct</t>
  </si>
  <si>
    <t>Flotte électrique - Basé sur la localisation - Indirect</t>
  </si>
  <si>
    <t>Flotte électrique - Basé sur le marché - Indirect</t>
  </si>
  <si>
    <t>Combustion stationnaire - Indirect</t>
  </si>
  <si>
    <t>Électricité - Basée sur le marché - Direct</t>
  </si>
  <si>
    <t>Électricité - Basée sur le marché - Indirect</t>
  </si>
  <si>
    <t>Électricité - Basée sur la localisation - Indirect</t>
  </si>
  <si>
    <t>Combustion mobile (flotte) - Indirect</t>
  </si>
  <si>
    <t>Zinc, in soil</t>
  </si>
  <si>
    <t>Copper, in soil</t>
  </si>
  <si>
    <t>Cadmium, in soil</t>
  </si>
  <si>
    <t>Sulfur, in soil</t>
  </si>
  <si>
    <t>Glyphosate, in soil</t>
  </si>
  <si>
    <t>Folpet, in soil</t>
  </si>
  <si>
    <t>Fatta acids, in soil</t>
  </si>
  <si>
    <t>Dimethenamid, in soil</t>
  </si>
  <si>
    <t>Land occupation, artificial area</t>
  </si>
  <si>
    <t>Land occupation, annual crop</t>
  </si>
  <si>
    <t>Land occupation, urban, green areas</t>
  </si>
  <si>
    <t>Émissions (air/eau/sol)</t>
  </si>
  <si>
    <t>Emissionen (Luft/Wasser/Boden)</t>
  </si>
  <si>
    <t>Emissioni (aria/acqua/suolo)</t>
  </si>
  <si>
    <t>Falls für Sie relevant, können Sie prozessspezifische Emissionen über die Auswahlfelder unter "Emissionen (Luft/Wasser/Boden)" erfassen.</t>
  </si>
  <si>
    <t>Se è rilevante per lei, può registrare le emissioni specifiche del processo usando i campi di selezione sotto "Emissioni (aria/acqua/suolo)".</t>
  </si>
  <si>
    <t>1,2-dichloroethane, in air</t>
  </si>
  <si>
    <t>1,2-dichloroethane, in water</t>
  </si>
  <si>
    <t>Ammonia, in air</t>
  </si>
  <si>
    <t>Anthracene, in water</t>
  </si>
  <si>
    <t>Arsenic, in water</t>
  </si>
  <si>
    <t>Benzene, in air</t>
  </si>
  <si>
    <t>Benzene (as BTEX), in water</t>
  </si>
  <si>
    <t>Lead, in air</t>
  </si>
  <si>
    <t>Lead, in water</t>
  </si>
  <si>
    <t>Cadmium, in air</t>
  </si>
  <si>
    <t>Cadmium, in water</t>
  </si>
  <si>
    <t>Hydrogen chloride, in air</t>
  </si>
  <si>
    <t>Chromium, in air</t>
  </si>
  <si>
    <t>Chromium, in water</t>
  </si>
  <si>
    <t>Dichloromethane (HCC-30), in air</t>
  </si>
  <si>
    <t>Dichloromethane (HCC-30), in water</t>
  </si>
  <si>
    <t>Diuron, in water</t>
  </si>
  <si>
    <t>Ethylbenzene, in water</t>
  </si>
  <si>
    <t>Ethylene oxide, in water</t>
  </si>
  <si>
    <t>Ethylene oxide, in air</t>
  </si>
  <si>
    <t>Particulates, in air</t>
  </si>
  <si>
    <t>NMVOC (Non-Methane Volatile Organic Compounds), in air</t>
  </si>
  <si>
    <t>Hydrogen fluoride, in air</t>
  </si>
  <si>
    <t>TOC (Total Organic Carbon), in groundwater</t>
  </si>
  <si>
    <t>Phosphorus, in water</t>
  </si>
  <si>
    <t>Nitrogen, in water</t>
  </si>
  <si>
    <t>AOX (Adsorbable Organic Halogen, as Cl), in water</t>
  </si>
  <si>
    <t>Halon 1211 (Bromochlorodifluoromethane), in air</t>
  </si>
  <si>
    <t>Halon 1301 (Bromotrifluoromethane), in air</t>
  </si>
  <si>
    <t>Carbon monoxide, fossil, in air</t>
  </si>
  <si>
    <t>Copper, in air</t>
  </si>
  <si>
    <t>Copper, in water</t>
  </si>
  <si>
    <t>Acenaphthene, in air</t>
  </si>
  <si>
    <t>Naphthalene, in water</t>
  </si>
  <si>
    <t>Nickel, in air</t>
  </si>
  <si>
    <t>Nickel, in water</t>
  </si>
  <si>
    <t>Nonylphenol, in water</t>
  </si>
  <si>
    <t>2,3,7,8 Tetrachlorodibenzo-p-dioxin, in air</t>
  </si>
  <si>
    <t>2,3,7,8 Tetrachlorodibenzo-p-dioxin, in water</t>
  </si>
  <si>
    <t>Polychlorinated biphenyls, in air</t>
  </si>
  <si>
    <t>PAH (Polycyclic Aromatic Hydrocarbons), in air</t>
  </si>
  <si>
    <t>PAH (Polycyclic Aromatic Hydrocarbons), in water</t>
  </si>
  <si>
    <t>Mercury, in air</t>
  </si>
  <si>
    <t>Mercury, in water</t>
  </si>
  <si>
    <t>Sulfur dioxide, in air</t>
  </si>
  <si>
    <t>Nitrogen oxides, in air</t>
  </si>
  <si>
    <t>Tetrachloroethene, in air</t>
  </si>
  <si>
    <t>Toluene, in water</t>
  </si>
  <si>
    <t>Tributyltin compounds, in water</t>
  </si>
  <si>
    <t>Trichlorothene, in air</t>
  </si>
  <si>
    <t>Chloroform, in air</t>
  </si>
  <si>
    <t>Xylene, in water</t>
  </si>
  <si>
    <t>Zinc, in air</t>
  </si>
  <si>
    <t>Zinc, in water</t>
  </si>
  <si>
    <t>Microplastics, in soil</t>
  </si>
  <si>
    <t>Zinco, nel suolo</t>
  </si>
  <si>
    <t>Rame, nel suolo</t>
  </si>
  <si>
    <t>Cadmio, nel suolo</t>
  </si>
  <si>
    <t>Microplastiche, nel suolo</t>
  </si>
  <si>
    <t>Zolfo, nel suolo</t>
  </si>
  <si>
    <t>Glifosato, nel suolo</t>
  </si>
  <si>
    <t>Folpet, nel suolo</t>
  </si>
  <si>
    <t>Acidi grassi, nel suolo</t>
  </si>
  <si>
    <t>Dimethenamid, nel suolo</t>
  </si>
  <si>
    <t>Zinc, dans le sol</t>
  </si>
  <si>
    <t>Cuivre, dans le sol</t>
  </si>
  <si>
    <t>Cadmium, dans le sol</t>
  </si>
  <si>
    <t>Microplastiques, dans le sol</t>
  </si>
  <si>
    <t>Soufre, dans le sol</t>
  </si>
  <si>
    <t>Glyphosate, dans le sol</t>
  </si>
  <si>
    <t>Folpet, dans le sol</t>
  </si>
  <si>
    <t>Acides gras, dans le sol</t>
  </si>
  <si>
    <t>Diméthénamide, dans le sol</t>
  </si>
  <si>
    <t>Occupation des sols, zone artificielle (m²)</t>
  </si>
  <si>
    <t>Occupation des sols, cultures annuelles (m²)</t>
  </si>
  <si>
    <t>Occupation des sols, urbain, espaces verts (m²)</t>
  </si>
  <si>
    <t>Occupazione del suolo, area artificiale (m²)</t>
  </si>
  <si>
    <t>Occupazione del suolo, colture annuali (m²)</t>
  </si>
  <si>
    <t>Occupazione del suolo, urban, aree verdi (m²)</t>
  </si>
  <si>
    <t>Zink, im Wasser</t>
  </si>
  <si>
    <t>PAH (polyzyklische aromatische Kohlenwasserstoffe), im Wasser</t>
  </si>
  <si>
    <t>Naphthalin, im Wasser</t>
  </si>
  <si>
    <t>Phosphor, im Wasser</t>
  </si>
  <si>
    <t>Stickstoff, im Wasser</t>
  </si>
  <si>
    <t>TOC (Total Organic Carbon), im Grundwasser</t>
  </si>
  <si>
    <t>AOX (adsorbierbares organisches Halogen, als Cl), im Wasser</t>
  </si>
  <si>
    <t>Flächennutzung, künstliche Fläche (m²)</t>
  </si>
  <si>
    <t>Flächennutzung, einjährige Kulturpflanzen (m²)</t>
  </si>
  <si>
    <t>Flächennutzung, städtische Grünflächen (m²)</t>
  </si>
  <si>
    <t>Zink, im Boden</t>
  </si>
  <si>
    <t>Kupfer, im Boden</t>
  </si>
  <si>
    <t>Cadmium, im Boden</t>
  </si>
  <si>
    <t>Mikroplastik, im Boden</t>
  </si>
  <si>
    <t>Schwefel, im Boden</t>
  </si>
  <si>
    <t>Glyphosat, im Boden</t>
  </si>
  <si>
    <t>Folpet, im Boden</t>
  </si>
  <si>
    <t>Fettsäuren, im Boden</t>
  </si>
  <si>
    <t>Dimethenamid, im Boden</t>
  </si>
  <si>
    <t>emission55</t>
  </si>
  <si>
    <t>emission56</t>
  </si>
  <si>
    <t>emission57</t>
  </si>
  <si>
    <t>emission58</t>
  </si>
  <si>
    <t>emission59</t>
  </si>
  <si>
    <t>emission60</t>
  </si>
  <si>
    <t>emission61</t>
  </si>
  <si>
    <t>emission62</t>
  </si>
  <si>
    <t>emission63</t>
  </si>
  <si>
    <t>emission64</t>
  </si>
  <si>
    <t>emission65</t>
  </si>
  <si>
    <t>emission66</t>
  </si>
  <si>
    <t>BAFU:MANM 2026-02-27</t>
  </si>
  <si>
    <t>Wählen Sie unter "Brennstoff" den verwendeten Brennstoff aus (Dropdown). Geben Sie unter "Eingabe" den jährlichen Verbrauch in der vorgegebenen Einheit ein (z. B. Liter, Kilogramm oder Kubikmeter).</t>
  </si>
  <si>
    <t>Sous Carburant, sélectionnez le carburant que vous utilisez (menu déroulant). Sous « Saisie », saisissez la consommation annuelle en unité habituelle (par exemple litres, kilogrammes ou mètres cubes).</t>
  </si>
  <si>
    <t>Sotto Carburante, selezioni il carburante che sta usando (menu a tendina). Sotto "Input", inserisca il consumo annuo nell'unità indicata (ad esempio litri, chilogrammi o metri cubi).</t>
  </si>
  <si>
    <t>Wählen Sie unter "Energiequelle" die Energiequelle (Dropdown; falls unbekannt, wählen Sie den Schweizer Durchschnitt). Geben Sie unter "MJ" den jährlichen Verbrauch in MJ Endwärme ein.</t>
  </si>
  <si>
    <t>Sotto "Fonte di energia", selezioni la fonte di energia (menu a tendina; se non noto, selezionare la media svizzera). Sotto "MJ", inserisca il consumo annuale di calore finale in MJ.</t>
  </si>
  <si>
    <t>Wählen Sie unter "Energiequelle" die Energiequelle (falls unbekannt, wählen Sie den Schweizer Durchschnitt). Geben Sie unter "MJ" den jährlichen Verbrauch in MJ Endwärme ein.</t>
  </si>
  <si>
    <t>Sotto "Fonte di energia", selezioni la fonte di energia (se non nota, selezionare la media svizzera). Sotto "MJ", inserisca il consumo annuale di calore finale in MJ.</t>
  </si>
  <si>
    <t>Wählen Sie unter "Treibhausgase" den betroffenen Stoff aus (Dropdown). Geben Sie unter "kg" die Leckagen für das Bilanzjahr in Kilogramm an.</t>
  </si>
  <si>
    <t>Sous « Gaz à effet de serre », sélectionnez la substance affectée (menu déroulant). Sous « kg », entrez les fuites pour l’année du bilan en kilogrammes.</t>
  </si>
  <si>
    <t>Sotto "Gas serra", selezioni la sostanza interessata (menu a tendina). Sotto "kg", inserisca le perdite per l'anno di bilancio in chilogrammi.</t>
  </si>
  <si>
    <t>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(unter b) Treibstoffe).</t>
  </si>
  <si>
    <t>Saisie simplifiée : Indiquez la consommation de l’année du bilan soit directement en litres d’essence/diesel, soit en kWh d’électricité.
Entrée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(sous b) Carburant).</t>
  </si>
  <si>
    <t>Inserimento semplificato: Inserisca il consumo nell'anno di bilancio direttamente in litri di benzina/diesel o kWh di elettricità.
Input specifico per veicolo (opzionale): In alternativa, registri il consumo per tipo di veicolo. Sotto "Veicolo", selezioni il veicolo appropriato (menu a tendina). Sotto "a) Chilometri, inserisca i chilometri-veicolo (vkm) o le tonnellate-chilometro (tkm). Il consumo di carburante viene calcolato automaticamente. In alternativa, può inserire direttamente il consumo di carburante in litri o kWh (sotto b) Carburante).</t>
  </si>
  <si>
    <t>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(rechte Spalte).</t>
  </si>
  <si>
    <t>Saisie simplifiée : Indiquez la consommation de l’année du bilan soit directement en litres d’essence/diesel, soit en kWh d’électricité.
Saisie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(colonne de droite).</t>
  </si>
  <si>
    <t>Inserimento semplificato: Inserisca il consumo nell'anno di bilancio direttamente in litri di benzina/diesel o kWh di elettricità.
Input specifico per veicolo (opzionale): In alternativa, registri il consumo per tipo di veicolo. Sotto "Veicolo", selezioni il veicolo appropriato (menu a tendina). Sotto "a) Chilometri, inserisca i chilometri-veicolo (vkm) o le tonnellate-chilometro (tkm). Il consumo di carburante viene calcolato automaticamente. In alternativa, può inserire direttamente il consumo di carburante in litri o kWh (colonna destra).</t>
  </si>
  <si>
    <t>Strom ohne Herknunftsnachweis: Geben Sie den Stromverbrauch im Bilanzjahr ohne HKN in Kilowattstunden (kWh) ein (Nieder- oder Mittelspannung).</t>
  </si>
  <si>
    <t>Électricité sans garantie d’origine : Indiquez la consommation d’électricité pour l’année du bilan sans GOs en kilowattheures (kWh) (basse ou moyenne tension).</t>
  </si>
  <si>
    <t>Elettricità senza garanzia di origine: Inserisca il consumo di elettricità nell'anno di bilancio senza GO in kilowattora (kWh) (bassa o media tensione).</t>
  </si>
  <si>
    <t>Strom mit Herknunftsnachweis (nur Schweizer HKN dürfen angerechnet werden): Wählen Sie unter "Herkunft" die Erzeugungstechnologie, ob Verluste über HKN gedeckt sind sowie die Spannungsebene (Dropdown). Geben Sie unter "kWh" den Stromverbrauch in Kilowattstunden ein.</t>
  </si>
  <si>
    <t>Électricité avec garantie d’origine  (seuls les GO suisses peuvent être pris en compte): Sous « Origine », sélectionnez la technologie de génération, si les pertes sont couvertes par des GOs et le type de tension (menu déroulant). Sous « kWh », entrez la consommation d’électricité en kilowattheures.</t>
  </si>
  <si>
    <t>Elettricità con garanzia di origine  (possono essere conteggiati solo gli GO svizzeri): Sotto "Origine", selezioni la tecnologia di generazione, se le perdite sono coperte da GO e il livello di tensione (menu a tendina). Sotto "kWh", inserisca il consumo elettrico in kilowattora.</t>
  </si>
  <si>
    <t>Électricité avec garantie d’origine (seuls les GO suisses peuvent être pris en compte) : Sous « Origine », sélectionnez la technologie de génération, si les pertes sont couvertes par des GOs et le type de tension (menu déroulant). Sous « kWh », entrez la consommation d’électricité en kilowattheures.</t>
  </si>
  <si>
    <t>Elettricità con garanzia di origine (possono essere conteggiati solo gli GO svizzeri): Sotto "Origine", selezioni la tecnologia di generazione, se le perdite sono coperte da GO e il livello di tensione (menu a tendina). Sotto "kWh", inserisca il consumo elettrico in kilowattora.</t>
  </si>
  <si>
    <t>Der ausgabenbasierte Ansatz verwendet das Einkaufsvolumen pro Branche Ihres Unternehmens. Alternativ können Sie weiter unten den mengenbasierten Ansatz nutzen. Einkäufe sollen nur an einem Ort eingetragen werden.
Ausgabenbasierter Ansatz: Wählen Sie unter "Branche" die passende Waren- oder Dienstleistungsklasse (Dropdown). Geben Sie unter "CHF" die Einkaufsmenge in Schweizerfranken an.</t>
  </si>
  <si>
    <t>L’approche basée sur les dépenses utilise le volume d’achat par secteur de votre entreprise. Sinon, vous pouvez utiliser l’approche basée sur la quantité ci-dessous. Les achats ne doivent être saisis qu’à un seul endroit.
Approche basée sur les dépenses : Sous « Industrie », sélectionnez la classe de biens ou de services appropriée (menu déroulant). Sous « CHF », saisissez la quantité d’achat en francs suisses.</t>
  </si>
  <si>
    <t>L'approccio basato sulle spese utilizza il volume di acquisto per settore della sua azienda. In alternativa, puoi utilizzare l'approccio basato sulla quantità qui sotto. Gli acquisti devono essere inseriti in un solo luogo.
Approccio basato sulle spess: Sotto "Industria", selezioni la classe di beni o servizi appropriata (menu a tendina). Sotto "CHF", inserisca la quantità acquistata in franchi svizzeri.</t>
  </si>
  <si>
    <t>Der Mengenbasierte Ansatz ist genauer als der ausgabenbasierte Ansatz (siehe oben). Einkäufe sollen nur an einem Ort eingetragen werden.
Mengenbasierter Ansatz: Wählen Sie unter "Material Kat. 1/2/3" das passende Material aus (Dropdown). Geben Sie unter "Eingabe" Einkaufsmenge in der vorgegebenen Einheit (z.B. kg, m3).</t>
  </si>
  <si>
    <t>L’approche basée sur la quantité est plus précise que celle basée sur la dépense (voir ci-dessus). Les achats ne doivent être saisis qu’à un seul endroit.
Approche basée sur la quantité : Sous « Matériel cat. 1/2/3" (menu déroulant). Sous « Saisie », saisissez la quantité d’achat dans l’unité spécifiée (par exemple kg, m3).</t>
  </si>
  <si>
    <t>L'approccio basato sulla quantità è più accurato di quello basato sulle spese (vedi sopra). Gli acquisti devono essere inseriti in un solo luogo.
Approccio basato sulla quantità: Sotto "Materiale cat. 1/2/3", selezioni il materiale appropriato (menu a tendina). Sotto "Input", inserisca la quantità acquistata nell'unità specificata (ad esempio kg, m3).</t>
  </si>
  <si>
    <t>Wählen Sie unter "Material Kat. 1/2" eine passende Ware aus (Dropdown). Geben Sie unter "Eingabe" die Menge in der entsprechenden Einheit an (z.B. Stück (p), m3)</t>
  </si>
  <si>
    <t>Sélectionnez un produit approprié dans « Matériau cat. 1/2 » (menu déroulant). Sous « Saisie », saisissez la quantité dans l’unité correspondante (par exemple la pièce (p), m3)</t>
  </si>
  <si>
    <t>Selezioni un prodotto adeguato nella sezione “Materiale cat. 1/2” (menu a tendina). Sotto "Input", inserisca la quantità nell'unità corrispondente (ad esempio pezzo (p), m3)</t>
  </si>
  <si>
    <t>Geben Sie den geschätzten Stromverbrauch in Kilowattsthunden (kWh) an. Wählen Sie die relevanten Brenn- und Treibstoffe aus (Dropdown). Geben Sie unter "Eingabe" die geschätzten Mengen in der entsprechenden Einheit an oder geben Sie direkt den Energieverbrauch in Megajoul (MJ) an.</t>
  </si>
  <si>
    <t>Indiquez la consommation d’électricité estimée en kilowattheures (kWh). Sélectionnez les carburants concernés (menu déroulant). Sous « Saisie », saisissez les quantités estimées dans l’unité correspondante ou la consommation d’énergie directement en mégajoules (MJ).</t>
  </si>
  <si>
    <t>Inserisca il consumo elettrico stimato in kilowattora (kWh). Selezioni i carburanti rilevanti (menu a tendina). Sotto "Input", inserisca le quantità stimate nell'unità corrispondente o inserisca direttamente il consumo energetico in megajoule (MJ).</t>
  </si>
  <si>
    <t>Ordnen Sie alle verkauften Produkte den Abfalltypen und der angenommenen Entsorgungsart zu. Geben Sie unter "kg" die Mengen in Kilogramm an.</t>
  </si>
  <si>
    <t>Classez tous les produits vendus selon les types de déchets et le mode d'élimination prévu. Sous « kg », entrez les quantités en kilogrammes.</t>
  </si>
  <si>
    <t>Assegnare tutti i prodotti venduti ai tipi di rifiuto e al tipo di smaltimento assunto. Sotto "kg", inserisca le quantità in chilogrammi.</t>
  </si>
  <si>
    <t>Option 1: Übernehmen Sie die berechneten Scope 1 und 2 Emissionen der investerten Unternehmen und gewichten Sie diese mit dem relevanten Kapitalanteil.
Option 2: Schätzen Sie die Emissionen anhand des Sektors, des Umsatzes (CHF) und des Kapitalanteils (%). Diese Option umfasst Scope 1 bis 3.</t>
  </si>
  <si>
    <t>Option 1 : Reprenez les émissions calculées des scopes 1 et 2 des entreprises investies et pondérez-les selon la part de capital correspondante.
Option 2 : Estimez les émissions sur la base du secteur, du chiffre d’affaires (CHF) et de la part de capital (%). Cette option couvre les scopes 1 à 3.</t>
  </si>
  <si>
    <t>Opzione 1: Riprenda le emissioni calcolate degli scope 1 e 2 delle imprese partecipate e le ponderi in base alla quota di capitale rilevante.
Opzione 2: Stimi le emissioni sulla base del settore, del fatturato (CHF) e della quota di capitale (%). Questa opzione comprende gli scope da 1 a 3.</t>
  </si>
  <si>
    <t>Électricité - Basé sur le marché</t>
  </si>
  <si>
    <t>Électricité - Basé sur la localisation</t>
  </si>
  <si>
    <t>Emissioni dei processi</t>
  </si>
  <si>
    <t>Elettricità - Basato sul mercato</t>
  </si>
  <si>
    <t>Elettricità - Basato sulla posizione</t>
  </si>
  <si>
    <t>Flotta elettrica - Basato sul mercato</t>
  </si>
  <si>
    <t>Flotta elettrica - Basato sulla posizione</t>
  </si>
  <si>
    <t>Elettricità - Basato sul mercato - Diretto</t>
  </si>
  <si>
    <t>Elettricità - Basato sulla posizione - Diretto</t>
  </si>
  <si>
    <t>Elettricità - Basato sul mercato - Indiretto</t>
  </si>
  <si>
    <t>Elettricità - Basato sulla posizione - Indiretto</t>
  </si>
  <si>
    <t>Flotta elettrica - Basato sul mercato - Diretto</t>
  </si>
  <si>
    <t>Flotta elettrica - Basato sulla posizione - Diretto</t>
  </si>
  <si>
    <t>Flotta elettrica - Basato al mercato - Indiretto</t>
  </si>
  <si>
    <t>Flotta elettrica - Basato sulla posizione - Indiretto</t>
  </si>
  <si>
    <t>Flotta elettrica - Basato sul mercato - Indiretto</t>
  </si>
  <si>
    <t>Flotte électrique - Basé sur le marché</t>
  </si>
  <si>
    <t>Biens et services achetés - Basé sur les produits</t>
  </si>
  <si>
    <t>Eigenverbrauch Vermögenswerte (vor Ort)</t>
  </si>
  <si>
    <t>Chauffage à distance et vapeur - Direct</t>
  </si>
  <si>
    <t>Chauffage à distance et vapeur - Indirect</t>
  </si>
  <si>
    <t>Teleriscaldamento e vapore - Diretto</t>
  </si>
  <si>
    <t>Émissions des processus</t>
  </si>
  <si>
    <t>Si cela vous concerne, vous pouvez indiquer les émissions spécifiques aux processus en utilisant les champs de sélection sous « Émissions (air/eau/sol) ».</t>
  </si>
  <si>
    <t>▲ Back to top</t>
  </si>
  <si>
    <t>Included emissions</t>
  </si>
  <si>
    <t>Direct emission</t>
  </si>
  <si>
    <t>Market-based</t>
  </si>
  <si>
    <t>Location-based</t>
  </si>
  <si>
    <t>3.8 Actifs loués en amont</t>
  </si>
  <si>
    <t>3.13 Actifs loués en aval</t>
  </si>
  <si>
    <t>3.8 Gemietete Vermögenswerte</t>
  </si>
  <si>
    <t>3.13 Vermietete Vermögenswerte</t>
  </si>
  <si>
    <t>Indiquez les combustibles que votre entreprise brûle sur site dans des équipements de production d’énergie loués et installés de façon permanente (par exemple, chaudières, centrales thermiques et électriques mixtes, fours, générateurs fixes ; fossiles ou biogéniques). Indiquez uniquement les installations que votre entreprise loue en amont.</t>
  </si>
  <si>
    <t>Indiquez l’achat de chauffage urbain ou de vapeur pour des bâtiments ou installations loués en amont.</t>
  </si>
  <si>
    <t>Indiquez les émissions dues à la consommation de carburant ou d’électricité provenant de véhicules et de machines mobiles loués en amont.
Cela inclut, par exemple, des voitures particulières, des camions, des chariots élévateurs, des machines de construction, des machines de jardinage.</t>
  </si>
  <si>
    <t>Attività prese in locazione (a monte, in loco)</t>
  </si>
  <si>
    <t>Attività concesse in locazione (a valle, in loco)</t>
  </si>
  <si>
    <t>Attività prese in locazione (a monte)</t>
  </si>
  <si>
    <t>Attività prese in locazione (a monte, teleriscaldamento e vapore)</t>
  </si>
  <si>
    <t>Attività concesse in locazione (a valle, teleriscaldamento e vapore)</t>
  </si>
  <si>
    <t>Attività concesse in locazione (a valle)</t>
  </si>
  <si>
    <t>Publiziert durch.
Bundesamt für Energie BFE
Bundesamt für Umwelt BAFU</t>
  </si>
  <si>
    <t>Pubblicato da:
Ufficio federale dell'energia UFE
Ufficio federale dell'ambiente UFAM</t>
  </si>
  <si>
    <t>Publié par :
Office fédéral de l'énergie OFEN
Office fédéral de l'environnement OFEV</t>
  </si>
  <si>
    <t>Feedback à :</t>
  </si>
  <si>
    <t>n0Info_2FurtherInfo_Text14</t>
  </si>
  <si>
    <t>Les inventaires et rapports relatifs à la base de données BAFU:2025 sont disponibles ici.</t>
  </si>
  <si>
    <t>Die Inventare und Berichte zur Datenbank BAFU:2025 sind hier verfügbar.</t>
  </si>
  <si>
    <t>Gli inventari e i rapporti relativi alla banca dati BAFU:2025 sono disponibili qui.</t>
  </si>
  <si>
    <t>IPCC AR5</t>
  </si>
  <si>
    <t>Swiss Eco-Factors 2021</t>
  </si>
  <si>
    <t>BAFU:MANM 2026-03-03</t>
  </si>
  <si>
    <t>Scope 3.1 Product-based</t>
  </si>
  <si>
    <t>Type of transport</t>
  </si>
  <si>
    <t>Other environmental emissions (non-GHG)</t>
  </si>
  <si>
    <t>Greenhouse gas emissions</t>
  </si>
  <si>
    <t>Upstream leases</t>
  </si>
  <si>
    <t>Downstream leases</t>
  </si>
  <si>
    <t>Le Corporate Footprint Calculator est publié et maintenu par l'OFEN et l'OFEV afin de faciliter la quantification des émissions de gaz à effet de serre et des impacts environnementaux des entreprises et organisations. Les impacts directs et indirects en amont et en aval peuvent être calculés. Les calculs sont principalement basés sur la base de données d’inventaires écologiques de l’Administration fédérale suisse BAFU:2025 et sont méthodologiquement conformes au GHG Protocol, adapté aux réglementations antionales spécifiques à la Suisse. Les données saisies, les calculs et les données de base peuvent servir de base pour le reporting et la gestion de la durabilité (par exemple, pour des feuilles de route net-zéro selon la loi sur le climat et l’innovation LCl, SBTi, Ecovadis, CDP, CSRD).
Une feuille de route net-zéro pour les entreprises ou les branches est un instrument volontaire du gouvernement fédéral. Cependant, les demandes de financement conformément à l’art. 6 LCl (encouragement de technologies et de processus innovants) doivent être accompagnées d’une feuille de route net-zéro. Une telle feuille de route repose sur un bilan des gaz à effet de serre, qui peut être créé avec l’outil disponible.
L’outil peut également être utilisé par les institutions publiques (par exemple les administrations municipales et cantonales) pour calculer leur empreinte écologique, même si la méthodologie de calcul de l’outil est principalement prévue pour les entreprises.
Pour remplir l’outil, vous avez besoin de données différentes de votre entreprise (par exemple, le type de chauffage et la consommation sur tous les sites, la consommation de carburant des véhicules, les biens et services achetés), que vous devez traiter et consolider partiellement pour l’ensemble de l’entreprise. L’outil peut également être rempli plusieurs fois pour différentes unités d’activité.</t>
  </si>
  <si>
    <t>Der Corporate Footprint Calculator wird vom BFE und BAFU publiziert und unterhalten, um die Quantifizierung der Treibhausgasemissionen und Umweltbelastungen von Unternehmen und Organisationen zu erleichtern. Es können sowohl direkte wie auch indirekte vor- und nachgelagerte Impacts berechnet werden. Die Berechnungen basieren hauptsächlich auf der Ökoinventar-Datenbank der Schweizer Bundesverwaltung BAFU:2025 und sind methodisch konform mit dem GHG Protocol, angepasst an die länderspezifischen Regulatorien der Schweiz. Die eingegebenen Daten, die Berechnungen und die Hintergrunddaten können als Grundlage für das Nachhaltigkeitsreporting und -Management genutzt werden (z.B. für Netto-Null-Fahrpläne nach Klima- und Innovationsgesetz KlG, SBTi, Ecovadis, CDP, CSRD).
Ein Netto-Null-Fahrplan für Unternehmen oder Branchen ist ein freiwilliges Instrument des Bundes. Förderanträge gemäss Art. 6 KlG (Förderung von neuartigen Technologien und Prozessen) müssen allerdings verpflichtend von einem Netto-Null-Fahrplan begleitet werden. Ein solcher Fahrplan basiert auf einer Treibhausgasbilanz, die mit dem vorliegenden Tool erstellt werden kann.
Mithilfe des Tools können auch öffentliche Institutionen ihren ökologischen Fussabdruck berechnen (z. B. Gemeinde- und kantonale Verwaltungen), obwohl die Berechnungsmethodik des Tools auf Unternehmen vorgesehen ist.
Für das Ausfüllen des Tools benötigen Sie unterschiedliche Daten Ihres Unternehmens (z.B. Heizungsart und Verbrauch an allen Standorten, Treibstoffverbrauch von Fahrzeugen, eingekaufte Güter und Dienstleistungen), die Sie teilweise aufbereiten und für das gesamte Unternehmen konsolidieren müssen. Das Tool kann auch für verschiedene Unternehmenseinheiten mehrfach ausgefüllt werden.</t>
  </si>
  <si>
    <t>Il Corporate Footprint Calculator è pubblicato e mantenuto dall'UFE e dall'UFAM per facilitare la quantificazione delle emissioni di gas serra e degli impatti ambientali di aziende e organizzazioni. Possono essere calcolati sia impatti diretti che indiretti a monte e a valle. I calcoli si basano principalmente sulla banca dati ecoinvent dell'Amministrazione Federale Svizzera UFAM:2025 e sono metodologicamente conformi al GHG Protocol, adattato alle normative specifiche della Svizzera. I dati inseriti, i calcoli e i dati di base possono essere utilizzati come base per la rendicontazione e la gestione della sostenibilità (ad esempio per cronoprogrammi netto zero secondo il legge sul clima e l'innovazione LOCIi, SBTi, Ecovadis, CDP, CSRD).
Un cronoprogramma netto zero per aziende o settori è uno strumento volontario del governo federale. Tuttavia, le domande di finanziamento in conformità con l'Art. 6 LOCIi (Incentivi alle tecnologie e processi innovativi) devono essere accompagnate da un cronoprogramma netto zero. Un tale cronoprogramma si basa su un bilancio dei gas serra, che può essere creato con il presente strumento.
Lo strumento può essere utilizzato anche da istituzioni pubbliche (ad esempio amministrazioni municipali e cantonali) per calcolare la loro impronta ecologica, anche se la metodologia di calcolo dello strumento è prevista principalmente per le aziende.
Per compilare lo strumento, ha bisogno di diversi dati della sua azienda (ad esempio tipo di riscaldamento e consumo in tutte le sedi, consumo di carburante dei veicoli, beni e servizi acquistati), che deve parzialmente elaborare e consolidare per l'intera azienda. Lo strumento può anche essere compilato più volte per diverse entità aziendali.</t>
  </si>
  <si>
    <t xml:space="preserve">Vous n'avez rien à faire dans cette feuille, elle sert uniquement à garantir la transparence des calculs et des données de base utilisées.
</t>
  </si>
  <si>
    <t>Qui vengono calcolate le emissioni. A tal fine, le informazioni del foglio di calcolo precedente vengono combinate con i fattori di emissione della banca dati di riferimento.
Il calcolo è strutturato secondo gli scopes del GHG Protocol. 
Le emissioni di edifici, strutture e veicoli in affitto e affittati vengono calcolate separatamente e assegnate agli ambiti di applicazione secondo le informazioni fornite nei fogli precedenti.
Le abbreviazioni utilizzate in questo foglio sono le seguenti:
FU - Unità funzionale
EF - Fattore di emissione</t>
  </si>
  <si>
    <t>Ici, les émissions sont calculées. Pour ce faire, vos données issues de la feuille de calcul précédente sont comparées aux facteurs d'émission de la base de données de référence.
Le calcul est structuré selon les Scopes définis par le GHG Protocol.
Les émissions des bâtiments, installations et véhicules loués sont calculées séparément et attribuées aux Scopes conformément aux données que vous avez saisies dans les feuilles précédentes.
Les abbrévitations utilisées dans cette feuille sont les suivantes:
FU - Unité fonctionnelle
EF - Facteur d'émissions</t>
  </si>
  <si>
    <t xml:space="preserve">Hier werden die Emissionen berechnet. Hierzu werden Ihre Angaben aus dem vorherigen Tabellenblatt mit den Emissionsfaktoren der Hintergrunddatenbank verrechnet.
Die Berechnung ist nach Scopes gemäss GHG Protocol gegliedert. 
Emissionen aus gemieteten und vermieteten Gebäuden, Anlagen und Fahrzeugen werden separat berechnet und gemäss Ihren Angaben in den vorherigen Blättern den Scopes zugeordnet.
In diesem Blatt werden folgende Abkürzungen verwendet:
FU – Funktionelle Einheit
EF – Emissionsfaktor
</t>
  </si>
  <si>
    <t>3.3 Émissions indirectes de l'énergie</t>
  </si>
  <si>
    <t>3.3 Indirekte Emissionen aus Energie</t>
  </si>
  <si>
    <t>3.3 Emissioni indirette da energia</t>
  </si>
  <si>
    <t>n4Dashboard_2TotalEmissions_market</t>
  </si>
  <si>
    <t>n4Dashboard_2TotalEmissions_location</t>
  </si>
  <si>
    <t>(en considérant le mix de consommation suisse)</t>
  </si>
  <si>
    <t>(unter Berücksichtigung des Schweizer Verbrauchsmixes)</t>
  </si>
  <si>
    <t>(en intégrant les GO suisses)</t>
  </si>
  <si>
    <t>(unter Einbeziehung der Schweizer HKN)</t>
  </si>
  <si>
    <t>(integrando i GO svizzeri)</t>
  </si>
  <si>
    <t>(considerando il mix di consumo svizzero)</t>
  </si>
  <si>
    <t>WasserkraftJaNiederspannung</t>
  </si>
  <si>
    <t>SolarkraftJaNiederspannung</t>
  </si>
  <si>
    <t>WindkraftJaNiederspannung</t>
  </si>
  <si>
    <t>GeothermieJaNiederspannung</t>
  </si>
  <si>
    <t>KernenergieJaNiederspannung</t>
  </si>
  <si>
    <t>ErdölJaNiederspannung</t>
  </si>
  <si>
    <t>ErdgasJaNiederspannung</t>
  </si>
  <si>
    <t>AbfallJaNiederspannung</t>
  </si>
  <si>
    <t>WasserkraftNeinNiederspannung</t>
  </si>
  <si>
    <t>SolarkraftNeinNiederspannung</t>
  </si>
  <si>
    <t>WindkraftNeinNiederspannung</t>
  </si>
  <si>
    <t>GeothermieNeinNiederspannung</t>
  </si>
  <si>
    <t>KernenergieNeinNiederspannung</t>
  </si>
  <si>
    <t>ErdölNeinNiederspannung</t>
  </si>
  <si>
    <t>ErdgasNeinNiederspannung</t>
  </si>
  <si>
    <t>AbfallNeinNiederspannung</t>
  </si>
  <si>
    <t>WasserkraftJaMittelspannung</t>
  </si>
  <si>
    <t>SolarkraftJaMittelspannung</t>
  </si>
  <si>
    <t>WindkraftJaMittelspannung</t>
  </si>
  <si>
    <t>GeothermieJaMittelspannung</t>
  </si>
  <si>
    <t>KernenergieJaMittelspannung</t>
  </si>
  <si>
    <t>ErdölJaMittelspannung</t>
  </si>
  <si>
    <t>ErdgasJaMittelspannung</t>
  </si>
  <si>
    <t>AbfallJaMittelspannung</t>
  </si>
  <si>
    <t>WasserkraftNeinMittelspannung</t>
  </si>
  <si>
    <t>SolarkraftNeinMittelspannung</t>
  </si>
  <si>
    <t>WindkraftNeinMittelspannung</t>
  </si>
  <si>
    <t>GeothermieNeinMittelspannung</t>
  </si>
  <si>
    <t>KernenergieNeinMittelspannung</t>
  </si>
  <si>
    <t>ErdölNeinMittelspannung</t>
  </si>
  <si>
    <t>ErdgasNeinMittelspannung</t>
  </si>
  <si>
    <t>AbfallNeinMittelspannung</t>
  </si>
  <si>
    <t>Énergie hydrauliqueJaNiederspannung</t>
  </si>
  <si>
    <t>Énergie hydrauliqueJaMittelspannung</t>
  </si>
  <si>
    <t>Énergie hydrauliqueNeinMittelspannung</t>
  </si>
  <si>
    <t>Énergie hydrauliqueNeinNiederspannung</t>
  </si>
  <si>
    <t>Energia idroelettricaNeinNiederspannung</t>
  </si>
  <si>
    <t>a) Prestations kilométriques</t>
  </si>
  <si>
    <t>a) Fahrleistung</t>
  </si>
  <si>
    <t>a) Prestazione chilometrica</t>
  </si>
  <si>
    <t>Chiffre total [CHF]</t>
  </si>
  <si>
    <t>Kurzbeschreibung der organisatorischen Grenzen der Bilanz (in die Bilanz einbezogene Einheiten):</t>
  </si>
  <si>
    <t xml:space="preserve"> Brève description des limites organisationnelles du bilan (entités inclues dans le bilan) :</t>
  </si>
  <si>
    <t>Breve descrizione dei limiti organizzativi del bilancio (unità incluse nel bilancio):</t>
  </si>
  <si>
    <t>Entry in FU</t>
  </si>
  <si>
    <t>Erfassen Sie den Stromverbrauch aller gemieteten Gebäude, Anlagen und Prozesse.
Der Stromverbrauch wird nach Strom ohne Herkunftsnachweis (HKN) und Strom mit HKN unterschieden.</t>
  </si>
  <si>
    <t>Vergibt Ihr Unternehmen Franchise-Lizenzen an Dritte, die eigene Standorte betreiben?</t>
  </si>
  <si>
    <t>Visualisation des résultats</t>
  </si>
  <si>
    <t>Méthode d'impact</t>
  </si>
  <si>
    <t>Scope</t>
  </si>
  <si>
    <t>Emission source</t>
  </si>
  <si>
    <t>Indicator</t>
  </si>
  <si>
    <t>Result</t>
  </si>
  <si>
    <t>Calculation approach</t>
  </si>
  <si>
    <t>Row num</t>
  </si>
  <si>
    <t>Count:</t>
  </si>
  <si>
    <t>Unit:</t>
  </si>
  <si>
    <t>Donut:</t>
  </si>
  <si>
    <t>Axis label:</t>
  </si>
  <si>
    <t>[Mio. UBP]</t>
  </si>
  <si>
    <t>Catégorie</t>
  </si>
  <si>
    <t>Tableau des résultats</t>
  </si>
  <si>
    <t>n4Dashboard_3Graphs</t>
  </si>
  <si>
    <t>Résultats par Scope</t>
  </si>
  <si>
    <t>Résultats par catégorie</t>
  </si>
  <si>
    <t>n4Dashboard_2TotalEmissions_metric1</t>
  </si>
  <si>
    <t>n4Dashboard_2TotalEmissions_metric2</t>
  </si>
  <si>
    <t>n4Dashboard_2TotalEmissions_metric3</t>
  </si>
  <si>
    <t>n4Dashboard_3Graphs_Text1</t>
  </si>
  <si>
    <t>n4Dashboard_3Graphs_Text2</t>
  </si>
  <si>
    <t>n4Dashboard_3Graphs_Text3</t>
  </si>
  <si>
    <t>n4Dashboard_3Graphs_Text4</t>
  </si>
  <si>
    <t>n4Dashboard_3Graphs_Text5</t>
  </si>
  <si>
    <t>Émissions GES (IPCC 2021)</t>
  </si>
  <si>
    <t>Gesamtumweltbelastung (Ecological Scarcity 2021)</t>
  </si>
  <si>
    <r>
      <t>Émissions CO</t>
    </r>
    <r>
      <rPr>
        <vertAlign val="subscript"/>
        <sz val="11"/>
        <color theme="1"/>
        <rFont val="Aptos"/>
        <family val="2"/>
      </rPr>
      <t>2</t>
    </r>
    <r>
      <rPr>
        <sz val="11"/>
        <color theme="1"/>
        <rFont val="Aptos"/>
        <family val="2"/>
      </rPr>
      <t xml:space="preserve"> biogénique</t>
    </r>
  </si>
  <si>
    <t>Biogene CO₂-Emissionen</t>
  </si>
  <si>
    <t>Emissioni di gas serra (IPCC 2021)</t>
  </si>
  <si>
    <t>Emissioni biogeniche di CO₂</t>
  </si>
  <si>
    <t>THG-Emissionen (IPCC 2021)</t>
  </si>
  <si>
    <t>Visualizzazione dei risultati</t>
  </si>
  <si>
    <t>Risultati per categoria</t>
  </si>
  <si>
    <t>Risultati per Scope</t>
  </si>
  <si>
    <t>Anzeige der Ergebnisse</t>
  </si>
  <si>
    <t>Wirkungsmethode</t>
  </si>
  <si>
    <t>Ergebnisse nach Scope</t>
  </si>
  <si>
    <t>Ergebnisse nach Kategorie</t>
  </si>
  <si>
    <t>Metodo dell'impatto</t>
  </si>
  <si>
    <r>
      <t>[t CO</t>
    </r>
    <r>
      <rPr>
        <b/>
        <vertAlign val="subscript"/>
        <sz val="11"/>
        <rFont val="Arial"/>
        <family val="2"/>
      </rPr>
      <t>2</t>
    </r>
    <r>
      <rPr>
        <b/>
        <sz val="11"/>
        <rFont val="Arial"/>
        <family val="2"/>
      </rPr>
      <t xml:space="preserve"> eq]</t>
    </r>
  </si>
  <si>
    <r>
      <t>[t CO</t>
    </r>
    <r>
      <rPr>
        <b/>
        <vertAlign val="subscript"/>
        <sz val="11"/>
        <rFont val="Arial"/>
        <family val="2"/>
      </rPr>
      <t>2</t>
    </r>
    <r>
      <rPr>
        <b/>
        <sz val="11"/>
        <rFont val="Arial"/>
        <family val="2"/>
      </rPr>
      <t>]</t>
    </r>
  </si>
  <si>
    <t>Ergebnisübersicht</t>
  </si>
  <si>
    <t>Kategorie</t>
  </si>
  <si>
    <t>Tabella dei risultati</t>
  </si>
  <si>
    <t>Categoria</t>
  </si>
  <si>
    <t>Impact env. total (Ecological Scarcity 2021)</t>
  </si>
  <si>
    <t>Impatto amb. totale (Ecological Scarcity 2021)</t>
  </si>
  <si>
    <t>Bilanzierungsgrenzen</t>
  </si>
  <si>
    <t>Périmètre du bilan</t>
  </si>
  <si>
    <t>Perimetro di bilancio</t>
  </si>
  <si>
    <t>Les questions suivantes servent à limiter au minimum la saisie ultérieure de données. Pour ce faire, toutes les questions doivent être répondues avant de procéder à la collecte des données dans la feuille suivante « 2 Data Inputs ».Les réponses ne doivent pas être modifiées après avoir rempli les feuilles suivantes.
Pour définir le périmètre, nous recommandons une brève analyse de pertinence de vos émissions. Vous pouvez trouver de l’aide à ce sujet dans le User Manual (chap. 3.2).</t>
  </si>
  <si>
    <t>Die nachfolgenden Fragen dienen dazu, die späteren Dateneingaben auf ein Minimum zu begrenzen. Hierzu müssen alle Fragen beantwortet werden, bevor Sie zur Datenerfassung im nächsten Tabellenblatt "2 Data Inputs" weiterfahren. Antworten sollten nach dem Ausfüllen der nachfolgenden Blätter nicht verändert werden.
Für die Definition der Bilanzierungsgrenzen empfehlen wir eine kurze Relevanzanalyse Ihrer Emissionen. Hilfestellungen hierzu finden Sie im User Manual (Kap. 3.2).</t>
  </si>
  <si>
    <t>Le domande seguenti servono a limitare al minimo l'inserimento successivo dei dati. Per farlo, tutte le domande devono essere risposte prima di procedere alla raccolta dati nel prossimo foglio "2 Data Inputs". Una volta compilati i fogli seguenti, le risposte non devono essere modificate.
Per definire i limiti di bilancio, raccomandiamo una breve analisi di rilevanza delle sue emissioni. Ulteriori indicazioni in merito sono disponibili nel User Manual (cap. 3.2).</t>
  </si>
  <si>
    <t>Welchen Konsolidierungsansatz möchten Sie nutzen (Hilfestellung im User Manual (Kap. 3.1); Meist verwendeter Ansatz: Operative Kontrolle)?</t>
  </si>
  <si>
    <t>Quelle approche de consolidation souhaitez-vous utiliser (aide dans le User Manual (chap. 3.1) ; approche la plus couramment utilisée : Contrôle opérationnel) ?</t>
  </si>
  <si>
    <t>Quale approccio di consolidamento desidera utilizzare (supporto nel User Manual (cap. 3.1); approccio più utilizzato: Controllo operativo)?</t>
  </si>
  <si>
    <t>Vous n’avez rien à faire dans cette feuille. Les résultats peuvent être copiés ici et réutilisés, par exemple pour la déclaration de durabilité, une feuille de route net-zero ou autres.
Pour plus d'informations sur l'interprétation des résultats, référez-vous au User Manual (chap. 5). 
Les graphiques présentant les résultats peuvent être paramétrés pour présenter les résultats selon le périmètre du bilan, l'approche de calcul, et la méthode d'impact.</t>
  </si>
  <si>
    <t>Sie brauchen in diesem Blatt nichts zu tun. Die Resultate können von hier kopiert und weiterverwendet werden, zum Beispiel für das Nachhaltigkeitsreporting, einen Netto-Null-Fahrplan oder ähnliches. 
Weitere Informationen zur Auswertung der Ergebnisse finden Sie im User Manual (Kap. 5). 
Die Grafiken zur Darstellung der Ergebnisse können so konfiguriert werden, dass die Ergebnisse nach Bilanzierungsgrenzen, Berechnungsansatz und Wirkungsmethode dargestellt werden.</t>
  </si>
  <si>
    <t>Non deve fare nulla in questo foglio. I risultati possono essere copiati da qui e riutilizzati, ad esempio per la rendicontazione sulla sostenibilità, una cronoprogramma netto zero o simili.
Per ulteriori informazioni sull'interpretazione dei risultati, si prega di consultare il User Manual (cap. 5).
I grafici utilizzati per rappresentare i risultati possono essere configurati in modo tale da visualizzare i risultati in base ai parametri di bilancio, al metodo di calcolo e al metodo di valutazione.</t>
  </si>
  <si>
    <t>Natural gas, burned in boiler condensing modulating 50kW {CH} m3 Direct</t>
  </si>
  <si>
    <t>Biomethane, burned in boiler condensing modulating 50kW {CH} m3 Direct</t>
  </si>
  <si>
    <t>Methane, burned m3 Direct</t>
  </si>
  <si>
    <t>Ethane, burned m3 Direct</t>
  </si>
  <si>
    <t>Natural gas, burned in boiler condensing modulating 50kW {CH} m3 Indirect</t>
  </si>
  <si>
    <t>Biomethane, burned in boiler condensing modulating 50kW {CH} m3 Indirect</t>
  </si>
  <si>
    <t>Methane, burned m3 Indirect</t>
  </si>
  <si>
    <t>Ethane, burned m3 Indirect</t>
  </si>
  <si>
    <t>BAFU:MANM 2026-04-23</t>
  </si>
  <si>
    <t>Scope 1 Process emissions</t>
  </si>
  <si>
    <t>CO2 equivalent</t>
  </si>
  <si>
    <t>Scope 1 Process emissions; Scope 3.14 Franchises; Scope 3.15 Investments</t>
  </si>
  <si>
    <t>Scope 3.2 Capital goods</t>
  </si>
  <si>
    <t>Scope 3.7 Employee commuting</t>
  </si>
  <si>
    <t>Scope 1 Fugitive emissions</t>
  </si>
  <si>
    <t>Scope 1 Stationary combustion; Scope 3.10 Processing sold products; Scope 3.11 Use sold products</t>
  </si>
  <si>
    <t>Scope 2 District heat</t>
  </si>
  <si>
    <t>Scope 3.3 Stationary combustion</t>
  </si>
  <si>
    <t>Scope 3.3 District heat</t>
  </si>
  <si>
    <t>Scope 2 Electricity; Scope 3.10 Processing sold products; Scope 3.11 Use sold products</t>
  </si>
  <si>
    <t>Scope 3.6 Business travel</t>
  </si>
  <si>
    <t>Scope 3.6 Business travel; Scope 3.7 Employee commuting</t>
  </si>
  <si>
    <t>Scope 3.4 Upstream transport; Scope 3.9 Downstream transport</t>
  </si>
  <si>
    <t>Scope 3.1 Spend-based; 3.15 Investments</t>
  </si>
  <si>
    <t>Scope 3.5 Waste; Scope 3.12 EoL sold products</t>
  </si>
  <si>
    <t>Approche de calcul de l'électricité</t>
  </si>
  <si>
    <t>Berechnungsansatz für den Strom</t>
  </si>
  <si>
    <t>Approccio al calcolo dell'elettricità</t>
  </si>
  <si>
    <t>Sous « Source d’énergie », sélectionnez la source d’énergie (menu déroulant ; si inconnue, sélectionnez la moyenne suisse). Sous « MJ », entrez la consommation annuelle de chaleur finale en MJ.</t>
  </si>
  <si>
    <t>C1.1</t>
  </si>
  <si>
    <t>C1.2</t>
  </si>
  <si>
    <t>C4.1</t>
  </si>
  <si>
    <t>C4.2</t>
  </si>
  <si>
    <t>Treatment, sewage, to wastewater treatment, class 1 {CH} per kg</t>
  </si>
  <si>
    <t xml:space="preserve">aux8 </t>
  </si>
  <si>
    <t>BAFU:MANM 2026-25-06</t>
  </si>
  <si>
    <t>GHG emissions (IPCC 2021) [kg CO2 eq]</t>
  </si>
  <si>
    <t>Biogenic CO2 emissions [kg CO2]</t>
  </si>
  <si>
    <t>Total env. impact (Ecological Scarcity 2021) [UBP]</t>
  </si>
  <si>
    <t>hide until here</t>
  </si>
  <si>
    <t>Net calorific value (MJ/Input Unit)</t>
  </si>
  <si>
    <t>Der Heizwert in Megajoule (MJ) wird automatisch berechnet. Alternativ können Sie den Brennwert direkt in MJ eingeben (rechte Spalte).</t>
  </si>
  <si>
    <t>La puissance calorifique inférieure en mégajoules (MJ) est calculée automatiquement. Sinon, vous pouvez entrer la puissance calorifique directement dans MJ (colonne de droite).</t>
  </si>
  <si>
    <t>Il potere calorifico inferiore in megajoule (MJ) viene calcolato automaticamente. In alternativa, può inserire direttamente il potere calorifico in MJ (colonna destra).</t>
  </si>
  <si>
    <t>v1.4 septembre 2026</t>
  </si>
  <si>
    <t>v1.4 September 2026</t>
  </si>
  <si>
    <t>v1.4 settembre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</si>
</sst>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_ ;_ * \-#,##0_ ;_ * &quot;-&quot;_ ;_ @_ "/>
    <numFmt numFmtId="165" formatCode="_ * #,##0.00_ ;_ * \-#,##0.00_ ;_ * &quot;-&quot;??_ ;_ @_ "/>
    <numFmt numFmtId="166" formatCode="0.0"/>
    <numFmt numFmtId="167" formatCode="_ * #,##0_ ;_ * \-#,##0_ ;_ * &quot;-&quot;??_ ;_ @_ "/>
    <numFmt numFmtId="168" formatCode="_ * #,##0.0_ ;_ * \-#,##0.0_ ;_ * &quot;-&quot;??_ ;_ @_ "/>
  </numFmts>
  <fonts count="75" x14ac:knownFonts="1">
    <font>
      <sz val="11"/>
      <color theme="1"/>
      <name val="Calibri"/>
      <family val="2"/>
      <scheme val="minor"/>
    </font>
    <font>
      <sz val="10"/>
      <color theme="1"/>
      <name val="Arial"/>
      <family val="2"/>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4"/>
      <color theme="0" tint="-4.9989318521683403E-2"/>
      <name val="Arial"/>
      <family val="2"/>
    </font>
    <font>
      <sz val="14"/>
      <color theme="0" tint="-4.9989318521683403E-2"/>
      <name val="Arial"/>
      <family val="2"/>
    </font>
    <font>
      <b/>
      <sz val="9"/>
      <color theme="1"/>
      <name val="Arial"/>
      <family val="2"/>
    </font>
    <font>
      <sz val="11"/>
      <color rgb="FFFF0000"/>
      <name val="Arial"/>
      <family val="2"/>
    </font>
    <font>
      <b/>
      <sz val="24"/>
      <color theme="1"/>
      <name val="Arial"/>
      <family val="2"/>
    </font>
    <font>
      <sz val="14"/>
      <color theme="1"/>
      <name val="Arial"/>
      <family val="2"/>
    </font>
    <font>
      <sz val="11"/>
      <name val="Arial"/>
      <family val="2"/>
    </font>
    <font>
      <b/>
      <sz val="15"/>
      <color theme="1"/>
      <name val="Arial"/>
      <family val="2"/>
    </font>
    <font>
      <i/>
      <sz val="11"/>
      <color theme="0" tint="-4.9989318521683403E-2"/>
      <name val="Arial"/>
      <family val="2"/>
    </font>
    <font>
      <u/>
      <sz val="11"/>
      <color theme="10"/>
      <name val="Arial"/>
      <family val="2"/>
    </font>
    <font>
      <b/>
      <sz val="11"/>
      <name val="Arial"/>
      <family val="2"/>
    </font>
    <font>
      <u/>
      <sz val="11"/>
      <color theme="8" tint="-0.249977111117893"/>
      <name val="Arial"/>
      <family val="2"/>
    </font>
    <font>
      <b/>
      <sz val="11"/>
      <color theme="1"/>
      <name val="Aptos"/>
      <family val="2"/>
    </font>
    <font>
      <sz val="11"/>
      <color theme="1"/>
      <name val="Aptos"/>
      <family val="2"/>
    </font>
    <font>
      <sz val="11"/>
      <name val="Calibri"/>
      <family val="2"/>
      <scheme val="minor"/>
    </font>
    <font>
      <i/>
      <sz val="11"/>
      <color theme="1"/>
      <name val="Aptos"/>
      <family val="2"/>
    </font>
    <font>
      <b/>
      <sz val="14"/>
      <color theme="1"/>
      <name val="Calibri"/>
      <family val="2"/>
      <scheme val="minor"/>
    </font>
    <font>
      <b/>
      <sz val="16"/>
      <color theme="1"/>
      <name val="Calibri"/>
      <family val="2"/>
      <scheme val="minor"/>
    </font>
    <font>
      <sz val="10"/>
      <color theme="1"/>
      <name val="Aptos"/>
      <family val="2"/>
    </font>
    <font>
      <sz val="10"/>
      <color theme="1"/>
      <name val="Arial Narrow"/>
      <family val="2"/>
    </font>
    <font>
      <b/>
      <sz val="10"/>
      <color theme="1"/>
      <name val="Arial Narrow"/>
      <family val="2"/>
    </font>
    <font>
      <b/>
      <sz val="11"/>
      <name val="Calibri"/>
      <family val="2"/>
      <scheme val="minor"/>
    </font>
    <font>
      <b/>
      <sz val="11"/>
      <color theme="1"/>
      <name val="Calibri"/>
      <family val="2"/>
      <scheme val="minor"/>
    </font>
    <font>
      <sz val="10"/>
      <name val="Arial Narrow"/>
      <family val="2"/>
    </font>
    <font>
      <b/>
      <sz val="10"/>
      <name val="Arial Narrow"/>
      <family val="2"/>
    </font>
    <font>
      <sz val="11"/>
      <name val="Aptos"/>
      <family val="2"/>
    </font>
    <font>
      <sz val="11"/>
      <color theme="0" tint="-4.9989318521683403E-2"/>
      <name val="Arial"/>
      <family val="2"/>
    </font>
    <font>
      <sz val="11"/>
      <color theme="0"/>
      <name val="Arial"/>
      <family val="2"/>
    </font>
    <font>
      <i/>
      <sz val="11"/>
      <color theme="1"/>
      <name val="Arial"/>
      <family val="2"/>
    </font>
    <font>
      <b/>
      <sz val="20"/>
      <color theme="1"/>
      <name val="Arial"/>
      <family val="2"/>
    </font>
    <font>
      <sz val="15"/>
      <color theme="1"/>
      <name val="Arial"/>
      <family val="2"/>
    </font>
    <font>
      <i/>
      <sz val="15"/>
      <color theme="0" tint="-4.9989318521683403E-2"/>
      <name val="Arial"/>
      <family val="2"/>
    </font>
    <font>
      <i/>
      <sz val="15"/>
      <color theme="1"/>
      <name val="Arial"/>
      <family val="2"/>
    </font>
    <font>
      <i/>
      <sz val="11"/>
      <color rgb="FFFF0000"/>
      <name val="Arial"/>
      <family val="2"/>
    </font>
    <font>
      <b/>
      <i/>
      <sz val="15"/>
      <color theme="0" tint="-4.9989318521683403E-2"/>
      <name val="Arial"/>
      <family val="2"/>
    </font>
    <font>
      <b/>
      <i/>
      <sz val="15"/>
      <color theme="1"/>
      <name val="Arial"/>
      <family val="2"/>
    </font>
    <font>
      <b/>
      <sz val="12"/>
      <color theme="1"/>
      <name val="Arial"/>
      <family val="2"/>
    </font>
    <font>
      <b/>
      <sz val="15"/>
      <color theme="0" tint="-4.9989318521683403E-2"/>
      <name val="Arial"/>
      <family val="2"/>
    </font>
    <font>
      <sz val="12"/>
      <color theme="1"/>
      <name val="Arial"/>
      <family val="2"/>
    </font>
    <font>
      <sz val="9"/>
      <color theme="1"/>
      <name val="Arial"/>
      <family val="2"/>
    </font>
    <font>
      <sz val="15"/>
      <color theme="0" tint="-4.9989318521683403E-2"/>
      <name val="Arial"/>
      <family val="2"/>
    </font>
    <font>
      <b/>
      <sz val="11"/>
      <color theme="0" tint="-4.9989318521683403E-2"/>
      <name val="Arial"/>
      <family val="2"/>
    </font>
    <font>
      <b/>
      <sz val="12"/>
      <color theme="0" tint="-4.9989318521683403E-2"/>
      <name val="Arial"/>
      <family val="2"/>
    </font>
    <font>
      <sz val="24"/>
      <color theme="1"/>
      <name val="Arial"/>
      <family val="2"/>
    </font>
    <font>
      <u/>
      <sz val="11"/>
      <color theme="1"/>
      <name val="Arial"/>
      <family val="2"/>
    </font>
    <font>
      <vertAlign val="subscript"/>
      <sz val="11"/>
      <color theme="1"/>
      <name val="Arial"/>
      <family val="2"/>
    </font>
    <font>
      <b/>
      <sz val="11"/>
      <color theme="0"/>
      <name val="Arial"/>
      <family val="2"/>
    </font>
    <font>
      <sz val="11"/>
      <color rgb="FFFF0000"/>
      <name val="Aptos"/>
      <family val="2"/>
    </font>
    <font>
      <b/>
      <sz val="14"/>
      <color theme="1" tint="0.34998626667073579"/>
      <name val="Arial"/>
      <family val="2"/>
    </font>
    <font>
      <b/>
      <sz val="11"/>
      <color theme="3"/>
      <name val="Arial"/>
      <family val="2"/>
    </font>
    <font>
      <sz val="15"/>
      <color rgb="FFFF0000"/>
      <name val="Arial"/>
      <family val="2"/>
    </font>
    <font>
      <sz val="11"/>
      <color rgb="FFD6DCE1"/>
      <name val="Arial"/>
      <family val="2"/>
    </font>
    <font>
      <i/>
      <sz val="11"/>
      <name val="Arial"/>
      <family val="2"/>
    </font>
    <font>
      <b/>
      <sz val="11"/>
      <color rgb="FF12385F"/>
      <name val="Arial"/>
      <family val="2"/>
    </font>
    <font>
      <b/>
      <sz val="14"/>
      <color theme="1"/>
      <name val="Arial"/>
      <family val="2"/>
    </font>
    <font>
      <b/>
      <sz val="11"/>
      <color rgb="FF2F4356"/>
      <name val="Arial"/>
      <family val="2"/>
    </font>
    <font>
      <sz val="11"/>
      <color theme="2" tint="-9.9978637043366805E-2"/>
      <name val="Arial"/>
      <family val="2"/>
    </font>
    <font>
      <b/>
      <sz val="15"/>
      <color rgb="FFFF0000"/>
      <name val="Arial"/>
      <family val="2"/>
    </font>
    <font>
      <sz val="8"/>
      <name val="Calibri"/>
      <family val="2"/>
      <scheme val="minor"/>
    </font>
    <font>
      <u/>
      <sz val="11"/>
      <color rgb="FF0070C0"/>
      <name val="Arial"/>
      <family val="2"/>
    </font>
    <font>
      <b/>
      <sz val="14"/>
      <color theme="1"/>
      <name val="Aptos"/>
      <family val="2"/>
    </font>
    <font>
      <b/>
      <sz val="11"/>
      <color rgb="FFFF0000"/>
      <name val="Arial"/>
      <family val="2"/>
    </font>
    <font>
      <sz val="14"/>
      <color theme="0"/>
      <name val="Arial"/>
      <family val="2"/>
    </font>
    <font>
      <sz val="15"/>
      <color theme="0"/>
      <name val="Arial"/>
      <family val="2"/>
    </font>
    <font>
      <sz val="11"/>
      <color theme="1"/>
      <name val="Calibri"/>
      <family val="2"/>
    </font>
    <font>
      <vertAlign val="subscript"/>
      <sz val="11"/>
      <name val="Calibri"/>
      <family val="2"/>
      <scheme val="minor"/>
    </font>
    <font>
      <vertAlign val="subscript"/>
      <sz val="11"/>
      <color theme="1"/>
      <name val="Aptos"/>
      <family val="2"/>
    </font>
    <font>
      <b/>
      <vertAlign val="subscript"/>
      <sz val="11"/>
      <name val="Arial"/>
      <family val="2"/>
    </font>
    <font>
      <sz val="14"/>
      <color theme="0"/>
      <name val="Calibri"/>
      <family val="2"/>
      <scheme val="minor"/>
    </font>
  </fonts>
  <fills count="23">
    <fill>
      <patternFill patternType="none"/>
    </fill>
    <fill>
      <patternFill patternType="gray125"/>
    </fill>
    <fill>
      <patternFill patternType="solid">
        <fgColor rgb="FF2F4356"/>
        <bgColor indexed="64"/>
      </patternFill>
    </fill>
    <fill>
      <patternFill patternType="solid">
        <fgColor rgb="FFE6474E"/>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2CC"/>
        <bgColor indexed="64"/>
      </patternFill>
    </fill>
    <fill>
      <patternFill patternType="solid">
        <fgColor rgb="FFBEF3D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12385F"/>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FF"/>
        <bgColor indexed="64"/>
      </patternFill>
    </fill>
    <fill>
      <patternFill patternType="solid">
        <fgColor theme="1" tint="0.499984740745262"/>
        <bgColor indexed="64"/>
      </patternFill>
    </fill>
    <fill>
      <patternFill patternType="solid">
        <fgColor rgb="FFFFD5D5"/>
        <bgColor indexed="64"/>
      </patternFill>
    </fill>
    <fill>
      <patternFill patternType="solid">
        <fgColor rgb="FF6288AA"/>
        <bgColor indexed="64"/>
      </patternFill>
    </fill>
    <fill>
      <patternFill patternType="solid">
        <fgColor rgb="FF9EB6CA"/>
        <bgColor indexed="64"/>
      </patternFill>
    </fill>
  </fills>
  <borders count="91">
    <border>
      <left/>
      <right/>
      <top/>
      <bottom/>
      <diagonal/>
    </border>
    <border>
      <left style="thin">
        <color rgb="FFD6DCE1"/>
      </left>
      <right/>
      <top/>
      <bottom/>
      <diagonal/>
    </border>
    <border>
      <left/>
      <right/>
      <top/>
      <bottom style="thin">
        <color theme="6" tint="0.39997558519241921"/>
      </bottom>
      <diagonal/>
    </border>
    <border>
      <left/>
      <right/>
      <top style="thin">
        <color theme="6" tint="0.39997558519241921"/>
      </top>
      <bottom style="thin">
        <color theme="6" tint="0.39997558519241921"/>
      </bottom>
      <diagonal/>
    </border>
    <border>
      <left/>
      <right/>
      <top style="thin">
        <color theme="6" tint="0.39997558519241921"/>
      </top>
      <bottom/>
      <diagonal/>
    </border>
    <border>
      <left style="thin">
        <color rgb="FF916D20"/>
      </left>
      <right style="thin">
        <color rgb="FF916D20"/>
      </right>
      <top style="thin">
        <color rgb="FF916D20"/>
      </top>
      <bottom style="thin">
        <color rgb="FF916D20"/>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theme="1"/>
      </left>
      <right/>
      <top style="thin">
        <color theme="0" tint="-0.14996795556505021"/>
      </top>
      <bottom/>
      <diagonal/>
    </border>
    <border>
      <left/>
      <right/>
      <top style="thin">
        <color theme="0" tint="-0.14996795556505021"/>
      </top>
      <bottom/>
      <diagonal/>
    </border>
    <border>
      <left/>
      <right style="thin">
        <color indexed="64"/>
      </right>
      <top style="thin">
        <color theme="0" tint="-0.14996795556505021"/>
      </top>
      <bottom/>
      <diagonal/>
    </border>
    <border>
      <left style="thin">
        <color auto="1"/>
      </left>
      <right/>
      <top/>
      <bottom style="thin">
        <color auto="1"/>
      </bottom>
      <diagonal/>
    </border>
    <border>
      <left/>
      <right style="thin">
        <color indexed="64"/>
      </right>
      <top/>
      <bottom style="thin">
        <color indexed="64"/>
      </bottom>
      <diagonal/>
    </border>
    <border>
      <left style="thin">
        <color theme="1"/>
      </left>
      <right/>
      <top/>
      <bottom/>
      <diagonal/>
    </border>
    <border>
      <left style="thin">
        <color theme="1"/>
      </left>
      <right/>
      <top/>
      <bottom style="thin">
        <color theme="0" tint="-0.14999847407452621"/>
      </bottom>
      <diagonal/>
    </border>
    <border>
      <left/>
      <right/>
      <top/>
      <bottom style="thin">
        <color theme="0" tint="-0.14999847407452621"/>
      </bottom>
      <diagonal/>
    </border>
    <border>
      <left/>
      <right style="thin">
        <color indexed="64"/>
      </right>
      <top/>
      <bottom style="thin">
        <color theme="0" tint="-0.14999847407452621"/>
      </bottom>
      <diagonal/>
    </border>
    <border>
      <left style="thin">
        <color indexed="64"/>
      </left>
      <right/>
      <top/>
      <bottom style="thin">
        <color theme="0" tint="-0.14999847407452621"/>
      </bottom>
      <diagonal/>
    </border>
    <border>
      <left style="thin">
        <color indexed="64"/>
      </left>
      <right style="thin">
        <color indexed="64"/>
      </right>
      <top style="thin">
        <color indexed="64"/>
      </top>
      <bottom style="thin">
        <color indexed="64"/>
      </bottom>
      <diagonal/>
    </border>
    <border>
      <left/>
      <right style="thick">
        <color theme="0"/>
      </right>
      <top/>
      <bottom/>
      <diagonal/>
    </border>
    <border>
      <left style="thick">
        <color theme="0"/>
      </left>
      <right style="thick">
        <color theme="0"/>
      </right>
      <top/>
      <bottom/>
      <diagonal/>
    </border>
    <border>
      <left style="thick">
        <color theme="0"/>
      </left>
      <right style="thick">
        <color theme="0"/>
      </right>
      <top style="thick">
        <color theme="0"/>
      </top>
      <bottom style="thick">
        <color theme="0"/>
      </bottom>
      <diagonal/>
    </border>
    <border>
      <left style="medium">
        <color theme="0"/>
      </left>
      <right style="medium">
        <color theme="0"/>
      </right>
      <top style="medium">
        <color theme="0"/>
      </top>
      <bottom style="medium">
        <color theme="0"/>
      </bottom>
      <diagonal/>
    </border>
    <border>
      <left style="thick">
        <color theme="0"/>
      </left>
      <right style="thick">
        <color theme="0"/>
      </right>
      <top/>
      <bottom style="thick">
        <color theme="0"/>
      </bottom>
      <diagonal/>
    </border>
    <border>
      <left/>
      <right/>
      <top style="thin">
        <color theme="9" tint="-0.499984740745262"/>
      </top>
      <bottom style="thin">
        <color theme="9" tint="-0.499984740745262"/>
      </bottom>
      <diagonal/>
    </border>
    <border>
      <left/>
      <right/>
      <top style="thin">
        <color theme="0" tint="-0.499984740745262"/>
      </top>
      <bottom style="thin">
        <color theme="0" tint="-0.499984740745262"/>
      </bottom>
      <diagonal/>
    </border>
    <border>
      <left/>
      <right/>
      <top style="thin">
        <color theme="1"/>
      </top>
      <bottom style="thin">
        <color theme="1"/>
      </bottom>
      <diagonal/>
    </border>
    <border>
      <left/>
      <right/>
      <top/>
      <bottom style="thin">
        <color theme="9" tint="-0.499984740745262"/>
      </bottom>
      <diagonal/>
    </border>
    <border>
      <left/>
      <right/>
      <top style="thin">
        <color theme="9" tint="-0.499984740745262"/>
      </top>
      <bottom/>
      <diagonal/>
    </border>
    <border>
      <left style="thin">
        <color auto="1"/>
      </left>
      <right/>
      <top/>
      <bottom style="thin">
        <color theme="9" tint="-0.499984740745262"/>
      </bottom>
      <diagonal/>
    </border>
    <border>
      <left/>
      <right/>
      <top/>
      <bottom style="thin">
        <color theme="0" tint="-0.499984740745262"/>
      </bottom>
      <diagonal/>
    </border>
    <border>
      <left/>
      <right/>
      <top style="thin">
        <color theme="0" tint="-0.499984740745262"/>
      </top>
      <bottom/>
      <diagonal/>
    </border>
    <border>
      <left/>
      <right/>
      <top style="thin">
        <color indexed="64"/>
      </top>
      <bottom style="thin">
        <color theme="9" tint="-0.499984740745262"/>
      </bottom>
      <diagonal/>
    </border>
    <border>
      <left/>
      <right/>
      <top style="thin">
        <color theme="9" tint="-0.499984740745262"/>
      </top>
      <bottom style="thin">
        <color auto="1"/>
      </bottom>
      <diagonal/>
    </border>
    <border>
      <left/>
      <right/>
      <top style="thin">
        <color auto="1"/>
      </top>
      <bottom style="thin">
        <color auto="1"/>
      </bottom>
      <diagonal/>
    </border>
    <border>
      <left style="thin">
        <color indexed="64"/>
      </left>
      <right/>
      <top style="thin">
        <color auto="1"/>
      </top>
      <bottom style="thin">
        <color theme="7" tint="-0.24994659260841701"/>
      </bottom>
      <diagonal/>
    </border>
    <border>
      <left/>
      <right/>
      <top style="thin">
        <color auto="1"/>
      </top>
      <bottom style="thin">
        <color theme="7" tint="-0.24994659260841701"/>
      </bottom>
      <diagonal/>
    </border>
    <border>
      <left/>
      <right style="thin">
        <color indexed="64"/>
      </right>
      <top style="thin">
        <color auto="1"/>
      </top>
      <bottom style="thin">
        <color theme="7" tint="-0.24994659260841701"/>
      </bottom>
      <diagonal/>
    </border>
    <border>
      <left style="thin">
        <color indexed="64"/>
      </left>
      <right/>
      <top style="thin">
        <color theme="7" tint="-0.24994659260841701"/>
      </top>
      <bottom style="thin">
        <color theme="7" tint="-0.24994659260841701"/>
      </bottom>
      <diagonal/>
    </border>
    <border>
      <left/>
      <right/>
      <top style="thin">
        <color theme="7" tint="-0.24994659260841701"/>
      </top>
      <bottom style="thin">
        <color theme="7" tint="-0.24994659260841701"/>
      </bottom>
      <diagonal/>
    </border>
    <border>
      <left/>
      <right style="thin">
        <color indexed="64"/>
      </right>
      <top style="thin">
        <color theme="7" tint="-0.24994659260841701"/>
      </top>
      <bottom style="thin">
        <color theme="7" tint="-0.24994659260841701"/>
      </bottom>
      <diagonal/>
    </border>
    <border>
      <left style="thin">
        <color indexed="64"/>
      </left>
      <right/>
      <top style="thin">
        <color theme="7" tint="-0.24994659260841701"/>
      </top>
      <bottom style="thin">
        <color indexed="64"/>
      </bottom>
      <diagonal/>
    </border>
    <border>
      <left/>
      <right/>
      <top style="thin">
        <color theme="7" tint="-0.24994659260841701"/>
      </top>
      <bottom style="thin">
        <color indexed="64"/>
      </bottom>
      <diagonal/>
    </border>
    <border>
      <left/>
      <right style="thin">
        <color indexed="64"/>
      </right>
      <top style="thin">
        <color theme="7" tint="-0.24994659260841701"/>
      </top>
      <bottom style="thin">
        <color indexed="64"/>
      </bottom>
      <diagonal/>
    </border>
    <border>
      <left style="thin">
        <color indexed="64"/>
      </left>
      <right/>
      <top style="thin">
        <color auto="1"/>
      </top>
      <bottom style="thin">
        <color theme="0" tint="-0.24994659260841701"/>
      </bottom>
      <diagonal/>
    </border>
    <border>
      <left/>
      <right/>
      <top style="thin">
        <color auto="1"/>
      </top>
      <bottom style="thin">
        <color theme="0" tint="-0.24994659260841701"/>
      </bottom>
      <diagonal/>
    </border>
    <border>
      <left/>
      <right style="thin">
        <color indexed="64"/>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right style="thin">
        <color auto="1"/>
      </right>
      <top style="thin">
        <color theme="0" tint="-0.499984740745262"/>
      </top>
      <bottom style="thin">
        <color theme="0" tint="-0.499984740745262"/>
      </bottom>
      <diagonal/>
    </border>
    <border>
      <left/>
      <right/>
      <top/>
      <bottom style="thin">
        <color theme="1"/>
      </bottom>
      <diagonal/>
    </border>
    <border>
      <left/>
      <right/>
      <top style="thin">
        <color theme="1"/>
      </top>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style="thick">
        <color theme="0"/>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2"/>
      </left>
      <right style="thin">
        <color theme="2"/>
      </right>
      <top style="thin">
        <color indexed="64"/>
      </top>
      <bottom/>
      <diagonal/>
    </border>
    <border>
      <left style="thin">
        <color theme="2"/>
      </left>
      <right style="thin">
        <color theme="2"/>
      </right>
      <top/>
      <bottom style="thin">
        <color auto="1"/>
      </bottom>
      <diagonal/>
    </border>
    <border>
      <left style="thin">
        <color theme="2"/>
      </left>
      <right style="thin">
        <color theme="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theme="0" tint="-0.499984740745262"/>
      </top>
      <bottom/>
      <diagonal/>
    </border>
    <border>
      <left/>
      <right style="thin">
        <color auto="1"/>
      </right>
      <top style="thin">
        <color theme="0" tint="-0.499984740745262"/>
      </top>
      <bottom/>
      <diagonal/>
    </border>
  </borders>
  <cellStyleXfs count="5">
    <xf numFmtId="0" fontId="0" fillId="0" borderId="0"/>
    <xf numFmtId="165"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1" fillId="0" borderId="0"/>
  </cellStyleXfs>
  <cellXfs count="769">
    <xf numFmtId="0" fontId="0" fillId="0" borderId="0" xfId="0"/>
    <xf numFmtId="0" fontId="4" fillId="2" borderId="0" xfId="0" applyFont="1" applyFill="1"/>
    <xf numFmtId="0" fontId="5" fillId="2" borderId="0" xfId="0" applyFont="1" applyFill="1"/>
    <xf numFmtId="0" fontId="6" fillId="2"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horizontal="right" vertical="center"/>
    </xf>
    <xf numFmtId="0" fontId="7" fillId="2" borderId="0" xfId="3" applyFont="1" applyFill="1" applyBorder="1" applyAlignment="1">
      <alignment horizontal="right" vertical="center" indent="1"/>
    </xf>
    <xf numFmtId="0" fontId="5" fillId="2" borderId="0" xfId="0" applyFont="1" applyFill="1" applyAlignment="1">
      <alignment horizontal="right"/>
    </xf>
    <xf numFmtId="0" fontId="4" fillId="2" borderId="0" xfId="0" applyFont="1" applyFill="1" applyAlignment="1">
      <alignment horizontal="right"/>
    </xf>
    <xf numFmtId="0" fontId="4" fillId="3" borderId="0" xfId="0" applyFont="1" applyFill="1"/>
    <xf numFmtId="0" fontId="4" fillId="4" borderId="0" xfId="0" applyFont="1" applyFill="1"/>
    <xf numFmtId="0" fontId="4" fillId="4" borderId="1" xfId="0" applyFont="1" applyFill="1" applyBorder="1"/>
    <xf numFmtId="0" fontId="8" fillId="4" borderId="0" xfId="0" applyFont="1" applyFill="1" applyAlignment="1">
      <alignment vertical="center"/>
    </xf>
    <xf numFmtId="0" fontId="9" fillId="4" borderId="0" xfId="0" applyFont="1" applyFill="1"/>
    <xf numFmtId="0" fontId="10" fillId="4" borderId="0" xfId="0" applyFont="1" applyFill="1"/>
    <xf numFmtId="0" fontId="11" fillId="4" borderId="0" xfId="0" applyFont="1" applyFill="1"/>
    <xf numFmtId="0" fontId="4" fillId="4" borderId="0" xfId="0" applyFont="1" applyFill="1" applyAlignment="1">
      <alignment horizontal="left" vertical="top" wrapText="1"/>
    </xf>
    <xf numFmtId="0" fontId="4" fillId="4" borderId="0" xfId="0" applyFont="1" applyFill="1" applyAlignment="1">
      <alignment vertical="center"/>
    </xf>
    <xf numFmtId="0" fontId="13" fillId="4" borderId="0" xfId="0" applyFont="1" applyFill="1" applyAlignment="1">
      <alignment vertical="center"/>
    </xf>
    <xf numFmtId="0" fontId="4" fillId="4" borderId="0" xfId="0" applyFont="1" applyFill="1" applyAlignment="1">
      <alignment horizontal="left" vertical="top"/>
    </xf>
    <xf numFmtId="0" fontId="4" fillId="4" borderId="0" xfId="0" applyFont="1" applyFill="1" applyAlignment="1">
      <alignment vertical="top"/>
    </xf>
    <xf numFmtId="0" fontId="4" fillId="4" borderId="0" xfId="0" applyFont="1" applyFill="1" applyAlignment="1">
      <alignment vertical="top" wrapText="1"/>
    </xf>
    <xf numFmtId="0" fontId="14" fillId="4" borderId="0" xfId="0" applyFont="1" applyFill="1"/>
    <xf numFmtId="0" fontId="4" fillId="4" borderId="0" xfId="0" applyFont="1" applyFill="1" applyAlignment="1">
      <alignment horizontal="left"/>
    </xf>
    <xf numFmtId="0" fontId="5" fillId="4" borderId="0" xfId="0" applyFont="1" applyFill="1"/>
    <xf numFmtId="0" fontId="4" fillId="4" borderId="0" xfId="0" applyFont="1" applyFill="1" applyAlignment="1">
      <alignment horizontal="left" vertical="center"/>
    </xf>
    <xf numFmtId="0" fontId="15" fillId="4" borderId="0" xfId="3" applyFont="1" applyFill="1" applyBorder="1" applyAlignment="1">
      <alignment vertical="top"/>
    </xf>
    <xf numFmtId="0" fontId="17" fillId="4" borderId="0" xfId="0" applyFont="1" applyFill="1" applyAlignment="1">
      <alignment vertical="top"/>
    </xf>
    <xf numFmtId="0" fontId="18" fillId="4" borderId="0" xfId="0" applyFont="1" applyFill="1"/>
    <xf numFmtId="0" fontId="19" fillId="0" borderId="0" xfId="0" applyFont="1"/>
    <xf numFmtId="0" fontId="19" fillId="4" borderId="0" xfId="0" applyFont="1" applyFill="1"/>
    <xf numFmtId="0" fontId="18" fillId="4" borderId="0" xfId="0" applyFont="1" applyFill="1" applyAlignment="1">
      <alignment horizontal="left"/>
    </xf>
    <xf numFmtId="0" fontId="20" fillId="0" borderId="0" xfId="0" applyFont="1"/>
    <xf numFmtId="2" fontId="19" fillId="4" borderId="0" xfId="0" applyNumberFormat="1" applyFont="1" applyFill="1" applyAlignment="1">
      <alignment horizontal="left"/>
    </xf>
    <xf numFmtId="0" fontId="18" fillId="0" borderId="0" xfId="0" applyFont="1"/>
    <xf numFmtId="0" fontId="21" fillId="4" borderId="0" xfId="0" applyFont="1" applyFill="1"/>
    <xf numFmtId="0" fontId="0" fillId="4" borderId="0" xfId="0" applyFill="1"/>
    <xf numFmtId="0" fontId="22" fillId="4" borderId="0" xfId="0" applyFont="1" applyFill="1"/>
    <xf numFmtId="0" fontId="23" fillId="4" borderId="0" xfId="0" applyFont="1" applyFill="1"/>
    <xf numFmtId="0" fontId="22" fillId="0" borderId="0" xfId="0" applyFont="1" applyAlignment="1">
      <alignment horizontal="center" wrapText="1"/>
    </xf>
    <xf numFmtId="0" fontId="19" fillId="4" borderId="0" xfId="0" quotePrefix="1" applyFont="1" applyFill="1"/>
    <xf numFmtId="0" fontId="20" fillId="0" borderId="0" xfId="0" applyFont="1" applyAlignment="1">
      <alignment horizontal="left"/>
    </xf>
    <xf numFmtId="0" fontId="24" fillId="4" borderId="0" xfId="0" applyFont="1" applyFill="1" applyAlignment="1">
      <alignment vertical="center"/>
    </xf>
    <xf numFmtId="0" fontId="24" fillId="4" borderId="0" xfId="0" applyFont="1" applyFill="1"/>
    <xf numFmtId="0" fontId="25" fillId="4" borderId="0" xfId="0" applyFont="1" applyFill="1" applyAlignment="1">
      <alignment vertical="center"/>
    </xf>
    <xf numFmtId="0" fontId="20" fillId="0" borderId="0" xfId="0" applyFont="1" applyAlignment="1">
      <alignment wrapText="1"/>
    </xf>
    <xf numFmtId="0" fontId="19" fillId="4" borderId="0" xfId="0" applyFont="1" applyFill="1" applyAlignment="1">
      <alignment wrapText="1"/>
    </xf>
    <xf numFmtId="0" fontId="26" fillId="4" borderId="0" xfId="4" applyFont="1" applyFill="1" applyAlignment="1">
      <alignment vertical="center"/>
    </xf>
    <xf numFmtId="0" fontId="25" fillId="4" borderId="0" xfId="4" applyFont="1" applyFill="1" applyAlignment="1">
      <alignment vertical="center"/>
    </xf>
    <xf numFmtId="0" fontId="27" fillId="0" borderId="2" xfId="0" applyFont="1" applyBorder="1" applyAlignment="1">
      <alignment wrapText="1"/>
    </xf>
    <xf numFmtId="0" fontId="28" fillId="0" borderId="2" xfId="0" applyFont="1" applyBorder="1"/>
    <xf numFmtId="0" fontId="28" fillId="4" borderId="0" xfId="0" applyFont="1" applyFill="1"/>
    <xf numFmtId="0" fontId="29" fillId="4" borderId="0" xfId="4" applyFont="1" applyFill="1" applyAlignment="1">
      <alignment vertical="center"/>
    </xf>
    <xf numFmtId="0" fontId="30" fillId="4" borderId="0" xfId="4" applyFont="1" applyFill="1" applyAlignment="1">
      <alignment vertical="center"/>
    </xf>
    <xf numFmtId="0" fontId="19" fillId="0" borderId="0" xfId="0" quotePrefix="1" applyFont="1"/>
    <xf numFmtId="0" fontId="19" fillId="0" borderId="0" xfId="0" applyFont="1" applyAlignment="1">
      <alignment horizontal="center"/>
    </xf>
    <xf numFmtId="0" fontId="31" fillId="0" borderId="0" xfId="0" applyFont="1"/>
    <xf numFmtId="167" fontId="31" fillId="0" borderId="0" xfId="1" applyNumberFormat="1" applyFont="1" applyFill="1"/>
    <xf numFmtId="167" fontId="19" fillId="0" borderId="0" xfId="0" applyNumberFormat="1" applyFont="1"/>
    <xf numFmtId="0" fontId="9" fillId="2" borderId="0" xfId="0" applyFont="1" applyFill="1"/>
    <xf numFmtId="0" fontId="4" fillId="2" borderId="0" xfId="0" applyFont="1" applyFill="1" applyAlignment="1">
      <alignment wrapText="1"/>
    </xf>
    <xf numFmtId="0" fontId="32" fillId="2" borderId="0" xfId="0" applyFont="1" applyFill="1"/>
    <xf numFmtId="0" fontId="5" fillId="2" borderId="0" xfId="0" applyFont="1" applyFill="1" applyAlignment="1">
      <alignment horizontal="right" vertical="center"/>
    </xf>
    <xf numFmtId="0" fontId="4" fillId="2" borderId="0" xfId="0" applyFont="1" applyFill="1" applyAlignment="1">
      <alignment horizontal="center" vertical="center"/>
    </xf>
    <xf numFmtId="0" fontId="4" fillId="6" borderId="0" xfId="0" applyFont="1" applyFill="1"/>
    <xf numFmtId="0" fontId="4" fillId="6" borderId="0" xfId="0" applyFont="1" applyFill="1" applyAlignment="1">
      <alignment wrapText="1"/>
    </xf>
    <xf numFmtId="0" fontId="5" fillId="6" borderId="0" xfId="0" applyFont="1" applyFill="1" applyAlignment="1">
      <alignment horizontal="center"/>
    </xf>
    <xf numFmtId="0" fontId="9" fillId="6" borderId="0" xfId="0" applyFont="1" applyFill="1"/>
    <xf numFmtId="0" fontId="14" fillId="6" borderId="0" xfId="0" applyFont="1" applyFill="1"/>
    <xf numFmtId="0" fontId="34" fillId="6" borderId="0" xfId="0" applyFont="1" applyFill="1"/>
    <xf numFmtId="0" fontId="4" fillId="4" borderId="0" xfId="0" applyFont="1" applyFill="1" applyAlignment="1">
      <alignment wrapText="1"/>
    </xf>
    <xf numFmtId="0" fontId="5" fillId="4" borderId="0" xfId="0" applyFont="1" applyFill="1" applyAlignment="1">
      <alignment horizontal="center"/>
    </xf>
    <xf numFmtId="0" fontId="34" fillId="4" borderId="0" xfId="0" applyFont="1" applyFill="1"/>
    <xf numFmtId="0" fontId="35" fillId="4" borderId="0" xfId="0" applyFont="1" applyFill="1"/>
    <xf numFmtId="0" fontId="36" fillId="4" borderId="0" xfId="0" applyFont="1" applyFill="1" applyAlignment="1">
      <alignment vertical="center"/>
    </xf>
    <xf numFmtId="0" fontId="36" fillId="4" borderId="0" xfId="0" applyFont="1" applyFill="1" applyAlignment="1">
      <alignment vertical="center" wrapText="1"/>
    </xf>
    <xf numFmtId="0" fontId="13" fillId="4" borderId="0" xfId="0" applyFont="1" applyFill="1" applyAlignment="1">
      <alignment horizontal="center" vertical="center"/>
    </xf>
    <xf numFmtId="0" fontId="9" fillId="4" borderId="0" xfId="0" applyFont="1" applyFill="1" applyAlignment="1">
      <alignment vertical="center"/>
    </xf>
    <xf numFmtId="0" fontId="37" fillId="4" borderId="0" xfId="0" applyFont="1" applyFill="1" applyAlignment="1">
      <alignment vertical="center" wrapText="1"/>
    </xf>
    <xf numFmtId="0" fontId="38" fillId="4" borderId="0" xfId="0" applyFont="1" applyFill="1" applyAlignment="1">
      <alignment vertical="center"/>
    </xf>
    <xf numFmtId="0" fontId="39" fillId="4" borderId="0" xfId="0" applyFont="1" applyFill="1"/>
    <xf numFmtId="0" fontId="4" fillId="7" borderId="5" xfId="0" applyFont="1" applyFill="1" applyBorder="1" applyAlignment="1">
      <alignment horizontal="left" vertical="top" wrapText="1"/>
    </xf>
    <xf numFmtId="0" fontId="4" fillId="4" borderId="0" xfId="0" applyFont="1" applyFill="1" applyAlignment="1">
      <alignment horizontal="left" vertical="top" wrapText="1" indent="1"/>
    </xf>
    <xf numFmtId="0" fontId="4" fillId="8" borderId="0" xfId="0" applyFont="1" applyFill="1" applyAlignment="1">
      <alignment horizontal="left" vertical="top" wrapText="1"/>
    </xf>
    <xf numFmtId="0" fontId="37" fillId="4" borderId="0" xfId="0" applyFont="1" applyFill="1" applyAlignment="1">
      <alignment vertical="center"/>
    </xf>
    <xf numFmtId="0" fontId="13" fillId="4" borderId="0" xfId="0" applyFont="1" applyFill="1" applyAlignment="1">
      <alignment vertical="center" wrapText="1"/>
    </xf>
    <xf numFmtId="0" fontId="40" fillId="4" borderId="0" xfId="0" applyFont="1" applyFill="1" applyAlignment="1">
      <alignment vertical="center"/>
    </xf>
    <xf numFmtId="0" fontId="41" fillId="4" borderId="0" xfId="0" applyFont="1" applyFill="1" applyAlignment="1">
      <alignment vertical="center"/>
    </xf>
    <xf numFmtId="0" fontId="42" fillId="4" borderId="0" xfId="0" applyFont="1" applyFill="1"/>
    <xf numFmtId="0" fontId="42" fillId="4" borderId="0" xfId="0" applyFont="1" applyFill="1" applyAlignment="1">
      <alignment horizontal="center"/>
    </xf>
    <xf numFmtId="0" fontId="4" fillId="4" borderId="0" xfId="0" applyFont="1" applyFill="1" applyAlignment="1">
      <alignment vertical="center" wrapText="1"/>
    </xf>
    <xf numFmtId="0" fontId="5" fillId="9" borderId="0" xfId="0" applyFont="1" applyFill="1"/>
    <xf numFmtId="0" fontId="4" fillId="9" borderId="0" xfId="0" applyFont="1" applyFill="1"/>
    <xf numFmtId="0" fontId="4" fillId="9" borderId="0" xfId="0" applyFont="1" applyFill="1" applyAlignment="1">
      <alignment wrapText="1"/>
    </xf>
    <xf numFmtId="0" fontId="5" fillId="9" borderId="0" xfId="0" applyFont="1" applyFill="1" applyAlignment="1">
      <alignment horizontal="center"/>
    </xf>
    <xf numFmtId="0" fontId="9" fillId="9" borderId="0" xfId="0" applyFont="1" applyFill="1"/>
    <xf numFmtId="0" fontId="14" fillId="9" borderId="0" xfId="0" applyFont="1" applyFill="1"/>
    <xf numFmtId="0" fontId="34" fillId="9" borderId="0" xfId="0" applyFont="1" applyFill="1"/>
    <xf numFmtId="0" fontId="36" fillId="9" borderId="0" xfId="0" applyFont="1" applyFill="1" applyAlignment="1">
      <alignment vertical="center"/>
    </xf>
    <xf numFmtId="0" fontId="13" fillId="9" borderId="6" xfId="0" applyFont="1" applyFill="1" applyBorder="1" applyAlignment="1">
      <alignment vertical="center"/>
    </xf>
    <xf numFmtId="0" fontId="43" fillId="9" borderId="0" xfId="0" applyFont="1" applyFill="1" applyAlignment="1">
      <alignment vertical="center" wrapText="1"/>
    </xf>
    <xf numFmtId="0" fontId="13" fillId="9" borderId="0" xfId="0" applyFont="1" applyFill="1" applyAlignment="1">
      <alignment vertical="center" wrapText="1"/>
    </xf>
    <xf numFmtId="0" fontId="44" fillId="4" borderId="7" xfId="0" applyFont="1" applyFill="1" applyBorder="1" applyAlignment="1">
      <alignment vertical="center"/>
    </xf>
    <xf numFmtId="0" fontId="44" fillId="4" borderId="8" xfId="0" applyFont="1" applyFill="1" applyBorder="1" applyAlignment="1">
      <alignment vertical="center"/>
    </xf>
    <xf numFmtId="0" fontId="42" fillId="4" borderId="8" xfId="0" applyFont="1" applyFill="1" applyBorder="1" applyAlignment="1">
      <alignment vertical="center" wrapText="1"/>
    </xf>
    <xf numFmtId="0" fontId="5" fillId="4" borderId="8" xfId="0" applyFont="1" applyFill="1" applyBorder="1" applyAlignment="1">
      <alignment horizontal="center"/>
    </xf>
    <xf numFmtId="0" fontId="4" fillId="4" borderId="9" xfId="0" applyFont="1" applyFill="1" applyBorder="1"/>
    <xf numFmtId="0" fontId="32" fillId="9" borderId="0" xfId="0" applyFont="1" applyFill="1"/>
    <xf numFmtId="0" fontId="4" fillId="4" borderId="11" xfId="0" applyFont="1" applyFill="1" applyBorder="1"/>
    <xf numFmtId="0" fontId="4" fillId="4" borderId="10" xfId="0" applyFont="1" applyFill="1" applyBorder="1" applyAlignment="1">
      <alignment vertical="center"/>
    </xf>
    <xf numFmtId="0" fontId="1" fillId="4" borderId="0" xfId="0" applyFont="1" applyFill="1" applyAlignment="1">
      <alignment vertical="center" wrapText="1"/>
    </xf>
    <xf numFmtId="0" fontId="4" fillId="4" borderId="12" xfId="0" applyFont="1" applyFill="1" applyBorder="1" applyAlignment="1">
      <alignment horizontal="left" vertical="center" wrapText="1" indent="2"/>
    </xf>
    <xf numFmtId="0" fontId="4" fillId="4" borderId="13" xfId="0" applyFont="1" applyFill="1" applyBorder="1" applyAlignment="1">
      <alignment horizontal="left" vertical="center" wrapText="1" indent="2"/>
    </xf>
    <xf numFmtId="0" fontId="5" fillId="4" borderId="13" xfId="0" quotePrefix="1" applyFont="1" applyFill="1" applyBorder="1" applyAlignment="1">
      <alignment horizontal="center" vertical="center" wrapText="1"/>
    </xf>
    <xf numFmtId="0" fontId="4" fillId="4" borderId="14" xfId="0" applyFont="1" applyFill="1" applyBorder="1"/>
    <xf numFmtId="0" fontId="4" fillId="4" borderId="0" xfId="0" applyFont="1" applyFill="1" applyAlignment="1">
      <alignment horizontal="left" vertical="center" wrapText="1" indent="2"/>
    </xf>
    <xf numFmtId="0" fontId="4" fillId="4" borderId="15" xfId="0" applyFont="1" applyFill="1" applyBorder="1" applyAlignment="1">
      <alignment vertical="center"/>
    </xf>
    <xf numFmtId="0" fontId="4" fillId="4" borderId="6" xfId="0" applyFont="1" applyFill="1" applyBorder="1" applyAlignment="1">
      <alignment vertical="center"/>
    </xf>
    <xf numFmtId="0" fontId="1" fillId="4" borderId="6" xfId="0" applyFont="1" applyFill="1" applyBorder="1" applyAlignment="1">
      <alignment vertical="center" wrapText="1"/>
    </xf>
    <xf numFmtId="0" fontId="5" fillId="4" borderId="6" xfId="0" applyFont="1" applyFill="1" applyBorder="1" applyAlignment="1">
      <alignment horizontal="center"/>
    </xf>
    <xf numFmtId="0" fontId="4" fillId="4" borderId="16" xfId="0" applyFont="1" applyFill="1" applyBorder="1"/>
    <xf numFmtId="166" fontId="45" fillId="9" borderId="0" xfId="0" applyNumberFormat="1" applyFont="1" applyFill="1" applyAlignment="1">
      <alignment horizontal="left"/>
    </xf>
    <xf numFmtId="0" fontId="42" fillId="9" borderId="0" xfId="0" applyFont="1" applyFill="1" applyAlignment="1">
      <alignment horizontal="center" vertical="center" wrapText="1"/>
    </xf>
    <xf numFmtId="0" fontId="42" fillId="9" borderId="0" xfId="0" quotePrefix="1" applyFont="1" applyFill="1" applyAlignment="1">
      <alignment horizontal="center" vertical="center" wrapText="1"/>
    </xf>
    <xf numFmtId="0" fontId="14" fillId="9" borderId="0" xfId="0" applyFont="1" applyFill="1" applyAlignment="1">
      <alignment wrapText="1"/>
    </xf>
    <xf numFmtId="0" fontId="36" fillId="9" borderId="0" xfId="0" applyFont="1" applyFill="1" applyAlignment="1">
      <alignment horizontal="left" vertical="center"/>
    </xf>
    <xf numFmtId="0" fontId="46" fillId="9" borderId="0" xfId="0" applyFont="1" applyFill="1" applyAlignment="1">
      <alignment horizontal="left" vertical="center"/>
    </xf>
    <xf numFmtId="0" fontId="42" fillId="4" borderId="7" xfId="0" applyFont="1" applyFill="1" applyBorder="1" applyAlignment="1">
      <alignment horizontal="left" vertical="center" wrapText="1" indent="2"/>
    </xf>
    <xf numFmtId="0" fontId="42" fillId="4" borderId="8" xfId="0" applyFont="1" applyFill="1" applyBorder="1" applyAlignment="1">
      <alignment horizontal="left" vertical="center" wrapText="1" indent="2"/>
    </xf>
    <xf numFmtId="0" fontId="4" fillId="4" borderId="8" xfId="0" applyFont="1" applyFill="1" applyBorder="1"/>
    <xf numFmtId="0" fontId="4" fillId="4" borderId="17" xfId="0" applyFont="1" applyFill="1" applyBorder="1" applyAlignment="1">
      <alignment horizontal="left" vertical="center" wrapText="1" indent="2"/>
    </xf>
    <xf numFmtId="0" fontId="5" fillId="4" borderId="0" xfId="0" quotePrefix="1" applyFont="1" applyFill="1" applyAlignment="1">
      <alignment horizontal="center" vertical="center" wrapText="1"/>
    </xf>
    <xf numFmtId="0" fontId="4" fillId="4" borderId="18" xfId="0" applyFont="1" applyFill="1" applyBorder="1" applyAlignment="1">
      <alignment horizontal="left" vertical="center" wrapText="1" indent="2"/>
    </xf>
    <xf numFmtId="0" fontId="4" fillId="4" borderId="19" xfId="0" applyFont="1" applyFill="1" applyBorder="1" applyAlignment="1">
      <alignment horizontal="left" vertical="center" wrapText="1" indent="2"/>
    </xf>
    <xf numFmtId="0" fontId="5" fillId="4" borderId="19" xfId="0" quotePrefix="1" applyFont="1" applyFill="1" applyBorder="1" applyAlignment="1">
      <alignment horizontal="center" vertical="center" wrapText="1"/>
    </xf>
    <xf numFmtId="0" fontId="4" fillId="4" borderId="20" xfId="0" applyFont="1" applyFill="1" applyBorder="1"/>
    <xf numFmtId="0" fontId="42" fillId="4" borderId="15" xfId="0" applyFont="1" applyFill="1" applyBorder="1" applyAlignment="1">
      <alignment horizontal="center" vertical="center" wrapText="1"/>
    </xf>
    <xf numFmtId="0" fontId="42" fillId="4" borderId="6" xfId="0" applyFont="1" applyFill="1" applyBorder="1" applyAlignment="1">
      <alignment horizontal="center" vertical="center" wrapText="1"/>
    </xf>
    <xf numFmtId="0" fontId="42" fillId="4" borderId="6" xfId="0" quotePrefix="1" applyFont="1" applyFill="1" applyBorder="1" applyAlignment="1">
      <alignment horizontal="center" vertical="center" wrapText="1"/>
    </xf>
    <xf numFmtId="0" fontId="37" fillId="9" borderId="0" xfId="0" applyFont="1" applyFill="1" applyAlignment="1">
      <alignment vertical="center"/>
    </xf>
    <xf numFmtId="0" fontId="43" fillId="9" borderId="0" xfId="0" applyFont="1" applyFill="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4" fillId="4" borderId="8" xfId="0" applyFont="1" applyFill="1" applyBorder="1" applyAlignment="1">
      <alignment vertical="center" wrapText="1"/>
    </xf>
    <xf numFmtId="0" fontId="47" fillId="9" borderId="0" xfId="0" applyFont="1" applyFill="1"/>
    <xf numFmtId="1" fontId="4" fillId="4" borderId="21" xfId="0" applyNumberFormat="1" applyFont="1" applyFill="1" applyBorder="1" applyAlignment="1">
      <alignment horizontal="left" vertical="center"/>
    </xf>
    <xf numFmtId="0" fontId="5" fillId="4" borderId="19" xfId="0" applyFont="1" applyFill="1" applyBorder="1" applyAlignment="1">
      <alignment vertical="center"/>
    </xf>
    <xf numFmtId="0" fontId="4" fillId="4" borderId="19" xfId="0" applyFont="1" applyFill="1" applyBorder="1" applyAlignment="1">
      <alignment vertical="center" wrapText="1"/>
    </xf>
    <xf numFmtId="0" fontId="5" fillId="4" borderId="19" xfId="0" applyFont="1" applyFill="1" applyBorder="1" applyAlignment="1">
      <alignment horizontal="center" vertical="center"/>
    </xf>
    <xf numFmtId="1" fontId="4" fillId="4" borderId="10" xfId="0" applyNumberFormat="1" applyFont="1" applyFill="1" applyBorder="1" applyAlignment="1">
      <alignment horizontal="left" vertical="center"/>
    </xf>
    <xf numFmtId="0" fontId="5" fillId="4" borderId="0" xfId="0" applyFont="1" applyFill="1" applyAlignment="1">
      <alignment vertical="center"/>
    </xf>
    <xf numFmtId="0" fontId="5" fillId="4" borderId="0" xfId="0" applyFont="1" applyFill="1" applyAlignment="1">
      <alignment horizontal="center" vertical="center"/>
    </xf>
    <xf numFmtId="2" fontId="4" fillId="4" borderId="10" xfId="0" applyNumberFormat="1" applyFont="1" applyFill="1" applyBorder="1" applyAlignment="1">
      <alignment horizontal="left" vertical="center"/>
    </xf>
    <xf numFmtId="166" fontId="5" fillId="4" borderId="10" xfId="0" applyNumberFormat="1" applyFont="1" applyFill="1" applyBorder="1" applyAlignment="1">
      <alignment horizontal="right" vertical="center"/>
    </xf>
    <xf numFmtId="0" fontId="4" fillId="4" borderId="11" xfId="0" applyFont="1" applyFill="1" applyBorder="1" applyAlignment="1">
      <alignment wrapText="1"/>
    </xf>
    <xf numFmtId="0" fontId="32" fillId="9" borderId="0" xfId="0" applyFont="1" applyFill="1" applyAlignment="1">
      <alignment wrapText="1"/>
    </xf>
    <xf numFmtId="1" fontId="4" fillId="4" borderId="10" xfId="0" applyNumberFormat="1" applyFont="1" applyFill="1" applyBorder="1" applyAlignment="1">
      <alignment horizontal="right" vertical="center"/>
    </xf>
    <xf numFmtId="166" fontId="42" fillId="4" borderId="15" xfId="0" applyNumberFormat="1" applyFont="1" applyFill="1" applyBorder="1" applyAlignment="1">
      <alignment horizontal="right" vertical="center"/>
    </xf>
    <xf numFmtId="0" fontId="44" fillId="4" borderId="6" xfId="0" applyFont="1" applyFill="1" applyBorder="1" applyAlignment="1">
      <alignment horizontal="left" vertical="center"/>
    </xf>
    <xf numFmtId="0" fontId="44" fillId="4" borderId="6" xfId="0" applyFont="1" applyFill="1" applyBorder="1" applyAlignment="1">
      <alignment vertical="center" wrapText="1"/>
    </xf>
    <xf numFmtId="0" fontId="42" fillId="4" borderId="6" xfId="0" applyFont="1" applyFill="1" applyBorder="1" applyAlignment="1">
      <alignment horizontal="center" vertical="center"/>
    </xf>
    <xf numFmtId="0" fontId="42" fillId="9" borderId="8" xfId="0" applyFont="1" applyFill="1" applyBorder="1" applyAlignment="1">
      <alignment horizontal="center" vertical="center" wrapText="1"/>
    </xf>
    <xf numFmtId="0" fontId="42" fillId="9" borderId="8" xfId="0" quotePrefix="1" applyFont="1" applyFill="1" applyBorder="1" applyAlignment="1">
      <alignment horizontal="center" vertical="center" wrapText="1"/>
    </xf>
    <xf numFmtId="0" fontId="37" fillId="9" borderId="0" xfId="0" applyFont="1" applyFill="1" applyAlignment="1">
      <alignment horizontal="left" vertical="center"/>
    </xf>
    <xf numFmtId="0" fontId="43" fillId="9" borderId="0" xfId="0" applyFont="1" applyFill="1" applyAlignment="1">
      <alignment horizontal="left" vertical="center"/>
    </xf>
    <xf numFmtId="0" fontId="13" fillId="4" borderId="7" xfId="0" applyFont="1" applyFill="1" applyBorder="1" applyAlignment="1">
      <alignment vertical="center"/>
    </xf>
    <xf numFmtId="0" fontId="13" fillId="4" borderId="8" xfId="0" applyFont="1" applyFill="1" applyBorder="1" applyAlignment="1">
      <alignment vertical="center"/>
    </xf>
    <xf numFmtId="0" fontId="13" fillId="4" borderId="8" xfId="0" applyFont="1" applyFill="1" applyBorder="1" applyAlignment="1">
      <alignment horizontal="left" vertical="center"/>
    </xf>
    <xf numFmtId="0" fontId="4" fillId="4" borderId="19" xfId="0" applyFont="1" applyFill="1" applyBorder="1" applyAlignment="1">
      <alignment vertical="center"/>
    </xf>
    <xf numFmtId="0" fontId="42" fillId="4" borderId="0" xfId="0" applyFont="1" applyFill="1" applyAlignment="1">
      <alignment horizontal="center" vertical="center"/>
    </xf>
    <xf numFmtId="0" fontId="4" fillId="9" borderId="0" xfId="0" applyFont="1" applyFill="1" applyAlignment="1">
      <alignment horizontal="center"/>
    </xf>
    <xf numFmtId="0" fontId="4" fillId="4" borderId="15" xfId="0" applyFont="1" applyFill="1" applyBorder="1"/>
    <xf numFmtId="0" fontId="4" fillId="4" borderId="6" xfId="0" applyFont="1" applyFill="1" applyBorder="1"/>
    <xf numFmtId="0" fontId="4" fillId="4" borderId="6" xfId="0" applyFont="1" applyFill="1" applyBorder="1" applyAlignment="1">
      <alignment wrapText="1"/>
    </xf>
    <xf numFmtId="0" fontId="46" fillId="9" borderId="0" xfId="0" applyFont="1" applyFill="1" applyAlignment="1">
      <alignment vertical="center"/>
    </xf>
    <xf numFmtId="0" fontId="13" fillId="4" borderId="7" xfId="0" applyFont="1" applyFill="1" applyBorder="1" applyAlignment="1">
      <alignment horizontal="left" vertical="center"/>
    </xf>
    <xf numFmtId="0" fontId="48" fillId="9" borderId="0" xfId="0" applyFont="1" applyFill="1" applyAlignment="1">
      <alignment horizontal="left" vertical="center" wrapText="1" indent="2"/>
    </xf>
    <xf numFmtId="0" fontId="42" fillId="9" borderId="0" xfId="0" applyFont="1" applyFill="1" applyAlignment="1">
      <alignment horizontal="left" vertical="center" wrapText="1" indent="2"/>
    </xf>
    <xf numFmtId="0" fontId="9" fillId="4" borderId="0" xfId="0" applyFont="1" applyFill="1" applyAlignment="1">
      <alignment horizontal="left"/>
    </xf>
    <xf numFmtId="0" fontId="9" fillId="4" borderId="0" xfId="0" applyFont="1" applyFill="1" applyAlignment="1">
      <alignment vertical="top"/>
    </xf>
    <xf numFmtId="0" fontId="5" fillId="4" borderId="0" xfId="0" applyFont="1" applyFill="1" applyAlignment="1">
      <alignment horizontal="left"/>
    </xf>
    <xf numFmtId="0" fontId="9" fillId="9" borderId="0" xfId="0" applyFont="1" applyFill="1" applyAlignment="1">
      <alignment vertical="center"/>
    </xf>
    <xf numFmtId="0" fontId="9" fillId="9" borderId="0" xfId="0" applyFont="1" applyFill="1" applyAlignment="1">
      <alignment horizontal="left" vertical="center"/>
    </xf>
    <xf numFmtId="0" fontId="54" fillId="2" borderId="0" xfId="3" applyFont="1" applyFill="1" applyBorder="1" applyAlignment="1">
      <alignment horizontal="center" vertical="center"/>
    </xf>
    <xf numFmtId="0" fontId="7" fillId="2" borderId="0" xfId="3" applyFont="1" applyFill="1" applyAlignment="1">
      <alignment vertical="center"/>
    </xf>
    <xf numFmtId="165" fontId="19" fillId="4" borderId="0" xfId="0" applyNumberFormat="1" applyFont="1" applyFill="1"/>
    <xf numFmtId="0" fontId="9" fillId="9" borderId="0" xfId="0" applyFont="1" applyFill="1" applyAlignment="1">
      <alignment horizontal="left"/>
    </xf>
    <xf numFmtId="0" fontId="4" fillId="7" borderId="22" xfId="0" applyFont="1" applyFill="1" applyBorder="1" applyAlignment="1">
      <alignment horizontal="left" vertical="top" wrapText="1"/>
    </xf>
    <xf numFmtId="0" fontId="32" fillId="4" borderId="0" xfId="0" applyFont="1" applyFill="1" applyAlignment="1">
      <alignment wrapText="1"/>
    </xf>
    <xf numFmtId="0" fontId="57" fillId="4" borderId="22" xfId="0" applyFont="1" applyFill="1" applyBorder="1" applyAlignment="1">
      <alignment horizontal="left" vertical="top" wrapText="1"/>
    </xf>
    <xf numFmtId="0" fontId="4" fillId="4" borderId="0" xfId="0" applyFont="1" applyFill="1" applyAlignment="1">
      <alignment horizontal="left" vertical="top" indent="1"/>
    </xf>
    <xf numFmtId="0" fontId="4" fillId="10" borderId="0" xfId="0" applyFont="1" applyFill="1" applyAlignment="1">
      <alignment horizontal="left" vertical="center" wrapText="1"/>
    </xf>
    <xf numFmtId="0" fontId="4" fillId="4" borderId="0" xfId="0" applyFont="1" applyFill="1" applyAlignment="1">
      <alignment horizontal="left" vertical="center" indent="1"/>
    </xf>
    <xf numFmtId="0" fontId="4" fillId="4" borderId="0" xfId="0" applyFont="1" applyFill="1" applyAlignment="1">
      <alignment horizontal="left" vertical="center" wrapText="1"/>
    </xf>
    <xf numFmtId="0" fontId="56" fillId="4" borderId="0" xfId="0" applyFont="1" applyFill="1" applyAlignment="1">
      <alignment vertical="center"/>
    </xf>
    <xf numFmtId="0" fontId="9" fillId="4" borderId="23" xfId="0" applyFont="1" applyFill="1" applyBorder="1"/>
    <xf numFmtId="0" fontId="15" fillId="4" borderId="0" xfId="3" applyFont="1" applyFill="1"/>
    <xf numFmtId="0" fontId="15" fillId="9" borderId="0" xfId="3" applyFont="1" applyFill="1"/>
    <xf numFmtId="0" fontId="56" fillId="9" borderId="0" xfId="0" applyFont="1" applyFill="1" applyAlignment="1">
      <alignment vertical="center"/>
    </xf>
    <xf numFmtId="0" fontId="13" fillId="9" borderId="0" xfId="0" applyFont="1" applyFill="1" applyAlignment="1">
      <alignment vertical="center"/>
    </xf>
    <xf numFmtId="0" fontId="4" fillId="4" borderId="7" xfId="0" applyFont="1" applyFill="1" applyBorder="1"/>
    <xf numFmtId="0" fontId="58" fillId="4" borderId="9" xfId="3" quotePrefix="1" applyFont="1" applyFill="1" applyBorder="1" applyAlignment="1">
      <alignment horizontal="right"/>
    </xf>
    <xf numFmtId="0" fontId="58" fillId="9" borderId="0" xfId="3" quotePrefix="1" applyFont="1" applyFill="1" applyBorder="1" applyAlignment="1">
      <alignment horizontal="right"/>
    </xf>
    <xf numFmtId="0" fontId="12" fillId="9" borderId="0" xfId="0" applyFont="1" applyFill="1"/>
    <xf numFmtId="0" fontId="4" fillId="4" borderId="10" xfId="0" applyFont="1" applyFill="1" applyBorder="1"/>
    <xf numFmtId="0" fontId="12" fillId="4" borderId="11" xfId="3" quotePrefix="1" applyFont="1" applyFill="1" applyBorder="1" applyAlignment="1">
      <alignment horizontal="right"/>
    </xf>
    <xf numFmtId="0" fontId="12" fillId="9" borderId="0" xfId="3" quotePrefix="1" applyFont="1" applyFill="1" applyBorder="1" applyAlignment="1">
      <alignment horizontal="right"/>
    </xf>
    <xf numFmtId="0" fontId="34" fillId="4" borderId="0" xfId="0" applyFont="1" applyFill="1" applyAlignment="1">
      <alignment horizontal="left" vertical="top" wrapText="1"/>
    </xf>
    <xf numFmtId="0" fontId="12" fillId="9" borderId="0" xfId="0" applyFont="1" applyFill="1" applyAlignment="1">
      <alignment vertical="center" wrapText="1"/>
    </xf>
    <xf numFmtId="9" fontId="4" fillId="9" borderId="0" xfId="2" applyFont="1" applyFill="1" applyBorder="1"/>
    <xf numFmtId="0" fontId="52" fillId="11" borderId="0" xfId="0" applyFont="1" applyFill="1"/>
    <xf numFmtId="0" fontId="4" fillId="12" borderId="0" xfId="0" applyFont="1" applyFill="1"/>
    <xf numFmtId="167" fontId="4" fillId="12" borderId="0" xfId="1" applyNumberFormat="1" applyFont="1" applyFill="1"/>
    <xf numFmtId="0" fontId="59" fillId="11" borderId="0" xfId="0" applyFont="1" applyFill="1"/>
    <xf numFmtId="0" fontId="34" fillId="4" borderId="8" xfId="0" applyFont="1" applyFill="1" applyBorder="1"/>
    <xf numFmtId="0" fontId="34" fillId="4" borderId="9" xfId="0" applyFont="1" applyFill="1" applyBorder="1" applyAlignment="1">
      <alignment horizontal="right"/>
    </xf>
    <xf numFmtId="0" fontId="34" fillId="9" borderId="0" xfId="0" applyFont="1" applyFill="1" applyAlignment="1">
      <alignment horizontal="right"/>
    </xf>
    <xf numFmtId="0" fontId="34" fillId="4" borderId="11" xfId="0" applyFont="1" applyFill="1" applyBorder="1" applyAlignment="1">
      <alignment horizontal="right"/>
    </xf>
    <xf numFmtId="0" fontId="34" fillId="4" borderId="0" xfId="0" applyFont="1" applyFill="1" applyAlignment="1">
      <alignment vertical="top" wrapText="1"/>
    </xf>
    <xf numFmtId="167" fontId="4" fillId="4" borderId="0" xfId="1" applyNumberFormat="1" applyFont="1" applyFill="1"/>
    <xf numFmtId="0" fontId="55" fillId="11" borderId="0" xfId="0" applyFont="1" applyFill="1"/>
    <xf numFmtId="0" fontId="60" fillId="9" borderId="0" xfId="0" applyFont="1" applyFill="1"/>
    <xf numFmtId="0" fontId="61" fillId="2" borderId="0" xfId="0" applyFont="1" applyFill="1"/>
    <xf numFmtId="0" fontId="52" fillId="2" borderId="0" xfId="0" applyFont="1" applyFill="1"/>
    <xf numFmtId="0" fontId="32" fillId="4" borderId="0" xfId="0" applyFont="1" applyFill="1"/>
    <xf numFmtId="0" fontId="4" fillId="13" borderId="0" xfId="0" applyFont="1" applyFill="1"/>
    <xf numFmtId="167" fontId="4" fillId="13" borderId="0" xfId="1" applyNumberFormat="1" applyFont="1" applyFill="1"/>
    <xf numFmtId="0" fontId="4" fillId="5" borderId="0" xfId="0" applyFont="1" applyFill="1"/>
    <xf numFmtId="167" fontId="4" fillId="10" borderId="0" xfId="1" applyNumberFormat="1" applyFont="1" applyFill="1"/>
    <xf numFmtId="167" fontId="4" fillId="9" borderId="0" xfId="1" applyNumberFormat="1" applyFont="1" applyFill="1"/>
    <xf numFmtId="0" fontId="33" fillId="9" borderId="0" xfId="0" applyFont="1" applyFill="1"/>
    <xf numFmtId="0" fontId="15" fillId="4" borderId="0" xfId="3" applyFont="1" applyFill="1" applyBorder="1"/>
    <xf numFmtId="0" fontId="15" fillId="4" borderId="11" xfId="3" applyFont="1" applyFill="1" applyBorder="1"/>
    <xf numFmtId="0" fontId="15" fillId="9" borderId="0" xfId="3" applyFont="1" applyFill="1" applyBorder="1"/>
    <xf numFmtId="0" fontId="4" fillId="0" borderId="6" xfId="0" applyFont="1" applyBorder="1"/>
    <xf numFmtId="0" fontId="4" fillId="9" borderId="0" xfId="0" applyFont="1" applyFill="1" applyAlignment="1">
      <alignment vertical="top"/>
    </xf>
    <xf numFmtId="0" fontId="63" fillId="9" borderId="0" xfId="0" applyFont="1" applyFill="1" applyAlignment="1">
      <alignment vertical="center"/>
    </xf>
    <xf numFmtId="0" fontId="15" fillId="4" borderId="0" xfId="3" quotePrefix="1" applyFont="1" applyFill="1"/>
    <xf numFmtId="9" fontId="4" fillId="12" borderId="0" xfId="2" applyFont="1" applyFill="1"/>
    <xf numFmtId="167" fontId="62" fillId="13" borderId="0" xfId="1" applyNumberFormat="1" applyFont="1" applyFill="1"/>
    <xf numFmtId="165" fontId="4" fillId="4" borderId="0" xfId="1" applyFont="1" applyFill="1" applyAlignment="1">
      <alignment horizontal="left"/>
    </xf>
    <xf numFmtId="0" fontId="13" fillId="4" borderId="0" xfId="0" applyFont="1" applyFill="1"/>
    <xf numFmtId="165" fontId="36" fillId="4" borderId="0" xfId="1" applyFont="1" applyFill="1" applyAlignment="1">
      <alignment horizontal="left"/>
    </xf>
    <xf numFmtId="165" fontId="4" fillId="4" borderId="0" xfId="1" applyFont="1" applyFill="1" applyAlignment="1">
      <alignment horizontal="left" vertical="top" wrapText="1"/>
    </xf>
    <xf numFmtId="165" fontId="4" fillId="9" borderId="0" xfId="1" applyFont="1" applyFill="1" applyAlignment="1">
      <alignment horizontal="left"/>
    </xf>
    <xf numFmtId="165" fontId="65" fillId="9" borderId="0" xfId="1" applyFont="1" applyFill="1" applyAlignment="1">
      <alignment horizontal="left"/>
    </xf>
    <xf numFmtId="165" fontId="4" fillId="4" borderId="7" xfId="1" applyFont="1" applyFill="1" applyBorder="1" applyAlignment="1">
      <alignment horizontal="left"/>
    </xf>
    <xf numFmtId="165" fontId="58" fillId="4" borderId="9" xfId="1" quotePrefix="1" applyFont="1" applyFill="1" applyBorder="1" applyAlignment="1">
      <alignment horizontal="right"/>
    </xf>
    <xf numFmtId="165" fontId="4" fillId="4" borderId="11" xfId="1" applyFont="1" applyFill="1" applyBorder="1" applyAlignment="1">
      <alignment horizontal="left"/>
    </xf>
    <xf numFmtId="165" fontId="4" fillId="4" borderId="10" xfId="1" applyFont="1" applyFill="1" applyBorder="1" applyAlignment="1">
      <alignment horizontal="left"/>
    </xf>
    <xf numFmtId="165" fontId="4" fillId="9" borderId="8" xfId="1" applyFont="1" applyFill="1" applyBorder="1" applyAlignment="1">
      <alignment horizontal="left"/>
    </xf>
    <xf numFmtId="165" fontId="4" fillId="9" borderId="6" xfId="1" applyFont="1" applyFill="1" applyBorder="1" applyAlignment="1">
      <alignment horizontal="left"/>
    </xf>
    <xf numFmtId="165" fontId="4" fillId="9" borderId="0" xfId="1" applyFont="1" applyFill="1" applyBorder="1" applyAlignment="1">
      <alignment horizontal="left"/>
    </xf>
    <xf numFmtId="165" fontId="4" fillId="9" borderId="0" xfId="1" applyFont="1" applyFill="1" applyAlignment="1">
      <alignment horizontal="left" wrapText="1"/>
    </xf>
    <xf numFmtId="165" fontId="4" fillId="4" borderId="15" xfId="1" applyFont="1" applyFill="1" applyBorder="1" applyAlignment="1">
      <alignment horizontal="left"/>
    </xf>
    <xf numFmtId="165" fontId="4" fillId="4" borderId="16" xfId="1" quotePrefix="1" applyFont="1" applyFill="1" applyBorder="1" applyAlignment="1">
      <alignment horizontal="left"/>
    </xf>
    <xf numFmtId="165" fontId="4" fillId="4" borderId="16" xfId="1" applyFont="1" applyFill="1" applyBorder="1" applyAlignment="1">
      <alignment horizontal="left"/>
    </xf>
    <xf numFmtId="165" fontId="4" fillId="9" borderId="11" xfId="1" applyFont="1" applyFill="1" applyBorder="1" applyAlignment="1">
      <alignment wrapText="1"/>
    </xf>
    <xf numFmtId="165" fontId="5" fillId="9" borderId="0" xfId="1" applyFont="1" applyFill="1" applyAlignment="1">
      <alignment horizontal="left"/>
    </xf>
    <xf numFmtId="165" fontId="5" fillId="9" borderId="6" xfId="1" applyFont="1" applyFill="1" applyBorder="1" applyAlignment="1">
      <alignment horizontal="left"/>
    </xf>
    <xf numFmtId="165" fontId="15" fillId="4" borderId="0" xfId="3" applyNumberFormat="1" applyFont="1" applyFill="1" applyAlignment="1">
      <alignment horizontal="left"/>
    </xf>
    <xf numFmtId="165" fontId="4" fillId="12" borderId="0" xfId="1" applyFont="1" applyFill="1"/>
    <xf numFmtId="165" fontId="62" fillId="12" borderId="0" xfId="1" applyFont="1" applyFill="1"/>
    <xf numFmtId="165" fontId="4" fillId="13" borderId="0" xfId="1" applyFont="1" applyFill="1"/>
    <xf numFmtId="0" fontId="19" fillId="14" borderId="0" xfId="0" applyFont="1" applyFill="1"/>
    <xf numFmtId="0" fontId="19" fillId="15" borderId="0" xfId="0" applyFont="1" applyFill="1"/>
    <xf numFmtId="0" fontId="66" fillId="4" borderId="0" xfId="0" applyFont="1" applyFill="1"/>
    <xf numFmtId="0" fontId="19" fillId="4" borderId="0" xfId="0" applyFont="1" applyFill="1" applyAlignment="1">
      <alignment horizontal="left" vertical="top" wrapText="1"/>
    </xf>
    <xf numFmtId="0" fontId="18" fillId="4" borderId="7" xfId="0" applyFont="1" applyFill="1" applyBorder="1" applyAlignment="1">
      <alignment vertical="top" wrapText="1"/>
    </xf>
    <xf numFmtId="0" fontId="19" fillId="4" borderId="10" xfId="0" applyFont="1" applyFill="1" applyBorder="1" applyAlignment="1">
      <alignment vertical="top" wrapText="1"/>
    </xf>
    <xf numFmtId="0" fontId="19" fillId="4" borderId="15" xfId="0" applyFont="1" applyFill="1" applyBorder="1"/>
    <xf numFmtId="0" fontId="19" fillId="4" borderId="6" xfId="0" applyFont="1" applyFill="1" applyBorder="1"/>
    <xf numFmtId="0" fontId="19" fillId="4" borderId="16" xfId="0" applyFont="1" applyFill="1" applyBorder="1"/>
    <xf numFmtId="0" fontId="19" fillId="4" borderId="15" xfId="0" applyFont="1" applyFill="1" applyBorder="1" applyAlignment="1">
      <alignment vertical="top" wrapText="1"/>
    </xf>
    <xf numFmtId="165" fontId="9" fillId="4" borderId="0" xfId="1" applyFont="1" applyFill="1" applyAlignment="1">
      <alignment horizontal="left"/>
    </xf>
    <xf numFmtId="0" fontId="52" fillId="2" borderId="0" xfId="0" applyFont="1" applyFill="1" applyAlignment="1">
      <alignment wrapText="1"/>
    </xf>
    <xf numFmtId="0" fontId="58" fillId="9" borderId="0" xfId="0" applyFont="1" applyFill="1"/>
    <xf numFmtId="0" fontId="15" fillId="4" borderId="0" xfId="3" applyFont="1" applyFill="1" applyAlignment="1">
      <alignment horizontal="left"/>
    </xf>
    <xf numFmtId="0" fontId="4" fillId="4" borderId="0" xfId="0" applyFont="1" applyFill="1" applyAlignment="1">
      <alignment horizontal="left" indent="8"/>
    </xf>
    <xf numFmtId="0" fontId="16" fillId="4" borderId="0" xfId="0" applyFont="1" applyFill="1" applyAlignment="1">
      <alignment horizontal="left" vertical="top"/>
    </xf>
    <xf numFmtId="0" fontId="4" fillId="4" borderId="0" xfId="0" applyFont="1" applyFill="1" applyAlignment="1">
      <alignment horizontal="left" wrapText="1" indent="8"/>
    </xf>
    <xf numFmtId="0" fontId="68" fillId="2" borderId="0" xfId="3" applyFont="1" applyFill="1" applyAlignment="1">
      <alignment vertical="center"/>
    </xf>
    <xf numFmtId="0" fontId="60" fillId="9" borderId="0" xfId="0" applyFont="1" applyFill="1" applyAlignment="1">
      <alignment wrapText="1"/>
    </xf>
    <xf numFmtId="0" fontId="69" fillId="2" borderId="0" xfId="3" applyFont="1" applyFill="1" applyBorder="1" applyAlignment="1">
      <alignment horizontal="right" vertical="center"/>
    </xf>
    <xf numFmtId="1" fontId="4" fillId="4" borderId="15" xfId="0" applyNumberFormat="1" applyFont="1" applyFill="1" applyBorder="1" applyAlignment="1">
      <alignment horizontal="left" vertical="center"/>
    </xf>
    <xf numFmtId="0" fontId="4" fillId="4" borderId="6" xfId="0" applyFont="1" applyFill="1" applyBorder="1" applyAlignment="1">
      <alignment vertical="center" wrapText="1"/>
    </xf>
    <xf numFmtId="0" fontId="5" fillId="4" borderId="6" xfId="0" applyFont="1" applyFill="1" applyBorder="1" applyAlignment="1">
      <alignment horizontal="center" vertical="center"/>
    </xf>
    <xf numFmtId="0" fontId="19" fillId="4" borderId="0" xfId="0" applyFont="1" applyFill="1" applyAlignment="1">
      <alignment vertical="center"/>
    </xf>
    <xf numFmtId="0" fontId="19" fillId="4" borderId="6" xfId="0" applyFont="1" applyFill="1" applyBorder="1" applyAlignment="1">
      <alignment horizontal="center" vertical="top" wrapText="1"/>
    </xf>
    <xf numFmtId="0" fontId="18" fillId="4" borderId="10" xfId="0" applyFont="1" applyFill="1" applyBorder="1" applyAlignment="1">
      <alignment vertical="top" wrapText="1"/>
    </xf>
    <xf numFmtId="0" fontId="19" fillId="4" borderId="0" xfId="0" applyFont="1" applyFill="1" applyAlignment="1">
      <alignment vertical="center" wrapText="1"/>
    </xf>
    <xf numFmtId="0" fontId="19" fillId="4" borderId="11" xfId="0" applyFont="1" applyFill="1" applyBorder="1" applyAlignment="1">
      <alignment horizontal="left" vertical="center" wrapText="1"/>
    </xf>
    <xf numFmtId="0" fontId="18" fillId="4" borderId="8" xfId="0" applyFont="1" applyFill="1" applyBorder="1" applyAlignment="1">
      <alignment vertical="top" wrapText="1"/>
    </xf>
    <xf numFmtId="0" fontId="19" fillId="4" borderId="15" xfId="0" applyFont="1" applyFill="1" applyBorder="1" applyAlignment="1">
      <alignment vertical="top"/>
    </xf>
    <xf numFmtId="0" fontId="19" fillId="4" borderId="16" xfId="0" applyFont="1" applyFill="1" applyBorder="1" applyAlignment="1">
      <alignment vertical="top"/>
    </xf>
    <xf numFmtId="0" fontId="4" fillId="9" borderId="29" xfId="0" applyFont="1" applyFill="1" applyBorder="1" applyAlignment="1">
      <alignment horizontal="left" indent="1"/>
    </xf>
    <xf numFmtId="0" fontId="19" fillId="4" borderId="0" xfId="0" applyFont="1" applyFill="1" applyAlignment="1">
      <alignment horizontal="center" vertical="top" wrapText="1"/>
    </xf>
    <xf numFmtId="0" fontId="19" fillId="4" borderId="6" xfId="0" applyFont="1" applyFill="1" applyBorder="1" applyAlignment="1">
      <alignment vertical="top"/>
    </xf>
    <xf numFmtId="0" fontId="19" fillId="4" borderId="9" xfId="0" applyFont="1" applyFill="1" applyBorder="1" applyAlignment="1">
      <alignment horizontal="left" vertical="center" wrapText="1"/>
    </xf>
    <xf numFmtId="165" fontId="9" fillId="9" borderId="0" xfId="1" applyFont="1" applyFill="1" applyAlignment="1">
      <alignment horizontal="left"/>
    </xf>
    <xf numFmtId="165" fontId="9" fillId="9" borderId="0" xfId="1" applyFont="1" applyFill="1" applyBorder="1" applyAlignment="1">
      <alignment horizontal="left"/>
    </xf>
    <xf numFmtId="165" fontId="9" fillId="9" borderId="0" xfId="1" applyFont="1" applyFill="1" applyAlignment="1">
      <alignment horizontal="center"/>
    </xf>
    <xf numFmtId="0" fontId="26" fillId="0" borderId="0" xfId="4" applyFont="1" applyAlignment="1">
      <alignment vertical="center"/>
    </xf>
    <xf numFmtId="0" fontId="25" fillId="0" borderId="0" xfId="4" applyFont="1" applyAlignment="1">
      <alignment vertical="center"/>
    </xf>
    <xf numFmtId="0" fontId="20" fillId="4" borderId="0" xfId="0" applyFont="1" applyFill="1" applyAlignment="1">
      <alignment horizontal="left"/>
    </xf>
    <xf numFmtId="0" fontId="20" fillId="4" borderId="0" xfId="0" applyFont="1" applyFill="1"/>
    <xf numFmtId="0" fontId="67" fillId="2" borderId="0" xfId="0" applyFont="1" applyFill="1" applyAlignment="1">
      <alignment wrapText="1"/>
    </xf>
    <xf numFmtId="165" fontId="4" fillId="9" borderId="34" xfId="1" applyFont="1" applyFill="1" applyBorder="1"/>
    <xf numFmtId="165" fontId="4" fillId="9" borderId="29" xfId="1" applyFont="1" applyFill="1" applyBorder="1"/>
    <xf numFmtId="165" fontId="4" fillId="9" borderId="35" xfId="1" applyFont="1" applyFill="1" applyBorder="1"/>
    <xf numFmtId="165" fontId="19" fillId="14" borderId="48" xfId="1" applyFont="1" applyFill="1" applyBorder="1" applyAlignment="1">
      <alignment horizontal="left" indent="1"/>
    </xf>
    <xf numFmtId="165" fontId="19" fillId="15" borderId="51" xfId="1" applyFont="1" applyFill="1" applyBorder="1" applyAlignment="1">
      <alignment horizontal="left" indent="1"/>
    </xf>
    <xf numFmtId="165" fontId="19" fillId="14" borderId="50" xfId="1" applyFont="1" applyFill="1" applyBorder="1" applyAlignment="1">
      <alignment horizontal="left" indent="1"/>
    </xf>
    <xf numFmtId="165" fontId="19" fillId="4" borderId="49" xfId="1" applyFont="1" applyFill="1" applyBorder="1" applyAlignment="1">
      <alignment horizontal="left" indent="1"/>
    </xf>
    <xf numFmtId="165" fontId="19" fillId="4" borderId="52" xfId="1" applyFont="1" applyFill="1" applyBorder="1" applyAlignment="1">
      <alignment horizontal="left" vertical="top" wrapText="1" indent="1"/>
    </xf>
    <xf numFmtId="165" fontId="19" fillId="4" borderId="55" xfId="1" applyFont="1" applyFill="1" applyBorder="1" applyAlignment="1">
      <alignment horizontal="left" vertical="top" wrapText="1" indent="1"/>
    </xf>
    <xf numFmtId="165" fontId="19" fillId="4" borderId="54" xfId="1" applyFont="1" applyFill="1" applyBorder="1" applyAlignment="1">
      <alignment horizontal="left" vertical="top" wrapText="1" indent="1"/>
    </xf>
    <xf numFmtId="165" fontId="19" fillId="4" borderId="53" xfId="1" applyFont="1" applyFill="1" applyBorder="1" applyAlignment="1">
      <alignment horizontal="left" vertical="top" wrapText="1" indent="1"/>
    </xf>
    <xf numFmtId="165" fontId="19" fillId="14" borderId="52" xfId="1" applyFont="1" applyFill="1" applyBorder="1" applyAlignment="1">
      <alignment horizontal="left" vertical="top" wrapText="1" indent="1"/>
    </xf>
    <xf numFmtId="165" fontId="19" fillId="15" borderId="55" xfId="1" applyFont="1" applyFill="1" applyBorder="1" applyAlignment="1">
      <alignment horizontal="left" vertical="top" wrapText="1" indent="1"/>
    </xf>
    <xf numFmtId="165" fontId="19" fillId="14" borderId="54" xfId="1" applyFont="1" applyFill="1" applyBorder="1" applyAlignment="1">
      <alignment horizontal="left" vertical="top" wrapText="1" indent="1"/>
    </xf>
    <xf numFmtId="165" fontId="19" fillId="14" borderId="53" xfId="1" applyFont="1" applyFill="1" applyBorder="1" applyAlignment="1">
      <alignment horizontal="left" vertical="top" wrapText="1" indent="1"/>
    </xf>
    <xf numFmtId="165" fontId="19" fillId="14" borderId="55" xfId="1" applyFont="1" applyFill="1" applyBorder="1" applyAlignment="1">
      <alignment horizontal="left" vertical="top" wrapText="1" indent="1"/>
    </xf>
    <xf numFmtId="165" fontId="19" fillId="4" borderId="52" xfId="1" applyFont="1" applyFill="1" applyBorder="1" applyAlignment="1">
      <alignment horizontal="left" indent="1"/>
    </xf>
    <xf numFmtId="165" fontId="19" fillId="4" borderId="55" xfId="1" applyFont="1" applyFill="1" applyBorder="1" applyAlignment="1">
      <alignment horizontal="left" indent="1"/>
    </xf>
    <xf numFmtId="165" fontId="19" fillId="4" borderId="54" xfId="1" applyFont="1" applyFill="1" applyBorder="1" applyAlignment="1">
      <alignment horizontal="left" indent="1"/>
    </xf>
    <xf numFmtId="165" fontId="19" fillId="4" borderId="53" xfId="1" applyFont="1" applyFill="1" applyBorder="1" applyAlignment="1">
      <alignment horizontal="left" indent="1"/>
    </xf>
    <xf numFmtId="165" fontId="19" fillId="15" borderId="52" xfId="1" applyFont="1" applyFill="1" applyBorder="1" applyAlignment="1">
      <alignment horizontal="left" indent="1"/>
    </xf>
    <xf numFmtId="165" fontId="19" fillId="15" borderId="54" xfId="1" applyFont="1" applyFill="1" applyBorder="1" applyAlignment="1">
      <alignment horizontal="left" indent="1"/>
    </xf>
    <xf numFmtId="165" fontId="19" fillId="4" borderId="56" xfId="1" applyFont="1" applyFill="1" applyBorder="1" applyAlignment="1">
      <alignment horizontal="left" indent="1"/>
    </xf>
    <xf numFmtId="165" fontId="19" fillId="4" borderId="59" xfId="1" applyFont="1" applyFill="1" applyBorder="1" applyAlignment="1">
      <alignment horizontal="left" indent="1"/>
    </xf>
    <xf numFmtId="165" fontId="19" fillId="4" borderId="58" xfId="1" applyFont="1" applyFill="1" applyBorder="1" applyAlignment="1">
      <alignment horizontal="left" indent="1"/>
    </xf>
    <xf numFmtId="165" fontId="19" fillId="4" borderId="57" xfId="1" applyFont="1" applyFill="1" applyBorder="1" applyAlignment="1">
      <alignment horizontal="left" indent="1"/>
    </xf>
    <xf numFmtId="0" fontId="19" fillId="10" borderId="39" xfId="0" applyFont="1" applyFill="1" applyBorder="1" applyAlignment="1">
      <alignment horizontal="left" vertical="top" wrapText="1"/>
    </xf>
    <xf numFmtId="0" fontId="19" fillId="10" borderId="40" xfId="0" applyFont="1" applyFill="1" applyBorder="1" applyAlignment="1">
      <alignment horizontal="left" vertical="top" wrapText="1"/>
    </xf>
    <xf numFmtId="165" fontId="19" fillId="10" borderId="41" xfId="1" applyFont="1" applyFill="1" applyBorder="1" applyAlignment="1">
      <alignment horizontal="left"/>
    </xf>
    <xf numFmtId="0" fontId="19" fillId="10" borderId="42" xfId="0" applyFont="1" applyFill="1" applyBorder="1" applyAlignment="1">
      <alignment horizontal="left" vertical="top" wrapText="1"/>
    </xf>
    <xf numFmtId="0" fontId="19" fillId="10" borderId="43" xfId="0" applyFont="1" applyFill="1" applyBorder="1" applyAlignment="1">
      <alignment horizontal="left" vertical="top" wrapText="1"/>
    </xf>
    <xf numFmtId="165" fontId="19" fillId="10" borderId="44" xfId="1" applyFont="1" applyFill="1" applyBorder="1" applyAlignment="1">
      <alignment horizontal="left" vertical="top" wrapText="1"/>
    </xf>
    <xf numFmtId="0" fontId="19" fillId="16" borderId="42" xfId="0" applyFont="1" applyFill="1" applyBorder="1" applyAlignment="1">
      <alignment horizontal="left" vertical="top" wrapText="1"/>
    </xf>
    <xf numFmtId="0" fontId="19" fillId="16" borderId="43" xfId="0" applyFont="1" applyFill="1" applyBorder="1" applyAlignment="1">
      <alignment horizontal="left" vertical="top" wrapText="1"/>
    </xf>
    <xf numFmtId="165" fontId="19" fillId="16" borderId="44" xfId="1" applyFont="1" applyFill="1" applyBorder="1" applyAlignment="1">
      <alignment horizontal="left" vertical="top" wrapText="1"/>
    </xf>
    <xf numFmtId="0" fontId="19" fillId="17" borderId="42" xfId="0" applyFont="1" applyFill="1" applyBorder="1" applyAlignment="1">
      <alignment horizontal="left" vertical="top" wrapText="1"/>
    </xf>
    <xf numFmtId="0" fontId="19" fillId="17" borderId="43" xfId="0" applyFont="1" applyFill="1" applyBorder="1" applyAlignment="1">
      <alignment horizontal="left" vertical="top" wrapText="1"/>
    </xf>
    <xf numFmtId="165" fontId="19" fillId="17" borderId="44" xfId="1" applyFont="1" applyFill="1" applyBorder="1" applyAlignment="1">
      <alignment horizontal="left" vertical="top" wrapText="1"/>
    </xf>
    <xf numFmtId="0" fontId="19" fillId="17" borderId="43" xfId="0" applyFont="1" applyFill="1" applyBorder="1"/>
    <xf numFmtId="0" fontId="19" fillId="17" borderId="42" xfId="0" applyFont="1" applyFill="1" applyBorder="1"/>
    <xf numFmtId="165" fontId="19" fillId="17" borderId="44" xfId="1" applyFont="1" applyFill="1" applyBorder="1" applyAlignment="1">
      <alignment horizontal="left"/>
    </xf>
    <xf numFmtId="0" fontId="19" fillId="17" borderId="45" xfId="0" applyFont="1" applyFill="1" applyBorder="1"/>
    <xf numFmtId="0" fontId="19" fillId="17" borderId="46" xfId="0" applyFont="1" applyFill="1" applyBorder="1"/>
    <xf numFmtId="165" fontId="19" fillId="17" borderId="47" xfId="1" applyFont="1" applyFill="1" applyBorder="1" applyAlignment="1">
      <alignment horizontal="left"/>
    </xf>
    <xf numFmtId="0" fontId="19" fillId="16" borderId="0" xfId="0" applyFont="1" applyFill="1"/>
    <xf numFmtId="0" fontId="20" fillId="4" borderId="0" xfId="0" applyFont="1" applyFill="1" applyAlignment="1">
      <alignment wrapText="1"/>
    </xf>
    <xf numFmtId="0" fontId="52" fillId="11" borderId="11" xfId="0" applyFont="1" applyFill="1" applyBorder="1"/>
    <xf numFmtId="165" fontId="4" fillId="9" borderId="60" xfId="1" applyFont="1" applyFill="1" applyBorder="1"/>
    <xf numFmtId="0" fontId="4" fillId="12" borderId="11" xfId="0" applyFont="1" applyFill="1" applyBorder="1"/>
    <xf numFmtId="0" fontId="13" fillId="9" borderId="0" xfId="0" applyFont="1" applyFill="1" applyAlignment="1">
      <alignment horizontal="left" vertical="center"/>
    </xf>
    <xf numFmtId="0" fontId="52" fillId="11" borderId="63" xfId="0" applyFont="1" applyFill="1" applyBorder="1"/>
    <xf numFmtId="165" fontId="4" fillId="9" borderId="64" xfId="1" applyFont="1" applyFill="1" applyBorder="1"/>
    <xf numFmtId="165" fontId="9" fillId="9" borderId="0" xfId="1" applyFont="1" applyFill="1" applyAlignment="1"/>
    <xf numFmtId="0" fontId="4" fillId="9" borderId="0" xfId="0" applyFont="1" applyFill="1" applyAlignment="1">
      <alignment vertical="center"/>
    </xf>
    <xf numFmtId="0" fontId="5" fillId="9" borderId="0" xfId="0" applyFont="1" applyFill="1" applyAlignment="1">
      <alignment vertical="center"/>
    </xf>
    <xf numFmtId="0" fontId="67" fillId="9" borderId="0" xfId="0" applyFont="1" applyFill="1" applyAlignment="1">
      <alignment vertical="center"/>
    </xf>
    <xf numFmtId="0" fontId="0" fillId="0" borderId="0" xfId="0" applyAlignment="1">
      <alignment vertical="center"/>
    </xf>
    <xf numFmtId="166" fontId="19" fillId="0" borderId="0" xfId="0" applyNumberFormat="1" applyFont="1"/>
    <xf numFmtId="0" fontId="70" fillId="0" borderId="0" xfId="0" applyFont="1"/>
    <xf numFmtId="167" fontId="19" fillId="0" borderId="0" xfId="1" applyNumberFormat="1" applyFont="1" applyFill="1"/>
    <xf numFmtId="0" fontId="19" fillId="0" borderId="0" xfId="0" applyFont="1" applyAlignment="1">
      <alignment wrapText="1"/>
    </xf>
    <xf numFmtId="2" fontId="19" fillId="0" borderId="0" xfId="0" applyNumberFormat="1" applyFont="1" applyAlignment="1">
      <alignment horizontal="left"/>
    </xf>
    <xf numFmtId="0" fontId="5" fillId="8" borderId="0" xfId="0" quotePrefix="1" applyFont="1" applyFill="1" applyAlignment="1" applyProtection="1">
      <alignment horizontal="center" vertical="center" wrapText="1"/>
      <protection locked="0"/>
    </xf>
    <xf numFmtId="0" fontId="42" fillId="8" borderId="0" xfId="0" quotePrefix="1" applyFont="1" applyFill="1" applyAlignment="1" applyProtection="1">
      <alignment horizontal="center" vertical="center" wrapText="1"/>
      <protection locked="0"/>
    </xf>
    <xf numFmtId="0" fontId="13" fillId="4" borderId="0" xfId="0" applyFont="1" applyFill="1" applyAlignment="1" applyProtection="1">
      <alignment vertical="center"/>
      <protection locked="0"/>
    </xf>
    <xf numFmtId="9" fontId="4" fillId="4" borderId="0" xfId="0" applyNumberFormat="1" applyFont="1" applyFill="1" applyProtection="1">
      <protection locked="0"/>
    </xf>
    <xf numFmtId="0" fontId="4" fillId="4" borderId="0" xfId="0" applyFont="1" applyFill="1" applyProtection="1">
      <protection locked="0"/>
    </xf>
    <xf numFmtId="0" fontId="36" fillId="9" borderId="0" xfId="0" applyFont="1" applyFill="1" applyAlignment="1" applyProtection="1">
      <alignment vertical="center" wrapText="1"/>
      <protection locked="0"/>
    </xf>
    <xf numFmtId="9" fontId="34" fillId="9" borderId="0" xfId="2" applyFont="1" applyFill="1" applyProtection="1">
      <protection locked="0"/>
    </xf>
    <xf numFmtId="0" fontId="4" fillId="9" borderId="0" xfId="0" applyFont="1" applyFill="1" applyAlignment="1" applyProtection="1">
      <alignment wrapText="1"/>
      <protection locked="0"/>
    </xf>
    <xf numFmtId="0" fontId="14" fillId="9" borderId="0" xfId="0" applyFont="1" applyFill="1" applyProtection="1">
      <protection locked="0"/>
    </xf>
    <xf numFmtId="0" fontId="34" fillId="9" borderId="0" xfId="0" applyFont="1" applyFill="1" applyProtection="1">
      <protection locked="0"/>
    </xf>
    <xf numFmtId="0" fontId="4" fillId="9" borderId="0" xfId="0" applyFont="1" applyFill="1" applyProtection="1">
      <protection locked="0"/>
    </xf>
    <xf numFmtId="0" fontId="14" fillId="9" borderId="0" xfId="0" applyFont="1" applyFill="1" applyAlignment="1" applyProtection="1">
      <alignment wrapText="1"/>
      <protection locked="0"/>
    </xf>
    <xf numFmtId="0" fontId="36" fillId="9" borderId="0" xfId="0" applyFont="1" applyFill="1" applyAlignment="1" applyProtection="1">
      <alignment horizontal="left" vertical="center" wrapText="1"/>
      <protection locked="0"/>
    </xf>
    <xf numFmtId="0" fontId="32" fillId="9" borderId="0" xfId="0" applyFont="1" applyFill="1" applyProtection="1">
      <protection locked="0"/>
    </xf>
    <xf numFmtId="0" fontId="36" fillId="9" borderId="0" xfId="0" applyFont="1" applyFill="1" applyAlignment="1" applyProtection="1">
      <alignment vertical="center"/>
      <protection locked="0"/>
    </xf>
    <xf numFmtId="0" fontId="58" fillId="9" borderId="0" xfId="3" quotePrefix="1" applyFont="1" applyFill="1" applyBorder="1" applyAlignment="1" applyProtection="1">
      <alignment horizontal="right"/>
      <protection locked="0"/>
    </xf>
    <xf numFmtId="0" fontId="12" fillId="9" borderId="0" xfId="3" quotePrefix="1" applyFont="1" applyFill="1" applyBorder="1" applyAlignment="1" applyProtection="1">
      <alignment horizontal="right"/>
      <protection locked="0"/>
    </xf>
    <xf numFmtId="0" fontId="12" fillId="9" borderId="0" xfId="0" applyFont="1" applyFill="1" applyAlignment="1" applyProtection="1">
      <alignment vertical="center" wrapText="1"/>
      <protection locked="0"/>
    </xf>
    <xf numFmtId="9" fontId="4" fillId="9" borderId="0" xfId="2" applyFont="1" applyFill="1" applyBorder="1" applyProtection="1">
      <protection locked="0"/>
    </xf>
    <xf numFmtId="0" fontId="34" fillId="9" borderId="0" xfId="0" applyFont="1" applyFill="1" applyAlignment="1" applyProtection="1">
      <alignment horizontal="right"/>
      <protection locked="0"/>
    </xf>
    <xf numFmtId="165" fontId="4" fillId="9" borderId="0" xfId="0" applyNumberFormat="1" applyFont="1" applyFill="1" applyProtection="1">
      <protection locked="0"/>
    </xf>
    <xf numFmtId="0" fontId="4" fillId="9" borderId="0" xfId="0" quotePrefix="1" applyFont="1" applyFill="1" applyProtection="1">
      <protection locked="0"/>
    </xf>
    <xf numFmtId="0" fontId="15" fillId="9" borderId="0" xfId="3" applyFont="1" applyFill="1" applyBorder="1" applyProtection="1">
      <protection locked="0"/>
    </xf>
    <xf numFmtId="0" fontId="13" fillId="9" borderId="0" xfId="0" applyFont="1" applyFill="1" applyAlignment="1" applyProtection="1">
      <alignment vertical="center"/>
      <protection locked="0"/>
    </xf>
    <xf numFmtId="0" fontId="4" fillId="8" borderId="33" xfId="0" applyFont="1" applyFill="1" applyBorder="1" applyProtection="1">
      <protection locked="0"/>
    </xf>
    <xf numFmtId="165" fontId="4" fillId="8" borderId="31" xfId="1" applyFont="1" applyFill="1" applyBorder="1" applyProtection="1">
      <protection locked="0"/>
    </xf>
    <xf numFmtId="0" fontId="4" fillId="8" borderId="28" xfId="0" applyFont="1" applyFill="1" applyBorder="1" applyProtection="1">
      <protection locked="0"/>
    </xf>
    <xf numFmtId="165" fontId="4" fillId="8" borderId="28" xfId="1" applyFont="1" applyFill="1" applyBorder="1" applyProtection="1">
      <protection locked="0"/>
    </xf>
    <xf numFmtId="0" fontId="4" fillId="8" borderId="32" xfId="0" applyFont="1" applyFill="1" applyBorder="1" applyProtection="1">
      <protection locked="0"/>
    </xf>
    <xf numFmtId="165" fontId="4" fillId="8" borderId="32" xfId="1" applyFont="1" applyFill="1" applyBorder="1" applyProtection="1">
      <protection locked="0"/>
    </xf>
    <xf numFmtId="0" fontId="4" fillId="8" borderId="31" xfId="0" applyFont="1" applyFill="1" applyBorder="1" applyProtection="1">
      <protection locked="0"/>
    </xf>
    <xf numFmtId="165" fontId="4" fillId="8" borderId="0" xfId="1" quotePrefix="1" applyFont="1" applyFill="1" applyBorder="1" applyAlignment="1" applyProtection="1">
      <alignment horizontal="center" vertical="center"/>
      <protection locked="0"/>
    </xf>
    <xf numFmtId="165" fontId="4" fillId="8" borderId="31" xfId="1" quotePrefix="1" applyFont="1" applyFill="1" applyBorder="1" applyAlignment="1" applyProtection="1">
      <alignment horizontal="center" vertical="center"/>
      <protection locked="0"/>
    </xf>
    <xf numFmtId="165" fontId="4" fillId="8" borderId="28" xfId="1" quotePrefix="1" applyFont="1" applyFill="1" applyBorder="1" applyAlignment="1" applyProtection="1">
      <alignment horizontal="center" vertical="center"/>
      <protection locked="0"/>
    </xf>
    <xf numFmtId="165" fontId="4" fillId="8" borderId="32" xfId="1" quotePrefix="1" applyFont="1" applyFill="1" applyBorder="1" applyAlignment="1" applyProtection="1">
      <alignment horizontal="center" vertical="center"/>
      <protection locked="0"/>
    </xf>
    <xf numFmtId="167" fontId="4" fillId="8" borderId="31" xfId="1" applyNumberFormat="1" applyFont="1" applyFill="1" applyBorder="1" applyProtection="1">
      <protection locked="0"/>
    </xf>
    <xf numFmtId="167" fontId="4" fillId="8" borderId="28" xfId="1" applyNumberFormat="1" applyFont="1" applyFill="1" applyBorder="1" applyProtection="1">
      <protection locked="0"/>
    </xf>
    <xf numFmtId="167" fontId="4" fillId="8" borderId="32" xfId="1" applyNumberFormat="1" applyFont="1" applyFill="1" applyBorder="1" applyProtection="1">
      <protection locked="0"/>
    </xf>
    <xf numFmtId="0" fontId="4" fillId="8" borderId="31" xfId="0" applyFont="1" applyFill="1" applyBorder="1" applyAlignment="1" applyProtection="1">
      <alignment horizontal="left" indent="2"/>
      <protection locked="0"/>
    </xf>
    <xf numFmtId="0" fontId="4" fillId="8" borderId="28" xfId="0" applyFont="1" applyFill="1" applyBorder="1" applyAlignment="1" applyProtection="1">
      <alignment horizontal="left" indent="2"/>
      <protection locked="0"/>
    </xf>
    <xf numFmtId="0" fontId="4" fillId="8" borderId="32" xfId="0" applyFont="1" applyFill="1" applyBorder="1" applyAlignment="1" applyProtection="1">
      <alignment horizontal="left" indent="2"/>
      <protection locked="0"/>
    </xf>
    <xf numFmtId="165" fontId="4" fillId="8" borderId="0" xfId="1" applyFont="1" applyFill="1" applyProtection="1">
      <protection locked="0"/>
    </xf>
    <xf numFmtId="165" fontId="4" fillId="8" borderId="36" xfId="1" applyFont="1" applyFill="1" applyBorder="1" applyProtection="1">
      <protection locked="0"/>
    </xf>
    <xf numFmtId="165" fontId="4" fillId="8" borderId="37" xfId="1" applyFont="1" applyFill="1" applyBorder="1" applyProtection="1">
      <protection locked="0"/>
    </xf>
    <xf numFmtId="0" fontId="15" fillId="4" borderId="0" xfId="3" applyFont="1" applyFill="1" applyProtection="1"/>
    <xf numFmtId="0" fontId="9" fillId="4" borderId="0" xfId="0" applyFont="1" applyFill="1" applyAlignment="1" applyProtection="1">
      <alignment vertical="center"/>
      <protection locked="0"/>
    </xf>
    <xf numFmtId="0" fontId="15" fillId="4" borderId="0" xfId="3" applyFont="1" applyFill="1" applyAlignment="1" applyProtection="1">
      <alignment wrapText="1"/>
      <protection locked="0" hidden="1"/>
    </xf>
    <xf numFmtId="0" fontId="15" fillId="4" borderId="0" xfId="3" applyFont="1" applyFill="1" applyProtection="1">
      <protection locked="0" hidden="1"/>
    </xf>
    <xf numFmtId="0" fontId="12" fillId="0" borderId="0" xfId="0" applyFont="1"/>
    <xf numFmtId="165" fontId="12" fillId="0" borderId="0" xfId="1" applyFont="1" applyFill="1"/>
    <xf numFmtId="0" fontId="12" fillId="0" borderId="0" xfId="0" applyFont="1" applyAlignment="1">
      <alignment horizontal="left"/>
    </xf>
    <xf numFmtId="167" fontId="12" fillId="0" borderId="0" xfId="1" applyNumberFormat="1" applyFont="1" applyFill="1"/>
    <xf numFmtId="165" fontId="12" fillId="0" borderId="0" xfId="1" applyFont="1"/>
    <xf numFmtId="167" fontId="12" fillId="0" borderId="0" xfId="1" applyNumberFormat="1" applyFont="1"/>
    <xf numFmtId="168" fontId="12" fillId="0" borderId="0" xfId="1" applyNumberFormat="1" applyFont="1"/>
    <xf numFmtId="168" fontId="20" fillId="4" borderId="0" xfId="1" applyNumberFormat="1" applyFont="1" applyFill="1"/>
    <xf numFmtId="167" fontId="20" fillId="4" borderId="0" xfId="1" applyNumberFormat="1" applyFont="1" applyFill="1"/>
    <xf numFmtId="9" fontId="4" fillId="8" borderId="31" xfId="2" applyFont="1" applyFill="1" applyBorder="1" applyProtection="1">
      <protection locked="0"/>
    </xf>
    <xf numFmtId="9" fontId="4" fillId="8" borderId="28" xfId="2" applyFont="1" applyFill="1" applyBorder="1" applyProtection="1">
      <protection locked="0"/>
    </xf>
    <xf numFmtId="9" fontId="4" fillId="8" borderId="32" xfId="2" applyFont="1" applyFill="1" applyBorder="1" applyProtection="1">
      <protection locked="0"/>
    </xf>
    <xf numFmtId="0" fontId="20" fillId="0" borderId="3" xfId="0" applyFont="1" applyBorder="1" applyAlignment="1">
      <alignment horizontal="left"/>
    </xf>
    <xf numFmtId="0" fontId="20" fillId="0" borderId="3" xfId="0" applyFont="1" applyBorder="1"/>
    <xf numFmtId="0" fontId="27" fillId="0" borderId="3" xfId="0" applyFont="1" applyBorder="1" applyAlignment="1">
      <alignment wrapText="1"/>
    </xf>
    <xf numFmtId="0" fontId="20" fillId="0" borderId="3" xfId="0" applyFont="1" applyBorder="1" applyAlignment="1">
      <alignment wrapText="1"/>
    </xf>
    <xf numFmtId="0" fontId="20" fillId="0" borderId="4" xfId="0" applyFont="1" applyBorder="1" applyAlignment="1">
      <alignment horizontal="left"/>
    </xf>
    <xf numFmtId="0" fontId="20" fillId="0" borderId="4" xfId="0" applyFont="1" applyBorder="1"/>
    <xf numFmtId="1" fontId="4" fillId="4" borderId="0" xfId="0" applyNumberFormat="1" applyFont="1" applyFill="1" applyAlignment="1">
      <alignment horizontal="left" vertical="center" wrapText="1" indent="2"/>
    </xf>
    <xf numFmtId="1" fontId="4" fillId="4" borderId="0" xfId="0" applyNumberFormat="1" applyFont="1" applyFill="1" applyAlignment="1">
      <alignment horizontal="left" vertical="center" indent="2"/>
    </xf>
    <xf numFmtId="0" fontId="4" fillId="4" borderId="0" xfId="0" applyFont="1" applyFill="1" applyAlignment="1">
      <alignment horizontal="left" vertical="center" wrapText="1" indent="4"/>
    </xf>
    <xf numFmtId="1" fontId="4" fillId="4" borderId="0" xfId="0" applyNumberFormat="1" applyFont="1" applyFill="1" applyAlignment="1">
      <alignment horizontal="left" vertical="center" indent="4"/>
    </xf>
    <xf numFmtId="0" fontId="4" fillId="4" borderId="0" xfId="0" applyFont="1" applyFill="1" applyAlignment="1">
      <alignment horizontal="left" vertical="center" indent="2"/>
    </xf>
    <xf numFmtId="0" fontId="15" fillId="4" borderId="0" xfId="3" applyFont="1" applyFill="1" applyBorder="1" applyAlignment="1" applyProtection="1">
      <alignment horizontal="left" vertical="top"/>
      <protection locked="0" hidden="1"/>
    </xf>
    <xf numFmtId="0" fontId="12" fillId="0" borderId="0" xfId="0" applyFont="1" applyAlignment="1">
      <alignment horizontal="center" vertical="center" wrapText="1"/>
    </xf>
    <xf numFmtId="0" fontId="4" fillId="4" borderId="0" xfId="0" applyFont="1" applyFill="1" applyAlignment="1">
      <alignment horizontal="center" vertical="center"/>
    </xf>
    <xf numFmtId="0" fontId="4" fillId="0" borderId="0" xfId="0" applyFont="1"/>
    <xf numFmtId="0" fontId="4" fillId="0" borderId="0" xfId="0" applyFont="1" applyAlignment="1">
      <alignment wrapText="1"/>
    </xf>
    <xf numFmtId="0" fontId="10" fillId="0" borderId="0" xfId="0" applyFont="1"/>
    <xf numFmtId="0" fontId="9" fillId="0" borderId="0" xfId="0" applyFont="1"/>
    <xf numFmtId="0" fontId="45" fillId="0" borderId="0" xfId="0" applyFont="1" applyAlignment="1">
      <alignment vertical="center"/>
    </xf>
    <xf numFmtId="0" fontId="49" fillId="0" borderId="0" xfId="0" applyFont="1"/>
    <xf numFmtId="0" fontId="11" fillId="0" borderId="0" xfId="0" applyFont="1"/>
    <xf numFmtId="0" fontId="4" fillId="0" borderId="0" xfId="0" applyFont="1" applyAlignment="1">
      <alignment vertical="top"/>
    </xf>
    <xf numFmtId="0" fontId="13" fillId="0" borderId="0" xfId="0" applyFont="1" applyAlignment="1">
      <alignment vertical="center"/>
    </xf>
    <xf numFmtId="0" fontId="36" fillId="0" borderId="0" xfId="0" applyFont="1" applyAlignment="1">
      <alignment vertical="center"/>
    </xf>
    <xf numFmtId="0" fontId="4" fillId="0" borderId="0" xfId="0" applyFont="1" applyAlignment="1">
      <alignment vertical="center"/>
    </xf>
    <xf numFmtId="0" fontId="50" fillId="0" borderId="0" xfId="0" applyFont="1"/>
    <xf numFmtId="0" fontId="50" fillId="0" borderId="0" xfId="0" applyFont="1" applyAlignment="1">
      <alignment vertical="top"/>
    </xf>
    <xf numFmtId="0" fontId="50" fillId="0" borderId="0" xfId="3" applyNumberFormat="1" applyFont="1" applyFill="1" applyBorder="1" applyAlignment="1">
      <alignment vertical="top"/>
    </xf>
    <xf numFmtId="0" fontId="4" fillId="0" borderId="0" xfId="0" applyFont="1" applyAlignment="1">
      <alignment horizontal="left" vertical="top"/>
    </xf>
    <xf numFmtId="0" fontId="16" fillId="0" borderId="0" xfId="0" applyFont="1" applyAlignment="1">
      <alignment vertical="top"/>
    </xf>
    <xf numFmtId="0" fontId="5" fillId="0" borderId="0" xfId="0" applyFont="1" applyAlignment="1">
      <alignment horizontal="center"/>
    </xf>
    <xf numFmtId="0" fontId="9" fillId="0" borderId="0" xfId="0" applyFont="1" applyAlignment="1">
      <alignment vertical="center"/>
    </xf>
    <xf numFmtId="0" fontId="13" fillId="0" borderId="0" xfId="0" applyFont="1" applyAlignment="1">
      <alignment horizontal="center" vertical="center"/>
    </xf>
    <xf numFmtId="0" fontId="15" fillId="0" borderId="0" xfId="3" applyFont="1" applyFill="1" applyBorder="1" applyAlignment="1"/>
    <xf numFmtId="0" fontId="15" fillId="0" borderId="0" xfId="3" applyFont="1" applyFill="1" applyAlignment="1"/>
    <xf numFmtId="1" fontId="4" fillId="0" borderId="0" xfId="0" applyNumberFormat="1" applyFont="1" applyAlignment="1">
      <alignment vertical="center"/>
    </xf>
    <xf numFmtId="0" fontId="34" fillId="0" borderId="0" xfId="0" applyFont="1" applyAlignment="1">
      <alignment vertical="top"/>
    </xf>
    <xf numFmtId="0" fontId="34" fillId="0" borderId="0" xfId="0" applyFont="1" applyAlignment="1">
      <alignment horizontal="left" vertical="top"/>
    </xf>
    <xf numFmtId="0" fontId="9" fillId="0" borderId="0" xfId="0" applyFont="1" applyAlignment="1">
      <alignment horizontal="left"/>
    </xf>
    <xf numFmtId="0" fontId="4" fillId="0" borderId="0" xfId="0" applyFont="1" applyAlignment="1">
      <alignment horizontal="left" vertical="center"/>
    </xf>
    <xf numFmtId="0" fontId="5" fillId="0" borderId="0" xfId="0" applyFont="1"/>
    <xf numFmtId="0" fontId="9" fillId="0" borderId="0" xfId="0" applyFont="1" applyAlignment="1">
      <alignment vertical="top"/>
    </xf>
    <xf numFmtId="0" fontId="5" fillId="0" borderId="0" xfId="0" applyFont="1" applyAlignment="1">
      <alignment vertical="top"/>
    </xf>
    <xf numFmtId="0" fontId="5" fillId="0" borderId="0" xfId="0" applyFont="1" applyAlignment="1">
      <alignment horizontal="left"/>
    </xf>
    <xf numFmtId="0" fontId="4" fillId="0" borderId="0" xfId="0" applyFont="1" applyAlignment="1">
      <alignment horizontal="left"/>
    </xf>
    <xf numFmtId="0" fontId="9" fillId="0" borderId="0" xfId="0" applyFont="1" applyAlignment="1">
      <alignment horizontal="left" vertical="center"/>
    </xf>
    <xf numFmtId="0" fontId="52" fillId="0" borderId="0" xfId="0" applyFont="1"/>
    <xf numFmtId="167" fontId="4" fillId="0" borderId="0" xfId="0" applyNumberFormat="1" applyFont="1"/>
    <xf numFmtId="0" fontId="4" fillId="0" borderId="0" xfId="1" applyNumberFormat="1" applyFont="1" applyFill="1" applyAlignment="1">
      <alignment vertical="top"/>
    </xf>
    <xf numFmtId="0" fontId="13" fillId="0" borderId="0" xfId="0" applyFont="1"/>
    <xf numFmtId="165" fontId="5" fillId="0" borderId="0" xfId="1" applyFont="1" applyFill="1" applyBorder="1" applyAlignment="1">
      <alignment horizontal="left"/>
    </xf>
    <xf numFmtId="165" fontId="9" fillId="0" borderId="0" xfId="1" applyFont="1" applyFill="1" applyAlignment="1">
      <alignment horizontal="left"/>
    </xf>
    <xf numFmtId="165" fontId="4" fillId="0" borderId="0" xfId="1" applyFont="1" applyFill="1" applyAlignment="1">
      <alignment horizontal="left"/>
    </xf>
    <xf numFmtId="0" fontId="53" fillId="0" borderId="0" xfId="0" applyFont="1"/>
    <xf numFmtId="0" fontId="4" fillId="4" borderId="11" xfId="0" applyFont="1" applyFill="1" applyBorder="1" applyAlignment="1">
      <alignment horizontal="left" vertical="top"/>
    </xf>
    <xf numFmtId="0" fontId="4" fillId="4" borderId="11" xfId="0" applyFont="1" applyFill="1" applyBorder="1" applyAlignment="1">
      <alignment vertical="top" wrapText="1"/>
    </xf>
    <xf numFmtId="0" fontId="4" fillId="4" borderId="11" xfId="0" applyFont="1" applyFill="1" applyBorder="1" applyAlignment="1">
      <alignment horizontal="left" vertical="top" wrapText="1"/>
    </xf>
    <xf numFmtId="0" fontId="4" fillId="4" borderId="11" xfId="0" applyFont="1" applyFill="1" applyBorder="1" applyAlignment="1">
      <alignment horizontal="left"/>
    </xf>
    <xf numFmtId="0" fontId="4" fillId="4" borderId="16" xfId="0" applyFont="1" applyFill="1" applyBorder="1" applyAlignment="1">
      <alignment horizontal="left" wrapText="1"/>
    </xf>
    <xf numFmtId="0" fontId="4" fillId="4" borderId="11" xfId="0" applyFont="1" applyFill="1" applyBorder="1" applyAlignment="1">
      <alignment horizontal="left" wrapText="1"/>
    </xf>
    <xf numFmtId="0" fontId="4" fillId="4" borderId="11" xfId="0" applyFont="1" applyFill="1" applyBorder="1" applyAlignment="1">
      <alignment vertical="center"/>
    </xf>
    <xf numFmtId="165" fontId="4" fillId="9" borderId="29" xfId="1" applyFont="1" applyFill="1" applyBorder="1" applyAlignment="1">
      <alignment vertical="center"/>
    </xf>
    <xf numFmtId="0" fontId="4" fillId="20" borderId="65" xfId="0" applyFont="1" applyFill="1" applyBorder="1" applyAlignment="1">
      <alignment horizontal="center" vertical="top" wrapText="1"/>
    </xf>
    <xf numFmtId="0" fontId="4" fillId="20" borderId="26" xfId="0" applyFont="1" applyFill="1" applyBorder="1" applyAlignment="1">
      <alignment horizontal="center"/>
    </xf>
    <xf numFmtId="0" fontId="4" fillId="20" borderId="27" xfId="0" applyFont="1" applyFill="1" applyBorder="1" applyAlignment="1">
      <alignment horizontal="center"/>
    </xf>
    <xf numFmtId="0" fontId="4" fillId="20" borderId="24" xfId="0" applyFont="1" applyFill="1" applyBorder="1" applyAlignment="1">
      <alignment horizontal="center"/>
    </xf>
    <xf numFmtId="0" fontId="4" fillId="20" borderId="25" xfId="0" applyFont="1" applyFill="1" applyBorder="1" applyAlignment="1">
      <alignment horizontal="center"/>
    </xf>
    <xf numFmtId="0" fontId="7" fillId="2" borderId="66" xfId="3" applyFont="1" applyFill="1" applyBorder="1" applyAlignment="1">
      <alignment horizontal="center" vertical="center"/>
    </xf>
    <xf numFmtId="0" fontId="16" fillId="4" borderId="0" xfId="0" applyFont="1" applyFill="1"/>
    <xf numFmtId="165" fontId="4" fillId="9" borderId="61" xfId="1" applyFont="1" applyFill="1" applyBorder="1" applyAlignment="1"/>
    <xf numFmtId="165" fontId="4" fillId="9" borderId="61" xfId="1" applyFont="1" applyFill="1" applyBorder="1" applyAlignment="1">
      <alignment wrapText="1"/>
    </xf>
    <xf numFmtId="165" fontId="4" fillId="9" borderId="6" xfId="1" applyFont="1" applyFill="1" applyBorder="1" applyAlignment="1"/>
    <xf numFmtId="165" fontId="4" fillId="9" borderId="30" xfId="1" applyFont="1" applyFill="1" applyBorder="1" applyAlignment="1"/>
    <xf numFmtId="165" fontId="4" fillId="9" borderId="30" xfId="1" applyFont="1" applyFill="1" applyBorder="1" applyAlignment="1">
      <alignment wrapText="1"/>
    </xf>
    <xf numFmtId="165" fontId="4" fillId="9" borderId="38" xfId="1" applyFont="1" applyFill="1" applyBorder="1" applyAlignment="1"/>
    <xf numFmtId="165" fontId="4" fillId="9" borderId="62" xfId="1" applyFont="1" applyFill="1" applyBorder="1" applyAlignment="1"/>
    <xf numFmtId="165" fontId="4" fillId="9" borderId="62" xfId="1" applyFont="1" applyFill="1" applyBorder="1" applyAlignment="1">
      <alignment wrapText="1"/>
    </xf>
    <xf numFmtId="165" fontId="4" fillId="9" borderId="8" xfId="1" applyFont="1" applyFill="1" applyBorder="1" applyAlignment="1"/>
    <xf numFmtId="165" fontId="5" fillId="12" borderId="0" xfId="1" applyFont="1" applyFill="1" applyAlignment="1"/>
    <xf numFmtId="165" fontId="5" fillId="12" borderId="0" xfId="1" applyFont="1" applyFill="1" applyAlignment="1">
      <alignment wrapText="1"/>
    </xf>
    <xf numFmtId="165" fontId="4" fillId="4" borderId="0" xfId="1" applyFont="1" applyFill="1" applyAlignment="1">
      <alignment vertical="top" wrapText="1"/>
    </xf>
    <xf numFmtId="165" fontId="4" fillId="4" borderId="0" xfId="1" applyFont="1" applyFill="1" applyAlignment="1">
      <alignment wrapText="1"/>
    </xf>
    <xf numFmtId="165" fontId="4" fillId="4" borderId="0" xfId="1" applyFont="1" applyFill="1" applyAlignment="1"/>
    <xf numFmtId="165" fontId="4" fillId="2" borderId="0" xfId="1" applyFont="1" applyFill="1" applyAlignment="1">
      <alignment wrapText="1"/>
    </xf>
    <xf numFmtId="165" fontId="4" fillId="6" borderId="0" xfId="1" applyFont="1" applyFill="1" applyAlignment="1">
      <alignment wrapText="1"/>
    </xf>
    <xf numFmtId="165" fontId="36" fillId="9" borderId="0" xfId="1" applyFont="1" applyFill="1" applyAlignment="1">
      <alignment vertical="center" wrapText="1"/>
    </xf>
    <xf numFmtId="165" fontId="36" fillId="9" borderId="0" xfId="1" applyFont="1" applyFill="1" applyAlignment="1">
      <alignment vertical="center"/>
    </xf>
    <xf numFmtId="165" fontId="4" fillId="2" borderId="0" xfId="1" applyFont="1" applyFill="1" applyAlignment="1"/>
    <xf numFmtId="165" fontId="4" fillId="2" borderId="0" xfId="1" applyFont="1" applyFill="1" applyAlignment="1">
      <alignment vertical="center" wrapText="1"/>
    </xf>
    <xf numFmtId="165" fontId="54" fillId="2" borderId="0" xfId="1" applyFont="1" applyFill="1" applyBorder="1" applyAlignment="1">
      <alignment vertical="center" wrapText="1"/>
    </xf>
    <xf numFmtId="165" fontId="7" fillId="2" borderId="0" xfId="1" applyFont="1" applyFill="1" applyAlignment="1">
      <alignment vertical="center"/>
    </xf>
    <xf numFmtId="165" fontId="4" fillId="6" borderId="0" xfId="1" applyFont="1" applyFill="1" applyAlignment="1"/>
    <xf numFmtId="165" fontId="36" fillId="4" borderId="0" xfId="1" applyFont="1" applyFill="1" applyAlignment="1"/>
    <xf numFmtId="165" fontId="36" fillId="4" borderId="0" xfId="1" applyFont="1" applyFill="1" applyAlignment="1">
      <alignment wrapText="1"/>
    </xf>
    <xf numFmtId="165" fontId="4" fillId="4" borderId="0" xfId="1" quotePrefix="1" applyFont="1" applyFill="1" applyAlignment="1">
      <alignment wrapText="1"/>
    </xf>
    <xf numFmtId="165" fontId="4" fillId="9" borderId="0" xfId="1" applyFont="1" applyFill="1" applyAlignment="1"/>
    <xf numFmtId="165" fontId="4" fillId="9" borderId="0" xfId="1" applyFont="1" applyFill="1" applyAlignment="1">
      <alignment wrapText="1"/>
    </xf>
    <xf numFmtId="165" fontId="4" fillId="9" borderId="0" xfId="1" quotePrefix="1" applyFont="1" applyFill="1" applyAlignment="1">
      <alignment wrapText="1"/>
    </xf>
    <xf numFmtId="165" fontId="4" fillId="4" borderId="8" xfId="1" applyFont="1" applyFill="1" applyBorder="1" applyAlignment="1"/>
    <xf numFmtId="165" fontId="4" fillId="4" borderId="8" xfId="1" applyFont="1" applyFill="1" applyBorder="1" applyAlignment="1">
      <alignment wrapText="1"/>
    </xf>
    <xf numFmtId="165" fontId="15" fillId="4" borderId="8" xfId="1" quotePrefix="1" applyFont="1" applyFill="1" applyBorder="1" applyAlignment="1">
      <alignment wrapText="1"/>
    </xf>
    <xf numFmtId="165" fontId="15" fillId="4" borderId="8" xfId="1" quotePrefix="1" applyFont="1" applyFill="1" applyBorder="1" applyAlignment="1"/>
    <xf numFmtId="165" fontId="5" fillId="4" borderId="0" xfId="1" applyFont="1" applyFill="1" applyAlignment="1"/>
    <xf numFmtId="165" fontId="4" fillId="9" borderId="8" xfId="1" applyFont="1" applyFill="1" applyBorder="1" applyAlignment="1">
      <alignment wrapText="1"/>
    </xf>
    <xf numFmtId="165" fontId="4" fillId="4" borderId="0" xfId="1" quotePrefix="1" applyFont="1" applyFill="1" applyAlignment="1"/>
    <xf numFmtId="165" fontId="4" fillId="9" borderId="6" xfId="1" quotePrefix="1" applyFont="1" applyFill="1" applyBorder="1" applyAlignment="1"/>
    <xf numFmtId="165" fontId="4" fillId="9" borderId="6" xfId="1" applyFont="1" applyFill="1" applyBorder="1" applyAlignment="1">
      <alignment wrapText="1"/>
    </xf>
    <xf numFmtId="165" fontId="4" fillId="9" borderId="38" xfId="1" quotePrefix="1" applyFont="1" applyFill="1" applyBorder="1" applyAlignment="1"/>
    <xf numFmtId="165" fontId="4" fillId="9" borderId="38" xfId="1" applyFont="1" applyFill="1" applyBorder="1" applyAlignment="1">
      <alignment wrapText="1"/>
    </xf>
    <xf numFmtId="165" fontId="4" fillId="9" borderId="8" xfId="1" quotePrefix="1" applyFont="1" applyFill="1" applyBorder="1" applyAlignment="1"/>
    <xf numFmtId="165" fontId="4" fillId="4" borderId="6" xfId="1" applyFont="1" applyFill="1" applyBorder="1" applyAlignment="1"/>
    <xf numFmtId="165" fontId="4" fillId="4" borderId="6" xfId="1" applyFont="1" applyFill="1" applyBorder="1" applyAlignment="1">
      <alignment wrapText="1"/>
    </xf>
    <xf numFmtId="165" fontId="4" fillId="4" borderId="6" xfId="1" quotePrefix="1" applyFont="1" applyFill="1" applyBorder="1" applyAlignment="1">
      <alignment wrapText="1"/>
    </xf>
    <xf numFmtId="165" fontId="4" fillId="4" borderId="6" xfId="1" quotePrefix="1" applyFont="1" applyFill="1" applyBorder="1" applyAlignment="1"/>
    <xf numFmtId="165" fontId="4" fillId="9" borderId="0" xfId="1" applyFont="1" applyFill="1" applyBorder="1" applyAlignment="1"/>
    <xf numFmtId="165" fontId="4" fillId="9" borderId="0" xfId="1" applyFont="1" applyFill="1" applyBorder="1" applyAlignment="1">
      <alignment wrapText="1"/>
    </xf>
    <xf numFmtId="165" fontId="4" fillId="4" borderId="0" xfId="1" applyFont="1" applyFill="1" applyBorder="1" applyAlignment="1"/>
    <xf numFmtId="165" fontId="4" fillId="4" borderId="0" xfId="1" applyFont="1" applyFill="1" applyBorder="1" applyAlignment="1">
      <alignment wrapText="1"/>
    </xf>
    <xf numFmtId="165" fontId="15" fillId="4" borderId="8" xfId="1" applyFont="1" applyFill="1" applyBorder="1" applyAlignment="1">
      <alignment wrapText="1"/>
    </xf>
    <xf numFmtId="165" fontId="15" fillId="4" borderId="8" xfId="1" applyFont="1" applyFill="1" applyBorder="1" applyAlignment="1"/>
    <xf numFmtId="165" fontId="4" fillId="18" borderId="6" xfId="1" applyFont="1" applyFill="1" applyBorder="1" applyAlignment="1"/>
    <xf numFmtId="165" fontId="4" fillId="19" borderId="6" xfId="1" applyFont="1" applyFill="1" applyBorder="1" applyAlignment="1">
      <alignment wrapText="1"/>
    </xf>
    <xf numFmtId="165" fontId="4" fillId="19" borderId="38" xfId="1" applyFont="1" applyFill="1" applyBorder="1" applyAlignment="1">
      <alignment wrapText="1"/>
    </xf>
    <xf numFmtId="165" fontId="4" fillId="19" borderId="8" xfId="1" applyFont="1" applyFill="1" applyBorder="1" applyAlignment="1">
      <alignment wrapText="1"/>
    </xf>
    <xf numFmtId="165" fontId="60" fillId="4" borderId="0" xfId="1" applyFont="1" applyFill="1" applyAlignment="1"/>
    <xf numFmtId="165" fontId="4" fillId="9" borderId="6" xfId="1" applyFont="1" applyFill="1" applyBorder="1" applyAlignment="1">
      <alignment vertical="top"/>
    </xf>
    <xf numFmtId="165" fontId="4" fillId="9" borderId="38" xfId="1" applyFont="1" applyFill="1" applyBorder="1" applyAlignment="1">
      <alignment vertical="top"/>
    </xf>
    <xf numFmtId="165" fontId="4" fillId="9" borderId="8" xfId="1" applyFont="1" applyFill="1" applyBorder="1" applyAlignment="1">
      <alignment vertical="top"/>
    </xf>
    <xf numFmtId="165" fontId="12" fillId="9" borderId="38" xfId="1" applyFont="1" applyFill="1" applyBorder="1" applyAlignment="1"/>
    <xf numFmtId="165" fontId="5" fillId="12" borderId="0" xfId="1" applyFont="1" applyFill="1" applyBorder="1" applyAlignment="1">
      <alignment wrapText="1"/>
    </xf>
    <xf numFmtId="165" fontId="5" fillId="4" borderId="10" xfId="1" applyFont="1" applyFill="1" applyBorder="1" applyAlignment="1">
      <alignment horizontal="left"/>
    </xf>
    <xf numFmtId="165" fontId="5" fillId="12" borderId="0" xfId="1" quotePrefix="1" applyFont="1" applyFill="1" applyAlignment="1"/>
    <xf numFmtId="165" fontId="5" fillId="4" borderId="11" xfId="1" applyFont="1" applyFill="1" applyBorder="1" applyAlignment="1">
      <alignment horizontal="left"/>
    </xf>
    <xf numFmtId="165" fontId="67" fillId="9" borderId="0" xfId="1" applyFont="1" applyFill="1" applyAlignment="1">
      <alignment horizontal="left"/>
    </xf>
    <xf numFmtId="165" fontId="5" fillId="12" borderId="0" xfId="1" applyFont="1" applyFill="1" applyBorder="1" applyAlignment="1"/>
    <xf numFmtId="165" fontId="4" fillId="9" borderId="6" xfId="1" applyFont="1" applyFill="1" applyBorder="1" applyAlignment="1">
      <alignment horizontal="left" wrapText="1" indent="2"/>
    </xf>
    <xf numFmtId="164" fontId="4" fillId="9" borderId="0" xfId="0" applyNumberFormat="1" applyFont="1" applyFill="1"/>
    <xf numFmtId="0" fontId="4" fillId="4" borderId="8" xfId="0" applyFont="1" applyFill="1" applyBorder="1" applyAlignment="1">
      <alignment wrapText="1"/>
    </xf>
    <xf numFmtId="0" fontId="12" fillId="9" borderId="0" xfId="0" applyFont="1" applyFill="1" applyAlignment="1">
      <alignment vertical="center"/>
    </xf>
    <xf numFmtId="0" fontId="4" fillId="0" borderId="0" xfId="0" applyFont="1" applyAlignment="1">
      <alignment vertical="top" wrapText="1"/>
    </xf>
    <xf numFmtId="167" fontId="4" fillId="2" borderId="0" xfId="1" applyNumberFormat="1" applyFont="1" applyFill="1" applyAlignment="1">
      <alignment wrapText="1"/>
    </xf>
    <xf numFmtId="167" fontId="4" fillId="6" borderId="0" xfId="1" applyNumberFormat="1" applyFont="1" applyFill="1" applyAlignment="1">
      <alignment wrapText="1"/>
    </xf>
    <xf numFmtId="167" fontId="4" fillId="4" borderId="0" xfId="1" applyNumberFormat="1" applyFont="1" applyFill="1" applyAlignment="1">
      <alignment wrapText="1"/>
    </xf>
    <xf numFmtId="167" fontId="36" fillId="4" borderId="0" xfId="1" applyNumberFormat="1" applyFont="1" applyFill="1" applyAlignment="1">
      <alignment wrapText="1"/>
    </xf>
    <xf numFmtId="167" fontId="4" fillId="4" borderId="0" xfId="1" applyNumberFormat="1" applyFont="1" applyFill="1" applyAlignment="1">
      <alignment vertical="top" wrapText="1"/>
    </xf>
    <xf numFmtId="167" fontId="4" fillId="9" borderId="0" xfId="1" applyNumberFormat="1" applyFont="1" applyFill="1" applyAlignment="1">
      <alignment wrapText="1"/>
    </xf>
    <xf numFmtId="167" fontId="36" fillId="9" borderId="0" xfId="1" applyNumberFormat="1" applyFont="1" applyFill="1" applyAlignment="1">
      <alignment vertical="center" wrapText="1"/>
    </xf>
    <xf numFmtId="167" fontId="15" fillId="4" borderId="8" xfId="1" quotePrefix="1" applyNumberFormat="1" applyFont="1" applyFill="1" applyBorder="1" applyAlignment="1">
      <alignment wrapText="1"/>
    </xf>
    <xf numFmtId="167" fontId="4" fillId="9" borderId="61" xfId="1" applyNumberFormat="1" applyFont="1" applyFill="1" applyBorder="1" applyAlignment="1">
      <alignment wrapText="1"/>
    </xf>
    <xf numFmtId="167" fontId="4" fillId="9" borderId="30" xfId="1" applyNumberFormat="1" applyFont="1" applyFill="1" applyBorder="1" applyAlignment="1">
      <alignment wrapText="1"/>
    </xf>
    <xf numFmtId="167" fontId="4" fillId="9" borderId="62" xfId="1" applyNumberFormat="1" applyFont="1" applyFill="1" applyBorder="1" applyAlignment="1">
      <alignment wrapText="1"/>
    </xf>
    <xf numFmtId="167" fontId="5" fillId="12" borderId="0" xfId="1" applyNumberFormat="1" applyFont="1" applyFill="1" applyAlignment="1">
      <alignment wrapText="1"/>
    </xf>
    <xf numFmtId="167" fontId="4" fillId="9" borderId="8" xfId="1" applyNumberFormat="1" applyFont="1" applyFill="1" applyBorder="1" applyAlignment="1">
      <alignment wrapText="1"/>
    </xf>
    <xf numFmtId="167" fontId="4" fillId="4" borderId="0" xfId="1" quotePrefix="1" applyNumberFormat="1" applyFont="1" applyFill="1" applyAlignment="1">
      <alignment wrapText="1"/>
    </xf>
    <xf numFmtId="167" fontId="4" fillId="9" borderId="6" xfId="1" applyNumberFormat="1" applyFont="1" applyFill="1" applyBorder="1" applyAlignment="1">
      <alignment wrapText="1"/>
    </xf>
    <xf numFmtId="167" fontId="4" fillId="9" borderId="38" xfId="1" applyNumberFormat="1" applyFont="1" applyFill="1" applyBorder="1" applyAlignment="1">
      <alignment wrapText="1"/>
    </xf>
    <xf numFmtId="167" fontId="4" fillId="4" borderId="6" xfId="1" quotePrefix="1" applyNumberFormat="1" applyFont="1" applyFill="1" applyBorder="1" applyAlignment="1">
      <alignment wrapText="1"/>
    </xf>
    <xf numFmtId="167" fontId="4" fillId="9" borderId="0" xfId="1" applyNumberFormat="1" applyFont="1" applyFill="1" applyBorder="1" applyAlignment="1">
      <alignment wrapText="1"/>
    </xf>
    <xf numFmtId="167" fontId="4" fillId="4" borderId="0" xfId="1" applyNumberFormat="1" applyFont="1" applyFill="1" applyBorder="1" applyAlignment="1">
      <alignment wrapText="1"/>
    </xf>
    <xf numFmtId="167" fontId="4" fillId="4" borderId="6" xfId="1" applyNumberFormat="1" applyFont="1" applyFill="1" applyBorder="1" applyAlignment="1">
      <alignment wrapText="1"/>
    </xf>
    <xf numFmtId="167" fontId="15" fillId="4" borderId="8" xfId="1" applyNumberFormat="1" applyFont="1" applyFill="1" applyBorder="1" applyAlignment="1">
      <alignment wrapText="1"/>
    </xf>
    <xf numFmtId="0" fontId="4" fillId="4" borderId="10" xfId="0" applyFont="1" applyFill="1" applyBorder="1" applyAlignment="1" applyProtection="1">
      <alignment horizontal="right"/>
      <protection locked="0"/>
      <extLst>
        <ext xmlns:xfpb="http://schemas.microsoft.com/office/spreadsheetml/2022/featurepropertybag" uri="{C7286773-470A-42A8-94C5-96B5CB345126}">
          <xfpb:xfComplement i="0"/>
        </ext>
      </extLst>
    </xf>
    <xf numFmtId="3" fontId="4" fillId="4" borderId="0" xfId="0" applyNumberFormat="1" applyFont="1" applyFill="1"/>
    <xf numFmtId="0" fontId="4" fillId="4" borderId="6" xfId="0" applyFont="1" applyFill="1" applyBorder="1" applyAlignment="1">
      <alignment horizontal="left" wrapText="1"/>
      <extLst>
        <ext xmlns:xfpb="http://schemas.microsoft.com/office/spreadsheetml/2022/featurepropertybag" uri="{C7286773-470A-42A8-94C5-96B5CB345126}">
          <xfpb:xfComplement i="0"/>
        </ext>
      </extLst>
    </xf>
    <xf numFmtId="3" fontId="5" fillId="4" borderId="6" xfId="0" applyNumberFormat="1" applyFont="1" applyFill="1" applyBorder="1"/>
    <xf numFmtId="0" fontId="52" fillId="22" borderId="82" xfId="0" applyFont="1" applyFill="1" applyBorder="1" applyAlignment="1">
      <alignment horizontal="left" vertical="top" wrapText="1"/>
    </xf>
    <xf numFmtId="0" fontId="52" fillId="22" borderId="83" xfId="0" applyFont="1" applyFill="1" applyBorder="1" applyAlignment="1">
      <alignment wrapText="1"/>
    </xf>
    <xf numFmtId="164" fontId="52" fillId="22" borderId="82" xfId="1" applyNumberFormat="1" applyFont="1" applyFill="1" applyBorder="1" applyAlignment="1" applyProtection="1">
      <protection hidden="1"/>
    </xf>
    <xf numFmtId="164" fontId="52" fillId="22" borderId="83" xfId="1" applyNumberFormat="1" applyFont="1" applyFill="1" applyBorder="1" applyAlignment="1" applyProtection="1">
      <protection hidden="1"/>
    </xf>
    <xf numFmtId="164" fontId="52" fillId="22" borderId="84" xfId="1" applyNumberFormat="1" applyFont="1" applyFill="1" applyBorder="1" applyAlignment="1" applyProtection="1">
      <protection hidden="1"/>
    </xf>
    <xf numFmtId="0" fontId="52" fillId="2" borderId="82" xfId="0" applyFont="1" applyFill="1" applyBorder="1" applyAlignment="1">
      <alignment horizontal="left" vertical="top" wrapText="1"/>
    </xf>
    <xf numFmtId="0" fontId="52" fillId="2" borderId="83" xfId="0" applyFont="1" applyFill="1" applyBorder="1" applyAlignment="1">
      <alignment horizontal="left" vertical="top" wrapText="1"/>
    </xf>
    <xf numFmtId="164" fontId="52" fillId="2" borderId="82" xfId="1" applyNumberFormat="1" applyFont="1" applyFill="1" applyBorder="1" applyAlignment="1" applyProtection="1">
      <alignment horizontal="left" vertical="top"/>
      <protection hidden="1"/>
    </xf>
    <xf numFmtId="164" fontId="52" fillId="2" borderId="83" xfId="1" applyNumberFormat="1" applyFont="1" applyFill="1" applyBorder="1" applyAlignment="1" applyProtection="1">
      <alignment horizontal="left" vertical="top"/>
      <protection hidden="1"/>
    </xf>
    <xf numFmtId="164" fontId="52" fillId="2" borderId="84" xfId="1" applyNumberFormat="1" applyFont="1" applyFill="1" applyBorder="1" applyAlignment="1" applyProtection="1">
      <alignment horizontal="left" vertical="top"/>
      <protection hidden="1"/>
    </xf>
    <xf numFmtId="0" fontId="52" fillId="21" borderId="82" xfId="0" applyFont="1" applyFill="1" applyBorder="1" applyAlignment="1">
      <alignment horizontal="left" vertical="top" wrapText="1"/>
    </xf>
    <xf numFmtId="0" fontId="52" fillId="21" borderId="83" xfId="0" applyFont="1" applyFill="1" applyBorder="1" applyAlignment="1">
      <alignment horizontal="left" vertical="top" wrapText="1"/>
    </xf>
    <xf numFmtId="164" fontId="52" fillId="21" borderId="82" xfId="1" applyNumberFormat="1" applyFont="1" applyFill="1" applyBorder="1" applyAlignment="1" applyProtection="1">
      <alignment horizontal="left" vertical="top"/>
      <protection hidden="1"/>
    </xf>
    <xf numFmtId="164" fontId="52" fillId="21" borderId="83" xfId="1" applyNumberFormat="1" applyFont="1" applyFill="1" applyBorder="1" applyAlignment="1" applyProtection="1">
      <alignment horizontal="left" vertical="top"/>
      <protection hidden="1"/>
    </xf>
    <xf numFmtId="164" fontId="52" fillId="21" borderId="84" xfId="1" applyNumberFormat="1" applyFont="1" applyFill="1" applyBorder="1" applyAlignment="1" applyProtection="1">
      <alignment horizontal="left" vertical="top"/>
      <protection hidden="1"/>
    </xf>
    <xf numFmtId="0" fontId="4" fillId="9" borderId="85" xfId="0" applyFont="1" applyFill="1" applyBorder="1" applyAlignment="1">
      <alignment horizontal="left" vertical="top" wrapText="1"/>
    </xf>
    <xf numFmtId="0" fontId="4" fillId="9" borderId="29" xfId="0" applyFont="1" applyFill="1" applyBorder="1" applyAlignment="1">
      <alignment horizontal="left" vertical="top" wrapText="1"/>
    </xf>
    <xf numFmtId="164" fontId="4" fillId="9" borderId="85" xfId="1" applyNumberFormat="1" applyFont="1" applyFill="1" applyBorder="1" applyAlignment="1" applyProtection="1">
      <alignment horizontal="left" vertical="top"/>
      <protection hidden="1"/>
    </xf>
    <xf numFmtId="164" fontId="4" fillId="9" borderId="29" xfId="1" applyNumberFormat="1" applyFont="1" applyFill="1" applyBorder="1" applyAlignment="1" applyProtection="1">
      <alignment horizontal="left" vertical="top"/>
      <protection hidden="1"/>
    </xf>
    <xf numFmtId="164" fontId="4" fillId="9" borderId="60" xfId="1" applyNumberFormat="1" applyFont="1" applyFill="1" applyBorder="1" applyAlignment="1" applyProtection="1">
      <alignment horizontal="left" vertical="top"/>
      <protection hidden="1"/>
    </xf>
    <xf numFmtId="0" fontId="4" fillId="9" borderId="89" xfId="0" applyFont="1" applyFill="1" applyBorder="1" applyAlignment="1">
      <alignment horizontal="left" vertical="top" wrapText="1"/>
    </xf>
    <xf numFmtId="0" fontId="4" fillId="9" borderId="35" xfId="0" applyFont="1" applyFill="1" applyBorder="1" applyAlignment="1">
      <alignment horizontal="left" vertical="top" wrapText="1"/>
    </xf>
    <xf numFmtId="164" fontId="4" fillId="9" borderId="89" xfId="1" applyNumberFormat="1" applyFont="1" applyFill="1" applyBorder="1" applyAlignment="1" applyProtection="1">
      <alignment horizontal="left" vertical="top"/>
      <protection hidden="1"/>
    </xf>
    <xf numFmtId="164" fontId="4" fillId="9" borderId="35" xfId="1" applyNumberFormat="1" applyFont="1" applyFill="1" applyBorder="1" applyAlignment="1" applyProtection="1">
      <alignment horizontal="left" vertical="top"/>
      <protection hidden="1"/>
    </xf>
    <xf numFmtId="164" fontId="4" fillId="9" borderId="90" xfId="1" applyNumberFormat="1" applyFont="1" applyFill="1" applyBorder="1" applyAlignment="1" applyProtection="1">
      <alignment horizontal="left" vertical="top"/>
      <protection hidden="1"/>
    </xf>
    <xf numFmtId="0" fontId="4" fillId="9" borderId="85" xfId="0" applyFont="1" applyFill="1" applyBorder="1"/>
    <xf numFmtId="0" fontId="4" fillId="9" borderId="29" xfId="0" applyFont="1" applyFill="1" applyBorder="1" applyAlignment="1">
      <alignment wrapText="1"/>
    </xf>
    <xf numFmtId="0" fontId="4" fillId="9" borderId="86" xfId="0" applyFont="1" applyFill="1" applyBorder="1"/>
    <xf numFmtId="0" fontId="4" fillId="9" borderId="87" xfId="0" applyFont="1" applyFill="1" applyBorder="1" applyAlignment="1">
      <alignment wrapText="1"/>
    </xf>
    <xf numFmtId="164" fontId="4" fillId="9" borderId="86" xfId="1" applyNumberFormat="1" applyFont="1" applyFill="1" applyBorder="1" applyAlignment="1" applyProtection="1">
      <alignment horizontal="left" vertical="top"/>
      <protection hidden="1"/>
    </xf>
    <xf numFmtId="164" fontId="4" fillId="9" borderId="87" xfId="1" applyNumberFormat="1" applyFont="1" applyFill="1" applyBorder="1" applyAlignment="1" applyProtection="1">
      <alignment horizontal="left" vertical="top"/>
      <protection hidden="1"/>
    </xf>
    <xf numFmtId="164" fontId="4" fillId="9" borderId="88" xfId="1" applyNumberFormat="1" applyFont="1" applyFill="1" applyBorder="1" applyAlignment="1" applyProtection="1">
      <alignment horizontal="left" vertical="top"/>
      <protection hidden="1"/>
    </xf>
    <xf numFmtId="0" fontId="5" fillId="12" borderId="0" xfId="0" applyFont="1" applyFill="1" applyAlignment="1">
      <alignment vertical="top" wrapText="1"/>
    </xf>
    <xf numFmtId="0" fontId="5" fillId="12" borderId="10" xfId="0" applyFont="1" applyFill="1" applyBorder="1"/>
    <xf numFmtId="0" fontId="5" fillId="12" borderId="0" xfId="0" applyFont="1" applyFill="1" applyAlignment="1">
      <alignment wrapText="1"/>
    </xf>
    <xf numFmtId="164" fontId="5" fillId="12" borderId="7" xfId="1" applyNumberFormat="1" applyFont="1" applyFill="1" applyBorder="1" applyAlignment="1"/>
    <xf numFmtId="164" fontId="5" fillId="12" borderId="8" xfId="1" applyNumberFormat="1" applyFont="1" applyFill="1" applyBorder="1" applyAlignment="1"/>
    <xf numFmtId="164" fontId="5" fillId="12" borderId="9" xfId="1" applyNumberFormat="1" applyFont="1" applyFill="1" applyBorder="1" applyAlignment="1"/>
    <xf numFmtId="0" fontId="5" fillId="12" borderId="15" xfId="0" applyFont="1" applyFill="1" applyBorder="1"/>
    <xf numFmtId="0" fontId="5" fillId="12" borderId="6" xfId="0" applyFont="1" applyFill="1" applyBorder="1" applyAlignment="1">
      <alignment wrapText="1"/>
    </xf>
    <xf numFmtId="164" fontId="5" fillId="12" borderId="15" xfId="1" applyNumberFormat="1" applyFont="1" applyFill="1" applyBorder="1" applyAlignment="1" applyProtection="1">
      <alignment horizontal="left" vertical="top"/>
      <protection hidden="1"/>
    </xf>
    <xf numFmtId="164" fontId="5" fillId="12" borderId="6" xfId="1" applyNumberFormat="1" applyFont="1" applyFill="1" applyBorder="1" applyAlignment="1" applyProtection="1">
      <alignment horizontal="left" vertical="top"/>
      <protection hidden="1"/>
    </xf>
    <xf numFmtId="164" fontId="5" fillId="12" borderId="16" xfId="1" applyNumberFormat="1" applyFont="1" applyFill="1" applyBorder="1" applyAlignment="1" applyProtection="1">
      <alignment horizontal="left" vertical="top"/>
      <protection hidden="1"/>
    </xf>
    <xf numFmtId="0" fontId="5" fillId="12" borderId="7" xfId="0" applyFont="1" applyFill="1" applyBorder="1" applyAlignment="1">
      <alignment vertical="top" wrapText="1"/>
    </xf>
    <xf numFmtId="0" fontId="5" fillId="12" borderId="8" xfId="0" applyFont="1" applyFill="1" applyBorder="1" applyAlignment="1">
      <alignment vertical="center" wrapText="1"/>
    </xf>
    <xf numFmtId="0" fontId="16" fillId="12" borderId="7" xfId="0" applyFont="1" applyFill="1" applyBorder="1" applyAlignment="1">
      <alignment horizontal="center" vertical="center" wrapText="1"/>
    </xf>
    <xf numFmtId="0" fontId="16" fillId="12" borderId="70" xfId="0" applyFont="1" applyFill="1" applyBorder="1" applyAlignment="1">
      <alignment horizontal="center" vertical="center" wrapText="1"/>
    </xf>
    <xf numFmtId="0" fontId="16" fillId="12" borderId="9" xfId="0" applyFont="1" applyFill="1" applyBorder="1" applyAlignment="1">
      <alignment horizontal="center" vertical="center" wrapText="1"/>
    </xf>
    <xf numFmtId="0" fontId="5" fillId="12" borderId="10" xfId="0" applyFont="1" applyFill="1" applyBorder="1" applyAlignment="1">
      <alignment vertical="top" wrapText="1"/>
    </xf>
    <xf numFmtId="0" fontId="16" fillId="12" borderId="10" xfId="0" applyFont="1" applyFill="1" applyBorder="1" applyAlignment="1">
      <alignment horizontal="center" vertical="top" wrapText="1"/>
    </xf>
    <xf numFmtId="0" fontId="16" fillId="12" borderId="72" xfId="0" applyFont="1" applyFill="1" applyBorder="1" applyAlignment="1">
      <alignment horizontal="center" vertical="top" wrapText="1"/>
    </xf>
    <xf numFmtId="0" fontId="16" fillId="12" borderId="11" xfId="0" applyFont="1" applyFill="1" applyBorder="1" applyAlignment="1">
      <alignment horizontal="center" vertical="top" wrapText="1"/>
    </xf>
    <xf numFmtId="0" fontId="5" fillId="12" borderId="15" xfId="0" applyFont="1" applyFill="1" applyBorder="1" applyAlignment="1">
      <alignment vertical="top" wrapText="1"/>
    </xf>
    <xf numFmtId="0" fontId="5" fillId="12" borderId="6" xfId="0" applyFont="1" applyFill="1" applyBorder="1" applyAlignment="1">
      <alignment vertical="center" wrapText="1"/>
    </xf>
    <xf numFmtId="0" fontId="16" fillId="12" borderId="15" xfId="0" applyFont="1" applyFill="1" applyBorder="1" applyAlignment="1">
      <alignment horizontal="center" vertical="top" wrapText="1"/>
    </xf>
    <xf numFmtId="0" fontId="16" fillId="12" borderId="71" xfId="0" applyFont="1" applyFill="1" applyBorder="1" applyAlignment="1">
      <alignment horizontal="center" vertical="top" wrapText="1"/>
    </xf>
    <xf numFmtId="0" fontId="16" fillId="12" borderId="16" xfId="0" applyFont="1" applyFill="1" applyBorder="1" applyAlignment="1">
      <alignment horizontal="center" vertical="top" wrapText="1"/>
    </xf>
    <xf numFmtId="165" fontId="5" fillId="9" borderId="29" xfId="1" applyFont="1" applyFill="1" applyBorder="1" applyAlignment="1">
      <alignment vertical="center"/>
    </xf>
    <xf numFmtId="0" fontId="9" fillId="9" borderId="0" xfId="0" applyFont="1" applyFill="1" applyAlignment="1">
      <alignment horizontal="left" vertical="top" wrapText="1"/>
    </xf>
    <xf numFmtId="0" fontId="4" fillId="4" borderId="10" xfId="0" applyFont="1" applyFill="1" applyBorder="1" applyAlignment="1">
      <alignment horizontal="left" vertical="top" wrapText="1"/>
    </xf>
    <xf numFmtId="0" fontId="52" fillId="11" borderId="0" xfId="0" applyFont="1" applyFill="1" applyAlignment="1">
      <alignment horizontal="left" vertical="top" wrapText="1"/>
    </xf>
    <xf numFmtId="0" fontId="59" fillId="11" borderId="0" xfId="0" applyFont="1" applyFill="1" applyAlignment="1">
      <alignment horizontal="left" vertical="top" wrapText="1"/>
    </xf>
    <xf numFmtId="0" fontId="15" fillId="4" borderId="0" xfId="3" applyFont="1" applyFill="1" applyAlignment="1">
      <alignment horizontal="left" vertical="top" wrapText="1"/>
    </xf>
    <xf numFmtId="0" fontId="4" fillId="9" borderId="0" xfId="0" applyFont="1" applyFill="1" applyAlignment="1" applyProtection="1">
      <alignment horizontal="left" vertical="top" wrapText="1"/>
      <protection locked="0"/>
    </xf>
    <xf numFmtId="0" fontId="4" fillId="9" borderId="0" xfId="0" applyFont="1" applyFill="1" applyAlignment="1">
      <alignment horizontal="left" vertical="top" wrapText="1"/>
    </xf>
    <xf numFmtId="0" fontId="47" fillId="9" borderId="75" xfId="0" applyFont="1" applyFill="1" applyBorder="1" applyAlignment="1">
      <alignment horizontal="left"/>
    </xf>
    <xf numFmtId="0" fontId="32" fillId="9" borderId="76" xfId="0" applyFont="1" applyFill="1" applyBorder="1"/>
    <xf numFmtId="0" fontId="47" fillId="9" borderId="76" xfId="0" applyFont="1" applyFill="1" applyBorder="1" applyAlignment="1">
      <alignment horizontal="center"/>
    </xf>
    <xf numFmtId="0" fontId="47" fillId="9" borderId="77" xfId="0" applyFont="1" applyFill="1" applyBorder="1" applyAlignment="1">
      <alignment horizontal="center"/>
    </xf>
    <xf numFmtId="0" fontId="32" fillId="9" borderId="78" xfId="0" applyFont="1" applyFill="1" applyBorder="1" applyAlignment="1">
      <alignment horizontal="left"/>
    </xf>
    <xf numFmtId="0" fontId="32" fillId="9" borderId="0" xfId="0" applyFont="1" applyFill="1" applyAlignment="1">
      <alignment horizontal="center"/>
    </xf>
    <xf numFmtId="3" fontId="32" fillId="9" borderId="79" xfId="0" applyNumberFormat="1" applyFont="1" applyFill="1" applyBorder="1"/>
    <xf numFmtId="0" fontId="32" fillId="9" borderId="78" xfId="0" applyFont="1" applyFill="1" applyBorder="1"/>
    <xf numFmtId="0" fontId="47" fillId="9" borderId="78" xfId="0" applyFont="1" applyFill="1" applyBorder="1"/>
    <xf numFmtId="3" fontId="32" fillId="9" borderId="0" xfId="1" applyNumberFormat="1" applyFont="1" applyFill="1" applyBorder="1" applyAlignment="1">
      <alignment horizontal="left"/>
    </xf>
    <xf numFmtId="0" fontId="32" fillId="9" borderId="79" xfId="0" applyFont="1" applyFill="1" applyBorder="1"/>
    <xf numFmtId="0" fontId="47" fillId="9" borderId="78" xfId="0" applyFont="1" applyFill="1" applyBorder="1" applyAlignment="1">
      <alignment horizontal="center"/>
    </xf>
    <xf numFmtId="0" fontId="47" fillId="9" borderId="0" xfId="0" applyFont="1" applyFill="1" applyAlignment="1">
      <alignment horizontal="center"/>
    </xf>
    <xf numFmtId="0" fontId="47" fillId="9" borderId="79" xfId="0" applyFont="1" applyFill="1" applyBorder="1" applyAlignment="1">
      <alignment horizontal="center"/>
    </xf>
    <xf numFmtId="0" fontId="32" fillId="9" borderId="78" xfId="0" applyFont="1" applyFill="1" applyBorder="1" applyAlignment="1">
      <alignment horizontal="center"/>
    </xf>
    <xf numFmtId="164" fontId="32" fillId="9" borderId="79" xfId="0" applyNumberFormat="1" applyFont="1" applyFill="1" applyBorder="1"/>
    <xf numFmtId="0" fontId="32" fillId="9" borderId="80" xfId="0" applyFont="1" applyFill="1" applyBorder="1" applyAlignment="1">
      <alignment horizontal="center"/>
    </xf>
    <xf numFmtId="0" fontId="32" fillId="9" borderId="19" xfId="0" applyFont="1" applyFill="1" applyBorder="1"/>
    <xf numFmtId="164" fontId="32" fillId="9" borderId="81" xfId="0" applyNumberFormat="1" applyFont="1" applyFill="1" applyBorder="1"/>
    <xf numFmtId="167" fontId="12" fillId="0" borderId="0" xfId="0" applyNumberFormat="1" applyFont="1"/>
    <xf numFmtId="0" fontId="7" fillId="2" borderId="0" xfId="3" applyFont="1" applyFill="1" applyAlignment="1">
      <alignment horizontal="right" vertical="center" indent="1"/>
    </xf>
    <xf numFmtId="0" fontId="32" fillId="6" borderId="0" xfId="0" applyFont="1" applyFill="1"/>
    <xf numFmtId="49" fontId="4" fillId="4" borderId="10" xfId="1" applyNumberFormat="1" applyFont="1" applyFill="1" applyBorder="1" applyAlignment="1">
      <alignment horizontal="left" vertical="top"/>
    </xf>
    <xf numFmtId="49" fontId="4" fillId="12" borderId="0" xfId="1" applyNumberFormat="1" applyFont="1" applyFill="1" applyAlignment="1">
      <alignment vertical="top"/>
    </xf>
    <xf numFmtId="49" fontId="4" fillId="12" borderId="0" xfId="1" applyNumberFormat="1" applyFont="1" applyFill="1" applyAlignment="1">
      <alignment vertical="top" wrapText="1"/>
    </xf>
    <xf numFmtId="49" fontId="4" fillId="12" borderId="0" xfId="2" applyNumberFormat="1" applyFont="1" applyFill="1" applyAlignment="1">
      <alignment horizontal="left" vertical="top" wrapText="1"/>
    </xf>
    <xf numFmtId="49" fontId="4" fillId="4" borderId="11" xfId="1" applyNumberFormat="1" applyFont="1" applyFill="1" applyBorder="1" applyAlignment="1">
      <alignment horizontal="left" vertical="top"/>
    </xf>
    <xf numFmtId="49" fontId="4" fillId="9" borderId="0" xfId="1" applyNumberFormat="1" applyFont="1" applyFill="1" applyAlignment="1">
      <alignment horizontal="left" vertical="top"/>
    </xf>
    <xf numFmtId="49" fontId="9" fillId="9" borderId="0" xfId="1" applyNumberFormat="1" applyFont="1" applyFill="1" applyAlignment="1">
      <alignment horizontal="left" vertical="top"/>
    </xf>
    <xf numFmtId="49" fontId="4" fillId="9" borderId="0" xfId="1" applyNumberFormat="1" applyFont="1" applyFill="1" applyAlignment="1">
      <alignment vertical="top"/>
    </xf>
    <xf numFmtId="49" fontId="4" fillId="4" borderId="10" xfId="1" applyNumberFormat="1" applyFont="1" applyFill="1" applyBorder="1" applyAlignment="1">
      <alignment vertical="top"/>
    </xf>
    <xf numFmtId="49" fontId="4" fillId="4" borderId="11" xfId="1" applyNumberFormat="1" applyFont="1" applyFill="1" applyBorder="1" applyAlignment="1">
      <alignment vertical="top"/>
    </xf>
    <xf numFmtId="49" fontId="9" fillId="9" borderId="0" xfId="1" applyNumberFormat="1" applyFont="1" applyFill="1" applyAlignment="1">
      <alignment vertical="top"/>
    </xf>
    <xf numFmtId="49" fontId="4" fillId="9" borderId="0" xfId="1" applyNumberFormat="1" applyFont="1" applyFill="1" applyAlignment="1">
      <alignment horizontal="left" vertical="top" wrapText="1"/>
    </xf>
    <xf numFmtId="49" fontId="4" fillId="9" borderId="11" xfId="1" applyNumberFormat="1" applyFont="1" applyFill="1" applyBorder="1" applyAlignment="1">
      <alignment horizontal="left" vertical="top" wrapText="1"/>
    </xf>
    <xf numFmtId="0" fontId="4" fillId="4" borderId="0" xfId="0" applyFont="1" applyFill="1" applyAlignment="1">
      <alignment vertical="top"/>
    </xf>
    <xf numFmtId="0" fontId="16" fillId="0" borderId="0" xfId="0" applyFont="1"/>
    <xf numFmtId="0" fontId="4" fillId="4" borderId="0" xfId="0" applyFont="1" applyFill="1" applyAlignment="1">
      <alignment vertical="top" wrapText="1"/>
    </xf>
    <xf numFmtId="0" fontId="7" fillId="2" borderId="67" xfId="0" applyFont="1" applyFill="1" applyBorder="1" applyAlignment="1" applyProtection="1">
      <alignment horizontal="center" vertical="center"/>
      <protection locked="0"/>
    </xf>
    <xf numFmtId="0" fontId="7" fillId="2" borderId="68" xfId="0" applyFont="1" applyFill="1" applyBorder="1" applyAlignment="1" applyProtection="1">
      <alignment horizontal="center" vertical="center"/>
      <protection locked="0"/>
    </xf>
    <xf numFmtId="0" fontId="7" fillId="2" borderId="69" xfId="0" applyFont="1" applyFill="1" applyBorder="1" applyAlignment="1" applyProtection="1">
      <alignment horizontal="center" vertical="center"/>
      <protection locked="0"/>
    </xf>
    <xf numFmtId="0" fontId="4" fillId="4" borderId="0" xfId="0" applyFont="1" applyFill="1" applyAlignment="1">
      <alignment horizontal="left" vertical="top" wrapText="1"/>
    </xf>
    <xf numFmtId="0" fontId="13" fillId="4" borderId="0" xfId="0" applyFont="1" applyFill="1" applyAlignment="1">
      <alignment vertical="center"/>
    </xf>
    <xf numFmtId="0" fontId="7" fillId="2" borderId="67" xfId="3" applyFont="1" applyFill="1" applyBorder="1" applyAlignment="1" applyProtection="1">
      <alignment horizontal="center" vertical="center"/>
      <protection locked="0" hidden="1"/>
    </xf>
    <xf numFmtId="0" fontId="7" fillId="2" borderId="69" xfId="3" applyFont="1" applyFill="1" applyBorder="1" applyAlignment="1" applyProtection="1">
      <alignment horizontal="center" vertical="center"/>
      <protection locked="0" hidden="1"/>
    </xf>
    <xf numFmtId="0" fontId="4" fillId="4" borderId="0" xfId="0" applyFont="1" applyFill="1" applyAlignment="1">
      <alignment horizontal="left" indent="9"/>
    </xf>
    <xf numFmtId="0" fontId="15" fillId="4" borderId="0" xfId="3" applyFont="1" applyFill="1" applyAlignment="1" applyProtection="1">
      <alignment horizontal="left" vertical="top"/>
      <protection locked="0"/>
    </xf>
    <xf numFmtId="0" fontId="4" fillId="4" borderId="0" xfId="0" applyFont="1" applyFill="1" applyAlignment="1">
      <alignment horizontal="left"/>
    </xf>
    <xf numFmtId="0" fontId="4" fillId="4" borderId="0" xfId="0" applyFont="1" applyFill="1" applyAlignment="1">
      <alignment horizontal="left" wrapText="1" indent="9"/>
    </xf>
    <xf numFmtId="0" fontId="4" fillId="4" borderId="0" xfId="0" applyFont="1" applyFill="1" applyAlignment="1">
      <alignment horizontal="left" vertical="top"/>
    </xf>
    <xf numFmtId="0" fontId="15" fillId="4" borderId="0" xfId="3" applyFont="1" applyFill="1" applyAlignment="1" applyProtection="1">
      <alignment horizontal="left"/>
      <protection locked="0" hidden="1"/>
    </xf>
    <xf numFmtId="0" fontId="4" fillId="4" borderId="0" xfId="0" applyFont="1" applyFill="1" applyAlignment="1">
      <alignment horizontal="left" vertical="center"/>
    </xf>
    <xf numFmtId="0" fontId="4" fillId="4" borderId="0" xfId="0" applyFont="1" applyFill="1"/>
    <xf numFmtId="0" fontId="4" fillId="4" borderId="0" xfId="0" applyFont="1" applyFill="1" applyAlignment="1">
      <alignment wrapText="1"/>
    </xf>
    <xf numFmtId="0" fontId="4" fillId="4" borderId="10" xfId="0" applyFont="1" applyFill="1" applyBorder="1" applyAlignment="1">
      <alignment horizontal="left" vertical="center" wrapText="1" indent="2"/>
    </xf>
    <xf numFmtId="0" fontId="4" fillId="4" borderId="0" xfId="0" applyFont="1" applyFill="1" applyAlignment="1">
      <alignment horizontal="left" vertical="center" wrapText="1" indent="2"/>
    </xf>
    <xf numFmtId="0" fontId="4" fillId="8" borderId="0" xfId="0" applyFont="1" applyFill="1" applyAlignment="1" applyProtection="1">
      <alignment horizontal="left" vertical="center" wrapText="1"/>
      <protection locked="0"/>
    </xf>
    <xf numFmtId="0" fontId="4" fillId="8" borderId="0" xfId="0" applyFont="1" applyFill="1" applyAlignment="1" applyProtection="1">
      <alignment horizontal="left" vertical="top" wrapText="1"/>
      <protection locked="0"/>
    </xf>
    <xf numFmtId="0" fontId="4" fillId="4" borderId="10" xfId="0" applyFont="1" applyFill="1" applyBorder="1" applyAlignment="1">
      <alignment horizontal="left" vertical="center" indent="2"/>
    </xf>
    <xf numFmtId="0" fontId="4" fillId="4" borderId="0" xfId="0" applyFont="1" applyFill="1" applyAlignment="1">
      <alignment horizontal="left" vertical="center" indent="2"/>
    </xf>
    <xf numFmtId="1" fontId="4" fillId="4" borderId="10" xfId="0" applyNumberFormat="1" applyFont="1" applyFill="1" applyBorder="1" applyAlignment="1">
      <alignment horizontal="left" vertical="center" indent="2"/>
    </xf>
    <xf numFmtId="1" fontId="4" fillId="4" borderId="0" xfId="0" applyNumberFormat="1" applyFont="1" applyFill="1" applyAlignment="1">
      <alignment horizontal="left" vertical="center" indent="2"/>
    </xf>
    <xf numFmtId="0" fontId="4" fillId="4" borderId="17" xfId="0" applyFont="1" applyFill="1" applyBorder="1" applyAlignment="1">
      <alignment horizontal="left" vertical="center" wrapText="1" indent="2"/>
    </xf>
    <xf numFmtId="0" fontId="4" fillId="4" borderId="10" xfId="0" applyFont="1" applyFill="1" applyBorder="1" applyAlignment="1">
      <alignment horizontal="left" vertical="center" wrapText="1" indent="4"/>
    </xf>
    <xf numFmtId="0" fontId="4" fillId="4" borderId="0" xfId="0" applyFont="1" applyFill="1" applyAlignment="1">
      <alignment horizontal="left" vertical="center" wrapText="1" indent="4"/>
    </xf>
    <xf numFmtId="1" fontId="4" fillId="4" borderId="10" xfId="0" applyNumberFormat="1" applyFont="1" applyFill="1" applyBorder="1" applyAlignment="1">
      <alignment horizontal="left" vertical="center" wrapText="1" indent="2"/>
    </xf>
    <xf numFmtId="1" fontId="4" fillId="4" borderId="0" xfId="0" applyNumberFormat="1" applyFont="1" applyFill="1" applyAlignment="1">
      <alignment horizontal="left" vertical="center" wrapText="1" indent="2"/>
    </xf>
    <xf numFmtId="1" fontId="4" fillId="4" borderId="10" xfId="0" applyNumberFormat="1" applyFont="1" applyFill="1" applyBorder="1" applyAlignment="1">
      <alignment horizontal="left" vertical="center" indent="4"/>
    </xf>
    <xf numFmtId="1" fontId="4" fillId="4" borderId="0" xfId="0" applyNumberFormat="1" applyFont="1" applyFill="1" applyAlignment="1">
      <alignment horizontal="left" vertical="center" indent="4"/>
    </xf>
    <xf numFmtId="0" fontId="4" fillId="10" borderId="0" xfId="0" applyFont="1" applyFill="1" applyAlignment="1">
      <alignment horizontal="left" vertical="center" wrapText="1" indent="3"/>
    </xf>
    <xf numFmtId="0" fontId="4" fillId="4" borderId="7" xfId="0" applyFont="1" applyFill="1" applyBorder="1" applyAlignment="1" applyProtection="1">
      <alignment horizontal="left" vertical="top" wrapText="1"/>
      <protection locked="0"/>
    </xf>
    <xf numFmtId="0" fontId="4" fillId="4" borderId="8" xfId="0" applyFont="1" applyFill="1" applyBorder="1" applyAlignment="1" applyProtection="1">
      <alignment horizontal="left" vertical="top" wrapText="1"/>
      <protection locked="0"/>
    </xf>
    <xf numFmtId="0" fontId="4" fillId="4" borderId="9"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6" xfId="0" applyFont="1" applyFill="1" applyBorder="1" applyAlignment="1" applyProtection="1">
      <alignment horizontal="left" vertical="top" wrapText="1"/>
      <protection locked="0"/>
    </xf>
    <xf numFmtId="0" fontId="4" fillId="4" borderId="16" xfId="0" applyFont="1" applyFill="1" applyBorder="1" applyAlignment="1" applyProtection="1">
      <alignment horizontal="left" vertical="top" wrapText="1"/>
      <protection locked="0"/>
    </xf>
    <xf numFmtId="0" fontId="34" fillId="4" borderId="0" xfId="0" applyFont="1" applyFill="1" applyAlignment="1">
      <alignment horizontal="left" vertical="top" wrapText="1"/>
    </xf>
    <xf numFmtId="0" fontId="34" fillId="4" borderId="0" xfId="0" applyFont="1" applyFill="1" applyAlignment="1">
      <alignment vertical="top" wrapText="1"/>
    </xf>
    <xf numFmtId="165" fontId="7" fillId="2" borderId="67" xfId="1" applyFont="1" applyFill="1" applyBorder="1" applyAlignment="1" applyProtection="1">
      <alignment horizontal="center" vertical="center"/>
      <protection locked="0" hidden="1"/>
    </xf>
    <xf numFmtId="165" fontId="7" fillId="2" borderId="69" xfId="1" applyFont="1" applyFill="1" applyBorder="1" applyAlignment="1" applyProtection="1">
      <alignment horizontal="center" vertical="center"/>
      <protection locked="0" hidden="1"/>
    </xf>
    <xf numFmtId="165" fontId="4" fillId="9" borderId="11" xfId="1" applyFont="1" applyFill="1" applyBorder="1" applyAlignment="1">
      <alignment horizontal="center" wrapText="1"/>
    </xf>
    <xf numFmtId="165" fontId="4" fillId="4" borderId="0" xfId="1" applyFont="1" applyFill="1" applyAlignment="1">
      <alignment vertical="top" wrapText="1"/>
    </xf>
    <xf numFmtId="165" fontId="4" fillId="9" borderId="11" xfId="1" applyFont="1" applyFill="1" applyBorder="1" applyAlignment="1">
      <alignment horizontal="left" wrapText="1"/>
    </xf>
    <xf numFmtId="165" fontId="15" fillId="4" borderId="0" xfId="3" applyNumberFormat="1" applyFont="1" applyFill="1" applyAlignment="1">
      <alignment horizontal="left"/>
    </xf>
    <xf numFmtId="0" fontId="4" fillId="4" borderId="0" xfId="1" applyNumberFormat="1" applyFont="1" applyFill="1" applyAlignment="1">
      <alignment horizontal="left" vertical="top" wrapText="1"/>
    </xf>
    <xf numFmtId="165" fontId="4" fillId="4" borderId="0" xfId="1" quotePrefix="1" applyFont="1" applyFill="1" applyAlignment="1">
      <alignment wrapText="1"/>
    </xf>
    <xf numFmtId="0" fontId="4" fillId="8" borderId="73" xfId="0" applyFont="1" applyFill="1" applyBorder="1" applyAlignment="1" applyProtection="1">
      <alignment horizontal="left" vertical="center"/>
      <protection locked="0"/>
    </xf>
    <xf numFmtId="0" fontId="4" fillId="8" borderId="74" xfId="0" applyFont="1" applyFill="1" applyBorder="1" applyAlignment="1" applyProtection="1">
      <alignment horizontal="left" vertical="center"/>
      <protection locked="0"/>
    </xf>
    <xf numFmtId="0" fontId="4" fillId="0" borderId="0" xfId="0" applyFont="1" applyAlignment="1">
      <alignment horizontal="left" vertical="top" wrapText="1"/>
    </xf>
    <xf numFmtId="0" fontId="60" fillId="12" borderId="7" xfId="0" applyFont="1" applyFill="1" applyBorder="1" applyAlignment="1">
      <alignment horizontal="center" vertical="center" wrapText="1"/>
    </xf>
    <xf numFmtId="0" fontId="60" fillId="12" borderId="8" xfId="0" applyFont="1" applyFill="1" applyBorder="1" applyAlignment="1">
      <alignment horizontal="center" vertical="center" wrapText="1"/>
    </xf>
    <xf numFmtId="0" fontId="60" fillId="12" borderId="9" xfId="0" applyFont="1" applyFill="1" applyBorder="1" applyAlignment="1">
      <alignment horizontal="center" vertical="center" wrapText="1"/>
    </xf>
    <xf numFmtId="0" fontId="60" fillId="12" borderId="7" xfId="0" applyFont="1" applyFill="1" applyBorder="1" applyAlignment="1">
      <alignment horizontal="center" vertical="center"/>
    </xf>
    <xf numFmtId="0" fontId="60" fillId="12" borderId="8" xfId="0" applyFont="1" applyFill="1" applyBorder="1" applyAlignment="1">
      <alignment horizontal="center" vertical="center"/>
    </xf>
    <xf numFmtId="0" fontId="60" fillId="12" borderId="9" xfId="0" applyFont="1" applyFill="1" applyBorder="1" applyAlignment="1">
      <alignment horizontal="center" vertical="center"/>
    </xf>
    <xf numFmtId="0" fontId="34" fillId="12" borderId="15"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16" xfId="0" applyFont="1" applyFill="1" applyBorder="1" applyAlignment="1">
      <alignment horizontal="center" vertical="center" wrapText="1"/>
    </xf>
    <xf numFmtId="0" fontId="34" fillId="12" borderId="15" xfId="0" applyFont="1" applyFill="1" applyBorder="1" applyAlignment="1">
      <alignment horizontal="center" vertical="center"/>
    </xf>
    <xf numFmtId="0" fontId="34" fillId="12" borderId="6" xfId="0" applyFont="1" applyFill="1" applyBorder="1" applyAlignment="1">
      <alignment horizontal="center" vertical="center"/>
    </xf>
    <xf numFmtId="0" fontId="34" fillId="12" borderId="16" xfId="0" applyFont="1" applyFill="1" applyBorder="1" applyAlignment="1">
      <alignment horizontal="center" vertical="center"/>
    </xf>
    <xf numFmtId="0" fontId="19" fillId="4" borderId="6" xfId="0" applyFont="1" applyFill="1" applyBorder="1" applyAlignment="1">
      <alignment horizontal="center" vertical="top"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9" fillId="4" borderId="10" xfId="0" applyFont="1" applyFill="1" applyBorder="1" applyAlignment="1">
      <alignment horizontal="center" vertical="top" wrapText="1"/>
    </xf>
    <xf numFmtId="0" fontId="19" fillId="4" borderId="11" xfId="0" applyFont="1" applyFill="1" applyBorder="1" applyAlignment="1">
      <alignment horizontal="center" vertical="top" wrapText="1"/>
    </xf>
    <xf numFmtId="0" fontId="74" fillId="2" borderId="67" xfId="3" applyFont="1" applyFill="1" applyBorder="1" applyAlignment="1" applyProtection="1">
      <alignment horizontal="center" vertical="center"/>
      <protection locked="0" hidden="1"/>
    </xf>
    <xf numFmtId="0" fontId="74" fillId="2" borderId="69" xfId="3" applyFont="1" applyFill="1" applyBorder="1" applyAlignment="1" applyProtection="1">
      <alignment horizontal="center" vertical="center"/>
      <protection locked="0" hidden="1"/>
    </xf>
    <xf numFmtId="0" fontId="74" fillId="2" borderId="66" xfId="3" applyFont="1" applyFill="1" applyBorder="1" applyAlignment="1" applyProtection="1">
      <alignment horizontal="center" vertical="center"/>
      <protection hidden="1"/>
    </xf>
  </cellXfs>
  <cellStyles count="5">
    <cellStyle name="Comma" xfId="1" builtinId="3"/>
    <cellStyle name="Hyperlink" xfId="3" builtinId="8"/>
    <cellStyle name="Normal" xfId="0" builtinId="0"/>
    <cellStyle name="Percent" xfId="2" builtinId="5"/>
    <cellStyle name="Standard 2" xfId="4" xr:uid="{6E37CC34-1EA4-4091-827E-340F2245C9CD}"/>
  </cellStyles>
  <dxfs count="13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0.14996795556505021"/>
      </font>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theme="0" tint="-4.9989318521683403E-2"/>
        </patternFill>
      </fill>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rgb="FFBEF3D3"/>
        </patternFill>
      </fill>
    </dxf>
    <dxf>
      <fill>
        <patternFill>
          <bgColor theme="0"/>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ont>
        <color theme="0" tint="-4.9989318521683403E-2"/>
      </font>
      <fill>
        <patternFill>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theme="6" tint="0.79998168889431442"/>
        </patternFill>
      </fill>
      <border>
        <left/>
        <right/>
        <top/>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rgb="FFBEF3D3"/>
        </patternFill>
      </fill>
      <border>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auto="1"/>
        <name val="Aptos"/>
        <family val="2"/>
        <scheme val="none"/>
      </font>
    </dxf>
    <dxf>
      <font>
        <b val="0"/>
        <i val="0"/>
        <strike val="0"/>
        <condense val="0"/>
        <extend val="0"/>
        <outline val="0"/>
        <shadow val="0"/>
        <u val="none"/>
        <vertAlign val="baseline"/>
        <sz val="11"/>
        <color auto="1"/>
        <name val="Aptos"/>
        <family val="2"/>
        <scheme val="none"/>
      </font>
    </dxf>
    <dxf>
      <font>
        <b val="0"/>
        <i val="0"/>
        <strike val="0"/>
        <condense val="0"/>
        <extend val="0"/>
        <outline val="0"/>
        <shadow val="0"/>
        <u val="none"/>
        <vertAlign val="baseline"/>
        <sz val="11"/>
        <color auto="1"/>
        <name val="Aptos"/>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auto="1"/>
        <name val="Aptos"/>
        <family val="2"/>
        <scheme val="none"/>
      </font>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6" tint="0.39997558519241921"/>
        </top>
        <bottom style="thin">
          <color theme="6" tint="0.39997558519241921"/>
        </bottom>
      </border>
    </dxf>
    <dxf>
      <border outline="0">
        <top style="thin">
          <color theme="6" tint="0.39997558519241921"/>
        </top>
      </border>
    </dxf>
    <dxf>
      <border outline="0">
        <top style="thin">
          <color theme="6" tint="0.39997558519241921"/>
        </top>
        <bottom style="thin">
          <color theme="6" tint="0.39997558519241921"/>
        </bottom>
      </border>
    </dxf>
    <dxf>
      <fill>
        <patternFill patternType="none">
          <fgColor indexed="64"/>
          <bgColor auto="1"/>
        </patternFill>
      </fill>
    </dxf>
    <dxf>
      <border outline="0">
        <bottom style="thin">
          <color theme="6" tint="0.39997558519241921"/>
        </bottom>
      </border>
    </dxf>
    <dxf>
      <font>
        <b/>
      </font>
      <fill>
        <patternFill patternType="none">
          <fgColor indexed="64"/>
          <bgColor auto="1"/>
        </patternFill>
      </fill>
    </dxf>
    <dxf>
      <font>
        <color auto="1"/>
      </font>
      <numFmt numFmtId="0" formatCode="General"/>
      <fill>
        <patternFill patternType="solid">
          <fgColor indexed="64"/>
          <bgColor theme="0"/>
        </patternFill>
      </fill>
    </dxf>
    <dxf>
      <font>
        <b val="0"/>
        <i val="0"/>
        <strike val="0"/>
        <condense val="0"/>
        <extend val="0"/>
        <outline val="0"/>
        <shadow val="0"/>
        <u val="none"/>
        <vertAlign val="baseline"/>
        <sz val="10"/>
        <color theme="1"/>
        <name val="Aptos"/>
        <family val="2"/>
        <scheme val="none"/>
      </font>
      <fill>
        <patternFill patternType="none">
          <fgColor indexed="64"/>
          <bgColor auto="1"/>
        </patternFill>
      </fill>
      <alignment horizontal="general" vertical="center" textRotation="0" wrapText="0"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ont>
        <b val="0"/>
        <i val="0"/>
        <strike val="0"/>
        <condense val="0"/>
        <extend val="0"/>
        <outline val="0"/>
        <shadow val="0"/>
        <u val="none"/>
        <vertAlign val="baseline"/>
        <sz val="10"/>
        <color auto="1"/>
        <name val="Apto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4"/>
        <color theme="1"/>
        <name val="Calibri"/>
        <family val="2"/>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numFmt numFmtId="2"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auto="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166" formatCode="0.0"/>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numFmt numFmtId="167" formatCode="_ * #,##0_ ;_ * \-#,##0_ ;_ * &quot;-&quot;??_ ;_ @_ "/>
    </dxf>
    <dxf>
      <font>
        <strike val="0"/>
        <outline val="0"/>
        <shadow val="0"/>
        <u val="none"/>
        <vertAlign val="baseline"/>
        <sz val="11"/>
        <color auto="1"/>
        <name val="Arial"/>
        <family val="2"/>
        <scheme val="none"/>
      </font>
      <numFmt numFmtId="167" formatCode="_ * #,##0_ ;_ * \-#,##0_ ;_ * &quot;-&quot;??_ ;_ @_ "/>
    </dxf>
    <dxf>
      <font>
        <strike val="0"/>
        <outline val="0"/>
        <shadow val="0"/>
        <u val="none"/>
        <vertAlign val="baseline"/>
        <sz val="11"/>
        <color auto="1"/>
        <name val="Arial"/>
        <family val="2"/>
        <scheme val="none"/>
      </font>
      <numFmt numFmtId="165" formatCode="_ * #,##0.00_ ;_ * \-#,##0.00_ ;_ * &quot;-&quot;??_ ;_ @_ "/>
    </dxf>
    <dxf>
      <font>
        <strike val="0"/>
        <outline val="0"/>
        <shadow val="0"/>
        <u val="none"/>
        <vertAlign val="baseline"/>
        <sz val="11"/>
        <color auto="1"/>
        <name val="Arial"/>
        <family val="2"/>
        <scheme val="none"/>
      </font>
      <numFmt numFmtId="165" formatCode="_ * #,##0.00_ ;_ * \-#,##0.00_ ;_ * &quot;-&quot;??_ ;_ @_ "/>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alignment horizontal="center" vertical="center"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0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7" tint="0.7999816888943144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alignment horizontal="left" vertical="bottom" textRotation="0" wrapText="0" indent="2"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alignment horizontal="left" vertical="bottom" textRotation="0" wrapText="0" indent="2"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border diagonalUp="0" diagonalDown="0">
        <left/>
        <right style="thin">
          <color auto="1"/>
        </right>
        <vertical/>
      </border>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7" tint="0.7999816888943144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border diagonalUp="0" diagonalDown="0" outline="0">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2F4356"/>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s>
  <tableStyles count="1" defaultTableStyle="TableStyleMedium2" defaultPivotStyle="PivotStyleLight16">
    <tableStyle name="Tabellenformat 1" pivot="0" count="0" xr9:uid="{AC58AF1A-A361-43BA-9B15-BDDE050EB9CE}"/>
  </tableStyles>
  <colors>
    <mruColors>
      <color rgb="FF2F4356"/>
      <color rgb="FF6288AA"/>
      <color rgb="FF9EB6CA"/>
      <color rgb="FFC6D4E0"/>
      <color rgb="FFD39E00"/>
      <color rgb="FFFFD9A0"/>
      <color rgb="FFFFD5D5"/>
      <color rgb="FFBEF3D3"/>
      <color rgb="FFFFF2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Market-based [CO</a:t>
            </a:r>
            <a:r>
              <a:rPr lang="de-CH" baseline="-25000"/>
              <a:t>2</a:t>
            </a:r>
            <a:r>
              <a:rPr lang="de-CH"/>
              <a:t>-eq]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AC-420A-AA72-D96E2AA49FB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AC-420A-AA72-D96E2AA49FB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AC-420A-AA72-D96E2AA49FB1}"/>
              </c:ext>
            </c:extLst>
          </c:dPt>
          <c:cat>
            <c:strRef>
              <c:f>('4 Dashboard'!$B$79,'4 Dashboard'!$B$84,'4 Dashboard'!$B$87)</c:f>
              <c:strCache>
                <c:ptCount val="3"/>
                <c:pt idx="0">
                  <c:v>Scope 1</c:v>
                </c:pt>
                <c:pt idx="1">
                  <c:v>Scope 2</c:v>
                </c:pt>
                <c:pt idx="2">
                  <c:v>Scope 3</c:v>
                </c:pt>
              </c:strCache>
            </c:strRef>
          </c:cat>
          <c:val>
            <c:numRef>
              <c:f>('4 Dashboard'!$G$79,'4 Dashboard'!$G$84,'4 Dashboard'!$G$87)</c:f>
              <c:numCache>
                <c:formatCode>_ * #,##0_ ;_ * \-#,##0_ ;_ * "-"_ ;_ @_ </c:formatCode>
                <c:ptCount val="3"/>
                <c:pt idx="0">
                  <c:v>0</c:v>
                </c:pt>
                <c:pt idx="1">
                  <c:v>0</c:v>
                </c:pt>
                <c:pt idx="2">
                  <c:v>0</c:v>
                </c:pt>
              </c:numCache>
            </c:numRef>
          </c:val>
          <c:extLst>
            <c:ext xmlns:c16="http://schemas.microsoft.com/office/drawing/2014/chart" uri="{C3380CC4-5D6E-409C-BE32-E72D297353CC}">
              <c16:uniqueId val="{00000006-15AC-420A-AA72-D96E2AA49FB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Location-based [CO2-eq]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81C-43B8-A253-4725D87E6B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81C-43B8-A253-4725D87E6B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81C-43B8-A253-4725D87E6B6F}"/>
              </c:ext>
            </c:extLst>
          </c:dPt>
          <c:cat>
            <c:strRef>
              <c:f>('4 Dashboard'!$B$79,'4 Dashboard'!$B$84,'4 Dashboard'!$B$87)</c:f>
              <c:strCache>
                <c:ptCount val="3"/>
                <c:pt idx="0">
                  <c:v>Scope 1</c:v>
                </c:pt>
                <c:pt idx="1">
                  <c:v>Scope 2</c:v>
                </c:pt>
                <c:pt idx="2">
                  <c:v>Scope 3</c:v>
                </c:pt>
              </c:strCache>
            </c:strRef>
          </c:cat>
          <c:val>
            <c:numRef>
              <c:f>('4 Dashboard'!$D$79,'4 Dashboard'!$D$84,'4 Dashboard'!$D$87)</c:f>
              <c:numCache>
                <c:formatCode>_ * #,##0_ ;_ * \-#,##0_ ;_ * "-"_ ;_ @_ </c:formatCode>
                <c:ptCount val="3"/>
                <c:pt idx="0">
                  <c:v>0</c:v>
                </c:pt>
                <c:pt idx="1">
                  <c:v>0</c:v>
                </c:pt>
                <c:pt idx="2">
                  <c:v>0</c:v>
                </c:pt>
              </c:numCache>
            </c:numRef>
          </c:val>
          <c:extLst>
            <c:ext xmlns:c16="http://schemas.microsoft.com/office/drawing/2014/chart" uri="{C3380CC4-5D6E-409C-BE32-E72D297353CC}">
              <c16:uniqueId val="{00000006-781C-43B8-A253-4725D87E6B6F}"/>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Market-based Scope 3 [kg CO2-eq]</a:t>
            </a:r>
          </a:p>
        </c:rich>
      </c:tx>
      <c:overlay val="0"/>
      <c:spPr>
        <a:noFill/>
        <a:ln>
          <a:noFill/>
        </a:ln>
        <a:effectLst/>
      </c:spPr>
    </c:title>
    <c:autoTitleDeleted val="0"/>
    <c:plotArea>
      <c:layout/>
      <c:barChart>
        <c:barDir val="bar"/>
        <c:grouping val="clustered"/>
        <c:varyColors val="0"/>
        <c:ser>
          <c:idx val="1"/>
          <c:order val="0"/>
          <c:spPr>
            <a:solidFill>
              <a:schemeClr val="bg1">
                <a:lumMod val="65000"/>
              </a:schemeClr>
            </a:solidFill>
          </c:spPr>
          <c:invertIfNegative val="0"/>
          <c:cat>
            <c:strRef>
              <c:f>'4 Dashboard'!$C$88:$C$102</c:f>
              <c:strCache>
                <c:ptCount val="15"/>
                <c:pt idx="0">
                  <c:v>3.1 Biens et services</c:v>
                </c:pt>
                <c:pt idx="1">
                  <c:v>3.2 Biens d’équipement</c:v>
                </c:pt>
                <c:pt idx="2">
                  <c:v>3.3 Émissions indirectes de l'énergie</c:v>
                </c:pt>
                <c:pt idx="3">
                  <c:v>3.4 Transport en amont</c:v>
                </c:pt>
                <c:pt idx="4">
                  <c:v>3.5 Déchets d'exploitation</c:v>
                </c:pt>
                <c:pt idx="5">
                  <c:v>3.6 Voyages d’affaires</c:v>
                </c:pt>
                <c:pt idx="6">
                  <c:v>3.7 Trajets pendulaires</c:v>
                </c:pt>
                <c:pt idx="7">
                  <c:v>3.8 Actifs loués en amont</c:v>
                </c:pt>
                <c:pt idx="8">
                  <c:v>3.9 Transport en aval</c:v>
                </c:pt>
                <c:pt idx="9">
                  <c:v>3.10 Transformation des biens vendus</c:v>
                </c:pt>
                <c:pt idx="10">
                  <c:v>3.11 Utilisation des biens vendus</c:v>
                </c:pt>
                <c:pt idx="11">
                  <c:v>3.12 Élimination des produits vendus</c:v>
                </c:pt>
                <c:pt idx="12">
                  <c:v>3.13 Actifs loués en aval</c:v>
                </c:pt>
                <c:pt idx="13">
                  <c:v>3.14 Franchises</c:v>
                </c:pt>
                <c:pt idx="14">
                  <c:v>3.15 Investissements</c:v>
                </c:pt>
              </c:strCache>
            </c:strRef>
          </c:cat>
          <c:val>
            <c:numRef>
              <c:f>'4 Dashboard'!$G$88:$G$102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3632-490B-B48C-8118CDF013DA}"/>
            </c:ext>
          </c:extLst>
        </c:ser>
        <c:ser>
          <c:idx val="0"/>
          <c:order val="1"/>
          <c:spPr>
            <a:solidFill>
              <a:schemeClr val="bg1">
                <a:lumMod val="65000"/>
              </a:schemeClr>
            </a:solidFill>
            <a:ln>
              <a:noFill/>
            </a:ln>
            <a:effectLst/>
          </c:spPr>
          <c:invertIfNegative val="0"/>
          <c:cat>
            <c:strRef>
              <c:f>'4 Dashboard'!$C$88:$C$102</c:f>
              <c:strCache>
                <c:ptCount val="15"/>
                <c:pt idx="0">
                  <c:v>3.1 Biens et services</c:v>
                </c:pt>
                <c:pt idx="1">
                  <c:v>3.2 Biens d’équipement</c:v>
                </c:pt>
                <c:pt idx="2">
                  <c:v>3.3 Émissions indirectes de l'énergie</c:v>
                </c:pt>
                <c:pt idx="3">
                  <c:v>3.4 Transport en amont</c:v>
                </c:pt>
                <c:pt idx="4">
                  <c:v>3.5 Déchets d'exploitation</c:v>
                </c:pt>
                <c:pt idx="5">
                  <c:v>3.6 Voyages d’affaires</c:v>
                </c:pt>
                <c:pt idx="6">
                  <c:v>3.7 Trajets pendulaires</c:v>
                </c:pt>
                <c:pt idx="7">
                  <c:v>3.8 Actifs loués en amont</c:v>
                </c:pt>
                <c:pt idx="8">
                  <c:v>3.9 Transport en aval</c:v>
                </c:pt>
                <c:pt idx="9">
                  <c:v>3.10 Transformation des biens vendus</c:v>
                </c:pt>
                <c:pt idx="10">
                  <c:v>3.11 Utilisation des biens vendus</c:v>
                </c:pt>
                <c:pt idx="11">
                  <c:v>3.12 Élimination des produits vendus</c:v>
                </c:pt>
                <c:pt idx="12">
                  <c:v>3.13 Actifs loués en aval</c:v>
                </c:pt>
                <c:pt idx="13">
                  <c:v>3.14 Franchises</c:v>
                </c:pt>
                <c:pt idx="14">
                  <c:v>3.15 Investissements</c:v>
                </c:pt>
              </c:strCache>
            </c:strRef>
          </c:cat>
          <c:val>
            <c:numRef>
              <c:f>'4 Dashboard'!$G$88:$G$102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632-490B-B48C-8118CDF013DA}"/>
            </c:ext>
          </c:extLst>
        </c:ser>
        <c:dLbls>
          <c:showLegendKey val="0"/>
          <c:showVal val="0"/>
          <c:showCatName val="0"/>
          <c:showSerName val="0"/>
          <c:showPercent val="0"/>
          <c:showBubbleSize val="0"/>
        </c:dLbls>
        <c:gapWidth val="182"/>
        <c:axId val="195491327"/>
        <c:axId val="195492767"/>
      </c:barChart>
      <c:catAx>
        <c:axId val="19549132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2767"/>
        <c:crosses val="autoZero"/>
        <c:auto val="1"/>
        <c:lblAlgn val="ctr"/>
        <c:lblOffset val="100"/>
        <c:noMultiLvlLbl val="0"/>
      </c:catAx>
      <c:valAx>
        <c:axId val="195492767"/>
        <c:scaling>
          <c:orientation val="minMax"/>
        </c:scaling>
        <c:delete val="0"/>
        <c:axPos val="t"/>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1327"/>
        <c:crosses val="autoZero"/>
        <c:crossBetween val="between"/>
      </c:valAx>
      <c:spPr>
        <a:solidFill>
          <a:schemeClr val="bg1">
            <a:lumMod val="95000"/>
          </a:schemeClr>
        </a:solidFill>
      </c:spPr>
    </c:plotArea>
    <c:plotVisOnly val="1"/>
    <c:dispBlanksAs val="gap"/>
    <c:showDLblsOverMax val="0"/>
  </c:chart>
  <c:spPr>
    <a:solidFill>
      <a:schemeClr val="bg1">
        <a:lumMod val="95000"/>
      </a:schemeClr>
    </a:solidFill>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Location-based Scope 3 [kg CO2-eq]</a:t>
            </a:r>
          </a:p>
        </c:rich>
      </c:tx>
      <c:overlay val="0"/>
      <c:spPr>
        <a:noFill/>
        <a:ln>
          <a:noFill/>
        </a:ln>
        <a:effectLst/>
      </c:spPr>
    </c:title>
    <c:autoTitleDeleted val="0"/>
    <c:plotArea>
      <c:layout/>
      <c:barChart>
        <c:barDir val="bar"/>
        <c:grouping val="clustered"/>
        <c:varyColors val="0"/>
        <c:ser>
          <c:idx val="1"/>
          <c:order val="0"/>
          <c:spPr>
            <a:solidFill>
              <a:schemeClr val="bg1">
                <a:lumMod val="65000"/>
              </a:schemeClr>
            </a:solidFill>
          </c:spPr>
          <c:invertIfNegative val="0"/>
          <c:cat>
            <c:strRef>
              <c:f>'4 Dashboard'!$C$88:$C$102</c:f>
              <c:strCache>
                <c:ptCount val="15"/>
                <c:pt idx="0">
                  <c:v>3.1 Biens et services</c:v>
                </c:pt>
                <c:pt idx="1">
                  <c:v>3.2 Biens d’équipement</c:v>
                </c:pt>
                <c:pt idx="2">
                  <c:v>3.3 Émissions indirectes de l'énergie</c:v>
                </c:pt>
                <c:pt idx="3">
                  <c:v>3.4 Transport en amont</c:v>
                </c:pt>
                <c:pt idx="4">
                  <c:v>3.5 Déchets d'exploitation</c:v>
                </c:pt>
                <c:pt idx="5">
                  <c:v>3.6 Voyages d’affaires</c:v>
                </c:pt>
                <c:pt idx="6">
                  <c:v>3.7 Trajets pendulaires</c:v>
                </c:pt>
                <c:pt idx="7">
                  <c:v>3.8 Actifs loués en amont</c:v>
                </c:pt>
                <c:pt idx="8">
                  <c:v>3.9 Transport en aval</c:v>
                </c:pt>
                <c:pt idx="9">
                  <c:v>3.10 Transformation des biens vendus</c:v>
                </c:pt>
                <c:pt idx="10">
                  <c:v>3.11 Utilisation des biens vendus</c:v>
                </c:pt>
                <c:pt idx="11">
                  <c:v>3.12 Élimination des produits vendus</c:v>
                </c:pt>
                <c:pt idx="12">
                  <c:v>3.13 Actifs loués en aval</c:v>
                </c:pt>
                <c:pt idx="13">
                  <c:v>3.14 Franchises</c:v>
                </c:pt>
                <c:pt idx="14">
                  <c:v>3.15 Investissements</c:v>
                </c:pt>
              </c:strCache>
            </c:strRef>
          </c:cat>
          <c:val>
            <c:numRef>
              <c:f>'4 Dashboard'!$D$88:$D$102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246A-4AA4-8E8C-4A07B4E426C4}"/>
            </c:ext>
          </c:extLst>
        </c:ser>
        <c:ser>
          <c:idx val="0"/>
          <c:order val="1"/>
          <c:spPr>
            <a:solidFill>
              <a:schemeClr val="bg1">
                <a:lumMod val="65000"/>
              </a:schemeClr>
            </a:solidFill>
          </c:spPr>
          <c:invertIfNegative val="0"/>
          <c:cat>
            <c:strRef>
              <c:f>'4 Dashboard'!$C$88:$C$102</c:f>
              <c:strCache>
                <c:ptCount val="15"/>
                <c:pt idx="0">
                  <c:v>3.1 Biens et services</c:v>
                </c:pt>
                <c:pt idx="1">
                  <c:v>3.2 Biens d’équipement</c:v>
                </c:pt>
                <c:pt idx="2">
                  <c:v>3.3 Émissions indirectes de l'énergie</c:v>
                </c:pt>
                <c:pt idx="3">
                  <c:v>3.4 Transport en amont</c:v>
                </c:pt>
                <c:pt idx="4">
                  <c:v>3.5 Déchets d'exploitation</c:v>
                </c:pt>
                <c:pt idx="5">
                  <c:v>3.6 Voyages d’affaires</c:v>
                </c:pt>
                <c:pt idx="6">
                  <c:v>3.7 Trajets pendulaires</c:v>
                </c:pt>
                <c:pt idx="7">
                  <c:v>3.8 Actifs loués en amont</c:v>
                </c:pt>
                <c:pt idx="8">
                  <c:v>3.9 Transport en aval</c:v>
                </c:pt>
                <c:pt idx="9">
                  <c:v>3.10 Transformation des biens vendus</c:v>
                </c:pt>
                <c:pt idx="10">
                  <c:v>3.11 Utilisation des biens vendus</c:v>
                </c:pt>
                <c:pt idx="11">
                  <c:v>3.12 Élimination des produits vendus</c:v>
                </c:pt>
                <c:pt idx="12">
                  <c:v>3.13 Actifs loués en aval</c:v>
                </c:pt>
                <c:pt idx="13">
                  <c:v>3.14 Franchises</c:v>
                </c:pt>
                <c:pt idx="14">
                  <c:v>3.15 Investissements</c:v>
                </c:pt>
              </c:strCache>
            </c:strRef>
          </c:cat>
          <c:val>
            <c:numRef>
              <c:f>'4 Dashboard'!$D$88:$D$102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246A-4AA4-8E8C-4A07B4E426C4}"/>
            </c:ext>
          </c:extLst>
        </c:ser>
        <c:dLbls>
          <c:showLegendKey val="0"/>
          <c:showVal val="0"/>
          <c:showCatName val="0"/>
          <c:showSerName val="0"/>
          <c:showPercent val="0"/>
          <c:showBubbleSize val="0"/>
        </c:dLbls>
        <c:gapWidth val="182"/>
        <c:axId val="195491327"/>
        <c:axId val="195492767"/>
      </c:barChart>
      <c:catAx>
        <c:axId val="19549132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2767"/>
        <c:crosses val="autoZero"/>
        <c:auto val="1"/>
        <c:lblAlgn val="ctr"/>
        <c:lblOffset val="100"/>
        <c:noMultiLvlLbl val="0"/>
      </c:catAx>
      <c:valAx>
        <c:axId val="195492767"/>
        <c:scaling>
          <c:orientation val="minMax"/>
        </c:scaling>
        <c:delete val="0"/>
        <c:axPos val="t"/>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1327"/>
        <c:crosses val="autoZero"/>
        <c:crossBetween val="between"/>
      </c:valAx>
      <c:spPr>
        <a:solidFill>
          <a:schemeClr val="bg1">
            <a:lumMod val="95000"/>
          </a:schemeClr>
        </a:solidFill>
      </c:spPr>
    </c:plotArea>
    <c:plotVisOnly val="1"/>
    <c:dispBlanksAs val="gap"/>
    <c:showDLblsOverMax val="0"/>
  </c:chart>
  <c:spPr>
    <a:solidFill>
      <a:schemeClr val="bg1">
        <a:lumMod val="95000"/>
      </a:schemeClr>
    </a:solidFill>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 Dashboard'!$K$35</c:f>
          <c:strCache>
            <c:ptCount val="1"/>
            <c:pt idx="0">
              <c:v>Résultats par catégorie</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0.39896632755283445"/>
          <c:y val="0.16766792445565332"/>
          <c:w val="0.57990361451065242"/>
          <c:h val="0.81016097773841844"/>
        </c:manualLayout>
      </c:layout>
      <c:barChart>
        <c:barDir val="bar"/>
        <c:grouping val="clustered"/>
        <c:varyColors val="0"/>
        <c:ser>
          <c:idx val="0"/>
          <c:order val="0"/>
          <c:tx>
            <c:strRef>
              <c:f>'4 Dashboard'!$X$15</c:f>
              <c:strCache>
                <c:ptCount val="1"/>
                <c:pt idx="0">
                  <c:v>Result</c:v>
                </c:pt>
              </c:strCache>
            </c:strRef>
          </c:tx>
          <c:spPr>
            <a:solidFill>
              <a:srgbClr val="2F4356"/>
            </a:solidFill>
            <a:ln>
              <a:noFill/>
            </a:ln>
            <a:effectLst/>
          </c:spPr>
          <c:invertIfNegative val="0"/>
          <c:dPt>
            <c:idx val="0"/>
            <c:invertIfNegative val="0"/>
            <c:bubble3D val="0"/>
            <c:spPr>
              <a:solidFill>
                <a:srgbClr val="9EB6CA"/>
              </a:solidFill>
              <a:ln>
                <a:noFill/>
              </a:ln>
              <a:effectLst/>
            </c:spPr>
            <c:extLst>
              <c:ext xmlns:c16="http://schemas.microsoft.com/office/drawing/2014/chart" uri="{C3380CC4-5D6E-409C-BE32-E72D297353CC}">
                <c16:uniqueId val="{00000000-AC26-4749-8D1B-22CCAA662E79}"/>
              </c:ext>
            </c:extLst>
          </c:dPt>
          <c:dPt>
            <c:idx val="1"/>
            <c:invertIfNegative val="0"/>
            <c:bubble3D val="0"/>
            <c:spPr>
              <a:solidFill>
                <a:srgbClr val="9EB6CA"/>
              </a:solidFill>
              <a:ln>
                <a:noFill/>
              </a:ln>
              <a:effectLst/>
            </c:spPr>
            <c:extLst>
              <c:ext xmlns:c16="http://schemas.microsoft.com/office/drawing/2014/chart" uri="{C3380CC4-5D6E-409C-BE32-E72D297353CC}">
                <c16:uniqueId val="{00000001-AC26-4749-8D1B-22CCAA662E79}"/>
              </c:ext>
            </c:extLst>
          </c:dPt>
          <c:dPt>
            <c:idx val="2"/>
            <c:invertIfNegative val="0"/>
            <c:bubble3D val="0"/>
            <c:spPr>
              <a:solidFill>
                <a:srgbClr val="9EB6CA"/>
              </a:solidFill>
              <a:ln>
                <a:noFill/>
              </a:ln>
              <a:effectLst/>
            </c:spPr>
            <c:extLst>
              <c:ext xmlns:c16="http://schemas.microsoft.com/office/drawing/2014/chart" uri="{C3380CC4-5D6E-409C-BE32-E72D297353CC}">
                <c16:uniqueId val="{00000002-AC26-4749-8D1B-22CCAA662E79}"/>
              </c:ext>
            </c:extLst>
          </c:dPt>
          <c:dPt>
            <c:idx val="3"/>
            <c:invertIfNegative val="0"/>
            <c:bubble3D val="0"/>
            <c:spPr>
              <a:solidFill>
                <a:srgbClr val="9EB6CA"/>
              </a:solidFill>
              <a:ln>
                <a:noFill/>
              </a:ln>
              <a:effectLst/>
            </c:spPr>
            <c:extLst>
              <c:ext xmlns:c16="http://schemas.microsoft.com/office/drawing/2014/chart" uri="{C3380CC4-5D6E-409C-BE32-E72D297353CC}">
                <c16:uniqueId val="{00000003-AC26-4749-8D1B-22CCAA662E79}"/>
              </c:ext>
            </c:extLst>
          </c:dPt>
          <c:dPt>
            <c:idx val="4"/>
            <c:invertIfNegative val="0"/>
            <c:bubble3D val="0"/>
            <c:spPr>
              <a:solidFill>
                <a:srgbClr val="6288AA"/>
              </a:solidFill>
              <a:ln>
                <a:noFill/>
              </a:ln>
              <a:effectLst/>
            </c:spPr>
            <c:extLst>
              <c:ext xmlns:c16="http://schemas.microsoft.com/office/drawing/2014/chart" uri="{C3380CC4-5D6E-409C-BE32-E72D297353CC}">
                <c16:uniqueId val="{00000004-AC26-4749-8D1B-22CCAA662E79}"/>
              </c:ext>
            </c:extLst>
          </c:dPt>
          <c:dPt>
            <c:idx val="5"/>
            <c:invertIfNegative val="0"/>
            <c:bubble3D val="0"/>
            <c:spPr>
              <a:solidFill>
                <a:srgbClr val="6288AA"/>
              </a:solidFill>
              <a:ln>
                <a:noFill/>
              </a:ln>
              <a:effectLst/>
            </c:spPr>
            <c:extLst>
              <c:ext xmlns:c16="http://schemas.microsoft.com/office/drawing/2014/chart" uri="{C3380CC4-5D6E-409C-BE32-E72D297353CC}">
                <c16:uniqueId val="{00000005-AC26-4749-8D1B-22CCAA662E79}"/>
              </c:ext>
            </c:extLst>
          </c:dPt>
          <c:dLbls>
            <c:numFmt formatCode="_ * #,##0_ ;_ * \-#,##0_ ;_ * &quot;-&quot;_ ;_ @_ " sourceLinked="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[0]!graph_categories</c:f>
              <c:multiLvlStrCache>
                <c:ptCount val="21"/>
                <c:lvl>
                  <c:pt idx="0">
                    <c:v>Combustion stationnaire</c:v>
                  </c:pt>
                  <c:pt idx="1">
                    <c:v>Émissions fugitives</c:v>
                  </c:pt>
                  <c:pt idx="2">
                    <c:v>Flotte</c:v>
                  </c:pt>
                  <c:pt idx="3">
                    <c:v>Émissions liées aux processus</c:v>
                  </c:pt>
                  <c:pt idx="4">
                    <c:v>Électricité (+ flotte électrique propre)</c:v>
                  </c:pt>
                  <c:pt idx="5">
                    <c:v>Chauffage à distance et vapeur</c:v>
                  </c:pt>
                  <c:pt idx="6">
                    <c:v>3.1 Biens et services</c:v>
                  </c:pt>
                  <c:pt idx="7">
                    <c:v>3.2 Biens d’équipement</c:v>
                  </c:pt>
                  <c:pt idx="8">
                    <c:v>3.3 Émissions indirectes de l'énergie</c:v>
                  </c:pt>
                  <c:pt idx="9">
                    <c:v>3.4 Transport en amont</c:v>
                  </c:pt>
                  <c:pt idx="10">
                    <c:v>3.5 Déchets d'exploitation</c:v>
                  </c:pt>
                  <c:pt idx="11">
                    <c:v>3.6 Voyages d’affaires</c:v>
                  </c:pt>
                  <c:pt idx="12">
                    <c:v>3.7 Trajets pendulaires</c:v>
                  </c:pt>
                  <c:pt idx="13">
                    <c:v>3.8 Actifs loués en amont</c:v>
                  </c:pt>
                  <c:pt idx="14">
                    <c:v>3.9 Transport en aval</c:v>
                  </c:pt>
                  <c:pt idx="15">
                    <c:v>3.10 Transformation des biens vendus</c:v>
                  </c:pt>
                  <c:pt idx="16">
                    <c:v>3.11 Utilisation des biens vendus</c:v>
                  </c:pt>
                  <c:pt idx="17">
                    <c:v>3.12 Élimination des produits vendus</c:v>
                  </c:pt>
                  <c:pt idx="18">
                    <c:v>3.13 Actifs loués en aval</c:v>
                  </c:pt>
                  <c:pt idx="19">
                    <c:v>3.14 Franchises</c:v>
                  </c:pt>
                  <c:pt idx="20">
                    <c:v>3.15 Investissements</c:v>
                  </c:pt>
                </c:lvl>
                <c:lvl>
                  <c:pt idx="0">
                    <c:v>Scope 1</c:v>
                  </c:pt>
                  <c:pt idx="4">
                    <c:v>Scope 2</c:v>
                  </c:pt>
                  <c:pt idx="6">
                    <c:v>Scope 3</c:v>
                  </c:pt>
                </c:lvl>
              </c:multiLvlStrCache>
            </c:multiLvlStrRef>
          </c:cat>
          <c:val>
            <c:numRef>
              <c:f>[0]!graph_results</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74E8-49C8-9119-514733A1F751}"/>
            </c:ext>
          </c:extLst>
        </c:ser>
        <c:dLbls>
          <c:dLblPos val="outEnd"/>
          <c:showLegendKey val="0"/>
          <c:showVal val="1"/>
          <c:showCatName val="0"/>
          <c:showSerName val="0"/>
          <c:showPercent val="0"/>
          <c:showBubbleSize val="0"/>
        </c:dLbls>
        <c:gapWidth val="182"/>
        <c:axId val="1610734415"/>
        <c:axId val="1610744015"/>
      </c:barChart>
      <c:catAx>
        <c:axId val="1610734415"/>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610744015"/>
        <c:crosses val="autoZero"/>
        <c:auto val="1"/>
        <c:lblAlgn val="ctr"/>
        <c:lblOffset val="100"/>
        <c:noMultiLvlLbl val="0"/>
      </c:catAx>
      <c:valAx>
        <c:axId val="1610744015"/>
        <c:scaling>
          <c:orientation val="minMax"/>
        </c:scaling>
        <c:delete val="0"/>
        <c:axPos val="t"/>
        <c:majorGridlines>
          <c:spPr>
            <a:ln w="9525" cap="flat" cmpd="sng" algn="ctr">
              <a:solidFill>
                <a:schemeClr val="tx1">
                  <a:lumMod val="15000"/>
                  <a:lumOff val="85000"/>
                </a:schemeClr>
              </a:solidFill>
              <a:round/>
            </a:ln>
            <a:effectLst/>
          </c:spPr>
        </c:majorGridlines>
        <c:title>
          <c:tx>
            <c:strRef>
              <c:f>'4 Dashboard'!$S$23</c:f>
              <c:strCache>
                <c:ptCount val="1"/>
                <c:pt idx="0">
                  <c:v>Émissions GES (IPCC 2021) [t CO2 eq]</c:v>
                </c:pt>
              </c:strCache>
            </c:strRef>
          </c:tx>
          <c:layout>
            <c:manualLayout>
              <c:xMode val="edge"/>
              <c:yMode val="edge"/>
              <c:x val="0.44916953280328981"/>
              <c:y val="8.095011198172355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6107344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ysClr val="windowText" lastClr="000000"/>
      </a:solid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strRef>
          <c:f>'4 Dashboard'!$K$22</c:f>
          <c:strCache>
            <c:ptCount val="1"/>
            <c:pt idx="0">
              <c:v>Résultats par Scope</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doughnutChart>
        <c:varyColors val="1"/>
        <c:ser>
          <c:idx val="0"/>
          <c:order val="0"/>
          <c:dPt>
            <c:idx val="0"/>
            <c:bubble3D val="0"/>
            <c:spPr>
              <a:solidFill>
                <a:srgbClr val="9EB6CA"/>
              </a:solidFill>
              <a:ln w="19050">
                <a:solidFill>
                  <a:schemeClr val="lt1"/>
                </a:solidFill>
              </a:ln>
              <a:effectLst/>
            </c:spPr>
            <c:extLst>
              <c:ext xmlns:c16="http://schemas.microsoft.com/office/drawing/2014/chart" uri="{C3380CC4-5D6E-409C-BE32-E72D297353CC}">
                <c16:uniqueId val="{00000001-2AD0-44BB-8F0F-54F494151043}"/>
              </c:ext>
            </c:extLst>
          </c:dPt>
          <c:dPt>
            <c:idx val="1"/>
            <c:bubble3D val="0"/>
            <c:spPr>
              <a:solidFill>
                <a:srgbClr val="6288AA"/>
              </a:solidFill>
              <a:ln w="19050">
                <a:solidFill>
                  <a:schemeClr val="lt1"/>
                </a:solidFill>
              </a:ln>
              <a:effectLst/>
            </c:spPr>
            <c:extLst>
              <c:ext xmlns:c16="http://schemas.microsoft.com/office/drawing/2014/chart" uri="{C3380CC4-5D6E-409C-BE32-E72D297353CC}">
                <c16:uniqueId val="{00000003-2AD0-44BB-8F0F-54F494151043}"/>
              </c:ext>
            </c:extLst>
          </c:dPt>
          <c:dPt>
            <c:idx val="2"/>
            <c:bubble3D val="0"/>
            <c:spPr>
              <a:solidFill>
                <a:srgbClr val="2F4356"/>
              </a:solidFill>
              <a:ln w="19050">
                <a:solidFill>
                  <a:schemeClr val="lt1"/>
                </a:solidFill>
              </a:ln>
              <a:effectLst/>
            </c:spPr>
            <c:extLst>
              <c:ext xmlns:c16="http://schemas.microsoft.com/office/drawing/2014/chart" uri="{C3380CC4-5D6E-409C-BE32-E72D297353CC}">
                <c16:uniqueId val="{00000005-2AD0-44BB-8F0F-54F494151043}"/>
              </c:ext>
            </c:extLst>
          </c:dPt>
          <c:cat>
            <c:strRef>
              <c:f>[0]!graph_donut_category</c:f>
              <c:strCache>
                <c:ptCount val="3"/>
                <c:pt idx="0">
                  <c:v>Scope 1</c:v>
                </c:pt>
                <c:pt idx="1">
                  <c:v>Scope 2</c:v>
                </c:pt>
                <c:pt idx="2">
                  <c:v>Scope 3</c:v>
                </c:pt>
              </c:strCache>
            </c:strRef>
          </c:cat>
          <c:val>
            <c:numRef>
              <c:f>[0]!graph_donut_results</c:f>
              <c:numCache>
                <c:formatCode>#,##0</c:formatCode>
                <c:ptCount val="3"/>
                <c:pt idx="0">
                  <c:v>0</c:v>
                </c:pt>
                <c:pt idx="1">
                  <c:v>0</c:v>
                </c:pt>
                <c:pt idx="2">
                  <c:v>0</c:v>
                </c:pt>
              </c:numCache>
            </c:numRef>
          </c:val>
          <c:extLst>
            <c:ext xmlns:c16="http://schemas.microsoft.com/office/drawing/2014/chart" uri="{C3380CC4-5D6E-409C-BE32-E72D297353CC}">
              <c16:uniqueId val="{00000000-E86F-4F81-826F-BA5469655716}"/>
            </c:ext>
          </c:extLst>
        </c:ser>
        <c:dLbls>
          <c:showLegendKey val="0"/>
          <c:showVal val="0"/>
          <c:showCatName val="0"/>
          <c:showSerName val="0"/>
          <c:showPercent val="0"/>
          <c:showBubbleSize val="0"/>
          <c:showLeaderLines val="1"/>
        </c:dLbls>
        <c:firstSliceAng val="0"/>
        <c:holeSize val="6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I$232" lockText="1" noThreeD="1"/>
</file>

<file path=xl/ctrlProps/ctrlProp10.xml><?xml version="1.0" encoding="utf-8"?>
<formControlPr xmlns="http://schemas.microsoft.com/office/spreadsheetml/2009/9/main" objectType="CheckBox" fmlaLink="$I$139" lockText="1" noThreeD="1"/>
</file>

<file path=xl/ctrlProps/ctrlProp11.xml><?xml version="1.0" encoding="utf-8"?>
<formControlPr xmlns="http://schemas.microsoft.com/office/spreadsheetml/2009/9/main" objectType="CheckBox" fmlaLink="$I$200" lockText="1" noThreeD="1"/>
</file>

<file path=xl/ctrlProps/ctrlProp12.xml><?xml version="1.0" encoding="utf-8"?>
<formControlPr xmlns="http://schemas.microsoft.com/office/spreadsheetml/2009/9/main" objectType="CheckBox" fmlaLink="$I$429" lockText="1" noThreeD="1"/>
</file>

<file path=xl/ctrlProps/ctrlProp13.xml><?xml version="1.0" encoding="utf-8"?>
<formControlPr xmlns="http://schemas.microsoft.com/office/spreadsheetml/2009/9/main" objectType="CheckBox" fmlaLink="$I$463" lockText="1" noThreeD="1"/>
</file>

<file path=xl/ctrlProps/ctrlProp14.xml><?xml version="1.0" encoding="utf-8"?>
<formControlPr xmlns="http://schemas.microsoft.com/office/spreadsheetml/2009/9/main" objectType="CheckBox" fmlaLink="$I$497" lockText="1" noThreeD="1"/>
</file>

<file path=xl/ctrlProps/ctrlProp15.xml><?xml version="1.0" encoding="utf-8"?>
<formControlPr xmlns="http://schemas.microsoft.com/office/spreadsheetml/2009/9/main" objectType="CheckBox" fmlaLink="$I$531" lockText="1" noThreeD="1"/>
</file>

<file path=xl/ctrlProps/ctrlProp16.xml><?xml version="1.0" encoding="utf-8"?>
<formControlPr xmlns="http://schemas.microsoft.com/office/spreadsheetml/2009/9/main" objectType="CheckBox" fmlaLink="$I$571" lockText="1" noThreeD="1"/>
</file>

<file path=xl/ctrlProps/ctrlProp17.xml><?xml version="1.0" encoding="utf-8"?>
<formControlPr xmlns="http://schemas.microsoft.com/office/spreadsheetml/2009/9/main" objectType="CheckBox" fmlaLink="$I$614" lockText="1" noThreeD="1"/>
</file>

<file path=xl/ctrlProps/ctrlProp18.xml><?xml version="1.0" encoding="utf-8"?>
<formControlPr xmlns="http://schemas.microsoft.com/office/spreadsheetml/2009/9/main" objectType="CheckBox" fmlaLink="$I$685" lockText="1" noThreeD="1"/>
</file>

<file path=xl/ctrlProps/ctrlProp19.xml><?xml version="1.0" encoding="utf-8"?>
<formControlPr xmlns="http://schemas.microsoft.com/office/spreadsheetml/2009/9/main" objectType="CheckBox" fmlaLink="$I$656" lockText="1" noThreeD="1"/>
</file>

<file path=xl/ctrlProps/ctrlProp2.xml><?xml version="1.0" encoding="utf-8"?>
<formControlPr xmlns="http://schemas.microsoft.com/office/spreadsheetml/2009/9/main" objectType="CheckBox" fmlaLink="$I$281" lockText="1" noThreeD="1"/>
</file>

<file path=xl/ctrlProps/ctrlProp20.xml><?xml version="1.0" encoding="utf-8"?>
<formControlPr xmlns="http://schemas.microsoft.com/office/spreadsheetml/2009/9/main" objectType="CheckBox" fmlaLink="$I$715" lockText="1" noThreeD="1"/>
</file>

<file path=xl/ctrlProps/ctrlProp21.xml><?xml version="1.0" encoding="utf-8"?>
<formControlPr xmlns="http://schemas.microsoft.com/office/spreadsheetml/2009/9/main" objectType="CheckBox" fmlaLink="$I$739" lockText="1" noThreeD="1"/>
</file>

<file path=xl/ctrlProps/ctrlProp22.xml><?xml version="1.0" encoding="utf-8"?>
<formControlPr xmlns="http://schemas.microsoft.com/office/spreadsheetml/2009/9/main" objectType="CheckBox" fmlaLink="$I$764" lockText="1" noThreeD="1"/>
</file>

<file path=xl/ctrlProps/ctrlProp23.xml><?xml version="1.0" encoding="utf-8"?>
<formControlPr xmlns="http://schemas.microsoft.com/office/spreadsheetml/2009/9/main" objectType="CheckBox" fmlaLink="$I$798" lockText="1" noThreeD="1"/>
</file>

<file path=xl/ctrlProps/ctrlProp24.xml><?xml version="1.0" encoding="utf-8"?>
<formControlPr xmlns="http://schemas.microsoft.com/office/spreadsheetml/2009/9/main" objectType="CheckBox" fmlaLink="$I$834" lockText="1" noThreeD="1"/>
</file>

<file path=xl/ctrlProps/ctrlProp25.xml><?xml version="1.0" encoding="utf-8"?>
<formControlPr xmlns="http://schemas.microsoft.com/office/spreadsheetml/2009/9/main" objectType="CheckBox" fmlaLink="$I$870" lockText="1" noThreeD="1"/>
</file>

<file path=xl/ctrlProps/ctrlProp26.xml><?xml version="1.0" encoding="utf-8"?>
<formControlPr xmlns="http://schemas.microsoft.com/office/spreadsheetml/2009/9/main" objectType="CheckBox" fmlaLink="$I$903" lockText="1" noThreeD="1"/>
</file>

<file path=xl/ctrlProps/ctrlProp27.xml><?xml version="1.0" encoding="utf-8"?>
<formControlPr xmlns="http://schemas.microsoft.com/office/spreadsheetml/2009/9/main" objectType="CheckBox" fmlaLink="$I$926" lockText="1" noThreeD="1"/>
</file>

<file path=xl/ctrlProps/ctrlProp28.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I$171" lockText="1" noThreeD="1"/>
</file>

<file path=xl/ctrlProps/ctrlProp4.xml><?xml version="1.0" encoding="utf-8"?>
<formControlPr xmlns="http://schemas.microsoft.com/office/spreadsheetml/2009/9/main" objectType="CheckBox" fmlaLink="$I$49" lockText="1" noThreeD="1"/>
</file>

<file path=xl/ctrlProps/ctrlProp5.xml><?xml version="1.0" encoding="utf-8"?>
<formControlPr xmlns="http://schemas.microsoft.com/office/spreadsheetml/2009/9/main" objectType="CheckBox" fmlaLink="$I$110" lockText="1" noThreeD="1"/>
</file>

<file path=xl/ctrlProps/ctrlProp6.xml><?xml version="1.0" encoding="utf-8"?>
<formControlPr xmlns="http://schemas.microsoft.com/office/spreadsheetml/2009/9/main" objectType="CheckBox" fmlaLink="$I$78" lockText="1" noThreeD="1"/>
</file>

<file path=xl/ctrlProps/ctrlProp7.xml><?xml version="1.0" encoding="utf-8"?>
<formControlPr xmlns="http://schemas.microsoft.com/office/spreadsheetml/2009/9/main" objectType="CheckBox" fmlaLink="$I$313" lockText="1" noThreeD="1"/>
</file>

<file path=xl/ctrlProps/ctrlProp8.xml><?xml version="1.0" encoding="utf-8"?>
<formControlPr xmlns="http://schemas.microsoft.com/office/spreadsheetml/2009/9/main" objectType="CheckBox" fmlaLink="$I$350" lockText="1" noThreeD="1"/>
</file>

<file path=xl/ctrlProps/ctrlProp9.xml><?xml version="1.0" encoding="utf-8"?>
<formControlPr xmlns="http://schemas.microsoft.com/office/spreadsheetml/2009/9/main" objectType="CheckBox" fmlaLink="$I$388"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34644</xdr:colOff>
      <xdr:row>65</xdr:row>
      <xdr:rowOff>27919</xdr:rowOff>
    </xdr:from>
    <xdr:to>
      <xdr:col>2</xdr:col>
      <xdr:colOff>499745</xdr:colOff>
      <xdr:row>65</xdr:row>
      <xdr:rowOff>187303</xdr:rowOff>
    </xdr:to>
    <xdr:pic>
      <xdr:nvPicPr>
        <xdr:cNvPr id="8" name="Grafik 7" descr="EBP Schweiz AG - ssi-schweiz.ch">
          <a:extLst>
            <a:ext uri="{FF2B5EF4-FFF2-40B4-BE49-F238E27FC236}">
              <a16:creationId xmlns:a16="http://schemas.microsoft.com/office/drawing/2014/main" id="{F20B8267-EEBF-BBA0-3BFD-8400A59E9D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13" y="16220419"/>
          <a:ext cx="513899" cy="155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13331</xdr:colOff>
      <xdr:row>59</xdr:row>
      <xdr:rowOff>27344</xdr:rowOff>
    </xdr:from>
    <xdr:to>
      <xdr:col>2</xdr:col>
      <xdr:colOff>499387</xdr:colOff>
      <xdr:row>60</xdr:row>
      <xdr:rowOff>33382</xdr:rowOff>
    </xdr:to>
    <xdr:pic>
      <xdr:nvPicPr>
        <xdr:cNvPr id="11" name="Grafik 10" descr="Bundesamt für Umwelt BAFU | LinkedIn">
          <a:extLst>
            <a:ext uri="{FF2B5EF4-FFF2-40B4-BE49-F238E27FC236}">
              <a16:creationId xmlns:a16="http://schemas.microsoft.com/office/drawing/2014/main" id="{90A4F4B5-6E07-F351-7FA7-B1D624F7C1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8100" y="14695844"/>
          <a:ext cx="539934" cy="549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5</xdr:row>
      <xdr:rowOff>30481</xdr:rowOff>
    </xdr:from>
    <xdr:to>
      <xdr:col>5</xdr:col>
      <xdr:colOff>3810</xdr:colOff>
      <xdr:row>6</xdr:row>
      <xdr:rowOff>187405</xdr:rowOff>
    </xdr:to>
    <xdr:pic>
      <xdr:nvPicPr>
        <xdr:cNvPr id="2" name="Picture 1" descr="Bundeslogo_farbig">
          <a:extLst>
            <a:ext uri="{FF2B5EF4-FFF2-40B4-BE49-F238E27FC236}">
              <a16:creationId xmlns:a16="http://schemas.microsoft.com/office/drawing/2014/main" id="{107EBB78-D238-19D8-764C-E819A428C6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0535" y="647701"/>
          <a:ext cx="1638300" cy="38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230</xdr:row>
          <xdr:rowOff>495300</xdr:rowOff>
        </xdr:from>
        <xdr:to>
          <xdr:col>2</xdr:col>
          <xdr:colOff>476250</xdr:colOff>
          <xdr:row>232</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279</xdr:row>
          <xdr:rowOff>171450</xdr:rowOff>
        </xdr:from>
        <xdr:to>
          <xdr:col>2</xdr:col>
          <xdr:colOff>438150</xdr:colOff>
          <xdr:row>281</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169</xdr:row>
          <xdr:rowOff>495300</xdr:rowOff>
        </xdr:from>
        <xdr:to>
          <xdr:col>2</xdr:col>
          <xdr:colOff>476250</xdr:colOff>
          <xdr:row>171</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48</xdr:row>
          <xdr:rowOff>28575</xdr:rowOff>
        </xdr:from>
        <xdr:to>
          <xdr:col>2</xdr:col>
          <xdr:colOff>485775</xdr:colOff>
          <xdr:row>48</xdr:row>
          <xdr:rowOff>257175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171450</xdr:rowOff>
        </xdr:from>
        <xdr:to>
          <xdr:col>2</xdr:col>
          <xdr:colOff>447675</xdr:colOff>
          <xdr:row>110</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180975</xdr:rowOff>
        </xdr:from>
        <xdr:to>
          <xdr:col>2</xdr:col>
          <xdr:colOff>476250</xdr:colOff>
          <xdr:row>78</xdr:row>
          <xdr:rowOff>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312</xdr:row>
          <xdr:rowOff>38100</xdr:rowOff>
        </xdr:from>
        <xdr:to>
          <xdr:col>2</xdr:col>
          <xdr:colOff>476250</xdr:colOff>
          <xdr:row>313</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349</xdr:row>
          <xdr:rowOff>19050</xdr:rowOff>
        </xdr:from>
        <xdr:to>
          <xdr:col>2</xdr:col>
          <xdr:colOff>476250</xdr:colOff>
          <xdr:row>350</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386</xdr:row>
          <xdr:rowOff>171450</xdr:rowOff>
        </xdr:from>
        <xdr:to>
          <xdr:col>2</xdr:col>
          <xdr:colOff>485775</xdr:colOff>
          <xdr:row>388</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138</xdr:row>
          <xdr:rowOff>0</xdr:rowOff>
        </xdr:from>
        <xdr:to>
          <xdr:col>2</xdr:col>
          <xdr:colOff>476250</xdr:colOff>
          <xdr:row>139</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199</xdr:row>
          <xdr:rowOff>0</xdr:rowOff>
        </xdr:from>
        <xdr:to>
          <xdr:col>2</xdr:col>
          <xdr:colOff>476250</xdr:colOff>
          <xdr:row>200</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427</xdr:row>
          <xdr:rowOff>171450</xdr:rowOff>
        </xdr:from>
        <xdr:to>
          <xdr:col>2</xdr:col>
          <xdr:colOff>476250</xdr:colOff>
          <xdr:row>429</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461</xdr:row>
          <xdr:rowOff>171450</xdr:rowOff>
        </xdr:from>
        <xdr:to>
          <xdr:col>2</xdr:col>
          <xdr:colOff>447675</xdr:colOff>
          <xdr:row>463</xdr:row>
          <xdr:rowOff>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496</xdr:row>
          <xdr:rowOff>19050</xdr:rowOff>
        </xdr:from>
        <xdr:to>
          <xdr:col>2</xdr:col>
          <xdr:colOff>476250</xdr:colOff>
          <xdr:row>497</xdr:row>
          <xdr:rowOff>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530</xdr:row>
          <xdr:rowOff>19050</xdr:rowOff>
        </xdr:from>
        <xdr:to>
          <xdr:col>2</xdr:col>
          <xdr:colOff>476250</xdr:colOff>
          <xdr:row>531</xdr:row>
          <xdr:rowOff>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570</xdr:row>
          <xdr:rowOff>19050</xdr:rowOff>
        </xdr:from>
        <xdr:to>
          <xdr:col>2</xdr:col>
          <xdr:colOff>476250</xdr:colOff>
          <xdr:row>571</xdr:row>
          <xdr:rowOff>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613</xdr:row>
          <xdr:rowOff>0</xdr:rowOff>
        </xdr:from>
        <xdr:to>
          <xdr:col>2</xdr:col>
          <xdr:colOff>476250</xdr:colOff>
          <xdr:row>614</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683</xdr:row>
          <xdr:rowOff>180975</xdr:rowOff>
        </xdr:from>
        <xdr:to>
          <xdr:col>2</xdr:col>
          <xdr:colOff>476250</xdr:colOff>
          <xdr:row>685</xdr:row>
          <xdr:rowOff>9525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654</xdr:row>
          <xdr:rowOff>171450</xdr:rowOff>
        </xdr:from>
        <xdr:to>
          <xdr:col>2</xdr:col>
          <xdr:colOff>514350</xdr:colOff>
          <xdr:row>656</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713</xdr:row>
          <xdr:rowOff>180975</xdr:rowOff>
        </xdr:from>
        <xdr:to>
          <xdr:col>2</xdr:col>
          <xdr:colOff>447675</xdr:colOff>
          <xdr:row>715</xdr:row>
          <xdr:rowOff>9525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737</xdr:row>
          <xdr:rowOff>171450</xdr:rowOff>
        </xdr:from>
        <xdr:to>
          <xdr:col>2</xdr:col>
          <xdr:colOff>495300</xdr:colOff>
          <xdr:row>739</xdr:row>
          <xdr:rowOff>19050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762</xdr:row>
          <xdr:rowOff>171450</xdr:rowOff>
        </xdr:from>
        <xdr:to>
          <xdr:col>2</xdr:col>
          <xdr:colOff>476250</xdr:colOff>
          <xdr:row>764</xdr:row>
          <xdr:rowOff>19050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796</xdr:row>
          <xdr:rowOff>180975</xdr:rowOff>
        </xdr:from>
        <xdr:to>
          <xdr:col>2</xdr:col>
          <xdr:colOff>476250</xdr:colOff>
          <xdr:row>798</xdr:row>
          <xdr:rowOff>9525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833</xdr:row>
          <xdr:rowOff>28575</xdr:rowOff>
        </xdr:from>
        <xdr:to>
          <xdr:col>2</xdr:col>
          <xdr:colOff>219075</xdr:colOff>
          <xdr:row>834</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868</xdr:row>
          <xdr:rowOff>180975</xdr:rowOff>
        </xdr:from>
        <xdr:to>
          <xdr:col>2</xdr:col>
          <xdr:colOff>447675</xdr:colOff>
          <xdr:row>870</xdr:row>
          <xdr:rowOff>9525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902</xdr:row>
          <xdr:rowOff>19050</xdr:rowOff>
        </xdr:from>
        <xdr:to>
          <xdr:col>2</xdr:col>
          <xdr:colOff>447675</xdr:colOff>
          <xdr:row>903</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925</xdr:row>
          <xdr:rowOff>0</xdr:rowOff>
        </xdr:from>
        <xdr:to>
          <xdr:col>2</xdr:col>
          <xdr:colOff>485775</xdr:colOff>
          <xdr:row>926</xdr:row>
          <xdr:rowOff>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28575</xdr:rowOff>
        </xdr:from>
        <xdr:to>
          <xdr:col>1</xdr:col>
          <xdr:colOff>285750</xdr:colOff>
          <xdr:row>18</xdr:row>
          <xdr:rowOff>38100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579783</xdr:colOff>
      <xdr:row>515</xdr:row>
      <xdr:rowOff>74544</xdr:rowOff>
    </xdr:from>
    <xdr:to>
      <xdr:col>5</xdr:col>
      <xdr:colOff>1089372</xdr:colOff>
      <xdr:row>534</xdr:row>
      <xdr:rowOff>98564</xdr:rowOff>
    </xdr:to>
    <xdr:graphicFrame macro="">
      <xdr:nvGraphicFramePr>
        <xdr:cNvPr id="2" name="Diagramm 1">
          <a:extLst>
            <a:ext uri="{FF2B5EF4-FFF2-40B4-BE49-F238E27FC236}">
              <a16:creationId xmlns:a16="http://schemas.microsoft.com/office/drawing/2014/main" id="{061357B6-1471-4267-8283-44E354FA9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745434</xdr:colOff>
      <xdr:row>515</xdr:row>
      <xdr:rowOff>82826</xdr:rowOff>
    </xdr:from>
    <xdr:to>
      <xdr:col>8</xdr:col>
      <xdr:colOff>1274072</xdr:colOff>
      <xdr:row>534</xdr:row>
      <xdr:rowOff>87796</xdr:rowOff>
    </xdr:to>
    <xdr:graphicFrame macro="">
      <xdr:nvGraphicFramePr>
        <xdr:cNvPr id="4" name="Diagramm 3">
          <a:extLst>
            <a:ext uri="{FF2B5EF4-FFF2-40B4-BE49-F238E27FC236}">
              <a16:creationId xmlns:a16="http://schemas.microsoft.com/office/drawing/2014/main" id="{034BE532-F101-4745-9103-A79CBF4A8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281609</xdr:colOff>
      <xdr:row>536</xdr:row>
      <xdr:rowOff>49696</xdr:rowOff>
    </xdr:from>
    <xdr:to>
      <xdr:col>5</xdr:col>
      <xdr:colOff>1424609</xdr:colOff>
      <xdr:row>559</xdr:row>
      <xdr:rowOff>135422</xdr:rowOff>
    </xdr:to>
    <xdr:graphicFrame macro="">
      <xdr:nvGraphicFramePr>
        <xdr:cNvPr id="5" name="Diagramm 4">
          <a:extLst>
            <a:ext uri="{FF2B5EF4-FFF2-40B4-BE49-F238E27FC236}">
              <a16:creationId xmlns:a16="http://schemas.microsoft.com/office/drawing/2014/main" id="{DE6A6DAC-EB71-458B-AC30-7C324E706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422413</xdr:colOff>
      <xdr:row>536</xdr:row>
      <xdr:rowOff>33130</xdr:rowOff>
    </xdr:from>
    <xdr:to>
      <xdr:col>8</xdr:col>
      <xdr:colOff>1565413</xdr:colOff>
      <xdr:row>559</xdr:row>
      <xdr:rowOff>118856</xdr:rowOff>
    </xdr:to>
    <xdr:graphicFrame macro="">
      <xdr:nvGraphicFramePr>
        <xdr:cNvPr id="6" name="Diagramm 5">
          <a:extLst>
            <a:ext uri="{FF2B5EF4-FFF2-40B4-BE49-F238E27FC236}">
              <a16:creationId xmlns:a16="http://schemas.microsoft.com/office/drawing/2014/main" id="{6F213125-1929-49F5-AF7C-5197E79E6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375285</xdr:colOff>
      <xdr:row>31</xdr:row>
      <xdr:rowOff>158115</xdr:rowOff>
    </xdr:from>
    <xdr:to>
      <xdr:col>7</xdr:col>
      <xdr:colOff>40740</xdr:colOff>
      <xdr:row>66</xdr:row>
      <xdr:rowOff>47625</xdr:rowOff>
    </xdr:to>
    <xdr:graphicFrame macro="">
      <xdr:nvGraphicFramePr>
        <xdr:cNvPr id="3" name="Chart 2">
          <a:extLst>
            <a:ext uri="{FF2B5EF4-FFF2-40B4-BE49-F238E27FC236}">
              <a16:creationId xmlns:a16="http://schemas.microsoft.com/office/drawing/2014/main" id="{1E9765C9-3CED-CADB-8656-D8AC4F4780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470535</xdr:colOff>
      <xdr:row>13</xdr:row>
      <xdr:rowOff>179070</xdr:rowOff>
    </xdr:from>
    <xdr:to>
      <xdr:col>7</xdr:col>
      <xdr:colOff>48285</xdr:colOff>
      <xdr:row>30</xdr:row>
      <xdr:rowOff>175920</xdr:rowOff>
    </xdr:to>
    <xdr:graphicFrame macro="">
      <xdr:nvGraphicFramePr>
        <xdr:cNvPr id="7" name="Chart 6">
          <a:extLst>
            <a:ext uri="{FF2B5EF4-FFF2-40B4-BE49-F238E27FC236}">
              <a16:creationId xmlns:a16="http://schemas.microsoft.com/office/drawing/2014/main" id="{01D3F9B7-93F1-C3FB-76B7-5946DD6EF8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0.41962</cdr:x>
      <cdr:y>0.47222</cdr:y>
    </cdr:from>
    <cdr:to>
      <cdr:x>0.67015</cdr:x>
      <cdr:y>0.6</cdr:y>
    </cdr:to>
    <cdr:sp macro="" textlink="">
      <cdr:nvSpPr>
        <cdr:cNvPr id="2" name="TextBox 1">
          <a:extLst xmlns:a="http://schemas.openxmlformats.org/drawingml/2006/main">
            <a:ext uri="{FF2B5EF4-FFF2-40B4-BE49-F238E27FC236}">
              <a16:creationId xmlns:a16="http://schemas.microsoft.com/office/drawing/2014/main" id="{D6D8094C-8512-1EF3-BBFD-59E45D4D7D54}"/>
            </a:ext>
          </a:extLst>
        </cdr:cNvPr>
        <cdr:cNvSpPr txBox="1"/>
      </cdr:nvSpPr>
      <cdr:spPr>
        <a:xfrm xmlns:a="http://schemas.openxmlformats.org/drawingml/2006/main">
          <a:off x="1531620" y="1295400"/>
          <a:ext cx="914400" cy="3505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CH" sz="1100" kern="1200"/>
        </a:p>
      </cdr:txBody>
    </cdr:sp>
  </cdr:relSizeAnchor>
  <cdr:relSizeAnchor xmlns:cdr="http://schemas.openxmlformats.org/drawingml/2006/chartDrawing">
    <cdr:from>
      <cdr:x>0.00265</cdr:x>
      <cdr:y>0.3746</cdr:y>
    </cdr:from>
    <cdr:to>
      <cdr:x>1</cdr:x>
      <cdr:y>0.50535</cdr:y>
    </cdr:to>
    <cdr:sp macro="" textlink="'4 Dashboard'!$T$35">
      <cdr:nvSpPr>
        <cdr:cNvPr id="3" name="TextBox 2">
          <a:extLst xmlns:a="http://schemas.openxmlformats.org/drawingml/2006/main">
            <a:ext uri="{FF2B5EF4-FFF2-40B4-BE49-F238E27FC236}">
              <a16:creationId xmlns:a16="http://schemas.microsoft.com/office/drawing/2014/main" id="{80660392-88F6-F2C6-345D-74DB079D5DD5}"/>
            </a:ext>
          </a:extLst>
        </cdr:cNvPr>
        <cdr:cNvSpPr txBox="1"/>
      </cdr:nvSpPr>
      <cdr:spPr>
        <a:xfrm xmlns:a="http://schemas.openxmlformats.org/drawingml/2006/main">
          <a:off x="7620" y="1078848"/>
          <a:ext cx="2872380" cy="376572"/>
        </a:xfrm>
        <a:prstGeom xmlns:a="http://schemas.openxmlformats.org/drawingml/2006/main" prst="rect">
          <a:avLst/>
        </a:prstGeom>
      </cdr:spPr>
      <cdr:txBody>
        <a:bodyPr xmlns:a="http://schemas.openxmlformats.org/drawingml/2006/main" vertOverflow="clip" wrap="none" rtlCol="0" anchor="t"/>
        <a:lstStyle xmlns:a="http://schemas.openxmlformats.org/drawingml/2006/main"/>
        <a:p xmlns:a="http://schemas.openxmlformats.org/drawingml/2006/main">
          <a:pPr algn="ctr"/>
          <a:fld id="{966C6BDC-6D22-4A8D-AC25-ED6DA9219D55}" type="TxLink">
            <a:rPr lang="en-US" sz="2000" b="1" i="0" u="none" strike="noStrike" kern="1200">
              <a:solidFill>
                <a:srgbClr val="000000"/>
              </a:solidFill>
              <a:latin typeface="Arial"/>
              <a:cs typeface="Arial"/>
            </a:rPr>
            <a:pPr algn="ctr"/>
            <a:t>0</a:t>
          </a:fld>
          <a:endParaRPr lang="fr-CH" sz="2000" b="1" kern="1200"/>
        </a:p>
      </cdr:txBody>
    </cdr:sp>
  </cdr:relSizeAnchor>
  <cdr:relSizeAnchor xmlns:cdr="http://schemas.openxmlformats.org/drawingml/2006/chartDrawing">
    <cdr:from>
      <cdr:x>0.00529</cdr:x>
      <cdr:y>0.50271</cdr:y>
    </cdr:from>
    <cdr:to>
      <cdr:x>1</cdr:x>
      <cdr:y>0.61648</cdr:y>
    </cdr:to>
    <cdr:sp macro="" textlink="'4 Dashboard'!$S$27">
      <cdr:nvSpPr>
        <cdr:cNvPr id="4" name="TextBox 1">
          <a:extLst xmlns:a="http://schemas.openxmlformats.org/drawingml/2006/main">
            <a:ext uri="{FF2B5EF4-FFF2-40B4-BE49-F238E27FC236}">
              <a16:creationId xmlns:a16="http://schemas.microsoft.com/office/drawing/2014/main" id="{28086F45-522F-4641-48A5-A7260A1D0786}"/>
            </a:ext>
          </a:extLst>
        </cdr:cNvPr>
        <cdr:cNvSpPr txBox="1"/>
      </cdr:nvSpPr>
      <cdr:spPr>
        <a:xfrm xmlns:a="http://schemas.openxmlformats.org/drawingml/2006/main">
          <a:off x="15240" y="1447800"/>
          <a:ext cx="2864760" cy="327660"/>
        </a:xfrm>
        <a:prstGeom xmlns:a="http://schemas.openxmlformats.org/drawingml/2006/main" prst="rect">
          <a:avLst/>
        </a:prstGeom>
      </cdr:spPr>
      <cdr:txBody>
        <a:bodyPr xmlns:a="http://schemas.openxmlformats.org/drawingml/2006/main" wrap="non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D070F58-5DCB-464F-9A7D-1B2376BE9685}" type="TxLink">
            <a:rPr lang="en-US" sz="1100" b="0" i="0" u="none" strike="noStrike" kern="1200">
              <a:solidFill>
                <a:srgbClr val="000000"/>
              </a:solidFill>
              <a:latin typeface="Arial"/>
              <a:cs typeface="Arial"/>
            </a:rPr>
            <a:pPr algn="ctr"/>
            <a:t>[t CO2 eq]</a:t>
          </a:fld>
          <a:endParaRPr lang="fr-CH" sz="2400" b="1" kern="1200"/>
        </a:p>
      </cdr:txBody>
    </cdr:sp>
  </cdr:relSizeAnchor>
</c:userShape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BE6C05D-AFB7-4DE6-AFF1-434E4447CFC5}" name="D_StationaryComb_Owned" displayName="D_StationaryComb_Owned" ref="C56:F68" totalsRowShown="0" headerRowDxfId="1309" dataDxfId="1308">
  <tableColumns count="4">
    <tableColumn id="1" xr3:uid="{6201E6AE-27B7-410B-A234-AAA7AA11227F}" name="Fuel" dataDxfId="1307"/>
    <tableColumn id="2" xr3:uid="{75A98329-B590-404F-9C10-DAF2F909D372}" name="Data" dataDxfId="1306"/>
    <tableColumn id="3" xr3:uid="{56091AFE-36E9-466B-837F-1E46E2153B80}" name="Unit" dataDxfId="1305"/>
    <tableColumn id="4" xr3:uid="{BB071505-4161-4991-92EB-82A8B68F40CD}" name="MJ" dataDxfId="1304"/>
  </tableColumns>
  <tableStyleInfo name="Tabellenformat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5142491-4F30-41EF-BC72-16A280E3EE33}" name="D_Transport_Commuting" displayName="D_Transport_Commuting" ref="C692:F702" totalsRowShown="0" headerRowDxfId="1252" dataDxfId="1251">
  <tableColumns count="4">
    <tableColumn id="1" xr3:uid="{4FBC6336-4478-4FCC-BE09-245B56CF6D45}" name="Employee" dataDxfId="1250"/>
    <tableColumn id="2" xr3:uid="{3D1A5C76-AB57-44B6-937E-26B4641128A3}" name="Unit" dataDxfId="1249"/>
    <tableColumn id="3" xr3:uid="{B3D1EFA3-AA1B-4632-8A98-90485600D0AB}" name="_" dataDxfId="1248"/>
    <tableColumn id="4" xr3:uid="{4542FAE5-AED2-4663-B87B-A13D7CCEE4BF}" name="Data" dataDxfId="1247"/>
  </tableColumns>
  <tableStyleInfo name="Tabellenformat 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C7FEE0DA-6025-46CB-83DB-E9B2CF4794E4}" name="Calc_S2_FleetElectricity_Location" displayName="Calc_S2_FleetElectricity_Location" ref="C168:J169" totalsRowShown="0" headerRowDxfId="456" dataDxfId="455" headerRowCellStyle="Comma" dataCellStyle="Comma">
  <tableColumns count="8">
    <tableColumn id="1" xr3:uid="{0AD9AEB6-91C3-418B-93EA-0A03B3D1FE8C}" name="Location" dataDxfId="454" dataCellStyle="Comma"/>
    <tableColumn id="2" xr3:uid="{DF0E9269-6577-470F-8A0E-0F0C54D23BC3}" name="Entry in FU (kWh)" dataDxfId="453" dataCellStyle="Comma"/>
    <tableColumn id="3" xr3:uid="{22DEB795-D1D8-43B5-89CE-9F269180E839}" name="EF(kg CO2eq) / FU)" dataDxfId="452" dataCellStyle="Comma">
      <calculatedColumnFormula>_xlfn.XLOOKUP($I169,BG_Data[Product],BG_Data[GHG emissions (IPCC 2021) '[kg CO2 eq']],0)</calculatedColumnFormula>
    </tableColumn>
    <tableColumn id="4" xr3:uid="{F72E79F2-883A-41B0-BC2E-AD306DABB60B}" name="Result kg CO2eq" dataDxfId="451" dataCellStyle="Comma"/>
    <tableColumn id="5" xr3:uid="{3B68A074-7A8E-40B2-BB7B-F58615A56CC7}" name="Result kg CO2 biogenic" dataDxfId="450" dataCellStyle="Comma"/>
    <tableColumn id="6" xr3:uid="{71CDBCED-2AD5-4D73-A586-F2E5C9D562C9}" name="Resultat UBP" dataDxfId="449" dataCellStyle="Comma"/>
    <tableColumn id="7" xr3:uid="{23D03D09-C02B-4A20-9B45-D578D3803B97}" name="Background dataset" dataDxfId="448" dataCellStyle="Comma"/>
    <tableColumn id="8" xr3:uid="{CA81F04F-48F5-44A1-A37A-2AF715F78D24}" name="Dataset source" dataDxfId="447" dataCellStyle="Comma"/>
  </tableColumns>
  <tableStyleInfo name="Tabellenformat 1"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8D1D851D-88EB-4549-816E-37258F0BEEA9}" name="Calc_S3.3_Electricity2_Location" displayName="Calc_S3.3_Electricity2_Location" ref="C301:J304" totalsRowShown="0" headerRowDxfId="446" dataDxfId="445" headerRowCellStyle="Comma" dataCellStyle="Comma">
  <tableColumns count="8">
    <tableColumn id="1" xr3:uid="{4994A2DE-4AF1-4932-9471-8344099DC6AB}" name="Location" dataDxfId="444" dataCellStyle="Comma"/>
    <tableColumn id="2" xr3:uid="{2A61BAF0-2543-4BE5-B691-D8B109088958}" name="Entry in FU (kWh)" dataDxfId="443" dataCellStyle="Comma"/>
    <tableColumn id="3" xr3:uid="{B5DF8C73-AAF3-4367-8254-B718F1AF2613}" name="EF(kg CO2eq) / FU)" dataDxfId="442" dataCellStyle="Comma">
      <calculatedColumnFormula>_xlfn.XLOOKUP($I302,BG_Data[Product],BG_Data[GHG emissions (IPCC 2021) '[kg CO2 eq']],0)</calculatedColumnFormula>
    </tableColumn>
    <tableColumn id="4" xr3:uid="{51AF9E1D-790E-4D6A-9834-B4F0B2C2A74C}" name="Result kg CO2eq" dataDxfId="441" dataCellStyle="Comma"/>
    <tableColumn id="5" xr3:uid="{E81A9AAB-80E2-42E4-A5EF-5EB9465527A1}" name="Result kg CO2 biogenic" dataDxfId="440" dataCellStyle="Comma"/>
    <tableColumn id="6" xr3:uid="{189ADF84-EA4A-4DE4-8F7E-EBC8F70E0BBC}" name="Resultat UBP" dataDxfId="439" dataCellStyle="Comma"/>
    <tableColumn id="7" xr3:uid="{3691304A-F85A-4D86-90C0-CD00DFB1A1A2}" name="Background dataset" dataDxfId="438" dataCellStyle="Comma"/>
    <tableColumn id="8" xr3:uid="{C77A4C84-F822-4B4B-AFA1-3D62AFE47298}" name="Dataset source" dataDxfId="437" dataCellStyle="Comma"/>
  </tableColumns>
  <tableStyleInfo name="Tabellenformat 1"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1C0F283B-EDB5-44DC-B273-35A33AEDDD9F}" name="Calc_S3.3_FleetElectricity_Location" displayName="Calc_S3.3_FleetElectricity_Location" ref="C347:J348" totalsRowShown="0" headerRowDxfId="436" dataDxfId="435" headerRowCellStyle="Comma" dataCellStyle="Comma">
  <tableColumns count="8">
    <tableColumn id="1" xr3:uid="{892ED668-3D90-4B9D-B7BE-801013C107F7}" name="Location" dataDxfId="434" dataCellStyle="Comma"/>
    <tableColumn id="2" xr3:uid="{401BAAAF-D261-491D-B92F-25456B52F817}" name="Entry in FU (kWh)" dataDxfId="433" dataCellStyle="Comma"/>
    <tableColumn id="3" xr3:uid="{53843D77-95FE-482B-860A-B40B378FC089}" name="EF(kg CO2eq) / FU)" dataDxfId="432" dataCellStyle="Comma">
      <calculatedColumnFormula>_xlfn.XLOOKUP($I348,BG_Data[Product],BG_Data[GHG emissions (IPCC 2021) '[kg CO2 eq']],0)</calculatedColumnFormula>
    </tableColumn>
    <tableColumn id="4" xr3:uid="{E5B3747C-DE57-4B6A-BDBB-D6B99D3221D9}" name="Result kg CO2eq" dataDxfId="431" dataCellStyle="Comma"/>
    <tableColumn id="5" xr3:uid="{0E76A4BB-1F17-4572-8EA2-034F7005875F}" name="Result kg CO2 biogenic" dataDxfId="430" dataCellStyle="Comma"/>
    <tableColumn id="6" xr3:uid="{0E319B8F-BFBE-4E2E-99B2-AD30F0E71760}" name="Resultat UBP" dataDxfId="429" dataCellStyle="Comma"/>
    <tableColumn id="7" xr3:uid="{1F2098DC-912D-466A-81D7-CC01477882F1}" name="Background dataset" dataDxfId="428" dataCellStyle="Comma"/>
    <tableColumn id="8" xr3:uid="{A19355FE-1FCB-4B18-B2FD-C66ED2F40BA9}" name="Dataset source" dataDxfId="427" dataCellStyle="Comma"/>
  </tableColumns>
  <tableStyleInfo name="Tabellenformat 1"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E60BBA50-CF87-4023-86AD-FAF0EAD0AB26}" name="Calc_Lessee_Electricity_Direct2_Location" displayName="Calc_Lessee_Electricity_Direct2_Location" ref="C630:J633" totalsRowShown="0" headerRowDxfId="426" dataDxfId="425" headerRowCellStyle="Comma" dataCellStyle="Comma">
  <tableColumns count="8">
    <tableColumn id="1" xr3:uid="{69E0F5C2-F4F8-410D-9AB1-3F64E7BAEE6E}" name="Location" dataDxfId="424" dataCellStyle="Comma"/>
    <tableColumn id="2" xr3:uid="{78EA2FCF-AF14-4A54-93C0-D93DC0F48D3F}" name="Entry in FU (kWh)" dataDxfId="423" dataCellStyle="Comma"/>
    <tableColumn id="3" xr3:uid="{8693AB88-FC01-41C5-B531-E3E31FB32378}" name="EF(kg CO2eq) / FU)" dataDxfId="422" dataCellStyle="Comma">
      <calculatedColumnFormula>_xlfn.XLOOKUP($I631,BG_Data[Product],BG_Data[GHG emissions (IPCC 2021) '[kg CO2 eq']],0)</calculatedColumnFormula>
    </tableColumn>
    <tableColumn id="4" xr3:uid="{5955C07F-8C0F-4A8F-AC7C-63B8016D13EF}" name="Result kg CO2eq" dataDxfId="421" dataCellStyle="Comma"/>
    <tableColumn id="5" xr3:uid="{8A566265-D847-4DF3-A00B-0BDADD3748FB}" name="Result kg CO2 biogenic" dataDxfId="420" dataCellStyle="Comma"/>
    <tableColumn id="6" xr3:uid="{7A8F552D-9A12-4F99-B38F-7B51B383ED82}" name="Resultat UBP" dataDxfId="419" dataCellStyle="Comma"/>
    <tableColumn id="7" xr3:uid="{6ECB311B-A1E4-4E8D-86D1-F9B56F6C60AC}" name="Background dataset" dataDxfId="418" dataCellStyle="Comma"/>
    <tableColumn id="8" xr3:uid="{49093B58-2C53-4140-8280-BB90AD0D8195}" name="Dataset source" dataDxfId="417" dataCellStyle="Comma"/>
  </tableColumns>
  <tableStyleInfo name="Tabellenformat 1"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AF764B22-6DD9-46B3-BDB5-3A50FE393D5B}" name="Calc_Lessee_Electricity_Indirect2_Location" displayName="Calc_Lessee_Electricity_Indirect2_Location" ref="C657:J660" totalsRowShown="0" headerRowDxfId="416" dataDxfId="415" headerRowCellStyle="Comma" dataCellStyle="Comma">
  <tableColumns count="8">
    <tableColumn id="1" xr3:uid="{1C5F8083-65CA-4D9D-8EFD-6D8F45DA8AB7}" name="Location" dataDxfId="414" dataCellStyle="Comma"/>
    <tableColumn id="2" xr3:uid="{A62623E4-07A8-4D80-9B01-A251F7C5F27E}" name="Entry in FU (kWh)" dataDxfId="413" dataCellStyle="Comma"/>
    <tableColumn id="3" xr3:uid="{971073D6-FDFF-405A-AA5C-AB1E1160E7E9}" name="EF(kg CO2eq) / FU)" dataDxfId="412" dataCellStyle="Comma">
      <calculatedColumnFormula>_xlfn.XLOOKUP($I658,BG_Data[Product],BG_Data[GHG emissions (IPCC 2021) '[kg CO2 eq']],0)</calculatedColumnFormula>
    </tableColumn>
    <tableColumn id="4" xr3:uid="{E7414B8A-06D1-4605-9B3B-53DC2C8772A9}" name="Result kg CO2eq" dataDxfId="411" dataCellStyle="Comma"/>
    <tableColumn id="5" xr3:uid="{1FBA76D8-7F03-44E5-8864-720CE7A94918}" name="Result kg CO2 biogenic" dataDxfId="410" dataCellStyle="Comma"/>
    <tableColumn id="6" xr3:uid="{CC72F6B4-D62C-4E43-9C2D-393C621F2BDB}" name="Resultat UBP" dataDxfId="409" dataCellStyle="Comma"/>
    <tableColumn id="7" xr3:uid="{0F391202-3755-4124-B64B-16A0AA71D6F6}" name="Background dataset" dataDxfId="408" dataCellStyle="Comma"/>
    <tableColumn id="8" xr3:uid="{4E913BDD-A6CE-4D27-8044-A75A9E4CB5FE}" name="Dataset source" dataDxfId="407" dataCellStyle="Comma"/>
  </tableColumns>
  <tableStyleInfo name="Tabellenformat 1"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47A11B46-B3CB-4417-B5C0-AE6FE765AE3E}" name="Calc_Lessee_ElFleet_Direct_Location_Tab" displayName="Calc_Lessee_ElFleet_Direct_Location_Tab" ref="C734:J735" totalsRowShown="0" headerRowDxfId="406" dataDxfId="405" headerRowCellStyle="Comma" dataCellStyle="Comma">
  <tableColumns count="8">
    <tableColumn id="1" xr3:uid="{F7623CC4-040E-4075-B5AE-ED5F808667F1}" name="Location" dataDxfId="404" dataCellStyle="Comma"/>
    <tableColumn id="2" xr3:uid="{9F446DCF-CEF0-4960-8353-6A25ED4D5D29}" name="Entry in FU (kWh)" dataDxfId="403" dataCellStyle="Comma"/>
    <tableColumn id="3" xr3:uid="{CE782CE0-EFF9-4F98-AC06-701878B8FD1C}" name="EF(kg CO2eq) / FU)" dataDxfId="402" dataCellStyle="Comma">
      <calculatedColumnFormula>_xlfn.XLOOKUP($I735,BG_Data[Product],BG_Data[GHG emissions (IPCC 2021) '[kg CO2 eq']],0)</calculatedColumnFormula>
    </tableColumn>
    <tableColumn id="4" xr3:uid="{5CB22BEC-CC77-4A58-88A9-B91F6BA86A56}" name="Result kg CO2eq" dataDxfId="401" dataCellStyle="Comma"/>
    <tableColumn id="5" xr3:uid="{C2A6CC2D-D127-4A79-A3B5-5D5FD65AC847}" name="Result kg CO2 biogenic" dataDxfId="400" dataCellStyle="Comma"/>
    <tableColumn id="6" xr3:uid="{150817AD-C995-40F9-924F-A0B26643D9AA}" name="Resultat UBP" dataDxfId="399" dataCellStyle="Comma"/>
    <tableColumn id="7" xr3:uid="{2C61EC04-8514-40AF-825B-E1313B183B0C}" name="Background dataset" dataDxfId="398" dataCellStyle="Comma"/>
    <tableColumn id="8" xr3:uid="{89AFA6FC-F53A-4BC4-AFBC-DA98D1BADF65}" name="Dataset source" dataDxfId="397" dataCellStyle="Comma"/>
  </tableColumns>
  <tableStyleInfo name="Tabellenformat 1"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28BE2720-9A93-423B-BE67-5CD77AABACC2}" name="Calc_Lessee_ElFleet_Indirect_Location_Tab" displayName="Calc_Lessee_ElFleet_Indirect_Location_Tab" ref="C760:J761" totalsRowShown="0" headerRowDxfId="396" dataDxfId="395" headerRowCellStyle="Comma" dataCellStyle="Comma">
  <tableColumns count="8">
    <tableColumn id="1" xr3:uid="{CEED5F66-DF5C-4D28-96F2-78327820CA8A}" name="Location" dataDxfId="394" dataCellStyle="Comma"/>
    <tableColumn id="2" xr3:uid="{AD9B705C-1AFA-456E-9097-FEC7DF6E55C2}" name="Entry in FU (kWh)" dataDxfId="393" dataCellStyle="Comma"/>
    <tableColumn id="3" xr3:uid="{F16A1747-E45E-4C3D-AEFD-D4E50DE7FDFC}" name="EF(kg CO2eq) / FU)" dataDxfId="392" dataCellStyle="Comma">
      <calculatedColumnFormula>_xlfn.XLOOKUP($I761,BG_Data[Product],BG_Data[GHG emissions (IPCC 2021) '[kg CO2 eq']],0)</calculatedColumnFormula>
    </tableColumn>
    <tableColumn id="4" xr3:uid="{64E00588-DD2D-4E03-9EF2-FADE39A7762D}" name="Result kg CO2eq" dataDxfId="391" dataCellStyle="Comma"/>
    <tableColumn id="5" xr3:uid="{26CE5576-78FB-4083-B0E9-D61632AAC264}" name="Result kg CO2 biogenic" dataDxfId="390" dataCellStyle="Comma"/>
    <tableColumn id="6" xr3:uid="{54D964B2-1173-45D1-9653-FDB027652124}" name="Resultat UBP" dataDxfId="389" dataCellStyle="Comma"/>
    <tableColumn id="7" xr3:uid="{0955500F-E3FE-486F-997D-8E4D73EAB20E}" name="Background dataset" dataDxfId="388" dataCellStyle="Comma"/>
    <tableColumn id="8" xr3:uid="{F0B2B6EE-4DFE-417F-B2C9-ABF671532619}" name="Dataset source" dataDxfId="387" dataCellStyle="Comma"/>
  </tableColumns>
  <tableStyleInfo name="Tabellenformat 1"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C51D7E6B-BA40-4301-AA13-DF0A24BB3119}" name="Calc_Lessor_Electricity_Direct2_Location_Tab" displayName="Calc_Lessor_Electricity_Direct2_Location_Tab" ref="C855:J858" totalsRowShown="0" headerRowDxfId="386" dataDxfId="385" headerRowCellStyle="Comma" dataCellStyle="Comma">
  <tableColumns count="8">
    <tableColumn id="1" xr3:uid="{C9DAD87D-CB3C-407A-80F8-D14C95618FCD}" name="Location" dataDxfId="384" dataCellStyle="Comma"/>
    <tableColumn id="2" xr3:uid="{916286DB-E00E-4A04-9A47-2AF664CE97B0}" name="Entry in FU (kWh)" dataDxfId="383" dataCellStyle="Comma"/>
    <tableColumn id="3" xr3:uid="{E871D90A-1D84-49ED-8F4D-262DFBABE3FB}" name="EF(kg CO2eq) / FU)" dataDxfId="382" dataCellStyle="Comma">
      <calculatedColumnFormula>_xlfn.XLOOKUP($I856,BG_Data[Product],BG_Data[GHG emissions (IPCC 2021) '[kg CO2 eq']],0)</calculatedColumnFormula>
    </tableColumn>
    <tableColumn id="4" xr3:uid="{87751665-CE4A-4D3F-B9D5-4EF25E97E11A}" name="Result kg CO2eq" dataDxfId="381" dataCellStyle="Comma"/>
    <tableColumn id="5" xr3:uid="{AEF0E440-FCF5-4786-A921-893656A34B58}" name="Result kg CO2 biogenic" dataDxfId="380" dataCellStyle="Comma"/>
    <tableColumn id="6" xr3:uid="{31990F71-E8AE-4A43-A405-1EA22D3E3D3F}" name="Resultat UBP" dataDxfId="379" dataCellStyle="Comma"/>
    <tableColumn id="7" xr3:uid="{8A2637A2-AF7B-4E40-A6E1-4D199245C585}" name="Background dataset" dataDxfId="378" dataCellStyle="Comma"/>
    <tableColumn id="8" xr3:uid="{02ABF608-22BB-4F8F-9C0B-937BADC7889F}" name="Dataset source" dataDxfId="377" dataCellStyle="Comma"/>
  </tableColumns>
  <tableStyleInfo name="Tabellenformat 1"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D5899B2F-8998-41F4-879F-1508473B3C80}" name="Calc_Lessor_Electricity_Indirect2_Location_Tab" displayName="Calc_Lessor_Electricity_Indirect2_Location_Tab" ref="C882:J885" totalsRowShown="0" headerRowDxfId="376" dataDxfId="375" headerRowCellStyle="Comma" dataCellStyle="Comma">
  <tableColumns count="8">
    <tableColumn id="1" xr3:uid="{A1980A31-2318-46EF-A8C1-81543E0141A7}" name="Location" dataDxfId="374" dataCellStyle="Comma"/>
    <tableColumn id="2" xr3:uid="{D1E77FE9-99B0-4B57-9E56-F254FEADBD56}" name="Entry in FU (kWh)" dataDxfId="373" dataCellStyle="Comma"/>
    <tableColumn id="3" xr3:uid="{D1053185-B479-4857-8428-C5BC0E48F3E2}" name="EF(kg CO2eq) / FU)" dataDxfId="372" dataCellStyle="Comma">
      <calculatedColumnFormula>_xlfn.XLOOKUP($I883,BG_Data[Product],BG_Data[GHG emissions (IPCC 2021) '[kg CO2 eq']],0)</calculatedColumnFormula>
    </tableColumn>
    <tableColumn id="4" xr3:uid="{DBCADC37-6AE3-4DD2-A707-029A289CAE1F}" name="Result kg CO2eq" dataDxfId="371" dataCellStyle="Comma"/>
    <tableColumn id="5" xr3:uid="{C4324C6B-443F-4EB0-9E37-AE2A39E11A2C}" name="Result kg CO2 biogenic" dataDxfId="370" dataCellStyle="Comma"/>
    <tableColumn id="6" xr3:uid="{D93C5343-96AD-4A73-95D4-7937B3C765B0}" name="Resultat UBP" dataDxfId="369" dataCellStyle="Comma"/>
    <tableColumn id="7" xr3:uid="{CFBBF9D6-B9D3-43EC-8542-A5C6A5EA307E}" name="Background dataset" dataDxfId="368" dataCellStyle="Comma"/>
    <tableColumn id="8" xr3:uid="{60A776B4-A332-4508-8F63-18B31B699FAF}" name="Dataset source" dataDxfId="367" dataCellStyle="Comma"/>
  </tableColumns>
  <tableStyleInfo name="Tabellenformat 1"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7FF650E6-B249-42B6-9585-3814A89BAC82}" name="Calc_Lessor_ElFleet_Direct_Location_Tab" displayName="Calc_Lessor_ElFleet_Direct_Location_Tab" ref="C960:J961" totalsRowShown="0" headerRowDxfId="366" dataDxfId="365" headerRowCellStyle="Comma" dataCellStyle="Comma">
  <tableColumns count="8">
    <tableColumn id="1" xr3:uid="{6C134373-1F24-499A-BA54-8CC882B04DC1}" name="Location" dataDxfId="364" dataCellStyle="Comma"/>
    <tableColumn id="2" xr3:uid="{4F8DC5C5-7AFE-4524-9926-0CA3846E4E44}" name="Entry in FU (kWh)" dataDxfId="363" dataCellStyle="Comma"/>
    <tableColumn id="3" xr3:uid="{F6C90517-5BD2-434F-90AA-D866EBD0074B}" name="EF(kg CO2eq) / FU)" dataDxfId="362" dataCellStyle="Comma">
      <calculatedColumnFormula>_xlfn.XLOOKUP($I961,BG_Data[Product],BG_Data[GHG emissions (IPCC 2021) '[kg CO2 eq']],0)</calculatedColumnFormula>
    </tableColumn>
    <tableColumn id="4" xr3:uid="{31477A2F-D1C4-4FD4-9A9C-3EDCA74F1F5C}" name="Result kg CO2eq" dataDxfId="361" dataCellStyle="Comma"/>
    <tableColumn id="5" xr3:uid="{7FEEFC99-B467-406A-9EEC-928CF0136B89}" name="Result kg CO2 biogenic" dataDxfId="360" dataCellStyle="Comma"/>
    <tableColumn id="6" xr3:uid="{6DB36A12-FE48-4B4E-9342-B4D662DDE0B5}" name="Resultat UBP" dataDxfId="359" dataCellStyle="Comma"/>
    <tableColumn id="7" xr3:uid="{27CC1442-A43B-4209-809F-FAD77464272E}" name="Background dataset" dataDxfId="358" dataCellStyle="Comma"/>
    <tableColumn id="8" xr3:uid="{67FDC902-3E51-4FBD-A4D6-31CA769629BB}" name="Dataset source" dataDxfId="357" dataCellStyle="Comma"/>
  </tableColumns>
  <tableStyleInfo name="Tabellenformat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A6C2548-01F7-4B97-AAC5-9C079A027C22}" name="D_Transport_Business" displayName="D_Transport_Business" ref="C663:F673" totalsRowShown="0" headerRowDxfId="1246" dataDxfId="1245">
  <tableColumns count="4">
    <tableColumn id="1" xr3:uid="{B2186742-85D9-4606-8E14-43F6014480E3}" name="Mode of Transport" dataDxfId="1244"/>
    <tableColumn id="2" xr3:uid="{59CF9BCD-6AA7-4147-A42B-87B44BAA0D34}" name="Unit" dataDxfId="1243"/>
    <tableColumn id="3" xr3:uid="{24955322-F2B0-49F0-9EF4-2401BF0B63B3}" name="_" dataDxfId="1242"/>
    <tableColumn id="4" xr3:uid="{1F0ED2B5-4F8A-4FB0-9313-53799854240D}" name="Data" dataDxfId="1241"/>
  </tableColumns>
  <tableStyleInfo name="Tabellenformat 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A031BC63-2139-4443-B088-7EE36FDC572B}" name="Calc_Lessor_ElFleet_Indirect_Location_Tab" displayName="Calc_Lessor_ElFleet_Indirect_Location_Tab" ref="C985:J986" totalsRowShown="0" headerRowDxfId="356" dataDxfId="355" headerRowCellStyle="Comma" dataCellStyle="Comma">
  <tableColumns count="8">
    <tableColumn id="1" xr3:uid="{7C1FE759-82EA-4910-8D20-6558491E71C7}" name="Location" dataDxfId="354" dataCellStyle="Comma"/>
    <tableColumn id="2" xr3:uid="{7DF7F6F7-2CD6-416F-BF70-8F8E5E7DA256}" name="Entry in FU (kWh)" dataDxfId="353" dataCellStyle="Comma"/>
    <tableColumn id="3" xr3:uid="{3D40B977-8A78-41A6-9F13-6C8E63D2DF66}" name="EF(kg CO2eq) / FU)" dataDxfId="352" dataCellStyle="Comma">
      <calculatedColumnFormula>_xlfn.XLOOKUP($I986,BG_Data[Product],BG_Data[GHG emissions (IPCC 2021) '[kg CO2 eq']],0)</calculatedColumnFormula>
    </tableColumn>
    <tableColumn id="4" xr3:uid="{D1991A1A-7AF1-4675-BCCA-AB7877B0901A}" name="Result kg CO2eq" dataDxfId="351" dataCellStyle="Comma"/>
    <tableColumn id="5" xr3:uid="{5288265C-F0C4-445F-B476-40006094F97B}" name="Result kg CO2 biogenic" dataDxfId="350" dataCellStyle="Comma"/>
    <tableColumn id="6" xr3:uid="{C4631D7C-E826-45C9-A0BC-BD80164EBA79}" name="Resultat UBP" dataDxfId="349" dataCellStyle="Comma"/>
    <tableColumn id="7" xr3:uid="{ABB861C4-6AC9-4536-B962-91DE9F11910B}" name="Background dataset" dataDxfId="348" dataCellStyle="Comma"/>
    <tableColumn id="8" xr3:uid="{BF64C421-A4DB-4DDF-8061-248D8B69E4A1}" name="Dataset source" dataDxfId="347" dataCellStyle="Comma"/>
  </tableColumns>
  <tableStyleInfo name="Tabellenformat 1"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11894A-F282-4AAF-BD78-0DE00D487D9E}" name="BG_Data" displayName="BG_Data" ref="A5:M12289" totalsRowShown="0" headerRowDxfId="346" dataDxfId="345">
  <autoFilter ref="A5:M12289" xr:uid="{5CDB7FD9-DFBE-4A00-9C6E-EE8CA9D3DBD2}"/>
  <tableColumns count="13">
    <tableColumn id="10" xr3:uid="{339C1B49-2E13-4FB5-BF27-3591BDF9CB69}" name="Source" dataDxfId="344"/>
    <tableColumn id="6" xr3:uid="{331EC0B4-EE8D-4C24-A7FF-5056D32D0B68}" name="Type" dataDxfId="343"/>
    <tableColumn id="2" xr3:uid="{DB471507-A49A-455B-BBE3-809F01A9F910}" name="Product" dataDxfId="342"/>
    <tableColumn id="3" xr3:uid="{06FC12D6-53A9-4E3F-9034-878C68E78A9C}" name="Unit" dataDxfId="341"/>
    <tableColumn id="7" xr3:uid="{C1D5D126-5831-474E-9802-ACD620F03416}" name="GHG emissions (IPCC 2021) [kg CO2 eq]" dataDxfId="340"/>
    <tableColumn id="8" xr3:uid="{AF7ECFFE-2221-485C-A3AA-C558FDE00B5E}" name="Biogenic CO2 emissions [kg CO2]" dataDxfId="339"/>
    <tableColumn id="9" xr3:uid="{A8838257-514E-4214-86BB-7F710ADD6944}" name="Total env. impact (Ecological Scarcity 2021) [UBP]" dataDxfId="338"/>
    <tableColumn id="13" xr3:uid="{2D5B7230-29FC-4E34-B967-C97AE6D24D3E}" name="Included emissions" dataDxfId="337"/>
    <tableColumn id="14" xr3:uid="{DE5A746D-80D2-4E4F-A242-48539ED2CB00}" name="Where is it used in Calculations" dataDxfId="336"/>
    <tableColumn id="5" xr3:uid="{1BC8763E-6899-4DE9-B62C-B3026AC8BBBF}" name="Category" dataDxfId="335"/>
    <tableColumn id="1" xr3:uid="{D4C52E92-DCF3-4116-B2C7-3A0580297F17}" name="UUID" dataDxfId="334"/>
    <tableColumn id="12" xr3:uid="{3820CBF2-A5CF-4562-8A58-6CD79F25E051}" name="Comment" dataDxfId="333"/>
    <tableColumn id="18" xr3:uid="{414DABB0-CF9F-4FCD-8AA9-8397D2EDF567}" name="Last updated" dataDxfId="332"/>
  </tableColumns>
  <tableStyleInfo name="TableStyleLight4"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3FC825-4318-43EB-9883-C8EC1FC282A3}" name="Lists_S1_StationaryComb" displayName="Lists_S1_StationaryComb" ref="B2:I27" totalsRowShown="0" headerRowDxfId="331" dataDxfId="330">
  <tableColumns count="8">
    <tableColumn id="1" xr3:uid="{CFFAB764-B5F6-40F9-8FF6-4DB82235CE0F}" name="Current Language Name" dataDxfId="329">
      <calculatedColumnFormula array="1">_xlfn.IFS(
     Lists_S1_StationaryComb[[#This Row],[DE Name]]="","",
     Language=German,Lists_S1_StationaryComb[[#This Row],[DE Name]],
     Language=French,Lists_S1_StationaryComb[[#This Row],[FR Name]],
     Language=Italian,Lists_S1_StationaryComb[[#This Row],[IT Name]]
)</calculatedColumnFormula>
    </tableColumn>
    <tableColumn id="9" xr3:uid="{876CB521-31BA-401E-84C7-5302718CEDC9}" name="DE Name" dataDxfId="328"/>
    <tableColumn id="2" xr3:uid="{6618A061-96E7-49AB-9075-6BA7EB8E5469}" name="FR Name" dataDxfId="327"/>
    <tableColumn id="3" xr3:uid="{139F3893-A1DD-45AC-9773-CF5F07265443}" name="IT Name" dataDxfId="326"/>
    <tableColumn id="5" xr3:uid="{17518616-D4F0-48A8-9038-811CEC86B466}" name="BG Data" dataDxfId="325"/>
    <tableColumn id="6" xr3:uid="{1DA3CAEF-3343-4000-9E36-C777D53080C0}" name="Functional unit" dataDxfId="324"/>
    <tableColumn id="7" xr3:uid="{92C401E2-434D-4267-A616-999557698ABA}" name="Input Unit" dataDxfId="323"/>
    <tableColumn id="8" xr3:uid="{9BDEAA0C-9E6D-4131-BCA1-653200ED1BAF}" name="Net calorific value (MJ/Input Unit)" dataDxfId="322"/>
  </tableColumns>
  <tableStyleInfo name="TableStyleLight1"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F8D672-0E83-4C59-B144-D80CCD886A12}" name="Lists_S2_DistrictHeat" displayName="Lists_S2_DistrictHeat" ref="B29:G44" totalsRowShown="0" headerRowDxfId="321" dataDxfId="320">
  <tableColumns count="6">
    <tableColumn id="1" xr3:uid="{B6C96D57-66B6-4F5B-838C-5E4BF5422BD3}" name="Current Language Name" dataDxfId="319">
      <calculatedColumnFormula array="1">_xlfn.IFS(
     Lists_S2_DistrictHeat[[#This Row],[DE Name]]="","",
     Language=German,Lists_S2_DistrictHeat[[#This Row],[DE Name]],
     Language=French,Lists_S2_DistrictHeat[[#This Row],[FR Name]],
     Language=Italian,Lists_S2_DistrictHeat[[#This Row],[IT Name]]
)</calculatedColumnFormula>
    </tableColumn>
    <tableColumn id="7" xr3:uid="{2B409BB3-D504-416D-BA34-58296D94B39C}" name="DE Name" dataDxfId="318"/>
    <tableColumn id="2" xr3:uid="{19BDE07D-B721-4067-AB58-21450D720F77}" name="FR Name" dataDxfId="317"/>
    <tableColumn id="3" xr3:uid="{20F7402B-B53B-4F24-9D75-317C38B0F72E}" name="IT Name" dataDxfId="316"/>
    <tableColumn id="5" xr3:uid="{2BD299D2-6D59-476F-9FC4-3CDD44ECF6F2}" name="BG Data" dataDxfId="315"/>
    <tableColumn id="6" xr3:uid="{6F613DDF-956F-4647-B42C-47DCF43952EF}" name="Functional unit" dataDxfId="314"/>
  </tableColumns>
  <tableStyleInfo name="TableStyleLight1"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6992DC-6C43-40A2-AB1E-983A819DE4A6}" name="Lists_S2_Electricity" displayName="Lists_S2_Electricity" ref="B46:L82" totalsRowShown="0" headerRowDxfId="313" dataDxfId="312">
  <tableColumns count="11">
    <tableColumn id="1" xr3:uid="{AC6BC8E8-BA9C-4982-A0A4-D2C1E84F6829}" name="Current Language Name" dataDxfId="311">
      <calculatedColumnFormula array="1">_xlfn.IFS(
     Lists_S2_Electricity[[#This Row],[DE Name]]="","",
     Language=German,Lists_S2_Electricity[[#This Row],[DE Name]],
     Language=French,Lists_S2_Electricity[[#This Row],[FR Name]],
     Language=Italian,Lists_S2_Electricity[[#This Row],[IT Name]]
)</calculatedColumnFormula>
    </tableColumn>
    <tableColumn id="5" xr3:uid="{7E550B7D-614D-4F81-B971-D6B87839F96E}" name="DE Name" dataDxfId="310"/>
    <tableColumn id="15" xr3:uid="{2758D8E0-9968-4290-ACFD-87165104C3A2}" name="FR Name" dataDxfId="309"/>
    <tableColumn id="16" xr3:uid="{2C736BA0-8D38-48E6-9AB2-86BBBF77F66C}" name="IT Name" dataDxfId="308"/>
    <tableColumn id="10" xr3:uid="{E33434D6-7D7E-4068-8EF3-30BDB81F1823}" name="BG Data" dataDxfId="307"/>
    <tableColumn id="9" xr3:uid="{038FD5C4-CA47-4733-BDF4-00AAD539364C}" name="Functional Unit" dataDxfId="306"/>
    <tableColumn id="2" xr3:uid="{A5E242DE-60D2-4D66-949C-F21061C2B62C}" name="Spannung" dataDxfId="305"/>
    <tableColumn id="12" xr3:uid="{3B4A9001-2D68-43D7-ADFF-CA26EE2C56D4}" name=" Verluste durch HKN gedeckt" dataDxfId="304"/>
    <tableColumn id="14" xr3:uid="{7EE69759-B090-45FC-9D61-D8269124631C}" name="Category DE" dataDxfId="303"/>
    <tableColumn id="13" xr3:uid="{2420A945-B32F-457E-BACA-5DB47F4177B8}" name="Category FR" dataDxfId="302"/>
    <tableColumn id="7" xr3:uid="{994B59A7-A57F-4704-AE3B-D33C7222916E}" name="Category IT" dataDxfId="301"/>
  </tableColumns>
  <tableStyleInfo name="TableStyleLight1"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344C641-F636-4BFB-8826-A0F375FA9F7A}" name="Lists_S1_Fugitive" displayName="Lists_S1_Fugitive" ref="B84:G124" totalsRowShown="0" headerRowDxfId="300" dataDxfId="299">
  <tableColumns count="6">
    <tableColumn id="1" xr3:uid="{059A49C8-5641-4117-BE6B-4C00E2A623D8}" name="Current Language Name" dataDxfId="298">
      <calculatedColumnFormula array="1">_xlfn.IFS(
     Lists_S1_Fugitive[[#This Row],[DE Name]]="","",
     Language=German,Lists_S1_Fugitive[[#This Row],[DE Name]],
     Language=French,Lists_S1_Fugitive[[#This Row],[FR Name]],
     Language=Italian,Lists_S1_Fugitive[[#This Row],[IT Name]]
)</calculatedColumnFormula>
    </tableColumn>
    <tableColumn id="6" xr3:uid="{CE3DD753-D7F7-47D7-80A9-C6D0B4A34630}" name="DE Name" dataDxfId="297"/>
    <tableColumn id="2" xr3:uid="{D5605EFE-A97A-43EB-9149-018014A2F6B7}" name="FR Name" dataDxfId="296"/>
    <tableColumn id="3" xr3:uid="{BAD8DBA4-967D-4253-B978-35D591AF7216}" name="IT Name" dataDxfId="295"/>
    <tableColumn id="5" xr3:uid="{1AE239C2-BD09-401B-88A2-DA6BCBF73AE0}" name="BG Data" dataDxfId="294"/>
    <tableColumn id="7" xr3:uid="{CF811288-59CD-48C9-B3B9-CC435DF89FEE}" name="Unit" dataDxfId="293"/>
  </tableColumns>
  <tableStyleInfo name="TableStyleLight1"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468932-D578-41B1-BA2A-BCFDE3733DEB}" name="Lists_S1_Fleet_direct" displayName="Lists_S1_Fleet_direct" ref="B126:I153" totalsRowShown="0" headerRowDxfId="292" dataDxfId="291">
  <tableColumns count="8">
    <tableColumn id="2" xr3:uid="{150E7D80-71D2-4D2A-B880-51B49B1FB972}" name="Current Language Name" dataDxfId="290">
      <calculatedColumnFormula array="1">_xlfn.IFS(
     Lists_S1_Fleet_direct[[#This Row],[DE Name]]="","",
     Language=German,Lists_S1_Fleet_direct[[#This Row],[DE Name]],
     Language=French,Lists_S1_Fleet_direct[[#This Row],[FR Name]],
     Language=Italian,Lists_S1_Fleet_direct[[#This Row],[IT Name]]
)</calculatedColumnFormula>
    </tableColumn>
    <tableColumn id="10" xr3:uid="{967CD9E7-D1EB-4C3F-A8B0-3DAFF636C845}" name="DE Name" dataDxfId="289"/>
    <tableColumn id="3" xr3:uid="{5C96EBD0-39D3-46C3-979D-E0F365E53859}" name="FR Name" dataDxfId="288"/>
    <tableColumn id="4" xr3:uid="{B6A60C2D-3AB2-487D-B8C4-C6DF54598BE3}" name="IT Name" dataDxfId="287"/>
    <tableColumn id="6" xr3:uid="{8602946E-8D5C-44BD-8D0B-317146567A23}" name="BG Data" dataDxfId="286"/>
    <tableColumn id="7" xr3:uid="{622ADA70-5037-4B64-8E33-B482F145D5C6}" name="Functional unit a)" dataDxfId="285"/>
    <tableColumn id="8" xr3:uid="{1E3D65DF-AEC3-493C-AA16-AADF5CD9954A}" name="Functional unit b)" dataDxfId="284"/>
    <tableColumn id="9" xr3:uid="{ED937835-9D96-4507-8AB6-BD520EE1129F}" name="Conversion Factor a) to b)" dataDxfId="283"/>
  </tableColumns>
  <tableStyleInfo name="TableStyleLight1"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00F7BFA-5037-49B9-A5CA-8BAC4B15B3B0}" name="Lists_S3.1_SpendB" displayName="Lists_S3.1_SpendB" ref="B155:K204" totalsRowShown="0" headerRowDxfId="282" dataDxfId="281">
  <tableColumns count="10">
    <tableColumn id="2" xr3:uid="{83D39177-543D-46CE-9B8A-535C60342052}" name="Current Language Name" dataDxfId="280">
      <calculatedColumnFormula array="1">_xlfn.IFS(
     Lists_S3.1_SpendB[[#This Row],[DE Name]]="","",
     Language=German,Lists_S3.1_SpendB[[#This Row],[DE Name]],
     Language=French,Lists_S3.1_SpendB[[#This Row],[FR Name]],
     Language=Italian,Lists_S3.1_SpendB[[#This Row],[IT Name]]
)</calculatedColumnFormula>
    </tableColumn>
    <tableColumn id="10" xr3:uid="{C50D9E99-E9F4-4C1B-952C-321DE2FBCE38}" name="DE Name" dataDxfId="279"/>
    <tableColumn id="3" xr3:uid="{205F4D91-C3DF-42A5-84CC-0BF23C573356}" name="FR Name" dataDxfId="278"/>
    <tableColumn id="4" xr3:uid="{7D44DC9D-E04C-4EF1-B4D7-846728F791C2}" name="IT Name" dataDxfId="277"/>
    <tableColumn id="6" xr3:uid="{2C43D8CF-2996-4D4B-8F99-AE5CC1E3F089}" name="BG Data" dataDxfId="276"/>
    <tableColumn id="7" xr3:uid="{13907353-0257-442B-BF16-D536B67BD5DC}" name="Functional unit" dataDxfId="275"/>
    <tableColumn id="8" xr3:uid="{A5937639-11F0-47F8-B1F5-E79956D03E7A}" name="Category" dataDxfId="274">
      <calculatedColumnFormula array="1">_xlfn.IFS(
     Lists_S3.1_SpendB[[#This Row],[DE Category]]="","",
     Language=German,Lists_S3.1_SpendB[[#This Row],[DE Category]],
     Language=French,Lists_S3.1_SpendB[[#This Row],[FR Category]],
     Language=Italian,Lists_S3.1_SpendB[[#This Row],[IT Category]]
)</calculatedColumnFormula>
    </tableColumn>
    <tableColumn id="5" xr3:uid="{3B445B33-40A6-4D11-B3A0-0F5EBAE8064E}" name="DE Category" dataDxfId="273"/>
    <tableColumn id="9" xr3:uid="{45340039-E18C-40AE-B707-C4C13BF50E2A}" name="FR Category" dataDxfId="272"/>
    <tableColumn id="11" xr3:uid="{392B5721-C16A-4932-AC49-96B83FDA116B}" name="IT Category" dataDxfId="271"/>
  </tableColumns>
  <tableStyleInfo name="TableStyleLight1"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E6EE634-C2C3-4281-A204-6C2711AD7007}" name="Lists_S3.2_CapitalGoods" displayName="Lists_S3.2_CapitalGoods" ref="B208:K240" totalsRowShown="0" headerRowDxfId="270" dataDxfId="269">
  <tableColumns count="10">
    <tableColumn id="2" xr3:uid="{9A169850-C69E-4513-A5B5-7BC81B671FA4}" name="Current Language Name" dataDxfId="268">
      <calculatedColumnFormula array="1">_xlfn.IFS(
     Lists_S3.2_CapitalGoods[[#This Row],[DE Name]]="","",
     Language=German,Lists_S3.2_CapitalGoods[[#This Row],[DE Name]],
     Language=French,Lists_S3.2_CapitalGoods[[#This Row],[FR Name]],
     Language=Italian,Lists_S3.2_CapitalGoods[[#This Row],[IT Name]]
)</calculatedColumnFormula>
    </tableColumn>
    <tableColumn id="10" xr3:uid="{C9F80F1A-D5DA-438E-8151-021D4D60904C}" name="DE Name" dataDxfId="267"/>
    <tableColumn id="3" xr3:uid="{36427AA0-214E-410F-BC9A-061E5749F450}" name="FR Name" dataDxfId="266"/>
    <tableColumn id="4" xr3:uid="{F1B38C98-48D9-4894-9B19-51AB0E559291}" name="IT Name" dataDxfId="265"/>
    <tableColumn id="6" xr3:uid="{C4F1568E-54D1-4BB1-B339-7AC92E8C608F}" name="BG Data" dataDxfId="264"/>
    <tableColumn id="13" xr3:uid="{A045A0A6-EF8D-4B7E-A142-2015BA4BCEB5}" name="Functional Unit2" dataDxfId="263"/>
    <tableColumn id="8" xr3:uid="{9CFE0C60-1FB3-4CE8-8DF8-214D96A86986}" name="Category" dataDxfId="262"/>
    <tableColumn id="5" xr3:uid="{55C992A5-A024-4ED5-8A5A-B5B2620A1E96}" name="DE Category" dataDxfId="261"/>
    <tableColumn id="7" xr3:uid="{1F6FD119-9EAC-4063-9F25-2121B02779FE}" name="FR Category" dataDxfId="260"/>
    <tableColumn id="9" xr3:uid="{42B1A7F4-9B31-4B9B-9F86-6E76FB6FC158}" name="IT Category" dataDxfId="259"/>
  </tableColumns>
  <tableStyleInfo name="TableStyleLight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CCC63E-3B21-4ECA-A8B7-1942436912F0}" name="Lists_1GeneralInput" displayName="Lists_1GeneralInput" ref="B319:F333" totalsRowShown="0" headerRowDxfId="258" dataDxfId="257">
  <tableColumns count="5">
    <tableColumn id="5" xr3:uid="{983166AD-107C-4696-8113-5CE54B42764B}" name="Current Language" dataDxfId="256">
      <calculatedColumnFormula array="1">_xlfn.IFS(
     Lists_1GeneralInput[[#This Row],[DE Name]]="","",
     Language=German,Lists_1GeneralInput[[#This Row],[DE Name]],
     Language=French,Lists_1GeneralInput[[#This Row],[FR Name]],
     Language=Italian,Lists_1GeneralInput[[#This Row],[IT Name]]
)</calculatedColumnFormula>
    </tableColumn>
    <tableColumn id="1" xr3:uid="{285463E8-098C-4DEB-8A33-8DC98FD87A9E}" name="DE Name" dataDxfId="255"/>
    <tableColumn id="2" xr3:uid="{EBF6B467-9587-4D65-91B4-D909A6B9357A}" name="FR Name" dataDxfId="254"/>
    <tableColumn id="3" xr3:uid="{E9184859-22D3-44D3-87F7-BB19D115B838}" name="IT Name" dataDxfId="253"/>
    <tableColumn id="4" xr3:uid="{48FDF0E4-D90C-4197-8C44-6A9118D41533}" name="EN Name" dataDxfId="252"/>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F0070B8-5CB9-406D-B16A-631EAEA14B31}" name="D_Transport_Upstream" displayName="D_Transport_Upstream" ref="C722:F727" totalsRowShown="0" headerRowDxfId="1240" dataDxfId="1239">
  <tableColumns count="4">
    <tableColumn id="1" xr3:uid="{A6693A75-404A-4152-A416-9F4E8DA6604F}" name="Mode" dataDxfId="1238"/>
    <tableColumn id="2" xr3:uid="{44BF10C8-C3D1-476C-BEBF-06EBC7B01F0F}" name="_" dataDxfId="1237"/>
    <tableColumn id="3" xr3:uid="{06171F61-8AFF-4366-83E5-0EF443FB0F31}" name="_2" dataDxfId="1236"/>
    <tableColumn id="4" xr3:uid="{F26440DA-6454-472B-ACE0-FD54BD3FA2D6}" name="tkm" dataDxfId="1235"/>
  </tableColumns>
  <tableStyleInfo name="Tabellenformat 1"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5CC360-D11A-4B47-A288-B9C363192DE0}" name="Lists_S3.5_NonGHG" displayName="Lists_S3.5_NonGHG" ref="B244:G310" totalsRowShown="0" headerRowDxfId="251" dataDxfId="250">
  <tableColumns count="6">
    <tableColumn id="1" xr3:uid="{AE2BF4C9-1821-4234-AC31-84B2BA835645}" name="Current Language Name" dataDxfId="249"/>
    <tableColumn id="2" xr3:uid="{CEEBE37F-8776-4CD1-A4D6-1DA5EB04C4C5}" name="DE Name" dataDxfId="248"/>
    <tableColumn id="3" xr3:uid="{2091F34D-E628-4814-9EE9-8C7B4219658B}" name="FR Name" dataDxfId="247"/>
    <tableColumn id="4" xr3:uid="{14FE76D1-5752-4CAC-9456-C2C24EF209D1}" name="IT Name" dataDxfId="246"/>
    <tableColumn id="6" xr3:uid="{7DBB6C3E-586B-47D0-A7CA-2C69F2A41822}" name="BG Data" dataDxfId="245"/>
    <tableColumn id="7" xr3:uid="{09FB9F82-CCCB-409E-80A9-E2351D16F801}" name="Functional unit" dataDxfId="244"/>
  </tableColumns>
  <tableStyleInfo name="TableStyleLight1"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6D43724-C8CC-44A3-B3BF-1C87192FB3B6}" name="Lists3.1_Shortlist" displayName="Lists3.1_Shortlist" ref="B5:G253" totalsRowShown="0" headerRowDxfId="243" dataDxfId="242">
  <tableColumns count="6">
    <tableColumn id="1" xr3:uid="{F5AABA43-89B4-40D4-B31C-0A3CBC3E4577}" name="Dataset" dataDxfId="241"/>
    <tableColumn id="2" xr3:uid="{DFA729BC-8FE4-4DDD-AA1B-9529D51106EC}" name="Mat. Cat. 1" dataDxfId="240">
      <calculatedColumnFormula array="1">_xlfn.XLOOKUP(
  1,
  (Lists3.1_Longlist[IUD]=Lists3.1_Shortlist[[#This Row],[IUD]]) *
  (Lists3.1_Longlist[Language]=Language),
  Lists3.1_Longlist[Mat. Cat 1]
)</calculatedColumnFormula>
    </tableColumn>
    <tableColumn id="3" xr3:uid="{389551B8-9531-41DB-96AD-22F92EF323C5}" name="Mat.Cat.  2" dataDxfId="239">
      <calculatedColumnFormula array="1">IF(_xlfn.XLOOKUP(
  1,
  (Lists3.1_Longlist[IUD]=Lists3.1_Shortlist[[#This Row],[IUD]]) *
  (Lists3.1_Longlist[Language]=Language),
  Lists3.1_Longlist[Mat. Cat. 2]
)=0,"",_xlfn.XLOOKUP(
  1,
  (Lists3.1_Longlist[IUD]=Lists3.1_Shortlist[[#This Row],[IUD]]) *
  (Lists3.1_Longlist[Language]=Language),
  Lists3.1_Longlist[Mat. Cat. 2]
))</calculatedColumnFormula>
    </tableColumn>
    <tableColumn id="4" xr3:uid="{3BBE4392-8CF6-4255-8AE7-C8696895F8BF}" name="Mat. Cat.  3" dataDxfId="238">
      <calculatedColumnFormula array="1">IF(_xlfn.XLOOKUP(
  1,
  (Lists3.1_Longlist[IUD]=Lists3.1_Shortlist[[#This Row],[IUD]]) *
  (Lists3.1_Longlist[Language]=Language),
  Lists3.1_Longlist[Mat. Cat. 3]
)=0,"",_xlfn.XLOOKUP(
  1,
  (Lists3.1_Longlist[IUD]=Lists3.1_Shortlist[[#This Row],[IUD]]) *
  (Lists3.1_Longlist[Language]=Language),
  Lists3.1_Longlist[Mat. Cat. 3]
))</calculatedColumnFormula>
    </tableColumn>
    <tableColumn id="6" xr3:uid="{A47E4D21-1195-4E71-BC41-A92EA1A8A6E0}" name="Unit" dataDxfId="237"/>
    <tableColumn id="5" xr3:uid="{18F22613-9557-4FFE-A122-237EB4F5ABAE}" name="IUD" dataDxfId="236"/>
  </tableColumns>
  <tableStyleInfo name="Tabellenformat 1"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A69D52-A3E9-4D04-9BAE-539D5EB8197B}" name="Lists3.1_Longlist" displayName="Lists3.1_Longlist" ref="B260:H1006" totalsRowShown="0" headerRowDxfId="235" dataDxfId="233" headerRowBorderDxfId="234" tableBorderDxfId="232" totalsRowBorderDxfId="231">
  <autoFilter ref="B260:H1006" xr:uid="{5AB10F14-682E-4F8F-9C8F-A6C8DAEEE7AA}"/>
  <tableColumns count="7">
    <tableColumn id="5" xr3:uid="{DF8260DA-E4B8-4F94-85D8-C83ED794DE27}" name="Dataset" dataDxfId="230"/>
    <tableColumn id="1" xr3:uid="{61A87223-9AB2-49FF-B7FC-4E277029EF3C}" name="Mat. Cat 1" dataDxfId="229"/>
    <tableColumn id="2" xr3:uid="{AF2FD181-1774-4486-B290-6FF5864351DA}" name="Mat. Cat. 2" dataDxfId="228"/>
    <tableColumn id="3" xr3:uid="{05795C3C-3461-472B-A222-C11A88DB2672}" name="Mat. Cat. 3" dataDxfId="227"/>
    <tableColumn id="4" xr3:uid="{2850CFC5-6259-4792-B55B-678A8D2F99F6}" name="Language" dataDxfId="226"/>
    <tableColumn id="6" xr3:uid="{EE4F071F-5614-4959-80B2-CBF3A09135A8}" name="Unit" dataDxfId="225"/>
    <tableColumn id="7" xr3:uid="{84ABDE89-EFBA-4A12-9856-D635B4799AE3}" name="IUD" dataDxfId="224"/>
  </tableColumns>
  <tableStyleInfo name="Tabellenformat 1"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3AFE36-1492-4A66-BD8C-D4131208C367}" name="T_CapitalGoods_MatHierarchy" displayName="T_CapitalGoods_MatHierarchy" ref="I3:L35" totalsRowShown="0">
  <tableColumns count="4">
    <tableColumn id="1" xr3:uid="{8CD4B11C-ECDD-4219-8652-E487994C4433}" name="dataset" dataDxfId="223"/>
    <tableColumn id="2" xr3:uid="{BC982C36-953B-4330-B406-3E6EE953197A}" name="Produkt" dataDxfId="222">
      <calculatedColumnFormula>IF(Language=German,Lists!C209,IF(Language=French,Lists!D209,Lists!E209))</calculatedColumnFormula>
    </tableColumn>
    <tableColumn id="3" xr3:uid="{2E2D75F4-7B1E-49DE-80F8-18C2581EEAE1}" name="Gruppe" dataDxfId="221">
      <calculatedColumnFormula>IF(Language=German,Lists!I209,IF(Language=French,Lists!J209,Lists!K209))</calculatedColumnFormula>
    </tableColumn>
    <tableColumn id="4" xr3:uid="{16894262-EA2A-4032-A137-507D29F63F75}" name="Unit" dataDxfId="220"/>
  </tableColumns>
  <tableStyleInfo name="TableStyleMedium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95116AB-4740-44C3-94CB-B882EFC5B93C}" name="D_Transport_Downstream" displayName="D_Transport_Downstream" ref="C746:F751" totalsRowShown="0" headerRowDxfId="1234" dataDxfId="1233">
  <tableColumns count="4">
    <tableColumn id="1" xr3:uid="{EA1A7240-33D6-43A5-BD78-DB3BAD2C2548}" name="Mode" dataDxfId="1232"/>
    <tableColumn id="2" xr3:uid="{11652ECE-372C-4296-978A-DA18D286B974}" name="_" dataDxfId="1231"/>
    <tableColumn id="3" xr3:uid="{C8146982-E064-4B93-9B17-E9199BB2A4E5}" name="_2" dataDxfId="1230"/>
    <tableColumn id="4" xr3:uid="{6EE11904-13A7-4DC1-A678-C9FCD15AFF36}" name="tkm" dataDxfId="1229"/>
  </tableColumns>
  <tableStyleInfo name="Tabellenformat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34E1329-CA4B-4E8B-82D1-64AD18CDB0BD}" name="D_Waste" displayName="D_Waste" ref="C771:F784" totalsRowShown="0" headerRowDxfId="1228" dataDxfId="1227">
  <tableColumns count="4">
    <tableColumn id="1" xr3:uid="{68B0FDB6-CFFD-4C66-93CA-810DBFE8E0E0}" name="Waste Type" dataDxfId="1226"/>
    <tableColumn id="2" xr3:uid="{3E31FE90-7E3E-4819-B96F-EA30F2E1CE96}" name="_" dataDxfId="1225"/>
    <tableColumn id="3" xr3:uid="{1BCAB52E-4B6D-488C-8636-1E8E87C21746}" name="_2" dataDxfId="1224"/>
    <tableColumn id="4" xr3:uid="{D0CF639F-DE14-4B9F-8A64-AD8ED952A656}" name="kg" dataDxfId="1223"/>
  </tableColumns>
  <tableStyleInfo name="Tabellenformat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2B55EDD-9339-4B3E-9646-CDFE02FADBE5}" name="D_SoldP_Processing_Electricity" displayName="D_SoldP_Processing_Electricity" ref="C805:F808" totalsRowShown="0" headerRowDxfId="1222" dataDxfId="1221">
  <tableColumns count="4">
    <tableColumn id="1" xr3:uid="{D6D31D27-FA82-4D78-9C5B-C723860DC845}" name="Electricity" dataDxfId="1220"/>
    <tableColumn id="2" xr3:uid="{DE256DDD-726C-4BF9-9B73-04B134526275}" name="_" dataDxfId="1219"/>
    <tableColumn id="3" xr3:uid="{8BFB2F0E-C914-436F-B0EE-3957D81F113E}" name="_2" dataDxfId="1218"/>
    <tableColumn id="4" xr3:uid="{44A44288-167C-45E3-B31D-363F6E7C8CDA}" name="kWh" dataDxfId="1217"/>
  </tableColumns>
  <tableStyleInfo name="Tabellenformat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029A4C4-6DDE-4188-ABE0-AF22937E2AC6}" name="D_SoldP_Processing_Combustion" displayName="D_SoldP_Processing_Combustion" ref="C811:F822" totalsRowShown="0" headerRowDxfId="1216" dataDxfId="1215">
  <tableColumns count="4">
    <tableColumn id="1" xr3:uid="{CB2D459C-CA54-4123-BA47-E30DD51CD6D0}" name="Fuel" dataDxfId="1214"/>
    <tableColumn id="2" xr3:uid="{AA570DAF-1C99-4ACD-9BEE-AA07CC4F283D}" name="Data" dataDxfId="1213"/>
    <tableColumn id="3" xr3:uid="{E2C5D690-3783-4733-982A-B1DD17EF0356}" name="Unit" dataDxfId="1212"/>
    <tableColumn id="4" xr3:uid="{DCEF6763-5626-4D5E-A101-48E8EC526ED0}" name="MJ" dataDxfId="1211"/>
  </tableColumns>
  <tableStyleInfo name="Tabellenformat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1E870A3-160C-49CC-A4B0-1E4B49C06504}" name="D_SoldP_Use_Electricity" displayName="D_SoldP_Use_Electricity" ref="C841:F844" totalsRowShown="0" headerRowDxfId="1210" dataDxfId="1209">
  <tableColumns count="4">
    <tableColumn id="1" xr3:uid="{B4158BE9-2951-40B3-B3A2-02DBF8667AAD}" name="Electricity" dataDxfId="1208"/>
    <tableColumn id="2" xr3:uid="{DA06CAD3-F9E2-48E6-8D1A-AD9475DFB734}" name="_" dataDxfId="1207"/>
    <tableColumn id="3" xr3:uid="{AE683509-C3DD-4601-8F2B-96A9D82A6A46}" name="_2" dataDxfId="1206"/>
    <tableColumn id="4" xr3:uid="{65F45DB0-B44D-46B2-B9B8-86BA50896A9D}" name="kWh" dataDxfId="1205"/>
  </tableColumns>
  <tableStyleInfo name="Tabellenformat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9CE45CA-F6E2-46C3-A08C-4ECA16B1BB98}" name="D_SoldP_Use_Combustion" displayName="D_SoldP_Use_Combustion" ref="C847:F858" totalsRowShown="0" headerRowDxfId="1204" dataDxfId="1203">
  <tableColumns count="4">
    <tableColumn id="1" xr3:uid="{4F6204BA-08C5-40B1-953E-0A24A26D135F}" name="Fuel" dataDxfId="1202"/>
    <tableColumn id="2" xr3:uid="{CDC63552-5D66-4BAD-A923-8418824BE4FD}" name="Data" dataDxfId="1201"/>
    <tableColumn id="3" xr3:uid="{E5835615-0AE1-483F-A7D6-944DF70802F6}" name="Unit" dataDxfId="1200"/>
    <tableColumn id="4" xr3:uid="{D24675F0-54F9-4467-91F6-1056A0296051}" name="MJ" dataDxfId="1199"/>
  </tableColumns>
  <tableStyleInfo name="Tabellenformat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0FBDC12-8960-4EDA-8D73-FA09AB3490C4}" name="D_SoldP_EoL" displayName="D_SoldP_EoL" ref="C877:F890" totalsRowShown="0" headerRowDxfId="1198" dataDxfId="1197">
  <tableColumns count="4">
    <tableColumn id="1" xr3:uid="{8006BE32-A3BD-4031-869B-7C74F8B6B3D1}" name="Waste Type" dataDxfId="1196"/>
    <tableColumn id="2" xr3:uid="{B8A01B5B-8975-42C8-B675-8042288306B6}" name="_" dataDxfId="1195"/>
    <tableColumn id="3" xr3:uid="{23B1C0E0-8DC5-4BC9-B9EE-0DE476E86622}" name="_2" dataDxfId="1194"/>
    <tableColumn id="4" xr3:uid="{DE3BDF80-28F4-40A4-8B1A-43B62A6F2B38}" name="kg" dataDxfId="1193"/>
  </tableColumns>
  <tableStyleInfo name="Tabellenformat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966C509-1FFD-44A8-B47F-8237B86BA938}" name="D_DistrictHeat_Lessor" displayName="D_DistrictHeat_Lessor" ref="C207:F218" totalsRowShown="0" headerRowDxfId="1303" dataDxfId="1302">
  <tableColumns count="4">
    <tableColumn id="1" xr3:uid="{984F7370-1463-4CC4-AAD0-0DF0E4BBD2C9}" name="Energy Source" dataDxfId="1301"/>
    <tableColumn id="2" xr3:uid="{7C0A8F1E-EA7C-4DCA-9DD4-15198A8C2A6F}" name="_" dataDxfId="1300"/>
    <tableColumn id="3" xr3:uid="{28165D09-3AA3-44EA-87BA-A8E190021B98}" name="__" dataDxfId="1299"/>
    <tableColumn id="4" xr3:uid="{0FDAC82E-ED36-4045-8820-5C32A60DF27E}" name="MJ" dataDxfId="1298"/>
  </tableColumns>
  <tableStyleInfo name="Tabellenformat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AA1083B-E89F-473A-B5B0-3E79D476B8DC}" name="D_Fugitive" displayName="D_Fugitive" ref="C288:F299" totalsRowShown="0" headerRowDxfId="1192" dataDxfId="1191">
  <tableColumns count="4">
    <tableColumn id="1" xr3:uid="{F0B9B877-0B23-4ABF-9C82-8AA644E39FC3}" name="Greenhouse Gas Emissions" dataDxfId="1190"/>
    <tableColumn id="2" xr3:uid="{F172A22E-4DA5-4105-9AF2-231EC3BAAFA2}" name="_" dataDxfId="1189"/>
    <tableColumn id="3" xr3:uid="{1082200D-5410-48B1-A232-7DEB3761C600}" name="_2" dataDxfId="1188"/>
    <tableColumn id="4" xr3:uid="{C870413E-DBE7-4FFD-A96A-564D33C06C6D}" name="kg" dataDxfId="1187"/>
  </tableColumns>
  <tableStyleInfo name="Tabellenformat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A2D37E2-E748-4B13-A33C-03F6DAD95EA5}" name="D_Processes_LandUse" displayName="D_Processes_LandUse" ref="C250:F256" totalsRowShown="0" headerRowDxfId="1186" dataDxfId="1185">
  <tableColumns count="4">
    <tableColumn id="1" xr3:uid="{9A25B810-750C-4345-96AF-FB361D5EDBE4}" name="Landnutzung" dataDxfId="1184"/>
    <tableColumn id="2" xr3:uid="{A039649E-23AA-4645-BF85-0367F6B38DE7}" name="_" dataDxfId="1183"/>
    <tableColumn id="3" xr3:uid="{969B1635-5910-410E-A0CA-5162B144A871}" name="__" dataDxfId="1182"/>
    <tableColumn id="4" xr3:uid="{E89D6796-B016-4ABD-893E-5A7F91EDF0E1}" name="m2" dataDxfId="1181"/>
  </tableColumns>
  <tableStyleInfo name="Tabellenformat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6640E6C-8D0B-4A7D-9E5B-D5B6CA0758BB}" name="D_Electricity_Lessor" displayName="D_Electricity_Lessor" ref="C470:F483" totalsRowShown="0" headerRowDxfId="1180">
  <tableColumns count="4">
    <tableColumn id="1" xr3:uid="{6C256428-57E0-4D70-AC19-1B01ADED8F94}" name="Source" dataDxfId="1179"/>
    <tableColumn id="2" xr3:uid="{E638B82F-0DA5-480A-A312-D89F2C3270D5}" name="Losses over GO?" dataDxfId="1178"/>
    <tableColumn id="3" xr3:uid="{24FEC514-37B8-4D59-9BD2-9262EFA6A878}" name="Voltage" dataDxfId="1177"/>
    <tableColumn id="4" xr3:uid="{BC6F5BCB-08CC-45C3-BFCC-CCF519B0C178}" name="kWh" dataDxfId="1176"/>
  </tableColumns>
  <tableStyleInfo name="Tabellenformat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89EAD5E-A92B-4A87-AB8C-7413E3D0A486}" name="D_Electricity_Lessee" displayName="D_Electricity_Lessee" ref="C504:F517" totalsRowShown="0" headerRowDxfId="1175">
  <tableColumns count="4">
    <tableColumn id="1" xr3:uid="{B7EFB22C-2A99-4535-A6B2-C928CB6A3151}" name="Source" dataDxfId="1174"/>
    <tableColumn id="2" xr3:uid="{55C3B223-A76E-402D-9BC4-86309FDD8FEC}" name="Losses over GO?" dataDxfId="1173"/>
    <tableColumn id="3" xr3:uid="{ACC4B525-2B90-4851-8C91-0F2D4CA3E294}" name="Voltage" dataDxfId="1172"/>
    <tableColumn id="4" xr3:uid="{E8A5A1E1-1DD5-40A6-9AD2-F52395077E61}" name="kWh" dataDxfId="1171"/>
  </tableColumns>
  <tableStyleInfo name="Tabellenformat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4EAD028-1F77-4368-87E5-6EE5981B3847}" name="D_Franchises_Emissions" displayName="D_Franchises_Emissions" ref="C910:F913" totalsRowShown="0" headerRowDxfId="1170" dataDxfId="1169">
  <tableColumns count="4">
    <tableColumn id="1" xr3:uid="{7696DE53-F93D-44E1-9BE8-30801C871A82}" name="Greenhouse Gas Emissions" dataDxfId="1168"/>
    <tableColumn id="2" xr3:uid="{08E47EF9-3C02-4EE5-BFAE-855808C69C39}" name="_" dataDxfId="1167"/>
    <tableColumn id="3" xr3:uid="{3ED6BBEC-299B-4690-9DC4-ACF3E38FA3DE}" name="_2" dataDxfId="1166"/>
    <tableColumn id="4" xr3:uid="{1D8666B2-69B4-4C1B-B395-CE9D313050BA}" name="kgCO2eq" dataDxfId="1165"/>
  </tableColumns>
  <tableStyleInfo name="Tabellenformat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DD5C025-0610-44B4-BCD1-DE364A311FC5}" name="D_Investments_Emissions" displayName="D_Investments_Emissions" ref="C933:F935" totalsRowShown="0" headerRowDxfId="1164" dataDxfId="1163">
  <tableColumns count="4">
    <tableColumn id="1" xr3:uid="{29E0C58E-7E50-49CA-8D76-ED17CE5253A4}" name="Greenhouse Gas Emissions" dataDxfId="1162"/>
    <tableColumn id="2" xr3:uid="{DC19A572-8D67-494B-B90A-5BE93FCC886A}" name="_" dataDxfId="1161"/>
    <tableColumn id="3" xr3:uid="{D33607C2-2047-4F39-9ED1-8DC33D18B795}" name="_2" dataDxfId="1160"/>
    <tableColumn id="4" xr3:uid="{B0A1FBFA-9EEF-4FE1-8510-D609E730C2AA}" name="kgCO2eq" dataDxfId="1159"/>
  </tableColumns>
  <tableStyleInfo name="Tabellenformat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6CD8D41-6F95-4E9C-857C-A4B74E2D9488}" name="D_Investments_Spend" displayName="D_Investments_Spend" ref="C938:F959" totalsRowShown="0" headerRowDxfId="1158" dataDxfId="1157">
  <tableColumns count="4">
    <tableColumn id="1" xr3:uid="{05A48400-45D0-4B87-B129-DD0C8CF2140D}" name="Sector" dataDxfId="1156"/>
    <tableColumn id="2" xr3:uid="{6B8BDA22-9ABB-441C-A30C-0EEB4377E552}" name="_" dataDxfId="1155"/>
    <tableColumn id="3" xr3:uid="{7ACA9C1D-4656-4846-9C84-F33D82A83659}" name="Capital Share [%]" dataDxfId="1154"/>
    <tableColumn id="4" xr3:uid="{CDA7B5E4-7DB1-40DC-A0FA-B65BE55CA080}" name="Revenue [CHF]" dataDxfId="1153"/>
  </tableColumns>
  <tableStyleInfo name="Tabellenformat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1E3FB32-FA84-45DA-933F-7747F89F82B3}" name="D_Processes_UBP" displayName="D_Processes_UBP" ref="C261:F267" totalsRowShown="0" headerRowDxfId="1152" dataDxfId="1151">
  <tableColumns count="4">
    <tableColumn id="1" xr3:uid="{9BF54D27-495A-44A5-A262-A4335FEE01F1}" name="Emissions (air / water)" dataDxfId="1150"/>
    <tableColumn id="2" xr3:uid="{7AED3745-7A71-44D6-8A71-B6FDE5DFFD6D}" name="_" dataDxfId="1149"/>
    <tableColumn id="3" xr3:uid="{2C376257-C77D-4E6D-A3FE-F0EC90DE7CD6}" name="__" dataDxfId="1148"/>
    <tableColumn id="4" xr3:uid="{4AF42E48-D8A9-47C6-8534-F9AB7DB2E172}" name="kg" dataDxfId="1147"/>
  </tableColumns>
  <tableStyleInfo name="Tabellenformat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9A98184-13E5-4EAB-9703-052D9482DC53}" name="D_Fleet_leased" displayName="D_Fleet_leased" ref="C365:G376" totalsRowShown="0" headerRowDxfId="1146" dataDxfId="1145">
  <tableColumns count="5">
    <tableColumn id="1" xr3:uid="{D159EB5F-D98C-425E-9627-4194C2576B0D}" name="Vehicle" dataDxfId="1144"/>
    <tableColumn id="2" xr3:uid="{C5C90C8A-2DB0-4BB4-AFC1-ADCA59F40FF5}" name="a) Kilometer" dataDxfId="1143"/>
    <tableColumn id="3" xr3:uid="{F6E90550-08B6-45D4-A2CB-60FD5A191F74}" name="Unit a)" dataDxfId="1142"/>
    <tableColumn id="4" xr3:uid="{60B0F0B2-9CB1-4D31-AF67-2A12EBFB8519}" name="b) Fuel" dataDxfId="1141"/>
    <tableColumn id="5" xr3:uid="{D12FCB7C-910D-43D6-B6A3-BC6AB392604A}" name="Unit b)" dataDxfId="1140"/>
  </tableColumns>
  <tableStyleInfo name="Tabellenformat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1328811-E503-4AC4-B601-F08826891C11}" name="D_Fleet_vermietet" displayName="D_Fleet_vermietet" ref="C402:G413" totalsRowShown="0" headerRowDxfId="1139" dataDxfId="1138">
  <tableColumns count="5">
    <tableColumn id="1" xr3:uid="{ED081EA7-7372-42C8-84FE-6ADC303A0F4F}" name="Vehicle" dataDxfId="1137"/>
    <tableColumn id="2" xr3:uid="{2F3BE0A2-76D3-4BE3-85B1-3B4B2844DFF9}" name="a) Kilometer" dataDxfId="1136"/>
    <tableColumn id="3" xr3:uid="{1287608D-9AE5-4545-9D6D-B66787B23120}" name="Unit a)" dataDxfId="1135"/>
    <tableColumn id="4" xr3:uid="{D6E4BA4F-B303-4CBC-89BF-C01642659A73}" name="b) Fuel" dataDxfId="1134"/>
    <tableColumn id="5" xr3:uid="{E71AE80F-41FA-4EC3-970E-8B0DBA4C12A9}" name="Unit b)" dataDxfId="1133"/>
  </tableColumns>
  <tableStyleInfo name="Tabellenformat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72F207F-FFE9-4000-8FF7-A8CED63A4BDF}" name="D_Processes" displayName="D_Processes" ref="C239:F248" totalsRowShown="0" headerRowDxfId="1297" dataDxfId="1296">
  <tableColumns count="4">
    <tableColumn id="1" xr3:uid="{277956C5-DFEE-4E89-BB3B-ADC64CE76964}" name="Greenhouse Gas Emissions" dataDxfId="1295"/>
    <tableColumn id="2" xr3:uid="{291F6FE4-C5D9-44BA-A9D1-333449924E3D}" name="_" dataDxfId="1294"/>
    <tableColumn id="3" xr3:uid="{9C300FAA-C752-4F98-9DB7-2A3134194A3B}" name="_2" dataDxfId="1293"/>
    <tableColumn id="4" xr3:uid="{EFFB91A1-AB95-418F-AA61-6D1BC9367E1F}" name="kg" dataDxfId="1292"/>
  </tableColumns>
  <tableStyleInfo name="Tabellenformat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0CBC1F8-0AC6-4C04-8FD4-2FD0FA55A330}" name="D_DistrictHeat_Lessee" displayName="D_DistrictHeat_Lessee" ref="C146:F157" totalsRowShown="0" headerRowDxfId="1132" dataDxfId="1131">
  <tableColumns count="4">
    <tableColumn id="1" xr3:uid="{36960817-D707-4A74-B0C3-CE3B0FCF02A5}" name="Energy Source" dataDxfId="1130"/>
    <tableColumn id="2" xr3:uid="{F4432477-B2D0-48FB-909A-140096869B9E}" name="_" dataDxfId="1129"/>
    <tableColumn id="3" xr3:uid="{FD55ED89-3051-45F9-A202-94D740644398}" name="__" dataDxfId="1128"/>
    <tableColumn id="4" xr3:uid="{7455CE49-D370-488B-B18A-61EFD7EB1BE8}" name="MJ" dataDxfId="1127"/>
  </tableColumns>
  <tableStyleInfo name="Tabellenformat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FAC3213-8632-4664-8EB0-462B3412B84C}" name="D_Fleet_Fuel52" displayName="D_Fleet_Fuel52" ref="C358:F362" totalsRowShown="0" headerRowDxfId="1126" dataDxfId="1125">
  <tableColumns count="4">
    <tableColumn id="1" xr3:uid="{0C435097-CD73-4734-BEAC-F2B81A9217F1}" name="Fuel use (simplified)" dataDxfId="1124"/>
    <tableColumn id="2" xr3:uid="{AB466097-2FF9-4BD9-9A42-4DEB776135E2}" name="_" dataDxfId="1123"/>
    <tableColumn id="3" xr3:uid="{BD1B1DE1-3F12-4B68-BF23-CD76E169CB2F}" name="Unit" dataDxfId="1122"/>
    <tableColumn id="4" xr3:uid="{C72E69B6-0118-4DDD-BFF8-CB9BE0CB9283}" name="Data" dataDxfId="1121"/>
  </tableColumns>
  <tableStyleInfo name="Tabellenformat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EB3750A-9E66-4EA2-BB41-F0264A45DB77}" name="D_Fleet_Fuel5253" displayName="D_Fleet_Fuel5253" ref="C395:F399" totalsRowShown="0" headerRowDxfId="1120" dataDxfId="1119">
  <tableColumns count="4">
    <tableColumn id="1" xr3:uid="{3F8589E4-1EA3-49B5-93F7-F973AD8F8445}" name="Fuel use (simplified)" dataDxfId="1118"/>
    <tableColumn id="2" xr3:uid="{245B0340-31A5-4B65-B263-594D52B7D559}" name="_" dataDxfId="1117"/>
    <tableColumn id="3" xr3:uid="{2A31F728-B4AB-417A-A76F-63F34C5FBF5A}" name="Unit" dataDxfId="1116"/>
    <tableColumn id="4" xr3:uid="{FB74544B-2A10-4B56-B530-30A44F167215}" name="Data" dataDxfId="1115"/>
  </tableColumns>
  <tableStyleInfo name="Tabellenformat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B0E904F-2D6B-404D-BFD3-C38B9E62A284}" name="D_DistrictHeat_Owned" displayName="D_DistrictHeat_Owned" ref="C85:F96" totalsRowShown="0" headerRowDxfId="1114" dataDxfId="1113">
  <tableColumns count="4">
    <tableColumn id="1" xr3:uid="{7503F614-6FE9-4917-B3EE-1E04497ED068}" name="Energy Source" dataDxfId="1112"/>
    <tableColumn id="2" xr3:uid="{14D8703E-0419-43D5-959D-DCA065DA4FD6}" name="_" dataDxfId="1111"/>
    <tableColumn id="3" xr3:uid="{44CFB880-D9C0-46F3-A40E-C5EFDED78246}" name="__" dataDxfId="1110"/>
    <tableColumn id="4" xr3:uid="{63F831C1-51FD-489C-9A8E-BF6E903D5A0D}" name="MJ" dataDxfId="1109"/>
  </tableColumns>
  <tableStyleInfo name="Tabellenformat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E1F62A2-ABA9-469B-A6C9-3F5C5A9979E1}" name="D_StationaryComb_Owned49" displayName="D_StationaryComb_Owned49" ref="C117:F129" totalsRowShown="0" headerRowDxfId="1108" dataDxfId="1107">
  <tableColumns count="4">
    <tableColumn id="1" xr3:uid="{10264C78-6FAF-45A1-BC29-F764A00703DC}" name="Fuel" dataDxfId="1106"/>
    <tableColumn id="2" xr3:uid="{A6A5CF84-BD52-4C7F-BD3C-0A16F93496C8}" name="Data" dataDxfId="1105"/>
    <tableColumn id="3" xr3:uid="{35E9E7D5-83A0-4406-8324-835034E751B4}" name="Unit" dataDxfId="1104"/>
    <tableColumn id="4" xr3:uid="{60FB9B20-B1C4-4427-BE06-2A43E1AA0155}" name="MJ" dataDxfId="1103"/>
  </tableColumns>
  <tableStyleInfo name="Tabellenformat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76B7692-FDFF-4CD3-9018-33988047B4C7}" name="D_StationaryComb_Owned50" displayName="D_StationaryComb_Owned50" ref="C178:F190" totalsRowShown="0" headerRowDxfId="1102" dataDxfId="1101">
  <tableColumns count="4">
    <tableColumn id="1" xr3:uid="{44EDEE7D-8C2C-41F2-9C6B-12031B082FE4}" name="Fuel" dataDxfId="1100"/>
    <tableColumn id="2" xr3:uid="{880C383C-4A2D-4189-9689-B5D5D38C5A13}" name="Data" dataDxfId="1099"/>
    <tableColumn id="3" xr3:uid="{B445F374-9233-421D-8BDE-9582264912A4}" name="Unit" dataDxfId="1098"/>
    <tableColumn id="4" xr3:uid="{7717AD4D-353F-4FB3-991D-0E298A82F644}" name="MJ" dataDxfId="1097"/>
  </tableColumns>
  <tableStyleInfo name="Tabellenformat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668FEC5-97A6-405F-B453-CDA5C4E7A928}" name="Calc_S1_StationaryCombustion" displayName="Calc_S1_StationaryCombustion" ref="C25:J37" totalsRowShown="0" headerRowDxfId="1096" dataDxfId="1095" headerRowCellStyle="Comma" dataCellStyle="Comma">
  <tableColumns count="8">
    <tableColumn id="1" xr3:uid="{72954FCB-7291-4947-A2DF-57D8C552349A}" name="Fuel" dataDxfId="1094" dataCellStyle="Comma"/>
    <tableColumn id="2" xr3:uid="{E9BC3B80-3099-4EE8-A469-4CEA1BD03BA7}" name="Entry in FU (MJ)" dataDxfId="1093" dataCellStyle="Comma"/>
    <tableColumn id="3" xr3:uid="{A73A49E6-D405-45D3-8944-C920BA52F938}" name="EF(kg CO2eq) / FU)" dataDxfId="1092" dataCellStyle="Comma"/>
    <tableColumn id="4" xr3:uid="{3B69541B-D26A-4E3C-BAC6-EC82AF87598F}" name="Result kg CO2eq" dataDxfId="1091" dataCellStyle="Comma"/>
    <tableColumn id="5" xr3:uid="{197A54AF-B300-4D23-821C-F7F3B99E9C44}" name="Result kg CO2 biogenic" dataDxfId="1090" dataCellStyle="Comma"/>
    <tableColumn id="6" xr3:uid="{05643FEA-600F-46E3-9B64-4F7381F30EE7}" name="Result UBP" dataDxfId="1089" dataCellStyle="Comma"/>
    <tableColumn id="7" xr3:uid="{E1B87AED-2D7C-4EDD-BBDB-F0C7D3E2E712}" name="Background dataset" dataDxfId="1088" dataCellStyle="Comma"/>
    <tableColumn id="8" xr3:uid="{94379925-F77E-4991-9B12-8E4110DD90CF}" name="Dataset source" dataDxfId="1087" dataCellStyle="Comma"/>
  </tableColumns>
  <tableStyleInfo name="Tabellenformat 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26CE21C-8542-4DED-B2B7-A6F3667BD8C8}" name="Calc_S1_FugitiveEmissions" displayName="Calc_S1_FugitiveEmissions" ref="C43:J54" totalsRowShown="0" headerRowDxfId="1086" dataDxfId="1085" headerRowCellStyle="Comma" dataCellStyle="Comma">
  <tableColumns count="8">
    <tableColumn id="1" xr3:uid="{7B1CDFAD-EAC9-4F84-B1EB-C58E31D15BBC}" name="Emission" dataDxfId="1084" dataCellStyle="Comma"/>
    <tableColumn id="2" xr3:uid="{BC21E525-C930-46F2-A5C6-E5DEC347792F}" name="Entry in FU (kg)" dataDxfId="1083" dataCellStyle="Comma"/>
    <tableColumn id="3" xr3:uid="{90E2997F-5014-4021-AB2A-BFF320DBC2B8}" name="EF(kg CO2eq) / FU)" dataDxfId="1082" dataCellStyle="Comma">
      <calculatedColumnFormula>_xlfn.XLOOKUP($I44,BG_Data[Product],BG_Data[GHG emissions (IPCC 2021) '[kg CO2 eq']],0)</calculatedColumnFormula>
    </tableColumn>
    <tableColumn id="4" xr3:uid="{71F17D5B-C85C-47C2-A10C-AFDF7612CA56}" name="Result kg CO2eq" dataDxfId="1081" dataCellStyle="Comma"/>
    <tableColumn id="5" xr3:uid="{05492F34-55AD-4180-97A1-761F7162C7B0}" name="Result kg CO2 biogenic" dataDxfId="1080" dataCellStyle="Comma"/>
    <tableColumn id="6" xr3:uid="{A92D5BE2-3972-4AFF-A468-2B3F09890B6B}" name="Result UBP" dataDxfId="1079" dataCellStyle="Comma"/>
    <tableColumn id="7" xr3:uid="{51C227B8-A67C-4A23-AF04-F1A4222D0B69}" name="Background dataset" dataDxfId="1078" dataCellStyle="Comma"/>
    <tableColumn id="8" xr3:uid="{F3C7F048-E36F-4DD9-89B9-BFF636A6BEC1}" name="Dataset source" dataDxfId="1077" dataCellStyle="Comma"/>
  </tableColumns>
  <tableStyleInfo name="Tabellenformat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9A21D5E-E4B5-4D23-A3CF-B1802D7C24E9}" name="Calc_S1_Fleet1" displayName="Calc_S1_Fleet1" ref="C60:J63" totalsRowShown="0" headerRowDxfId="1076" dataDxfId="1075" headerRowCellStyle="Comma" dataCellStyle="Comma">
  <tableColumns count="8">
    <tableColumn id="1" xr3:uid="{343819A4-5853-4241-A343-EC81756F1FEB}" name="Fuel use (simplified)" dataDxfId="1074" dataCellStyle="Comma"/>
    <tableColumn id="2" xr3:uid="{F3D7F086-B028-40EE-A8ED-2C6E83883309}" name="Entry in FU (liter)" dataDxfId="1073" dataCellStyle="Comma"/>
    <tableColumn id="3" xr3:uid="{7254A07E-5321-4EDD-9B2E-2C9CFACA91C0}" name="EF(kg CO2eq) / FU)" dataDxfId="1072" dataCellStyle="Comma">
      <calculatedColumnFormula>_xlfn.XLOOKUP($I61,BG_Data[Product],BG_Data[GHG emissions (IPCC 2021) '[kg CO2 eq']],0)</calculatedColumnFormula>
    </tableColumn>
    <tableColumn id="4" xr3:uid="{5C31F367-66B8-45F0-B377-C0DC279BFEBB}" name="Result kg CO2eq" dataDxfId="1071" dataCellStyle="Comma"/>
    <tableColumn id="5" xr3:uid="{B17E18ED-5406-4A69-8F2F-11A125AC8779}" name="Result kg CO2 biogenic" dataDxfId="1070" dataCellStyle="Comma"/>
    <tableColumn id="6" xr3:uid="{F089C6AA-FB4A-436E-A332-4050A67AE933}" name="Result UBP" dataDxfId="1069" dataCellStyle="Comma"/>
    <tableColumn id="7" xr3:uid="{5DCA6669-93D2-4113-8B07-CFEB1E08EC24}" name="Background dataset" dataDxfId="1068" dataCellStyle="Comma"/>
    <tableColumn id="8" xr3:uid="{4124A695-9A2C-4356-A6D3-FC557AA37B5F}" name="Dataset source" dataDxfId="1067" dataCellStyle="Comma"/>
  </tableColumns>
  <tableStyleInfo name="Tabellenformat 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67CC6BD-AB80-44EC-97DB-955C8F56EA86}" name="Calc_S1_Fleet2" displayName="Calc_S1_Fleet2" ref="C65:J76" totalsRowShown="0" headerRowDxfId="1066" dataDxfId="1065" headerRowCellStyle="Comma" dataCellStyle="Comma">
  <tableColumns count="8">
    <tableColumn id="1" xr3:uid="{341A060C-E780-4294-879F-44344E3160ED}" name="Vehicle type" dataDxfId="1064" dataCellStyle="Comma"/>
    <tableColumn id="2" xr3:uid="{18B1EC1C-86EF-4559-AE35-4185915405E2}" name="Entry in FU (liter)" dataDxfId="1063" dataCellStyle="Comma"/>
    <tableColumn id="3" xr3:uid="{FA364DCC-25B0-456A-82C2-55E712315336}" name="EF(kg CO2eq) / FU)" dataDxfId="1062" dataCellStyle="Comma">
      <calculatedColumnFormula>_xlfn.XLOOKUP($I66,BG_Data[Product],BG_Data[GHG emissions (IPCC 2021) '[kg CO2 eq']],0)</calculatedColumnFormula>
    </tableColumn>
    <tableColumn id="4" xr3:uid="{FF62BA3D-3B09-4DF5-91AC-7FC05A11B787}" name="Result kg CO2eq" dataDxfId="1061" dataCellStyle="Comma"/>
    <tableColumn id="5" xr3:uid="{ED6DDA44-6E8E-4915-8E67-0891EAA8DE4D}" name="Result kg CO2 biogenic" dataDxfId="1060" dataCellStyle="Comma"/>
    <tableColumn id="6" xr3:uid="{9C6159B1-7B60-4003-95F8-54630AC8795D}" name="Result UBP" dataDxfId="1059" dataCellStyle="Comma"/>
    <tableColumn id="7" xr3:uid="{7C748B73-62D3-49DB-8664-BC1E36B27759}" name="Background dataset" dataDxfId="1058" dataCellStyle="Comma"/>
    <tableColumn id="8" xr3:uid="{4C82310C-9CB7-4406-BD78-EDA06C6A299C}" name="Dataset source" dataDxfId="1057" dataCellStyle="Comma"/>
  </tableColumns>
  <tableStyleInfo name="Tabellenformat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3FEDA70-5C8E-4D6D-BB89-9AAC3E18D847}" name="D_Fleet_Fuel" displayName="D_Fleet_Fuel" ref="C320:F324" totalsRowShown="0" headerRowDxfId="1291" dataDxfId="1290">
  <tableColumns count="4">
    <tableColumn id="1" xr3:uid="{015AB63F-4122-49C7-A8D2-B9CC0AC63CE2}" name="Fuel use (simplified)" dataDxfId="1289"/>
    <tableColumn id="2" xr3:uid="{B3E37E21-AF6B-43B2-9B36-41CA96F45819}" name="_" dataDxfId="1288"/>
    <tableColumn id="3" xr3:uid="{9E6BA2FD-D174-4C03-99EB-5FDB2984D875}" name="Unit" dataDxfId="1287"/>
    <tableColumn id="4" xr3:uid="{0DAD25B7-F87C-4B52-BC78-A6B10A2963BB}" name="Data" dataDxfId="1286"/>
  </tableColumns>
  <tableStyleInfo name="Tabellenformat 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0FB980B-0E56-46A5-B3B8-26C7CCE3B9E3}" name="Calc_S1_Processes1" displayName="Calc_S1_Processes1" ref="C82:J83" totalsRowShown="0" headerRowDxfId="1056" dataDxfId="1055" headerRowCellStyle="Comma" dataCellStyle="Comma">
  <tableColumns count="8">
    <tableColumn id="1" xr3:uid="{67EA964C-9BD2-483A-927E-1DF692AF4512}" name="Greenhouse gas emissions" dataDxfId="1054" dataCellStyle="Comma">
      <calculatedColumnFormula>'2 Data Inputs'!C240</calculatedColumnFormula>
    </tableColumn>
    <tableColumn id="2" xr3:uid="{A8EEAED5-805A-4B2D-A221-962B2F08EA51}" name="Entry in FU (kg)" dataDxfId="1053" dataCellStyle="Comma">
      <calculatedColumnFormula>DatInp_Hyperlink_4Process</calculatedColumnFormula>
    </tableColumn>
    <tableColumn id="3" xr3:uid="{29601C3E-9EDC-4BBB-A2F8-EA30896AF02A}" name="EF(kg CO2eq) / FU)" dataDxfId="1052" dataCellStyle="Comma">
      <calculatedColumnFormula>_xlfn.XLOOKUP($I83,BG_Data[Product],BG_Data[GHG emissions (IPCC 2021) '[kg CO2 eq']],0)</calculatedColumnFormula>
    </tableColumn>
    <tableColumn id="4" xr3:uid="{D0CEFF90-7CEA-4060-BFB2-5A7160156612}" name="Result kg CO2eq" dataDxfId="1051" dataCellStyle="Comma">
      <calculatedColumnFormula>$D83*$E83</calculatedColumnFormula>
    </tableColumn>
    <tableColumn id="5" xr3:uid="{629D0623-B36C-44B7-84DC-7B79A9E37FAF}" name="Result kg CO2 biogenic" dataDxfId="1050" dataCellStyle="Comma">
      <calculatedColumnFormula>$D83*_xlfn.XLOOKUP($I83,BG_Data[Product],BG_Data[Biogenic CO2 emissions '[kg CO2']],0)</calculatedColumnFormula>
    </tableColumn>
    <tableColumn id="6" xr3:uid="{FB49B4CD-0E53-463E-BC1A-BD48AFB8A8AC}" name="Result UBP" dataDxfId="1049" dataCellStyle="Comma">
      <calculatedColumnFormula>$D83*_xlfn.XLOOKUP($I83,BG_Data[Product],BG_Data[Total env. impact (Ecological Scarcity 2021) '[UBP']],0)</calculatedColumnFormula>
    </tableColumn>
    <tableColumn id="7" xr3:uid="{AB245795-6427-41BE-88AF-F5E143F1ECC8}" name="Background dataset" dataDxfId="1048" dataCellStyle="Comma"/>
    <tableColumn id="8" xr3:uid="{EE0DEB7A-D0BE-41BE-A8F5-7CB9B74F257E}" name="Dataset source" dataDxfId="1047" dataCellStyle="Comma"/>
  </tableColumns>
  <tableStyleInfo name="Tabellenformat 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3F7DF57-5C6B-4CAA-B1E5-2F1E2B52C828}" name="Calc_S1_Processes2" displayName="Calc_S1_Processes2" ref="C85:J92" totalsRowShown="0" headerRowDxfId="1046" dataDxfId="1045" headerRowCellStyle="Comma" dataCellStyle="Comma">
  <tableColumns count="8">
    <tableColumn id="1" xr3:uid="{05A452D4-6484-41B9-8732-48AB686A1F11}" name="Greenhouse gas emissions" dataDxfId="1044" dataCellStyle="Comma"/>
    <tableColumn id="2" xr3:uid="{B87696CE-FAE9-43C7-B18E-5121910D447D}" name="Entry in FU (kg)" dataDxfId="1043" dataCellStyle="Comma"/>
    <tableColumn id="3" xr3:uid="{BEB4428C-27B1-47A1-953D-96DBDF6DB26C}" name="EF(kg CO2eq) / FU)" dataDxfId="1042" dataCellStyle="Comma">
      <calculatedColumnFormula>_xlfn.XLOOKUP($I86,BG_Data[Product],BG_Data[GHG emissions (IPCC 2021) '[kg CO2 eq']],0)</calculatedColumnFormula>
    </tableColumn>
    <tableColumn id="4" xr3:uid="{EE6C9B2D-5DD0-48A3-909E-E7BF267AF213}" name="Result kg CO2eq" dataDxfId="1041" dataCellStyle="Comma"/>
    <tableColumn id="5" xr3:uid="{F1788074-B3BC-4997-9C9A-6B34337D10C9}" name="Result kg CO2 biogenic" dataDxfId="1040" dataCellStyle="Comma"/>
    <tableColumn id="6" xr3:uid="{0483F8EE-9C48-47BD-BCA7-6F3041E29CA5}" name="Result UBP" dataDxfId="1039" dataCellStyle="Comma"/>
    <tableColumn id="7" xr3:uid="{D98CA56E-EA38-4ABD-8284-4B47EB4CE0BA}" name="Background dataset" dataDxfId="1038" dataCellStyle="Comma"/>
    <tableColumn id="8" xr3:uid="{402CCEDE-F323-4BFF-9BCF-05ED3E4222FE}" name="Dataset source" dataDxfId="1037" dataCellStyle="Comma"/>
  </tableColumns>
  <tableStyleInfo name="Tabellenformat 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CDF74C0-C6ED-4C2B-868D-095EA186DF94}" name="Calc_S1_ProcessesUBP" displayName="Calc_S1_ProcessesUBP" ref="C94:J100" totalsRowShown="0" headerRowDxfId="1036" dataDxfId="1035" headerRowCellStyle="Comma" dataCellStyle="Comma">
  <tableColumns count="8">
    <tableColumn id="1" xr3:uid="{E0890806-3E77-437E-AC1B-71F9CC5373CA}" name="Other environmental emissions (non-GHG)" dataDxfId="1034" dataCellStyle="Comma"/>
    <tableColumn id="2" xr3:uid="{C0E6E6FD-70A4-4039-AE8D-156EBFF3B6D6}" name="Entry in FU (kg)" dataDxfId="1033" dataCellStyle="Comma"/>
    <tableColumn id="3" xr3:uid="{08C38060-BD49-4C8A-B67D-5A68D694BDB6}" name="EF(kg CO2eq) / FU)" dataDxfId="1032" dataCellStyle="Comma">
      <calculatedColumnFormula>_xlfn.XLOOKUP($I95,BG_Data[Product],BG_Data[GHG emissions (IPCC 2021) '[kg CO2 eq']],0)</calculatedColumnFormula>
    </tableColumn>
    <tableColumn id="4" xr3:uid="{CCC93B7C-513E-466C-96AE-70EA0861D488}" name="Result kg CO2eq" dataDxfId="1031" dataCellStyle="Comma"/>
    <tableColumn id="5" xr3:uid="{CF19DB23-65E2-424F-9EFA-82C28BD9728C}" name="Result kg CO2 biogenic" dataDxfId="1030" dataCellStyle="Comma"/>
    <tableColumn id="6" xr3:uid="{547030C3-E97B-4764-BC90-99A5BC34417A}" name="Result UBP" dataDxfId="1029" dataCellStyle="Comma"/>
    <tableColumn id="7" xr3:uid="{E3352938-FF94-4E29-B2BB-92E23600BA0A}" name="Background dataset" dataDxfId="1028" dataCellStyle="Comma"/>
    <tableColumn id="8" xr3:uid="{91703C48-C904-473E-BA3B-55C7BE4EA28C}" name="Dataset source" dataDxfId="1027" dataCellStyle="Comma"/>
  </tableColumns>
  <tableStyleInfo name="Tabellenformat 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2F0D6C4-BB31-4AA1-BAC0-7ACD6CB21502}" name="Calc_S2_Electricity1" displayName="Calc_S2_Electricity1" ref="C108:J109" totalsRowShown="0" headerRowDxfId="1026" dataDxfId="1025" headerRowCellStyle="Comma" dataCellStyle="Comma">
  <tableColumns count="8">
    <tableColumn id="1" xr3:uid="{C15437E2-9496-4789-98F6-7C975A5871E4}" name="Source (no GO)" dataDxfId="1024" dataCellStyle="Comma">
      <calculatedColumnFormula>'2 Data Inputs'!C437</calculatedColumnFormula>
    </tableColumn>
    <tableColumn id="2" xr3:uid="{20466A73-A148-4A7E-9EE6-3602DB89D4DE}" name="Entry in FU (kWh)" dataDxfId="1023" dataCellStyle="Comma"/>
    <tableColumn id="3" xr3:uid="{972EA022-7657-4277-BB17-3004B4F9EC94}" name="EF(kg CO2eq) / FU)" dataDxfId="1022" dataCellStyle="Comma">
      <calculatedColumnFormula>_xlfn.XLOOKUP($I109,BG_Data[Product],BG_Data[GHG emissions (IPCC 2021) '[kg CO2 eq']],0)</calculatedColumnFormula>
    </tableColumn>
    <tableColumn id="4" xr3:uid="{E05EC4EE-3068-4852-BD29-FC9A4A928420}" name="Result kg CO2eq" dataDxfId="1021" dataCellStyle="Comma">
      <calculatedColumnFormula>$D109*$E109</calculatedColumnFormula>
    </tableColumn>
    <tableColumn id="5" xr3:uid="{16B02F76-625E-4173-AB9B-FC63BDF10A53}" name="Result kg CO2 biogenic" dataDxfId="1020" dataCellStyle="Comma">
      <calculatedColumnFormula>$D109*_xlfn.XLOOKUP($I109,BG_Data[Product],BG_Data[Biogenic CO2 emissions '[kg CO2']],0)</calculatedColumnFormula>
    </tableColumn>
    <tableColumn id="6" xr3:uid="{AB5F3627-061E-48BB-9EED-45EFDE414AC0}" name="Result UBP" dataDxfId="1019" dataCellStyle="Comma">
      <calculatedColumnFormula>$D109*_xlfn.XLOOKUP($I109,BG_Data[Product],BG_Data[Total env. impact (Ecological Scarcity 2021) '[UBP']],0)</calculatedColumnFormula>
    </tableColumn>
    <tableColumn id="7" xr3:uid="{E2D2DE2C-1988-4718-9E2A-FF39AF5D6696}" name="Background dataset" dataDxfId="1018" dataCellStyle="Comma">
      <calculatedColumnFormula>IF('2 Data Inputs'!J437="Niederspannung","Electricity, low voltage, at grid {CH} kWh Direct","Electricity, medium voltage, at grid {CH} kWh Direct")</calculatedColumnFormula>
    </tableColumn>
    <tableColumn id="8" xr3:uid="{60CE3936-6D2A-415A-81F3-553CD091DC6F}" name="Dataset source" dataDxfId="1017" dataCellStyle="Comma"/>
  </tableColumns>
  <tableStyleInfo name="Tabellenformat 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9BAACF4C-2245-417D-B696-4A785566DF16}" name="Calc_S2_Electricity2" displayName="Calc_S2_Electricity2" ref="C111:J122" totalsRowShown="0" headerRowDxfId="1016" dataDxfId="1015" headerRowCellStyle="Comma" dataCellStyle="Comma">
  <tableColumns count="8">
    <tableColumn id="1" xr3:uid="{2E68BD37-4C5D-46F3-A61E-245506A2A096}" name="Source" dataDxfId="1014" dataCellStyle="Comma"/>
    <tableColumn id="2" xr3:uid="{367BB9D5-63BE-4AAF-AA9C-F7A50951739C}" name="Entry in FU (kWh)" dataDxfId="1013" dataCellStyle="Comma"/>
    <tableColumn id="3" xr3:uid="{4482EE35-3632-4C90-B406-79B59D81DC9A}" name="EF(kg CO2eq) / FU)" dataDxfId="1012" dataCellStyle="Comma">
      <calculatedColumnFormula>_xlfn.XLOOKUP($I112,BG_Data[Product],BG_Data[GHG emissions (IPCC 2021) '[kg CO2 eq']],0)</calculatedColumnFormula>
    </tableColumn>
    <tableColumn id="4" xr3:uid="{B754125B-8B1A-4DB3-B687-F6258C0CEF8F}" name="Result kg CO2eq" dataDxfId="1011" dataCellStyle="Comma"/>
    <tableColumn id="5" xr3:uid="{0E409F0B-3FB9-45C8-97E5-45287C5FD144}" name="Result kg CO2 biogenic" dataDxfId="1010" dataCellStyle="Comma"/>
    <tableColumn id="6" xr3:uid="{F1DD9E54-DAFF-42B3-BF9C-33E9F9FAF2F6}" name="Resultat UBP" dataDxfId="1009" dataCellStyle="Comma"/>
    <tableColumn id="7" xr3:uid="{DE46F588-381A-49E7-AB14-B07E2197CCC2}" name="Background dataset" dataDxfId="1008" dataCellStyle="Comma"/>
    <tableColumn id="8" xr3:uid="{418679A3-0C7C-45D3-8094-D92C067C2289}" name="Dataset source" dataDxfId="1007" dataCellStyle="Comma"/>
  </tableColumns>
  <tableStyleInfo name="Tabellenformat 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30E57C1-ECFE-4777-A621-5D1C8277A5BB}" name="Calc_S2_StationaryDistrict" displayName="Calc_S2_StationaryDistrict" ref="C135:J146" totalsRowShown="0" headerRowDxfId="1006" dataDxfId="1005" headerRowCellStyle="Comma" dataCellStyle="Comma">
  <tableColumns count="8">
    <tableColumn id="1" xr3:uid="{5F17FCFF-5AB4-4B1F-B5F0-8D1390F785E3}" name="Heat source" dataDxfId="1004" dataCellStyle="Comma"/>
    <tableColumn id="2" xr3:uid="{F9FA9693-EE23-43E2-868F-293248A46BCA}" name="Entry in FU (MJ)" dataDxfId="1003" dataCellStyle="Comma"/>
    <tableColumn id="3" xr3:uid="{47C98E2E-6838-4801-9A65-837FA73046C9}" name="EF(kg CO2eq) / FU)" dataDxfId="1002" dataCellStyle="Comma">
      <calculatedColumnFormula>_xlfn.XLOOKUP($I136,BG_Data[Product],BG_Data[GHG emissions (IPCC 2021) '[kg CO2 eq']],0)</calculatedColumnFormula>
    </tableColumn>
    <tableColumn id="4" xr3:uid="{F85B3406-7FE3-44E2-B173-3EC393DA528D}" name="Result kg CO2eq" dataDxfId="1001" dataCellStyle="Comma"/>
    <tableColumn id="5" xr3:uid="{F64D4A60-9FFE-4CC5-9CD5-3957FBD9E225}" name="Result kg CO2 biogenic" dataDxfId="1000" dataCellStyle="Comma"/>
    <tableColumn id="6" xr3:uid="{26B1ABEB-6E01-471F-9133-C4165377BFA7}" name="Result UBP" dataDxfId="999" dataCellStyle="Comma"/>
    <tableColumn id="7" xr3:uid="{8033C708-DFB3-4454-97F6-43CAB23889CB}" name="Background dataset" dataDxfId="998" dataCellStyle="Comma"/>
    <tableColumn id="8" xr3:uid="{36FD7F52-7711-42D0-9063-B28E1C82F622}" name="Dataset source" dataDxfId="997" dataCellStyle="Comma"/>
  </tableColumns>
  <tableStyleInfo name="Tabellenformat 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D75BDA60-B1E6-4A01-93C9-54FEA0A5A215}" name="Calc_S2_FleetElectricity" displayName="Calc_S2_FleetElectricity" ref="C152:J164" totalsRowShown="0" headerRowDxfId="996" dataDxfId="995" headerRowCellStyle="Comma" dataCellStyle="Comma">
  <tableColumns count="8">
    <tableColumn id="1" xr3:uid="{3B4300D1-1C5E-42AB-92EB-377591460B0E}" name="Vehicle type" dataDxfId="994" dataCellStyle="Comma"/>
    <tableColumn id="2" xr3:uid="{6BF8D2F9-7AEC-4892-8F38-09ABA37AFAC4}" name="Entry in FU (kWh)" dataDxfId="993" dataCellStyle="Comma"/>
    <tableColumn id="3" xr3:uid="{91A9AF06-3DAB-4EC7-83F2-78DFD1C029F9}" name="EF(kg CO2eq) / FU)" dataDxfId="992" dataCellStyle="Comma">
      <calculatedColumnFormula>_xlfn.XLOOKUP($I153,BG_Data[Product],BG_Data[GHG emissions (IPCC 2021) '[kg CO2 eq']],0)</calculatedColumnFormula>
    </tableColumn>
    <tableColumn id="4" xr3:uid="{96DFF028-DC0E-4B60-92EA-EF5541F0AC87}" name="Result kg CO2eq" dataDxfId="991" dataCellStyle="Comma"/>
    <tableColumn id="5" xr3:uid="{06EDEAD3-3A20-420E-A4F0-C8D7164DF129}" name="Result kg CO2 biogenic" dataDxfId="990" dataCellStyle="Comma"/>
    <tableColumn id="6" xr3:uid="{7A81AB88-B4FA-4357-8E5F-DC670CFB825A}" name="Result UBP" dataDxfId="989" dataCellStyle="Comma"/>
    <tableColumn id="7" xr3:uid="{B705C4E5-032E-49EF-B760-FAEAB49E60E1}" name="Background dataset" dataDxfId="988" dataCellStyle="Comma"/>
    <tableColumn id="8" xr3:uid="{4FCE8808-A3DA-4861-968A-097873A688DE}" name="Dataset source" dataDxfId="987" dataCellStyle="Comma"/>
  </tableColumns>
  <tableStyleInfo name="Tabellenformat 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D7484CF-76F5-45CE-B311-86252B3A0398}" name="Calc_S3.1_SpendBased" displayName="Calc_S3.1_SpendBased" ref="C178:J199" totalsRowShown="0" headerRowDxfId="986" dataDxfId="985" headerRowCellStyle="Comma" dataCellStyle="Comma">
  <tableColumns count="8">
    <tableColumn id="1" xr3:uid="{05E8E482-A087-4B0B-8260-39C60BD60F03}" name="Sector" dataDxfId="984" dataCellStyle="Comma"/>
    <tableColumn id="2" xr3:uid="{D767251A-B3C0-4E93-B30F-A4A4451D351F}" name="Entry in FU (CHF)" dataDxfId="983" dataCellStyle="Comma"/>
    <tableColumn id="3" xr3:uid="{77E473B7-5A31-4D9A-B745-DE677EA7962C}" name="EF(kg CO2eq) / FU)" dataDxfId="982" dataCellStyle="Comma">
      <calculatedColumnFormula>_xlfn.XLOOKUP($I179,BG_Data[Product],BG_Data[GHG emissions (IPCC 2021) '[kg CO2 eq']],0)</calculatedColumnFormula>
    </tableColumn>
    <tableColumn id="4" xr3:uid="{7B2DDED2-B86D-49C2-9788-A1BD23F55AFE}" name="Result kg CO2eq" dataDxfId="981" dataCellStyle="Comma"/>
    <tableColumn id="5" xr3:uid="{32800835-2F5E-4BBF-B385-4C765D823EAA}" name="Result kg CO2 biogenic" dataDxfId="980" dataCellStyle="Comma"/>
    <tableColumn id="6" xr3:uid="{57249E4C-6742-4136-9644-44BB7A286E93}" name="Result UBP" dataDxfId="979" dataCellStyle="Comma"/>
    <tableColumn id="7" xr3:uid="{759CF051-BE85-4BD6-B00A-324E6DB304F8}" name="Background dataset" dataDxfId="978" dataCellStyle="Comma"/>
    <tableColumn id="8" xr3:uid="{D9029CA8-265D-4D9F-B979-7CB75B9ECAF9}" name="Dataset source" dataDxfId="977" dataCellStyle="Comma"/>
  </tableColumns>
  <tableStyleInfo name="Tabellenformat 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AFA9C36D-9ED4-4256-BE82-9BD4F3412C63}" name="Calc_S3.1_QuantityBased" displayName="Calc_S3.1_QuantityBased" ref="C205:J226" totalsRowShown="0" headerRowDxfId="976" dataDxfId="975" headerRowCellStyle="Comma" dataCellStyle="Comma">
  <tableColumns count="8">
    <tableColumn id="1" xr3:uid="{8B7B54AB-6C15-4EA5-9D03-9ACFB4EDD4AF}" name="Material" dataDxfId="974" dataCellStyle="Comma"/>
    <tableColumn id="2" xr3:uid="{C8340ACF-1454-4990-B9A1-942AC48B77D5}" name="Entry in FU" dataDxfId="973" dataCellStyle="Comma"/>
    <tableColumn id="3" xr3:uid="{DB59B1FD-11D9-449A-889C-1827625D75A2}" name="EF(kg CO2eq) / FU)" dataDxfId="972" dataCellStyle="Comma">
      <calculatedColumnFormula>_xlfn.XLOOKUP($I206,BG_Data[Product],BG_Data[GHG emissions (IPCC 2021) '[kg CO2 eq']],0)</calculatedColumnFormula>
    </tableColumn>
    <tableColumn id="4" xr3:uid="{52D942A9-4650-48FD-ADD9-495DA24A5FD1}" name="Result kg CO2eq" dataDxfId="971" dataCellStyle="Comma"/>
    <tableColumn id="5" xr3:uid="{220DC170-BFC3-4746-BA5A-F1ACBE2488D8}" name="Result kg CO2 biogenic" dataDxfId="970" dataCellStyle="Comma"/>
    <tableColumn id="6" xr3:uid="{697EB745-EC6B-4ECD-9470-40BF539D765E}" name="Result UBP" dataDxfId="969" dataCellStyle="Comma"/>
    <tableColumn id="7" xr3:uid="{0F68275E-F2E2-49B4-9663-37A7288CA202}" name="Background dataset" dataDxfId="968" dataCellStyle="Comma"/>
    <tableColumn id="8" xr3:uid="{CAAF493C-D29C-42D4-9AC0-188A311FA5BB}" name="Dataset source" dataDxfId="967" dataCellStyle="Comma"/>
  </tableColumns>
  <tableStyleInfo name="Tabellenformat 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C960ADA-D3C1-4155-9597-111FEED8A86A}" name="Calc_S3.2" displayName="Calc_S3.2" ref="C233:J245" totalsRowShown="0" headerRowDxfId="966" dataDxfId="965" headerRowCellStyle="Comma" dataCellStyle="Comma">
  <tableColumns count="8">
    <tableColumn id="1" xr3:uid="{D401DDEE-7D4B-4D60-98AA-85C77954FDB5}" name="Material" dataDxfId="964" dataCellStyle="Comma"/>
    <tableColumn id="2" xr3:uid="{888B3B38-BAF6-4753-B957-D85382831C68}" name="Entry in FU" dataDxfId="963" dataCellStyle="Comma"/>
    <tableColumn id="3" xr3:uid="{419B021C-23E6-4783-BF4F-77342BE8D073}" name="EF(kg CO2eq) / FU)" dataDxfId="962" dataCellStyle="Comma">
      <calculatedColumnFormula>_xlfn.XLOOKUP($I234,BG_Data[Product],BG_Data[GHG emissions (IPCC 2021) '[kg CO2 eq']],0)</calculatedColumnFormula>
    </tableColumn>
    <tableColumn id="4" xr3:uid="{B4536EDD-2F07-4F4B-A31B-5B219B9040FC}" name="Result kg CO2eq" dataDxfId="961" dataCellStyle="Comma"/>
    <tableColumn id="5" xr3:uid="{21DE361B-F53C-4F23-8826-30F3FAD294CB}" name="Result kg CO2 biogenic" dataDxfId="960" dataCellStyle="Comma"/>
    <tableColumn id="6" xr3:uid="{0C477E88-A1E4-45DA-9D47-B4D6079EA130}" name="Result UBP" dataDxfId="959" dataCellStyle="Comma"/>
    <tableColumn id="7" xr3:uid="{D1DC2F21-F69A-47F3-92E8-65D1108A654C}" name="Background dataset" dataDxfId="958" dataCellStyle="Comma"/>
    <tableColumn id="8" xr3:uid="{CA52F623-4107-4088-81D6-D395FBCBFD5A}" name="Dataset source" dataDxfId="957" dataCellStyle="Comma"/>
  </tableColumns>
  <tableStyleInfo name="Tabellenformat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B8BA08-29CD-412D-87D2-4D8F40DD68CF}" name="D_Fleet_own" displayName="D_Fleet_own" ref="C327:G338" totalsRowShown="0" headerRowDxfId="1285" dataDxfId="1284">
  <tableColumns count="5">
    <tableColumn id="1" xr3:uid="{4D3548A0-3C11-4744-80B8-F8D99B2126FA}" name="Vehicle" dataDxfId="1283"/>
    <tableColumn id="2" xr3:uid="{33FAA5B9-11AF-4976-AC84-68802DEAED5B}" name="a) Kilometer" dataDxfId="1282"/>
    <tableColumn id="3" xr3:uid="{F38B11F9-CA2D-4E10-842D-C8870BC0CDB4}" name="Unit a)" dataDxfId="1281"/>
    <tableColumn id="4" xr3:uid="{31E42243-F6E4-442F-BAD1-973B99D8B5A0}" name="b) Fuel" dataDxfId="1280"/>
    <tableColumn id="5" xr3:uid="{F53363A1-8EA2-4388-B5D2-B0EC629D31B2}" name="Unit b)" dataDxfId="1279"/>
  </tableColumns>
  <tableStyleInfo name="Tabellenformat 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D9ABB42-71C0-49E0-B6DA-282F37C039BE}" name="Calc_S3.3_StationaryCombustion" displayName="Calc_S3.3_StationaryCombustion" ref="C252:J264" totalsRowShown="0" headerRowDxfId="956" dataDxfId="955" headerRowCellStyle="Comma" dataCellStyle="Comma">
  <tableColumns count="8">
    <tableColumn id="1" xr3:uid="{2F02B00B-20D1-46EA-AEC3-4254D017D021}" name="Fuel" dataDxfId="954" dataCellStyle="Comma"/>
    <tableColumn id="2" xr3:uid="{CD5531CE-38B6-4F2A-8037-5D4A5EE0E77A}" name="Entry in FU (MJ)" dataDxfId="953" dataCellStyle="Comma"/>
    <tableColumn id="3" xr3:uid="{C1813959-1E33-4D66-B55C-4F6414B8E553}" name="EF(kg CO2eq) / FU)" dataDxfId="952" dataCellStyle="Comma">
      <calculatedColumnFormula>_xlfn.XLOOKUP($I253,BG_Data[Product],BG_Data[GHG emissions (IPCC 2021) '[kg CO2 eq']],0)</calculatedColumnFormula>
    </tableColumn>
    <tableColumn id="4" xr3:uid="{309A53F3-3A17-405A-8978-D885517737C6}" name="Result kg CO2eq" dataDxfId="951" dataCellStyle="Comma"/>
    <tableColumn id="5" xr3:uid="{C9D5D433-59CC-4158-AFFB-BF94C8506E85}" name="Result kg CO2 biogenic" dataDxfId="950" dataCellStyle="Comma"/>
    <tableColumn id="6" xr3:uid="{7D99B904-226A-47AF-B64D-F487352D48A9}" name="Result UBP" dataDxfId="949" dataCellStyle="Comma"/>
    <tableColumn id="7" xr3:uid="{EADD3A14-4EC9-439E-922A-6340F5C09F52}" name="Background dataset" dataDxfId="948" dataCellStyle="Comma"/>
    <tableColumn id="8" xr3:uid="{0A8E6223-8597-4AC7-A3E8-17B441365400}" name="Dataset source" dataDxfId="947" dataCellStyle="Comma"/>
  </tableColumns>
  <tableStyleInfo name="Tabellenformat 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AD9285E4-7755-4F5D-94EB-283DAAA78601}" name="Calc_S3.3_StationaryDistrict" displayName="Calc_S3.3_StationaryDistrict" ref="C268:J279" totalsRowShown="0" headerRowDxfId="946" dataDxfId="945" headerRowCellStyle="Comma" dataCellStyle="Comma">
  <tableColumns count="8">
    <tableColumn id="1" xr3:uid="{082F7EB9-8F85-4779-B393-EB252B6863F4}" name="Heat source" dataDxfId="944" dataCellStyle="Comma"/>
    <tableColumn id="2" xr3:uid="{67764389-CAF9-4133-8BB7-A057A14BD595}" name="Entry in FU (MJ)" dataDxfId="943" dataCellStyle="Comma"/>
    <tableColumn id="3" xr3:uid="{C7C86349-E36F-498E-A23C-EE2D5D300EF5}" name="EF(kg CO2eq) / FU)" dataDxfId="942" dataCellStyle="Comma">
      <calculatedColumnFormula>_xlfn.XLOOKUP($I269,BG_Data[Product],BG_Data[GHG emissions (IPCC 2021) '[kg CO2 eq']],0)</calculatedColumnFormula>
    </tableColumn>
    <tableColumn id="4" xr3:uid="{DDAA09C2-CD55-48CC-A4BD-B2B4F9A7F2AB}" name="Result kg CO2eq" dataDxfId="941" dataCellStyle="Comma"/>
    <tableColumn id="5" xr3:uid="{B500D6EF-20A1-46DF-B14E-F5375A60800B}" name="Result kg CO2 biogenic" dataDxfId="940" dataCellStyle="Comma"/>
    <tableColumn id="6" xr3:uid="{3AECCCCE-AEF0-46DD-9237-D248900531D8}" name="Result UBP" dataDxfId="939" dataCellStyle="Comma"/>
    <tableColumn id="7" xr3:uid="{34E4AC65-C63A-461D-9F18-B63A05BC929B}" name="Background dataset" dataDxfId="938" dataCellStyle="Comma"/>
    <tableColumn id="8" xr3:uid="{68EE1D33-71AC-4411-B210-F37F0E285050}" name="Dataset source" dataDxfId="937" dataCellStyle="Comma"/>
  </tableColumns>
  <tableStyleInfo name="Tabellenformat 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A1613E25-EBD9-4194-84AE-63F37A07F0C9}" name="Calc_S3.3_Electricity1" displayName="Calc_S3.3_Electricity1" ref="C283:J284" totalsRowShown="0" headerRowDxfId="936" dataDxfId="935" headerRowCellStyle="Comma" dataCellStyle="Comma">
  <tableColumns count="8">
    <tableColumn id="1" xr3:uid="{10B61238-466A-45AD-A4EB-4578AAFD95C2}" name="Source (no GO)" dataDxfId="934" dataCellStyle="Comma">
      <calculatedColumnFormula>'2 Data Inputs'!C437</calculatedColumnFormula>
    </tableColumn>
    <tableColumn id="2" xr3:uid="{90DEDE58-57EB-4E33-99DE-D6049A83C198}" name="Entry in FU (kWh)" dataDxfId="933" dataCellStyle="Comma">
      <calculatedColumnFormula>IF('1 General Inputs '!$K$46="No",0,'2 Data Inputs'!F437)</calculatedColumnFormula>
    </tableColumn>
    <tableColumn id="3" xr3:uid="{79BCFCB3-4189-435C-9C13-5DA3A32CC3DF}" name="EF(kg CO2eq) / FU)" dataDxfId="932" dataCellStyle="Comma">
      <calculatedColumnFormula>_xlfn.XLOOKUP($I284,BG_Data[Product],BG_Data[GHG emissions (IPCC 2021) '[kg CO2 eq']],0)</calculatedColumnFormula>
    </tableColumn>
    <tableColumn id="4" xr3:uid="{CE08CDE4-89C4-4242-B2BA-9D8B451DDE88}" name="Result kg CO2eq" dataDxfId="931" dataCellStyle="Comma">
      <calculatedColumnFormula>$D284*$E284</calculatedColumnFormula>
    </tableColumn>
    <tableColumn id="5" xr3:uid="{F17B2B66-8491-4BDF-86C3-DF92CE01E813}" name="Result kg CO2 biogenic" dataDxfId="930" dataCellStyle="Comma">
      <calculatedColumnFormula>$D284*_xlfn.XLOOKUP($I284,BG_Data[Product],BG_Data[Biogenic CO2 emissions '[kg CO2']],0)</calculatedColumnFormula>
    </tableColumn>
    <tableColumn id="6" xr3:uid="{B6AA08D4-0BDD-4602-AD7C-F6AEDDBB075A}" name="Result UBP" dataDxfId="929" dataCellStyle="Comma">
      <calculatedColumnFormula>$D284*_xlfn.XLOOKUP($I284,BG_Data[Product],BG_Data[Total env. impact (Ecological Scarcity 2021) '[UBP']],0)</calculatedColumnFormula>
    </tableColumn>
    <tableColumn id="7" xr3:uid="{8087920D-82C7-4FA6-9FC2-D0BE7B70CCBB}" name="Background dataset" dataDxfId="928" dataCellStyle="Comma">
      <calculatedColumnFormula>IF('2 Data Inputs'!J437="Niederspannung","Electricity, low voltage, at grid {CH} kWh Indirect","Electricity, medium voltage, at grid {CH} kWh Indirect")</calculatedColumnFormula>
    </tableColumn>
    <tableColumn id="8" xr3:uid="{3867D13B-3F9C-40C7-A062-BF62679BE7C7}" name="Dataset source" dataDxfId="927" dataCellStyle="Comma"/>
  </tableColumns>
  <tableStyleInfo name="Tabellenformat 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6324ACD-0C81-4463-ADFC-2A383C9CF8D4}" name="Calc_S3.3_Electricity2" displayName="Calc_S3.3_Electricity2" ref="C286:J297" totalsRowShown="0" headerRowDxfId="926" dataDxfId="925" headerRowCellStyle="Comma" dataCellStyle="Comma">
  <tableColumns count="8">
    <tableColumn id="1" xr3:uid="{D46A9816-E03C-4D66-AB42-BBE9C82E2EAB}" name="Source" dataDxfId="924" dataCellStyle="Comma"/>
    <tableColumn id="2" xr3:uid="{550B143F-B648-4DDB-BF53-1DA7863F91E7}" name="Entry in FU (kWh)" dataDxfId="923" dataCellStyle="Comma"/>
    <tableColumn id="3" xr3:uid="{3DF3D611-260A-43D4-AA3E-D8485434D1DD}" name="EF(kg CO2eq) / FU)" dataDxfId="922" dataCellStyle="Comma">
      <calculatedColumnFormula>_xlfn.XLOOKUP($I287,BG_Data[Product],BG_Data[GHG emissions (IPCC 2021) '[kg CO2 eq']],0)</calculatedColumnFormula>
    </tableColumn>
    <tableColumn id="4" xr3:uid="{747813F8-C6E1-4DE8-9476-A4B54BC66043}" name="Result kg CO2eq" dataDxfId="921" dataCellStyle="Comma"/>
    <tableColumn id="5" xr3:uid="{C09AB607-190C-4657-A149-087F23EEF6B2}" name="Result kg CO2 biogenic" dataDxfId="920" dataCellStyle="Comma"/>
    <tableColumn id="6" xr3:uid="{10363A55-76AD-4472-AE92-4331427DC52F}" name="Result UBP" dataDxfId="919" dataCellStyle="Comma"/>
    <tableColumn id="7" xr3:uid="{5F0379A0-1A80-48CB-804B-BF3EA1571FF2}" name="Background dataset" dataDxfId="918" dataCellStyle="Comma"/>
    <tableColumn id="8" xr3:uid="{CD18DBD3-AA6A-44B3-BC60-8484972B7E78}" name="Dataset source" dataDxfId="917" dataCellStyle="Comma"/>
  </tableColumns>
  <tableStyleInfo name="Tabellenformat 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C3181B0-C0EA-4647-8E11-C2E76A60F418}" name="Calc_S3.3_Fleet1" displayName="Calc_S3.3_Fleet1" ref="C308:J311" totalsRowShown="0" headerRowDxfId="916" dataDxfId="915" headerRowCellStyle="Comma" dataCellStyle="Comma">
  <tableColumns count="8">
    <tableColumn id="1" xr3:uid="{E079E6EB-25FA-4A10-88C8-961334F41A51}" name="Fuel use (simplified)" dataDxfId="914" dataCellStyle="Comma"/>
    <tableColumn id="2" xr3:uid="{F890FED0-A50E-46FF-A908-D1853D72CED0}" name="Entry in FU (liter)" dataDxfId="913" dataCellStyle="Comma"/>
    <tableColumn id="3" xr3:uid="{1B374FCD-ED41-4232-A5B4-9189EABD3997}" name="EF(kg CO2eq) / FU)" dataDxfId="912" dataCellStyle="Comma">
      <calculatedColumnFormula>_xlfn.XLOOKUP($I309,BG_Data[Product],BG_Data[GHG emissions (IPCC 2021) '[kg CO2 eq']],0)</calculatedColumnFormula>
    </tableColumn>
    <tableColumn id="4" xr3:uid="{FBBC0A24-E3A3-4706-BA41-AF9FE4A9514D}" name="Result kg CO2eq" dataDxfId="911" dataCellStyle="Comma"/>
    <tableColumn id="5" xr3:uid="{3A85D39E-EBE4-4273-BCCE-683CAEC49822}" name="Result kg CO2 biogenic" dataDxfId="910" dataCellStyle="Comma"/>
    <tableColumn id="6" xr3:uid="{73CBF7D6-69C3-4D74-9D13-0B9D80797742}" name="Result UBP" dataDxfId="909" dataCellStyle="Comma"/>
    <tableColumn id="7" xr3:uid="{FE71FEAC-6C8F-4A87-AB3C-6729B6948CE6}" name="Background dataset" dataDxfId="908" dataCellStyle="Comma"/>
    <tableColumn id="8" xr3:uid="{8C016EF2-2C0D-40EC-93CC-C467C25FF733}" name="Dataset source" dataDxfId="907" dataCellStyle="Comma"/>
  </tableColumns>
  <tableStyleInfo name="Tabellenformat 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28493EF-9D14-411C-A4B8-C1F02DCE2064}" name="Calc_S3.3_Fleet2" displayName="Calc_S3.3_Fleet2" ref="C313:J327" totalsRowShown="0" headerRowDxfId="906" dataDxfId="905" headerRowCellStyle="Comma" dataCellStyle="Comma">
  <tableColumns count="8">
    <tableColumn id="1" xr3:uid="{AF37E026-2D78-4B9F-A5E7-4933073CB152}" name="Vehicle type" dataDxfId="904" dataCellStyle="Comma"/>
    <tableColumn id="2" xr3:uid="{896622BF-BEF0-44DE-BDEA-6651E4DFF7FF}" name="Entry in FU (liter)" dataDxfId="903" dataCellStyle="Comma"/>
    <tableColumn id="3" xr3:uid="{C0FA76CC-6D55-43DF-92EE-F54A60C1470D}" name="EF(kg CO2eq) / FU)" dataDxfId="902" dataCellStyle="Comma">
      <calculatedColumnFormula>_xlfn.XLOOKUP($I314,BG_Data[Product],BG_Data[GHG emissions (IPCC 2021) '[kg CO2 eq']],0)</calculatedColumnFormula>
    </tableColumn>
    <tableColumn id="4" xr3:uid="{16A5029C-8970-4FBF-93E7-B368C66BBB12}" name="Result kg CO2eq" dataDxfId="901" dataCellStyle="Comma"/>
    <tableColumn id="5" xr3:uid="{3B8508B5-3D00-4308-B410-1F64C45B5E45}" name="Result kg CO2 biogenic" dataDxfId="900" dataCellStyle="Comma"/>
    <tableColumn id="6" xr3:uid="{EE4C9AB5-CD23-47F5-8D9D-5535AF132366}" name="Result UBP" dataDxfId="899" dataCellStyle="Comma"/>
    <tableColumn id="7" xr3:uid="{5384C2E1-B4E4-4903-B685-49DE7AE000AA}" name="Background dataset" dataDxfId="898" dataCellStyle="Comma"/>
    <tableColumn id="8" xr3:uid="{B10EFA12-8E45-4CDF-BF39-EA08BB314002}" name="Dataset source" dataDxfId="897" dataCellStyle="Comma"/>
  </tableColumns>
  <tableStyleInfo name="Tabellenformat 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961454C8-BC89-49E5-B96A-575524A695F2}" name="Calc_S3.3_FleetElectricity" displayName="Calc_S3.3_FleetElectricity" ref="C331:J343" totalsRowShown="0" headerRowDxfId="896" dataDxfId="895" headerRowCellStyle="Comma" dataCellStyle="Comma">
  <tableColumns count="8">
    <tableColumn id="1" xr3:uid="{5D6AD415-F971-4FFC-94C0-D2DABE2133E9}" name="Vehicle type" dataDxfId="894" dataCellStyle="Comma"/>
    <tableColumn id="2" xr3:uid="{7F8696A6-656F-456D-B2E7-8576C1DC2B1E}" name="Entry in FU (kWh)" dataDxfId="893" dataCellStyle="Comma"/>
    <tableColumn id="3" xr3:uid="{818D0B31-11F6-4BF5-9277-9A6F89A3FE49}" name="EF(kg CO2eq) / FU)" dataDxfId="892" dataCellStyle="Comma">
      <calculatedColumnFormula>_xlfn.XLOOKUP($I332,BG_Data[Product],BG_Data[GHG emissions (IPCC 2021) '[kg CO2 eq']],0)</calculatedColumnFormula>
    </tableColumn>
    <tableColumn id="4" xr3:uid="{CF2A625B-BD68-466E-B256-5012CA50470F}" name="Result kg CO2eq" dataDxfId="891" dataCellStyle="Comma"/>
    <tableColumn id="5" xr3:uid="{4ADC69CF-5EBE-409A-8A5D-605564D91187}" name="Result kg CO2 biogenic" dataDxfId="890" dataCellStyle="Comma"/>
    <tableColumn id="6" xr3:uid="{64ADC503-9AEC-4551-8A9E-CDF5DFBF0509}" name="Result UBP" dataDxfId="889" dataCellStyle="Comma"/>
    <tableColumn id="7" xr3:uid="{EEACD578-DE82-4FA5-9EA5-CBC2C05B2E83}" name="Background dataset" dataDxfId="888" dataCellStyle="Comma"/>
    <tableColumn id="8" xr3:uid="{2E62C7B2-EA37-49D9-9A8E-B38171DD7DA5}" name="Dataset source" dataDxfId="887" dataCellStyle="Comma"/>
  </tableColumns>
  <tableStyleInfo name="Tabellenformat 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A37CCA7-B609-4C00-802D-B0A94A107587}" name="Calc_S3.4" displayName="Calc_S3.4" ref="C355:J360" totalsRowShown="0" headerRowDxfId="886" dataDxfId="885" headerRowCellStyle="Comma" dataCellStyle="Comma">
  <tableColumns count="8">
    <tableColumn id="1" xr3:uid="{5FFF8E65-A4E4-4219-A345-0AC5810F0B38}" name="Type of transport" dataDxfId="884" dataCellStyle="Comma"/>
    <tableColumn id="2" xr3:uid="{BB16CFC3-C948-4E8F-8D78-834C1A0D7DC1}" name="Entry in FU (tkm)" dataDxfId="883" dataCellStyle="Comma"/>
    <tableColumn id="3" xr3:uid="{C583C715-AC91-4F65-828F-4B742327A64F}" name="EF(kg CO2eq) / FU)" dataDxfId="882" dataCellStyle="Comma">
      <calculatedColumnFormula>_xlfn.XLOOKUP($I356,BG_Data[Product],BG_Data[GHG emissions (IPCC 2021) '[kg CO2 eq']],0)</calculatedColumnFormula>
    </tableColumn>
    <tableColumn id="4" xr3:uid="{2F6E0073-9EBA-4D43-BE81-36012E6C49B0}" name="Result kg CO2eq" dataDxfId="881" dataCellStyle="Comma"/>
    <tableColumn id="5" xr3:uid="{AFA85C98-AE32-4114-BB21-FB6FF86461A5}" name="Result kg CO2 biogenic" dataDxfId="880" dataCellStyle="Comma"/>
    <tableColumn id="6" xr3:uid="{83478381-96E9-4E07-975F-0E13D22722F6}" name="Result UBP" dataDxfId="879" dataCellStyle="Comma"/>
    <tableColumn id="7" xr3:uid="{3E23CE1D-5382-44C1-AF51-2B5F681FD33D}" name="Background dataset" dataDxfId="878" dataCellStyle="Comma"/>
    <tableColumn id="8" xr3:uid="{0E0C61CF-5063-4DF6-AA87-247AD03F3C8F}" name="Dataset source" dataDxfId="877" dataCellStyle="Comma"/>
  </tableColumns>
  <tableStyleInfo name="Tabellenformat 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96CF2E5-BBE3-4EA9-B514-1FC5C2051C9D}" name="Calc_S3.5" displayName="Calc_S3.5" ref="C367:J380" totalsRowShown="0" headerRowDxfId="876" dataDxfId="875" headerRowCellStyle="Comma" dataCellStyle="Comma">
  <tableColumns count="8">
    <tableColumn id="1" xr3:uid="{DD0BDA20-1789-42E7-81DA-4A836F0B24A6}" name="Disposal type" dataDxfId="874" dataCellStyle="Comma"/>
    <tableColumn id="2" xr3:uid="{F1BEFBF4-521A-4D0B-BEC1-D8BD3881C2F1}" name="Entry in FU (kg)" dataDxfId="873" dataCellStyle="Comma"/>
    <tableColumn id="3" xr3:uid="{E0B7010A-1A61-4124-AFEC-D23507AE980E}" name="EF(kg CO2eq) / FU)" dataDxfId="872" dataCellStyle="Comma">
      <calculatedColumnFormula>_xlfn.XLOOKUP($I368,BG_Data[Product],BG_Data[GHG emissions (IPCC 2021) '[kg CO2 eq']],0)</calculatedColumnFormula>
    </tableColumn>
    <tableColumn id="4" xr3:uid="{3EF5BC55-34E4-42A2-A07F-BAD3E2D8339D}" name="Result kg CO2eq" dataDxfId="871" dataCellStyle="Comma"/>
    <tableColumn id="5" xr3:uid="{8B043FDD-C46D-4B40-BC50-918A64438DAD}" name="Result kg CO2 biogenic" dataDxfId="870" dataCellStyle="Comma"/>
    <tableColumn id="6" xr3:uid="{3A119D5D-9E8F-4DDF-8258-3A0CC75F58E1}" name="Result UBP" dataDxfId="869" dataCellStyle="Comma"/>
    <tableColumn id="7" xr3:uid="{ADC0B97B-D7F6-4284-B766-ADED80C3851B}" name="Background dataset" dataDxfId="868" dataCellStyle="Comma"/>
    <tableColumn id="8" xr3:uid="{F54E2913-0447-4ED7-9CCE-3FD7E6CDDF3F}" name="Dataset source" dataDxfId="867" dataCellStyle="Comma"/>
  </tableColumns>
  <tableStyleInfo name="Tabellenformat 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3144042A-AA8F-483C-BECE-9E12473499D6}" name="Calc_S3.6" displayName="Calc_S3.6" ref="C387:J397" totalsRowShown="0" headerRowDxfId="866" dataDxfId="865" headerRowCellStyle="Comma" dataCellStyle="Comma">
  <tableColumns count="8">
    <tableColumn id="1" xr3:uid="{5AB479C4-E0C3-4E1F-85DA-29BDAF1CA37A}" name="Mode of transport" dataDxfId="864" dataCellStyle="Comma"/>
    <tableColumn id="2" xr3:uid="{FEBC181B-37E2-4F9E-AAEF-C471C0FC04BB}" name="Entry in FU (pkm/vkm)" dataDxfId="863" dataCellStyle="Comma"/>
    <tableColumn id="3" xr3:uid="{F30376BE-493C-4F05-A304-53059B3110D5}" name="EF(kg CO2eq) / FU)" dataDxfId="862" dataCellStyle="Comma">
      <calculatedColumnFormula>_xlfn.XLOOKUP($I388,BG_Data[Product],BG_Data[GHG emissions (IPCC 2021) '[kg CO2 eq']],0)</calculatedColumnFormula>
    </tableColumn>
    <tableColumn id="4" xr3:uid="{B9BCE412-E90E-4BDF-8D33-1ACA5597C17D}" name="Result kg CO2eq" dataDxfId="861" dataCellStyle="Comma"/>
    <tableColumn id="5" xr3:uid="{0A503CB7-3B75-4A55-9701-88E7E55F6C02}" name="Result kg CO2 biogenic" dataDxfId="860" dataCellStyle="Comma"/>
    <tableColumn id="6" xr3:uid="{4CB37194-3AA5-420A-9F86-B9AFC614A8F7}" name="Result UBP" dataDxfId="859" dataCellStyle="Comma"/>
    <tableColumn id="7" xr3:uid="{DFED449C-D071-4605-B8B8-99BE899303B1}" name="Background dataset" dataDxfId="858" dataCellStyle="Comma"/>
    <tableColumn id="8" xr3:uid="{FC40E727-CBB7-4479-8FED-6C8A5EADA0CF}" name="Dataset source" dataDxfId="857" dataCellStyle="Comma"/>
  </tableColumns>
  <tableStyleInfo name="Tabellenformat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95B33AD-8296-4A9A-B892-01B81288D1E9}" name="D_Electricity_Owned" displayName="D_Electricity_Owned" ref="C436:F449" totalsRowShown="0" headerRowDxfId="1278" dataDxfId="1277">
  <tableColumns count="4">
    <tableColumn id="1" xr3:uid="{5D11CEF6-74AB-4D8C-B3CB-1584E416C51C}" name="Source" dataDxfId="1276"/>
    <tableColumn id="2" xr3:uid="{B82DD617-676B-4883-B13B-39EF9FF86C9E}" name="Losses over GO?" dataDxfId="1275"/>
    <tableColumn id="3" xr3:uid="{4722811C-7CA4-43A7-A872-4748B5BE0745}" name="Voltage" dataDxfId="1274"/>
    <tableColumn id="4" xr3:uid="{C941C9D9-9807-409D-9E01-1BB8E810105C}" name="kWh" dataDxfId="1273"/>
  </tableColumns>
  <tableStyleInfo name="Tabellenformat 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BE4E1AEB-4C22-444B-B6B1-74679C433CA2}" name="Calc_S3.7_Commuting1" displayName="Calc_S3.7_Commuting1" ref="C404:J405" totalsRowShown="0" headerRowDxfId="856" dataDxfId="855" headerRowCellStyle="Comma" dataCellStyle="Comma">
  <tableColumns count="8">
    <tableColumn id="1" xr3:uid="{078A0BD5-E26E-4791-BC21-404ACDB48A42}" name="Average data" dataDxfId="854" dataCellStyle="Comma">
      <calculatedColumnFormula>'2 Data Inputs'!C693</calculatedColumnFormula>
    </tableColumn>
    <tableColumn id="2" xr3:uid="{2560683F-00A0-4D37-B71E-CFEA9350105A}" name="Entry in FU (FTE)" dataDxfId="853" dataCellStyle="Comma"/>
    <tableColumn id="3" xr3:uid="{DCFB5B5F-3956-49F0-8B27-B397E149C5C8}" name="EF(kg CO2eq) / FU)" dataDxfId="852" dataCellStyle="Comma">
      <calculatedColumnFormula>_xlfn.XLOOKUP($I405,BG_Data[Product],BG_Data[GHG emissions (IPCC 2021) '[kg CO2 eq']],0)</calculatedColumnFormula>
    </tableColumn>
    <tableColumn id="4" xr3:uid="{3F94E8B4-53A9-47F6-8D33-EC36B3493036}" name="Result kg CO2eq" dataDxfId="851" dataCellStyle="Comma">
      <calculatedColumnFormula>$D405*$E405</calculatedColumnFormula>
    </tableColumn>
    <tableColumn id="5" xr3:uid="{CF751D3A-B69D-465C-B887-5E51DE1AB948}" name="Result kg CO2 biogenic" dataDxfId="850" dataCellStyle="Comma">
      <calculatedColumnFormula>$D405*_xlfn.XLOOKUP($I405,BG_Data[Product],BG_Data[Biogenic CO2 emissions '[kg CO2']],0)</calculatedColumnFormula>
    </tableColumn>
    <tableColumn id="6" xr3:uid="{0687C6E2-4F86-478A-846A-14B1F2ABB267}" name="Result UBP" dataDxfId="849" dataCellStyle="Comma">
      <calculatedColumnFormula>$D405*_xlfn.XLOOKUP($I405,BG_Data[Product],BG_Data[Total env. impact (Ecological Scarcity 2021) '[UBP']],0)</calculatedColumnFormula>
    </tableColumn>
    <tableColumn id="7" xr3:uid="{A5DB1E09-499D-41A6-8592-757CC306F99F}" name="Background dataset" dataDxfId="848" dataCellStyle="Comma"/>
    <tableColumn id="8" xr3:uid="{D48FC639-47CF-4886-84ED-BD86DCB6B1D0}" name="Dataset source" dataDxfId="847" dataCellStyle="Comma"/>
  </tableColumns>
  <tableStyleInfo name="Tabellenformat 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AF0A2A93-69D4-448B-A197-9EEF9EED3A44}" name="Calc_S3.7_Commuting2" displayName="Calc_S3.7_Commuting2" ref="C407:J414" totalsRowShown="0" headerRowDxfId="846" dataDxfId="845" headerRowCellStyle="Comma" dataCellStyle="Comma">
  <tableColumns count="8">
    <tableColumn id="1" xr3:uid="{D8B03575-E451-4516-AA36-11C0415EC910}" name="Mode of transport" dataDxfId="844" dataCellStyle="Comma"/>
    <tableColumn id="2" xr3:uid="{6F3BF672-8DD8-4B46-8F52-0134574321D4}" name="Entry in FU (pkm)" dataDxfId="843" dataCellStyle="Comma"/>
    <tableColumn id="3" xr3:uid="{4C6FBD4B-5F37-4F20-866C-79766B7EB765}" name="EF(kg CO2eq) / FU)" dataDxfId="842" dataCellStyle="Comma">
      <calculatedColumnFormula>_xlfn.XLOOKUP($I408,BG_Data[Product],BG_Data[GHG emissions (IPCC 2021) '[kg CO2 eq']],0)</calculatedColumnFormula>
    </tableColumn>
    <tableColumn id="4" xr3:uid="{409C3E52-870C-4BC6-AF7C-1DBBE4A46E9E}" name="Result kg CO2eq" dataDxfId="841" dataCellStyle="Comma"/>
    <tableColumn id="5" xr3:uid="{DD6B685F-2A4F-4FE6-977A-3830366ACEE5}" name="Result kg CO2 biogenic" dataDxfId="840" dataCellStyle="Comma"/>
    <tableColumn id="6" xr3:uid="{AF4ED9C3-B557-4286-85D1-4ADF7F72AA66}" name="Result UBP" dataDxfId="839" dataCellStyle="Comma"/>
    <tableColumn id="7" xr3:uid="{C0F46308-166C-452F-BCBE-F0A730831DA3}" name="Background dataset" dataDxfId="838" dataCellStyle="Comma"/>
    <tableColumn id="8" xr3:uid="{B7CEDD9A-F3C7-435B-A127-F64452BDBD83}" name="Dataset source" dataDxfId="837" dataCellStyle="Comma"/>
  </tableColumns>
  <tableStyleInfo name="Tabellenformat 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8C305777-22F3-4370-A81E-425F18314744}" name="Calc_S3.9" displayName="Calc_S3.9" ref="C421:J426" totalsRowShown="0" headerRowDxfId="836" dataDxfId="835" headerRowCellStyle="Comma" dataCellStyle="Comma">
  <tableColumns count="8">
    <tableColumn id="1" xr3:uid="{A7F9CBC2-E7D0-4922-9F00-BF6CD21769CF}" name="Mode of transport" dataDxfId="834" dataCellStyle="Comma"/>
    <tableColumn id="2" xr3:uid="{ED25116A-A5A3-452F-BFCF-05E09A333A9D}" name="Entry in FU (tkm)" dataDxfId="833" dataCellStyle="Comma"/>
    <tableColumn id="3" xr3:uid="{DD51028B-10BA-406F-94A1-5A2AC5D48566}" name="EF(kg CO2eq) / FU)" dataDxfId="832" dataCellStyle="Comma">
      <calculatedColumnFormula>_xlfn.XLOOKUP($I422,BG_Data[Product],BG_Data[GHG emissions (IPCC 2021) '[kg CO2 eq']],0)</calculatedColumnFormula>
    </tableColumn>
    <tableColumn id="4" xr3:uid="{B7942C23-E79A-4C0F-9421-559DDFBA8E8E}" name="Result kg CO2eq" dataDxfId="831" dataCellStyle="Comma"/>
    <tableColumn id="5" xr3:uid="{56893CA2-1C90-4840-8BC6-063682F777AA}" name="Result kg CO2 biogenic" dataDxfId="830" dataCellStyle="Comma"/>
    <tableColumn id="6" xr3:uid="{5AD9F51E-2AE4-4678-9FFA-6522938D9E07}" name="Result UBP" dataDxfId="829" dataCellStyle="Comma"/>
    <tableColumn id="7" xr3:uid="{1A7E0DFC-AB87-4CEA-B551-E559A8A3703D}" name="Background dataset" dataDxfId="828" dataCellStyle="Comma"/>
    <tableColumn id="8" xr3:uid="{2886AB8B-1F4B-4A08-ACC6-8B803E43E8F7}" name="Dataset source" dataDxfId="827" dataCellStyle="Comma"/>
  </tableColumns>
  <tableStyleInfo name="Tabellenformat 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38907CA-0CB3-4D99-9765-E77ED9188CF7}" name="Calc_S3.10_UpTransport1" displayName="Calc_S3.10_UpTransport1" ref="C433:J436" totalsRowShown="0" headerRowDxfId="826" dataDxfId="825" headerRowCellStyle="Comma" dataCellStyle="Comma">
  <tableColumns count="8">
    <tableColumn id="1" xr3:uid="{68F558D9-AC0F-46A0-8720-4DB0DFF519FB}" name="Electricity use" dataDxfId="824" dataCellStyle="Comma"/>
    <tableColumn id="2" xr3:uid="{2FE712FD-94BD-45B0-9D2E-6E160755A6D7}" name="Entry in FU (kWh)" dataDxfId="823" dataCellStyle="Comma"/>
    <tableColumn id="3" xr3:uid="{2AEDF737-88A8-4A88-AB49-E5DC785C3F42}" name="EF(kg CO2eq) / FU)" dataDxfId="822" dataCellStyle="Comma">
      <calculatedColumnFormula>_xlfn.XLOOKUP($I434,BG_Data[Product],BG_Data[GHG emissions (IPCC 2021) '[kg CO2 eq']],0)</calculatedColumnFormula>
    </tableColumn>
    <tableColumn id="4" xr3:uid="{9D4F0E5A-A85A-4EF1-9A0D-7CF4AE51C396}" name="Result kg CO2eq" dataDxfId="821" dataCellStyle="Comma"/>
    <tableColumn id="5" xr3:uid="{B955524F-A077-4233-AFA0-709E247E39DC}" name="Result kg CO2 biogenic" dataDxfId="820" dataCellStyle="Comma"/>
    <tableColumn id="6" xr3:uid="{FEE3C536-F5FB-499D-91F8-7075A009F2DE}" name="Result UBP" dataDxfId="819" dataCellStyle="Comma"/>
    <tableColumn id="7" xr3:uid="{E0C6CB99-0839-4A9D-B2DF-7C6349E62D9F}" name="Background dataset" dataDxfId="818" dataCellStyle="Comma"/>
    <tableColumn id="8" xr3:uid="{B8A613B5-936F-4158-8047-B8D2567CAB3F}" name="Dataset source" dataDxfId="817" dataCellStyle="Comma"/>
  </tableColumns>
  <tableStyleInfo name="Tabellenformat 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5A70720-6957-47C1-A46E-47C135CBE590}" name="Calc_S3.10_UpTransport2" displayName="Calc_S3.10_UpTransport2" ref="C438:J450" totalsRowShown="0" headerRowDxfId="816" dataDxfId="815" headerRowCellStyle="Comma" dataCellStyle="Comma">
  <tableColumns count="8">
    <tableColumn id="1" xr3:uid="{7061B0CA-ECA8-49D3-9170-FCC5ACDF49FB}" name="Fuel use" dataDxfId="814" dataCellStyle="Comma"/>
    <tableColumn id="2" xr3:uid="{B9FB4865-39E1-48A2-8528-EBDC7231C288}" name="Entry in FU (MJ)" dataDxfId="813" dataCellStyle="Comma"/>
    <tableColumn id="3" xr3:uid="{BC306C18-1E91-40BD-95C8-89D40085158F}" name="EF(kg CO2eq) / FU)" dataDxfId="812" dataCellStyle="Comma">
      <calculatedColumnFormula>_xlfn.XLOOKUP($I439,BG_Data[Product],BG_Data[GHG emissions (IPCC 2021) '[kg CO2 eq']],0)</calculatedColumnFormula>
    </tableColumn>
    <tableColumn id="4" xr3:uid="{C7478BDF-8E17-4238-9436-100C941E9DBE}" name="Result kg CO2eq" dataDxfId="811" dataCellStyle="Comma"/>
    <tableColumn id="5" xr3:uid="{54B75697-8F6B-4F37-BE62-CC94274B9A56}" name="Result kg CO2 biogenic" dataDxfId="810" dataCellStyle="Comma"/>
    <tableColumn id="6" xr3:uid="{CB1D1A36-5624-4265-9D6E-78B38A2B37A4}" name="Result UBP" dataDxfId="809" dataCellStyle="Comma"/>
    <tableColumn id="7" xr3:uid="{D24E4CA8-73DC-4F83-BFF6-26FA2F334DE4}" name="Background dataset" dataDxfId="808" dataCellStyle="Comma"/>
    <tableColumn id="8" xr3:uid="{639A6F06-85C5-436E-846B-E42F909E17F3}" name="Dataset source" dataDxfId="807" dataCellStyle="Comma"/>
  </tableColumns>
  <tableStyleInfo name="Tabellenformat 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C697FDC4-C827-4BD2-996E-A710C4E28960}" name="Calc_S3.11_SoldPUse1" displayName="Calc_S3.11_SoldPUse1" ref="C457:J460" totalsRowShown="0" headerRowDxfId="806" dataDxfId="805" headerRowCellStyle="Comma" dataCellStyle="Comma">
  <tableColumns count="8">
    <tableColumn id="1" xr3:uid="{EEF57B35-BFCC-415F-85CE-A41CFB60A2C3}" name="Electricity use" dataDxfId="804" dataCellStyle="Comma"/>
    <tableColumn id="2" xr3:uid="{E8A14277-3A8E-48AE-9009-D400FB496F45}" name="Entry in FU (kWh)" dataDxfId="803" dataCellStyle="Comma"/>
    <tableColumn id="3" xr3:uid="{DD20AD00-4137-488E-94CE-CEAEF4E3BC5C}" name="EF(kg CO2eq) / FU)" dataDxfId="802" dataCellStyle="Comma">
      <calculatedColumnFormula>_xlfn.XLOOKUP($I458,BG_Data[Product],BG_Data[GHG emissions (IPCC 2021) '[kg CO2 eq']],0)</calculatedColumnFormula>
    </tableColumn>
    <tableColumn id="4" xr3:uid="{7828049F-17E1-4087-909B-B924170606A4}" name="Result kg CO2eq" dataDxfId="801" dataCellStyle="Comma"/>
    <tableColumn id="5" xr3:uid="{07513B1C-37CB-4189-8A8E-1DFD1FCC4091}" name="Result kg CO2 biogenic" dataDxfId="800" dataCellStyle="Comma"/>
    <tableColumn id="6" xr3:uid="{7C241B00-5C49-4E8C-90EF-D316A0E5456F}" name="Result UBP" dataDxfId="799" dataCellStyle="Comma"/>
    <tableColumn id="7" xr3:uid="{300C3904-28F5-48CB-83BA-6653381F08E0}" name="Background dataset" dataDxfId="798" dataCellStyle="Comma"/>
    <tableColumn id="8" xr3:uid="{82DE830D-C69E-485D-B77E-089CE37FC872}" name="Dataset source" dataDxfId="797" dataCellStyle="Comma"/>
  </tableColumns>
  <tableStyleInfo name="Tabellenformat 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73D84F0D-FE39-4F77-84E9-1E17FFA2F186}" name="Calc_S3.11_SoldPUse2" displayName="Calc_S3.11_SoldPUse2" ref="C462:J474" totalsRowShown="0" headerRowDxfId="796" dataDxfId="795" headerRowCellStyle="Comma" dataCellStyle="Comma">
  <tableColumns count="8">
    <tableColumn id="1" xr3:uid="{ECC0392F-0751-4229-8FFF-FC588AE51161}" name="Fuel use" dataDxfId="794" dataCellStyle="Comma"/>
    <tableColumn id="2" xr3:uid="{9F502ACD-D233-4F93-92A9-D57F2CC9ED93}" name="Entry in FU (MJ)" dataDxfId="793" dataCellStyle="Comma"/>
    <tableColumn id="3" xr3:uid="{3836D5B5-E2B5-443C-ABFD-24A797C5B9FE}" name="EF(kg CO2eq) / FU)" dataDxfId="792" dataCellStyle="Comma">
      <calculatedColumnFormula>_xlfn.XLOOKUP($I463,BG_Data[Product],BG_Data[GHG emissions (IPCC 2021) '[kg CO2 eq']],0)</calculatedColumnFormula>
    </tableColumn>
    <tableColumn id="4" xr3:uid="{0788D650-A2E5-4AA8-A1E2-CCDB608908C4}" name="Result kg CO2eq" dataDxfId="791" dataCellStyle="Comma"/>
    <tableColumn id="5" xr3:uid="{026B624C-5D82-481C-9B1A-4B65B4D2629F}" name="Result kg CO2 biogenic" dataDxfId="790" dataCellStyle="Comma"/>
    <tableColumn id="6" xr3:uid="{4552B203-8639-48FE-B5B0-18B42CE6B87C}" name="Result UBP" dataDxfId="789" dataCellStyle="Comma"/>
    <tableColumn id="7" xr3:uid="{04E8882E-554B-4BAF-9CDF-110D4224D004}" name="Background dataset" dataDxfId="788" dataCellStyle="Comma"/>
    <tableColumn id="8" xr3:uid="{E3C41561-63A7-4976-9715-DDD158C2C18B}" name="Dataset source" dataDxfId="787" dataCellStyle="Comma"/>
  </tableColumns>
  <tableStyleInfo name="Tabellenformat 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8BD63B0-2569-4777-AAF2-A7F45C865401}" name="Calc_S3.11_SoldPEoL" displayName="Calc_S3.11_SoldPEoL" ref="C481:J494" totalsRowShown="0" headerRowDxfId="786" dataDxfId="785" headerRowCellStyle="Comma" dataCellStyle="Comma">
  <tableColumns count="8">
    <tableColumn id="1" xr3:uid="{68CB6698-809D-4F95-93CF-B80D399E78EC}" name="Disposal type" dataDxfId="784" dataCellStyle="Comma"/>
    <tableColumn id="2" xr3:uid="{7E334D26-03B7-48EA-B495-3FDE9987DC30}" name="Entry in FU (kg)" dataDxfId="783" dataCellStyle="Comma"/>
    <tableColumn id="3" xr3:uid="{3C6117C2-F880-402F-8476-C222529D58C4}" name="EF(kg CO2eq) / FU)" dataDxfId="782" dataCellStyle="Comma">
      <calculatedColumnFormula>_xlfn.XLOOKUP($I482,BG_Data[Product],BG_Data[GHG emissions (IPCC 2021) '[kg CO2 eq']],0)</calculatedColumnFormula>
    </tableColumn>
    <tableColumn id="4" xr3:uid="{4BBC6809-12F4-4513-8844-53D9F48B70F3}" name="Result kg CO2eq" dataDxfId="781" dataCellStyle="Comma"/>
    <tableColumn id="5" xr3:uid="{58A2ECB7-9E80-422A-8F9D-2D95364A62FC}" name="Result kg CO2 biogenic" dataDxfId="780" dataCellStyle="Comma"/>
    <tableColumn id="6" xr3:uid="{C161A9C6-096D-47C5-A1D8-9D7A2E102D3A}" name="Result UBP" dataDxfId="779" dataCellStyle="Comma"/>
    <tableColumn id="7" xr3:uid="{AACC1FB7-FDD3-4B30-BFF2-64834298F929}" name="Background dataset" dataDxfId="778" dataCellStyle="Comma"/>
    <tableColumn id="8" xr3:uid="{E3E42112-8B77-4206-BFF2-6CBFC19B3614}" name="Dataset source" dataDxfId="777" dataCellStyle="Comma"/>
  </tableColumns>
  <tableStyleInfo name="Tabellenformat 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D1E2C6C-9EC5-4A2F-946C-81BEF8894113}" name="Calc_S3.14" displayName="Calc_S3.14" ref="C501:J504" totalsRowShown="0" headerRowDxfId="776" dataDxfId="775" headerRowCellStyle="Comma" dataCellStyle="Comma">
  <tableColumns count="8">
    <tableColumn id="1" xr3:uid="{69141681-7C60-4C77-A8CE-26E83D2C7A0D}" name="GHG emissions" dataDxfId="774" dataCellStyle="Comma"/>
    <tableColumn id="2" xr3:uid="{6644FDE2-0004-412E-B48F-FFC687FCEDCB}" name="Entry in FU (kg CO2eq)" dataDxfId="773" dataCellStyle="Comma"/>
    <tableColumn id="3" xr3:uid="{F234E303-B120-4946-A130-7CCEBCC4C63C}" name="EF(kg CO2eq) / FU)" dataDxfId="772" dataCellStyle="Comma">
      <calculatedColumnFormula>_xlfn.XLOOKUP($I502,BG_Data[Product],BG_Data[GHG emissions (IPCC 2021) '[kg CO2 eq']],0)</calculatedColumnFormula>
    </tableColumn>
    <tableColumn id="4" xr3:uid="{A946E905-FE29-4A10-82B3-6AB3164A9F95}" name="Result kg CO2eq" dataDxfId="771" dataCellStyle="Comma"/>
    <tableColumn id="5" xr3:uid="{01251D28-E6B0-4197-9916-0E92E9B40DE8}" name="Result kg CO2 biogenic" dataDxfId="770" dataCellStyle="Comma"/>
    <tableColumn id="6" xr3:uid="{F1B4BDCE-83DA-40F0-A711-7999982E7FF7}" name="Result UBP" dataDxfId="769" dataCellStyle="Comma"/>
    <tableColumn id="7" xr3:uid="{0E78498A-183C-451F-99F6-658B5E7E5A5C}" name="Background dataset" dataDxfId="768" dataCellStyle="Comma"/>
    <tableColumn id="8" xr3:uid="{30FBA32A-E009-49E2-A6A3-3276B1D5C8E5}" name="Dataset source" dataDxfId="767" dataCellStyle="Comma"/>
  </tableColumns>
  <tableStyleInfo name="Tabellenformat 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AE71D7E3-DA8E-4A89-91DF-195B2A85A22A}" name="Calc_S3.14_Investments1" displayName="Calc_S3.14_Investments1" ref="C511:J512" totalsRowShown="0" headerRowDxfId="766" dataDxfId="765" headerRowCellStyle="Comma" dataCellStyle="Comma">
  <tableColumns count="8">
    <tableColumn id="1" xr3:uid="{6FD12050-2DA2-4C8D-8884-755CBF3C6B0C}" name="GHG emissions" dataDxfId="764" dataCellStyle="Comma"/>
    <tableColumn id="2" xr3:uid="{65585A1F-F16F-47D2-8332-887360A3EB67}" name="Entry in FU (kg CO2eq)" dataDxfId="763" dataCellStyle="Comma"/>
    <tableColumn id="3" xr3:uid="{535AF23F-F3AA-4083-9ED3-680466E695DB}" name="EF(kg CO2eq) / FU)" dataDxfId="762" dataCellStyle="Comma">
      <calculatedColumnFormula>_xlfn.XLOOKUP($I512,BG_Data[Product],BG_Data[GHG emissions (IPCC 2021) '[kg CO2 eq']],0)</calculatedColumnFormula>
    </tableColumn>
    <tableColumn id="4" xr3:uid="{0C8154C1-7B09-42EC-ABDB-7D8BD23EA269}" name="Result kg CO2eq" dataDxfId="761" dataCellStyle="Comma">
      <calculatedColumnFormula>$D512*$E512</calculatedColumnFormula>
    </tableColumn>
    <tableColumn id="5" xr3:uid="{824EFA08-12C7-45F0-A137-3B626386A1B7}" name="Result kg CO2 biogenic" dataDxfId="760" dataCellStyle="Comma">
      <calculatedColumnFormula>$D512*_xlfn.XLOOKUP($I512,BG_Data[Product],BG_Data[Biogenic CO2 emissions '[kg CO2']],0)</calculatedColumnFormula>
    </tableColumn>
    <tableColumn id="6" xr3:uid="{EC170E6E-9230-453E-B662-E3E197D0AF84}" name="Result UBP" dataDxfId="759" dataCellStyle="Comma">
      <calculatedColumnFormula>$D512*_xlfn.XLOOKUP($I512,BG_Data[Product],BG_Data[Total env. impact (Ecological Scarcity 2021) '[UBP']],0)</calculatedColumnFormula>
    </tableColumn>
    <tableColumn id="7" xr3:uid="{593F466A-8BA8-4171-B5A3-D919BE1CEDE9}" name="Background dataset" dataDxfId="758" dataCellStyle="Comma"/>
    <tableColumn id="8" xr3:uid="{2E98C438-75E8-43E4-9D4B-38242664A6DE}" name="Dataset source" dataDxfId="757" dataCellStyle="Comma"/>
  </tableColumns>
  <tableStyleInfo name="Tabellenformat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C03B155-D324-414C-B429-9D8E79435C55}" name="D_Purchased_SpendB" displayName="D_Purchased_SpendB" ref="C538:F559" totalsRowShown="0" headerRowDxfId="1272" dataDxfId="1271">
  <tableColumns count="4">
    <tableColumn id="1" xr3:uid="{B9E3BE03-4D1D-49F8-9E00-C08A0380D2C3}" name="Sector" dataDxfId="1270"/>
    <tableColumn id="2" xr3:uid="{6EA32E8B-0B5C-4D70-85C9-88F079308263}" name="_" dataDxfId="1269"/>
    <tableColumn id="3" xr3:uid="{0FB01A16-12B0-4040-A127-AB3BAB1DF97E}" name="_2" dataDxfId="1268"/>
    <tableColumn id="4" xr3:uid="{816575F7-3B34-4318-ADDC-086A6F512656}" name="CHF" dataDxfId="1267"/>
  </tableColumns>
  <tableStyleInfo name="Tabellenformat 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0672322-4E78-4314-820C-B1635030F21C}" name="Calc_S3.14_Investments2" displayName="Calc_S3.14_Investments2" ref="C514:J535" totalsRowShown="0" headerRowDxfId="756" dataDxfId="755" headerRowCellStyle="Comma" dataCellStyle="Comma">
  <tableColumns count="8">
    <tableColumn id="1" xr3:uid="{029510DD-00CC-4EE6-9344-1C578D78B879}" name="Sector" dataDxfId="754" dataCellStyle="Comma"/>
    <tableColumn id="2" xr3:uid="{170F9962-7BBB-4D09-A7AA-95BF697D3CFD}" name="Entry in FU (CHF)" dataDxfId="753" dataCellStyle="Comma"/>
    <tableColumn id="3" xr3:uid="{3A099B8B-3578-4800-8B00-11AB62135E58}" name="EF(kg CO2eq) / FU)" dataDxfId="752" dataCellStyle="Comma">
      <calculatedColumnFormula>_xlfn.XLOOKUP($I515,BG_Data[Product],BG_Data[GHG emissions (IPCC 2021) '[kg CO2 eq']],0)</calculatedColumnFormula>
    </tableColumn>
    <tableColumn id="4" xr3:uid="{D2682853-0053-44D8-8524-F7449EEC6C72}" name="Result kg CO2eq" dataDxfId="751" dataCellStyle="Comma"/>
    <tableColumn id="5" xr3:uid="{9FE9DF32-8DA7-4F9C-9727-2EA76A0E118D}" name="Result kg CO2 biogenic" dataDxfId="750" dataCellStyle="Comma"/>
    <tableColumn id="6" xr3:uid="{6A397955-659C-4D35-B6CB-6D52A9CB21F8}" name="Result UBP" dataDxfId="749" dataCellStyle="Comma"/>
    <tableColumn id="7" xr3:uid="{219474E8-E95D-44A7-8071-34CEA3DCA0C5}" name="Background dataset" dataDxfId="748" dataCellStyle="Comma"/>
    <tableColumn id="8" xr3:uid="{66B6B262-141C-41AC-BF0F-4589E4C49F18}" name="Dataset source" dataDxfId="747" dataCellStyle="Comma"/>
  </tableColumns>
  <tableStyleInfo name="Tabellenformat 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C4B851E-68EB-426D-ABB0-C1B698822FFF}" name="Calc_Lessee_StationaryComb_Direct" displayName="Calc_Lessee_StationaryComb_Direct" ref="C544:J555" totalsRowShown="0" headerRowDxfId="746" dataDxfId="745" headerRowCellStyle="Comma" dataCellStyle="Comma">
  <tableColumns count="8">
    <tableColumn id="1" xr3:uid="{5A9131EB-3404-450F-A60B-5132A25F41DB}" name="Fuel" dataDxfId="744" dataCellStyle="Comma"/>
    <tableColumn id="2" xr3:uid="{9CA741C6-D7EA-45D2-B089-58EFBFAED059}" name="Entry in FU (MJ)" dataDxfId="743" dataCellStyle="Comma"/>
    <tableColumn id="3" xr3:uid="{B883BD80-BE70-42FA-8F83-2751D21232F1}" name="EF(kg CO2eq) / FU)" dataDxfId="742" dataCellStyle="Comma">
      <calculatedColumnFormula>_xlfn.XLOOKUP($I545,BG_Data[Product],BG_Data[GHG emissions (IPCC 2021) '[kg CO2 eq']],0)</calculatedColumnFormula>
    </tableColumn>
    <tableColumn id="4" xr3:uid="{218CCF04-0CE1-49A9-A12B-2856E2A12305}" name="Result kg CO2eq" dataDxfId="741" dataCellStyle="Comma"/>
    <tableColumn id="5" xr3:uid="{8760F2CC-1DCA-4EE8-A552-9E188CC9FC0B}" name="Result kg CO2 biogenic" dataDxfId="740" dataCellStyle="Comma"/>
    <tableColumn id="6" xr3:uid="{BB602BA4-EB09-4D4E-A46B-4A57DB705D0B}" name="Result UBP" dataDxfId="739" dataCellStyle="Comma"/>
    <tableColumn id="7" xr3:uid="{0E955891-F8ED-4F0A-A25E-42BFD870063B}" name="Background dataset" dataDxfId="738" dataCellStyle="Comma"/>
    <tableColumn id="8" xr3:uid="{8B36E5D4-5F3A-4E5F-BA50-8225E9E08CD5}" name="Dataset source" dataDxfId="737" dataCellStyle="Comma"/>
  </tableColumns>
  <tableStyleInfo name="Tabellenformat 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BA6C18D4-0B88-480A-BCD8-C5A7F1FE1F4C}" name="Calc_Lessee_StationaryComb_Indirect" displayName="Calc_Lessee_StationaryComb_Indirect" ref="C561:J572" totalsRowShown="0" headerRowDxfId="736" dataDxfId="735" headerRowCellStyle="Comma" dataCellStyle="Comma">
  <tableColumns count="8">
    <tableColumn id="1" xr3:uid="{BB2EFCD6-3687-4BDB-A308-31BEE38F71A1}" name="Fuel" dataDxfId="734" dataCellStyle="Comma"/>
    <tableColumn id="2" xr3:uid="{FF39E28D-6978-4DB6-9989-84E9C4B7EF9F}" name="Entry in FU (MJ)" dataDxfId="733" dataCellStyle="Comma"/>
    <tableColumn id="3" xr3:uid="{7F88A664-7460-434C-9C0B-DE7EFFE77E35}" name="EF(kg CO2eq) / FU)" dataDxfId="732" dataCellStyle="Comma">
      <calculatedColumnFormula>_xlfn.XLOOKUP($I562,BG_Data[Product],BG_Data[GHG emissions (IPCC 2021) '[kg CO2 eq']],0)</calculatedColumnFormula>
    </tableColumn>
    <tableColumn id="4" xr3:uid="{3C58B6B5-DC7B-4E4D-B934-471DB8C5960E}" name="Result kg CO2eq" dataDxfId="731" dataCellStyle="Comma"/>
    <tableColumn id="5" xr3:uid="{1E46731A-B4EC-44A7-BE14-80823D37B3C0}" name="Result kg CO2 biogenic" dataDxfId="730" dataCellStyle="Comma"/>
    <tableColumn id="6" xr3:uid="{8E7B5F6B-421A-47DD-9BEB-1A5FDE7AD19A}" name="Result UBP" dataDxfId="729" dataCellStyle="Comma"/>
    <tableColumn id="7" xr3:uid="{52B0B41D-441F-4EF7-8BA2-EB9C9AE0967D}" name="Background dataset" dataDxfId="728" dataCellStyle="Comma"/>
    <tableColumn id="8" xr3:uid="{4D7F5D52-F792-485E-AA39-EF80ACFF5B29}" name="Dataset source" dataDxfId="727" dataCellStyle="Comma"/>
  </tableColumns>
  <tableStyleInfo name="Tabellenformat 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6BF54ADE-4AAB-4184-8B77-9B03B6EF61BF}" name="Calc_Lessee_District_Direct" displayName="Calc_Lessee_District_Direct" ref="C578:J589" totalsRowShown="0" headerRowDxfId="726" dataDxfId="725" headerRowCellStyle="Comma" dataCellStyle="Comma">
  <tableColumns count="8">
    <tableColumn id="1" xr3:uid="{5CE22CFF-7B60-45A1-8E02-BA2F2B702EFA}" name="Heat source" dataDxfId="724" dataCellStyle="Comma"/>
    <tableColumn id="2" xr3:uid="{317CCD78-BC5E-42C1-BE7C-984C309B0A7C}" name="Entry in FU (MJ)" dataDxfId="723" dataCellStyle="Comma"/>
    <tableColumn id="3" xr3:uid="{03317808-82D7-4FB1-AF60-0203F7A12ABB}" name="EF(kg CO2eq) / FU)" dataDxfId="722" dataCellStyle="Comma">
      <calculatedColumnFormula>_xlfn.XLOOKUP($I579,BG_Data[Product],BG_Data[GHG emissions (IPCC 2021) '[kg CO2 eq']],0)</calculatedColumnFormula>
    </tableColumn>
    <tableColumn id="4" xr3:uid="{E6AFA014-4049-4418-9C9A-C6201A5104D6}" name="Result kg CO2eq" dataDxfId="721" dataCellStyle="Comma"/>
    <tableColumn id="5" xr3:uid="{D51780F7-578E-409D-B5C5-53ED1EC7D584}" name="Result kg CO2 biogenic" dataDxfId="720" dataCellStyle="Comma"/>
    <tableColumn id="6" xr3:uid="{85FD7478-E1A4-4D41-98CD-6D4DABEBB488}" name="Result UBP" dataDxfId="719" dataCellStyle="Comma"/>
    <tableColumn id="7" xr3:uid="{10B8F363-9BAE-4F5C-9F50-E02CE3A29847}" name="Background dataset" dataDxfId="718" dataCellStyle="Comma"/>
    <tableColumn id="8" xr3:uid="{920F9CF1-4C31-490F-97DD-BF814BC8F429}" name="Dataset source" dataDxfId="717" dataCellStyle="Comma"/>
  </tableColumns>
  <tableStyleInfo name="Tabellenformat 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9EFF0EB0-BEDB-4D92-ABE3-0962E63849BA}" name="Calc_Lessee_District_Indirect" displayName="Calc_Lessee_District_Indirect" ref="C595:J606" totalsRowShown="0" headerRowDxfId="716" dataDxfId="715" headerRowCellStyle="Comma" dataCellStyle="Comma">
  <tableColumns count="8">
    <tableColumn id="1" xr3:uid="{1F7F1FC5-F787-4C5F-88CE-1F9CE948F444}" name="Heat source" dataDxfId="714" dataCellStyle="Comma"/>
    <tableColumn id="2" xr3:uid="{EB573962-FFAB-4E69-A37A-88002595AC96}" name="Entry in FU (MJ)" dataDxfId="713" dataCellStyle="Comma"/>
    <tableColumn id="3" xr3:uid="{3C693B98-D2B6-46A2-88F2-5895D241A6DA}" name="EF(kg CO2eq) / FU)" dataDxfId="712" dataCellStyle="Comma">
      <calculatedColumnFormula>_xlfn.XLOOKUP($I596,BG_Data[Product],BG_Data[GHG emissions (IPCC 2021) '[kg CO2 eq']],0)</calculatedColumnFormula>
    </tableColumn>
    <tableColumn id="4" xr3:uid="{6564B721-7080-467E-9855-E936A95F6AC7}" name="Result kg CO2eq" dataDxfId="711" dataCellStyle="Comma"/>
    <tableColumn id="5" xr3:uid="{EE82B668-C0E0-4A39-86FC-B0B7D542035D}" name="Result kg CO2 biogenic" dataDxfId="710" dataCellStyle="Comma"/>
    <tableColumn id="6" xr3:uid="{BF02A0A0-2E9D-4DCC-9463-68EAC2A5F59E}" name="Result UBP" dataDxfId="709" dataCellStyle="Comma"/>
    <tableColumn id="7" xr3:uid="{B94BAF43-44CF-4EB8-85F0-1DB29C593954}" name="Background dataset" dataDxfId="708" dataCellStyle="Comma"/>
    <tableColumn id="8" xr3:uid="{A9EAAE3A-D388-4C4E-A8FB-FCB04DD2DF9C}" name="Dataset source" dataDxfId="707" dataCellStyle="Comma"/>
  </tableColumns>
  <tableStyleInfo name="Tabellenformat 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464DA07F-270F-438C-BC44-1CD0A58F00CD}" name="Calc_Lessee_Electricity_Direct1" displayName="Calc_Lessee_Electricity_Direct1" ref="C612:J613" totalsRowShown="0" headerRowDxfId="706" dataDxfId="705" headerRowCellStyle="Comma" dataCellStyle="Comma">
  <tableColumns count="8">
    <tableColumn id="1" xr3:uid="{72176B70-EAAE-472A-9AF8-9BF740008E5D}" name="Source (no GO)" dataDxfId="704" dataCellStyle="Comma">
      <calculatedColumnFormula>'2 Data Inputs'!C471</calculatedColumnFormula>
    </tableColumn>
    <tableColumn id="2" xr3:uid="{3B94AE79-899A-4578-B6D9-3B925D3CA0AA}" name="Entry in FU (kWh)" dataDxfId="703" dataCellStyle="Comma"/>
    <tableColumn id="3" xr3:uid="{C2377728-D392-47CC-9019-D604A93F1AA2}" name="EF(kg CO2eq) / FU)" dataDxfId="702" dataCellStyle="Comma">
      <calculatedColumnFormula>_xlfn.XLOOKUP($I613,BG_Data[Product],BG_Data[GHG emissions (IPCC 2021) '[kg CO2 eq']],0)</calculatedColumnFormula>
    </tableColumn>
    <tableColumn id="4" xr3:uid="{A25D9119-2D33-42D9-823C-82483D3AF2AC}" name="Result kg CO2eq" dataDxfId="701" dataCellStyle="Comma">
      <calculatedColumnFormula>$D613*$E613</calculatedColumnFormula>
    </tableColumn>
    <tableColumn id="5" xr3:uid="{DDF3C7D3-72CC-4ED8-9611-30E1F59132B5}" name="Result kg CO2 biogenic" dataDxfId="700" dataCellStyle="Comma">
      <calculatedColumnFormula>$D613*_xlfn.XLOOKUP($I613,BG_Data[Product],BG_Data[Biogenic CO2 emissions '[kg CO2']],0)</calculatedColumnFormula>
    </tableColumn>
    <tableColumn id="6" xr3:uid="{63CED2BA-2F2F-4BFC-B1E8-BF8828636FFC}" name="Result UBP" dataDxfId="699" dataCellStyle="Comma">
      <calculatedColumnFormula>$D613*_xlfn.XLOOKUP($I613,BG_Data[Product],BG_Data[Total env. impact (Ecological Scarcity 2021) '[UBP']],0)</calculatedColumnFormula>
    </tableColumn>
    <tableColumn id="7" xr3:uid="{4A56E666-3AED-490B-9C9B-F7CBFF7A7CD0}" name="Background dataset" dataDxfId="698" dataCellStyle="Comma">
      <calculatedColumnFormula>IF('2 Data Inputs'!J471="Niederspannung","Electricity, low voltage, at grid {CH} kWh Direct","Electricity, medium voltage, at grid {CH} kWh Direct")</calculatedColumnFormula>
    </tableColumn>
    <tableColumn id="8" xr3:uid="{7CB5BAD6-814A-4F51-AEF2-E7F2A478910A}" name="Dataset source" dataDxfId="697" dataCellStyle="Comma"/>
  </tableColumns>
  <tableStyleInfo name="Tabellenformat 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A3E95649-0317-4348-B785-857E82A62922}" name="Calc_Lessee_Electricity_Direct2" displayName="Calc_Lessee_Electricity_Direct2" ref="C615:J626" totalsRowShown="0" headerRowDxfId="696" dataDxfId="695" headerRowCellStyle="Comma" dataCellStyle="Comma">
  <tableColumns count="8">
    <tableColumn id="1" xr3:uid="{1446FE0A-A55F-4FC9-B468-6BE4960B85C9}" name="Source" dataDxfId="694" dataCellStyle="Comma"/>
    <tableColumn id="2" xr3:uid="{3AD929EC-6FEB-4650-87D7-601BBBEAD5E7}" name="Entry in FU (kWh)" dataDxfId="693" dataCellStyle="Comma"/>
    <tableColumn id="3" xr3:uid="{95CD7E52-B78F-47EB-89A9-F951C441E5EA}" name="EF(kg CO2eq) / FU)" dataDxfId="692" dataCellStyle="Comma">
      <calculatedColumnFormula>_xlfn.XLOOKUP($I616,BG_Data[Product],BG_Data[GHG emissions (IPCC 2021) '[kg CO2 eq']],0)</calculatedColumnFormula>
    </tableColumn>
    <tableColumn id="4" xr3:uid="{5FE31302-C8C6-4465-BD1A-AAFD90FC4FE0}" name="Result kg CO2eq" dataDxfId="691" dataCellStyle="Comma"/>
    <tableColumn id="5" xr3:uid="{BBEE8C68-C87B-4FFF-B8EE-5E7CA0FF7173}" name="Result kg CO2 biogenic" dataDxfId="690" dataCellStyle="Comma"/>
    <tableColumn id="6" xr3:uid="{94814E0B-2AB5-4107-86C7-19E5FD1247F7}" name="Result UBP" dataDxfId="689" dataCellStyle="Comma"/>
    <tableColumn id="7" xr3:uid="{CDE4B92C-EE47-4F62-937E-B95E4738C926}" name="Background dataset" dataDxfId="688" dataCellStyle="Comma"/>
    <tableColumn id="8" xr3:uid="{FD0C5CB2-0015-4FD8-B479-8502FD05CCF6}" name="Dataset source" dataDxfId="687" dataCellStyle="Comma"/>
  </tableColumns>
  <tableStyleInfo name="Tabellenformat 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9D7AE1E-FA19-47C8-8FC6-34FC4FC824C1}" name="Calc_Lessee_Electricity_Indirect1" displayName="Calc_Lessee_Electricity_Indirect1" ref="C639:J640" totalsRowShown="0" headerRowDxfId="686" dataDxfId="685" headerRowCellStyle="Comma" dataCellStyle="Comma">
  <tableColumns count="8">
    <tableColumn id="1" xr3:uid="{E221538B-97D7-4F7A-B279-56DE67EB41C3}" name="Source (no GO)" dataDxfId="684" dataCellStyle="Comma">
      <calculatedColumnFormula>'2 Data Inputs'!C471</calculatedColumnFormula>
    </tableColumn>
    <tableColumn id="2" xr3:uid="{D3F72E35-EB16-4D9E-A243-FD85F1398D7D}" name="Entry in FU (kWh)" dataDxfId="683" dataCellStyle="Comma"/>
    <tableColumn id="3" xr3:uid="{4032D90C-D162-43A3-90B4-163D796E0A2F}" name="EF(kg CO2eq) / FU)" dataDxfId="682" dataCellStyle="Comma">
      <calculatedColumnFormula>_xlfn.XLOOKUP($I640,BG_Data[Product],BG_Data[GHG emissions (IPCC 2021) '[kg CO2 eq']],0)</calculatedColumnFormula>
    </tableColumn>
    <tableColumn id="4" xr3:uid="{9E225167-7A13-402E-9B34-D18324BCB0FA}" name="Result kg CO2eq" dataDxfId="681" dataCellStyle="Comma">
      <calculatedColumnFormula>$D640*$E640</calculatedColumnFormula>
    </tableColumn>
    <tableColumn id="5" xr3:uid="{F90731CB-46E2-40B1-B02C-45496AE3F927}" name="Result kg CO2 biogenic" dataDxfId="680" dataCellStyle="Comma">
      <calculatedColumnFormula>$D640*_xlfn.XLOOKUP($I640,BG_Data[Product],BG_Data[Biogenic CO2 emissions '[kg CO2']],0)</calculatedColumnFormula>
    </tableColumn>
    <tableColumn id="6" xr3:uid="{880232DF-C244-4233-ABFE-541E5C50FE57}" name="Result UBP" dataDxfId="679" dataCellStyle="Comma">
      <calculatedColumnFormula>$D640*_xlfn.XLOOKUP($I640,BG_Data[Product],BG_Data[Total env. impact (Ecological Scarcity 2021) '[UBP']],0)</calculatedColumnFormula>
    </tableColumn>
    <tableColumn id="7" xr3:uid="{6A85F322-2D04-40A7-B568-02E7EA7B0639}" name="Background dataset" dataDxfId="678" dataCellStyle="Comma">
      <calculatedColumnFormula>IF('2 Data Inputs'!J471="Niederspannung","Electricity, low voltage, at grid {CH} kWh Indirect","Electricity, medium voltage, at grid {CH} kWh Indirect")</calculatedColumnFormula>
    </tableColumn>
    <tableColumn id="8" xr3:uid="{24993884-35DD-4723-ABB7-F0DF10BC4851}" name="Dataset source" dataDxfId="677" dataCellStyle="Comma"/>
  </tableColumns>
  <tableStyleInfo name="Tabellenformat 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627ADDB1-07EC-46FE-B69A-B91C2074B80A}" name="Calc_Lessee_Electricity_Indirect2" displayName="Calc_Lessee_Electricity_Indirect2" ref="C642:J653" totalsRowShown="0" headerRowDxfId="676" dataDxfId="675" headerRowCellStyle="Comma" dataCellStyle="Comma">
  <tableColumns count="8">
    <tableColumn id="1" xr3:uid="{7D9E974E-2ADF-426B-97D2-2A3F68D822AA}" name="Source" dataDxfId="674" dataCellStyle="Comma"/>
    <tableColumn id="2" xr3:uid="{5451B251-5A64-4A35-84C8-89DBD10B06E8}" name="Entry in FU (kWh)" dataDxfId="673" dataCellStyle="Comma"/>
    <tableColumn id="3" xr3:uid="{BE5B0458-CFA9-4241-A513-CEA55DDA365F}" name="EF(kg CO2eq) / FU)" dataDxfId="672" dataCellStyle="Comma">
      <calculatedColumnFormula>_xlfn.XLOOKUP($I643,BG_Data[Product],BG_Data[GHG emissions (IPCC 2021) '[kg CO2 eq']],0)</calculatedColumnFormula>
    </tableColumn>
    <tableColumn id="4" xr3:uid="{793CA5B0-011B-4654-8296-F5833C43D0DC}" name="Result kg CO2eq" dataDxfId="671" dataCellStyle="Comma"/>
    <tableColumn id="5" xr3:uid="{F6DDFC34-2A04-46AC-AB97-2903B3316B12}" name="Result kg CO2 biogenic" dataDxfId="670" dataCellStyle="Comma"/>
    <tableColumn id="6" xr3:uid="{2D3BD828-2372-430E-9B38-0C2954A40702}" name="Result UBP" dataDxfId="669" dataCellStyle="Comma"/>
    <tableColumn id="7" xr3:uid="{841625D2-D1C6-4C38-A56A-5FE7B0D9CDEE}" name="Hintergrunddatensatz" dataDxfId="668" dataCellStyle="Comma"/>
    <tableColumn id="8" xr3:uid="{CAC753A2-A5BB-4486-989A-C31A7F910F80}" name="Dataset source" dataDxfId="667" dataCellStyle="Comma"/>
  </tableColumns>
  <tableStyleInfo name="Tabellenformat 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26352F79-8AB3-4D9F-84ED-7AD59070C1E8}" name="Calc_Lessee_Fleet_Direct1" displayName="Calc_Lessee_Fleet_Direct1" ref="C666:J669" totalsRowShown="0" headerRowDxfId="666" dataDxfId="665" headerRowCellStyle="Comma" dataCellStyle="Comma">
  <tableColumns count="8">
    <tableColumn id="1" xr3:uid="{BE1FA3D0-EDDF-4514-A215-E8E51FDEDAEA}" name="Fuel (simplified)" dataDxfId="664" dataCellStyle="Comma"/>
    <tableColumn id="2" xr3:uid="{70A92A56-0F54-44E7-BA42-22F01547B132}" name="Entry in FU (liter)" dataDxfId="663" dataCellStyle="Comma"/>
    <tableColumn id="3" xr3:uid="{1DC44BB4-8939-468F-8305-81DD8A62688C}" name="EF(kg CO2eq) / FU)" dataDxfId="662" dataCellStyle="Comma">
      <calculatedColumnFormula>_xlfn.XLOOKUP($I667,BG_Data[Product],BG_Data[GHG emissions (IPCC 2021) '[kg CO2 eq']],0)</calculatedColumnFormula>
    </tableColumn>
    <tableColumn id="4" xr3:uid="{0F119AA8-24C8-4078-A4E0-46508AAFBDE3}" name="Result kg CO2eq" dataDxfId="661" dataCellStyle="Comma"/>
    <tableColumn id="5" xr3:uid="{ABD76443-2C1E-4861-A075-FBB73EFCD807}" name="Result kg CO2 biogenic" dataDxfId="660" dataCellStyle="Comma"/>
    <tableColumn id="6" xr3:uid="{0071C7C0-EA23-4991-B388-5A9705280D73}" name="Result UBP" dataDxfId="659" dataCellStyle="Comma"/>
    <tableColumn id="7" xr3:uid="{9C0AAE10-6637-4449-A442-A955EC8702C7}" name="Background dataset" dataDxfId="658" dataCellStyle="Comma"/>
    <tableColumn id="8" xr3:uid="{6542800B-D535-46D0-B68F-78315CAB0893}" name="Dataset source" dataDxfId="657" dataCellStyle="Comma"/>
  </tableColumns>
  <tableStyleInfo name="Tabellenformat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880C0E8-43EA-4799-96F8-CAF6CCDAD24E}" name="D_Purchased_ProductB" displayName="D_Purchased_ProductB" ref="C578:G599" totalsRowShown="0" headerRowDxfId="1266" dataDxfId="1265">
  <tableColumns count="5">
    <tableColumn id="1" xr3:uid="{D819979A-ED89-47E0-A681-BB52E1DB0469}" name="Material Cat. 1" dataDxfId="1264"/>
    <tableColumn id="2" xr3:uid="{4BE81627-7E65-493D-B261-1C1BBBC76692}" name="Material Cat. 2" dataDxfId="1263"/>
    <tableColumn id="3" xr3:uid="{C031EC3F-4782-4182-A3C5-122A97DF8D75}" name="Material Cat. 3" dataDxfId="1262"/>
    <tableColumn id="4" xr3:uid="{61F06C8B-DCCF-4887-8B27-5C41C6E44E9A}" name="Data" dataDxfId="1261"/>
    <tableColumn id="5" xr3:uid="{E7ABA611-0270-41D0-90DA-C339D2E17B02}" name="Unit" dataDxfId="1260"/>
  </tableColumns>
  <tableStyleInfo name="Tabellenformat 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7453606-00D4-4DC6-83DD-7ABBA0A53712}" name="Calc_Lessee_Fleet_Direct2" displayName="Calc_Lessee_Fleet_Direct2" ref="C671:J685" totalsRowShown="0" headerRowDxfId="656" dataDxfId="655" headerRowCellStyle="Comma" dataCellStyle="Comma">
  <tableColumns count="8">
    <tableColumn id="1" xr3:uid="{B7BB1234-65EA-432F-89C8-43A3EE30691A}" name="Vehicle type" dataDxfId="654" dataCellStyle="Comma"/>
    <tableColumn id="2" xr3:uid="{ABB02028-ED1E-45AF-8E8C-C798D1FC8717}" name="Entry in FU (liter)" dataDxfId="653" dataCellStyle="Comma"/>
    <tableColumn id="3" xr3:uid="{2F90A908-2F30-4E12-A6BA-76C8A44BCFE5}" name="EF(kg CO2eq) / FU)" dataDxfId="652" dataCellStyle="Comma">
      <calculatedColumnFormula>_xlfn.XLOOKUP($I672,BG_Data[Product],BG_Data[GHG emissions (IPCC 2021) '[kg CO2 eq']],0)</calculatedColumnFormula>
    </tableColumn>
    <tableColumn id="4" xr3:uid="{F8F06213-373E-4E59-8A1C-334D423F5C35}" name="Result kg CO2eq" dataDxfId="651" dataCellStyle="Comma"/>
    <tableColumn id="5" xr3:uid="{DAFEDC16-A041-4D6C-B5C5-FCC7E307C778}" name="Result kg CO2 biogenic" dataDxfId="650" dataCellStyle="Comma"/>
    <tableColumn id="6" xr3:uid="{1131AFE1-425A-4ADA-8526-F126E6941A63}" name="Result UBP" dataDxfId="649" dataCellStyle="Comma"/>
    <tableColumn id="7" xr3:uid="{53967396-55DF-4242-91E1-8F5448E538B6}" name="Background dataset" dataDxfId="648" dataCellStyle="Comma"/>
    <tableColumn id="8" xr3:uid="{31AF526A-7177-48E8-BE0D-65E48EF56D5E}" name="Dataset source" dataDxfId="647" dataCellStyle="Comma"/>
  </tableColumns>
  <tableStyleInfo name="Tabellenformat 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BD8377F3-EE28-46EF-BD6D-7F888A712229}" name="Calc_Lessee_Fleet_Indirect1" displayName="Calc_Lessee_Fleet_Indirect1" ref="C691:J694" totalsRowShown="0" headerRowDxfId="646" dataDxfId="645" headerRowCellStyle="Comma" dataCellStyle="Comma">
  <tableColumns count="8">
    <tableColumn id="1" xr3:uid="{2EE4E868-6505-45AC-B1E8-919AD9ACD07A}" name="Fuel (simplified)" dataDxfId="644" dataCellStyle="Comma"/>
    <tableColumn id="2" xr3:uid="{0A302CA8-70AF-464C-B043-81D3DAF25CFE}" name="Entry in FU (liter)" dataDxfId="643" dataCellStyle="Comma"/>
    <tableColumn id="3" xr3:uid="{D08ED24B-3762-4403-9292-9EFCC25BCD04}" name="EF(kg CO2eq) / FU)" dataDxfId="642" dataCellStyle="Comma">
      <calculatedColumnFormula>_xlfn.XLOOKUP($I692,BG_Data[Product],BG_Data[GHG emissions (IPCC 2021) '[kg CO2 eq']],0)</calculatedColumnFormula>
    </tableColumn>
    <tableColumn id="4" xr3:uid="{787178A3-E16C-4C38-BF33-AE07CB036A24}" name="Result kg CO2eq" dataDxfId="641" dataCellStyle="Comma"/>
    <tableColumn id="5" xr3:uid="{74942ADE-CB32-4ABA-BF12-DEAFEED81F91}" name="Result kg CO2 biogenic" dataDxfId="640" dataCellStyle="Comma"/>
    <tableColumn id="6" xr3:uid="{41DD2CE8-3223-43D1-83E0-8FC976E98A8E}" name="Result UBP" dataDxfId="639" dataCellStyle="Comma"/>
    <tableColumn id="7" xr3:uid="{6EBE2E88-787B-46C8-8ABC-6CC603F1E14F}" name="Background dataset" dataDxfId="638" dataCellStyle="Comma"/>
    <tableColumn id="8" xr3:uid="{6C3B06DB-226E-4DA3-BDDB-83D1D34F2091}" name="Dataset source" dataDxfId="637" dataCellStyle="Comma"/>
  </tableColumns>
  <tableStyleInfo name="Tabellenformat 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5EB61878-7999-4B81-911B-E2B8745D9617}" name="Calc_Lessee_Fleet_Indirect2" displayName="Calc_Lessee_Fleet_Indirect2" ref="C696:J710" totalsRowShown="0" headerRowDxfId="636" dataDxfId="635" headerRowCellStyle="Comma" dataCellStyle="Comma">
  <tableColumns count="8">
    <tableColumn id="1" xr3:uid="{7CB4E9D7-2D50-49E8-BB98-00B110443FA2}" name="Vehicle type" dataDxfId="634" dataCellStyle="Comma"/>
    <tableColumn id="2" xr3:uid="{657FA524-17BA-48D2-B498-839CC38E848D}" name="Entry in FU (liter)" dataDxfId="633" dataCellStyle="Comma"/>
    <tableColumn id="3" xr3:uid="{D5E48649-398F-4F20-86C9-5F944A1ADD6A}" name="EF(kg CO2eq) / FU)" dataDxfId="632" dataCellStyle="Comma">
      <calculatedColumnFormula>_xlfn.XLOOKUP($I697,BG_Data[Product],BG_Data[GHG emissions (IPCC 2021) '[kg CO2 eq']],0)</calculatedColumnFormula>
    </tableColumn>
    <tableColumn id="4" xr3:uid="{DE4119B3-7065-47A3-9CC0-2EB82F0F668C}" name="Result kg CO2eq" dataDxfId="631" dataCellStyle="Comma"/>
    <tableColumn id="5" xr3:uid="{89376DA8-FBAC-4430-B67E-DDDDD3B3DCCC}" name="Result kg CO2 biogenic" dataDxfId="630" dataCellStyle="Comma"/>
    <tableColumn id="6" xr3:uid="{3988C70C-D6BC-48CA-9EB3-62C7B09F477A}" name="Result UBP" dataDxfId="629" dataCellStyle="Comma"/>
    <tableColumn id="7" xr3:uid="{0684BBB4-7411-4714-980B-1A3B3239B0B4}" name="Background dataset" dataDxfId="628" dataCellStyle="Comma"/>
    <tableColumn id="8" xr3:uid="{E26FD7FE-8499-492C-9B66-33D4655ABED8}" name="Dataset source" dataDxfId="627" dataCellStyle="Comma"/>
  </tableColumns>
  <tableStyleInfo name="Tabellenformat 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8FBB055-6F25-4FD4-A8F3-4257BC612FBA}" name="Calc_Lessee_ElFleet_Direct" displayName="Calc_Lessee_ElFleet_Direct" ref="C716:J730" totalsRowShown="0" headerRowDxfId="626" dataDxfId="625" headerRowCellStyle="Comma" dataCellStyle="Comma">
  <tableColumns count="8">
    <tableColumn id="1" xr3:uid="{2A06EA30-7797-423E-96AF-1CBCAEE6AB50}" name="Vehicle type" dataDxfId="624" dataCellStyle="Comma"/>
    <tableColumn id="2" xr3:uid="{945C5AB7-D861-4042-9845-AD825AACB08A}" name="Entry in FU (kWh)" dataDxfId="623" dataCellStyle="Comma"/>
    <tableColumn id="3" xr3:uid="{EC39E52A-A4F6-4D39-8789-5548E22851E5}" name="EF(kg CO2eq) / FU)" dataDxfId="622" dataCellStyle="Comma">
      <calculatedColumnFormula>_xlfn.XLOOKUP($I717,BG_Data[Product],BG_Data[GHG emissions (IPCC 2021) '[kg CO2 eq']],0)</calculatedColumnFormula>
    </tableColumn>
    <tableColumn id="4" xr3:uid="{43C29626-2278-4308-986C-3492D456962A}" name="Result kg CO2eq" dataDxfId="621" dataCellStyle="Comma"/>
    <tableColumn id="5" xr3:uid="{962FFCA4-2132-41C2-B2B2-CF6A11C85D6A}" name="Result kg CO2 biogenic" dataDxfId="620" dataCellStyle="Comma"/>
    <tableColumn id="6" xr3:uid="{29ACEA37-6733-4141-B991-0CADD68D46D1}" name="Result UBP" dataDxfId="619" dataCellStyle="Comma"/>
    <tableColumn id="7" xr3:uid="{9286EA38-C505-404F-A822-72D744377041}" name="Background dataset" dataDxfId="618" dataCellStyle="Comma"/>
    <tableColumn id="8" xr3:uid="{1AB9B6C2-FB58-4F43-9832-88B2BC0B97AA}" name="Dataset source" dataDxfId="617" dataCellStyle="Comma"/>
  </tableColumns>
  <tableStyleInfo name="Tabellenformat 1"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3B89BA6F-6873-4FAD-9DE7-3CD75577A5F3}" name="Calc_Lessee_ElFleet_Indirect" displayName="Calc_Lessee_ElFleet_Indirect" ref="C742:J756" totalsRowShown="0" headerRowDxfId="616" dataDxfId="615" headerRowCellStyle="Comma" dataCellStyle="Comma">
  <tableColumns count="8">
    <tableColumn id="1" xr3:uid="{FCD7C0BD-4E1C-4581-A0C0-CEE66AE456EF}" name="Vehicle type" dataDxfId="614" dataCellStyle="Comma"/>
    <tableColumn id="2" xr3:uid="{C6E735F5-C1DB-490F-9508-E2D1FB11CB7E}" name="Entry in FU (kWh)" dataDxfId="613" dataCellStyle="Comma"/>
    <tableColumn id="3" xr3:uid="{EC740B4E-A7BF-42AB-84E6-8E1BAE7A70A2}" name="EF(kg CO2eq) / FU)" dataDxfId="612" dataCellStyle="Comma">
      <calculatedColumnFormula>_xlfn.XLOOKUP($I743,BG_Data[Product],BG_Data[GHG emissions (IPCC 2021) '[kg CO2 eq']],0)</calculatedColumnFormula>
    </tableColumn>
    <tableColumn id="4" xr3:uid="{FA54E3DD-1B54-43BA-BF2C-454DCA31D0ED}" name="Result kg CO2eq" dataDxfId="611" dataCellStyle="Comma"/>
    <tableColumn id="5" xr3:uid="{A7DB91F0-FE49-4217-A886-E8BE69706D55}" name="Result kg CO2 biogenic" dataDxfId="610" dataCellStyle="Comma"/>
    <tableColumn id="6" xr3:uid="{898CE6D4-738D-402B-84D4-730F25B91A49}" name="Result UBP" dataDxfId="609" dataCellStyle="Comma"/>
    <tableColumn id="7" xr3:uid="{37A1EDBB-2D16-4C69-AA79-BFC0FA0BE187}" name="Background dataset" dataDxfId="608" dataCellStyle="Comma"/>
    <tableColumn id="8" xr3:uid="{579E68C6-6F31-434B-9F9C-2327444C8EFD}" name="Dataset source" dataDxfId="607" dataCellStyle="Comma"/>
  </tableColumns>
  <tableStyleInfo name="Tabellenformat 1"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608939CA-E889-457C-99A5-DAC5720FA2D7}" name="Calc_Lessor_StationaryComb_Direct" displayName="Calc_Lessor_StationaryComb_Direct" ref="C769:J780" totalsRowShown="0" headerRowDxfId="606" dataDxfId="605" headerRowCellStyle="Comma" dataCellStyle="Comma">
  <tableColumns count="8">
    <tableColumn id="1" xr3:uid="{82D020DB-947D-40CA-A9EE-6B1C767DF823}" name="Fuel" dataDxfId="604" dataCellStyle="Comma"/>
    <tableColumn id="2" xr3:uid="{8C1E25AF-CFF8-4BBC-AA8F-49CAE0C56638}" name="Entry in FU (MJ)" dataDxfId="603" dataCellStyle="Comma"/>
    <tableColumn id="3" xr3:uid="{96D2D55A-CF32-43EA-AF22-FFD7779E9CB7}" name="EF(kg CO2eq) / FU)" dataDxfId="602" dataCellStyle="Comma">
      <calculatedColumnFormula>_xlfn.XLOOKUP($I770,BG_Data[Product],BG_Data[GHG emissions (IPCC 2021) '[kg CO2 eq']],0)</calculatedColumnFormula>
    </tableColumn>
    <tableColumn id="4" xr3:uid="{81AD8D18-A251-4AC2-8EC7-F790360BEADA}" name="Result kg CO2eq" dataDxfId="601" dataCellStyle="Comma"/>
    <tableColumn id="5" xr3:uid="{6DDEB200-2AB2-4916-9936-22FCDAFC5830}" name="Result kg CO2 biogenic" dataDxfId="600" dataCellStyle="Comma"/>
    <tableColumn id="6" xr3:uid="{5699EA02-6A97-4488-996F-538476D3DF85}" name="Result UBP" dataDxfId="599" dataCellStyle="Comma"/>
    <tableColumn id="7" xr3:uid="{AC745E7E-E5DC-4059-98C7-E937459171CB}" name="Background dataset" dataDxfId="598" dataCellStyle="Comma"/>
    <tableColumn id="8" xr3:uid="{1905826D-8933-40FE-890B-265823CE6C8B}" name="Dataset source" dataDxfId="597" dataCellStyle="Comma"/>
  </tableColumns>
  <tableStyleInfo name="Tabellenformat 1"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17A2E5D9-0DCD-40A7-ADB2-A0E3699F6800}" name="Calc_Lessor_StationaryComb_Indirect" displayName="Calc_Lessor_StationaryComb_Indirect" ref="C786:J797" totalsRowShown="0" headerRowDxfId="596" dataDxfId="595" headerRowCellStyle="Comma" dataCellStyle="Comma">
  <tableColumns count="8">
    <tableColumn id="1" xr3:uid="{1AC803CF-E4FF-42B1-AE52-0709086AE347}" name="Fuel" dataDxfId="594" dataCellStyle="Comma"/>
    <tableColumn id="2" xr3:uid="{AF4431C8-1F8A-4D6D-BC60-1BF98BDE6C7D}" name="Entry in FU (MJ)" dataDxfId="593" dataCellStyle="Comma"/>
    <tableColumn id="3" xr3:uid="{63D7F1E3-2108-4772-8F81-AD7E1CCF3CB1}" name="EF(kg CO2eq) / FU)" dataDxfId="592" dataCellStyle="Comma">
      <calculatedColumnFormula>_xlfn.XLOOKUP($I787,BG_Data[Product],BG_Data[GHG emissions (IPCC 2021) '[kg CO2 eq']],0)</calculatedColumnFormula>
    </tableColumn>
    <tableColumn id="4" xr3:uid="{CA2284AD-69FC-4F37-B3E1-12FD55FD29FB}" name="Result kg CO2eq" dataDxfId="591" dataCellStyle="Comma"/>
    <tableColumn id="5" xr3:uid="{669B8DE1-5C7A-493B-B6FE-5093D311CF40}" name="Result kg CO2 biogenic" dataDxfId="590" dataCellStyle="Comma"/>
    <tableColumn id="6" xr3:uid="{3A13DCDF-412B-467F-9DC6-4BF9A75CEE1D}" name="Result UBP" dataDxfId="589" dataCellStyle="Comma"/>
    <tableColumn id="7" xr3:uid="{B3F24B4A-722D-4CF6-977B-C9C9F4F61A44}" name="Background dataset" dataDxfId="588" dataCellStyle="Comma"/>
    <tableColumn id="8" xr3:uid="{D2B294F8-F05F-4B1E-ACE9-1537F926F93C}" name="Dataset source" dataDxfId="587" dataCellStyle="Comma"/>
  </tableColumns>
  <tableStyleInfo name="Tabellenformat 1"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6EE7D79-8463-4544-9D23-1C345817FA25}" name="Calc_Lessor_District_Direct" displayName="Calc_Lessor_District_Direct" ref="C803:J814" totalsRowShown="0" headerRowDxfId="586" dataDxfId="585" headerRowCellStyle="Comma" dataCellStyle="Comma">
  <tableColumns count="8">
    <tableColumn id="1" xr3:uid="{FB797897-8BE6-43E4-A465-6B0CD7432167}" name="Heat source" dataDxfId="584" dataCellStyle="Comma"/>
    <tableColumn id="2" xr3:uid="{DDF00981-85ED-4853-9A6F-85C559B3AC9C}" name="Entry in FU (MJ)" dataDxfId="583" dataCellStyle="Comma"/>
    <tableColumn id="3" xr3:uid="{CC5D65E0-6ED9-4F41-80D8-1964D2234E7A}" name="EF(kg CO2eq) / FU)" dataDxfId="582" dataCellStyle="Comma">
      <calculatedColumnFormula>_xlfn.XLOOKUP($I804,BG_Data[Product],BG_Data[GHG emissions (IPCC 2021) '[kg CO2 eq']],0)</calculatedColumnFormula>
    </tableColumn>
    <tableColumn id="4" xr3:uid="{AD700E93-74CB-4F81-B477-33DE34B0692E}" name="Result kg CO2eq" dataDxfId="581" dataCellStyle="Comma"/>
    <tableColumn id="5" xr3:uid="{DFCA391B-44F0-46F6-9521-81D63F824603}" name="Result kg CO2 biogenic" dataDxfId="580" dataCellStyle="Comma"/>
    <tableColumn id="6" xr3:uid="{FCF1EE11-A73B-44F6-857C-F31B097C6F80}" name="Result UBP" dataDxfId="579" dataCellStyle="Comma"/>
    <tableColumn id="7" xr3:uid="{7C949371-B810-4216-96F1-FA1CE444BCE0}" name="Background dataset" dataDxfId="578" dataCellStyle="Comma"/>
    <tableColumn id="8" xr3:uid="{BC600D96-7E9F-43CA-99A3-3065BC7208BE}" name="Dataset source" dataDxfId="577" dataCellStyle="Comma"/>
  </tableColumns>
  <tableStyleInfo name="Tabellenformat 1"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827C5B82-3BCA-4ECD-96DE-CEB4AA46D8D7}" name="Calc_Lessor_District_Indirect" displayName="Calc_Lessor_District_Indirect" ref="C820:J831" totalsRowShown="0" headerRowDxfId="576" dataDxfId="575" headerRowCellStyle="Comma" dataCellStyle="Comma">
  <tableColumns count="8">
    <tableColumn id="1" xr3:uid="{26974F15-4585-48C7-8BD9-A5519E7C7404}" name="Heat source" dataDxfId="574" dataCellStyle="Comma"/>
    <tableColumn id="2" xr3:uid="{32A44759-A068-4038-9404-A36E7AC82806}" name="Entry in FU (MJ)" dataDxfId="573" dataCellStyle="Comma"/>
    <tableColumn id="3" xr3:uid="{CCD61CAA-DEDA-42CB-BA4B-736B65C1006E}" name="EF(kg CO2eq) / FU)" dataDxfId="572" dataCellStyle="Comma">
      <calculatedColumnFormula>_xlfn.XLOOKUP($I821,BG_Data[Product],BG_Data[GHG emissions (IPCC 2021) '[kg CO2 eq']],0)</calculatedColumnFormula>
    </tableColumn>
    <tableColumn id="4" xr3:uid="{1C5181E3-C0D1-4289-98CB-4965C7E7F231}" name="Result kg CO2eq" dataDxfId="571" dataCellStyle="Comma"/>
    <tableColumn id="5" xr3:uid="{97C786A3-CD35-42AC-B2AF-AD64C27A21EC}" name="Result kg CO2 biogenic" dataDxfId="570" dataCellStyle="Comma"/>
    <tableColumn id="6" xr3:uid="{17991068-FA42-4442-8C6E-95CEA51DE049}" name="Result UBP" dataDxfId="569" dataCellStyle="Comma"/>
    <tableColumn id="7" xr3:uid="{CE5C4E3A-213D-4BDE-BBAE-55AFF9767AC4}" name="Background dataset" dataDxfId="568" dataCellStyle="Comma"/>
    <tableColumn id="8" xr3:uid="{003F41B1-7D62-4E95-AD20-A26F4C903D61}" name="Dataset source" dataDxfId="567" dataCellStyle="Comma"/>
  </tableColumns>
  <tableStyleInfo name="Tabellenformat 1"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2E107DDD-F59D-4987-9DCA-E55F458C347E}" name="Calc_Lessor_Electricity_Direct1" displayName="Calc_Lessor_Electricity_Direct1" ref="C837:J838" totalsRowShown="0" headerRowDxfId="566" dataDxfId="565" headerRowCellStyle="Comma" dataCellStyle="Comma">
  <tableColumns count="8">
    <tableColumn id="1" xr3:uid="{C82347DA-2F58-43D4-B831-9C1854CF2B1E}" name="Electricity (no GO)" dataDxfId="564" dataCellStyle="Comma">
      <calculatedColumnFormula>'2 Data Inputs'!C505</calculatedColumnFormula>
    </tableColumn>
    <tableColumn id="2" xr3:uid="{2624ADAD-B233-447C-A3ED-7E56AFCB3227}" name="Entry in FU (kWh)" dataDxfId="563" dataCellStyle="Comma"/>
    <tableColumn id="3" xr3:uid="{2F075EC8-4181-42DE-B00A-7972B8C7B7C3}" name="EF(kg CO2eq) / FU)" dataDxfId="562" dataCellStyle="Comma">
      <calculatedColumnFormula>_xlfn.XLOOKUP($I838,BG_Data[Product],BG_Data[GHG emissions (IPCC 2021) '[kg CO2 eq']],0)</calculatedColumnFormula>
    </tableColumn>
    <tableColumn id="4" xr3:uid="{119CC2E1-9BD3-4853-8EDB-FFFCBDD8B0FC}" name="Result kg CO2eq" dataDxfId="561" dataCellStyle="Comma">
      <calculatedColumnFormula>$D838*$E838</calculatedColumnFormula>
    </tableColumn>
    <tableColumn id="5" xr3:uid="{F2BB9E1B-4769-4ACE-B7FD-AD6116D879A1}" name="Result kg CO2 biogenic" dataDxfId="560" dataCellStyle="Comma">
      <calculatedColumnFormula>$D838*_xlfn.XLOOKUP($I838,BG_Data[Product],BG_Data[Biogenic CO2 emissions '[kg CO2']],0)</calculatedColumnFormula>
    </tableColumn>
    <tableColumn id="6" xr3:uid="{5ECF37AD-C365-4EE1-A872-6D54794070D7}" name="Result UBP" dataDxfId="559" dataCellStyle="Comma">
      <calculatedColumnFormula>$D838*_xlfn.XLOOKUP($I838,BG_Data[Product],BG_Data[Total env. impact (Ecological Scarcity 2021) '[UBP']],0)</calculatedColumnFormula>
    </tableColumn>
    <tableColumn id="7" xr3:uid="{DD41F939-350F-488A-A24B-CBCCAB71D559}" name="Background dataset" dataDxfId="558" dataCellStyle="Comma">
      <calculatedColumnFormula>IF('2 Data Inputs'!J505="Niederspannung","Electricity, low voltage, at grid {CH} kWh Direct","Electricity, medium voltage, at grid {CH} kWh Direct")</calculatedColumnFormula>
    </tableColumn>
    <tableColumn id="8" xr3:uid="{D155E6B1-C9C5-4488-A8F9-DE446F8B0378}" name="Dataset source" dataDxfId="557" dataCellStyle="Comma"/>
  </tableColumns>
  <tableStyleInfo name="Tabellenformat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C36F945-DB4F-480B-997E-B54E3E05A308}" name="D_CapitalGoods" displayName="D_CapitalGoods" ref="C621:G642" totalsRowShown="0" headerRowDxfId="1259" dataDxfId="1258">
  <tableColumns count="5">
    <tableColumn id="1" xr3:uid="{8ECFBDBE-B891-4352-A29A-9E05DC922FCC}" name="Material Cat. 1" dataDxfId="1257"/>
    <tableColumn id="2" xr3:uid="{DBDD8348-C6F0-4677-BAB9-823D486B865D}" name="Material Cat. 2" dataDxfId="1256"/>
    <tableColumn id="3" xr3:uid="{0503DF77-B7EA-4F69-97BF-1A5996736545}" name="_" dataDxfId="1255"/>
    <tableColumn id="4" xr3:uid="{B2045C4B-4211-44EA-9F29-24ACEEDD1E38}" name="Data" dataDxfId="1254"/>
    <tableColumn id="5" xr3:uid="{0E150AD7-E1C9-4A37-B18F-0D55F2655AA5}" name="Unit" dataDxfId="1253"/>
  </tableColumns>
  <tableStyleInfo name="Tabellenformat 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59EE2DA7-B364-48C5-AE22-269A6712EFB0}" name="Calc_Lessor_Electricity_Direct2" displayName="Calc_Lessor_Electricity_Direct2" ref="C840:J851" totalsRowShown="0" headerRowDxfId="556" dataDxfId="555" headerRowCellStyle="Comma" dataCellStyle="Comma">
  <tableColumns count="8">
    <tableColumn id="1" xr3:uid="{60400B8A-FB8F-4317-895A-547E6C05F0EA}" name="Source" dataDxfId="554" dataCellStyle="Comma"/>
    <tableColumn id="2" xr3:uid="{D150F4F8-9F5D-45C4-AF7C-76057270F727}" name="Entry in FU (kWh)" dataDxfId="553" dataCellStyle="Comma"/>
    <tableColumn id="3" xr3:uid="{086433C1-1384-4038-8FEF-A7A1A9F6A3B4}" name="EF(kg CO2eq) / FU)" dataDxfId="552" dataCellStyle="Comma">
      <calculatedColumnFormula>_xlfn.XLOOKUP($I841,BG_Data[Product],BG_Data[GHG emissions (IPCC 2021) '[kg CO2 eq']],0)</calculatedColumnFormula>
    </tableColumn>
    <tableColumn id="4" xr3:uid="{9AEB4C4B-AC82-4E8C-986F-080A732FDE5A}" name="Result kg CO2eq" dataDxfId="551" dataCellStyle="Comma"/>
    <tableColumn id="5" xr3:uid="{87142F25-1355-4E8A-921E-5004DA59C6BD}" name="Result kg CO2 biogenic" dataDxfId="550" dataCellStyle="Comma"/>
    <tableColumn id="6" xr3:uid="{F3250775-A841-4E93-AD51-92430B69171E}" name="Result UBP" dataDxfId="549" dataCellStyle="Comma"/>
    <tableColumn id="7" xr3:uid="{F3D7396C-AB77-48D3-A3CF-5B72446A2453}" name="Background dataset" dataDxfId="548" dataCellStyle="Comma"/>
    <tableColumn id="8" xr3:uid="{D5E60981-C507-4407-9CA3-A8E76662A1DF}" name="Dataset source" dataDxfId="547" dataCellStyle="Comma"/>
  </tableColumns>
  <tableStyleInfo name="Tabellenformat 1"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95DC190-97DB-4710-AD77-1BFEDB2EDB88}" name="Calc_Lessor_Electricity_Indirect1" displayName="Calc_Lessor_Electricity_Indirect1" ref="C864:J865" totalsRowShown="0" headerRowDxfId="546" dataDxfId="545" headerRowCellStyle="Comma" dataCellStyle="Comma">
  <tableColumns count="8">
    <tableColumn id="1" xr3:uid="{5DDCC861-0CDB-4A56-B56E-E031645239AE}" name="Electricity (no GO)" dataDxfId="544" dataCellStyle="Comma">
      <calculatedColumnFormula>'2 Data Inputs'!C505</calculatedColumnFormula>
    </tableColumn>
    <tableColumn id="2" xr3:uid="{8DC2CC3D-FCCB-40A0-8E7F-E8CE9C69530D}" name="Entry in FU (kWh)" dataDxfId="543" dataCellStyle="Comma"/>
    <tableColumn id="3" xr3:uid="{A03D395A-E9E7-4785-B0F4-E8C47CFAF8A9}" name="EF(kg CO2eq) / FU)" dataDxfId="542" dataCellStyle="Comma">
      <calculatedColumnFormula>_xlfn.XLOOKUP($I865,BG_Data[Product],BG_Data[GHG emissions (IPCC 2021) '[kg CO2 eq']],0)</calculatedColumnFormula>
    </tableColumn>
    <tableColumn id="4" xr3:uid="{B19EEF7F-E0E0-4047-A932-249662971D85}" name="Result kg CO2eq" dataDxfId="541" dataCellStyle="Comma">
      <calculatedColumnFormula>$D865*$E865</calculatedColumnFormula>
    </tableColumn>
    <tableColumn id="5" xr3:uid="{B0FCD6D7-D5BE-428F-82F7-383A006B3621}" name="Result kg CO2 biogenic" dataDxfId="540" dataCellStyle="Comma">
      <calculatedColumnFormula>$D865*_xlfn.XLOOKUP($I865,BG_Data[Product],BG_Data[Biogenic CO2 emissions '[kg CO2']],0)</calculatedColumnFormula>
    </tableColumn>
    <tableColumn id="6" xr3:uid="{8C037F67-94E3-4F17-8ED2-BF072A292652}" name="Result UBP" dataDxfId="539" dataCellStyle="Comma">
      <calculatedColumnFormula>$D865*_xlfn.XLOOKUP($I865,BG_Data[Product],BG_Data[Total env. impact (Ecological Scarcity 2021) '[UBP']],0)</calculatedColumnFormula>
    </tableColumn>
    <tableColumn id="7" xr3:uid="{3AAF1EA8-269D-4C36-9C35-C042D0ABFF58}" name="Background dataset" dataDxfId="538" dataCellStyle="Comma">
      <calculatedColumnFormula>IF('2 Data Inputs'!J505="Niederspannung","Electricity, low voltage, at grid {CH} kWh Indirect","Electricity, medium voltage, at grid {CH} kWh Indirect")</calculatedColumnFormula>
    </tableColumn>
    <tableColumn id="8" xr3:uid="{3A1C146B-48ED-4B8D-B717-D2F1B9AAD1BB}" name="Dataset source" dataDxfId="537" dataCellStyle="Comma"/>
  </tableColumns>
  <tableStyleInfo name="Tabellenformat 1"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A4C4292-53B5-4DFD-B9D3-08AE7C79BAB6}" name="Calc_Lessor_Electricity_Indirect2" displayName="Calc_Lessor_Electricity_Indirect2" ref="C867:J878" totalsRowShown="0" headerRowDxfId="536" dataDxfId="535" headerRowCellStyle="Comma" dataCellStyle="Comma">
  <tableColumns count="8">
    <tableColumn id="1" xr3:uid="{F26CA346-9E18-45E3-ACDE-FCB65C89F342}" name="Source" dataDxfId="534" dataCellStyle="Comma"/>
    <tableColumn id="2" xr3:uid="{10788A11-88E1-43E2-8C2D-878D0A76966F}" name="Entry in FU (kWh)" dataDxfId="533" dataCellStyle="Comma"/>
    <tableColumn id="3" xr3:uid="{B86A3A77-679D-4D27-8504-6C352F18C8B1}" name="EF(kg CO2eq) / FU)" dataDxfId="532" dataCellStyle="Comma">
      <calculatedColumnFormula>_xlfn.XLOOKUP($I868,BG_Data[Product],BG_Data[GHG emissions (IPCC 2021) '[kg CO2 eq']],0)</calculatedColumnFormula>
    </tableColumn>
    <tableColumn id="4" xr3:uid="{DA64522A-A484-451C-B3BB-DA814D4DE47A}" name="Result kg CO2eq" dataDxfId="531" dataCellStyle="Comma"/>
    <tableColumn id="5" xr3:uid="{100B4A6F-4C9D-4206-93B5-E08501C95938}" name="Result kg CO2 biogenic" dataDxfId="530" dataCellStyle="Comma"/>
    <tableColumn id="6" xr3:uid="{45427B04-4118-4A91-82CA-951D7662F9A0}" name="Result UBP" dataDxfId="529" dataCellStyle="Comma"/>
    <tableColumn id="7" xr3:uid="{66DED4D1-841E-4F7F-BD7E-321A683B5E13}" name="Background dataset" dataDxfId="528" dataCellStyle="Comma"/>
    <tableColumn id="8" xr3:uid="{72BD60CB-33E9-4074-91BD-99648DA226BA}" name="Dataset source" dataDxfId="527" dataCellStyle="Comma"/>
  </tableColumns>
  <tableStyleInfo name="Tabellenformat 1"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97406002-E1CC-4B69-8C38-A3F417DFA7A9}" name="Calc_Lessor_Fleet_Direct1" displayName="Calc_Lessor_Fleet_Direct1" ref="C891:J895" totalsRowShown="0" headerRowDxfId="526" dataDxfId="525" headerRowCellStyle="Comma" dataCellStyle="Comma">
  <tableColumns count="8">
    <tableColumn id="1" xr3:uid="{6CCC7CFC-3D04-464F-A59B-1BC3B28225FA}" name="Fuel (simplified)" dataDxfId="524" dataCellStyle="Comma"/>
    <tableColumn id="2" xr3:uid="{0A154819-B49C-4B3B-A060-026DE471845B}" name="Entry in FU (liter)" dataDxfId="523" dataCellStyle="Comma"/>
    <tableColumn id="3" xr3:uid="{3B6F9ACE-A32B-489D-B1AB-731FC97DB7A0}" name="EF(kg CO2eq) / FU)" dataDxfId="522" dataCellStyle="Comma">
      <calculatedColumnFormula>_xlfn.XLOOKUP($I892,BG_Data[Product],BG_Data[GHG emissions (IPCC 2021) '[kg CO2 eq']],0)</calculatedColumnFormula>
    </tableColumn>
    <tableColumn id="4" xr3:uid="{33ACC302-D2F1-40F6-9B8E-44B1342EAAA4}" name="Result kg CO2eq" dataDxfId="521" dataCellStyle="Comma"/>
    <tableColumn id="5" xr3:uid="{6CC3FAB8-4856-46F3-A1EB-59CB5325E9EF}" name="Result kg CO2 biogenic" dataDxfId="520" dataCellStyle="Comma"/>
    <tableColumn id="6" xr3:uid="{FC9646B0-4058-424D-9D12-124395DDFA14}" name="Result UBP" dataDxfId="519" dataCellStyle="Comma"/>
    <tableColumn id="7" xr3:uid="{454765BE-4D7E-4F44-9755-58A9D3043359}" name="Background dataset" dataDxfId="518" dataCellStyle="Comma"/>
    <tableColumn id="8" xr3:uid="{6F8A13A9-4658-4738-B905-3A8385E113EC}" name="Dataset source" dataDxfId="517" dataCellStyle="Comma"/>
  </tableColumns>
  <tableStyleInfo name="Tabellenformat 1"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22E490D2-F290-4A04-9841-6F703C7B2EFC}" name="Calc_Lessor_Fleet_Direct2" displayName="Calc_Lessor_Fleet_Direct2" ref="C896:J910" totalsRowShown="0" headerRowDxfId="516" dataDxfId="515" headerRowCellStyle="Comma" dataCellStyle="Comma">
  <tableColumns count="8">
    <tableColumn id="1" xr3:uid="{72D755FE-58AD-49DA-AF96-95F7AD1815B0}" name="Vehicle type" dataDxfId="514" dataCellStyle="Comma"/>
    <tableColumn id="2" xr3:uid="{5B7B01FD-8E51-472C-8A30-12D38F52A731}" name="Entry in FU (liter)" dataDxfId="513" dataCellStyle="Comma"/>
    <tableColumn id="3" xr3:uid="{DD9C6FBC-F7B0-4037-8F41-28B47BAA6348}" name="EF(kg CO2eq) / FU)" dataDxfId="512" dataCellStyle="Comma">
      <calculatedColumnFormula>_xlfn.XLOOKUP($I897,BG_Data[Product],BG_Data[GHG emissions (IPCC 2021) '[kg CO2 eq']],0)</calculatedColumnFormula>
    </tableColumn>
    <tableColumn id="4" xr3:uid="{7665E0EA-5D29-4FA5-97EA-AB84B8903263}" name="Result kg CO2eq" dataDxfId="511" dataCellStyle="Comma"/>
    <tableColumn id="5" xr3:uid="{E0616CBA-CF4A-49D0-9C53-6FF69353F920}" name="Result kg CO2 biogenic" dataDxfId="510" dataCellStyle="Comma"/>
    <tableColumn id="6" xr3:uid="{AC0582D2-9FA1-44AA-B4F7-61574351BE21}" name="Result UBP" dataDxfId="509" dataCellStyle="Comma"/>
    <tableColumn id="7" xr3:uid="{C5C66DA2-2811-43EF-B912-3BE843B936F1}" name="Background dataset" dataDxfId="508" dataCellStyle="Comma"/>
    <tableColumn id="8" xr3:uid="{A417D767-F687-4DB9-A770-0F8DD88E728B}" name="Dataset source" dataDxfId="507" dataCellStyle="Comma"/>
  </tableColumns>
  <tableStyleInfo name="Tabellenformat 1"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B363464E-3AD1-4FCA-B183-ED37A9735A65}" name="Calc_Lessor_Fleet_Indirect1" displayName="Calc_Lessor_Fleet_Indirect1" ref="C917:J920" totalsRowShown="0" headerRowDxfId="506" dataDxfId="505" headerRowCellStyle="Comma" dataCellStyle="Comma">
  <tableColumns count="8">
    <tableColumn id="1" xr3:uid="{9DEFE5DD-8949-4DF6-A55D-902D7F3D0B63}" name="Fuel (simplified)" dataDxfId="504" dataCellStyle="Comma"/>
    <tableColumn id="2" xr3:uid="{43A65423-56BC-4C19-99D6-6BDA05A58CE3}" name="Entry in FU (liter)" dataDxfId="503" dataCellStyle="Comma"/>
    <tableColumn id="3" xr3:uid="{6A80F630-4538-4631-B64F-24C23B1EC399}" name="EF(kg CO2eq) / FU)" dataDxfId="502" dataCellStyle="Comma">
      <calculatedColumnFormula>_xlfn.XLOOKUP($I918,BG_Data[Product],BG_Data[GHG emissions (IPCC 2021) '[kg CO2 eq']],0)</calculatedColumnFormula>
    </tableColumn>
    <tableColumn id="4" xr3:uid="{DBD3A9EA-6F59-4CF6-940A-6F67BA5D8A49}" name="Result kg CO2eq" dataDxfId="501" dataCellStyle="Comma"/>
    <tableColumn id="5" xr3:uid="{C149A524-826C-45BB-A410-A3B6ED610B9C}" name="Result kg CO2 biogenic" dataDxfId="500" dataCellStyle="Comma"/>
    <tableColumn id="6" xr3:uid="{3AAA14AF-29AC-43CD-83B4-5965774EDFD5}" name="Result UBP" dataDxfId="499" dataCellStyle="Comma"/>
    <tableColumn id="7" xr3:uid="{6E99D5FB-5B1C-4548-A4F4-4AD00F1B5F17}" name="Background dataset" dataDxfId="498" dataCellStyle="Comma"/>
    <tableColumn id="8" xr3:uid="{CDD2CA91-CD45-4E48-B656-969E5D32E879}" name="Dataset source" dataDxfId="497" dataCellStyle="Comma"/>
  </tableColumns>
  <tableStyleInfo name="Tabellenformat 1"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50F34961-9871-41A1-B4A8-5C441AF6F1BA}" name="Calc_Lessor_Fleet_Indirect2" displayName="Calc_Lessor_Fleet_Indirect2" ref="C922:J936" totalsRowShown="0" headerRowDxfId="496" dataDxfId="495" headerRowCellStyle="Comma" dataCellStyle="Comma">
  <tableColumns count="8">
    <tableColumn id="1" xr3:uid="{830A6A11-1E65-4032-82B3-4BD69C7CD49E}" name="Vehicle type" dataDxfId="494" dataCellStyle="Comma"/>
    <tableColumn id="2" xr3:uid="{C2E10BD8-A041-4685-9BEC-6F531425B817}" name="Entry in FU (liter)" dataDxfId="493" dataCellStyle="Comma"/>
    <tableColumn id="3" xr3:uid="{12B676E7-68A3-4227-BB75-E65E0F50F45A}" name="EF(kg CO2eq) / FU)" dataDxfId="492" dataCellStyle="Comma">
      <calculatedColumnFormula>_xlfn.XLOOKUP($I923,BG_Data[Product],BG_Data[GHG emissions (IPCC 2021) '[kg CO2 eq']],0)</calculatedColumnFormula>
    </tableColumn>
    <tableColumn id="4" xr3:uid="{3C688210-022B-49EC-B54F-7EF3046C9570}" name="Result kg CO2eq" dataDxfId="491" dataCellStyle="Comma"/>
    <tableColumn id="5" xr3:uid="{FBAC580B-2459-45A4-9806-A5B337AD853C}" name="Result kg CO2 biogenic" dataDxfId="490" dataCellStyle="Comma"/>
    <tableColumn id="6" xr3:uid="{859E1A63-DC3A-45B4-B7E6-A07932ED5B28}" name="Result UBP" dataDxfId="489" dataCellStyle="Comma"/>
    <tableColumn id="7" xr3:uid="{C01A9209-97E9-41F3-A6B9-DF5971FBDE27}" name="Background dataset" dataDxfId="488" dataCellStyle="Comma"/>
    <tableColumn id="8" xr3:uid="{79ABEE77-70E2-4CA3-BE14-749406CAF2C1}" name="Dataset source" dataDxfId="487" dataCellStyle="Comma"/>
  </tableColumns>
  <tableStyleInfo name="Tabellenformat 1"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AC1835A8-FA63-4D94-A694-3F8AFFA3B552}" name="Calc_Lessor_ElFleet_Direct" displayName="Calc_Lessor_ElFleet_Direct" ref="C942:J956" totalsRowShown="0" headerRowDxfId="486" dataDxfId="485" headerRowCellStyle="Comma" dataCellStyle="Comma">
  <tableColumns count="8">
    <tableColumn id="1" xr3:uid="{FD4CA9EC-22D3-47B4-983F-73589239816D}" name="Vehicle type" dataDxfId="484" dataCellStyle="Comma"/>
    <tableColumn id="2" xr3:uid="{8ABFDE22-D6E2-4BD7-8BE4-39D419B107F7}" name="Entry in FU (kWh)" dataDxfId="483" dataCellStyle="Comma"/>
    <tableColumn id="3" xr3:uid="{0BFF43BD-5C21-4D9D-BAFE-39EB62882A2F}" name="EF(kg CO2eq) / FU)" dataDxfId="482" dataCellStyle="Comma">
      <calculatedColumnFormula>_xlfn.XLOOKUP($I943,BG_Data[Product],BG_Data[GHG emissions (IPCC 2021) '[kg CO2 eq']],0)</calculatedColumnFormula>
    </tableColumn>
    <tableColumn id="4" xr3:uid="{582BDA40-4BBA-498E-B9AB-0F14FB8D7168}" name="Result kg CO2eq" dataDxfId="481" dataCellStyle="Comma"/>
    <tableColumn id="5" xr3:uid="{92C018E8-5F3E-4A50-AA25-1C3D5C6ADF1B}" name="Result kg CO2 biogenic" dataDxfId="480" dataCellStyle="Comma"/>
    <tableColumn id="6" xr3:uid="{AB3A4CFF-C587-4122-A9BE-612F5C0CC6D4}" name="Result UBP" dataDxfId="479" dataCellStyle="Comma"/>
    <tableColumn id="7" xr3:uid="{4C1E8795-7C4B-45BD-8424-0B724A2A5EF7}" name="Background dataset" dataDxfId="478" dataCellStyle="Comma"/>
    <tableColumn id="8" xr3:uid="{015F6C56-94F7-4157-B652-A4F03842E2A5}" name="Dataset source" dataDxfId="477" dataCellStyle="Comma"/>
  </tableColumns>
  <tableStyleInfo name="Tabellenformat 1"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A5FEDB8-3117-4033-A210-E07F78DDAB4D}" name="Calc_Lessor_ElFleet_Indirect" displayName="Calc_Lessor_ElFleet_Indirect" ref="C967:J981" totalsRowShown="0" headerRowDxfId="476" dataDxfId="475" headerRowCellStyle="Comma" dataCellStyle="Comma">
  <tableColumns count="8">
    <tableColumn id="1" xr3:uid="{97878365-F60B-4C50-B432-2EE8E8D78D84}" name="Vehicle type" dataDxfId="474" dataCellStyle="Comma"/>
    <tableColumn id="2" xr3:uid="{F8C0390B-A17D-4725-A50C-870D6EFC5528}" name="Entry in FU (kWh)" dataDxfId="473" dataCellStyle="Comma"/>
    <tableColumn id="3" xr3:uid="{7328B8D5-A3D8-4F32-B386-7044B7F3449F}" name="EF(kg CO2eq) / FU)" dataDxfId="472" dataCellStyle="Comma">
      <calculatedColumnFormula>_xlfn.XLOOKUP($I968,BG_Data[Product],BG_Data[GHG emissions (IPCC 2021) '[kg CO2 eq']],0)</calculatedColumnFormula>
    </tableColumn>
    <tableColumn id="4" xr3:uid="{F0B1F105-4BD3-42B9-B808-8A649B5BD55A}" name="Result kg CO2eq" dataDxfId="471" dataCellStyle="Comma"/>
    <tableColumn id="5" xr3:uid="{4F33399C-1BBE-4683-814A-561A5738B7E4}" name="Result kg CO2 biogenic" dataDxfId="470" dataCellStyle="Comma"/>
    <tableColumn id="6" xr3:uid="{D7050A7E-191A-4639-8AD6-AA1FED39B9D0}" name="Result UBP" dataDxfId="469" dataCellStyle="Comma"/>
    <tableColumn id="7" xr3:uid="{B5775BFF-CE25-42E6-89FF-4B0989BA2F52}" name="Background dataset" dataDxfId="468" dataCellStyle="Comma"/>
    <tableColumn id="8" xr3:uid="{11C4DF56-FAB3-49A3-B94F-96764A0BCA9E}" name="Dataset source" dataDxfId="467" dataCellStyle="Comma"/>
  </tableColumns>
  <tableStyleInfo name="Tabellenformat 1"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3313F95D-7241-4EB4-983B-1470BBCABBEC}" name="Calc_S2_Electricity2_Location" displayName="Calc_S2_Electricity2_Location" ref="C126:J129" totalsRowShown="0" headerRowDxfId="466" dataDxfId="465" headerRowCellStyle="Comma" dataCellStyle="Comma">
  <tableColumns count="8">
    <tableColumn id="1" xr3:uid="{D84BFC8D-9849-4960-817E-359C5D2CF428}" name="Location" dataDxfId="464" dataCellStyle="Comma"/>
    <tableColumn id="2" xr3:uid="{50350A06-0864-481D-949E-1BB15EAFF354}" name="Entry in FU (kWh)" dataDxfId="463" dataCellStyle="Comma"/>
    <tableColumn id="3" xr3:uid="{19B2FC91-855A-43FE-8C33-401E97B25423}" name="EF(kg CO2eq) / FU)" dataDxfId="462" dataCellStyle="Comma">
      <calculatedColumnFormula>_xlfn.XLOOKUP($I127,BG_Data[Product],BG_Data[GHG emissions (IPCC 2021) '[kg CO2 eq']],0)</calculatedColumnFormula>
    </tableColumn>
    <tableColumn id="4" xr3:uid="{DDBCCDBB-4C1A-4BC6-8E97-C51B296F2751}" name="Result kg CO2eq" dataDxfId="461" dataCellStyle="Comma"/>
    <tableColumn id="5" xr3:uid="{A4641E73-CC0B-44B2-B8A8-39890761A4FE}" name="Result kg CO2 biogenic" dataDxfId="460" dataCellStyle="Comma"/>
    <tableColumn id="6" xr3:uid="{27B2A00D-ACC7-48A7-8BB5-9E904E02695D}" name="Resultat UBP" dataDxfId="459" dataCellStyle="Comma"/>
    <tableColumn id="7" xr3:uid="{8D69295F-5EE6-479E-8ECD-65DDC0C4AB5D}" name="Background dataset" dataDxfId="458" dataCellStyle="Comma"/>
    <tableColumn id="8" xr3:uid="{24523C67-0784-4510-8623-790D0C9CEF68}" name="Dataset source" dataDxfId="457" dataCellStyle="Comma"/>
  </tableColumns>
  <tableStyleInfo name="Tabellenformat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db.bfe.admin.ch/en/publication/download/12527" TargetMode="External"/><Relationship Id="rId3" Type="http://schemas.openxmlformats.org/officeDocument/2006/relationships/hyperlink" Target="https://nexus.openlca.org/database/BAFU" TargetMode="External"/><Relationship Id="rId7" Type="http://schemas.openxmlformats.org/officeDocument/2006/relationships/hyperlink" Target="https://pubdb.bfe.admin.ch/en/publication/download/12529" TargetMode="External"/><Relationship Id="rId2" Type="http://schemas.openxmlformats.org/officeDocument/2006/relationships/hyperlink" Target="https://www.bfe.admin.ch/bfe/de/home/foerderung/dekarbonisierung/foerderung-neuartige-technologien-und-prozesse.html" TargetMode="External"/><Relationship Id="rId1" Type="http://schemas.openxmlformats.org/officeDocument/2006/relationships/hyperlink" Target="mailto:lca@bafu.admin.ch" TargetMode="External"/><Relationship Id="rId6" Type="http://schemas.openxmlformats.org/officeDocument/2006/relationships/hyperlink" Target="https://pubdb.bfe.admin.ch/de/publication/download/12530" TargetMode="External"/><Relationship Id="rId5" Type="http://schemas.openxmlformats.org/officeDocument/2006/relationships/hyperlink" Target="https://pubdb.bfe.admin.ch/de/publication/download/12528" TargetMode="External"/><Relationship Id="rId10" Type="http://schemas.openxmlformats.org/officeDocument/2006/relationships/drawing" Target="../drawings/drawing1.xml"/><Relationship Id="rId4" Type="http://schemas.openxmlformats.org/officeDocument/2006/relationships/hyperlink" Target="https://www.itinero.admin.ch/de/netto-null-fahrplaene"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bfe.admin.ch/bfe/de/home/foerderung/dekarbonisierung/foerderung-neuartige-technologien-und-prozesse.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table" Target="../tables/table3.xml"/><Relationship Id="rId42" Type="http://schemas.openxmlformats.org/officeDocument/2006/relationships/table" Target="../tables/table11.xml"/><Relationship Id="rId47" Type="http://schemas.openxmlformats.org/officeDocument/2006/relationships/table" Target="../tables/table16.xml"/><Relationship Id="rId50" Type="http://schemas.openxmlformats.org/officeDocument/2006/relationships/table" Target="../tables/table19.xml"/><Relationship Id="rId55" Type="http://schemas.openxmlformats.org/officeDocument/2006/relationships/table" Target="../tables/table24.xml"/><Relationship Id="rId63" Type="http://schemas.openxmlformats.org/officeDocument/2006/relationships/table" Target="../tables/table3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table" Target="../tables/table1.xml"/><Relationship Id="rId37" Type="http://schemas.openxmlformats.org/officeDocument/2006/relationships/table" Target="../tables/table6.xml"/><Relationship Id="rId40" Type="http://schemas.openxmlformats.org/officeDocument/2006/relationships/table" Target="../tables/table9.xml"/><Relationship Id="rId45" Type="http://schemas.openxmlformats.org/officeDocument/2006/relationships/table" Target="../tables/table14.xml"/><Relationship Id="rId53" Type="http://schemas.openxmlformats.org/officeDocument/2006/relationships/table" Target="../tables/table22.xml"/><Relationship Id="rId58" Type="http://schemas.openxmlformats.org/officeDocument/2006/relationships/table" Target="../tables/table27.xml"/><Relationship Id="rId66" Type="http://schemas.openxmlformats.org/officeDocument/2006/relationships/table" Target="../tables/table35.xml"/><Relationship Id="rId5" Type="http://schemas.openxmlformats.org/officeDocument/2006/relationships/ctrlProp" Target="../ctrlProps/ctrlProp2.xml"/><Relationship Id="rId61" Type="http://schemas.openxmlformats.org/officeDocument/2006/relationships/table" Target="../tables/table30.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table" Target="../tables/table4.xml"/><Relationship Id="rId43" Type="http://schemas.openxmlformats.org/officeDocument/2006/relationships/table" Target="../tables/table12.xml"/><Relationship Id="rId48" Type="http://schemas.openxmlformats.org/officeDocument/2006/relationships/table" Target="../tables/table17.xml"/><Relationship Id="rId56" Type="http://schemas.openxmlformats.org/officeDocument/2006/relationships/table" Target="../tables/table25.xml"/><Relationship Id="rId64" Type="http://schemas.openxmlformats.org/officeDocument/2006/relationships/table" Target="../tables/table33.xml"/><Relationship Id="rId8" Type="http://schemas.openxmlformats.org/officeDocument/2006/relationships/ctrlProp" Target="../ctrlProps/ctrlProp5.xml"/><Relationship Id="rId51" Type="http://schemas.openxmlformats.org/officeDocument/2006/relationships/table" Target="../tables/table2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table" Target="../tables/table2.xml"/><Relationship Id="rId38" Type="http://schemas.openxmlformats.org/officeDocument/2006/relationships/table" Target="../tables/table7.xml"/><Relationship Id="rId46" Type="http://schemas.openxmlformats.org/officeDocument/2006/relationships/table" Target="../tables/table15.xml"/><Relationship Id="rId59" Type="http://schemas.openxmlformats.org/officeDocument/2006/relationships/table" Target="../tables/table28.xml"/><Relationship Id="rId20" Type="http://schemas.openxmlformats.org/officeDocument/2006/relationships/ctrlProp" Target="../ctrlProps/ctrlProp17.xml"/><Relationship Id="rId41" Type="http://schemas.openxmlformats.org/officeDocument/2006/relationships/table" Target="../tables/table10.xml"/><Relationship Id="rId54" Type="http://schemas.openxmlformats.org/officeDocument/2006/relationships/table" Target="../tables/table23.xml"/><Relationship Id="rId62" Type="http://schemas.openxmlformats.org/officeDocument/2006/relationships/table" Target="../tables/table3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table" Target="../tables/table5.xml"/><Relationship Id="rId49" Type="http://schemas.openxmlformats.org/officeDocument/2006/relationships/table" Target="../tables/table18.xml"/><Relationship Id="rId57" Type="http://schemas.openxmlformats.org/officeDocument/2006/relationships/table" Target="../tables/table2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table" Target="../tables/table13.xml"/><Relationship Id="rId52" Type="http://schemas.openxmlformats.org/officeDocument/2006/relationships/table" Target="../tables/table21.xml"/><Relationship Id="rId60" Type="http://schemas.openxmlformats.org/officeDocument/2006/relationships/table" Target="../tables/table29.xml"/><Relationship Id="rId65" Type="http://schemas.openxmlformats.org/officeDocument/2006/relationships/table" Target="../tables/table34.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26" Type="http://schemas.openxmlformats.org/officeDocument/2006/relationships/table" Target="../tables/table60.xml"/><Relationship Id="rId21" Type="http://schemas.openxmlformats.org/officeDocument/2006/relationships/table" Target="../tables/table55.xml"/><Relationship Id="rId42" Type="http://schemas.openxmlformats.org/officeDocument/2006/relationships/table" Target="../tables/table76.xml"/><Relationship Id="rId47" Type="http://schemas.openxmlformats.org/officeDocument/2006/relationships/table" Target="../tables/table81.xml"/><Relationship Id="rId63" Type="http://schemas.openxmlformats.org/officeDocument/2006/relationships/table" Target="../tables/table97.xml"/><Relationship Id="rId68" Type="http://schemas.openxmlformats.org/officeDocument/2006/relationships/table" Target="../tables/table102.xml"/><Relationship Id="rId2" Type="http://schemas.openxmlformats.org/officeDocument/2006/relationships/table" Target="../tables/table36.xml"/><Relationship Id="rId16" Type="http://schemas.openxmlformats.org/officeDocument/2006/relationships/table" Target="../tables/table50.xml"/><Relationship Id="rId29" Type="http://schemas.openxmlformats.org/officeDocument/2006/relationships/table" Target="../tables/table63.xml"/><Relationship Id="rId11" Type="http://schemas.openxmlformats.org/officeDocument/2006/relationships/table" Target="../tables/table45.xml"/><Relationship Id="rId24" Type="http://schemas.openxmlformats.org/officeDocument/2006/relationships/table" Target="../tables/table58.xml"/><Relationship Id="rId32" Type="http://schemas.openxmlformats.org/officeDocument/2006/relationships/table" Target="../tables/table66.xml"/><Relationship Id="rId37" Type="http://schemas.openxmlformats.org/officeDocument/2006/relationships/table" Target="../tables/table71.xml"/><Relationship Id="rId40" Type="http://schemas.openxmlformats.org/officeDocument/2006/relationships/table" Target="../tables/table74.xml"/><Relationship Id="rId45" Type="http://schemas.openxmlformats.org/officeDocument/2006/relationships/table" Target="../tables/table79.xml"/><Relationship Id="rId53" Type="http://schemas.openxmlformats.org/officeDocument/2006/relationships/table" Target="../tables/table87.xml"/><Relationship Id="rId58" Type="http://schemas.openxmlformats.org/officeDocument/2006/relationships/table" Target="../tables/table92.xml"/><Relationship Id="rId66" Type="http://schemas.openxmlformats.org/officeDocument/2006/relationships/table" Target="../tables/table100.xml"/><Relationship Id="rId74" Type="http://schemas.openxmlformats.org/officeDocument/2006/relationships/table" Target="../tables/table108.xml"/><Relationship Id="rId5" Type="http://schemas.openxmlformats.org/officeDocument/2006/relationships/table" Target="../tables/table39.xml"/><Relationship Id="rId61" Type="http://schemas.openxmlformats.org/officeDocument/2006/relationships/table" Target="../tables/table95.xml"/><Relationship Id="rId19" Type="http://schemas.openxmlformats.org/officeDocument/2006/relationships/table" Target="../tables/table53.xml"/><Relationship Id="rId14" Type="http://schemas.openxmlformats.org/officeDocument/2006/relationships/table" Target="../tables/table48.xml"/><Relationship Id="rId22" Type="http://schemas.openxmlformats.org/officeDocument/2006/relationships/table" Target="../tables/table56.xml"/><Relationship Id="rId27" Type="http://schemas.openxmlformats.org/officeDocument/2006/relationships/table" Target="../tables/table61.xml"/><Relationship Id="rId30" Type="http://schemas.openxmlformats.org/officeDocument/2006/relationships/table" Target="../tables/table64.xml"/><Relationship Id="rId35" Type="http://schemas.openxmlformats.org/officeDocument/2006/relationships/table" Target="../tables/table69.xml"/><Relationship Id="rId43" Type="http://schemas.openxmlformats.org/officeDocument/2006/relationships/table" Target="../tables/table77.xml"/><Relationship Id="rId48" Type="http://schemas.openxmlformats.org/officeDocument/2006/relationships/table" Target="../tables/table82.xml"/><Relationship Id="rId56" Type="http://schemas.openxmlformats.org/officeDocument/2006/relationships/table" Target="../tables/table90.xml"/><Relationship Id="rId64" Type="http://schemas.openxmlformats.org/officeDocument/2006/relationships/table" Target="../tables/table98.xml"/><Relationship Id="rId69" Type="http://schemas.openxmlformats.org/officeDocument/2006/relationships/table" Target="../tables/table103.xml"/><Relationship Id="rId8" Type="http://schemas.openxmlformats.org/officeDocument/2006/relationships/table" Target="../tables/table42.xml"/><Relationship Id="rId51" Type="http://schemas.openxmlformats.org/officeDocument/2006/relationships/table" Target="../tables/table85.xml"/><Relationship Id="rId72" Type="http://schemas.openxmlformats.org/officeDocument/2006/relationships/table" Target="../tables/table106.xml"/><Relationship Id="rId3" Type="http://schemas.openxmlformats.org/officeDocument/2006/relationships/table" Target="../tables/table37.xml"/><Relationship Id="rId12" Type="http://schemas.openxmlformats.org/officeDocument/2006/relationships/table" Target="../tables/table46.xml"/><Relationship Id="rId17" Type="http://schemas.openxmlformats.org/officeDocument/2006/relationships/table" Target="../tables/table51.xml"/><Relationship Id="rId25" Type="http://schemas.openxmlformats.org/officeDocument/2006/relationships/table" Target="../tables/table59.xml"/><Relationship Id="rId33" Type="http://schemas.openxmlformats.org/officeDocument/2006/relationships/table" Target="../tables/table67.xml"/><Relationship Id="rId38" Type="http://schemas.openxmlformats.org/officeDocument/2006/relationships/table" Target="../tables/table72.xml"/><Relationship Id="rId46" Type="http://schemas.openxmlformats.org/officeDocument/2006/relationships/table" Target="../tables/table80.xml"/><Relationship Id="rId59" Type="http://schemas.openxmlformats.org/officeDocument/2006/relationships/table" Target="../tables/table93.xml"/><Relationship Id="rId67" Type="http://schemas.openxmlformats.org/officeDocument/2006/relationships/table" Target="../tables/table101.xml"/><Relationship Id="rId20" Type="http://schemas.openxmlformats.org/officeDocument/2006/relationships/table" Target="../tables/table54.xml"/><Relationship Id="rId41" Type="http://schemas.openxmlformats.org/officeDocument/2006/relationships/table" Target="../tables/table75.xml"/><Relationship Id="rId54" Type="http://schemas.openxmlformats.org/officeDocument/2006/relationships/table" Target="../tables/table88.xml"/><Relationship Id="rId62" Type="http://schemas.openxmlformats.org/officeDocument/2006/relationships/table" Target="../tables/table96.xml"/><Relationship Id="rId70" Type="http://schemas.openxmlformats.org/officeDocument/2006/relationships/table" Target="../tables/table104.xml"/><Relationship Id="rId75" Type="http://schemas.openxmlformats.org/officeDocument/2006/relationships/table" Target="../tables/table109.xml"/><Relationship Id="rId1" Type="http://schemas.openxmlformats.org/officeDocument/2006/relationships/printerSettings" Target="../printerSettings/printerSettings4.bin"/><Relationship Id="rId6" Type="http://schemas.openxmlformats.org/officeDocument/2006/relationships/table" Target="../tables/table40.xml"/><Relationship Id="rId15" Type="http://schemas.openxmlformats.org/officeDocument/2006/relationships/table" Target="../tables/table49.xml"/><Relationship Id="rId23" Type="http://schemas.openxmlformats.org/officeDocument/2006/relationships/table" Target="../tables/table57.xml"/><Relationship Id="rId28" Type="http://schemas.openxmlformats.org/officeDocument/2006/relationships/table" Target="../tables/table62.xml"/><Relationship Id="rId36" Type="http://schemas.openxmlformats.org/officeDocument/2006/relationships/table" Target="../tables/table70.xml"/><Relationship Id="rId49" Type="http://schemas.openxmlformats.org/officeDocument/2006/relationships/table" Target="../tables/table83.xml"/><Relationship Id="rId57" Type="http://schemas.openxmlformats.org/officeDocument/2006/relationships/table" Target="../tables/table91.xml"/><Relationship Id="rId10" Type="http://schemas.openxmlformats.org/officeDocument/2006/relationships/table" Target="../tables/table44.xml"/><Relationship Id="rId31" Type="http://schemas.openxmlformats.org/officeDocument/2006/relationships/table" Target="../tables/table65.xml"/><Relationship Id="rId44" Type="http://schemas.openxmlformats.org/officeDocument/2006/relationships/table" Target="../tables/table78.xml"/><Relationship Id="rId52" Type="http://schemas.openxmlformats.org/officeDocument/2006/relationships/table" Target="../tables/table86.xml"/><Relationship Id="rId60" Type="http://schemas.openxmlformats.org/officeDocument/2006/relationships/table" Target="../tables/table94.xml"/><Relationship Id="rId65" Type="http://schemas.openxmlformats.org/officeDocument/2006/relationships/table" Target="../tables/table99.xml"/><Relationship Id="rId73" Type="http://schemas.openxmlformats.org/officeDocument/2006/relationships/table" Target="../tables/table107.xml"/><Relationship Id="rId4" Type="http://schemas.openxmlformats.org/officeDocument/2006/relationships/table" Target="../tables/table38.xml"/><Relationship Id="rId9" Type="http://schemas.openxmlformats.org/officeDocument/2006/relationships/table" Target="../tables/table43.xml"/><Relationship Id="rId13" Type="http://schemas.openxmlformats.org/officeDocument/2006/relationships/table" Target="../tables/table47.xml"/><Relationship Id="rId18" Type="http://schemas.openxmlformats.org/officeDocument/2006/relationships/table" Target="../tables/table52.xml"/><Relationship Id="rId39" Type="http://schemas.openxmlformats.org/officeDocument/2006/relationships/table" Target="../tables/table73.xml"/><Relationship Id="rId34" Type="http://schemas.openxmlformats.org/officeDocument/2006/relationships/table" Target="../tables/table68.xml"/><Relationship Id="rId50" Type="http://schemas.openxmlformats.org/officeDocument/2006/relationships/table" Target="../tables/table84.xml"/><Relationship Id="rId55" Type="http://schemas.openxmlformats.org/officeDocument/2006/relationships/table" Target="../tables/table89.xml"/><Relationship Id="rId76" Type="http://schemas.openxmlformats.org/officeDocument/2006/relationships/table" Target="../tables/table110.xml"/><Relationship Id="rId7" Type="http://schemas.openxmlformats.org/officeDocument/2006/relationships/table" Target="../tables/table41.xml"/><Relationship Id="rId71" Type="http://schemas.openxmlformats.org/officeDocument/2006/relationships/table" Target="../tables/table10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18.xml"/><Relationship Id="rId3" Type="http://schemas.openxmlformats.org/officeDocument/2006/relationships/table" Target="../tables/table113.xml"/><Relationship Id="rId7" Type="http://schemas.openxmlformats.org/officeDocument/2006/relationships/table" Target="../tables/table117.xml"/><Relationship Id="rId2" Type="http://schemas.openxmlformats.org/officeDocument/2006/relationships/table" Target="../tables/table112.xml"/><Relationship Id="rId1" Type="http://schemas.openxmlformats.org/officeDocument/2006/relationships/printerSettings" Target="../printerSettings/printerSettings7.bin"/><Relationship Id="rId6" Type="http://schemas.openxmlformats.org/officeDocument/2006/relationships/table" Target="../tables/table116.xml"/><Relationship Id="rId5" Type="http://schemas.openxmlformats.org/officeDocument/2006/relationships/table" Target="../tables/table115.xml"/><Relationship Id="rId10" Type="http://schemas.openxmlformats.org/officeDocument/2006/relationships/table" Target="../tables/table120.xml"/><Relationship Id="rId4" Type="http://schemas.openxmlformats.org/officeDocument/2006/relationships/table" Target="../tables/table114.xml"/><Relationship Id="rId9" Type="http://schemas.openxmlformats.org/officeDocument/2006/relationships/table" Target="../tables/table11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2.xml"/><Relationship Id="rId1" Type="http://schemas.openxmlformats.org/officeDocument/2006/relationships/table" Target="../tables/table1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D58C0-9927-4BE1-94EF-56E6DD6DD66B}">
  <sheetPr codeName="Sheet2">
    <tabColor rgb="FFFFD5D5"/>
  </sheetPr>
  <dimension ref="A1:L72"/>
  <sheetViews>
    <sheetView tabSelected="1" zoomScaleNormal="100" workbookViewId="0">
      <pane ySplit="4" topLeftCell="A5" activePane="bottomLeft" state="frozen"/>
      <selection pane="bottomLeft" activeCell="E2" sqref="E2:G2"/>
    </sheetView>
  </sheetViews>
  <sheetFormatPr defaultColWidth="8.7109375" defaultRowHeight="14.25" x14ac:dyDescent="0.2"/>
  <cols>
    <col min="1" max="1" width="5.7109375" style="10" customWidth="1"/>
    <col min="2" max="2" width="1" style="10" customWidth="1"/>
    <col min="3" max="3" width="13.5703125" style="10" customWidth="1"/>
    <col min="4" max="4" width="1" style="10" customWidth="1"/>
    <col min="5" max="5" width="10.140625" style="10" customWidth="1"/>
    <col min="6" max="6" width="2.5703125" style="10" customWidth="1"/>
    <col min="7" max="7" width="1.7109375" style="10" customWidth="1"/>
    <col min="8" max="8" width="132" style="10" customWidth="1"/>
    <col min="9" max="9" width="20.7109375" style="10" customWidth="1"/>
    <col min="10" max="10" width="1" style="10" customWidth="1"/>
    <col min="11" max="11" width="34.28515625" style="10" hidden="1" customWidth="1"/>
    <col min="12" max="16384" width="8.7109375" style="10"/>
  </cols>
  <sheetData>
    <row r="1" spans="1:12" s="1" customFormat="1" ht="5.0999999999999996" customHeight="1" x14ac:dyDescent="0.2"/>
    <row r="2" spans="1:12" s="1" customFormat="1" ht="20.100000000000001" customHeight="1" x14ac:dyDescent="0.25">
      <c r="A2" s="2"/>
      <c r="B2" s="3" t="s">
        <v>0</v>
      </c>
      <c r="C2" s="4"/>
      <c r="D2" s="5"/>
      <c r="E2" s="697" t="s">
        <v>27519</v>
      </c>
      <c r="F2" s="698"/>
      <c r="G2" s="699"/>
      <c r="I2" s="766" t="s">
        <v>28812</v>
      </c>
      <c r="J2" s="767"/>
      <c r="K2" s="306" t="s">
        <v>27405</v>
      </c>
    </row>
    <row r="3" spans="1:12" s="1" customFormat="1" ht="5.0999999999999996" customHeight="1" x14ac:dyDescent="0.25">
      <c r="A3" s="7"/>
      <c r="B3" s="7"/>
      <c r="C3" s="7"/>
      <c r="D3" s="8"/>
    </row>
    <row r="4" spans="1:12" s="64" customFormat="1" ht="5.0999999999999996" customHeight="1" x14ac:dyDescent="0.2"/>
    <row r="5" spans="1:12" x14ac:dyDescent="0.2">
      <c r="A5" s="373"/>
      <c r="K5" s="20"/>
    </row>
    <row r="6" spans="1:12" ht="18" customHeight="1" x14ac:dyDescent="0.2">
      <c r="G6" s="11"/>
      <c r="H6" s="12" t="str">
        <f>n0Info_header1</f>
        <v>Office fédéral de l'énergie OFEN</v>
      </c>
      <c r="K6" s="179" t="s">
        <v>3</v>
      </c>
    </row>
    <row r="7" spans="1:12" ht="18" customHeight="1" x14ac:dyDescent="0.2">
      <c r="G7" s="11"/>
      <c r="H7" s="12" t="str">
        <f>n0Info_header2</f>
        <v>Office fédéral de l'environnement OFEV</v>
      </c>
      <c r="K7" s="179" t="s">
        <v>5</v>
      </c>
    </row>
    <row r="8" spans="1:12" x14ac:dyDescent="0.2">
      <c r="K8" s="20"/>
    </row>
    <row r="9" spans="1:12" ht="30" customHeight="1" x14ac:dyDescent="0.4">
      <c r="B9" s="14" t="str">
        <f>n0Info_title1</f>
        <v>Informations générales</v>
      </c>
      <c r="C9" s="14"/>
      <c r="D9" s="14"/>
      <c r="E9" s="14"/>
      <c r="F9" s="14"/>
      <c r="G9" s="14"/>
      <c r="H9" s="14"/>
      <c r="I9" s="14"/>
      <c r="J9" s="14"/>
      <c r="K9" s="179" t="s">
        <v>7</v>
      </c>
    </row>
    <row r="10" spans="1:12" ht="32.25" customHeight="1" x14ac:dyDescent="0.4">
      <c r="B10" s="14" t="str">
        <f>n0Info_title2</f>
        <v>Corporate Footprint Calculator</v>
      </c>
      <c r="C10" s="14"/>
      <c r="D10" s="14"/>
      <c r="E10" s="14"/>
      <c r="F10" s="14"/>
      <c r="G10" s="14"/>
      <c r="H10" s="14"/>
      <c r="I10" s="14"/>
      <c r="J10" s="14"/>
      <c r="K10" s="179" t="s">
        <v>9</v>
      </c>
    </row>
    <row r="11" spans="1:12" ht="17.25" customHeight="1" x14ac:dyDescent="0.25">
      <c r="B11" s="15" t="str">
        <f>n0Info_subtitle</f>
        <v>v1.4 septembre 2026</v>
      </c>
      <c r="C11" s="15"/>
      <c r="D11" s="15"/>
      <c r="E11" s="15"/>
      <c r="F11" s="15"/>
      <c r="G11" s="15"/>
      <c r="H11" s="15"/>
      <c r="I11" s="15"/>
      <c r="J11" s="15"/>
      <c r="K11" s="179" t="s">
        <v>10</v>
      </c>
    </row>
    <row r="12" spans="1:12" ht="15" customHeight="1" x14ac:dyDescent="0.2">
      <c r="K12" s="20"/>
    </row>
    <row r="13" spans="1:12" ht="232.5" customHeight="1" x14ac:dyDescent="0.2">
      <c r="B13" s="700" t="str">
        <f>n0Info_Text1</f>
        <v>Le Corporate Footprint Calculator est publié et maintenu par l'OFEN et l'OFEV afin de faciliter la quantification des émissions de gaz à effet de serre et des impacts environnementaux des entreprises et organisations. Les impacts directs et indirects en amont et en aval peuvent être calculés. Les calculs sont principalement basés sur la base de données d’inventaires écologiques de l’Administration fédérale suisse BAFU:2025 et sont méthodologiquement conformes au GHG Protocol, adapté aux réglementations antionales spécifiques à la Suisse. Les données saisies, les calculs et les données de base peuvent servir de base pour le reporting et la gestion de la durabilité (par exemple, pour des feuilles de route net-zéro selon la loi sur le climat et l’innovation LCl, SBTi, Ecovadis, CDP, CSRD).
Une feuille de route net-zéro pour les entreprises ou les branches est un instrument volontaire du gouvernement fédéral. Cependant, les demandes de financement conformément à l’art. 6 LCl (encouragement de technologies et de processus innovants) doivent être accompagnées d’une feuille de route net-zéro. Une telle feuille de route repose sur un bilan des gaz à effet de serre, qui peut être créé avec l’outil disponible.
L’outil peut également être utilisé par les institutions publiques (par exemple les administrations municipales et cantonales) pour calculer leur empreinte écologique, même si la méthodologie de calcul de l’outil est principalement prévue pour les entreprises.
Pour remplir l’outil, vous avez besoin de données différentes de votre entreprise (par exemple, le type de chauffage et la consommation sur tous les sites, la consommation de carburant des véhicules, les biens et services achetés), que vous devez traiter et consolider partiellement pour l’ensemble de l’entreprise. L’outil peut également être rempli plusieurs fois pour différentes unités d’activité.</v>
      </c>
      <c r="C13" s="700"/>
      <c r="D13" s="700"/>
      <c r="E13" s="700"/>
      <c r="F13" s="700"/>
      <c r="G13" s="700"/>
      <c r="H13" s="700"/>
      <c r="I13" s="700"/>
      <c r="J13" s="16"/>
      <c r="K13" s="179" t="s">
        <v>11</v>
      </c>
    </row>
    <row r="14" spans="1:12" ht="15" customHeight="1" x14ac:dyDescent="0.2">
      <c r="K14" s="20"/>
    </row>
    <row r="15" spans="1:12" ht="9.9499999999999993" customHeight="1" x14ac:dyDescent="0.2">
      <c r="B15" s="200"/>
      <c r="C15" s="129"/>
      <c r="D15" s="129"/>
      <c r="E15" s="129"/>
      <c r="F15" s="129"/>
      <c r="G15" s="129"/>
      <c r="H15" s="129"/>
      <c r="I15" s="129"/>
      <c r="J15" s="106"/>
      <c r="K15" s="20"/>
    </row>
    <row r="16" spans="1:12" s="17" customFormat="1" ht="30" customHeight="1" x14ac:dyDescent="0.2">
      <c r="B16" s="109"/>
      <c r="C16" s="701" t="str">
        <f>n0Info_1Structure</f>
        <v>Structure de l’outil</v>
      </c>
      <c r="D16" s="701"/>
      <c r="E16" s="701"/>
      <c r="F16" s="701"/>
      <c r="G16" s="701"/>
      <c r="H16" s="701"/>
      <c r="I16" s="701"/>
      <c r="J16" s="489"/>
      <c r="K16" s="179" t="s">
        <v>13</v>
      </c>
      <c r="L16" s="10"/>
    </row>
    <row r="17" spans="2:11" ht="15" customHeight="1" x14ac:dyDescent="0.2">
      <c r="B17" s="204"/>
      <c r="C17" s="694" t="str">
        <f>n0Info_1Structure_Text1</f>
        <v>Les cinq tableaux Excel suivants doivent être traités dans l’ordre (de gauche à droite) :</v>
      </c>
      <c r="D17" s="694"/>
      <c r="E17" s="694"/>
      <c r="F17" s="694"/>
      <c r="G17" s="694"/>
      <c r="H17" s="694"/>
      <c r="I17" s="694"/>
      <c r="J17" s="483"/>
      <c r="K17" s="179" t="s">
        <v>15</v>
      </c>
    </row>
    <row r="18" spans="2:11" ht="9.9499999999999993" customHeight="1" x14ac:dyDescent="0.2">
      <c r="B18" s="204"/>
      <c r="C18" s="694"/>
      <c r="D18" s="694"/>
      <c r="E18" s="694"/>
      <c r="F18" s="694"/>
      <c r="G18" s="694"/>
      <c r="H18" s="694"/>
      <c r="I18" s="694"/>
      <c r="J18" s="484"/>
      <c r="K18" s="20"/>
    </row>
    <row r="19" spans="2:11" ht="15" customHeight="1" x14ac:dyDescent="0.25">
      <c r="B19" s="204"/>
      <c r="C19" s="695" t="s">
        <v>2121</v>
      </c>
      <c r="D19" s="695"/>
      <c r="E19" s="695"/>
      <c r="F19" s="695"/>
      <c r="G19" s="695"/>
      <c r="H19" s="695"/>
      <c r="I19" s="695"/>
      <c r="J19" s="484"/>
      <c r="K19" s="179"/>
    </row>
    <row r="20" spans="2:11" ht="30" customHeight="1" x14ac:dyDescent="0.2">
      <c r="B20" s="204"/>
      <c r="C20" s="696" t="str">
        <f>n0Info_1Structure_Text3</f>
        <v>D’abord, définissez l’unité opérationnelle à prendre en compte (par exemple, l’ensemble de l’entreprise ou les emplacements/unités individuels), la période et le périmètre du bilan. Cela fait automatiquement griser les zones qui ne sont pas pertinentes pour votre entreprise dans les champs d’entrée suivants.</v>
      </c>
      <c r="D20" s="696"/>
      <c r="E20" s="696"/>
      <c r="F20" s="696"/>
      <c r="G20" s="696"/>
      <c r="H20" s="696"/>
      <c r="I20" s="696"/>
      <c r="J20" s="485"/>
      <c r="K20" s="179" t="s">
        <v>19</v>
      </c>
    </row>
    <row r="21" spans="2:11" ht="9.9499999999999993" customHeight="1" x14ac:dyDescent="0.2">
      <c r="B21" s="204"/>
      <c r="C21" s="694"/>
      <c r="D21" s="694"/>
      <c r="E21" s="694"/>
      <c r="F21" s="694"/>
      <c r="G21" s="694"/>
      <c r="H21" s="694"/>
      <c r="I21" s="694"/>
      <c r="J21" s="484"/>
      <c r="K21" s="20"/>
    </row>
    <row r="22" spans="2:11" ht="15" customHeight="1" x14ac:dyDescent="0.25">
      <c r="B22" s="204"/>
      <c r="C22" s="695" t="s">
        <v>2193</v>
      </c>
      <c r="D22" s="695"/>
      <c r="E22" s="695"/>
      <c r="F22" s="695"/>
      <c r="G22" s="695"/>
      <c r="H22" s="695"/>
      <c r="I22" s="695"/>
      <c r="J22" s="484"/>
      <c r="K22" s="179"/>
    </row>
    <row r="23" spans="2:11" ht="45" customHeight="1" x14ac:dyDescent="0.2">
      <c r="B23" s="204"/>
      <c r="C23" s="696" t="str">
        <f>n0Info_1Structure_Text5</f>
        <v>Pour toutes les zones restantes, vous entrez désormais les données de votre entreprise. Toutes les données doivent être rassemblées pour l’unité opérationnelle précédemment définie. La collecte de données peut demander un certain effort. La qualité de ces données détermine la qualité de vos résultats.
Le « User Manual » donne des conseils utiles pour le remplir, le « Developer Manual » explique comment les champs de saisie et les calculs correspondants peuvent être modifiés (voir ci-dessous).</v>
      </c>
      <c r="D23" s="696"/>
      <c r="E23" s="696"/>
      <c r="F23" s="696"/>
      <c r="G23" s="696"/>
      <c r="H23" s="696"/>
      <c r="I23" s="696"/>
      <c r="J23" s="483"/>
      <c r="K23" s="179" t="s">
        <v>23</v>
      </c>
    </row>
    <row r="24" spans="2:11" ht="9.9499999999999993" customHeight="1" x14ac:dyDescent="0.2">
      <c r="B24" s="204"/>
      <c r="C24" s="694"/>
      <c r="D24" s="694"/>
      <c r="E24" s="694"/>
      <c r="F24" s="694"/>
      <c r="G24" s="694"/>
      <c r="H24" s="694"/>
      <c r="I24" s="694"/>
      <c r="J24" s="484"/>
      <c r="K24" s="20"/>
    </row>
    <row r="25" spans="2:11" ht="15" customHeight="1" x14ac:dyDescent="0.25">
      <c r="B25" s="204"/>
      <c r="C25" s="695" t="s">
        <v>2601</v>
      </c>
      <c r="D25" s="695"/>
      <c r="E25" s="695"/>
      <c r="F25" s="695"/>
      <c r="G25" s="695"/>
      <c r="H25" s="695"/>
      <c r="I25" s="695"/>
      <c r="J25" s="484"/>
      <c r="K25" s="179"/>
    </row>
    <row r="26" spans="2:11" ht="30" customHeight="1" x14ac:dyDescent="0.2">
      <c r="B26" s="204"/>
      <c r="C26" s="696" t="str">
        <f>n0Info_1Structure_Text7</f>
        <v>Grâce aux informations contenues dans les feuilles de calcul précédentes, les émissions de gaz à effet de serre, ainsi que les émissions biogéniques de gaz à effet de serre et les points d’impact environnementaux des Scope 1, 2 et 3 selon le GHG Protocol sont calculés automatiquement. Vous n’avez rien à remplir ici.</v>
      </c>
      <c r="D26" s="696"/>
      <c r="E26" s="696"/>
      <c r="F26" s="696"/>
      <c r="G26" s="696"/>
      <c r="H26" s="696"/>
      <c r="I26" s="696"/>
      <c r="J26" s="485"/>
      <c r="K26" s="179" t="s">
        <v>26</v>
      </c>
    </row>
    <row r="27" spans="2:11" ht="9.9499999999999993" customHeight="1" x14ac:dyDescent="0.2">
      <c r="B27" s="204"/>
      <c r="C27" s="694"/>
      <c r="D27" s="694"/>
      <c r="E27" s="694"/>
      <c r="F27" s="694"/>
      <c r="G27" s="694"/>
      <c r="H27" s="694"/>
      <c r="I27" s="694"/>
      <c r="J27" s="484"/>
      <c r="K27" s="179"/>
    </row>
    <row r="28" spans="2:11" ht="15" x14ac:dyDescent="0.25">
      <c r="B28" s="204"/>
      <c r="C28" s="695" t="s">
        <v>27406</v>
      </c>
      <c r="D28" s="695"/>
      <c r="E28" s="695"/>
      <c r="F28" s="695"/>
      <c r="G28" s="695"/>
      <c r="H28" s="695"/>
      <c r="I28" s="695"/>
      <c r="J28" s="108"/>
      <c r="K28" s="179"/>
    </row>
    <row r="29" spans="2:11" x14ac:dyDescent="0.2">
      <c r="B29" s="204"/>
      <c r="C29" s="711" t="str">
        <f>n0Info_1Structure_Text9</f>
        <v>Enfin, les résultats du bilan de l’unité opérationnelle définie issus de la feuille précédente sont résumés. Vous n’avez rien à remplir ici.</v>
      </c>
      <c r="D29" s="711"/>
      <c r="E29" s="711"/>
      <c r="F29" s="711"/>
      <c r="G29" s="711"/>
      <c r="H29" s="711"/>
      <c r="I29" s="711"/>
      <c r="J29" s="486"/>
      <c r="K29" s="179" t="s">
        <v>30</v>
      </c>
    </row>
    <row r="30" spans="2:11" ht="9.9499999999999993" customHeight="1" x14ac:dyDescent="0.2">
      <c r="B30" s="204"/>
      <c r="C30" s="711"/>
      <c r="D30" s="711"/>
      <c r="E30" s="711"/>
      <c r="F30" s="711"/>
      <c r="G30" s="711"/>
      <c r="H30" s="711"/>
      <c r="I30" s="711"/>
      <c r="J30" s="108"/>
      <c r="K30" s="20"/>
    </row>
    <row r="31" spans="2:11" ht="15" x14ac:dyDescent="0.25">
      <c r="B31" s="204"/>
      <c r="C31" s="695" t="s">
        <v>27407</v>
      </c>
      <c r="D31" s="695"/>
      <c r="E31" s="695"/>
      <c r="F31" s="695"/>
      <c r="G31" s="695"/>
      <c r="H31" s="695"/>
      <c r="I31" s="695"/>
      <c r="J31" s="108"/>
      <c r="K31" s="179"/>
    </row>
    <row r="32" spans="2:11" ht="30" customHeight="1" x14ac:dyDescent="0.2">
      <c r="B32" s="204"/>
      <c r="C32" s="712" t="str">
        <f>n0Info_1Structure_Text11</f>
        <v>Cette feuille regroupe toutes les données de fond utilisées dans l'outil. La plupart des données de fond utilisées dans l’outil proviennent de la base de données d’inventaires écologiques de l’Administration fédérale suisse BAFU:2025, qui est disponible ici. Pour le bilan d’entreprise, vous n’êtes pas obligé d’affecter ces données vous-même.</v>
      </c>
      <c r="D32" s="712"/>
      <c r="E32" s="712"/>
      <c r="F32" s="712"/>
      <c r="G32" s="712"/>
      <c r="H32" s="712"/>
      <c r="I32" s="712"/>
      <c r="J32" s="488"/>
      <c r="K32" s="179" t="s">
        <v>33</v>
      </c>
    </row>
    <row r="33" spans="2:12" ht="9.9499999999999993" customHeight="1" x14ac:dyDescent="0.2">
      <c r="B33" s="171"/>
      <c r="C33" s="173"/>
      <c r="D33" s="173"/>
      <c r="E33" s="173"/>
      <c r="F33" s="173"/>
      <c r="G33" s="173"/>
      <c r="H33" s="173"/>
      <c r="I33" s="173"/>
      <c r="J33" s="487"/>
      <c r="K33" s="179"/>
    </row>
    <row r="34" spans="2:12" ht="15" customHeight="1" x14ac:dyDescent="0.2">
      <c r="K34" s="20"/>
    </row>
    <row r="35" spans="2:12" s="17" customFormat="1" ht="30" customHeight="1" x14ac:dyDescent="0.2">
      <c r="B35" s="18" t="str">
        <f>n0Info_2FurtherInfo</f>
        <v>Pour en savoir plus</v>
      </c>
      <c r="K35" s="179" t="s">
        <v>35</v>
      </c>
      <c r="L35" s="10"/>
    </row>
    <row r="36" spans="2:12" ht="15" customHeight="1" x14ac:dyDescent="0.2">
      <c r="B36" s="710" t="str">
        <f>n0Info_2FurtherInfo_Text1</f>
        <v>Vous trouverez ici la dernière version de l’outil ainsi que les documents associés :</v>
      </c>
      <c r="C36" s="710"/>
      <c r="D36" s="710"/>
      <c r="E36" s="710"/>
      <c r="F36" s="710"/>
      <c r="G36" s="710"/>
      <c r="H36" s="710"/>
      <c r="I36" s="710"/>
      <c r="J36" s="25"/>
      <c r="K36" s="179" t="s">
        <v>37</v>
      </c>
    </row>
    <row r="37" spans="2:12" ht="15" customHeight="1" x14ac:dyDescent="0.2">
      <c r="B37" s="705" t="str">
        <f>n0Info_2FurtherInfo_Text2</f>
        <v>Site web de l'OFEN</v>
      </c>
      <c r="C37" s="705"/>
      <c r="D37" s="705"/>
      <c r="E37" s="705"/>
      <c r="F37" s="440"/>
      <c r="K37" s="179" t="s">
        <v>39</v>
      </c>
    </row>
    <row r="38" spans="2:12" ht="9.9499999999999993" customHeight="1" x14ac:dyDescent="0.2">
      <c r="B38" s="26"/>
      <c r="K38" s="179"/>
    </row>
    <row r="39" spans="2:12" ht="15" customHeight="1" x14ac:dyDescent="0.2">
      <c r="B39" s="700" t="str">
        <f>n0Info_2FurtherInfo_Text3</f>
        <v>Le téléchargement comprend les éléments suivants :</v>
      </c>
      <c r="C39" s="700"/>
      <c r="D39" s="700"/>
      <c r="E39" s="700"/>
      <c r="F39" s="700"/>
      <c r="G39" s="700"/>
      <c r="H39" s="700"/>
      <c r="I39" s="700"/>
      <c r="J39" s="16"/>
      <c r="K39" s="179" t="s">
        <v>41</v>
      </c>
    </row>
    <row r="40" spans="2:12" ht="9.9499999999999993" customHeight="1" x14ac:dyDescent="0.2">
      <c r="B40" s="16"/>
      <c r="C40" s="16"/>
      <c r="D40" s="16"/>
      <c r="E40" s="16"/>
      <c r="F40" s="16"/>
      <c r="G40" s="16"/>
      <c r="H40" s="16"/>
      <c r="I40" s="16"/>
      <c r="J40" s="16"/>
      <c r="K40" s="179"/>
    </row>
    <row r="41" spans="2:12" ht="15" customHeight="1" x14ac:dyDescent="0.2">
      <c r="B41" s="705" t="s">
        <v>42</v>
      </c>
      <c r="C41" s="705"/>
      <c r="D41" s="705"/>
      <c r="E41" s="705"/>
      <c r="F41" s="705"/>
      <c r="G41" s="705"/>
      <c r="H41" s="705"/>
      <c r="I41" s="705"/>
      <c r="J41" s="279"/>
      <c r="K41" s="179"/>
    </row>
    <row r="42" spans="2:12" ht="15" customHeight="1" x14ac:dyDescent="0.2">
      <c r="B42" s="700" t="str">
        <f>n0Info_2FurtherInfo_Text5</f>
        <v>Le guide de l’utilisateur vous guide étape par étape dans l’outil et donne des conseils pratiques sur la collecte de données et la manière de remplir l’outil.</v>
      </c>
      <c r="C42" s="700"/>
      <c r="D42" s="700"/>
      <c r="E42" s="700"/>
      <c r="F42" s="700"/>
      <c r="G42" s="700"/>
      <c r="H42" s="700"/>
      <c r="I42" s="700"/>
      <c r="J42" s="16"/>
      <c r="K42" s="179" t="s">
        <v>44</v>
      </c>
    </row>
    <row r="43" spans="2:12" ht="9.9499999999999993" customHeight="1" x14ac:dyDescent="0.2">
      <c r="B43" s="27"/>
      <c r="K43" s="179"/>
    </row>
    <row r="44" spans="2:12" ht="15" customHeight="1" x14ac:dyDescent="0.2">
      <c r="B44" s="705" t="s">
        <v>45</v>
      </c>
      <c r="C44" s="705"/>
      <c r="D44" s="705"/>
      <c r="E44" s="705"/>
      <c r="F44" s="705"/>
      <c r="G44" s="705"/>
      <c r="H44" s="705"/>
      <c r="I44" s="705"/>
      <c r="J44" s="279"/>
      <c r="K44" s="179"/>
    </row>
    <row r="45" spans="2:12" ht="15" customHeight="1" x14ac:dyDescent="0.2">
      <c r="B45" s="696" t="str">
        <f>n0Info_2FurtherInfo_Text7</f>
        <v>Le guide du développeur fournit plus d’informations et des conseils sur l’outil au cas où vous souhaiteriez ajuster les saisies ou les calculs.</v>
      </c>
      <c r="C45" s="696"/>
      <c r="D45" s="696"/>
      <c r="E45" s="696"/>
      <c r="F45" s="696"/>
      <c r="G45" s="696"/>
      <c r="H45" s="696"/>
      <c r="I45" s="696"/>
      <c r="J45" s="21"/>
      <c r="K45" s="179" t="s">
        <v>47</v>
      </c>
    </row>
    <row r="46" spans="2:12" ht="9.9499999999999993" customHeight="1" x14ac:dyDescent="0.2">
      <c r="B46" s="27"/>
      <c r="C46" s="21"/>
      <c r="D46" s="21"/>
      <c r="E46" s="21"/>
      <c r="F46" s="21"/>
      <c r="G46" s="21"/>
      <c r="H46" s="21"/>
      <c r="I46" s="21"/>
      <c r="J46" s="21"/>
      <c r="K46" s="179"/>
    </row>
    <row r="47" spans="2:12" ht="15" customHeight="1" x14ac:dyDescent="0.2">
      <c r="B47" s="705" t="s">
        <v>48</v>
      </c>
      <c r="C47" s="705"/>
      <c r="D47" s="705"/>
      <c r="E47" s="705"/>
      <c r="F47" s="705"/>
      <c r="G47" s="705"/>
      <c r="H47" s="705"/>
      <c r="I47" s="705"/>
      <c r="J47" s="21"/>
      <c r="K47" s="179"/>
    </row>
    <row r="48" spans="2:12" ht="15" customHeight="1" x14ac:dyDescent="0.2">
      <c r="B48" s="696" t="str">
        <f>n0Info_2FurtherInfo_Text9</f>
        <v>Le rapport méthodologique montre comment la méthodologie de comptabilisation des gaz à effet de serre du GHG Protocol a été mise en œuvre dans l’outil.</v>
      </c>
      <c r="C48" s="696"/>
      <c r="D48" s="696"/>
      <c r="E48" s="696"/>
      <c r="F48" s="696"/>
      <c r="G48" s="696"/>
      <c r="H48" s="696"/>
      <c r="I48" s="696"/>
      <c r="J48" s="21"/>
      <c r="K48" s="179" t="s">
        <v>50</v>
      </c>
    </row>
    <row r="49" spans="2:12" ht="9.9499999999999993" customHeight="1" x14ac:dyDescent="0.2">
      <c r="B49" s="27"/>
      <c r="C49" s="21"/>
      <c r="D49" s="21"/>
      <c r="E49" s="21"/>
      <c r="F49" s="21"/>
      <c r="G49" s="21"/>
      <c r="H49" s="21"/>
      <c r="I49" s="21"/>
      <c r="J49" s="21"/>
      <c r="K49" s="179"/>
    </row>
    <row r="50" spans="2:12" ht="15" customHeight="1" x14ac:dyDescent="0.2">
      <c r="B50" s="705" t="s">
        <v>51</v>
      </c>
      <c r="C50" s="705"/>
      <c r="D50" s="705"/>
      <c r="E50" s="705"/>
      <c r="F50" s="705"/>
      <c r="G50" s="705"/>
      <c r="H50" s="705"/>
      <c r="I50" s="705"/>
      <c r="J50" s="279"/>
      <c r="K50" s="179"/>
    </row>
    <row r="51" spans="2:12" ht="15" customHeight="1" x14ac:dyDescent="0.2">
      <c r="B51" s="706" t="str">
        <f>n0Info_2FurtherInfo_Text11</f>
        <v>Des calculs supplémentaires pour le calcul de données énergétiques et de transport sont documentés dans un document Excel séparé (divisé selon les Scopes 1, 2, 3).</v>
      </c>
      <c r="C51" s="706"/>
      <c r="D51" s="706"/>
      <c r="E51" s="706"/>
      <c r="F51" s="706"/>
      <c r="G51" s="706"/>
      <c r="H51" s="706"/>
      <c r="I51" s="706"/>
      <c r="J51" s="23"/>
      <c r="K51" s="179" t="s">
        <v>53</v>
      </c>
    </row>
    <row r="52" spans="2:12" ht="9.9499999999999993" customHeight="1" x14ac:dyDescent="0.2">
      <c r="B52" s="27"/>
      <c r="K52" s="179"/>
    </row>
    <row r="53" spans="2:12" ht="15" customHeight="1" x14ac:dyDescent="0.2">
      <c r="B53" s="705" t="s">
        <v>27862</v>
      </c>
      <c r="C53" s="705"/>
      <c r="D53" s="705"/>
      <c r="E53" s="705"/>
      <c r="F53" s="705"/>
      <c r="G53" s="705"/>
      <c r="H53" s="705"/>
      <c r="I53" s="705"/>
      <c r="K53" s="179"/>
    </row>
    <row r="54" spans="2:12" x14ac:dyDescent="0.2">
      <c r="B54" s="696" t="str">
        <f>n0Info_2FurtherInfo_Text14</f>
        <v>Les inventaires et rapports relatifs à la base de données BAFU:2025 sont disponibles ici.</v>
      </c>
      <c r="C54" s="696"/>
      <c r="D54" s="696"/>
      <c r="E54" s="696"/>
      <c r="F54" s="696"/>
      <c r="G54" s="696"/>
      <c r="H54" s="696"/>
      <c r="I54" s="696"/>
      <c r="K54" s="179"/>
    </row>
    <row r="55" spans="2:12" ht="15" customHeight="1" x14ac:dyDescent="0.2">
      <c r="K55" s="20"/>
    </row>
    <row r="56" spans="2:12" s="17" customFormat="1" ht="30" customHeight="1" x14ac:dyDescent="0.2">
      <c r="B56" s="18" t="str">
        <f>n0Info_2FurtherInfo_Text12</f>
        <v>Conditions d’utilisation</v>
      </c>
      <c r="K56" s="179" t="s">
        <v>28227</v>
      </c>
      <c r="L56" s="10"/>
    </row>
    <row r="57" spans="2:12" ht="130.5" customHeight="1" x14ac:dyDescent="0.2">
      <c r="B57" s="700" t="str">
        <f>n0Info_2FurtherInfo_Text13</f>
        <v>En téléchargeant le Corporate Footprint Calculator, les utilisateurs reconnaissent avoir lu, compris et accepté les présentes conditions d’utilisation.
L’outil peut être utilisé librement, à condition qu’il ne soit pas vendu, revendu, distribué ou commercialisé séparément en tant que tel ou comme partie d’un autre outil.
L’utilisation des données contenues dans l’outil et issues de BAFU:2025 est soumise aux conditions d’utilisation de cette base de données (voir https://nexus.openlca.org/database/BAFU pour plus d’informations).
Toute utilisation de l’outil ou d’une partie de celui-ci doit mentionner la source originale comme suit : « Corporate Footprint Calculator vXX (BAFU) ». Toute modification apportée à l’outil doit être signalée.
L’outil est fourni « en l’état », sans aucune garantie, expresse ou implicite. La Confédération suisse ne garantit pas qu’il soit exempt d’erreurs ni qu’il convienne à un usage particulier.
La Confédération suisse ne peut être tenue responsable des problèmes, pertes ou dommages pouvant résulter de l’utilisation ou de la modification de l’outil.</v>
      </c>
      <c r="C57" s="708"/>
      <c r="D57" s="708"/>
      <c r="E57" s="708"/>
      <c r="F57" s="708"/>
      <c r="G57" s="708"/>
      <c r="H57" s="708"/>
      <c r="I57" s="708"/>
      <c r="J57" s="25"/>
      <c r="K57" s="179" t="s">
        <v>28228</v>
      </c>
    </row>
    <row r="58" spans="2:12" ht="15" customHeight="1" x14ac:dyDescent="0.2">
      <c r="B58" s="27"/>
      <c r="K58" s="179"/>
    </row>
    <row r="59" spans="2:12" ht="30" customHeight="1" x14ac:dyDescent="0.2">
      <c r="B59" s="18" t="str">
        <f>n0Info_3Contact</f>
        <v>Contact</v>
      </c>
      <c r="K59" s="179" t="s">
        <v>55</v>
      </c>
    </row>
    <row r="60" spans="2:12" ht="45" customHeight="1" x14ac:dyDescent="0.2">
      <c r="B60" s="707" t="str">
        <f>n0Info_3Contact_Text1</f>
        <v>Publié par :
Office fédéral de l'énergie OFEN
Office fédéral de l'environnement OFEV</v>
      </c>
      <c r="C60" s="707"/>
      <c r="D60" s="707"/>
      <c r="E60" s="707"/>
      <c r="F60" s="707"/>
      <c r="G60" s="707"/>
      <c r="H60" s="707"/>
      <c r="I60" s="707"/>
      <c r="J60" s="280"/>
      <c r="K60" s="179" t="s">
        <v>56</v>
      </c>
    </row>
    <row r="61" spans="2:12" ht="15" customHeight="1" x14ac:dyDescent="0.2">
      <c r="B61" s="23"/>
      <c r="C61" s="23"/>
      <c r="D61" s="23"/>
      <c r="E61" s="23"/>
      <c r="F61" s="23"/>
      <c r="G61" s="23"/>
      <c r="H61" s="23"/>
      <c r="I61" s="23"/>
      <c r="J61" s="23"/>
      <c r="K61" s="179"/>
    </row>
    <row r="62" spans="2:12" ht="15" customHeight="1" x14ac:dyDescent="0.2">
      <c r="B62" s="706" t="str">
        <f>n0Info_3Contact_Text2</f>
        <v>Feedback à :</v>
      </c>
      <c r="C62" s="706"/>
      <c r="D62" s="706"/>
      <c r="E62" s="706"/>
      <c r="F62" s="706"/>
      <c r="G62" s="706"/>
      <c r="H62" s="706"/>
      <c r="I62" s="706"/>
      <c r="J62" s="23"/>
      <c r="K62" s="179" t="s">
        <v>58</v>
      </c>
    </row>
    <row r="63" spans="2:12" ht="15" customHeight="1" x14ac:dyDescent="0.2">
      <c r="B63" s="709" t="s">
        <v>59</v>
      </c>
      <c r="C63" s="709"/>
      <c r="D63" s="709"/>
      <c r="E63" s="709"/>
      <c r="F63" s="709"/>
      <c r="G63" s="709"/>
      <c r="H63" s="709"/>
      <c r="I63" s="709"/>
      <c r="J63" s="277"/>
      <c r="K63" s="179"/>
    </row>
    <row r="64" spans="2:12" ht="15" customHeight="1" x14ac:dyDescent="0.2">
      <c r="K64" s="179"/>
    </row>
    <row r="65" spans="2:11" ht="15" customHeight="1" x14ac:dyDescent="0.2">
      <c r="K65" s="179"/>
    </row>
    <row r="66" spans="2:11" ht="15" customHeight="1" x14ac:dyDescent="0.2">
      <c r="B66" s="704" t="str">
        <f>n0Info_3Contact_Text3</f>
        <v>Développé par EBP Suisse SA, publié et géré par l'OFEV</v>
      </c>
      <c r="C66" s="704"/>
      <c r="D66" s="704"/>
      <c r="E66" s="704"/>
      <c r="F66" s="704"/>
      <c r="G66" s="704"/>
      <c r="H66" s="704"/>
      <c r="I66" s="704"/>
      <c r="J66" s="278"/>
      <c r="K66" s="179" t="s">
        <v>60</v>
      </c>
    </row>
    <row r="67" spans="2:11" ht="15" customHeight="1" x14ac:dyDescent="0.25">
      <c r="D67" s="24"/>
      <c r="K67" s="13"/>
    </row>
    <row r="68" spans="2:11" ht="15" customHeight="1" x14ac:dyDescent="0.2">
      <c r="K68" s="13"/>
    </row>
    <row r="69" spans="2:11" ht="15" customHeight="1" x14ac:dyDescent="0.25">
      <c r="E69" s="36"/>
      <c r="F69" s="36"/>
    </row>
    <row r="70" spans="2:11" ht="15" customHeight="1" x14ac:dyDescent="0.2"/>
    <row r="71" spans="2:11" ht="15" x14ac:dyDescent="0.25">
      <c r="C71" s="24"/>
    </row>
    <row r="72" spans="2:11" ht="15" x14ac:dyDescent="0.25">
      <c r="C72" s="24"/>
    </row>
  </sheetData>
  <sheetProtection sheet="1" selectLockedCells="1"/>
  <mergeCells count="38">
    <mergeCell ref="C26:I26"/>
    <mergeCell ref="C27:I27"/>
    <mergeCell ref="C28:I28"/>
    <mergeCell ref="B63:I63"/>
    <mergeCell ref="B44:I44"/>
    <mergeCell ref="B36:I36"/>
    <mergeCell ref="B39:I39"/>
    <mergeCell ref="B41:I41"/>
    <mergeCell ref="B42:I42"/>
    <mergeCell ref="B37:E37"/>
    <mergeCell ref="C29:I29"/>
    <mergeCell ref="C30:I30"/>
    <mergeCell ref="C31:I31"/>
    <mergeCell ref="C32:I32"/>
    <mergeCell ref="B66:I66"/>
    <mergeCell ref="B45:I45"/>
    <mergeCell ref="B48:I48"/>
    <mergeCell ref="B50:I50"/>
    <mergeCell ref="B51:I51"/>
    <mergeCell ref="B60:I60"/>
    <mergeCell ref="B62:I62"/>
    <mergeCell ref="B53:I53"/>
    <mergeCell ref="B54:I54"/>
    <mergeCell ref="B57:I57"/>
    <mergeCell ref="B47:I47"/>
    <mergeCell ref="E2:G2"/>
    <mergeCell ref="B13:I13"/>
    <mergeCell ref="C16:I16"/>
    <mergeCell ref="C17:I17"/>
    <mergeCell ref="C18:I18"/>
    <mergeCell ref="I2:J2"/>
    <mergeCell ref="C24:I24"/>
    <mergeCell ref="C25:I25"/>
    <mergeCell ref="C19:I19"/>
    <mergeCell ref="C20:I20"/>
    <mergeCell ref="C21:I21"/>
    <mergeCell ref="C22:I22"/>
    <mergeCell ref="C23:I23"/>
  </mergeCells>
  <hyperlinks>
    <hyperlink ref="B63" r:id="rId1" xr:uid="{7E5EE251-7397-4FA2-A18D-CAEF31CF85CC}"/>
    <hyperlink ref="I2" location="'0 General Info'!A6" display="▲ Back to top" xr:uid="{77510245-1AE7-42EF-8E41-9EC5D6743871}"/>
    <hyperlink ref="B37" r:id="rId2" display="BFE-Webseite" xr:uid="{23A5FB42-C6B5-4E8D-BB6C-CD1E92E8B811}"/>
    <hyperlink ref="B53:I53" r:id="rId3" display="Database BAFU:2025" xr:uid="{83B657A8-1359-4412-8D77-413AADEFF25C}"/>
    <hyperlink ref="B37:E37" r:id="rId4" display="https://www.itinero.admin.ch/de/netto-null-fahrplaene" xr:uid="{9C180D55-FE94-487E-945A-DE5C9040748B}"/>
    <hyperlink ref="B41:I41" r:id="rId5" display="User Manual" xr:uid="{0582597A-9907-449B-B45E-EAAB43173B6B}"/>
    <hyperlink ref="B44:I44" r:id="rId6" display="Developer Manual" xr:uid="{D4922A2D-5613-45A6-A61D-067A8257F27E}"/>
    <hyperlink ref="B47:I47" r:id="rId7" display="Methodology Report" xr:uid="{EE33C312-2BB3-4506-A707-6AA2511B5CC8}"/>
    <hyperlink ref="B50:I50" r:id="rId8" display="Energy Splits" xr:uid="{AE4A3B56-1797-4E0B-829C-961C8A402BB4}"/>
    <hyperlink ref="I2:J2" location="'0 General Info'!E2" display="▲ Back to top" xr:uid="{6DAEDE41-18FB-4A76-BE65-13DFF9A91BB1}"/>
  </hyperlinks>
  <pageMargins left="0.7" right="0.7" top="0.75" bottom="0.75" header="0.3" footer="0.3"/>
  <pageSetup paperSize="26" orientation="portrait" verticalDpi="0" r:id="rId9"/>
  <ignoredErrors>
    <ignoredError sqref="B37" unlockedFormula="1"/>
  </ignoredError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FB49E898-8226-4CD5-8C8C-5B6BDEECF3E8}">
          <x14:formula1>
            <xm:f>Translation!$E$1:$G$1</xm:f>
          </x14:formula1>
          <xm:sqref>E2:G2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6194C-3262-455E-BE87-6280EC9A29AB}">
  <sheetPr codeName="Sheet11"/>
  <dimension ref="A1:AG50"/>
  <sheetViews>
    <sheetView workbookViewId="0">
      <selection activeCell="E21" sqref="E21"/>
    </sheetView>
  </sheetViews>
  <sheetFormatPr defaultColWidth="11.42578125" defaultRowHeight="15" x14ac:dyDescent="0.25"/>
  <cols>
    <col min="1" max="1" width="47.28515625" style="29" customWidth="1"/>
    <col min="2" max="2" width="35.7109375" style="29" customWidth="1"/>
    <col min="3" max="3" width="11.42578125" style="29"/>
    <col min="4" max="4" width="12.28515625" style="29" bestFit="1" customWidth="1"/>
    <col min="5" max="7" width="11.42578125" style="29"/>
    <col min="8" max="8" width="18.7109375" style="29" customWidth="1"/>
    <col min="9" max="9" width="23.42578125" style="29" customWidth="1"/>
    <col min="10" max="10" width="26.28515625" style="29" customWidth="1"/>
    <col min="11" max="11" width="17" style="29" customWidth="1"/>
    <col min="12" max="12" width="9.28515625" style="29" bestFit="1" customWidth="1"/>
    <col min="13" max="13" width="22.5703125" style="29" bestFit="1" customWidth="1"/>
    <col min="14" max="14" width="35.5703125" style="29" bestFit="1" customWidth="1"/>
    <col min="15" max="15" width="26.7109375" style="29" bestFit="1" customWidth="1"/>
    <col min="16" max="18" width="21" style="29" bestFit="1" customWidth="1"/>
    <col min="19" max="22" width="29.28515625" style="29" bestFit="1" customWidth="1"/>
    <col min="23" max="33" width="35.5703125" style="29" bestFit="1" customWidth="1"/>
    <col min="34" max="16384" width="11.42578125" style="29"/>
  </cols>
  <sheetData>
    <row r="1" spans="1:33" x14ac:dyDescent="0.25">
      <c r="A1" s="351" t="s">
        <v>28255</v>
      </c>
      <c r="B1" s="351"/>
      <c r="C1" s="351"/>
      <c r="D1" s="351"/>
      <c r="E1" s="351"/>
      <c r="F1" s="351"/>
      <c r="G1" s="351"/>
      <c r="H1" s="351"/>
      <c r="I1" s="351"/>
      <c r="J1" s="351"/>
      <c r="K1" s="351"/>
      <c r="L1" s="351"/>
    </row>
    <row r="2" spans="1:33" x14ac:dyDescent="0.25">
      <c r="I2" s="34" t="s">
        <v>556</v>
      </c>
      <c r="M2" s="34" t="s">
        <v>2029</v>
      </c>
      <c r="N2" s="54"/>
      <c r="O2" s="54"/>
      <c r="P2" s="54"/>
      <c r="Q2" s="54"/>
      <c r="R2" s="54"/>
      <c r="S2" s="54"/>
      <c r="T2" s="54"/>
      <c r="U2" s="54"/>
      <c r="V2" s="54"/>
      <c r="W2" s="54"/>
      <c r="X2" s="54"/>
      <c r="Y2" s="54"/>
      <c r="Z2" s="54"/>
      <c r="AA2" s="54"/>
      <c r="AB2" s="54"/>
      <c r="AC2" s="54"/>
      <c r="AD2" s="54"/>
      <c r="AE2" s="54"/>
      <c r="AF2" s="54"/>
      <c r="AG2" s="54"/>
    </row>
    <row r="3" spans="1:33" x14ac:dyDescent="0.25">
      <c r="A3" s="34" t="s">
        <v>560</v>
      </c>
      <c r="I3" s="41" t="s">
        <v>2031</v>
      </c>
      <c r="J3" s="41" t="s">
        <v>2032</v>
      </c>
      <c r="K3" s="32" t="s">
        <v>2033</v>
      </c>
      <c r="L3" s="32" t="s">
        <v>276</v>
      </c>
      <c r="N3" s="55">
        <v>1</v>
      </c>
      <c r="O3" s="29">
        <v>2</v>
      </c>
      <c r="P3" s="29">
        <v>3</v>
      </c>
      <c r="Q3" s="29">
        <v>4</v>
      </c>
      <c r="R3" s="29">
        <v>5</v>
      </c>
      <c r="S3" s="29">
        <v>6</v>
      </c>
      <c r="T3" s="29">
        <v>7</v>
      </c>
      <c r="U3" s="29">
        <v>8</v>
      </c>
      <c r="V3" s="29">
        <v>9</v>
      </c>
      <c r="W3" s="29">
        <v>10</v>
      </c>
      <c r="X3" s="29">
        <v>11</v>
      </c>
      <c r="Y3" s="29">
        <v>12</v>
      </c>
      <c r="Z3" s="29">
        <v>13</v>
      </c>
      <c r="AA3" s="29">
        <v>14</v>
      </c>
      <c r="AB3" s="29">
        <v>15</v>
      </c>
      <c r="AC3" s="29">
        <v>16</v>
      </c>
      <c r="AD3" s="29">
        <v>17</v>
      </c>
      <c r="AE3" s="29">
        <v>18</v>
      </c>
      <c r="AF3" s="29">
        <v>19</v>
      </c>
      <c r="AG3" s="29">
        <v>20</v>
      </c>
    </row>
    <row r="4" spans="1:33" x14ac:dyDescent="0.25">
      <c r="A4" s="29" t="s">
        <v>558</v>
      </c>
      <c r="B4" s="29" t="s">
        <v>559</v>
      </c>
      <c r="I4" s="41" t="s">
        <v>559</v>
      </c>
      <c r="J4" s="32" t="str">
        <f>IF(Language=German,Lists!C209,IF(Language=French,Lists!D209,Lists!E209))</f>
        <v>Immeuble de bureaux, par m3</v>
      </c>
      <c r="K4" s="32" t="str">
        <f>IF(Language=German,Lists!I209,IF(Language=French,Lists!J209,Lists!K209))</f>
        <v>Bâtiments</v>
      </c>
      <c r="L4" s="32" t="s">
        <v>83</v>
      </c>
      <c r="M4" s="34" t="s">
        <v>2034</v>
      </c>
      <c r="N4" s="29" t="s">
        <v>2035</v>
      </c>
      <c r="O4" s="29" t="s">
        <v>2035</v>
      </c>
      <c r="P4" s="29" t="s">
        <v>2035</v>
      </c>
      <c r="Q4" s="29" t="s">
        <v>2035</v>
      </c>
      <c r="R4" s="29" t="s">
        <v>2035</v>
      </c>
      <c r="S4" s="29" t="s">
        <v>2035</v>
      </c>
      <c r="T4" s="29" t="s">
        <v>2035</v>
      </c>
      <c r="U4" s="29" t="s">
        <v>2035</v>
      </c>
      <c r="V4" s="29" t="s">
        <v>2035</v>
      </c>
      <c r="W4" s="29" t="s">
        <v>2035</v>
      </c>
      <c r="X4" s="29" t="s">
        <v>2035</v>
      </c>
      <c r="Y4" s="29" t="s">
        <v>2035</v>
      </c>
      <c r="Z4" s="29" t="s">
        <v>2035</v>
      </c>
      <c r="AA4" s="29" t="s">
        <v>2035</v>
      </c>
      <c r="AB4" s="29" t="s">
        <v>2035</v>
      </c>
      <c r="AC4" s="29" t="s">
        <v>2035</v>
      </c>
      <c r="AD4" s="29" t="s">
        <v>2035</v>
      </c>
      <c r="AE4" s="29" t="s">
        <v>2035</v>
      </c>
      <c r="AF4" s="29" t="s">
        <v>2035</v>
      </c>
      <c r="AG4" s="29" t="s">
        <v>2035</v>
      </c>
    </row>
    <row r="5" spans="1:33" x14ac:dyDescent="0.25">
      <c r="A5" s="29" t="s">
        <v>561</v>
      </c>
      <c r="B5" s="29" t="s">
        <v>562</v>
      </c>
      <c r="I5" s="41" t="s">
        <v>562</v>
      </c>
      <c r="J5" s="32" t="str">
        <f>IF(Language=German,Lists!C210,IF(Language=French,Lists!D210,Lists!E210))</f>
        <v>Hall de production / entrepôt, par m2</v>
      </c>
      <c r="K5" s="32" t="str">
        <f>IF(Language=German,Lists!I210,IF(Language=French,Lists!J210,Lists!K210))</f>
        <v>Bâtiments</v>
      </c>
      <c r="L5" s="32" t="s">
        <v>563</v>
      </c>
      <c r="M5" s="30" t="str">
        <f>K4</f>
        <v>Bâtiments</v>
      </c>
      <c r="N5" s="29" t="str" cm="1">
        <f t="array" ref="N5">_xlfn._xlws.FILTER(T_CapitalGoods_MatHierarchy[Produkt],T_CapitalGoods_MatHierarchy[Gruppe]='2 Data Inputs'!C622,"no category")</f>
        <v>no category</v>
      </c>
      <c r="O5" s="29" t="str" cm="1">
        <f t="array" ref="O5">_xlfn._xlws.FILTER(T_CapitalGoods_MatHierarchy[Produkt],T_CapitalGoods_MatHierarchy[Gruppe]='2 Data Inputs'!C623,"no category")</f>
        <v>no category</v>
      </c>
      <c r="P5" s="29" t="str" cm="1">
        <f t="array" ref="P5">_xlfn._xlws.FILTER(T_CapitalGoods_MatHierarchy[Produkt],T_CapitalGoods_MatHierarchy[Gruppe]='2 Data Inputs'!C624,"no category")</f>
        <v>no category</v>
      </c>
      <c r="Q5" s="29" t="str" cm="1">
        <f t="array" ref="Q5">_xlfn._xlws.FILTER(T_CapitalGoods_MatHierarchy[Produkt],T_CapitalGoods_MatHierarchy[Gruppe]='2 Data Inputs'!C625,"no category")</f>
        <v>no category</v>
      </c>
      <c r="R5" s="29" t="str" cm="1">
        <f t="array" ref="R5">_xlfn._xlws.FILTER(T_CapitalGoods_MatHierarchy[Produkt],T_CapitalGoods_MatHierarchy[Gruppe]='2 Data Inputs'!C626,"no category")</f>
        <v>no category</v>
      </c>
      <c r="S5" s="29" t="str" cm="1">
        <f t="array" ref="S5">_xlfn._xlws.FILTER(T_CapitalGoods_MatHierarchy[Produkt],T_CapitalGoods_MatHierarchy[Gruppe]='2 Data Inputs'!C637,"no category")</f>
        <v>no category</v>
      </c>
      <c r="T5" s="29" t="str" cm="1">
        <f t="array" ref="T5">_xlfn._xlws.FILTER(T_CapitalGoods_MatHierarchy[Produkt],T_CapitalGoods_MatHierarchy[Gruppe]='2 Data Inputs'!C628,"no category")</f>
        <v>no category</v>
      </c>
      <c r="U5" s="29" t="str" cm="1">
        <f t="array" ref="U5">_xlfn._xlws.FILTER(T_CapitalGoods_MatHierarchy[Produkt],T_CapitalGoods_MatHierarchy[Gruppe]='2 Data Inputs'!C629,"no category")</f>
        <v>no category</v>
      </c>
      <c r="V5" s="29" t="str" cm="1">
        <f t="array" ref="V5">_xlfn._xlws.FILTER(T_CapitalGoods_MatHierarchy[Produkt],T_CapitalGoods_MatHierarchy[Gruppe]='2 Data Inputs'!C630,"no category")</f>
        <v>no category</v>
      </c>
      <c r="W5" s="29" t="str" cm="1">
        <f t="array" ref="W5">_xlfn._xlws.FILTER(T_CapitalGoods_MatHierarchy[Produkt],T_CapitalGoods_MatHierarchy[Gruppe]='2 Data Inputs'!C631,"no category")</f>
        <v>no category</v>
      </c>
      <c r="X5" s="29" t="str" cm="1">
        <f t="array" ref="X5">_xlfn._xlws.FILTER(T_CapitalGoods_MatHierarchy[Produkt],T_CapitalGoods_MatHierarchy[Gruppe]='2 Data Inputs'!C632,"no category")</f>
        <v>no category</v>
      </c>
      <c r="Y5" s="29" t="str" cm="1">
        <f t="array" ref="Y5">_xlfn._xlws.FILTER(T_CapitalGoods_MatHierarchy[Produkt],T_CapitalGoods_MatHierarchy[Gruppe]='2 Data Inputs'!C633,"no category")</f>
        <v>no category</v>
      </c>
      <c r="Z5" s="29" t="str" cm="1">
        <f t="array" ref="Z5">_xlfn._xlws.FILTER(T_CapitalGoods_MatHierarchy[Produkt],T_CapitalGoods_MatHierarchy[Gruppe]='2 Data Inputs'!C634,"no category")</f>
        <v>no category</v>
      </c>
      <c r="AA5" s="29" t="str" cm="1">
        <f t="array" ref="AA5">_xlfn._xlws.FILTER(T_CapitalGoods_MatHierarchy[Produkt],T_CapitalGoods_MatHierarchy[Gruppe]='2 Data Inputs'!C635,"no category")</f>
        <v>no category</v>
      </c>
      <c r="AB5" s="29" t="str" cm="1">
        <f t="array" ref="AB5">_xlfn._xlws.FILTER(T_CapitalGoods_MatHierarchy[Produkt],T_CapitalGoods_MatHierarchy[Gruppe]='2 Data Inputs'!C636,"no category")</f>
        <v>no category</v>
      </c>
      <c r="AC5" s="29" t="str" cm="1">
        <f t="array" ref="AC5">_xlfn._xlws.FILTER(T_CapitalGoods_MatHierarchy[Produkt],T_CapitalGoods_MatHierarchy[Gruppe]='2 Data Inputs'!C637,"no category")</f>
        <v>no category</v>
      </c>
      <c r="AD5" s="29" t="str" cm="1">
        <f t="array" ref="AD5">_xlfn._xlws.FILTER(T_CapitalGoods_MatHierarchy[Produkt],T_CapitalGoods_MatHierarchy[Gruppe]='2 Data Inputs'!C638,"no category")</f>
        <v>no category</v>
      </c>
      <c r="AE5" s="29" t="str" cm="1">
        <f t="array" ref="AE5">_xlfn._xlws.FILTER(T_CapitalGoods_MatHierarchy[Produkt],T_CapitalGoods_MatHierarchy[Gruppe]='2 Data Inputs'!C639,"no category")</f>
        <v>no category</v>
      </c>
      <c r="AF5" s="29" t="str" cm="1">
        <f t="array" ref="AF5">_xlfn._xlws.FILTER(T_CapitalGoods_MatHierarchy[Produkt],T_CapitalGoods_MatHierarchy[Gruppe]='2 Data Inputs'!C640,"no category")</f>
        <v>no category</v>
      </c>
      <c r="AG5" s="29" t="str" cm="1">
        <f t="array" ref="AG5">_xlfn._xlws.FILTER(T_CapitalGoods_MatHierarchy[Produkt],T_CapitalGoods_MatHierarchy[Gruppe]='2 Data Inputs'!C641,"no category")</f>
        <v>no category</v>
      </c>
    </row>
    <row r="6" spans="1:33" x14ac:dyDescent="0.25">
      <c r="A6" s="29" t="s">
        <v>564</v>
      </c>
      <c r="B6" s="29" t="s">
        <v>2036</v>
      </c>
      <c r="I6" s="41" t="s">
        <v>2036</v>
      </c>
      <c r="J6" s="32" t="str">
        <f>IF(Language=German,Lists!C211,IF(Language=French,Lists!D211,Lists!E211))</f>
        <v>Installation photovoltaïque, 3 kWp (17 m2)</v>
      </c>
      <c r="K6" s="32" t="str">
        <f>IF(Language=German,Lists!I211,IF(Language=French,Lists!J211,Lists!K211))</f>
        <v>Bâtiments</v>
      </c>
      <c r="L6" s="32" t="s">
        <v>563</v>
      </c>
      <c r="M6" s="30" t="str">
        <f t="shared" ref="M6:M36" si="0">K5</f>
        <v>Bâtiments</v>
      </c>
    </row>
    <row r="7" spans="1:33" x14ac:dyDescent="0.25">
      <c r="A7" s="29" t="s">
        <v>567</v>
      </c>
      <c r="B7" s="32" t="s">
        <v>570</v>
      </c>
      <c r="I7" s="41" t="s">
        <v>570</v>
      </c>
      <c r="J7" s="32" t="str">
        <f>IF(Language=German,Lists!C212,IF(Language=French,Lists!D212,Lists!E212))</f>
        <v>Chaudière à mazout 10 kW</v>
      </c>
      <c r="K7" s="32" t="str">
        <f>IF(Language=German,Lists!I212,IF(Language=French,Lists!J212,Lists!K212))</f>
        <v>Bâtiments</v>
      </c>
      <c r="L7" s="32" t="s">
        <v>989</v>
      </c>
      <c r="M7" s="30" t="str">
        <f t="shared" si="0"/>
        <v>Bâtiments</v>
      </c>
    </row>
    <row r="8" spans="1:33" x14ac:dyDescent="0.25">
      <c r="A8" s="29" t="s">
        <v>571</v>
      </c>
      <c r="B8" s="32" t="s">
        <v>573</v>
      </c>
      <c r="I8" s="41" t="s">
        <v>573</v>
      </c>
      <c r="J8" s="32" t="str">
        <f>IF(Language=German,Lists!C213,IF(Language=French,Lists!D213,Lists!E213))</f>
        <v>Chaudière à mazout 100 kW</v>
      </c>
      <c r="K8" s="32" t="str">
        <f>IF(Language=German,Lists!I213,IF(Language=French,Lists!J213,Lists!K213))</f>
        <v>Bâtiments</v>
      </c>
      <c r="L8" s="32" t="s">
        <v>989</v>
      </c>
      <c r="M8" s="30" t="str">
        <f t="shared" si="0"/>
        <v>Bâtiments</v>
      </c>
    </row>
    <row r="9" spans="1:33" x14ac:dyDescent="0.25">
      <c r="A9" s="29" t="s">
        <v>574</v>
      </c>
      <c r="B9" s="32" t="s">
        <v>576</v>
      </c>
      <c r="I9" s="41" t="s">
        <v>576</v>
      </c>
      <c r="J9" s="32" t="str">
        <f>IF(Language=German,Lists!C214,IF(Language=French,Lists!D214,Lists!E214))</f>
        <v>Chaudière à gaz 15 kW</v>
      </c>
      <c r="K9" s="32" t="str">
        <f>IF(Language=German,Lists!I214,IF(Language=French,Lists!J214,Lists!K214))</f>
        <v>Bâtiments</v>
      </c>
      <c r="L9" s="32" t="s">
        <v>88</v>
      </c>
      <c r="M9" s="30" t="str">
        <f t="shared" si="0"/>
        <v>Bâtiments</v>
      </c>
    </row>
    <row r="10" spans="1:33" x14ac:dyDescent="0.25">
      <c r="A10" s="29" t="s">
        <v>577</v>
      </c>
      <c r="B10" s="32" t="s">
        <v>579</v>
      </c>
      <c r="I10" s="41" t="s">
        <v>579</v>
      </c>
      <c r="J10" s="32" t="str">
        <f>IF(Language=German,Lists!C215,IF(Language=French,Lists!D215,Lists!E215))</f>
        <v>Chaudière à gaz 50 kW</v>
      </c>
      <c r="K10" s="32" t="str">
        <f>IF(Language=German,Lists!I215,IF(Language=French,Lists!J215,Lists!K215))</f>
        <v>Bâtiments</v>
      </c>
      <c r="L10" s="32" t="s">
        <v>989</v>
      </c>
      <c r="M10" s="30" t="str">
        <f t="shared" si="0"/>
        <v>Bâtiments</v>
      </c>
    </row>
    <row r="11" spans="1:33" x14ac:dyDescent="0.25">
      <c r="A11" s="29" t="s">
        <v>580</v>
      </c>
      <c r="B11" s="32" t="s">
        <v>583</v>
      </c>
      <c r="I11" s="41" t="s">
        <v>583</v>
      </c>
      <c r="J11" s="32" t="str">
        <f>IF(Language=German,Lists!C216,IF(Language=French,Lists!D216,Lists!E216))</f>
        <v>Pompe à chaleur, air-eau, 15 kW</v>
      </c>
      <c r="K11" s="32" t="str">
        <f>IF(Language=German,Lists!I216,IF(Language=French,Lists!J216,Lists!K216))</f>
        <v>Bâtiments</v>
      </c>
      <c r="L11" s="32" t="s">
        <v>989</v>
      </c>
      <c r="M11" s="30" t="str">
        <f t="shared" si="0"/>
        <v>Bâtiments</v>
      </c>
    </row>
    <row r="12" spans="1:33" x14ac:dyDescent="0.25">
      <c r="A12" s="29" t="s">
        <v>584</v>
      </c>
      <c r="B12" s="32" t="s">
        <v>586</v>
      </c>
      <c r="I12" s="41" t="s">
        <v>586</v>
      </c>
      <c r="J12" s="32" t="str">
        <f>IF(Language=German,Lists!C217,IF(Language=French,Lists!D217,Lists!E217))</f>
        <v>Pompe à chaleur, air-eau, 50 kW</v>
      </c>
      <c r="K12" s="32" t="str">
        <f>IF(Language=German,Lists!I217,IF(Language=French,Lists!J217,Lists!K217))</f>
        <v>Bâtiments</v>
      </c>
      <c r="L12" s="32" t="s">
        <v>989</v>
      </c>
      <c r="M12" s="30" t="str">
        <f t="shared" si="0"/>
        <v>Bâtiments</v>
      </c>
    </row>
    <row r="13" spans="1:33" x14ac:dyDescent="0.25">
      <c r="A13" s="29" t="s">
        <v>587</v>
      </c>
      <c r="B13" s="32" t="s">
        <v>588</v>
      </c>
      <c r="I13" s="41" t="s">
        <v>588</v>
      </c>
      <c r="J13" s="32" t="str">
        <f>IF(Language=German,Lists!C218,IF(Language=French,Lists!D218,Lists!E218))</f>
        <v>Pompe à chaleur, eau glycolée, 15 kW</v>
      </c>
      <c r="K13" s="32" t="str">
        <f>IF(Language=German,Lists!I218,IF(Language=French,Lists!J218,Lists!K218))</f>
        <v>Bâtiments</v>
      </c>
      <c r="L13" s="32" t="s">
        <v>989</v>
      </c>
      <c r="M13" s="30" t="str">
        <f t="shared" si="0"/>
        <v>Bâtiments</v>
      </c>
    </row>
    <row r="14" spans="1:33" ht="30" x14ac:dyDescent="0.25">
      <c r="A14" s="29" t="s">
        <v>589</v>
      </c>
      <c r="B14" s="32" t="s">
        <v>590</v>
      </c>
      <c r="I14" s="45" t="s">
        <v>590</v>
      </c>
      <c r="J14" s="32" t="str">
        <f>IF(Language=German,Lists!C219,IF(Language=French,Lists!D219,Lists!E219))</f>
        <v>Pompe à chaleur, eau glycolée, 50 kW</v>
      </c>
      <c r="K14" s="32" t="str">
        <f>IF(Language=German,Lists!I219,IF(Language=French,Lists!J219,Lists!K219))</f>
        <v>Bâtiments</v>
      </c>
      <c r="L14" s="45" t="s">
        <v>989</v>
      </c>
      <c r="M14" s="30" t="str">
        <f t="shared" si="0"/>
        <v>Bâtiments</v>
      </c>
    </row>
    <row r="15" spans="1:33" x14ac:dyDescent="0.25">
      <c r="A15" s="29" t="s">
        <v>591</v>
      </c>
      <c r="B15" s="29" t="s">
        <v>592</v>
      </c>
      <c r="I15" s="32" t="s">
        <v>592</v>
      </c>
      <c r="J15" s="32" t="str">
        <f>IF(Language=German,Lists!C220,IF(Language=French,Lists!D220,Lists!E220))</f>
        <v>Routes / places de stationnemen,t par m2</v>
      </c>
      <c r="K15" s="32" t="str">
        <f>IF(Language=German,Lists!I220,IF(Language=French,Lists!J220,Lists!K220))</f>
        <v>Bâtiments</v>
      </c>
      <c r="L15" s="32" t="s">
        <v>563</v>
      </c>
      <c r="M15" s="30" t="str">
        <f t="shared" si="0"/>
        <v>Bâtiments</v>
      </c>
    </row>
    <row r="16" spans="1:33" x14ac:dyDescent="0.25">
      <c r="I16" s="41" t="s">
        <v>597</v>
      </c>
      <c r="J16" s="32" t="str">
        <f>IF(Language=German,Lists!C221,IF(Language=French,Lists!D221,Lists!E221))</f>
        <v>Voiture particulière électrique</v>
      </c>
      <c r="K16" s="32" t="str">
        <f>IF(Language=German,Lists!I221,IF(Language=French,Lists!J221,Lists!K221))</f>
        <v>Véhicules</v>
      </c>
      <c r="L16" s="32" t="s">
        <v>989</v>
      </c>
      <c r="M16" s="30" t="str">
        <f t="shared" si="0"/>
        <v>Bâtiments</v>
      </c>
    </row>
    <row r="17" spans="1:13" x14ac:dyDescent="0.25">
      <c r="A17" s="34" t="s">
        <v>471</v>
      </c>
      <c r="I17" s="41" t="s">
        <v>601</v>
      </c>
      <c r="J17" s="32" t="str">
        <f>IF(Language=German,Lists!C222,IF(Language=French,Lists!D222,Lists!E222))</f>
        <v>Voiture particulière essence/diesel</v>
      </c>
      <c r="K17" s="32" t="str">
        <f>IF(Language=German,Lists!I222,IF(Language=French,Lists!J222,Lists!K222))</f>
        <v>Véhicules</v>
      </c>
      <c r="L17" s="32" t="s">
        <v>989</v>
      </c>
      <c r="M17" s="30" t="str">
        <f t="shared" si="0"/>
        <v>Véhicules</v>
      </c>
    </row>
    <row r="18" spans="1:13" x14ac:dyDescent="0.25">
      <c r="A18" s="29" t="s">
        <v>594</v>
      </c>
      <c r="B18" s="29" t="s">
        <v>597</v>
      </c>
      <c r="I18" s="41" t="s">
        <v>603</v>
      </c>
      <c r="J18" s="32" t="str">
        <f>IF(Language=German,Lists!C223,IF(Language=French,Lists!D223,Lists!E223))</f>
        <v>Camion 3.5t, diesel</v>
      </c>
      <c r="K18" s="32" t="str">
        <f>IF(Language=German,Lists!I223,IF(Language=French,Lists!J223,Lists!K223))</f>
        <v>Véhicules</v>
      </c>
      <c r="L18" s="32" t="s">
        <v>989</v>
      </c>
      <c r="M18" s="30" t="str">
        <f t="shared" si="0"/>
        <v>Véhicules</v>
      </c>
    </row>
    <row r="19" spans="1:13" x14ac:dyDescent="0.25">
      <c r="A19" s="29" t="s">
        <v>598</v>
      </c>
      <c r="B19" s="29" t="s">
        <v>601</v>
      </c>
      <c r="I19" s="41" t="s">
        <v>605</v>
      </c>
      <c r="J19" s="32" t="str">
        <f>IF(Language=German,Lists!C224,IF(Language=French,Lists!D224,Lists!E224))</f>
        <v>Camion 7.5t, diesel</v>
      </c>
      <c r="K19" s="32" t="str">
        <f>IF(Language=German,Lists!I224,IF(Language=French,Lists!J224,Lists!K224))</f>
        <v>Véhicules</v>
      </c>
      <c r="L19" s="32" t="s">
        <v>989</v>
      </c>
      <c r="M19" s="30" t="str">
        <f t="shared" si="0"/>
        <v>Véhicules</v>
      </c>
    </row>
    <row r="20" spans="1:13" x14ac:dyDescent="0.25">
      <c r="A20" s="29" t="s">
        <v>602</v>
      </c>
      <c r="B20" s="56" t="s">
        <v>603</v>
      </c>
      <c r="I20" s="41" t="s">
        <v>607</v>
      </c>
      <c r="J20" s="32" t="str">
        <f>IF(Language=German,Lists!C225,IF(Language=French,Lists!D225,Lists!E225))</f>
        <v>Camion 18t, diesel</v>
      </c>
      <c r="K20" s="32" t="str">
        <f>IF(Language=German,Lists!I225,IF(Language=French,Lists!J225,Lists!K225))</f>
        <v>Véhicules</v>
      </c>
      <c r="L20" s="32" t="s">
        <v>989</v>
      </c>
      <c r="M20" s="30" t="str">
        <f t="shared" si="0"/>
        <v>Véhicules</v>
      </c>
    </row>
    <row r="21" spans="1:13" x14ac:dyDescent="0.25">
      <c r="A21" s="29" t="s">
        <v>604</v>
      </c>
      <c r="B21" s="29" t="s">
        <v>605</v>
      </c>
      <c r="I21" s="41" t="s">
        <v>609</v>
      </c>
      <c r="J21" s="32" t="str">
        <f>IF(Language=German,Lists!C226,IF(Language=French,Lists!D226,Lists!E226))</f>
        <v>Camion 26t, diesel</v>
      </c>
      <c r="K21" s="32" t="str">
        <f>IF(Language=German,Lists!I226,IF(Language=French,Lists!J226,Lists!K226))</f>
        <v>Véhicules</v>
      </c>
      <c r="L21" s="32" t="s">
        <v>989</v>
      </c>
      <c r="M21" s="30" t="str">
        <f t="shared" si="0"/>
        <v>Véhicules</v>
      </c>
    </row>
    <row r="22" spans="1:13" x14ac:dyDescent="0.25">
      <c r="A22" s="29" t="s">
        <v>606</v>
      </c>
      <c r="B22" s="29" t="s">
        <v>607</v>
      </c>
      <c r="I22" s="41" t="s">
        <v>611</v>
      </c>
      <c r="J22" s="32" t="str">
        <f>IF(Language=German,Lists!C227,IF(Language=French,Lists!D227,Lists!E227))</f>
        <v>Camion 32t, diesel</v>
      </c>
      <c r="K22" s="32" t="str">
        <f>IF(Language=German,Lists!I227,IF(Language=French,Lists!J227,Lists!K227))</f>
        <v>Véhicules</v>
      </c>
      <c r="L22" s="32" t="s">
        <v>989</v>
      </c>
      <c r="M22" s="30" t="str">
        <f t="shared" si="0"/>
        <v>Véhicules</v>
      </c>
    </row>
    <row r="23" spans="1:13" x14ac:dyDescent="0.25">
      <c r="A23" s="29" t="s">
        <v>608</v>
      </c>
      <c r="B23" s="29" t="s">
        <v>609</v>
      </c>
      <c r="I23" s="41" t="s">
        <v>613</v>
      </c>
      <c r="J23" s="32" t="str">
        <f>IF(Language=German,Lists!C228,IF(Language=French,Lists!D228,Lists!E228))</f>
        <v>Camion 40t, diesel</v>
      </c>
      <c r="K23" s="32" t="str">
        <f>IF(Language=German,Lists!I228,IF(Language=French,Lists!J228,Lists!K228))</f>
        <v>Véhicules</v>
      </c>
      <c r="L23" s="32" t="s">
        <v>989</v>
      </c>
      <c r="M23" s="30" t="str">
        <f t="shared" si="0"/>
        <v>Véhicules</v>
      </c>
    </row>
    <row r="24" spans="1:13" x14ac:dyDescent="0.25">
      <c r="A24" s="29" t="s">
        <v>610</v>
      </c>
      <c r="B24" s="56" t="s">
        <v>611</v>
      </c>
      <c r="I24" s="41" t="s">
        <v>615</v>
      </c>
      <c r="J24" s="32" t="str">
        <f>IF(Language=German,Lists!C229,IF(Language=French,Lists!D229,Lists!E229))</f>
        <v>Camion 3.5 t, électrique</v>
      </c>
      <c r="K24" s="32" t="str">
        <f>IF(Language=German,Lists!I229,IF(Language=French,Lists!J229,Lists!K229))</f>
        <v>Véhicules</v>
      </c>
      <c r="L24" s="32" t="s">
        <v>88</v>
      </c>
      <c r="M24" s="30" t="str">
        <f t="shared" si="0"/>
        <v>Véhicules</v>
      </c>
    </row>
    <row r="25" spans="1:13" x14ac:dyDescent="0.25">
      <c r="A25" s="29" t="s">
        <v>612</v>
      </c>
      <c r="B25" s="56" t="s">
        <v>613</v>
      </c>
      <c r="I25" s="41" t="s">
        <v>618</v>
      </c>
      <c r="J25" s="32" t="str">
        <f>IF(Language=German,Lists!C230,IF(Language=French,Lists!D230,Lists!E230))</f>
        <v>Camion 7.5 t, électrique</v>
      </c>
      <c r="K25" s="32" t="str">
        <f>IF(Language=German,Lists!I230,IF(Language=French,Lists!J230,Lists!K230))</f>
        <v>Véhicules</v>
      </c>
      <c r="L25" s="32" t="s">
        <v>989</v>
      </c>
      <c r="M25" s="30" t="str">
        <f t="shared" si="0"/>
        <v>Véhicules</v>
      </c>
    </row>
    <row r="26" spans="1:13" x14ac:dyDescent="0.25">
      <c r="A26" s="29" t="s">
        <v>614</v>
      </c>
      <c r="B26" s="32" t="s">
        <v>615</v>
      </c>
      <c r="I26" s="41" t="s">
        <v>622</v>
      </c>
      <c r="J26" s="32" t="str">
        <f>IF(Language=German,Lists!C231,IF(Language=French,Lists!D231,Lists!E231))</f>
        <v>Camion 18t, électrique</v>
      </c>
      <c r="K26" s="32" t="str">
        <f>IF(Language=German,Lists!I231,IF(Language=French,Lists!J231,Lists!K231))</f>
        <v>Véhicules</v>
      </c>
      <c r="L26" s="32" t="s">
        <v>989</v>
      </c>
      <c r="M26" s="30" t="str">
        <f t="shared" si="0"/>
        <v>Véhicules</v>
      </c>
    </row>
    <row r="27" spans="1:13" x14ac:dyDescent="0.25">
      <c r="A27" s="29" t="s">
        <v>616</v>
      </c>
      <c r="B27" s="32" t="s">
        <v>618</v>
      </c>
      <c r="I27" s="41" t="s">
        <v>626</v>
      </c>
      <c r="J27" s="32" t="str">
        <f>IF(Language=German,Lists!C232,IF(Language=French,Lists!D232,Lists!E232))</f>
        <v>Camion 26t, électrique</v>
      </c>
      <c r="K27" s="32" t="str">
        <f>IF(Language=German,Lists!I232,IF(Language=French,Lists!J232,Lists!K232))</f>
        <v>Véhicules</v>
      </c>
      <c r="L27" s="32" t="s">
        <v>989</v>
      </c>
      <c r="M27" s="30" t="str">
        <f t="shared" si="0"/>
        <v>Véhicules</v>
      </c>
    </row>
    <row r="28" spans="1:13" x14ac:dyDescent="0.25">
      <c r="A28" s="29" t="s">
        <v>619</v>
      </c>
      <c r="B28" s="29" t="s">
        <v>622</v>
      </c>
      <c r="I28" s="41" t="s">
        <v>630</v>
      </c>
      <c r="J28" s="32" t="str">
        <f>IF(Language=German,Lists!C233,IF(Language=French,Lists!D233,Lists!E233))</f>
        <v>Camion 32t, électrique</v>
      </c>
      <c r="K28" s="32" t="str">
        <f>IF(Language=German,Lists!I233,IF(Language=French,Lists!J233,Lists!K233))</f>
        <v>Véhicules</v>
      </c>
      <c r="L28" s="32" t="s">
        <v>989</v>
      </c>
      <c r="M28" s="30" t="str">
        <f t="shared" si="0"/>
        <v>Véhicules</v>
      </c>
    </row>
    <row r="29" spans="1:13" x14ac:dyDescent="0.25">
      <c r="A29" s="29" t="s">
        <v>623</v>
      </c>
      <c r="B29" s="29" t="s">
        <v>626</v>
      </c>
      <c r="I29" s="41" t="s">
        <v>634</v>
      </c>
      <c r="J29" s="32" t="str">
        <f>IF(Language=German,Lists!C234,IF(Language=French,Lists!D234,Lists!E234))</f>
        <v>Camion 40t, électrique</v>
      </c>
      <c r="K29" s="32" t="str">
        <f>IF(Language=German,Lists!I234,IF(Language=French,Lists!J234,Lists!K234))</f>
        <v>Véhicules</v>
      </c>
      <c r="L29" s="32" t="s">
        <v>989</v>
      </c>
      <c r="M29" s="30" t="str">
        <f t="shared" si="0"/>
        <v>Véhicules</v>
      </c>
    </row>
    <row r="30" spans="1:13" x14ac:dyDescent="0.25">
      <c r="A30" s="29" t="s">
        <v>627</v>
      </c>
      <c r="B30" s="29" t="s">
        <v>630</v>
      </c>
      <c r="I30" s="41" t="s">
        <v>637</v>
      </c>
      <c r="J30" s="32" t="str">
        <f>IF(Language=German,Lists!C235,IF(Language=French,Lists!D235,Lists!E235))</f>
        <v>Autocar 9m</v>
      </c>
      <c r="K30" s="32" t="str">
        <f>IF(Language=German,Lists!I235,IF(Language=French,Lists!J235,Lists!K235))</f>
        <v>Véhicules</v>
      </c>
      <c r="L30" s="32" t="s">
        <v>989</v>
      </c>
      <c r="M30" s="30" t="str">
        <f t="shared" si="0"/>
        <v>Véhicules</v>
      </c>
    </row>
    <row r="31" spans="1:13" x14ac:dyDescent="0.25">
      <c r="A31" s="29" t="s">
        <v>631</v>
      </c>
      <c r="B31" s="56" t="s">
        <v>634</v>
      </c>
      <c r="I31" s="41" t="s">
        <v>640</v>
      </c>
      <c r="J31" s="32" t="str">
        <f>IF(Language=German,Lists!C236,IF(Language=French,Lists!D236,Lists!E236))</f>
        <v>Autocar 13m</v>
      </c>
      <c r="K31" s="32" t="str">
        <f>IF(Language=German,Lists!I236,IF(Language=French,Lists!J236,Lists!K236))</f>
        <v>Véhicules</v>
      </c>
      <c r="L31" s="32" t="s">
        <v>989</v>
      </c>
      <c r="M31" s="30" t="str">
        <f t="shared" si="0"/>
        <v>Véhicules</v>
      </c>
    </row>
    <row r="32" spans="1:13" x14ac:dyDescent="0.25">
      <c r="A32" s="29" t="s">
        <v>635</v>
      </c>
      <c r="B32" s="29" t="s">
        <v>637</v>
      </c>
      <c r="I32" s="41" t="s">
        <v>644</v>
      </c>
      <c r="J32" s="32" t="str">
        <f>IF(Language=German,Lists!C237,IF(Language=French,Lists!D237,Lists!E237))</f>
        <v>Machine de construction</v>
      </c>
      <c r="K32" s="32" t="str">
        <f>IF(Language=German,Lists!I237,IF(Language=French,Lists!J237,Lists!K237))</f>
        <v>Véhicules</v>
      </c>
      <c r="L32" s="32" t="s">
        <v>989</v>
      </c>
      <c r="M32" s="30" t="str">
        <f t="shared" si="0"/>
        <v>Véhicules</v>
      </c>
    </row>
    <row r="33" spans="1:13" x14ac:dyDescent="0.25">
      <c r="A33" s="29" t="s">
        <v>638</v>
      </c>
      <c r="B33" s="29" t="s">
        <v>640</v>
      </c>
      <c r="I33" s="41" t="s">
        <v>645</v>
      </c>
      <c r="J33" s="32" t="str">
        <f>IF(Language=German,Lists!C238,IF(Language=French,Lists!D238,Lists!E238))</f>
        <v>Machine, génériques, par kg</v>
      </c>
      <c r="K33" s="32" t="str">
        <f>IF(Language=German,Lists!I238,IF(Language=French,Lists!J238,Lists!K238))</f>
        <v>Machines</v>
      </c>
      <c r="L33" s="32" t="s">
        <v>88</v>
      </c>
      <c r="M33" s="30" t="str">
        <f t="shared" si="0"/>
        <v>Véhicules</v>
      </c>
    </row>
    <row r="34" spans="1:13" x14ac:dyDescent="0.25">
      <c r="A34" s="29" t="s">
        <v>641</v>
      </c>
      <c r="B34" s="29" t="s">
        <v>2037</v>
      </c>
      <c r="I34" s="41" t="s">
        <v>648</v>
      </c>
      <c r="J34" s="32" t="str">
        <f>IF(Language=German,Lists!C239,IF(Language=French,Lists!D239,Lists!E239))</f>
        <v>Machine, haute technologie, par kg</v>
      </c>
      <c r="K34" s="32" t="str">
        <f>IF(Language=German,Lists!I239,IF(Language=French,Lists!J239,Lists!K239))</f>
        <v>Machines</v>
      </c>
      <c r="L34" s="32" t="s">
        <v>88</v>
      </c>
      <c r="M34" s="30" t="str">
        <f t="shared" si="0"/>
        <v>Machines</v>
      </c>
    </row>
    <row r="35" spans="1:13" ht="30" x14ac:dyDescent="0.25">
      <c r="I35" s="45" t="s">
        <v>650</v>
      </c>
      <c r="J35" s="32" t="str">
        <f>IF(Language=German,Lists!C240,IF(Language=French,Lists!D240,Lists!E240))</f>
        <v>Machine, ménagères, par kg</v>
      </c>
      <c r="K35" s="32" t="str">
        <f>IF(Language=German,Lists!I240,IF(Language=French,Lists!J240,Lists!K240))</f>
        <v>Machines</v>
      </c>
      <c r="L35" s="45" t="s">
        <v>88</v>
      </c>
      <c r="M35" s="30" t="str">
        <f t="shared" si="0"/>
        <v>Machines</v>
      </c>
    </row>
    <row r="36" spans="1:13" x14ac:dyDescent="0.25">
      <c r="A36" s="34" t="s">
        <v>646</v>
      </c>
      <c r="M36" s="30" t="str">
        <f t="shared" si="0"/>
        <v>Machines</v>
      </c>
    </row>
    <row r="37" spans="1:13" x14ac:dyDescent="0.25">
      <c r="A37" s="29" t="s">
        <v>2038</v>
      </c>
      <c r="B37" s="29" t="s">
        <v>645</v>
      </c>
    </row>
    <row r="38" spans="1:13" x14ac:dyDescent="0.25">
      <c r="A38" s="29" t="s">
        <v>647</v>
      </c>
      <c r="B38" s="56" t="s">
        <v>2039</v>
      </c>
    </row>
    <row r="39" spans="1:13" x14ac:dyDescent="0.25">
      <c r="A39" s="29" t="s">
        <v>649</v>
      </c>
      <c r="B39" s="29" t="s">
        <v>2040</v>
      </c>
    </row>
    <row r="41" spans="1:13" x14ac:dyDescent="0.25">
      <c r="A41" s="34" t="s">
        <v>2041</v>
      </c>
    </row>
    <row r="42" spans="1:13" x14ac:dyDescent="0.25">
      <c r="A42" s="29" t="s">
        <v>2042</v>
      </c>
    </row>
    <row r="49" spans="3:4" x14ac:dyDescent="0.25">
      <c r="C49" s="56"/>
      <c r="D49" s="57"/>
    </row>
    <row r="50" spans="3:4" x14ac:dyDescent="0.25">
      <c r="D50" s="58"/>
    </row>
  </sheetData>
  <conditionalFormatting sqref="B38">
    <cfRule type="duplicateValues" dxfId="1" priority="1"/>
  </conditionalFormatting>
  <conditionalFormatting sqref="C49">
    <cfRule type="duplicateValues" dxfId="0" priority="2"/>
  </conditionalFormatting>
  <pageMargins left="0.7" right="0.7" top="0.78740157499999996" bottom="0.78740157499999996"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5A5C9-823B-4FA0-B835-47C68DE2E23E}">
  <sheetPr codeName="Sheet12"/>
  <dimension ref="A1:O416"/>
  <sheetViews>
    <sheetView topLeftCell="C2" workbookViewId="0">
      <selection activeCell="G7" sqref="G7"/>
    </sheetView>
  </sheetViews>
  <sheetFormatPr defaultColWidth="10.7109375" defaultRowHeight="15" x14ac:dyDescent="0.25"/>
  <cols>
    <col min="1" max="2" width="19.42578125" style="29" customWidth="1"/>
    <col min="3" max="3" width="53.28515625" style="482" customWidth="1"/>
    <col min="4" max="4" width="58.7109375" style="29" customWidth="1"/>
    <col min="5" max="5" width="45.42578125" style="29" customWidth="1"/>
    <col min="6" max="6" width="57.140625" style="29" customWidth="1"/>
    <col min="7" max="7" width="49.7109375" style="29" customWidth="1"/>
    <col min="8" max="8" width="13.42578125" style="29" bestFit="1" customWidth="1"/>
    <col min="9" max="16384" width="10.7109375" style="29"/>
  </cols>
  <sheetData>
    <row r="1" spans="1:13" s="287" customFormat="1" ht="28.15" customHeight="1" x14ac:dyDescent="0.25">
      <c r="A1" s="360" t="s">
        <v>27421</v>
      </c>
      <c r="B1" s="361"/>
      <c r="C1" s="362" t="s">
        <v>27420</v>
      </c>
      <c r="D1" s="361" t="s">
        <v>833</v>
      </c>
      <c r="E1" s="361" t="s">
        <v>1</v>
      </c>
      <c r="F1" s="361" t="s">
        <v>27519</v>
      </c>
      <c r="G1" s="361" t="s">
        <v>1775</v>
      </c>
      <c r="H1" s="17"/>
    </row>
    <row r="2" spans="1:13" ht="30" x14ac:dyDescent="0.4">
      <c r="A2" s="445" t="s">
        <v>2106</v>
      </c>
      <c r="B2" s="443"/>
      <c r="C2" s="446" t="s">
        <v>3</v>
      </c>
      <c r="D2" s="447" t="str" cm="1">
        <f t="array" ref="D2">_xlfn.IFS(
    Language=German,E2,
    Language=French,F2,
    Language=Italian,G2
)</f>
        <v>Office fédéral de l'énergie OFEN</v>
      </c>
      <c r="E2" s="443" t="s">
        <v>2</v>
      </c>
      <c r="F2" s="443" t="s">
        <v>27419</v>
      </c>
      <c r="G2" s="443" t="s">
        <v>27423</v>
      </c>
      <c r="H2" s="443"/>
    </row>
    <row r="3" spans="1:13" x14ac:dyDescent="0.25">
      <c r="A3" s="443"/>
      <c r="B3" s="443"/>
      <c r="C3" s="446" t="s">
        <v>5</v>
      </c>
      <c r="D3" s="447" t="str" cm="1">
        <f t="array" ref="D3">_xlfn.IFS(
    Language=German,E3,
    Language=French,F3,
    Language=Italian,G3
)</f>
        <v>Office fédéral de l'environnement OFEV</v>
      </c>
      <c r="E3" s="443" t="s">
        <v>4</v>
      </c>
      <c r="F3" s="443" t="s">
        <v>27417</v>
      </c>
      <c r="G3" s="443" t="s">
        <v>27418</v>
      </c>
      <c r="H3" s="443"/>
    </row>
    <row r="4" spans="1:13" ht="30" x14ac:dyDescent="0.4">
      <c r="A4" s="443"/>
      <c r="B4" s="443"/>
      <c r="C4" s="446" t="s">
        <v>7</v>
      </c>
      <c r="D4" s="448" t="str" cm="1">
        <f t="array" ref="D4">_xlfn.IFS(
    Language=German,E4,
    Language=French,F4,
    Language=Italian,G4
)</f>
        <v>Informations générales</v>
      </c>
      <c r="E4" s="443" t="s">
        <v>6</v>
      </c>
      <c r="F4" s="443" t="s">
        <v>2107</v>
      </c>
      <c r="G4" s="443" t="s">
        <v>2108</v>
      </c>
      <c r="H4" s="443"/>
      <c r="I4" s="445"/>
      <c r="J4" s="445"/>
      <c r="K4" s="445"/>
      <c r="L4" s="445"/>
      <c r="M4" s="445"/>
    </row>
    <row r="5" spans="1:13" ht="30" x14ac:dyDescent="0.4">
      <c r="A5" s="443"/>
      <c r="B5" s="443"/>
      <c r="C5" s="446" t="s">
        <v>9</v>
      </c>
      <c r="D5" s="448" t="str" cm="1">
        <f t="array" ref="D5">_xlfn.IFS(
    Language=German,E5,
    Language=French,F5,
    Language=Italian,G5
)</f>
        <v>Corporate Footprint Calculator</v>
      </c>
      <c r="E5" s="443" t="s">
        <v>8</v>
      </c>
      <c r="F5" s="443" t="s">
        <v>8</v>
      </c>
      <c r="G5" s="443" t="s">
        <v>8</v>
      </c>
      <c r="H5" s="443"/>
      <c r="I5" s="445"/>
      <c r="J5" s="445"/>
      <c r="K5" s="445"/>
      <c r="L5" s="445"/>
      <c r="M5" s="445"/>
    </row>
    <row r="6" spans="1:13" ht="18" x14ac:dyDescent="0.25">
      <c r="A6" s="443"/>
      <c r="B6" s="443"/>
      <c r="C6" s="446" t="s">
        <v>10</v>
      </c>
      <c r="D6" s="449" t="str" cm="1">
        <f t="array" ref="D6">_xlfn.IFS(
    Language=German,E6,
    Language=French,F6,
    Language=Italian,G6
)</f>
        <v>v1.4 septembre 2026</v>
      </c>
      <c r="E6" s="443" t="s">
        <v>29018</v>
      </c>
      <c r="F6" s="443" t="s">
        <v>29017</v>
      </c>
      <c r="G6" s="443" t="s">
        <v>29019</v>
      </c>
      <c r="H6" s="443"/>
      <c r="I6" s="449"/>
      <c r="J6" s="449"/>
      <c r="K6" s="449"/>
      <c r="L6" s="449"/>
      <c r="M6" s="449"/>
    </row>
    <row r="7" spans="1:13" ht="409.6" x14ac:dyDescent="0.25">
      <c r="A7" s="443"/>
      <c r="B7" s="443"/>
      <c r="C7" s="446" t="s">
        <v>11</v>
      </c>
      <c r="D7" s="450" t="str" cm="1">
        <f t="array" ref="D7">_xlfn.IFS(
    Language=German,E7,
    Language=French,F7,
    Language=Italian,G7
)</f>
        <v>Le Corporate Footprint Calculator est publié et maintenu par l'OFEN et l'OFEV afin de faciliter la quantification des émissions de gaz à effet de serre et des impacts environnementaux des entreprises et organisations. Les impacts directs et indirects en amont et en aval peuvent être calculés. Les calculs sont principalement basés sur la base de données d’inventaires écologiques de l’Administration fédérale suisse BAFU:2025 et sont méthodologiquement conformes au GHG Protocol, adapté aux réglementations antionales spécifiques à la Suisse. Les données saisies, les calculs et les données de base peuvent servir de base pour le reporting et la gestion de la durabilité (par exemple, pour des feuilles de route net-zéro selon la loi sur le climat et l’innovation LCl, SBTi, Ecovadis, CDP, CSRD).
Une feuille de route net-zéro pour les entreprises ou les branches est un instrument volontaire du gouvernement fédéral. Cependant, les demandes de financement conformément à l’art. 6 LCl (encouragement de technologies et de processus innovants) doivent être accompagnées d’une feuille de route net-zéro. Une telle feuille de route repose sur un bilan des gaz à effet de serre, qui peut être créé avec l’outil disponible.
L’outil peut également être utilisé par les institutions publiques (par exemple les administrations municipales et cantonales) pour calculer leur empreinte écologique, même si la méthodologie de calcul de l’outil est principalement prévue pour les entreprises.
Pour remplir l’outil, vous avez besoin de données différentes de votre entreprise (par exemple, le type de chauffage et la consommation sur tous les sites, la consommation de carburant des véhicules, les biens et services achetés), que vous devez traiter et consolider partiellement pour l’ensemble de l’entreprise. L’outil peut également être rempli plusieurs fois pour différentes unités d’activité.</v>
      </c>
      <c r="E7" s="444" t="s">
        <v>28848</v>
      </c>
      <c r="F7" s="444" t="s">
        <v>28847</v>
      </c>
      <c r="G7" s="444" t="s">
        <v>28849</v>
      </c>
      <c r="H7" s="443"/>
      <c r="I7" s="443"/>
      <c r="J7" s="443"/>
      <c r="K7" s="443"/>
      <c r="L7" s="443"/>
      <c r="M7" s="443"/>
    </row>
    <row r="8" spans="1:13" ht="19.5" customHeight="1" x14ac:dyDescent="0.25">
      <c r="A8" s="451" t="s">
        <v>2109</v>
      </c>
      <c r="B8" s="443"/>
      <c r="C8" s="446" t="s">
        <v>13</v>
      </c>
      <c r="D8" s="452" t="str" cm="1">
        <f t="array" ref="D8">_xlfn.IFS(
    Language=German,E8,
    Language=French,F8,
    Language=Italian,G8
)</f>
        <v>Structure de l’outil</v>
      </c>
      <c r="E8" s="443" t="s">
        <v>12</v>
      </c>
      <c r="F8" s="443" t="s">
        <v>2110</v>
      </c>
      <c r="G8" s="443" t="s">
        <v>2111</v>
      </c>
      <c r="H8" s="443"/>
      <c r="I8" s="450"/>
      <c r="J8" s="450"/>
      <c r="K8" s="450"/>
      <c r="L8" s="450"/>
      <c r="M8" s="450"/>
    </row>
    <row r="9" spans="1:13" x14ac:dyDescent="0.25">
      <c r="A9" s="443"/>
      <c r="B9" s="443"/>
      <c r="C9" s="446" t="s">
        <v>15</v>
      </c>
      <c r="D9" s="450" t="str" cm="1">
        <f t="array" ref="D9">_xlfn.IFS(
    Language=German,E9,
    Language=French,F9,
    Language=Italian,G9
)</f>
        <v>Les cinq tableaux Excel suivants doivent être traités dans l’ordre (de gauche à droite) :</v>
      </c>
      <c r="E9" s="443" t="s">
        <v>14</v>
      </c>
      <c r="F9" s="443" t="s">
        <v>27755</v>
      </c>
      <c r="G9" s="443" t="s">
        <v>2112</v>
      </c>
      <c r="H9" s="443"/>
      <c r="I9" s="453"/>
      <c r="J9" s="453"/>
      <c r="K9" s="453"/>
      <c r="L9" s="453"/>
      <c r="M9" s="453"/>
    </row>
    <row r="10" spans="1:13" x14ac:dyDescent="0.25">
      <c r="A10" s="443"/>
      <c r="B10" s="443"/>
      <c r="C10" s="446" t="s">
        <v>17</v>
      </c>
      <c r="D10" s="454" t="str" cm="1">
        <f t="array" ref="D10">_xlfn.IFS(
    Language=German,E10,
    Language=French,F10,
    Language=Italian,G10
)</f>
        <v>1. General Inputs</v>
      </c>
      <c r="E10" s="443" t="s">
        <v>16</v>
      </c>
      <c r="F10" s="443" t="s">
        <v>16</v>
      </c>
      <c r="G10" s="443" t="s">
        <v>16</v>
      </c>
      <c r="H10" s="443"/>
      <c r="I10" s="450"/>
      <c r="J10" s="450"/>
      <c r="K10" s="450"/>
      <c r="L10" s="450"/>
      <c r="M10" s="450"/>
    </row>
    <row r="11" spans="1:13" x14ac:dyDescent="0.25">
      <c r="A11" s="443"/>
      <c r="B11" s="443"/>
      <c r="C11" s="446" t="s">
        <v>19</v>
      </c>
      <c r="D11" s="450" t="str" cm="1">
        <f t="array" ref="D11">_xlfn.IFS(
    Language=German,E11,
    Language=French,F11,
    Language=Italian,G11
)</f>
        <v>D’abord, définissez l’unité opérationnelle à prendre en compte (par exemple, l’ensemble de l’entreprise ou les emplacements/unités individuels), la période et le périmètre du bilan. Cela fait automatiquement griser les zones qui ne sont pas pertinentes pour votre entreprise dans les champs d’entrée suivants.</v>
      </c>
      <c r="E11" s="443" t="s">
        <v>18</v>
      </c>
      <c r="F11" s="443" t="s">
        <v>27756</v>
      </c>
      <c r="G11" s="443" t="s">
        <v>28423</v>
      </c>
      <c r="H11" s="443"/>
      <c r="I11" s="450"/>
      <c r="J11" s="450"/>
      <c r="K11" s="450"/>
      <c r="L11" s="450"/>
      <c r="M11" s="450"/>
    </row>
    <row r="12" spans="1:13" x14ac:dyDescent="0.25">
      <c r="A12" s="443"/>
      <c r="B12" s="443"/>
      <c r="C12" s="446" t="s">
        <v>21</v>
      </c>
      <c r="D12" s="454" t="str" cm="1">
        <f t="array" ref="D12">_xlfn.IFS(
    Language=German,E12,
    Language=French,F12,
    Language=Italian,G12
)</f>
        <v>2. Data Inputs</v>
      </c>
      <c r="E12" s="443" t="s">
        <v>20</v>
      </c>
      <c r="F12" s="443" t="s">
        <v>20</v>
      </c>
      <c r="G12" s="443" t="s">
        <v>20</v>
      </c>
      <c r="H12" s="443"/>
      <c r="I12" s="450"/>
      <c r="J12" s="450"/>
      <c r="K12" s="450"/>
      <c r="L12" s="450"/>
      <c r="M12" s="450"/>
    </row>
    <row r="13" spans="1:13" ht="15" customHeight="1" x14ac:dyDescent="0.25">
      <c r="A13" s="443"/>
      <c r="B13" s="443"/>
      <c r="C13" s="446" t="s">
        <v>23</v>
      </c>
      <c r="D13" s="450" t="str" cm="1">
        <f t="array" ref="D13">_xlfn.IFS(
    Language=German,E13,
    Language=French,F13,
    Language=Italian,G13
)</f>
        <v>Pour toutes les zones restantes, vous entrez désormais les données de votre entreprise. Toutes les données doivent être rassemblées pour l’unité opérationnelle précédemment définie. La collecte de données peut demander un certain effort. La qualité de ces données détermine la qualité de vos résultats.
Le « User Manual » donne des conseils utiles pour le remplir, le « Developer Manual » explique comment les champs de saisie et les calculs correspondants peuvent être modifiés (voir ci-dessous).</v>
      </c>
      <c r="E13" s="443" t="s">
        <v>22</v>
      </c>
      <c r="F13" s="443" t="s">
        <v>27757</v>
      </c>
      <c r="G13" s="444" t="s">
        <v>28424</v>
      </c>
      <c r="H13" s="443"/>
      <c r="I13" s="450"/>
      <c r="J13" s="450"/>
      <c r="K13" s="450"/>
      <c r="L13" s="450"/>
      <c r="M13" s="450"/>
    </row>
    <row r="14" spans="1:13" x14ac:dyDescent="0.25">
      <c r="A14" s="443"/>
      <c r="B14" s="443"/>
      <c r="C14" s="446" t="s">
        <v>25</v>
      </c>
      <c r="D14" s="455" t="str" cm="1">
        <f t="array" ref="D14">_xlfn.IFS(
    Language=German,E14,
    Language=French,F14,
    Language=Italian,G14
)</f>
        <v>3. Calculation</v>
      </c>
      <c r="E14" s="443" t="s">
        <v>24</v>
      </c>
      <c r="F14" s="443" t="s">
        <v>24</v>
      </c>
      <c r="G14" s="443" t="s">
        <v>24</v>
      </c>
      <c r="H14" s="443"/>
      <c r="I14" s="450"/>
      <c r="J14" s="450"/>
      <c r="K14" s="450"/>
      <c r="L14" s="450"/>
      <c r="M14" s="450"/>
    </row>
    <row r="15" spans="1:13" x14ac:dyDescent="0.25">
      <c r="A15" s="443"/>
      <c r="B15" s="443"/>
      <c r="C15" s="446" t="s">
        <v>26</v>
      </c>
      <c r="D15" s="450" t="str" cm="1">
        <f t="array" ref="D15">_xlfn.IFS(
    Language=German,E15,
    Language=French,F15,
    Language=Italian,G15
)</f>
        <v>Grâce aux informations contenues dans les feuilles de calcul précédentes, les émissions de gaz à effet de serre, ainsi que les émissions biogéniques de gaz à effet de serre et les points d’impact environnementaux des Scope 1, 2 et 3 selon le GHG Protocol sont calculés automatiquement. Vous n’avez rien à remplir ici.</v>
      </c>
      <c r="E15" s="443" t="s">
        <v>27497</v>
      </c>
      <c r="F15" s="443" t="s">
        <v>27758</v>
      </c>
      <c r="G15" s="443" t="s">
        <v>28425</v>
      </c>
      <c r="H15" s="443"/>
      <c r="I15" s="450"/>
      <c r="J15" s="450"/>
      <c r="K15" s="450"/>
      <c r="L15" s="450"/>
      <c r="M15" s="450"/>
    </row>
    <row r="16" spans="1:13" ht="15" customHeight="1" x14ac:dyDescent="0.25">
      <c r="A16" s="443"/>
      <c r="B16" s="443"/>
      <c r="C16" s="446" t="s">
        <v>28</v>
      </c>
      <c r="D16" s="454" t="str" cm="1">
        <f t="array" ref="D16">_xlfn.IFS(
    Language=German,E16,
    Language=French,F16,
    Language=Italian,G16
)</f>
        <v>4. Dashboard</v>
      </c>
      <c r="E16" s="443" t="s">
        <v>27</v>
      </c>
      <c r="F16" s="443" t="s">
        <v>27</v>
      </c>
      <c r="G16" s="443" t="s">
        <v>27</v>
      </c>
      <c r="H16" s="443"/>
      <c r="I16" s="450"/>
      <c r="J16" s="450"/>
      <c r="K16" s="450"/>
      <c r="L16" s="450"/>
      <c r="M16" s="450"/>
    </row>
    <row r="17" spans="1:13" x14ac:dyDescent="0.25">
      <c r="A17" s="443"/>
      <c r="B17" s="443"/>
      <c r="C17" s="446" t="s">
        <v>30</v>
      </c>
      <c r="D17" s="450" t="str" cm="1">
        <f t="array" ref="D17">_xlfn.IFS(
    Language=German,E17,
    Language=French,F17,
    Language=Italian,G17
)</f>
        <v>Enfin, les résultats du bilan de l’unité opérationnelle définie issus de la feuille précédente sont résumés. Vous n’avez rien à remplir ici.</v>
      </c>
      <c r="E17" s="443" t="s">
        <v>29</v>
      </c>
      <c r="F17" s="443" t="s">
        <v>27759</v>
      </c>
      <c r="G17" s="443" t="s">
        <v>28426</v>
      </c>
      <c r="H17" s="443"/>
      <c r="I17" s="450"/>
      <c r="J17" s="450"/>
      <c r="K17" s="450"/>
      <c r="L17" s="450"/>
      <c r="M17" s="450"/>
    </row>
    <row r="18" spans="1:13" x14ac:dyDescent="0.25">
      <c r="A18" s="443"/>
      <c r="B18" s="443"/>
      <c r="C18" s="446" t="s">
        <v>32</v>
      </c>
      <c r="D18" s="454" t="str" cm="1">
        <f t="array" ref="D18">_xlfn.IFS(
    Language=German,E18,
    Language=French,F18,
    Language=Italian,G18
)</f>
        <v>5. BG Data</v>
      </c>
      <c r="E18" s="443" t="s">
        <v>31</v>
      </c>
      <c r="F18" s="443" t="s">
        <v>31</v>
      </c>
      <c r="G18" s="443" t="s">
        <v>31</v>
      </c>
      <c r="H18" s="443"/>
      <c r="I18" s="450"/>
      <c r="J18" s="450"/>
      <c r="K18" s="450"/>
      <c r="L18" s="450"/>
      <c r="M18" s="450"/>
    </row>
    <row r="19" spans="1:13" ht="15" customHeight="1" x14ac:dyDescent="0.25">
      <c r="A19" s="443"/>
      <c r="B19" s="443"/>
      <c r="C19" s="446" t="s">
        <v>33</v>
      </c>
      <c r="D19" s="450" t="str" cm="1">
        <f t="array" ref="D19">_xlfn.IFS(
    Language=German,E19,
    Language=French,F19,
    Language=Italian,G19
)</f>
        <v>Cette feuille regroupe toutes les données de fond utilisées dans l'outil. La plupart des données de fond utilisées dans l’outil proviennent de la base de données d’inventaires écologiques de l’Administration fédérale suisse BAFU:2025, qui est disponible ici. Pour le bilan d’entreprise, vous n’êtes pas obligé d’affecter ces données vous-même.</v>
      </c>
      <c r="E19" s="443" t="s">
        <v>28512</v>
      </c>
      <c r="F19" s="443" t="s">
        <v>28513</v>
      </c>
      <c r="G19" s="443" t="s">
        <v>28514</v>
      </c>
      <c r="H19" s="443"/>
      <c r="I19" s="450"/>
      <c r="J19" s="450"/>
      <c r="K19" s="450"/>
      <c r="L19" s="450"/>
      <c r="M19" s="450"/>
    </row>
    <row r="20" spans="1:13" ht="19.5" x14ac:dyDescent="0.25">
      <c r="A20" s="451" t="s">
        <v>2113</v>
      </c>
      <c r="B20" s="443"/>
      <c r="C20" s="446" t="s">
        <v>35</v>
      </c>
      <c r="D20" s="452" t="str" cm="1">
        <f t="array" ref="D20">_xlfn.IFS(
    Language=German,E20,
    Language=French,F20,
    Language=Italian,G20
)</f>
        <v>Pour en savoir plus</v>
      </c>
      <c r="E20" s="443" t="s">
        <v>34</v>
      </c>
      <c r="F20" s="443" t="s">
        <v>2114</v>
      </c>
      <c r="G20" s="443" t="s">
        <v>2115</v>
      </c>
      <c r="H20" s="450"/>
      <c r="I20" s="450"/>
      <c r="J20" s="450"/>
      <c r="K20" s="450"/>
      <c r="L20" s="450"/>
      <c r="M20" s="450"/>
    </row>
    <row r="21" spans="1:13" x14ac:dyDescent="0.25">
      <c r="A21" s="443"/>
      <c r="B21" s="443"/>
      <c r="C21" s="446" t="s">
        <v>37</v>
      </c>
      <c r="D21" s="450" t="str" cm="1">
        <f t="array" ref="D21">_xlfn.IFS(
    Language=German,E21,
    Language=French,F21,
    Language=Italian,G21
)</f>
        <v>Vous trouverez ici la dernière version de l’outil ainsi que les documents associés :</v>
      </c>
      <c r="E21" s="443" t="s">
        <v>36</v>
      </c>
      <c r="F21" s="443" t="s">
        <v>27760</v>
      </c>
      <c r="G21" s="443" t="s">
        <v>28427</v>
      </c>
      <c r="H21" s="443"/>
      <c r="I21" s="443"/>
      <c r="J21" s="443"/>
      <c r="K21" s="443"/>
      <c r="L21" s="443"/>
      <c r="M21" s="443"/>
    </row>
    <row r="22" spans="1:13" x14ac:dyDescent="0.25">
      <c r="A22" s="443"/>
      <c r="B22" s="443"/>
      <c r="C22" s="446" t="s">
        <v>39</v>
      </c>
      <c r="D22" s="456" t="str" cm="1">
        <f t="array" ref="D22">_xlfn.IFS(
    Language=German,E22,
    Language=French,F22,
    Language=Italian,G22
)</f>
        <v>Site web de l'OFEN</v>
      </c>
      <c r="E22" s="443" t="s">
        <v>38</v>
      </c>
      <c r="F22" s="443" t="s">
        <v>27422</v>
      </c>
      <c r="G22" s="443" t="s">
        <v>28428</v>
      </c>
      <c r="H22" s="443"/>
      <c r="I22" s="443"/>
      <c r="J22" s="443"/>
      <c r="K22" s="443"/>
      <c r="L22" s="443"/>
      <c r="M22" s="443"/>
    </row>
    <row r="23" spans="1:13" x14ac:dyDescent="0.25">
      <c r="A23" s="443"/>
      <c r="B23" s="443"/>
      <c r="C23" s="446" t="s">
        <v>41</v>
      </c>
      <c r="D23" s="450" t="str" cm="1">
        <f t="array" ref="D23">_xlfn.IFS(
    Language=German,E23,
    Language=French,F23,
    Language=Italian,G23
)</f>
        <v>Le téléchargement comprend les éléments suivants :</v>
      </c>
      <c r="E23" s="443" t="s">
        <v>40</v>
      </c>
      <c r="F23" s="443" t="s">
        <v>2116</v>
      </c>
      <c r="G23" s="443" t="s">
        <v>2117</v>
      </c>
      <c r="H23" s="443"/>
      <c r="I23" s="443"/>
      <c r="J23" s="443"/>
      <c r="K23" s="443"/>
      <c r="L23" s="443"/>
      <c r="M23" s="443"/>
    </row>
    <row r="24" spans="1:13" x14ac:dyDescent="0.25">
      <c r="A24" s="443"/>
      <c r="B24" s="443"/>
      <c r="C24" s="446" t="s">
        <v>43</v>
      </c>
      <c r="D24" s="450" t="str" cm="1">
        <f t="array" ref="D24">_xlfn.IFS(
    Language=German,E24,
    Language=French,F24,
    Language=Italian,G24
)</f>
        <v>User Manual</v>
      </c>
      <c r="E24" s="450" t="s">
        <v>42</v>
      </c>
      <c r="F24" s="450" t="s">
        <v>42</v>
      </c>
      <c r="G24" s="450" t="s">
        <v>42</v>
      </c>
      <c r="H24" s="443"/>
      <c r="I24" s="443"/>
      <c r="J24" s="443"/>
      <c r="K24" s="443"/>
      <c r="L24" s="443"/>
      <c r="M24" s="443"/>
    </row>
    <row r="25" spans="1:13" ht="15" customHeight="1" x14ac:dyDescent="0.25">
      <c r="A25" s="443"/>
      <c r="B25" s="443"/>
      <c r="C25" s="446" t="s">
        <v>44</v>
      </c>
      <c r="D25" s="450" t="str" cm="1">
        <f t="array" ref="D25">_xlfn.IFS(
    Language=German,E25,
    Language=French,F25,
    Language=Italian,G25
)</f>
        <v>Le guide de l’utilisateur vous guide étape par étape dans l’outil et donne des conseils pratiques sur la collecte de données et la manière de remplir l’outil.</v>
      </c>
      <c r="E25" s="443" t="s">
        <v>28397</v>
      </c>
      <c r="F25" s="443" t="s">
        <v>2118</v>
      </c>
      <c r="G25" s="443" t="s">
        <v>28429</v>
      </c>
      <c r="H25" s="443"/>
      <c r="I25" s="443"/>
      <c r="J25" s="443"/>
      <c r="K25" s="443"/>
      <c r="L25" s="443"/>
      <c r="M25" s="443"/>
    </row>
    <row r="26" spans="1:13" x14ac:dyDescent="0.25">
      <c r="A26" s="443"/>
      <c r="B26" s="443"/>
      <c r="C26" s="446" t="s">
        <v>46</v>
      </c>
      <c r="D26" s="450" t="str" cm="1">
        <f t="array" ref="D26">_xlfn.IFS(
    Language=German,E26,
    Language=French,F26,
    Language=Italian,G26
)</f>
        <v>Developer Manual</v>
      </c>
      <c r="E26" s="450" t="s">
        <v>45</v>
      </c>
      <c r="F26" s="450" t="s">
        <v>45</v>
      </c>
      <c r="G26" s="450" t="s">
        <v>45</v>
      </c>
      <c r="H26" s="443"/>
      <c r="I26" s="443"/>
      <c r="J26" s="443"/>
      <c r="K26" s="443"/>
      <c r="L26" s="443"/>
      <c r="M26" s="443"/>
    </row>
    <row r="27" spans="1:13" x14ac:dyDescent="0.25">
      <c r="A27" s="443"/>
      <c r="B27" s="443"/>
      <c r="C27" s="446" t="s">
        <v>47</v>
      </c>
      <c r="D27" s="450" t="str" cm="1">
        <f t="array" ref="D27">_xlfn.IFS(
    Language=German,E27,
    Language=French,F27,
    Language=Italian,G27
)</f>
        <v>Le guide du développeur fournit plus d’informations et des conseils sur l’outil au cas où vous souhaiteriez ajuster les saisies ou les calculs.</v>
      </c>
      <c r="E27" s="443" t="s">
        <v>27761</v>
      </c>
      <c r="F27" s="443" t="s">
        <v>27762</v>
      </c>
      <c r="G27" s="443" t="s">
        <v>28430</v>
      </c>
      <c r="H27" s="453"/>
      <c r="I27" s="453"/>
      <c r="J27" s="453"/>
      <c r="K27" s="453"/>
      <c r="L27" s="453"/>
      <c r="M27" s="453"/>
    </row>
    <row r="28" spans="1:13" x14ac:dyDescent="0.25">
      <c r="A28" s="443"/>
      <c r="B28" s="443"/>
      <c r="C28" s="446" t="s">
        <v>49</v>
      </c>
      <c r="D28" s="450" t="str" cm="1">
        <f t="array" ref="D28">_xlfn.IFS(
    Language=German,E28,
    Language=French,F28,
    Language=Italian,G28
)</f>
        <v>Methodology Report</v>
      </c>
      <c r="E28" s="450" t="s">
        <v>48</v>
      </c>
      <c r="F28" s="450" t="s">
        <v>48</v>
      </c>
      <c r="G28" s="450" t="s">
        <v>48</v>
      </c>
      <c r="H28" s="453"/>
      <c r="I28" s="453"/>
      <c r="J28" s="453"/>
      <c r="K28" s="453"/>
      <c r="L28" s="453"/>
      <c r="M28" s="453"/>
    </row>
    <row r="29" spans="1:13" x14ac:dyDescent="0.25">
      <c r="A29" s="443"/>
      <c r="B29" s="443"/>
      <c r="C29" s="446" t="s">
        <v>50</v>
      </c>
      <c r="D29" s="450" t="str" cm="1">
        <f t="array" ref="D29">_xlfn.IFS(
    Language=German,E29,
    Language=French,F29,
    Language=Italian,G29
)</f>
        <v>Le rapport méthodologique montre comment la méthodologie de comptabilisation des gaz à effet de serre du GHG Protocol a été mise en œuvre dans l’outil.</v>
      </c>
      <c r="E29" s="443" t="s">
        <v>27498</v>
      </c>
      <c r="F29" s="443" t="s">
        <v>27500</v>
      </c>
      <c r="G29" s="443" t="s">
        <v>27501</v>
      </c>
      <c r="H29" s="443"/>
      <c r="I29" s="443"/>
      <c r="J29" s="443"/>
      <c r="K29" s="443"/>
      <c r="L29" s="443"/>
      <c r="M29" s="443"/>
    </row>
    <row r="30" spans="1:13" x14ac:dyDescent="0.25">
      <c r="A30" s="443"/>
      <c r="B30" s="443"/>
      <c r="C30" s="446" t="s">
        <v>28229</v>
      </c>
      <c r="D30" s="450" t="str" cm="1">
        <f t="array" ref="D30">_xlfn.IFS(
    Language=German,E30,
    Language=French,F30,
    Language=Italian,G30
)</f>
        <v>Energy Splits</v>
      </c>
      <c r="E30" s="450" t="s">
        <v>51</v>
      </c>
      <c r="F30" s="450" t="s">
        <v>51</v>
      </c>
      <c r="G30" s="450" t="s">
        <v>51</v>
      </c>
      <c r="H30" s="443"/>
      <c r="I30" s="443"/>
      <c r="J30" s="443"/>
      <c r="K30" s="443"/>
      <c r="L30" s="443"/>
      <c r="M30" s="443"/>
    </row>
    <row r="31" spans="1:13" ht="15" customHeight="1" x14ac:dyDescent="0.25">
      <c r="A31" s="443"/>
      <c r="B31" s="443"/>
      <c r="C31" s="446" t="s">
        <v>53</v>
      </c>
      <c r="D31" s="450" t="str" cm="1">
        <f t="array" ref="D31">_xlfn.IFS(
    Language=German,E31,
    Language=French,F31,
    Language=Italian,G31
)</f>
        <v>Des calculs supplémentaires pour le calcul de données énergétiques et de transport sont documentés dans un document Excel séparé (divisé selon les Scopes 1, 2, 3).</v>
      </c>
      <c r="E31" s="443" t="s">
        <v>52</v>
      </c>
      <c r="F31" s="443" t="s">
        <v>27763</v>
      </c>
      <c r="G31" s="443" t="s">
        <v>27764</v>
      </c>
      <c r="H31" s="450"/>
      <c r="I31" s="450"/>
      <c r="J31" s="450"/>
      <c r="K31" s="450"/>
      <c r="L31" s="450"/>
      <c r="M31" s="450"/>
    </row>
    <row r="32" spans="1:13" ht="15" customHeight="1" x14ac:dyDescent="0.25">
      <c r="A32" s="443"/>
      <c r="B32" s="443"/>
      <c r="C32" s="446" t="s">
        <v>28227</v>
      </c>
      <c r="D32" s="450" t="str" cm="1">
        <f t="array" ref="D32">_xlfn.IFS(
    Language=German,E32,
    Language=French,F32,
    Language=Italian,G32
)</f>
        <v>Conditions d’utilisation</v>
      </c>
      <c r="E32" s="443" t="s">
        <v>28226</v>
      </c>
      <c r="F32" s="443" t="s">
        <v>28230</v>
      </c>
      <c r="G32" s="443" t="s">
        <v>28231</v>
      </c>
      <c r="H32" s="450"/>
      <c r="I32" s="450"/>
      <c r="J32" s="450"/>
      <c r="K32" s="450"/>
      <c r="L32" s="450"/>
      <c r="M32" s="450"/>
    </row>
    <row r="33" spans="1:15" ht="15" customHeight="1" x14ac:dyDescent="0.25">
      <c r="A33" s="443"/>
      <c r="B33" s="443"/>
      <c r="C33" s="446" t="s">
        <v>28228</v>
      </c>
      <c r="D33" s="450" t="str" cm="1">
        <f t="array" ref="D33">_xlfn.IFS(
    Language=German,E33,
    Language=French,F33,
    Language=Italian,G33
)</f>
        <v>En téléchargeant le Corporate Footprint Calculator, les utilisateurs reconnaissent avoir lu, compris et accepté les présentes conditions d’utilisation.
L’outil peut être utilisé librement, à condition qu’il ne soit pas vendu, revendu, distribué ou commercialisé séparément en tant que tel ou comme partie d’un autre outil.
L’utilisation des données contenues dans l’outil et issues de BAFU:2025 est soumise aux conditions d’utilisation de cette base de données (voir https://nexus.openlca.org/database/BAFU pour plus d’informations).
Toute utilisation de l’outil ou d’une partie de celui-ci doit mentionner la source originale comme suit : « Corporate Footprint Calculator vXX (BAFU) ». Toute modification apportée à l’outil doit être signalée.
L’outil est fourni « en l’état », sans aucune garantie, expresse ou implicite. La Confédération suisse ne garantit pas qu’il soit exempt d’erreurs ni qu’il convienne à un usage particulier.
La Confédération suisse ne peut être tenue responsable des problèmes, pertes ou dommages pouvant résulter de l’utilisation ou de la modification de l’outil.</v>
      </c>
      <c r="E33" s="444" t="s">
        <v>28233</v>
      </c>
      <c r="F33" s="444" t="s">
        <v>28232</v>
      </c>
      <c r="G33" s="444" t="s">
        <v>28431</v>
      </c>
      <c r="H33" s="450"/>
      <c r="I33" s="450"/>
      <c r="J33" s="450"/>
      <c r="K33" s="450"/>
      <c r="L33" s="450"/>
      <c r="M33" s="450"/>
    </row>
    <row r="34" spans="1:15" ht="15" customHeight="1" x14ac:dyDescent="0.25">
      <c r="A34" s="443"/>
      <c r="B34" s="443"/>
      <c r="C34" s="446" t="s">
        <v>28834</v>
      </c>
      <c r="D34" s="450" t="str" cm="1">
        <f t="array" ref="D34">_xlfn.IFS(
    Language=German,E34,
    Language=French,F34,
    Language=Italian,G34
)</f>
        <v>Les inventaires et rapports relatifs à la base de données BAFU:2025 sont disponibles ici.</v>
      </c>
      <c r="E34" s="444" t="s">
        <v>28836</v>
      </c>
      <c r="F34" s="444" t="s">
        <v>28835</v>
      </c>
      <c r="G34" s="444" t="s">
        <v>28837</v>
      </c>
      <c r="H34" s="450"/>
      <c r="I34" s="450"/>
      <c r="J34" s="450"/>
      <c r="K34" s="450"/>
      <c r="L34" s="450"/>
      <c r="M34" s="450"/>
    </row>
    <row r="35" spans="1:15" ht="19.5" x14ac:dyDescent="0.25">
      <c r="A35" s="451" t="s">
        <v>2119</v>
      </c>
      <c r="B35" s="443"/>
      <c r="C35" s="446" t="s">
        <v>55</v>
      </c>
      <c r="D35" s="452" t="str" cm="1">
        <f t="array" ref="D35">_xlfn.IFS(
    Language=German,E35,
    Language=French,F35,
    Language=Italian,G35
)</f>
        <v>Contact</v>
      </c>
      <c r="E35" s="443" t="s">
        <v>54</v>
      </c>
      <c r="F35" s="443" t="s">
        <v>27765</v>
      </c>
      <c r="G35" s="443" t="s">
        <v>27766</v>
      </c>
      <c r="H35" s="457"/>
      <c r="I35" s="457"/>
      <c r="J35" s="457"/>
      <c r="K35" s="457"/>
      <c r="L35" s="457"/>
      <c r="M35" s="457"/>
    </row>
    <row r="36" spans="1:15" ht="43.5" x14ac:dyDescent="0.25">
      <c r="A36" s="443"/>
      <c r="B36" s="443"/>
      <c r="C36" s="446" t="s">
        <v>56</v>
      </c>
      <c r="D36" s="450" t="str" cm="1">
        <f t="array" ref="D36">_xlfn.IFS(
    Language=German,E36,
    Language=French,F36,
    Language=Italian,G36
)</f>
        <v>Publié par :
Office fédéral de l'énergie OFEN
Office fédéral de l'environnement OFEV</v>
      </c>
      <c r="E36" s="444" t="s">
        <v>28830</v>
      </c>
      <c r="F36" s="444" t="s">
        <v>28832</v>
      </c>
      <c r="G36" s="444" t="s">
        <v>28831</v>
      </c>
      <c r="H36" s="458"/>
      <c r="I36" s="458"/>
      <c r="J36" s="458"/>
      <c r="K36" s="458"/>
      <c r="L36" s="458"/>
      <c r="M36" s="458"/>
    </row>
    <row r="37" spans="1:15" ht="15" customHeight="1" x14ac:dyDescent="0.25">
      <c r="A37" s="443"/>
      <c r="B37" s="443"/>
      <c r="C37" s="446" t="s">
        <v>58</v>
      </c>
      <c r="D37" s="450" t="str" cm="1">
        <f t="array" ref="D37">_xlfn.IFS(
    Language=German,E37,
    Language=French,F37,
    Language=Italian,G37
)</f>
        <v>Feedback à :</v>
      </c>
      <c r="E37" s="443" t="s">
        <v>57</v>
      </c>
      <c r="F37" s="443" t="s">
        <v>28833</v>
      </c>
      <c r="G37" s="443" t="s">
        <v>2120</v>
      </c>
      <c r="H37" s="450"/>
      <c r="I37" s="450"/>
      <c r="J37" s="450"/>
      <c r="K37" s="450"/>
      <c r="L37" s="450"/>
      <c r="M37" s="450"/>
    </row>
    <row r="38" spans="1:15" x14ac:dyDescent="0.25">
      <c r="A38" s="443"/>
      <c r="B38" s="443"/>
      <c r="C38" s="446" t="s">
        <v>60</v>
      </c>
      <c r="D38" s="450" t="str" cm="1">
        <f t="array" ref="D38">_xlfn.IFS(
    Language=German,E38,
    Language=French,F38,
    Language=Italian,G38
)</f>
        <v>Développé par EBP Suisse SA, publié et géré par l'OFEV</v>
      </c>
      <c r="E38" s="443" t="s">
        <v>28223</v>
      </c>
      <c r="F38" s="443" t="s">
        <v>28224</v>
      </c>
      <c r="G38" s="443" t="s">
        <v>28225</v>
      </c>
      <c r="H38" s="443"/>
      <c r="I38" s="443"/>
      <c r="J38" s="443"/>
      <c r="K38" s="443"/>
      <c r="L38" s="443"/>
      <c r="M38" s="443"/>
    </row>
    <row r="39" spans="1:15" ht="30" x14ac:dyDescent="0.4">
      <c r="A39" s="445" t="s">
        <v>2121</v>
      </c>
      <c r="B39" s="443"/>
      <c r="C39" s="446" t="s">
        <v>2122</v>
      </c>
      <c r="D39" s="445" t="str" cm="1">
        <f t="array" ref="D39">_xlfn.IFS(
    Language=German,E39,
    Language=French,F39,
    Language=Italian,G39
)</f>
        <v>Informations générales</v>
      </c>
      <c r="E39" s="443" t="s">
        <v>2043</v>
      </c>
      <c r="F39" s="443" t="s">
        <v>2107</v>
      </c>
      <c r="G39" s="443" t="s">
        <v>2108</v>
      </c>
      <c r="H39" s="459"/>
      <c r="I39" s="443"/>
      <c r="J39" s="458"/>
      <c r="K39" s="458"/>
      <c r="L39" s="458"/>
      <c r="M39" s="458"/>
      <c r="N39" s="458"/>
      <c r="O39" s="458"/>
    </row>
    <row r="40" spans="1:15" ht="186" x14ac:dyDescent="0.25">
      <c r="A40" s="443"/>
      <c r="B40" s="443"/>
      <c r="C40" s="446" t="s">
        <v>2123</v>
      </c>
      <c r="D40" s="450" t="str" cm="1">
        <f t="array" ref="D40">_xlfn.IFS(
    Language=German,E40,
    Language=French,F40,
    Language=Italian,G40
)</f>
        <v>Les questions suivantes servent à limiter au minimum la saisie ultérieure de données. Pour ce faire, toutes les questions doivent être répondues avant de procéder à la collecte des données dans la feuille suivante « 2 Data Inputs ».Les réponses ne doivent pas être modifiées après avoir rempli les feuilles suivantes.
Pour définir le périmètre, nous recommandons une brève analyse de pertinence de vos émissions. Vous pouvez trouver de l’aide à ce sujet dans le User Manual (chap. 3.2).</v>
      </c>
      <c r="E40" s="444" t="s">
        <v>28965</v>
      </c>
      <c r="F40" s="568" t="s">
        <v>28964</v>
      </c>
      <c r="G40" s="568" t="s">
        <v>28966</v>
      </c>
      <c r="H40" s="450"/>
      <c r="I40" s="450"/>
      <c r="J40" s="450"/>
      <c r="K40" s="450"/>
      <c r="L40" s="450"/>
      <c r="M40" s="450"/>
      <c r="N40" s="450"/>
      <c r="O40" s="450"/>
    </row>
    <row r="41" spans="1:15" ht="19.5" x14ac:dyDescent="0.25">
      <c r="A41" s="451" t="s">
        <v>2109</v>
      </c>
      <c r="B41" s="443"/>
      <c r="C41" s="460" t="s">
        <v>2124</v>
      </c>
      <c r="D41" s="451" t="str" cm="1">
        <f t="array" ref="D41">_xlfn.IFS(
    Language=German,E41,
    Language=French,F41,
    Language=Italian,G41
)</f>
        <v>Instructions</v>
      </c>
      <c r="E41" s="443" t="s">
        <v>2044</v>
      </c>
      <c r="F41" s="443" t="s">
        <v>2125</v>
      </c>
      <c r="G41" s="443" t="s">
        <v>2126</v>
      </c>
      <c r="H41" s="461"/>
      <c r="I41" s="452"/>
      <c r="J41" s="450"/>
      <c r="K41" s="450"/>
      <c r="L41" s="450"/>
      <c r="M41" s="450"/>
      <c r="N41" s="450"/>
      <c r="O41" s="450"/>
    </row>
    <row r="42" spans="1:15" x14ac:dyDescent="0.25">
      <c r="A42" s="443"/>
      <c r="B42" s="443"/>
      <c r="C42" s="446" t="s">
        <v>2127</v>
      </c>
      <c r="D42" s="450" t="str" cm="1">
        <f t="array" ref="D42">_xlfn.IFS(
    Language=German,E42,
    Language=French,F42,
    Language=Italian,G42
)</f>
        <v>Veuillez remplir toutes les questions dans l’ordre. D’après vos réponses, les questions ultérieures et les données qui ne sont pas pertinentes pour votre entreprise seront cachées.</v>
      </c>
      <c r="E42" s="443" t="s">
        <v>2045</v>
      </c>
      <c r="F42" s="443" t="s">
        <v>2128</v>
      </c>
      <c r="G42" s="443" t="s">
        <v>28432</v>
      </c>
      <c r="H42" s="450"/>
      <c r="I42" s="443"/>
      <c r="J42" s="450"/>
      <c r="K42" s="450"/>
      <c r="L42" s="450"/>
      <c r="M42" s="450"/>
      <c r="N42" s="450"/>
      <c r="O42" s="450"/>
    </row>
    <row r="43" spans="1:15" x14ac:dyDescent="0.25">
      <c r="A43" s="443"/>
      <c r="B43" s="443"/>
      <c r="C43" s="446" t="s">
        <v>2129</v>
      </c>
      <c r="D43" s="457" t="str" cm="1">
        <f t="array" ref="D43">_xlfn.IFS(
    Language=German,E43,
    Language=French,F43,
    Language=Italian,G43
)</f>
        <v>Les champs jaunes doivent être remplis.</v>
      </c>
      <c r="E43" s="443" t="s">
        <v>2046</v>
      </c>
      <c r="F43" s="443" t="s">
        <v>2130</v>
      </c>
      <c r="G43" s="443" t="s">
        <v>2131</v>
      </c>
      <c r="H43" s="443"/>
      <c r="I43" s="443"/>
      <c r="J43" s="450"/>
      <c r="K43" s="450"/>
      <c r="L43" s="450"/>
      <c r="M43" s="450"/>
      <c r="N43" s="450"/>
      <c r="O43" s="450"/>
    </row>
    <row r="44" spans="1:15" x14ac:dyDescent="0.25">
      <c r="A44" s="443"/>
      <c r="B44" s="443"/>
      <c r="C44" s="446" t="s">
        <v>2132</v>
      </c>
      <c r="D44" s="457" t="str" cm="1">
        <f t="array" ref="D44">_xlfn.IFS(
    Language=German,E44,
    Language=French,F44,
    Language=Italian,G44
)</f>
        <v>Les champs verts ont déjà été remplis et peuvent être ajustés à tout moment.</v>
      </c>
      <c r="E44" s="443" t="s">
        <v>2047</v>
      </c>
      <c r="F44" s="443" t="s">
        <v>27767</v>
      </c>
      <c r="G44" s="443" t="s">
        <v>2133</v>
      </c>
      <c r="H44" s="443"/>
      <c r="I44" s="443"/>
      <c r="J44" s="458"/>
      <c r="K44" s="458"/>
      <c r="L44" s="458"/>
      <c r="M44" s="458"/>
      <c r="N44" s="458"/>
      <c r="O44" s="458"/>
    </row>
    <row r="45" spans="1:15" ht="19.5" x14ac:dyDescent="0.25">
      <c r="A45" s="451" t="s">
        <v>2113</v>
      </c>
      <c r="B45" s="443"/>
      <c r="C45" s="460" t="s">
        <v>2134</v>
      </c>
      <c r="D45" s="451" t="str" cm="1">
        <f t="array" ref="D45">_xlfn.IFS(
    Language=German,E45,
    Language=French,F45,
    Language=Italian,G45
)</f>
        <v>Détails de l’entreprise</v>
      </c>
      <c r="E45" s="443" t="s">
        <v>2048</v>
      </c>
      <c r="F45" s="443" t="s">
        <v>2135</v>
      </c>
      <c r="G45" s="443" t="s">
        <v>2136</v>
      </c>
      <c r="H45" s="443"/>
      <c r="I45" s="443"/>
      <c r="J45" s="443"/>
      <c r="K45" s="443"/>
      <c r="L45" s="443"/>
      <c r="M45" s="443"/>
      <c r="N45" s="443"/>
      <c r="O45" s="443"/>
    </row>
    <row r="46" spans="1:15" x14ac:dyDescent="0.25">
      <c r="A46" s="443"/>
      <c r="B46" s="443"/>
      <c r="C46" s="460" t="s">
        <v>2137</v>
      </c>
      <c r="D46" s="453" t="str" cm="1">
        <f t="array" ref="D46">_xlfn.IFS(
    Language=German,E46,
    Language=French,F46,
    Language=Italian,G46
)</f>
        <v>Nom de l’entreprise / unité organisationnelle :</v>
      </c>
      <c r="E46" s="443" t="s">
        <v>2049</v>
      </c>
      <c r="F46" s="443" t="s">
        <v>2138</v>
      </c>
      <c r="G46" s="443" t="s">
        <v>2139</v>
      </c>
      <c r="H46" s="462"/>
      <c r="I46" s="462"/>
      <c r="J46" s="443"/>
      <c r="K46" s="443"/>
      <c r="L46" s="443"/>
      <c r="M46" s="443"/>
      <c r="N46" s="443"/>
      <c r="O46" s="443"/>
    </row>
    <row r="47" spans="1:15" x14ac:dyDescent="0.25">
      <c r="A47" s="443"/>
      <c r="B47" s="443"/>
      <c r="C47" s="460" t="s">
        <v>2140</v>
      </c>
      <c r="D47" s="450" t="str" cm="1">
        <f t="array" ref="D47">_xlfn.IFS(
    Language=German,E47,
    Language=French,F47,
    Language=Italian,G47
)</f>
        <v>Année de rapport :</v>
      </c>
      <c r="E47" s="443" t="s">
        <v>2050</v>
      </c>
      <c r="F47" s="443" t="s">
        <v>2141</v>
      </c>
      <c r="G47" s="443" t="s">
        <v>2142</v>
      </c>
      <c r="H47" s="443"/>
      <c r="I47" s="443"/>
      <c r="J47" s="443"/>
      <c r="K47" s="443"/>
      <c r="L47" s="443"/>
      <c r="M47" s="443"/>
      <c r="N47" s="443"/>
      <c r="O47" s="443"/>
    </row>
    <row r="48" spans="1:15" x14ac:dyDescent="0.25">
      <c r="A48" s="443"/>
      <c r="B48" s="443"/>
      <c r="C48" s="460" t="s">
        <v>2143</v>
      </c>
      <c r="D48" s="443" t="str" cm="1">
        <f t="array" ref="D48">_xlfn.IFS(
    Language=German,E48,
    Language=French,F48,
    Language=Italian,G48
)</f>
        <v xml:space="preserve"> Brève description des limites organisationnelles du bilan (entités inclues dans le bilan) :</v>
      </c>
      <c r="E48" s="365" t="s">
        <v>28906</v>
      </c>
      <c r="F48" s="365" t="s">
        <v>28907</v>
      </c>
      <c r="G48" s="443" t="s">
        <v>28908</v>
      </c>
      <c r="H48" s="443"/>
      <c r="J48" s="443"/>
      <c r="K48" s="443"/>
      <c r="L48" s="443"/>
      <c r="M48" s="443"/>
      <c r="N48" s="443"/>
      <c r="O48" s="443"/>
    </row>
    <row r="49" spans="1:15" ht="19.5" x14ac:dyDescent="0.25">
      <c r="A49" s="451" t="s">
        <v>2119</v>
      </c>
      <c r="B49" s="443"/>
      <c r="C49" s="446" t="s">
        <v>2144</v>
      </c>
      <c r="D49" s="451" t="str" cm="1">
        <f t="array" ref="D49">_xlfn.IFS(
    Language=German,E49,
    Language=French,F49,
    Language=Italian,G49
)</f>
        <v>Table des matières</v>
      </c>
      <c r="E49" s="443" t="s">
        <v>2051</v>
      </c>
      <c r="F49" s="443" t="s">
        <v>2145</v>
      </c>
      <c r="G49" s="443" t="s">
        <v>2146</v>
      </c>
      <c r="H49" s="443"/>
      <c r="J49" s="443"/>
      <c r="K49" s="443"/>
      <c r="L49" s="443"/>
      <c r="M49" s="443"/>
      <c r="N49" s="443"/>
      <c r="O49" s="443"/>
    </row>
    <row r="50" spans="1:15" ht="19.5" x14ac:dyDescent="0.25">
      <c r="A50" s="451" t="s">
        <v>2147</v>
      </c>
      <c r="B50" s="443"/>
      <c r="C50" s="446" t="s">
        <v>2148</v>
      </c>
      <c r="D50" s="451" t="str" cm="1">
        <f t="array" ref="D50">_xlfn.IFS(
    Language=German,E50,
    Language=French,F50,
    Language=Italian,G50
)</f>
        <v>A Délimitation organisationnelle (approche de consolidation)</v>
      </c>
      <c r="E50" s="443" t="s">
        <v>2053</v>
      </c>
      <c r="F50" s="443" t="s">
        <v>27768</v>
      </c>
      <c r="G50" s="443" t="s">
        <v>27769</v>
      </c>
      <c r="H50" s="443"/>
      <c r="J50" s="462"/>
      <c r="K50" s="462"/>
      <c r="L50" s="462"/>
      <c r="M50" s="463"/>
      <c r="N50" s="463"/>
      <c r="O50" s="463"/>
    </row>
    <row r="51" spans="1:15" x14ac:dyDescent="0.25">
      <c r="A51" s="443"/>
      <c r="B51" s="443"/>
      <c r="C51" s="446" t="s">
        <v>2149</v>
      </c>
      <c r="D51" s="453" t="str" cm="1">
        <f t="array" ref="D51">_xlfn.IFS(
    Language=German,E51,
    Language=French,F51,
    Language=Italian,G51
)</f>
        <v>Quelle approche de consolidation souhaitez-vous utiliser (aide dans le User Manual (chap. 3.1) ; approche la plus couramment utilisée : Contrôle opérationnel) ?</v>
      </c>
      <c r="E51" s="443" t="s">
        <v>28967</v>
      </c>
      <c r="F51" s="443" t="s">
        <v>28968</v>
      </c>
      <c r="G51" s="443" t="s">
        <v>28969</v>
      </c>
      <c r="H51" s="443"/>
      <c r="J51" s="443"/>
      <c r="K51" s="443"/>
      <c r="L51" s="443"/>
      <c r="M51" s="443"/>
      <c r="N51" s="443"/>
      <c r="O51" s="443"/>
    </row>
    <row r="52" spans="1:15" ht="19.5" x14ac:dyDescent="0.25">
      <c r="A52" s="451" t="s">
        <v>2150</v>
      </c>
      <c r="B52" s="443"/>
      <c r="C52" s="446" t="s">
        <v>2151</v>
      </c>
      <c r="D52" s="451" t="str" cm="1">
        <f t="array" ref="D52">_xlfn.IFS(
    Language=German,E52,
    Language=French,F52,
    Language=Italian,G52
)</f>
        <v>B Périmètre du bilan (Scopes)</v>
      </c>
      <c r="E52" s="443" t="s">
        <v>2055</v>
      </c>
      <c r="F52" s="443" t="s">
        <v>27770</v>
      </c>
      <c r="G52" s="443" t="s">
        <v>27771</v>
      </c>
      <c r="H52" s="443"/>
      <c r="J52" s="443"/>
      <c r="K52" s="443"/>
      <c r="L52" s="443"/>
      <c r="M52" s="443"/>
      <c r="N52" s="443"/>
      <c r="O52" s="443"/>
    </row>
    <row r="53" spans="1:15" x14ac:dyDescent="0.25">
      <c r="A53" s="443"/>
      <c r="B53" s="443"/>
      <c r="C53" s="446" t="s">
        <v>2152</v>
      </c>
      <c r="D53" s="453" t="str" cm="1">
        <f t="array" ref="D53">_xlfn.IFS(
    Language=German,E53,
    Language=French,F53,
    Language=Italian,G53
)</f>
        <v>Pour les feuilles de route net-zéro, il est obligatoire d’inclure les émissions de Scope 1 et 2.</v>
      </c>
      <c r="E53" s="443" t="s">
        <v>27520</v>
      </c>
      <c r="F53" s="443" t="s">
        <v>27772</v>
      </c>
      <c r="G53" s="443" t="s">
        <v>28433</v>
      </c>
      <c r="H53" s="443"/>
    </row>
    <row r="54" spans="1:15" x14ac:dyDescent="0.25">
      <c r="A54" s="443"/>
      <c r="B54" s="443"/>
      <c r="C54" s="446" t="s">
        <v>2153</v>
      </c>
      <c r="D54" s="453" t="str" cm="1">
        <f t="array" ref="D54">_xlfn.IFS(
    Language=German,E54,
    Language=French,F54,
    Language=Italian,G54
)</f>
        <v>Souhaitez-vous également inclure les émissions du Scope 3 dans le bilan (recommandé afin d'obtenir une vue d'ensemble et dans le cadre des feuilles de route net-zéro) ?</v>
      </c>
      <c r="E54" s="365" t="s">
        <v>28276</v>
      </c>
      <c r="F54" s="365" t="s">
        <v>28277</v>
      </c>
      <c r="G54" t="s">
        <v>28434</v>
      </c>
      <c r="H54" s="443"/>
    </row>
    <row r="55" spans="1:15" ht="19.5" x14ac:dyDescent="0.25">
      <c r="A55" s="451" t="s">
        <v>2154</v>
      </c>
      <c r="B55" s="443"/>
      <c r="C55" s="446" t="s">
        <v>2155</v>
      </c>
      <c r="D55" s="451" t="str" cm="1">
        <f t="array" ref="D55">_xlfn.IFS(
    Language=German,E55,
    Language=French,F55,
    Language=Italian,G55
)</f>
        <v>C Sources d’émissions opérationnelles - Émissions directes</v>
      </c>
      <c r="E55" s="443" t="s">
        <v>27773</v>
      </c>
      <c r="F55" s="443" t="s">
        <v>2156</v>
      </c>
      <c r="G55" s="443" t="s">
        <v>2157</v>
      </c>
      <c r="H55" s="443"/>
    </row>
    <row r="56" spans="1:15" x14ac:dyDescent="0.25">
      <c r="A56" s="443"/>
      <c r="B56" s="443"/>
      <c r="C56" s="446" t="s">
        <v>2158</v>
      </c>
      <c r="D56" s="464" t="str" cm="1">
        <f t="array" ref="D56">_xlfn.IFS(
    Language=German,E56,
    Language=French,F56,
    Language=Italian,G56
)</f>
        <v>Votre entreprise utilise-t-elle ou possède-t-elle des bâtiments ou des installations (achat d’électricité ou de chauffage, ou production d’énergie) ?</v>
      </c>
      <c r="E56" s="443" t="s">
        <v>2063</v>
      </c>
      <c r="F56" s="443" t="s">
        <v>2159</v>
      </c>
      <c r="G56" s="443" t="s">
        <v>28435</v>
      </c>
      <c r="H56" s="443"/>
    </row>
    <row r="57" spans="1:15" x14ac:dyDescent="0.25">
      <c r="A57" s="443"/>
      <c r="B57" s="443"/>
      <c r="C57" s="446" t="s">
        <v>27409</v>
      </c>
      <c r="D57" s="464" t="str" cm="1">
        <f t="array" ref="D57">_xlfn.IFS(
    Language=German,E57,
    Language=French,F57,
    Language=Italian,G57
)</f>
        <v>Votre entreprise utilise-t-elle des espaces ou des installations opérationnellement pertinents qui ne lui appartiennent pas (approvisionnement en électricité/chaleur/énergie via un contrat de location/bail) ?</v>
      </c>
      <c r="E57" s="443" t="s">
        <v>27413</v>
      </c>
      <c r="F57" s="443" t="s">
        <v>27774</v>
      </c>
      <c r="G57" s="443" t="s">
        <v>28436</v>
      </c>
      <c r="H57" s="443"/>
    </row>
    <row r="58" spans="1:15" x14ac:dyDescent="0.25">
      <c r="A58" s="443"/>
      <c r="B58" s="443"/>
      <c r="C58" s="446" t="s">
        <v>27410</v>
      </c>
      <c r="D58" s="464" t="str" cm="1">
        <f t="array" ref="D58">_xlfn.IFS(
    Language=German,E58,
    Language=French,F58,
    Language=Italian,G58
)</f>
        <v>Votre entreprise possède-t-elle des espaces ou des installations utilisés par d’autres entreprises ? (approvisionnement en électricité/chauffage/énergie auprès de tiers via un contrat de location/bail) ?</v>
      </c>
      <c r="E58" s="443" t="s">
        <v>27775</v>
      </c>
      <c r="F58" s="443" t="s">
        <v>27776</v>
      </c>
      <c r="G58" s="443" t="s">
        <v>28437</v>
      </c>
      <c r="H58" s="443"/>
    </row>
    <row r="59" spans="1:15" x14ac:dyDescent="0.25">
      <c r="A59" s="443"/>
      <c r="B59" s="443"/>
      <c r="C59" s="446" t="s">
        <v>2160</v>
      </c>
      <c r="D59" s="464" t="str" cm="1">
        <f t="array" ref="D59">_xlfn.IFS(
    Language=German,E59,
    Language=French,F59,
    Language=Italian,G59
)</f>
        <v>Votre entreprise produit-elle des émissions directes de gaz à effet de serre (par exemple CO2, CH4, N2O, NF3, SF6) issues de procédés industriels (par exemple, calcination de chaux et de ciment, production d’engrais, fusion des métaux, procédés verre/céramique, fermentation) ?</v>
      </c>
      <c r="E59" s="443" t="s">
        <v>2069</v>
      </c>
      <c r="F59" s="443" t="s">
        <v>2161</v>
      </c>
      <c r="G59" s="443" t="s">
        <v>28438</v>
      </c>
      <c r="H59" s="443"/>
    </row>
    <row r="60" spans="1:15" x14ac:dyDescent="0.25">
      <c r="A60" s="443"/>
      <c r="B60" s="443"/>
      <c r="C60" s="446" t="s">
        <v>2162</v>
      </c>
      <c r="D60" s="464" t="str" cm="1">
        <f t="array" ref="D60">_xlfn.IFS(
    Language=German,E60,
    Language=French,F60,
    Language=Italian,G60
)</f>
        <v>Vos activités professionnelles génèrent-elles des émissions fugitives (par exemple, réfrigérant, COV, SF6, fuites de méthane) ?</v>
      </c>
      <c r="E60" s="443" t="s">
        <v>2072</v>
      </c>
      <c r="F60" s="443" t="s">
        <v>2163</v>
      </c>
      <c r="G60" s="443" t="s">
        <v>2164</v>
      </c>
      <c r="H60" s="443"/>
    </row>
    <row r="61" spans="1:15" x14ac:dyDescent="0.25">
      <c r="A61" s="443"/>
      <c r="B61" s="443"/>
      <c r="C61" s="446" t="s">
        <v>2165</v>
      </c>
      <c r="D61" s="464" t="str" cm="1">
        <f t="array" ref="D61">_xlfn.IFS(
    Language=German,E61,
    Language=French,F61,
    Language=Italian,G61
)</f>
        <v>Votre entreprise utilise-t-elle des véhicules ou des machines mobiles (consommation de carburant) ?</v>
      </c>
      <c r="E61" s="443" t="s">
        <v>2074</v>
      </c>
      <c r="F61" s="443" t="s">
        <v>2166</v>
      </c>
      <c r="G61" s="443" t="s">
        <v>28439</v>
      </c>
      <c r="H61" s="443"/>
    </row>
    <row r="62" spans="1:15" x14ac:dyDescent="0.25">
      <c r="A62" s="443"/>
      <c r="B62" s="443"/>
      <c r="C62" s="446" t="s">
        <v>27411</v>
      </c>
      <c r="D62" s="464" t="str" cm="1">
        <f t="array" ref="D62">_xlfn.IFS(
    Language=German,E62,
    Language=French,F62,
    Language=Italian,G62
)</f>
        <v>Votre entreprise loue-t-elle des véhicules ou des machines mobiles auprès d’autres entreprises ?</v>
      </c>
      <c r="E62" s="443" t="s">
        <v>27414</v>
      </c>
      <c r="F62" s="443" t="s">
        <v>27415</v>
      </c>
      <c r="G62" s="443" t="s">
        <v>28440</v>
      </c>
      <c r="H62" s="443"/>
    </row>
    <row r="63" spans="1:15" x14ac:dyDescent="0.25">
      <c r="A63" s="443"/>
      <c r="B63" s="443"/>
      <c r="C63" s="446" t="s">
        <v>27412</v>
      </c>
      <c r="D63" s="464" t="str" cm="1">
        <f t="array" ref="D63">_xlfn.IFS(
    Language=German,E63,
    Language=French,F63,
    Language=Italian,G63
)</f>
        <v>Votre entreprise loue-t-elle des véhicules à des tiers externes ?</v>
      </c>
      <c r="E63" s="443" t="s">
        <v>2068</v>
      </c>
      <c r="F63" s="443" t="s">
        <v>27416</v>
      </c>
      <c r="G63" s="443" t="s">
        <v>28441</v>
      </c>
      <c r="H63" s="443"/>
    </row>
    <row r="64" spans="1:15" ht="19.5" x14ac:dyDescent="0.25">
      <c r="A64" s="451" t="s">
        <v>2167</v>
      </c>
      <c r="B64" s="443"/>
      <c r="C64" s="446" t="s">
        <v>2168</v>
      </c>
      <c r="D64" s="451" t="str" cm="1">
        <f t="array" ref="D64">_xlfn.IFS(
    Language=German,E64,
    Language=French,F64,
    Language=Italian,G64
)</f>
        <v>D Sources d’émissions opérationnelles - Émissions indirectes</v>
      </c>
      <c r="E64" s="443" t="s">
        <v>2080</v>
      </c>
      <c r="F64" s="443" t="s">
        <v>2169</v>
      </c>
      <c r="G64" s="443" t="s">
        <v>2170</v>
      </c>
      <c r="H64" s="443"/>
    </row>
    <row r="65" spans="1:12" x14ac:dyDescent="0.25">
      <c r="A65" s="443"/>
      <c r="B65" s="443"/>
      <c r="C65" s="446" t="s">
        <v>2171</v>
      </c>
      <c r="D65" s="464" t="str" cm="1">
        <f t="array" ref="D65">_xlfn.IFS(
    Language=German,E65,
    Language=French,F65,
    Language=Italian,G65
)</f>
        <v>Votre entreprise a-t-elle réalisé des investissements importants dans les biens d’équipement (par exemple, bâtiments, véhicules, machines) au cours de l’année du bilan ?</v>
      </c>
      <c r="E65" s="443" t="s">
        <v>2081</v>
      </c>
      <c r="F65" s="443" t="s">
        <v>27777</v>
      </c>
      <c r="G65" s="443" t="s">
        <v>28442</v>
      </c>
      <c r="H65" s="443"/>
    </row>
    <row r="66" spans="1:12" x14ac:dyDescent="0.25">
      <c r="A66" s="443"/>
      <c r="B66" s="443"/>
      <c r="C66" s="446" t="s">
        <v>2172</v>
      </c>
      <c r="D66" s="464" t="str" cm="1">
        <f t="array" ref="D66">_xlfn.IFS(
    Language=German,E66,
    Language=French,F66,
    Language=Italian,G66
)</f>
        <v>Les employés utilisent-ils les transports publics ou privés pour leurs déplacements professionnels (par exemple, voiture privée, avion, train) ?</v>
      </c>
      <c r="E66" s="443" t="s">
        <v>2084</v>
      </c>
      <c r="F66" s="443" t="s">
        <v>2173</v>
      </c>
      <c r="G66" s="443" t="s">
        <v>2174</v>
      </c>
      <c r="H66" s="443"/>
    </row>
    <row r="67" spans="1:12" x14ac:dyDescent="0.25">
      <c r="A67" s="443"/>
      <c r="B67" s="443"/>
      <c r="C67" s="446" t="s">
        <v>2175</v>
      </c>
      <c r="D67" s="464" t="str" cm="1">
        <f t="array" ref="D67">_xlfn.IFS(
    Language=German,E67,
    Language=French,F67,
    Language=Italian,G67
)</f>
        <v>L’entreprise collecte-t-elle des informations sur les trajets domicile-travail des employés (par exemple, des enquêtes sur les transports et la distance) ?</v>
      </c>
      <c r="E67" s="443" t="s">
        <v>2087</v>
      </c>
      <c r="F67" s="443" t="s">
        <v>2176</v>
      </c>
      <c r="G67" s="443" t="s">
        <v>2177</v>
      </c>
      <c r="H67" s="443"/>
    </row>
    <row r="68" spans="1:12" x14ac:dyDescent="0.25">
      <c r="A68" s="443"/>
      <c r="B68" s="443"/>
      <c r="C68" s="446" t="s">
        <v>2178</v>
      </c>
      <c r="D68" s="464" t="str" cm="1">
        <f t="array" ref="D68">_xlfn.IFS(
    Language=German,E68,
    Language=French,F68,
    Language=Italian,G68
)</f>
        <v>Votre entreprise vend-elle des produits physiques ou des produits intermédiaires ?</v>
      </c>
      <c r="E68" s="443" t="s">
        <v>2090</v>
      </c>
      <c r="F68" s="443" t="s">
        <v>2179</v>
      </c>
      <c r="G68" s="443" t="s">
        <v>28443</v>
      </c>
      <c r="H68" s="443"/>
    </row>
    <row r="69" spans="1:12" x14ac:dyDescent="0.25">
      <c r="A69" s="443"/>
      <c r="B69" s="443"/>
      <c r="C69" s="446" t="s">
        <v>2180</v>
      </c>
      <c r="D69" s="464" t="str" cm="1">
        <f t="array" ref="D69">_xlfn.IFS(
    Language=German,E69,
    Language=French,F69,
    Language=Italian,G69
)</f>
        <v>Votre entreprise vend-elle des produits intermédiaires qui sont ensuite transformés par d’autres ?</v>
      </c>
      <c r="E69" s="443" t="s">
        <v>2093</v>
      </c>
      <c r="F69" s="443" t="s">
        <v>2181</v>
      </c>
      <c r="G69" s="443" t="s">
        <v>28444</v>
      </c>
      <c r="H69" s="443"/>
    </row>
    <row r="70" spans="1:12" x14ac:dyDescent="0.25">
      <c r="A70" s="443"/>
      <c r="B70" s="443"/>
      <c r="C70" s="446" t="s">
        <v>2182</v>
      </c>
      <c r="D70" s="464" t="str" cm="1">
        <f t="array" ref="D70">_xlfn.IFS(
    Language=German,E70,
    Language=French,F70,
    Language=Italian,G70
)</f>
        <v>Votre entreprise vend-elle des produits dont l’utilisation par les clients nécessite de l’énergie ou provoque des émissions (par exemple, consommation d’électricité, consommation de carburant) ?</v>
      </c>
      <c r="E70" s="443" t="s">
        <v>2096</v>
      </c>
      <c r="F70" s="443" t="s">
        <v>2183</v>
      </c>
      <c r="G70" s="443" t="s">
        <v>28445</v>
      </c>
      <c r="H70" s="443"/>
    </row>
    <row r="71" spans="1:12" x14ac:dyDescent="0.25">
      <c r="A71" s="443"/>
      <c r="B71" s="443"/>
      <c r="C71" s="446" t="s">
        <v>2184</v>
      </c>
      <c r="D71" s="464" t="str" cm="1">
        <f t="array" ref="D71">_xlfn.IFS(
    Language=German,E71,
    Language=French,F71,
    Language=Italian,G71
)</f>
        <v>Votre entreprise accorde-t-elle des licences de franchise à des tiers qui exploitent leurs propres sites ?</v>
      </c>
      <c r="E71" s="443" t="s">
        <v>28911</v>
      </c>
      <c r="F71" s="443" t="s">
        <v>2185</v>
      </c>
      <c r="G71" s="443" t="s">
        <v>28446</v>
      </c>
      <c r="H71" s="443"/>
    </row>
    <row r="72" spans="1:12" x14ac:dyDescent="0.25">
      <c r="A72" s="443"/>
      <c r="B72" s="443"/>
      <c r="C72" s="446" t="s">
        <v>2186</v>
      </c>
      <c r="D72" s="464" t="str" cm="1">
        <f t="array" ref="D72">_xlfn.IFS(
    Language=German,E72,
    Language=French,F72,
    Language=Italian,G72
)</f>
        <v>Votre entreprise détient-elle des actions ou des instruments financiers (investissements en actions ou en dette) dans d’autres sociétés ou projets ?</v>
      </c>
      <c r="E72" s="443" t="s">
        <v>2101</v>
      </c>
      <c r="F72" s="443" t="s">
        <v>2187</v>
      </c>
      <c r="G72" s="443" t="s">
        <v>28447</v>
      </c>
      <c r="H72" s="443"/>
    </row>
    <row r="73" spans="1:12" ht="19.5" x14ac:dyDescent="0.25">
      <c r="A73" s="451" t="s">
        <v>2188</v>
      </c>
      <c r="B73" s="443"/>
      <c r="C73" s="446" t="s">
        <v>2189</v>
      </c>
      <c r="D73" s="451" t="str" cm="1">
        <f t="array" ref="D73">_xlfn.IFS(
    Language=German,E73,
    Language=French,F73,
    Language=Italian,G73
)</f>
        <v>E Autres émissions environnementales</v>
      </c>
      <c r="E73" s="443" t="s">
        <v>2104</v>
      </c>
      <c r="F73" s="443" t="s">
        <v>2190</v>
      </c>
      <c r="G73" s="443" t="s">
        <v>2191</v>
      </c>
      <c r="H73" s="443"/>
    </row>
    <row r="74" spans="1:12" x14ac:dyDescent="0.25">
      <c r="A74" s="443"/>
      <c r="B74" s="443"/>
      <c r="C74" s="446" t="s">
        <v>2192</v>
      </c>
      <c r="D74" s="464" t="str" cm="1">
        <f t="array" ref="D74">_xlfn.IFS(
    Language=German,E74,
    Language=French,F74,
    Language=Italian,G74
)</f>
        <v>Votre entreprise utilise-t-elle des produits chimiques ou de grandes quantités de détergents, exploite-t-elle sa propre station d'épuration ou de traitement des eaux, ou ses activités génèrent-elles d'autres émissions environnementales pertinentes en plus des émissions de gaz à effet de serre?</v>
      </c>
      <c r="E74" s="443" t="s">
        <v>27863</v>
      </c>
      <c r="F74" s="443" t="s">
        <v>27864</v>
      </c>
      <c r="G74" s="443" t="s">
        <v>28448</v>
      </c>
      <c r="H74" s="443"/>
    </row>
    <row r="75" spans="1:12" ht="30" x14ac:dyDescent="0.4">
      <c r="A75" s="445" t="s">
        <v>2193</v>
      </c>
      <c r="B75" s="443"/>
      <c r="C75" s="446" t="s">
        <v>2194</v>
      </c>
      <c r="D75" s="445" t="str" cm="1">
        <f t="array" ref="D75">_xlfn.IFS(
    Language=German,E75,
    Language=French,F75,
    Language=Italian,G75
)</f>
        <v>Saisie des données de l’entreprise</v>
      </c>
      <c r="E75" s="443" t="s">
        <v>2195</v>
      </c>
      <c r="F75" s="443" t="s">
        <v>2196</v>
      </c>
      <c r="G75" s="443" t="s">
        <v>2197</v>
      </c>
      <c r="H75" s="443"/>
      <c r="I75" s="443"/>
      <c r="J75" s="443"/>
      <c r="K75" s="443"/>
      <c r="L75" s="443"/>
    </row>
    <row r="76" spans="1:12" ht="15" customHeight="1" x14ac:dyDescent="0.25">
      <c r="A76" s="443"/>
      <c r="B76" s="443"/>
      <c r="C76" s="446" t="s">
        <v>2198</v>
      </c>
      <c r="D76" s="450" t="str" cm="1">
        <f t="array" ref="D76">_xlfn.IFS(
    Language=German,E76,
    Language=French,F76,
    Language=Italian,G76
)</f>
        <v>Ici, vous saisissez toutes les données de l’entreprise pour l’année de bilan de l’unité organisationnelle définie. Ces « données d’activité » sont au cœur du bilan. En fonction de vos saisies, les émissions sont automatiquement calculées dans le feuille de calcul suivante « 3 Calculation » et résumées sous « 4 Dashboard ».</v>
      </c>
      <c r="E76" s="443" t="s">
        <v>2199</v>
      </c>
      <c r="F76" s="443" t="s">
        <v>27778</v>
      </c>
      <c r="G76" s="443" t="s">
        <v>28449</v>
      </c>
      <c r="H76" s="450"/>
      <c r="I76" s="450"/>
      <c r="J76" s="450"/>
      <c r="K76" s="450"/>
      <c r="L76" s="450"/>
    </row>
    <row r="77" spans="1:12" ht="19.5" x14ac:dyDescent="0.25">
      <c r="A77" s="443"/>
      <c r="B77" s="443"/>
      <c r="C77" s="460" t="s">
        <v>2200</v>
      </c>
      <c r="D77" s="451" t="str" cm="1">
        <f t="array" ref="D77">_xlfn.IFS(
    Language=German,E77,
    Language=French,F77,
    Language=Italian,G77
)</f>
        <v>Instructions</v>
      </c>
      <c r="E77" s="443" t="s">
        <v>2201</v>
      </c>
      <c r="F77" s="443" t="s">
        <v>2125</v>
      </c>
      <c r="G77" s="443" t="s">
        <v>2126</v>
      </c>
      <c r="H77" s="452"/>
      <c r="I77" s="452"/>
      <c r="J77" s="452"/>
      <c r="K77" s="452"/>
      <c r="L77" s="452"/>
    </row>
    <row r="78" spans="1:12" ht="19.5" x14ac:dyDescent="0.25">
      <c r="A78" s="451" t="s">
        <v>2202</v>
      </c>
      <c r="B78" s="443"/>
      <c r="C78" s="446" t="s">
        <v>2203</v>
      </c>
      <c r="D78" s="465" t="str" cm="1">
        <f t="array" ref="D78">_xlfn.IFS(
    Language=German,E78,
    Language=French,F78,
    Language=Italian,G78
)</f>
        <v>Pour plus d’informations, voir le User Manual, chapitre</v>
      </c>
      <c r="E78" s="443" t="s">
        <v>27188</v>
      </c>
      <c r="F78" s="443" t="s">
        <v>27189</v>
      </c>
      <c r="G78" s="443" t="s">
        <v>28450</v>
      </c>
      <c r="H78" s="457"/>
      <c r="I78"/>
    </row>
    <row r="79" spans="1:12" x14ac:dyDescent="0.25">
      <c r="A79" s="443"/>
      <c r="B79" s="443"/>
      <c r="C79" s="446" t="s">
        <v>2204</v>
      </c>
      <c r="D79" s="443" t="str" cm="1">
        <f t="array" ref="D79">_xlfn.IFS(
    Language=German,E79,
    Language=French,F79,
    Language=Italian,G79
)</f>
        <v>Cochez la case une fois le tableau terminé.</v>
      </c>
      <c r="E79" s="443" t="s">
        <v>2205</v>
      </c>
      <c r="F79" s="443" t="s">
        <v>2206</v>
      </c>
      <c r="G79" s="443" t="s">
        <v>28451</v>
      </c>
      <c r="H79" s="443"/>
      <c r="I79"/>
    </row>
    <row r="80" spans="1:12" x14ac:dyDescent="0.25">
      <c r="A80" s="443"/>
      <c r="B80" s="443"/>
      <c r="C80" s="446" t="s">
        <v>2207</v>
      </c>
      <c r="D80" s="466" t="str" cm="1">
        <f t="array" ref="D80">_xlfn.IFS(
    Language=German,E80,
    Language=French,F80,
    Language=Italian,G80
)</f>
        <v>Notes :</v>
      </c>
      <c r="E80" s="443" t="s">
        <v>2208</v>
      </c>
      <c r="F80" s="443" t="s">
        <v>2209</v>
      </c>
      <c r="G80" s="443" t="s">
        <v>2210</v>
      </c>
      <c r="H80" s="443"/>
      <c r="I80"/>
    </row>
    <row r="81" spans="1:12" x14ac:dyDescent="0.25">
      <c r="A81" s="443"/>
      <c r="B81" s="443"/>
      <c r="C81" s="467" t="s">
        <v>2211</v>
      </c>
      <c r="D81" s="443" t="str" cm="1">
        <f t="array" ref="D81">_xlfn.IFS(
    Language=German,E81,
    Language=French,F81,
    Language=Italian,G81
)</f>
        <v>Saisie</v>
      </c>
      <c r="E81" s="443" t="s">
        <v>2212</v>
      </c>
      <c r="F81" s="443" t="s">
        <v>27779</v>
      </c>
      <c r="G81" s="443" t="s">
        <v>2213</v>
      </c>
      <c r="H81" s="443"/>
      <c r="I81"/>
    </row>
    <row r="82" spans="1:12" ht="15" customHeight="1" x14ac:dyDescent="0.25">
      <c r="A82" s="443"/>
      <c r="B82" s="443"/>
      <c r="C82" s="446" t="s">
        <v>2214</v>
      </c>
      <c r="D82" s="443" t="str" cm="1">
        <f t="array" ref="D82">_xlfn.IFS(
    Language=German,E82,
    Language=French,F82,
    Language=Italian,G82
)</f>
        <v>Unité</v>
      </c>
      <c r="E82" s="443" t="s">
        <v>2030</v>
      </c>
      <c r="F82" s="443" t="s">
        <v>2215</v>
      </c>
      <c r="G82" s="443" t="s">
        <v>2216</v>
      </c>
      <c r="H82" s="443"/>
      <c r="I82"/>
    </row>
    <row r="83" spans="1:12" ht="19.5" x14ac:dyDescent="0.25">
      <c r="A83" s="451" t="s">
        <v>2109</v>
      </c>
      <c r="B83" s="443"/>
      <c r="C83" s="446" t="s">
        <v>2217</v>
      </c>
      <c r="D83" s="450" t="str" cm="1">
        <f t="array" ref="D83">_xlfn.IFS(
    Language=German,E83,
    Language=French,F83,
    Language=Italian,G83
)</f>
        <v>La saisie des données de votre entreprise est divisée en cases thématiques (pas selon les Scopes). Suivez les instructions dans les cases et remplissez les champs concernés en utilisant le code couleur suivant :</v>
      </c>
      <c r="E83" s="443" t="s">
        <v>2218</v>
      </c>
      <c r="F83" s="443" t="s">
        <v>27780</v>
      </c>
      <c r="G83" s="443" t="s">
        <v>28452</v>
      </c>
      <c r="H83" s="450"/>
      <c r="I83" s="450"/>
      <c r="J83" s="450"/>
      <c r="K83" s="450"/>
      <c r="L83" s="450"/>
    </row>
    <row r="84" spans="1:12" ht="15" customHeight="1" x14ac:dyDescent="0.25">
      <c r="A84" s="443"/>
      <c r="B84" s="443"/>
      <c r="C84" s="446" t="s">
        <v>2219</v>
      </c>
      <c r="D84" s="450" t="str" cm="1">
        <f t="array" ref="D84">_xlfn.IFS(
    Language=German,E84,
    Language=French,F84,
    Language=Italian,G84
)</f>
        <v>Les champs jaunes peuvent être remplis (menu déroulant ou entrées numériques).</v>
      </c>
      <c r="E84" s="443" t="s">
        <v>2220</v>
      </c>
      <c r="F84" s="443" t="s">
        <v>27781</v>
      </c>
      <c r="G84" s="443" t="s">
        <v>2221</v>
      </c>
      <c r="H84" s="443"/>
      <c r="I84"/>
    </row>
    <row r="85" spans="1:12" x14ac:dyDescent="0.25">
      <c r="A85" s="443"/>
      <c r="B85" s="443"/>
      <c r="C85" s="446" t="s">
        <v>2222</v>
      </c>
      <c r="D85" s="457" t="str" cm="1">
        <f t="array" ref="D85">_xlfn.IFS(
    Language=German,E85,
    Language=French,F85,
    Language=Italian,G85
)</f>
        <v>Les champs verts ont déjà été remplis et peuvent être ajustés à tout moment.</v>
      </c>
      <c r="E85" s="443" t="s">
        <v>2047</v>
      </c>
      <c r="F85" s="443" t="s">
        <v>27767</v>
      </c>
      <c r="G85" s="443" t="s">
        <v>2133</v>
      </c>
      <c r="H85" s="443"/>
      <c r="I85"/>
    </row>
    <row r="86" spans="1:12" x14ac:dyDescent="0.25">
      <c r="A86" s="443"/>
      <c r="B86" s="443"/>
      <c r="C86" s="446" t="s">
        <v>2223</v>
      </c>
      <c r="D86" s="457" t="str" cm="1">
        <f t="array" ref="D86">_xlfn.IFS(
    Language=German,E86,
    Language=French,F86,
    Language=Italian,G86
)</f>
        <v>Les cases avec du texte grisé n’ont pas besoin d’être prises en compte (masquées en fonction de vos saisies sous 1 General Inputs).</v>
      </c>
      <c r="E86" s="443" t="s">
        <v>2224</v>
      </c>
      <c r="F86" s="443" t="s">
        <v>27782</v>
      </c>
      <c r="G86" s="443" t="s">
        <v>27783</v>
      </c>
      <c r="H86" s="443"/>
      <c r="I86"/>
    </row>
    <row r="87" spans="1:12" x14ac:dyDescent="0.25">
      <c r="A87" s="443"/>
      <c r="B87" s="443"/>
      <c r="C87" s="446" t="s">
        <v>2225</v>
      </c>
      <c r="D87" s="468" t="str" cm="1">
        <f t="array" ref="D87">_xlfn.IFS(
    Language=German,E87,
    Language=French,F87,
    Language=Italian,G87
)</f>
        <v>Lorsque vous avez saisi toutes les données de l’entreprise dans un encadré, marquez la comme terminée (tout deviendra automatiquement vert).</v>
      </c>
      <c r="E87" s="443" t="s">
        <v>2226</v>
      </c>
      <c r="F87" s="443" t="s">
        <v>27784</v>
      </c>
      <c r="G87" s="443" t="s">
        <v>28453</v>
      </c>
      <c r="H87" s="443"/>
      <c r="I87"/>
    </row>
    <row r="88" spans="1:12" x14ac:dyDescent="0.25">
      <c r="A88" s="443"/>
      <c r="B88" s="443"/>
      <c r="C88" s="446" t="s">
        <v>2227</v>
      </c>
      <c r="D88" s="443" t="str" cm="1">
        <f t="array" ref="D88">_xlfn.IFS(
    Language=German,E88,
    Language=French,F88,
    Language=Italian,G88
)</f>
        <v>La table des matières vous indique la progression actuelle de votre traitement.</v>
      </c>
      <c r="E88" s="443" t="s">
        <v>2228</v>
      </c>
      <c r="F88" s="443" t="s">
        <v>27785</v>
      </c>
      <c r="G88" s="443" t="s">
        <v>28454</v>
      </c>
      <c r="H88" s="443"/>
      <c r="I88"/>
    </row>
    <row r="89" spans="1:12" ht="19.5" x14ac:dyDescent="0.25">
      <c r="A89" s="451" t="s">
        <v>2113</v>
      </c>
      <c r="B89" s="443"/>
      <c r="C89" s="446" t="s">
        <v>2229</v>
      </c>
      <c r="D89" s="451" t="str" cm="1">
        <f t="array" ref="D89">_xlfn.IFS(
    Language=German,E89,
    Language=French,F89,
    Language=Italian,G89
)</f>
        <v>Table des matières</v>
      </c>
      <c r="E89" s="443" t="s">
        <v>2051</v>
      </c>
      <c r="F89" s="443" t="s">
        <v>2145</v>
      </c>
      <c r="G89" s="443" t="s">
        <v>2146</v>
      </c>
      <c r="H89" s="443"/>
      <c r="I89"/>
    </row>
    <row r="90" spans="1:12" ht="19.5" x14ac:dyDescent="0.25">
      <c r="A90" s="451" t="s">
        <v>2119</v>
      </c>
      <c r="B90" s="443"/>
      <c r="C90" s="460" t="s">
        <v>2230</v>
      </c>
      <c r="D90" s="451" t="str" cm="1">
        <f t="array" ref="D90">_xlfn.IFS(
    Language=German,E90,
    Language=French,F90,
    Language=Italian,G90
)</f>
        <v>1 Combustion stationnaire</v>
      </c>
      <c r="E90" s="443" t="s">
        <v>27889</v>
      </c>
      <c r="F90" s="443" t="s">
        <v>27890</v>
      </c>
      <c r="G90" s="443" t="s">
        <v>27891</v>
      </c>
      <c r="H90" s="443"/>
      <c r="I90"/>
    </row>
    <row r="91" spans="1:12" x14ac:dyDescent="0.25">
      <c r="A91" s="443"/>
      <c r="B91" s="443"/>
      <c r="C91" s="446" t="s">
        <v>2231</v>
      </c>
      <c r="D91" s="469" t="str" cm="1">
        <f t="array" ref="D91">_xlfn.IFS(
    Language=German,E91,
    Language=French,F91,
    Language=Italian,G91
)</f>
        <v>Actifs à consommation propre (sur site)</v>
      </c>
      <c r="E91" s="443" t="s">
        <v>28806</v>
      </c>
      <c r="F91" s="443" t="s">
        <v>28398</v>
      </c>
      <c r="G91" s="443" t="s">
        <v>28400</v>
      </c>
      <c r="H91" s="443"/>
      <c r="I91"/>
    </row>
    <row r="92" spans="1:12" x14ac:dyDescent="0.25">
      <c r="A92" s="443"/>
      <c r="B92" s="443"/>
      <c r="C92" s="446" t="s">
        <v>2232</v>
      </c>
      <c r="D92" s="450" t="str" cm="1">
        <f t="array" ref="D92">_xlfn.IFS(
    Language=German,E92,
    Language=French,F92,
    Language=Italian,G92
)</f>
        <v>Indiquez les combustibles que votre entreprise brûle sur place dans des systèmes de production d’énergie installés en permanence (par exemple, chaudières, centrales thermiques et électriques mixtes, fours, générateurs fixes ; fossiles ou biogéniques). Ne notez que les installations que vous utilisez vous-même.</v>
      </c>
      <c r="E92" s="443" t="s">
        <v>2233</v>
      </c>
      <c r="F92" s="443" t="s">
        <v>27788</v>
      </c>
      <c r="G92" s="443" t="s">
        <v>28455</v>
      </c>
      <c r="H92" s="450"/>
      <c r="I92"/>
    </row>
    <row r="93" spans="1:12" x14ac:dyDescent="0.25">
      <c r="A93" s="443"/>
      <c r="B93" s="443"/>
      <c r="C93" s="446" t="s">
        <v>2234</v>
      </c>
      <c r="D93" s="450" t="str" cm="1">
        <f t="array" ref="D93">_xlfn.IFS(
    Language=German,E93,
    Language=French,F93,
    Language=Italian,G93
)</f>
        <v>Sous Carburant, sélectionnez le carburant que vous utilisez (menu déroulant). Sous « Saisie », saisissez la consommation annuelle en unité habituelle (par exemple litres, kilogrammes ou mètres cubes).</v>
      </c>
      <c r="E93" s="443" t="s">
        <v>28746</v>
      </c>
      <c r="F93" s="443" t="s">
        <v>28747</v>
      </c>
      <c r="G93" s="443" t="s">
        <v>28748</v>
      </c>
      <c r="H93" s="450"/>
      <c r="I93"/>
    </row>
    <row r="94" spans="1:12" x14ac:dyDescent="0.25">
      <c r="A94" s="443"/>
      <c r="B94" s="443"/>
      <c r="C94" s="446" t="s">
        <v>2235</v>
      </c>
      <c r="D94" s="450" t="str" cm="1">
        <f t="array" ref="D94">_xlfn.IFS(
    Language=German,E94,
    Language=French,F94,
    Language=Italian,G94
)</f>
        <v>La puissance calorifique inférieure en mégajoules (MJ) est calculée automatiquement. Sinon, vous pouvez entrer la puissance calorifique directement dans MJ (colonne de droite).</v>
      </c>
      <c r="E94" s="443" t="s">
        <v>29014</v>
      </c>
      <c r="F94" s="443" t="s">
        <v>29015</v>
      </c>
      <c r="G94" s="443" t="s">
        <v>29016</v>
      </c>
      <c r="H94" s="450"/>
      <c r="I94"/>
    </row>
    <row r="95" spans="1:12" ht="15" customHeight="1" x14ac:dyDescent="0.25">
      <c r="A95" s="443"/>
      <c r="B95" s="443"/>
      <c r="C95" s="446" t="s">
        <v>2236</v>
      </c>
      <c r="D95" s="450" t="str" cm="1">
        <f t="array" ref="D95">_xlfn.IFS(
    Language=German,E95,
    Language=French,F95,
    Language=Italian,G95
)</f>
        <v>Carburant</v>
      </c>
      <c r="E95" s="443" t="s">
        <v>2237</v>
      </c>
      <c r="F95" s="443" t="s">
        <v>2238</v>
      </c>
      <c r="G95" s="443" t="s">
        <v>2239</v>
      </c>
      <c r="H95" s="443"/>
      <c r="I95"/>
    </row>
    <row r="96" spans="1:12" x14ac:dyDescent="0.25">
      <c r="A96" s="443"/>
      <c r="B96" s="443"/>
      <c r="C96" s="446" t="s">
        <v>2240</v>
      </c>
      <c r="D96" s="469" t="str" cm="1">
        <f t="array" ref="D96">_xlfn.IFS(
    Language=German,E96,
    Language=French,F96,
    Language=Italian,G96
)</f>
        <v>Actifs à consommation propre (chauffage à distance et vapeur)</v>
      </c>
      <c r="E96" s="443" t="s">
        <v>28376</v>
      </c>
      <c r="F96" s="443" t="s">
        <v>28399</v>
      </c>
      <c r="G96" s="443" t="s">
        <v>28401</v>
      </c>
      <c r="H96" s="443"/>
      <c r="I96"/>
    </row>
    <row r="97" spans="1:12" ht="15" customHeight="1" x14ac:dyDescent="0.25">
      <c r="A97" s="443"/>
      <c r="B97" s="443"/>
      <c r="C97" s="446" t="s">
        <v>2241</v>
      </c>
      <c r="D97" s="450" t="str" cm="1">
        <f t="array" ref="D97">_xlfn.IFS(
    Language=German,E97,
    Language=French,F97,
    Language=Italian,G97
)</f>
        <v>Indiquez la consommation de chauffage urbain ou de vapeur pour votre consommation personnelle dans les bâtiments ou installations appartenant à votre entreprise.</v>
      </c>
      <c r="E97" s="443" t="s">
        <v>2242</v>
      </c>
      <c r="F97" s="443" t="s">
        <v>27789</v>
      </c>
      <c r="G97" s="443" t="s">
        <v>28456</v>
      </c>
      <c r="H97" s="450"/>
      <c r="I97"/>
    </row>
    <row r="98" spans="1:12" x14ac:dyDescent="0.25">
      <c r="A98" s="443"/>
      <c r="B98" s="446"/>
      <c r="C98" s="446" t="s">
        <v>2243</v>
      </c>
      <c r="D98" s="443" t="str" cm="1">
        <f t="array" ref="D98">_xlfn.IFS(
    Language=German,E98,
    Language=French,F98,
    Language=Italian,G98
)</f>
        <v>Sous « Source d’énergie », sélectionnez la source d’énergie (menu déroulant ; si inconnue, sélectionnez la moyenne suisse). Sous « MJ », entrez la consommation annuelle de chaleur finale en MJ.</v>
      </c>
      <c r="E98" s="443" t="s">
        <v>28749</v>
      </c>
      <c r="F98" s="443" t="s">
        <v>29001</v>
      </c>
      <c r="G98" s="443" t="s">
        <v>28750</v>
      </c>
      <c r="H98" s="446"/>
      <c r="I98"/>
    </row>
    <row r="99" spans="1:12" ht="15" customHeight="1" x14ac:dyDescent="0.25">
      <c r="A99" s="443"/>
      <c r="B99" s="446"/>
      <c r="C99" s="446" t="s">
        <v>2244</v>
      </c>
      <c r="D99" s="443" t="str" cm="1">
        <f t="array" ref="D99">_xlfn.IFS(
    Language=German,E99,
    Language=French,F99,
    Language=Italian,G99
)</f>
        <v>Source d’énergie</v>
      </c>
      <c r="E99" s="443" t="s">
        <v>2245</v>
      </c>
      <c r="F99" s="443" t="s">
        <v>27790</v>
      </c>
      <c r="G99" s="443" t="s">
        <v>27791</v>
      </c>
      <c r="H99" s="446"/>
      <c r="I99"/>
    </row>
    <row r="100" spans="1:12" x14ac:dyDescent="0.25">
      <c r="A100" s="443"/>
      <c r="B100" s="446"/>
      <c r="C100" s="446" t="s">
        <v>2246</v>
      </c>
      <c r="D100" s="469" t="str" cm="1">
        <f t="array" ref="D100">_xlfn.IFS(
    Language=German,E100,
    Language=French,F100,
    Language=Italian,G100
)</f>
        <v>Actifs loués en amont (sur place)</v>
      </c>
      <c r="E100" s="443" t="s">
        <v>28288</v>
      </c>
      <c r="F100" s="443" t="s">
        <v>28289</v>
      </c>
      <c r="G100" s="443" t="s">
        <v>28824</v>
      </c>
      <c r="H100" s="443"/>
      <c r="I100"/>
      <c r="J100"/>
      <c r="K100"/>
      <c r="L100"/>
    </row>
    <row r="101" spans="1:12" x14ac:dyDescent="0.25">
      <c r="A101" s="443"/>
      <c r="B101" s="446"/>
      <c r="C101" s="470" t="s">
        <v>2247</v>
      </c>
      <c r="D101" s="450" t="str" cm="1">
        <f t="array" ref="D101">_xlfn.IFS(
    Language=German,E101,
    Language=French,F101,
    Language=Italian,G101
)</f>
        <v>Indiquez les combustibles que votre entreprise brûle sur site dans des équipements de production d’énergie loués et installés de façon permanente (par exemple, chaudières, centrales thermiques et électriques mixtes, fours, générateurs fixes ; fossiles ou biogéniques). Indiquez uniquement les installations que votre entreprise loue en amont.</v>
      </c>
      <c r="E101" s="443" t="s">
        <v>2248</v>
      </c>
      <c r="F101" s="443" t="s">
        <v>28821</v>
      </c>
      <c r="G101" s="443" t="s">
        <v>28457</v>
      </c>
      <c r="H101" s="450"/>
      <c r="I101"/>
      <c r="J101"/>
      <c r="K101"/>
      <c r="L101"/>
    </row>
    <row r="102" spans="1:12" ht="15" customHeight="1" x14ac:dyDescent="0.25">
      <c r="A102" s="443"/>
      <c r="B102" s="446"/>
      <c r="C102" s="470" t="s">
        <v>2249</v>
      </c>
      <c r="D102" s="450" t="str" cm="1">
        <f t="array" ref="D102">_xlfn.IFS(
    Language=German,E102,
    Language=French,F102,
    Language=Italian,G102
)</f>
        <v>Sous Carburant, sélectionnez le carburant que vous utilisez (menu déroulant). Sous « Saisie », saisissez la consommation annuelle en unité habituelle (par exemple litres, kilogrammes ou mètres cubes).</v>
      </c>
      <c r="E102" s="443" t="s">
        <v>28746</v>
      </c>
      <c r="F102" s="443" t="s">
        <v>28747</v>
      </c>
      <c r="G102" s="444" t="s">
        <v>28748</v>
      </c>
      <c r="H102" s="450"/>
      <c r="I102"/>
      <c r="J102"/>
      <c r="K102"/>
      <c r="L102"/>
    </row>
    <row r="103" spans="1:12" x14ac:dyDescent="0.25">
      <c r="A103" s="443"/>
      <c r="B103" s="443"/>
      <c r="C103" s="470" t="s">
        <v>2250</v>
      </c>
      <c r="D103" s="450" t="str" cm="1">
        <f t="array" ref="D103">_xlfn.IFS(
    Language=German,E103,
    Language=French,F103,
    Language=Italian,G103
)</f>
        <v>La puissance calorifique inférieure en mégajoules (MJ) est calculée automatiquement. Sinon, vous pouvez entrer la puissance calorifique directement dans MJ (colonne de droite).</v>
      </c>
      <c r="E103" s="443" t="s">
        <v>29014</v>
      </c>
      <c r="F103" s="443" t="s">
        <v>29015</v>
      </c>
      <c r="G103" s="443" t="s">
        <v>29016</v>
      </c>
      <c r="H103" s="450"/>
      <c r="I103"/>
      <c r="J103"/>
      <c r="K103"/>
      <c r="L103"/>
    </row>
    <row r="104" spans="1:12" ht="15" customHeight="1" x14ac:dyDescent="0.25">
      <c r="A104" s="443"/>
      <c r="B104" s="443"/>
      <c r="C104" s="470" t="s">
        <v>2251</v>
      </c>
      <c r="D104" s="450" t="str" cm="1">
        <f t="array" ref="D104">_xlfn.IFS(
    Language=German,E104,
    Language=French,F104,
    Language=Italian,G104
)</f>
        <v>Carburant</v>
      </c>
      <c r="E104" s="443" t="s">
        <v>2237</v>
      </c>
      <c r="F104" s="443" t="s">
        <v>2238</v>
      </c>
      <c r="G104" s="443" t="s">
        <v>2239</v>
      </c>
      <c r="H104" s="450"/>
      <c r="I104"/>
      <c r="J104"/>
      <c r="K104"/>
      <c r="L104"/>
    </row>
    <row r="105" spans="1:12" x14ac:dyDescent="0.25">
      <c r="A105" s="443"/>
      <c r="B105" s="443"/>
      <c r="C105" s="470" t="s">
        <v>2252</v>
      </c>
      <c r="D105" s="471" t="str" cm="1">
        <f t="array" ref="D105">_xlfn.IFS(
    Language=German,E105,
    Language=French,F105,
    Language=Italian,G105
)</f>
        <v>Actifs loués en amont (chauffage à distance et vapeur)</v>
      </c>
      <c r="E105" s="443" t="s">
        <v>28286</v>
      </c>
      <c r="F105" s="443" t="s">
        <v>28287</v>
      </c>
      <c r="G105" s="443" t="s">
        <v>28827</v>
      </c>
      <c r="H105" s="450"/>
      <c r="I105"/>
      <c r="J105"/>
      <c r="K105"/>
      <c r="L105"/>
    </row>
    <row r="106" spans="1:12" x14ac:dyDescent="0.25">
      <c r="A106" s="443"/>
      <c r="B106" s="443"/>
      <c r="C106" s="470" t="s">
        <v>2253</v>
      </c>
      <c r="D106" s="450" t="str" cm="1">
        <f t="array" ref="D106">_xlfn.IFS(
    Language=German,E106,
    Language=French,F106,
    Language=Italian,G106
)</f>
        <v>Indiquez l’achat de chauffage urbain ou de vapeur pour des bâtiments ou installations loués en amont.</v>
      </c>
      <c r="E106" s="443" t="s">
        <v>2254</v>
      </c>
      <c r="F106" s="443" t="s">
        <v>28822</v>
      </c>
      <c r="G106" s="443" t="s">
        <v>28458</v>
      </c>
      <c r="H106" s="450"/>
      <c r="I106"/>
      <c r="J106"/>
      <c r="K106"/>
      <c r="L106"/>
    </row>
    <row r="107" spans="1:12" ht="15" customHeight="1" x14ac:dyDescent="0.25">
      <c r="A107" s="443"/>
      <c r="B107" s="443"/>
      <c r="C107" s="470" t="s">
        <v>2255</v>
      </c>
      <c r="D107" s="450" t="str" cm="1">
        <f t="array" ref="D107">_xlfn.IFS(
    Language=German,E107,
    Language=French,F107,
    Language=Italian,G107
)</f>
        <v>Sous « Source d’énergie », sélectionnez la source d’énergie (menu déroulant ; si inconnue, sélectionnez la moyenne suisse). Sous « MJ », entrez la consommation annuelle de chaleur finale en MJ.</v>
      </c>
      <c r="E107" s="443" t="s">
        <v>28751</v>
      </c>
      <c r="F107" s="443" t="s">
        <v>29001</v>
      </c>
      <c r="G107" s="444" t="s">
        <v>28752</v>
      </c>
      <c r="H107" s="450"/>
      <c r="I107"/>
      <c r="J107"/>
      <c r="K107"/>
      <c r="L107"/>
    </row>
    <row r="108" spans="1:12" x14ac:dyDescent="0.25">
      <c r="A108" s="443"/>
      <c r="B108" s="443"/>
      <c r="C108" s="470" t="s">
        <v>2256</v>
      </c>
      <c r="D108" s="450" t="str" cm="1">
        <f t="array" ref="D108">_xlfn.IFS(
    Language=German,E108,
    Language=French,F108,
    Language=Italian,G108
)</f>
        <v>Source d’énergie</v>
      </c>
      <c r="E108" s="443" t="s">
        <v>2245</v>
      </c>
      <c r="F108" s="443" t="s">
        <v>27790</v>
      </c>
      <c r="G108" s="443" t="s">
        <v>27791</v>
      </c>
      <c r="H108" s="450"/>
      <c r="I108"/>
      <c r="J108"/>
      <c r="K108"/>
      <c r="L108"/>
    </row>
    <row r="109" spans="1:12" ht="15" customHeight="1" x14ac:dyDescent="0.25">
      <c r="A109" s="443"/>
      <c r="B109" s="443"/>
      <c r="C109" s="446" t="s">
        <v>2257</v>
      </c>
      <c r="D109" s="469" t="str" cm="1">
        <f t="array" ref="D109">_xlfn.IFS(
    Language=German,E109,
    Language=French,F109,
    Language=Italian,G109
)</f>
        <v>Actifs loués en aval (sur place)</v>
      </c>
      <c r="E109" s="443" t="s">
        <v>28284</v>
      </c>
      <c r="F109" s="443" t="s">
        <v>28285</v>
      </c>
      <c r="G109" s="443" t="s">
        <v>28825</v>
      </c>
      <c r="H109" s="443"/>
      <c r="I109"/>
      <c r="J109"/>
      <c r="K109"/>
      <c r="L109"/>
    </row>
    <row r="110" spans="1:12" ht="15" customHeight="1" x14ac:dyDescent="0.25">
      <c r="A110" s="443"/>
      <c r="B110" s="443"/>
      <c r="C110" s="446" t="s">
        <v>2258</v>
      </c>
      <c r="D110" s="450" t="str" cm="1">
        <f t="array" ref="D110">_xlfn.IFS(
    Language=German,E110,
    Language=French,F110,
    Language=Italian,G110
)</f>
        <v>Indiquez les combustibles que votre entreprise brûle sur place dans des systèmes de production d’énergie loués et installés de façon permanente (par exemple, chaudières, centrales thermiques et électriques mixtes, fours, générateurs fixes ; fossiles ou biogéniques). Indiquez uniquement les actifs que votre entreprise loue ici.</v>
      </c>
      <c r="E110" s="443" t="s">
        <v>2259</v>
      </c>
      <c r="F110" s="443" t="s">
        <v>27792</v>
      </c>
      <c r="G110" s="443" t="s">
        <v>28459</v>
      </c>
      <c r="H110" s="450"/>
      <c r="I110"/>
      <c r="J110"/>
      <c r="K110"/>
      <c r="L110"/>
    </row>
    <row r="111" spans="1:12" ht="15" customHeight="1" x14ac:dyDescent="0.25">
      <c r="A111" s="443"/>
      <c r="B111" s="443"/>
      <c r="C111" s="446" t="s">
        <v>2260</v>
      </c>
      <c r="D111" s="450" t="str" cm="1">
        <f t="array" ref="D111">_xlfn.IFS(
    Language=German,E111,
    Language=French,F111,
    Language=Italian,G111
)</f>
        <v>Sous Carburant, sélectionnez le carburant que vous utilisez (menu déroulant). Sous « Saisie », saisissez la consommation annuelle en unité habituelle (par exemple litres, kilogrammes ou mètres cubes).</v>
      </c>
      <c r="E111" s="443" t="s">
        <v>28746</v>
      </c>
      <c r="F111" s="443" t="s">
        <v>28747</v>
      </c>
      <c r="G111" s="444" t="s">
        <v>28748</v>
      </c>
      <c r="H111" s="450"/>
      <c r="I111"/>
      <c r="J111"/>
      <c r="K111"/>
      <c r="L111"/>
    </row>
    <row r="112" spans="1:12" x14ac:dyDescent="0.25">
      <c r="A112" s="443"/>
      <c r="B112" s="443"/>
      <c r="C112" s="446" t="s">
        <v>2261</v>
      </c>
      <c r="D112" s="450" t="str" cm="1">
        <f t="array" ref="D112">_xlfn.IFS(
    Language=German,E112,
    Language=French,F112,
    Language=Italian,G112
)</f>
        <v>La puissance calorifique inférieure en mégajoules (MJ) est calculée automatiquement. Sinon, vous pouvez entrer la puissance calorifique directement dans MJ (colonne de droite).</v>
      </c>
      <c r="E112" s="443" t="s">
        <v>29014</v>
      </c>
      <c r="F112" s="443" t="s">
        <v>29015</v>
      </c>
      <c r="G112" s="443" t="s">
        <v>29016</v>
      </c>
      <c r="H112" s="450"/>
      <c r="I112"/>
      <c r="J112"/>
      <c r="K112"/>
      <c r="L112"/>
    </row>
    <row r="113" spans="1:12" ht="15" customHeight="1" x14ac:dyDescent="0.25">
      <c r="A113" s="443"/>
      <c r="B113" s="443"/>
      <c r="C113" s="446" t="s">
        <v>2262</v>
      </c>
      <c r="D113" s="443" t="str" cm="1">
        <f t="array" ref="D113">_xlfn.IFS(
    Language=German,E113,
    Language=French,F113,
    Language=Italian,G113
)</f>
        <v>Carburant</v>
      </c>
      <c r="E113" s="443" t="s">
        <v>2237</v>
      </c>
      <c r="F113" s="443" t="s">
        <v>2238</v>
      </c>
      <c r="G113" s="443" t="s">
        <v>2239</v>
      </c>
      <c r="H113" s="443"/>
      <c r="I113"/>
      <c r="J113"/>
      <c r="K113"/>
      <c r="L113"/>
    </row>
    <row r="114" spans="1:12" x14ac:dyDescent="0.25">
      <c r="A114" s="443"/>
      <c r="B114" s="443"/>
      <c r="C114" s="446" t="s">
        <v>2263</v>
      </c>
      <c r="D114" s="469" t="str" cm="1">
        <f t="array" ref="D114">_xlfn.IFS(
    Language=German,E114,
    Language=French,F114,
    Language=Italian,G114
)</f>
        <v>Actifs loués en aval (chauffage à distance et vapeur)</v>
      </c>
      <c r="E114" s="443" t="s">
        <v>28282</v>
      </c>
      <c r="F114" s="443" t="s">
        <v>28283</v>
      </c>
      <c r="G114" s="443" t="s">
        <v>28828</v>
      </c>
      <c r="H114" s="443"/>
      <c r="I114"/>
      <c r="J114"/>
      <c r="K114"/>
      <c r="L114"/>
    </row>
    <row r="115" spans="1:12" x14ac:dyDescent="0.25">
      <c r="A115" s="443"/>
      <c r="B115" s="443"/>
      <c r="C115" s="446" t="s">
        <v>2264</v>
      </c>
      <c r="D115" s="450" t="str" cm="1">
        <f t="array" ref="D115">_xlfn.IFS(
    Language=German,E115,
    Language=French,F115,
    Language=Italian,G115
)</f>
        <v>Achat de chauffage à distance ou de vapeur pour des bâtiments ou installations loués.</v>
      </c>
      <c r="E115" s="443" t="s">
        <v>2265</v>
      </c>
      <c r="F115" s="443" t="s">
        <v>27793</v>
      </c>
      <c r="G115" s="443" t="s">
        <v>28460</v>
      </c>
      <c r="H115" s="450"/>
      <c r="I115"/>
    </row>
    <row r="116" spans="1:12" ht="15" customHeight="1" x14ac:dyDescent="0.25">
      <c r="A116" s="443"/>
      <c r="B116" s="443"/>
      <c r="C116" s="446" t="s">
        <v>2266</v>
      </c>
      <c r="D116" s="450" t="str" cm="1">
        <f t="array" ref="D116">_xlfn.IFS(
    Language=German,E116,
    Language=French,F116,
    Language=Italian,G116
)</f>
        <v>Sous « Source d’énergie », sélectionnez la source d’énergie (menu déroulant ; si inconnue, sélectionnez la moyenne suisse). Sous « MJ », entrez la consommation annuelle de chaleur finale en MJ.</v>
      </c>
      <c r="E116" s="443" t="s">
        <v>28749</v>
      </c>
      <c r="F116" s="443" t="s">
        <v>29001</v>
      </c>
      <c r="G116" s="444" t="s">
        <v>28750</v>
      </c>
      <c r="H116" s="450"/>
      <c r="I116"/>
    </row>
    <row r="117" spans="1:12" x14ac:dyDescent="0.25">
      <c r="A117" s="443"/>
      <c r="B117" s="443"/>
      <c r="C117" s="446" t="s">
        <v>2267</v>
      </c>
      <c r="D117" s="443" t="str" cm="1">
        <f t="array" ref="D117">_xlfn.IFS(
    Language=German,E117,
    Language=French,F117,
    Language=Italian,G117
)</f>
        <v>Carburant</v>
      </c>
      <c r="E117" s="443" t="s">
        <v>2237</v>
      </c>
      <c r="F117" s="443" t="s">
        <v>2238</v>
      </c>
      <c r="G117" s="443" t="s">
        <v>2239</v>
      </c>
      <c r="H117" s="443"/>
      <c r="I117"/>
    </row>
    <row r="118" spans="1:12" ht="15" customHeight="1" x14ac:dyDescent="0.25">
      <c r="A118" s="451" t="s">
        <v>2147</v>
      </c>
      <c r="B118" s="443"/>
      <c r="C118" s="460" t="s">
        <v>2268</v>
      </c>
      <c r="D118" s="451" t="str" cm="1">
        <f t="array" ref="D118">_xlfn.IFS(
    Language=German,E118,
    Language=French,F118,
    Language=Italian,G118
)</f>
        <v>2 Processus</v>
      </c>
      <c r="E118" s="443" t="s">
        <v>27892</v>
      </c>
      <c r="F118" s="443" t="s">
        <v>27893</v>
      </c>
      <c r="G118" s="443" t="s">
        <v>27894</v>
      </c>
      <c r="H118" s="443"/>
      <c r="I118"/>
    </row>
    <row r="119" spans="1:12" x14ac:dyDescent="0.25">
      <c r="A119" s="443"/>
      <c r="B119" s="443"/>
      <c r="C119" s="460" t="s">
        <v>2269</v>
      </c>
      <c r="D119" s="472" t="str" cm="1">
        <f t="array" ref="D119">_xlfn.IFS(
    Language=German,E119,
    Language=French,F119,
    Language=Italian,G119
)</f>
        <v>Émissions directes de gaz à effet de serre issues des procédés et de l’utilisation des terres</v>
      </c>
      <c r="E119" s="443" t="s">
        <v>2270</v>
      </c>
      <c r="F119" s="443" t="s">
        <v>2271</v>
      </c>
      <c r="G119" s="443" t="s">
        <v>2272</v>
      </c>
      <c r="H119" s="473"/>
      <c r="I119"/>
    </row>
    <row r="120" spans="1:12" ht="14.65" customHeight="1" x14ac:dyDescent="0.25">
      <c r="A120" s="443"/>
      <c r="B120" s="443"/>
      <c r="C120" s="460" t="s">
        <v>2273</v>
      </c>
      <c r="D120" s="450" t="str" cm="1">
        <f t="array" ref="D120">_xlfn.IFS(
    Language=German,E120,
    Language=French,F120,
    Language=Italian,G120
)</f>
        <v>Indiquez les émissions directes de gaz à effet de serre provenant de procédés ou d’utilisations des sols qui ne proviennent pas de la combustion du combustible.
Cela inclut, par exemple, les réactions chimiques, les procédés de fermentation, le traitement des eaux usées, le compostage ou d’autres transformations de matériaux.</v>
      </c>
      <c r="E120" s="443" t="s">
        <v>2274</v>
      </c>
      <c r="F120" s="443" t="s">
        <v>27794</v>
      </c>
      <c r="G120" s="443" t="s">
        <v>2275</v>
      </c>
      <c r="H120" s="450"/>
      <c r="I120"/>
    </row>
    <row r="121" spans="1:12" ht="14.65" customHeight="1" x14ac:dyDescent="0.25">
      <c r="A121" s="443"/>
      <c r="B121" s="443"/>
      <c r="C121" s="460" t="s">
        <v>2276</v>
      </c>
      <c r="D121" s="450" t="str" cm="1">
        <f t="array" ref="D121">_xlfn.IFS(
    Language=German,E121,
    Language=French,F121,
    Language=Italian,G121
)</f>
        <v>Indiquez directement les émissions annuelles de gaz à effet de serre en kilogrammes (kg).</v>
      </c>
      <c r="E121" s="443" t="s">
        <v>2277</v>
      </c>
      <c r="F121" s="443" t="s">
        <v>2278</v>
      </c>
      <c r="G121" s="443" t="s">
        <v>28461</v>
      </c>
      <c r="H121" s="450"/>
      <c r="I121"/>
    </row>
    <row r="122" spans="1:12" x14ac:dyDescent="0.25">
      <c r="A122" s="443"/>
      <c r="B122" s="443"/>
      <c r="C122" s="460" t="s">
        <v>2279</v>
      </c>
      <c r="D122" s="457" t="str" cm="1">
        <f t="array" ref="D122">_xlfn.IFS(
    Language=German,E122,
    Language=French,F122,
    Language=Italian,G122
)</f>
        <v>Gaz à effet de serre</v>
      </c>
      <c r="E122" s="443" t="s">
        <v>2280</v>
      </c>
      <c r="F122" s="443" t="s">
        <v>2281</v>
      </c>
      <c r="G122" s="443" t="s">
        <v>2282</v>
      </c>
      <c r="H122" s="443"/>
      <c r="I122"/>
    </row>
    <row r="123" spans="1:12" ht="18.75" x14ac:dyDescent="0.35">
      <c r="A123" s="443"/>
      <c r="B123" s="443"/>
      <c r="C123" s="460" t="s">
        <v>2283</v>
      </c>
      <c r="D123" s="457" t="str" cm="1">
        <f t="array" ref="D123">_xlfn.IFS(
    Language=German,E123,
    Language=French,F123,
    Language=Italian,G123
)</f>
        <v>Équivalents CO2 (lorsque les chiffres des émissions sont combinés)</v>
      </c>
      <c r="E123" s="443" t="s">
        <v>2284</v>
      </c>
      <c r="F123" s="443" t="s">
        <v>27795</v>
      </c>
      <c r="G123" s="443" t="s">
        <v>28462</v>
      </c>
      <c r="H123" s="443"/>
      <c r="I123"/>
    </row>
    <row r="124" spans="1:12" x14ac:dyDescent="0.25">
      <c r="A124" s="443"/>
      <c r="B124" s="443"/>
      <c r="C124" s="460" t="s">
        <v>2285</v>
      </c>
      <c r="D124" s="457" t="str" cm="1">
        <f t="array" ref="D124">_xlfn.IFS(
    Language=German,E124,
    Language=French,F124,
    Language=Italian,G124
)</f>
        <v>Gaz à effet de serre séparément</v>
      </c>
      <c r="E124" s="443" t="s">
        <v>2286</v>
      </c>
      <c r="F124" s="443" t="s">
        <v>2287</v>
      </c>
      <c r="G124" s="443" t="s">
        <v>2288</v>
      </c>
      <c r="H124" s="443"/>
      <c r="I124"/>
    </row>
    <row r="125" spans="1:12" ht="18.75" x14ac:dyDescent="0.35">
      <c r="A125" s="443"/>
      <c r="B125" s="443"/>
      <c r="C125" s="460" t="s">
        <v>2289</v>
      </c>
      <c r="D125" s="457" t="str" cm="1">
        <f t="array" ref="D125">_xlfn.IFS(
    Language=German,E125,
    Language=French,F125,
    Language=Italian,G125
)</f>
        <v>CH4 (fossil)</v>
      </c>
      <c r="E125" s="443" t="s">
        <v>2290</v>
      </c>
      <c r="F125" s="443" t="s">
        <v>27796</v>
      </c>
      <c r="G125" s="443" t="s">
        <v>2291</v>
      </c>
      <c r="H125" s="443"/>
      <c r="I125"/>
    </row>
    <row r="126" spans="1:12" ht="18.75" x14ac:dyDescent="0.35">
      <c r="A126" s="443"/>
      <c r="B126" s="443"/>
      <c r="C126" s="460" t="s">
        <v>2292</v>
      </c>
      <c r="D126" s="457" t="str" cm="1">
        <f t="array" ref="D126">_xlfn.IFS(
    Language=German,E126,
    Language=French,F126,
    Language=Italian,G126
)</f>
        <v>CH4 non fossil</v>
      </c>
      <c r="E126" s="443" t="s">
        <v>2293</v>
      </c>
      <c r="F126" s="443" t="s">
        <v>27797</v>
      </c>
      <c r="G126" s="443" t="s">
        <v>2294</v>
      </c>
      <c r="H126" s="443"/>
      <c r="I126"/>
    </row>
    <row r="127" spans="1:12" x14ac:dyDescent="0.25">
      <c r="A127" s="443"/>
      <c r="B127" s="443"/>
      <c r="C127" s="460" t="s">
        <v>2295</v>
      </c>
      <c r="D127" s="443" t="str" cm="1">
        <f t="array" ref="D127">_xlfn.IFS(
    Language=German,E127,
    Language=French,F127,
    Language=Italian,G127
)</f>
        <v>Si cela vous concerne, vous pouvez indiquer les émissions spécifiques aux processus en utilisant les champs de sélection sous « Émissions (air/eau/sol) ».</v>
      </c>
      <c r="E127" s="443" t="s">
        <v>28633</v>
      </c>
      <c r="F127" s="443" t="s">
        <v>28811</v>
      </c>
      <c r="G127" s="443" t="s">
        <v>28634</v>
      </c>
      <c r="H127" s="443"/>
      <c r="I127"/>
    </row>
    <row r="128" spans="1:12" x14ac:dyDescent="0.25">
      <c r="A128" s="443"/>
      <c r="B128" s="443"/>
      <c r="C128" s="460" t="s">
        <v>2296</v>
      </c>
      <c r="D128" s="443" t="str" cm="1">
        <f t="array" ref="D128">_xlfn.IFS(
    Language=German,E128,
    Language=French,F128,
    Language=Italian,G128
)</f>
        <v>Émissions (air/eau/sol)</v>
      </c>
      <c r="E128" s="443" t="s">
        <v>28631</v>
      </c>
      <c r="F128" s="443" t="s">
        <v>28630</v>
      </c>
      <c r="G128" s="443" t="s">
        <v>28632</v>
      </c>
      <c r="H128" s="443" t="s">
        <v>88</v>
      </c>
      <c r="I128"/>
    </row>
    <row r="129" spans="1:9" ht="19.5" x14ac:dyDescent="0.25">
      <c r="A129" s="451" t="s">
        <v>2150</v>
      </c>
      <c r="B129" s="443"/>
      <c r="C129" s="460" t="s">
        <v>2297</v>
      </c>
      <c r="D129" s="451" t="str" cm="1">
        <f t="array" ref="D129">_xlfn.IFS(
    Language=German,E129,
    Language=French,F129,
    Language=Italian,G129
)</f>
        <v>3 Émissions fugitives</v>
      </c>
      <c r="E129" s="443" t="s">
        <v>27895</v>
      </c>
      <c r="F129" s="443" t="s">
        <v>27896</v>
      </c>
      <c r="G129" s="443" t="s">
        <v>27897</v>
      </c>
      <c r="H129" s="443"/>
      <c r="I129"/>
    </row>
    <row r="130" spans="1:9" x14ac:dyDescent="0.25">
      <c r="A130" s="443"/>
      <c r="B130" s="443"/>
      <c r="C130" s="460" t="s">
        <v>2300</v>
      </c>
      <c r="D130" s="469" t="str" cm="1">
        <f t="array" ref="D130">_xlfn.IFS(
    Language=German,E130,
    Language=French,F130,
    Language=Italian,G130
)</f>
        <v>Émissions directes de gaz à effet de serre issues des fuites</v>
      </c>
      <c r="E130" s="443" t="s">
        <v>2301</v>
      </c>
      <c r="F130" s="443" t="s">
        <v>2302</v>
      </c>
      <c r="G130" s="443" t="s">
        <v>28463</v>
      </c>
      <c r="H130" s="443"/>
      <c r="I130"/>
    </row>
    <row r="131" spans="1:9" ht="14.65" customHeight="1" x14ac:dyDescent="0.25">
      <c r="A131" s="443"/>
      <c r="B131" s="443"/>
      <c r="C131" s="460" t="s">
        <v>2303</v>
      </c>
      <c r="D131" s="450" t="str" cm="1">
        <f t="array" ref="D131">_xlfn.IFS(
    Language=German,E131,
    Language=French,F131,
    Language=Italian,G131
)</f>
        <v>Indiquez les émissions directes de gaz à effet de serre causées par la fuite accidentelle de gaz des installations de votre entreprise.
Cela inclut, par exemple, les pertes de réfrigérants dues aux systèmes de refroidissement et de climatisation, les émissions de méthane provenant des gazoducs ou les fuites des systèmes techniques.</v>
      </c>
      <c r="E131" s="443" t="s">
        <v>2304</v>
      </c>
      <c r="F131" s="443" t="s">
        <v>27799</v>
      </c>
      <c r="G131" s="444" t="s">
        <v>28464</v>
      </c>
      <c r="H131" s="450"/>
      <c r="I131"/>
    </row>
    <row r="132" spans="1:9" ht="14.65" customHeight="1" x14ac:dyDescent="0.25">
      <c r="A132" s="443"/>
      <c r="B132" s="443"/>
      <c r="C132" s="460" t="s">
        <v>2305</v>
      </c>
      <c r="D132" s="450" t="str" cm="1">
        <f t="array" ref="D132">_xlfn.IFS(
    Language=German,E132,
    Language=French,F132,
    Language=Italian,G132
)</f>
        <v>Sous « Gaz à effet de serre », sélectionnez la substance affectée (menu déroulant). Sous « kg », entrez les fuites pour l’année du bilan en kilogrammes.</v>
      </c>
      <c r="E132" s="443" t="s">
        <v>28753</v>
      </c>
      <c r="F132" s="443" t="s">
        <v>28754</v>
      </c>
      <c r="G132" s="444" t="s">
        <v>28755</v>
      </c>
      <c r="H132" s="450"/>
      <c r="I132"/>
    </row>
    <row r="133" spans="1:9" x14ac:dyDescent="0.25">
      <c r="A133" s="443"/>
      <c r="B133" s="443"/>
      <c r="C133" s="460" t="s">
        <v>2306</v>
      </c>
      <c r="D133" s="457" t="str" cm="1">
        <f t="array" ref="D133">_xlfn.IFS(
    Language=German,E133,
    Language=French,F133,
    Language=Italian,G133
)</f>
        <v>Gaz à effet de serre</v>
      </c>
      <c r="E133" s="443" t="s">
        <v>2280</v>
      </c>
      <c r="F133" s="443" t="s">
        <v>2281</v>
      </c>
      <c r="G133" s="443" t="s">
        <v>2282</v>
      </c>
      <c r="H133" s="457"/>
      <c r="I133"/>
    </row>
    <row r="134" spans="1:9" ht="19.5" x14ac:dyDescent="0.25">
      <c r="A134" s="451" t="s">
        <v>2154</v>
      </c>
      <c r="B134" s="443"/>
      <c r="C134" s="460" t="s">
        <v>2307</v>
      </c>
      <c r="D134" s="451" t="str" cm="1">
        <f t="array" ref="D134">_xlfn.IFS(
    Language=German,E134,
    Language=French,F134,
    Language=Italian,G134
)</f>
        <v>4 Flotte</v>
      </c>
      <c r="E134" s="443" t="s">
        <v>27898</v>
      </c>
      <c r="F134" s="443" t="s">
        <v>27898</v>
      </c>
      <c r="G134" s="443" t="s">
        <v>27899</v>
      </c>
      <c r="H134" s="443"/>
      <c r="I134"/>
    </row>
    <row r="135" spans="1:9" x14ac:dyDescent="0.25">
      <c r="A135" s="443"/>
      <c r="B135" s="443"/>
      <c r="C135" s="460" t="s">
        <v>2310</v>
      </c>
      <c r="D135" s="469" t="str" cm="1">
        <f t="array" ref="D135">_xlfn.IFS(
    Language=German,E135,
    Language=French,F135,
    Language=Italian,G135
)</f>
        <v>Actifs à usage propre</v>
      </c>
      <c r="E135" s="443" t="s">
        <v>28377</v>
      </c>
      <c r="F135" s="443" t="s">
        <v>28378</v>
      </c>
      <c r="G135" s="443" t="s">
        <v>28379</v>
      </c>
      <c r="H135" s="443"/>
    </row>
    <row r="136" spans="1:9" ht="14.65" customHeight="1" x14ac:dyDescent="0.25">
      <c r="A136" s="443"/>
      <c r="B136" s="443"/>
      <c r="C136" s="460" t="s">
        <v>2311</v>
      </c>
      <c r="D136" s="450" t="str" cm="1">
        <f t="array" ref="D136">_xlfn.IFS(
    Language=German,E136,
    Language=French,F136,
    Language=Italian,G136
)</f>
        <v>Indiquez les émissions issues de la consommation de carburant ou d’électricité des véhicules et machines mobiles appartenant à votre entreprise que vous utilisez vous-même.
Cela inclut, par exemple, des voitures particulières, des camions, des chariots élévateurs, des machines de construction, des machines de jardinage.</v>
      </c>
      <c r="E136" s="443" t="s">
        <v>2312</v>
      </c>
      <c r="F136" s="443" t="s">
        <v>27800</v>
      </c>
      <c r="G136" s="444" t="s">
        <v>28465</v>
      </c>
      <c r="H136" s="450"/>
    </row>
    <row r="137" spans="1:9" ht="14.65" customHeight="1" x14ac:dyDescent="0.25">
      <c r="A137" s="443"/>
      <c r="B137" s="443"/>
      <c r="C137" s="460" t="s">
        <v>2313</v>
      </c>
      <c r="D137" s="450" t="str" cm="1">
        <f t="array" ref="D137">_xlfn.IFS(
    Language=German,E137,
    Language=French,F137,
    Language=Italian,G137
)</f>
        <v>Saisie simplifiée : Indiquez la consommation de l’année du bilan soit directement en litres d’essence/diesel, soit en kWh d’électricité.
Entrée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(sous b) Carburant).</v>
      </c>
      <c r="E137" s="444" t="s">
        <v>28756</v>
      </c>
      <c r="F137" s="444" t="s">
        <v>28757</v>
      </c>
      <c r="G137" s="444" t="s">
        <v>28758</v>
      </c>
      <c r="H137" s="450"/>
    </row>
    <row r="138" spans="1:9" x14ac:dyDescent="0.25">
      <c r="A138" s="443"/>
      <c r="B138" s="443"/>
      <c r="C138" s="460" t="s">
        <v>2314</v>
      </c>
      <c r="D138" s="457" t="str" cm="1">
        <f t="array" ref="D138">_xlfn.IFS(
    Language=German,E138,
    Language=French,F138,
    Language=Italian,G138
)</f>
        <v>Consommation de carburant</v>
      </c>
      <c r="E138" s="443" t="s">
        <v>28234</v>
      </c>
      <c r="F138" s="443" t="s">
        <v>28235</v>
      </c>
      <c r="G138" s="443" t="s">
        <v>28236</v>
      </c>
      <c r="H138" s="443"/>
    </row>
    <row r="139" spans="1:9" x14ac:dyDescent="0.25">
      <c r="A139" s="443"/>
      <c r="B139" s="443"/>
      <c r="C139" s="460" t="s">
        <v>2318</v>
      </c>
      <c r="D139" s="457" t="str" cm="1">
        <f t="array" ref="D139">_xlfn.IFS(
    Language=German,E139,
    Language=French,F139,
    Language=Italian,G139
)</f>
        <v>Diesel</v>
      </c>
      <c r="E139" s="443" t="s">
        <v>2319</v>
      </c>
      <c r="F139" s="443" t="s">
        <v>2319</v>
      </c>
      <c r="G139" s="443" t="s">
        <v>2319</v>
      </c>
      <c r="H139" s="443"/>
    </row>
    <row r="140" spans="1:9" x14ac:dyDescent="0.25">
      <c r="A140" s="443"/>
      <c r="B140" s="443"/>
      <c r="C140" s="460" t="s">
        <v>2320</v>
      </c>
      <c r="D140" s="457" t="str" cm="1">
        <f t="array" ref="D140">_xlfn.IFS(
    Language=German,E140,
    Language=French,F140,
    Language=Italian,G140
)</f>
        <v>Essence</v>
      </c>
      <c r="E140" s="443" t="s">
        <v>2321</v>
      </c>
      <c r="F140" s="443" t="s">
        <v>2322</v>
      </c>
      <c r="G140" s="443" t="s">
        <v>2323</v>
      </c>
      <c r="H140" s="443"/>
    </row>
    <row r="141" spans="1:9" x14ac:dyDescent="0.25">
      <c r="A141" s="443"/>
      <c r="B141" s="443"/>
      <c r="C141" s="460" t="s">
        <v>2324</v>
      </c>
      <c r="D141" s="457" t="str" cm="1">
        <f t="array" ref="D141">_xlfn.IFS(
    Language=German,E141,
    Language=French,F141,
    Language=Italian,G141
)</f>
        <v>Électricité</v>
      </c>
      <c r="E141" s="443" t="s">
        <v>2325</v>
      </c>
      <c r="F141" s="443" t="s">
        <v>27801</v>
      </c>
      <c r="G141" s="443" t="s">
        <v>27802</v>
      </c>
      <c r="H141" s="443"/>
    </row>
    <row r="142" spans="1:9" x14ac:dyDescent="0.25">
      <c r="A142" s="443"/>
      <c r="B142" s="443"/>
      <c r="C142" s="460" t="s">
        <v>2326</v>
      </c>
      <c r="D142" s="457" t="str" cm="1">
        <f t="array" ref="D142">_xlfn.IFS(
    Language=German,E142,
    Language=French,F142,
    Language=Italian,G142
)</f>
        <v>Véhicule</v>
      </c>
      <c r="E142" s="443" t="s">
        <v>2327</v>
      </c>
      <c r="F142" s="443" t="s">
        <v>2328</v>
      </c>
      <c r="G142" s="443" t="s">
        <v>2329</v>
      </c>
      <c r="H142" s="443"/>
    </row>
    <row r="143" spans="1:9" x14ac:dyDescent="0.25">
      <c r="A143" s="443"/>
      <c r="B143" s="443"/>
      <c r="C143" s="460" t="s">
        <v>2330</v>
      </c>
      <c r="D143" s="457" t="str" cm="1">
        <f t="array" ref="D143">_xlfn.IFS(
    Language=German,E143,
    Language=French,F143,
    Language=Italian,G143
)</f>
        <v>a) Prestations kilométriques</v>
      </c>
      <c r="E143" s="443" t="s">
        <v>28903</v>
      </c>
      <c r="F143" s="443" t="s">
        <v>28902</v>
      </c>
      <c r="G143" s="443" t="s">
        <v>28904</v>
      </c>
      <c r="H143" s="443"/>
    </row>
    <row r="144" spans="1:9" x14ac:dyDescent="0.25">
      <c r="A144" s="443"/>
      <c r="B144" s="443"/>
      <c r="C144" s="460" t="s">
        <v>2332</v>
      </c>
      <c r="D144" s="457" t="str" cm="1">
        <f t="array" ref="D144">_xlfn.IFS(
    Language=German,E144,
    Language=French,F144,
    Language=Italian,G144
)</f>
        <v>Unité a)</v>
      </c>
      <c r="E144" s="443" t="s">
        <v>2333</v>
      </c>
      <c r="F144" s="443" t="s">
        <v>2334</v>
      </c>
      <c r="G144" s="443" t="s">
        <v>2335</v>
      </c>
      <c r="H144" s="443"/>
    </row>
    <row r="145" spans="1:8" x14ac:dyDescent="0.25">
      <c r="A145" s="443"/>
      <c r="B145" s="443"/>
      <c r="C145" s="460" t="s">
        <v>2336</v>
      </c>
      <c r="D145" s="457" t="str" cm="1">
        <f t="array" ref="D145">_xlfn.IFS(
    Language=German,E145,
    Language=French,F145,
    Language=Italian,G145
)</f>
        <v>b) Carburant</v>
      </c>
      <c r="E145" s="443" t="s">
        <v>2337</v>
      </c>
      <c r="F145" s="443" t="s">
        <v>2338</v>
      </c>
      <c r="G145" s="443" t="s">
        <v>2339</v>
      </c>
      <c r="H145" s="443"/>
    </row>
    <row r="146" spans="1:8" x14ac:dyDescent="0.25">
      <c r="A146" s="443"/>
      <c r="B146" s="443"/>
      <c r="C146" s="460" t="s">
        <v>2340</v>
      </c>
      <c r="D146" s="457" t="str" cm="1">
        <f t="array" ref="D146">_xlfn.IFS(
    Language=German,E146,
    Language=French,F146,
    Language=Italian,G146
)</f>
        <v>Unité b)</v>
      </c>
      <c r="E146" s="443" t="s">
        <v>2341</v>
      </c>
      <c r="F146" s="443" t="s">
        <v>27803</v>
      </c>
      <c r="G146" s="443" t="s">
        <v>27804</v>
      </c>
      <c r="H146" s="443"/>
    </row>
    <row r="147" spans="1:8" x14ac:dyDescent="0.25">
      <c r="A147" s="443"/>
      <c r="B147" s="443"/>
      <c r="C147" s="460" t="s">
        <v>2342</v>
      </c>
      <c r="D147" s="469" t="str" cm="1">
        <f t="array" ref="D147">_xlfn.IFS(
    Language=German,E147,
    Language=French,F147,
    Language=Italian,G147
)</f>
        <v>Actifs loués en amont</v>
      </c>
      <c r="E147" s="443" t="s">
        <v>28278</v>
      </c>
      <c r="F147" s="443" t="s">
        <v>28279</v>
      </c>
      <c r="G147" s="443" t="s">
        <v>28826</v>
      </c>
      <c r="H147" s="443"/>
    </row>
    <row r="148" spans="1:8" ht="14.65" customHeight="1" x14ac:dyDescent="0.25">
      <c r="A148" s="443"/>
      <c r="B148" s="443"/>
      <c r="C148" s="460" t="s">
        <v>2343</v>
      </c>
      <c r="D148" s="450" t="str" cm="1">
        <f t="array" ref="D148">_xlfn.IFS(
    Language=German,E148,
    Language=French,F148,
    Language=Italian,G148
)</f>
        <v>Indiquez les émissions dues à la consommation de carburant ou d’électricité provenant de véhicules et de machines mobiles loués en amont.
Cela inclut, par exemple, des voitures particulières, des camions, des chariots élévateurs, des machines de construction, des machines de jardinage.</v>
      </c>
      <c r="E148" s="443" t="s">
        <v>2344</v>
      </c>
      <c r="F148" s="444" t="s">
        <v>28823</v>
      </c>
      <c r="G148" s="444" t="s">
        <v>28466</v>
      </c>
      <c r="H148" s="450"/>
    </row>
    <row r="149" spans="1:8" ht="14.65" customHeight="1" x14ac:dyDescent="0.25">
      <c r="A149" s="443"/>
      <c r="B149" s="443"/>
      <c r="C149" s="460" t="s">
        <v>2345</v>
      </c>
      <c r="D149" s="450" t="str" cm="1">
        <f t="array" ref="D149">_xlfn.IFS(
    Language=German,E149,
    Language=French,F149,
    Language=Italian,G149
)</f>
        <v>Saisie simplifiée : Indiquez la consommation de l’année du bilan soit directement en litres d’essence/diesel, soit en kWh d’électricité.
Saisie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(colonne de droite).</v>
      </c>
      <c r="E149" s="444" t="s">
        <v>28759</v>
      </c>
      <c r="F149" s="444" t="s">
        <v>28760</v>
      </c>
      <c r="G149" s="444" t="s">
        <v>28761</v>
      </c>
      <c r="H149" s="450"/>
    </row>
    <row r="150" spans="1:8" x14ac:dyDescent="0.25">
      <c r="A150" s="443"/>
      <c r="B150" s="443"/>
      <c r="C150" s="460" t="s">
        <v>2346</v>
      </c>
      <c r="D150" s="457" t="str" cm="1">
        <f t="array" ref="D150">_xlfn.IFS(
    Language=German,E150,
    Language=French,F150,
    Language=Italian,G150
)</f>
        <v>Consommation de carburant (simplifiée)</v>
      </c>
      <c r="E150" s="443" t="s">
        <v>2315</v>
      </c>
      <c r="F150" s="443" t="s">
        <v>2316</v>
      </c>
      <c r="G150" s="443" t="s">
        <v>2317</v>
      </c>
      <c r="H150" s="443"/>
    </row>
    <row r="151" spans="1:8" x14ac:dyDescent="0.25">
      <c r="A151" s="443"/>
      <c r="B151" s="443"/>
      <c r="C151" s="460" t="s">
        <v>2347</v>
      </c>
      <c r="D151" s="457" t="str" cm="1">
        <f t="array" ref="D151">_xlfn.IFS(
    Language=German,E151,
    Language=French,F151,
    Language=Italian,G151
)</f>
        <v>Diesel</v>
      </c>
      <c r="E151" s="443" t="s">
        <v>2319</v>
      </c>
      <c r="F151" s="443" t="s">
        <v>2319</v>
      </c>
      <c r="G151" s="443" t="s">
        <v>2319</v>
      </c>
      <c r="H151" s="443"/>
    </row>
    <row r="152" spans="1:8" x14ac:dyDescent="0.25">
      <c r="A152" s="443"/>
      <c r="B152" s="443"/>
      <c r="C152" s="460" t="s">
        <v>2348</v>
      </c>
      <c r="D152" s="457" t="str" cm="1">
        <f t="array" ref="D152">_xlfn.IFS(
    Language=German,E152,
    Language=French,F152,
    Language=Italian,G152
)</f>
        <v>Essence</v>
      </c>
      <c r="E152" s="443" t="s">
        <v>2321</v>
      </c>
      <c r="F152" s="443" t="s">
        <v>2322</v>
      </c>
      <c r="G152" s="443" t="s">
        <v>2323</v>
      </c>
      <c r="H152" s="443"/>
    </row>
    <row r="153" spans="1:8" x14ac:dyDescent="0.25">
      <c r="A153" s="443"/>
      <c r="B153" s="443"/>
      <c r="C153" s="460" t="s">
        <v>2349</v>
      </c>
      <c r="D153" s="457" t="str" cm="1">
        <f t="array" ref="D153">_xlfn.IFS(
    Language=German,E153,
    Language=French,F153,
    Language=Italian,G153
)</f>
        <v>Électricité</v>
      </c>
      <c r="E153" s="443" t="s">
        <v>2325</v>
      </c>
      <c r="F153" s="443" t="s">
        <v>27801</v>
      </c>
      <c r="G153" s="443" t="s">
        <v>27802</v>
      </c>
      <c r="H153" s="443"/>
    </row>
    <row r="154" spans="1:8" x14ac:dyDescent="0.25">
      <c r="A154" s="443"/>
      <c r="B154" s="443"/>
      <c r="C154" s="460" t="s">
        <v>2350</v>
      </c>
      <c r="D154" s="457" t="str" cm="1">
        <f t="array" ref="D154">_xlfn.IFS(
    Language=German,E154,
    Language=French,F154,
    Language=Italian,G154
)</f>
        <v>Véhicule</v>
      </c>
      <c r="E154" s="443" t="s">
        <v>2327</v>
      </c>
      <c r="F154" s="443" t="s">
        <v>2328</v>
      </c>
      <c r="G154" s="443" t="s">
        <v>2329</v>
      </c>
      <c r="H154" s="443"/>
    </row>
    <row r="155" spans="1:8" x14ac:dyDescent="0.25">
      <c r="A155" s="443"/>
      <c r="B155" s="443"/>
      <c r="C155" s="474" t="s">
        <v>2351</v>
      </c>
      <c r="D155" s="457" t="str" cm="1">
        <f t="array" ref="D155">_xlfn.IFS(
    Language=German,E155,
    Language=French,F155,
    Language=Italian,G155
)</f>
        <v>a) Prestations kilométriques</v>
      </c>
      <c r="E155" s="443" t="s">
        <v>28903</v>
      </c>
      <c r="F155" s="443" t="s">
        <v>28902</v>
      </c>
      <c r="G155" s="443" t="s">
        <v>28904</v>
      </c>
      <c r="H155" s="443"/>
    </row>
    <row r="156" spans="1:8" x14ac:dyDescent="0.25">
      <c r="A156" s="443"/>
      <c r="B156" s="443"/>
      <c r="C156" s="460" t="s">
        <v>2352</v>
      </c>
      <c r="D156" s="457" t="str" cm="1">
        <f t="array" ref="D156">_xlfn.IFS(
    Language=German,E156,
    Language=French,F156,
    Language=Italian,G156
)</f>
        <v>Unité a)</v>
      </c>
      <c r="E156" s="443" t="s">
        <v>2333</v>
      </c>
      <c r="F156" s="443" t="s">
        <v>2334</v>
      </c>
      <c r="G156" s="443" t="s">
        <v>2335</v>
      </c>
      <c r="H156" s="443"/>
    </row>
    <row r="157" spans="1:8" x14ac:dyDescent="0.25">
      <c r="A157" s="443"/>
      <c r="B157" s="443"/>
      <c r="C157" s="460" t="s">
        <v>2353</v>
      </c>
      <c r="D157" s="457" t="str" cm="1">
        <f t="array" ref="D157">_xlfn.IFS(
    Language=German,E157,
    Language=French,F157,
    Language=Italian,G157
)</f>
        <v>b) Carburant</v>
      </c>
      <c r="E157" s="443" t="s">
        <v>2337</v>
      </c>
      <c r="F157" s="443" t="s">
        <v>2338</v>
      </c>
      <c r="G157" s="443" t="s">
        <v>2339</v>
      </c>
      <c r="H157" s="443"/>
    </row>
    <row r="158" spans="1:8" x14ac:dyDescent="0.25">
      <c r="A158" s="443"/>
      <c r="B158" s="443"/>
      <c r="C158" s="460" t="s">
        <v>2354</v>
      </c>
      <c r="D158" s="457" t="str" cm="1">
        <f t="array" ref="D158">_xlfn.IFS(
    Language=German,E158,
    Language=French,F158,
    Language=Italian,G158
)</f>
        <v>Unité b)</v>
      </c>
      <c r="E158" s="443" t="s">
        <v>2341</v>
      </c>
      <c r="F158" s="443" t="s">
        <v>27803</v>
      </c>
      <c r="G158" s="443" t="s">
        <v>27804</v>
      </c>
      <c r="H158" s="443"/>
    </row>
    <row r="159" spans="1:8" x14ac:dyDescent="0.25">
      <c r="A159" s="443"/>
      <c r="B159" s="443"/>
      <c r="C159" s="460" t="s">
        <v>2355</v>
      </c>
      <c r="D159" s="469" t="str" cm="1">
        <f t="array" ref="D159">_xlfn.IFS(
    Language=German,E159,
    Language=French,F159,
    Language=Italian,G159
)</f>
        <v>Actifs loués en aval</v>
      </c>
      <c r="E159" s="443" t="s">
        <v>28280</v>
      </c>
      <c r="F159" s="443" t="s">
        <v>28281</v>
      </c>
      <c r="G159" s="443" t="s">
        <v>28829</v>
      </c>
      <c r="H159" s="443"/>
    </row>
    <row r="160" spans="1:8" ht="15" customHeight="1" x14ac:dyDescent="0.25">
      <c r="A160" s="443"/>
      <c r="B160" s="443"/>
      <c r="C160" s="460" t="s">
        <v>2356</v>
      </c>
      <c r="D160" s="457" t="str" cm="1">
        <f t="array" ref="D160">_xlfn.IFS(
    Language=German,E160,
    Language=French,F160,
    Language=Italian,G160
)</f>
        <v>Indiquez les émissions provenant de la consommation de carburant ou d’électricité des véhicules et des machines mobiles appartenant à votre entreprise et que vous louez.
Cela inclut, par exemple, des voitures particulières, des camions, des chariots élévateurs, des machines de construction, des machines de jardinage.</v>
      </c>
      <c r="E160" s="443" t="s">
        <v>2357</v>
      </c>
      <c r="F160" s="443" t="s">
        <v>27805</v>
      </c>
      <c r="G160" s="444" t="s">
        <v>28467</v>
      </c>
      <c r="H160" s="457"/>
    </row>
    <row r="161" spans="1:8" ht="15" customHeight="1" x14ac:dyDescent="0.25">
      <c r="A161" s="443"/>
      <c r="B161" s="443"/>
      <c r="C161" s="460" t="s">
        <v>2358</v>
      </c>
      <c r="D161" s="457" t="str" cm="1">
        <f t="array" ref="D161">_xlfn.IFS(
    Language=German,E161,
    Language=French,F161,
    Language=Italian,G161
)</f>
        <v>Saisie simplifiée : Indiquez la consommation de l’année du bilan soit directement en litres d’essence/diesel, soit en kWh d’électricité.
Saisie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(colonne de droite).</v>
      </c>
      <c r="E161" s="444" t="s">
        <v>28759</v>
      </c>
      <c r="F161" s="444" t="s">
        <v>28760</v>
      </c>
      <c r="G161" s="444" t="s">
        <v>28761</v>
      </c>
      <c r="H161" s="457"/>
    </row>
    <row r="162" spans="1:8" x14ac:dyDescent="0.25">
      <c r="A162" s="460"/>
      <c r="B162" s="460"/>
      <c r="C162" s="460" t="s">
        <v>2359</v>
      </c>
      <c r="D162" s="457" t="str" cm="1">
        <f t="array" ref="D162">_xlfn.IFS(
    Language=German,E162,
    Language=French,F162,
    Language=Italian,G162
)</f>
        <v>Consommation de carburant (simplifiée)</v>
      </c>
      <c r="E162" s="443" t="s">
        <v>2315</v>
      </c>
      <c r="F162" s="443" t="s">
        <v>2316</v>
      </c>
      <c r="G162" s="443" t="s">
        <v>2317</v>
      </c>
      <c r="H162" s="457"/>
    </row>
    <row r="163" spans="1:8" x14ac:dyDescent="0.25">
      <c r="A163" s="443"/>
      <c r="B163" s="443"/>
      <c r="C163" s="460" t="s">
        <v>2360</v>
      </c>
      <c r="D163" s="457" t="str" cm="1">
        <f t="array" ref="D163">_xlfn.IFS(
    Language=German,E163,
    Language=French,F163,
    Language=Italian,G163
)</f>
        <v>Diesel</v>
      </c>
      <c r="E163" s="443" t="s">
        <v>2319</v>
      </c>
      <c r="F163" s="443" t="s">
        <v>2319</v>
      </c>
      <c r="G163" s="443" t="s">
        <v>2319</v>
      </c>
      <c r="H163" s="457"/>
    </row>
    <row r="164" spans="1:8" x14ac:dyDescent="0.25">
      <c r="A164" s="443"/>
      <c r="B164" s="443"/>
      <c r="C164" s="460" t="s">
        <v>2361</v>
      </c>
      <c r="D164" s="457" t="str" cm="1">
        <f t="array" ref="D164">_xlfn.IFS(
    Language=German,E164,
    Language=French,F164,
    Language=Italian,G164
)</f>
        <v>Essence</v>
      </c>
      <c r="E164" s="443" t="s">
        <v>2321</v>
      </c>
      <c r="F164" s="443" t="s">
        <v>2322</v>
      </c>
      <c r="G164" s="443" t="s">
        <v>2323</v>
      </c>
      <c r="H164" s="457"/>
    </row>
    <row r="165" spans="1:8" x14ac:dyDescent="0.25">
      <c r="A165" s="443"/>
      <c r="B165" s="443"/>
      <c r="C165" s="460" t="s">
        <v>2362</v>
      </c>
      <c r="D165" s="457" t="str" cm="1">
        <f t="array" ref="D165">_xlfn.IFS(
    Language=German,E165,
    Language=French,F165,
    Language=Italian,G165
)</f>
        <v>Électricité</v>
      </c>
      <c r="E165" s="443" t="s">
        <v>2325</v>
      </c>
      <c r="F165" s="443" t="s">
        <v>27801</v>
      </c>
      <c r="G165" s="443" t="s">
        <v>27802</v>
      </c>
      <c r="H165" s="457"/>
    </row>
    <row r="166" spans="1:8" x14ac:dyDescent="0.25">
      <c r="A166" s="443"/>
      <c r="B166" s="443"/>
      <c r="C166" s="460" t="s">
        <v>2363</v>
      </c>
      <c r="D166" s="457" t="str" cm="1">
        <f t="array" ref="D166">_xlfn.IFS(
    Language=German,E166,
    Language=French,F166,
    Language=Italian,G166
)</f>
        <v>Véhicule</v>
      </c>
      <c r="E166" s="443" t="s">
        <v>2327</v>
      </c>
      <c r="F166" s="443" t="s">
        <v>2328</v>
      </c>
      <c r="G166" s="443" t="s">
        <v>2329</v>
      </c>
      <c r="H166" s="457"/>
    </row>
    <row r="167" spans="1:8" x14ac:dyDescent="0.25">
      <c r="A167" s="443"/>
      <c r="B167" s="443"/>
      <c r="C167" s="474" t="s">
        <v>2364</v>
      </c>
      <c r="D167" s="457" t="str" cm="1">
        <f t="array" ref="D167">_xlfn.IFS(
    Language=German,E167,
    Language=French,F167,
    Language=Italian,G167
)</f>
        <v>a) Prestations kilométriques</v>
      </c>
      <c r="E167" s="443" t="s">
        <v>28903</v>
      </c>
      <c r="F167" s="443" t="s">
        <v>28902</v>
      </c>
      <c r="G167" s="443" t="s">
        <v>28904</v>
      </c>
      <c r="H167" s="457"/>
    </row>
    <row r="168" spans="1:8" x14ac:dyDescent="0.25">
      <c r="A168" s="443"/>
      <c r="B168" s="443"/>
      <c r="C168" s="460" t="s">
        <v>2365</v>
      </c>
      <c r="D168" s="457" t="str" cm="1">
        <f t="array" ref="D168">_xlfn.IFS(
    Language=German,E168,
    Language=French,F168,
    Language=Italian,G168
)</f>
        <v>Unité a)</v>
      </c>
      <c r="E168" s="443" t="s">
        <v>2333</v>
      </c>
      <c r="F168" s="443" t="s">
        <v>2334</v>
      </c>
      <c r="G168" s="443" t="s">
        <v>2335</v>
      </c>
      <c r="H168" s="457"/>
    </row>
    <row r="169" spans="1:8" x14ac:dyDescent="0.25">
      <c r="A169" s="443"/>
      <c r="B169" s="443"/>
      <c r="C169" s="460" t="s">
        <v>2366</v>
      </c>
      <c r="D169" s="457" t="str" cm="1">
        <f t="array" ref="D169">_xlfn.IFS(
    Language=German,E169,
    Language=French,F169,
    Language=Italian,G169
)</f>
        <v>b) Carburant</v>
      </c>
      <c r="E169" s="443" t="s">
        <v>2337</v>
      </c>
      <c r="F169" s="443" t="s">
        <v>2338</v>
      </c>
      <c r="G169" s="443" t="s">
        <v>2339</v>
      </c>
      <c r="H169" s="457"/>
    </row>
    <row r="170" spans="1:8" x14ac:dyDescent="0.25">
      <c r="A170" s="443"/>
      <c r="B170" s="443"/>
      <c r="C170" s="460" t="s">
        <v>2367</v>
      </c>
      <c r="D170" s="457" t="str" cm="1">
        <f t="array" ref="D170">_xlfn.IFS(
    Language=German,E170,
    Language=French,F170,
    Language=Italian,G170
)</f>
        <v>Unité b)</v>
      </c>
      <c r="E170" s="443" t="s">
        <v>2341</v>
      </c>
      <c r="F170" s="443" t="s">
        <v>27803</v>
      </c>
      <c r="G170" s="443" t="s">
        <v>27804</v>
      </c>
      <c r="H170" s="457"/>
    </row>
    <row r="171" spans="1:8" ht="19.5" x14ac:dyDescent="0.25">
      <c r="A171" s="451" t="s">
        <v>2167</v>
      </c>
      <c r="B171" s="443"/>
      <c r="C171" s="460" t="s">
        <v>2368</v>
      </c>
      <c r="D171" s="451" t="str" cm="1">
        <f t="array" ref="D171">_xlfn.IFS(
    Language=German,E171,
    Language=French,F171,
    Language=Italian,G171
)</f>
        <v>5 Électricité</v>
      </c>
      <c r="E171" s="443" t="s">
        <v>27900</v>
      </c>
      <c r="F171" s="443" t="s">
        <v>27901</v>
      </c>
      <c r="G171" s="443" t="s">
        <v>27902</v>
      </c>
      <c r="H171" s="443"/>
    </row>
    <row r="172" spans="1:8" x14ac:dyDescent="0.25">
      <c r="A172" s="443"/>
      <c r="B172" s="443"/>
      <c r="C172" s="460" t="s">
        <v>2369</v>
      </c>
      <c r="D172" s="469" t="str" cm="1">
        <f t="array" ref="D172">_xlfn.IFS(
    Language=German,E172,
    Language=French,F172,
    Language=Italian,G172
)</f>
        <v>Actifs à usage propre</v>
      </c>
      <c r="E172" s="443" t="s">
        <v>28377</v>
      </c>
      <c r="F172" s="443" t="s">
        <v>28378</v>
      </c>
      <c r="G172" s="443" t="s">
        <v>28379</v>
      </c>
      <c r="H172" s="443"/>
    </row>
    <row r="173" spans="1:8" ht="14.65" customHeight="1" x14ac:dyDescent="0.25">
      <c r="A173" s="443"/>
      <c r="B173" s="443"/>
      <c r="C173" s="460" t="s">
        <v>2370</v>
      </c>
      <c r="D173" s="450" t="str" cm="1">
        <f t="array" ref="D173">_xlfn.IFS(
    Language=German,E173,
    Language=French,F173,
    Language=Italian,G173
)</f>
        <v>Indiquez la consommation d’électricité de tous les bâtiments, actifs et processus appartenant à votre entreprise que vous utilisez vous-même.
La consommation électrique est différenciée entre l'électricité sans garantie d'origine (GO) et l'électricité avec GO.</v>
      </c>
      <c r="E173" s="443" t="s">
        <v>2371</v>
      </c>
      <c r="F173" s="443" t="s">
        <v>27806</v>
      </c>
      <c r="G173" s="444" t="s">
        <v>28468</v>
      </c>
      <c r="H173" s="450"/>
    </row>
    <row r="174" spans="1:8" ht="14.65" customHeight="1" x14ac:dyDescent="0.25">
      <c r="A174" s="443"/>
      <c r="B174" s="443"/>
      <c r="C174" s="460" t="s">
        <v>2372</v>
      </c>
      <c r="D174" s="450" t="str" cm="1">
        <f t="array" ref="D174">_xlfn.IFS(
    Language=German,E174,
    Language=French,F174,
    Language=Italian,G174
)</f>
        <v>Électricité sans garantie d’origine : Indiquez la consommation d’électricité pour l’année du bilan sans GOs en kilowattheures (kWh) (basse ou moyenne tension).</v>
      </c>
      <c r="E174" s="444" t="s">
        <v>28762</v>
      </c>
      <c r="F174" s="444" t="s">
        <v>28763</v>
      </c>
      <c r="G174" s="444" t="s">
        <v>28764</v>
      </c>
      <c r="H174" s="450"/>
    </row>
    <row r="175" spans="1:8" ht="14.65" customHeight="1" x14ac:dyDescent="0.25">
      <c r="A175" s="443"/>
      <c r="B175" s="443"/>
      <c r="C175" s="460" t="s">
        <v>2373</v>
      </c>
      <c r="D175" s="450" t="str" cm="1">
        <f t="array" ref="D175">_xlfn.IFS(
    Language=German,E175,
    Language=French,F175,
    Language=Italian,G175
)</f>
        <v>Électricité avec garantie d’origine  (seuls les GO suisses peuvent être pris en compte): Sous « Origine », sélectionnez la technologie de génération, si les pertes sont couvertes par des GOs et le type de tension (menu déroulant). Sous « kWh », entrez la consommation d’électricité en kilowattheures.</v>
      </c>
      <c r="E175" s="444" t="s">
        <v>28765</v>
      </c>
      <c r="F175" s="444" t="s">
        <v>28766</v>
      </c>
      <c r="G175" s="444" t="s">
        <v>28767</v>
      </c>
      <c r="H175" s="450"/>
    </row>
    <row r="176" spans="1:8" x14ac:dyDescent="0.25">
      <c r="A176" s="443"/>
      <c r="B176" s="443"/>
      <c r="C176" s="460" t="s">
        <v>2374</v>
      </c>
      <c r="D176" s="457" t="str" cm="1">
        <f t="array" ref="D176">_xlfn.IFS(
    Language=German,E176,
    Language=French,F176,
    Language=Italian,G176
)</f>
        <v>Origine / Technologie de génération</v>
      </c>
      <c r="E176" s="443" t="s">
        <v>2375</v>
      </c>
      <c r="F176" s="443" t="s">
        <v>2376</v>
      </c>
      <c r="G176" s="443" t="s">
        <v>2377</v>
      </c>
      <c r="H176" s="443"/>
    </row>
    <row r="177" spans="1:8" x14ac:dyDescent="0.25">
      <c r="A177" s="443"/>
      <c r="B177" s="443"/>
      <c r="C177" s="474" t="s">
        <v>2378</v>
      </c>
      <c r="D177" s="457" t="str" cm="1">
        <f t="array" ref="D177">_xlfn.IFS(
    Language=German,E177,
    Language=French,F177,
    Language=Italian,G177
)</f>
        <v>Pertes couvertes par GO ?</v>
      </c>
      <c r="E177" s="443" t="s">
        <v>27197</v>
      </c>
      <c r="F177" s="443" t="s">
        <v>27807</v>
      </c>
      <c r="G177" s="443" t="s">
        <v>27808</v>
      </c>
      <c r="H177" s="443"/>
    </row>
    <row r="178" spans="1:8" x14ac:dyDescent="0.25">
      <c r="A178" s="443"/>
      <c r="B178" s="443"/>
      <c r="C178" s="460" t="s">
        <v>2379</v>
      </c>
      <c r="D178" s="457" t="str" cm="1">
        <f t="array" ref="D178">_xlfn.IFS(
    Language=German,E178,
    Language=French,F178,
    Language=Italian,G178
)</f>
        <v>Tension</v>
      </c>
      <c r="E178" s="443" t="s">
        <v>217</v>
      </c>
      <c r="F178" s="443" t="s">
        <v>2380</v>
      </c>
      <c r="G178" s="443" t="s">
        <v>2381</v>
      </c>
      <c r="H178" s="443"/>
    </row>
    <row r="179" spans="1:8" x14ac:dyDescent="0.25">
      <c r="A179" s="443"/>
      <c r="B179" s="443"/>
      <c r="C179" s="460" t="s">
        <v>2382</v>
      </c>
      <c r="D179" s="473" t="str" cm="1">
        <f t="array" ref="D179">_xlfn.IFS(
    Language=German,E179,
    Language=French,F179,
    Language=Italian,G179
)</f>
        <v>Électricité achetée sans garantie d'origine</v>
      </c>
      <c r="E179" s="443" t="s">
        <v>2383</v>
      </c>
      <c r="F179" s="443" t="s">
        <v>27809</v>
      </c>
      <c r="G179" s="443" t="s">
        <v>28469</v>
      </c>
      <c r="H179" s="443"/>
    </row>
    <row r="180" spans="1:8" x14ac:dyDescent="0.25">
      <c r="A180" s="443"/>
      <c r="B180" s="443"/>
      <c r="C180" s="460" t="s">
        <v>2384</v>
      </c>
      <c r="D180" s="443" t="str" cm="1">
        <f t="array" ref="D180">_xlfn.IFS(
    Language=German,E180,
    Language=French,F180,
    Language=Italian,G180
)</f>
        <v>Électricité achetée avec garantie d'origine</v>
      </c>
      <c r="E180" s="443" t="s">
        <v>2385</v>
      </c>
      <c r="F180" s="443" t="s">
        <v>27810</v>
      </c>
      <c r="G180" s="443" t="s">
        <v>27811</v>
      </c>
      <c r="H180" s="443"/>
    </row>
    <row r="181" spans="1:8" x14ac:dyDescent="0.25">
      <c r="A181" s="443"/>
      <c r="B181" s="443"/>
      <c r="C181" s="460" t="s">
        <v>2386</v>
      </c>
      <c r="D181" s="469" t="str" cm="1">
        <f t="array" ref="D181">_xlfn.IFS(
    Language=German,E181,
    Language=French,F181,
    Language=Italian,G181
)</f>
        <v>Actifs loués en amont</v>
      </c>
      <c r="E181" s="443" t="s">
        <v>28278</v>
      </c>
      <c r="F181" s="443" t="s">
        <v>28279</v>
      </c>
      <c r="G181" s="443" t="s">
        <v>28826</v>
      </c>
      <c r="H181" s="443"/>
    </row>
    <row r="182" spans="1:8" ht="14.65" customHeight="1" x14ac:dyDescent="0.25">
      <c r="A182" s="443"/>
      <c r="B182" s="443"/>
      <c r="C182" s="460" t="s">
        <v>2387</v>
      </c>
      <c r="D182" s="450" t="str" cm="1">
        <f t="array" ref="D182">_xlfn.IFS(
    Language=German,E182,
    Language=French,F182,
    Language=Italian,G182
)</f>
        <v>Indiquez la consommation d’électricité de tous les bâtiments, installations et processus loués.
La consommation électrique est différenciée entre l'électricité sans garantie d'origine (GO) et l'électricité avec GO.</v>
      </c>
      <c r="E182" s="444" t="s">
        <v>28910</v>
      </c>
      <c r="F182" s="443" t="s">
        <v>27812</v>
      </c>
      <c r="G182" s="444" t="s">
        <v>28470</v>
      </c>
      <c r="H182" s="450"/>
    </row>
    <row r="183" spans="1:8" ht="14.65" customHeight="1" x14ac:dyDescent="0.25">
      <c r="A183" s="443"/>
      <c r="B183" s="443"/>
      <c r="C183" s="460" t="s">
        <v>2389</v>
      </c>
      <c r="D183" s="450" t="str" cm="1">
        <f t="array" ref="D183">_xlfn.IFS(
    Language=German,E183,
    Language=French,F183,
    Language=Italian,G183
)</f>
        <v>Électricité sans garantie d’origine : Indiquez la consommation d’électricité pour l’année du bilan sans GOs en kilowattheures (kWh) (basse ou moyenne tension).</v>
      </c>
      <c r="E183" s="443" t="s">
        <v>28762</v>
      </c>
      <c r="F183" s="443" t="s">
        <v>28763</v>
      </c>
      <c r="G183" s="444" t="s">
        <v>28764</v>
      </c>
      <c r="H183" s="450"/>
    </row>
    <row r="184" spans="1:8" ht="14.65" customHeight="1" x14ac:dyDescent="0.25">
      <c r="A184" s="443"/>
      <c r="B184" s="443"/>
      <c r="C184" s="460" t="s">
        <v>2390</v>
      </c>
      <c r="D184" s="450" t="str" cm="1">
        <f t="array" ref="D184">_xlfn.IFS(
    Language=German,E184,
    Language=French,F184,
    Language=Italian,G184
)</f>
        <v>Électricité avec garantie d’origine (seuls les GO suisses peuvent être pris en compte) : Sous « Origine », sélectionnez la technologie de génération, si les pertes sont couvertes par des GOs et le type de tension (menu déroulant). Sous « kWh », entrez la consommation d’électricité en kilowattheures.</v>
      </c>
      <c r="E184" s="444" t="s">
        <v>28765</v>
      </c>
      <c r="F184" s="444" t="s">
        <v>28768</v>
      </c>
      <c r="G184" s="444" t="s">
        <v>28769</v>
      </c>
      <c r="H184" s="450"/>
    </row>
    <row r="185" spans="1:8" x14ac:dyDescent="0.25">
      <c r="A185" s="443"/>
      <c r="B185" s="443"/>
      <c r="C185" s="460" t="s">
        <v>2391</v>
      </c>
      <c r="D185" s="457" t="str" cm="1">
        <f t="array" ref="D185">_xlfn.IFS(
    Language=German,E185,
    Language=French,F185,
    Language=Italian,G185
)</f>
        <v>Origine / Technologie de génération</v>
      </c>
      <c r="E185" s="443" t="s">
        <v>2375</v>
      </c>
      <c r="F185" s="443" t="s">
        <v>2376</v>
      </c>
      <c r="G185" s="443" t="s">
        <v>2377</v>
      </c>
      <c r="H185" s="443"/>
    </row>
    <row r="186" spans="1:8" x14ac:dyDescent="0.25">
      <c r="A186" s="443"/>
      <c r="B186" s="443"/>
      <c r="C186" s="474" t="s">
        <v>2392</v>
      </c>
      <c r="D186" s="457" t="str" cm="1">
        <f t="array" ref="D186">_xlfn.IFS(
    Language=German,E186,
    Language=French,F186,
    Language=Italian,G186
)</f>
        <v>Pertes couvertes par GO ?</v>
      </c>
      <c r="E186" s="443" t="s">
        <v>27197</v>
      </c>
      <c r="F186" s="443" t="s">
        <v>27807</v>
      </c>
      <c r="G186" s="443" t="s">
        <v>27808</v>
      </c>
      <c r="H186" s="443"/>
    </row>
    <row r="187" spans="1:8" x14ac:dyDescent="0.25">
      <c r="A187" s="443"/>
      <c r="B187" s="443"/>
      <c r="C187" s="460" t="s">
        <v>2393</v>
      </c>
      <c r="D187" s="457" t="str" cm="1">
        <f t="array" ref="D187">_xlfn.IFS(
    Language=German,E187,
    Language=French,F187,
    Language=Italian,G187
)</f>
        <v>Tension</v>
      </c>
      <c r="E187" s="443" t="s">
        <v>217</v>
      </c>
      <c r="F187" s="443" t="s">
        <v>2380</v>
      </c>
      <c r="G187" s="443" t="s">
        <v>2381</v>
      </c>
      <c r="H187" s="443"/>
    </row>
    <row r="188" spans="1:8" x14ac:dyDescent="0.25">
      <c r="A188" s="443"/>
      <c r="B188" s="443"/>
      <c r="C188" s="460" t="s">
        <v>2394</v>
      </c>
      <c r="D188" s="473" t="str" cm="1">
        <f t="array" ref="D188">_xlfn.IFS(
    Language=German,E188,
    Language=French,F188,
    Language=Italian,G188
)</f>
        <v>Électricité achetée sans garantie d'origine</v>
      </c>
      <c r="E188" s="443" t="s">
        <v>2383</v>
      </c>
      <c r="F188" s="443" t="s">
        <v>27809</v>
      </c>
      <c r="G188" s="443" t="s">
        <v>28469</v>
      </c>
      <c r="H188" s="443"/>
    </row>
    <row r="189" spans="1:8" x14ac:dyDescent="0.25">
      <c r="A189" s="443"/>
      <c r="B189" s="443"/>
      <c r="C189" s="460" t="s">
        <v>2395</v>
      </c>
      <c r="D189" s="443" t="str" cm="1">
        <f t="array" ref="D189">_xlfn.IFS(
    Language=German,E189,
    Language=French,F189,
    Language=Italian,G189
)</f>
        <v>Électricité achetée avec garantie d'origine</v>
      </c>
      <c r="E189" s="443" t="s">
        <v>2385</v>
      </c>
      <c r="F189" s="443" t="s">
        <v>27810</v>
      </c>
      <c r="G189" s="443" t="s">
        <v>27811</v>
      </c>
      <c r="H189" s="443"/>
    </row>
    <row r="190" spans="1:8" x14ac:dyDescent="0.25">
      <c r="A190" s="443"/>
      <c r="B190" s="443"/>
      <c r="C190" s="460" t="s">
        <v>2396</v>
      </c>
      <c r="D190" s="469" t="str" cm="1">
        <f t="array" ref="D190">_xlfn.IFS(
    Language=German,E190,
    Language=French,F190,
    Language=Italian,G190
)</f>
        <v>Actifs loués en aval</v>
      </c>
      <c r="E190" s="443" t="s">
        <v>28280</v>
      </c>
      <c r="F190" s="443" t="s">
        <v>28281</v>
      </c>
      <c r="G190" s="443" t="s">
        <v>28829</v>
      </c>
      <c r="H190" s="443"/>
    </row>
    <row r="191" spans="1:8" ht="15" customHeight="1" x14ac:dyDescent="0.25">
      <c r="A191" s="443"/>
      <c r="B191" s="443"/>
      <c r="C191" s="460" t="s">
        <v>2397</v>
      </c>
      <c r="D191" s="450" t="str" cm="1">
        <f t="array" ref="D191">_xlfn.IFS(
    Language=German,E191,
    Language=French,F191,
    Language=Italian,G191
)</f>
        <v>Indiquez la consommation d’électricité de tous les bâtiments, installations et processus loués.
La consommation électrique est différenciée entre l'électricité sans garantie d'origine (GO) et l'électricité avec GO.</v>
      </c>
      <c r="E191" s="443" t="s">
        <v>2388</v>
      </c>
      <c r="F191" s="443" t="s">
        <v>27812</v>
      </c>
      <c r="G191" s="444" t="s">
        <v>28471</v>
      </c>
      <c r="H191" s="450"/>
    </row>
    <row r="192" spans="1:8" ht="15" customHeight="1" x14ac:dyDescent="0.25">
      <c r="A192" s="443"/>
      <c r="B192" s="443"/>
      <c r="C192" s="460" t="s">
        <v>2398</v>
      </c>
      <c r="D192" s="450" t="str" cm="1">
        <f t="array" ref="D192">_xlfn.IFS(
    Language=German,E192,
    Language=French,F192,
    Language=Italian,G192
)</f>
        <v>Électricité sans garantie d’origine : Indiquez la consommation d’électricité pour l’année du bilan sans GOs en kilowattheures (kWh) (basse ou moyenne tension).</v>
      </c>
      <c r="E192" s="443" t="s">
        <v>28762</v>
      </c>
      <c r="F192" s="443" t="s">
        <v>28763</v>
      </c>
      <c r="G192" s="444" t="s">
        <v>28764</v>
      </c>
      <c r="H192" s="450"/>
    </row>
    <row r="193" spans="1:8" ht="14.65" customHeight="1" x14ac:dyDescent="0.25">
      <c r="A193" s="443"/>
      <c r="B193" s="443"/>
      <c r="C193" s="460" t="s">
        <v>2399</v>
      </c>
      <c r="D193" s="443" t="str" cm="1">
        <f t="array" ref="D193">_xlfn.IFS(
    Language=German,E193,
    Language=French,F193,
    Language=Italian,G193
)</f>
        <v>Électricité avec garantie d’origine (seuls les GO suisses peuvent être pris en compte) : Sous « Origine », sélectionnez la technologie de génération, si les pertes sont couvertes par des GOs et le type de tension (menu déroulant). Sous « kWh », entrez la consommation d’électricité en kilowattheures.</v>
      </c>
      <c r="E193" s="444" t="s">
        <v>28765</v>
      </c>
      <c r="F193" s="444" t="s">
        <v>28768</v>
      </c>
      <c r="G193" s="444" t="s">
        <v>28769</v>
      </c>
      <c r="H193" s="443"/>
    </row>
    <row r="194" spans="1:8" x14ac:dyDescent="0.25">
      <c r="A194" s="443"/>
      <c r="B194" s="443"/>
      <c r="C194" s="460" t="s">
        <v>2400</v>
      </c>
      <c r="D194" s="457" t="str" cm="1">
        <f t="array" ref="D194">_xlfn.IFS(
    Language=German,E194,
    Language=French,F194,
    Language=Italian,G194
)</f>
        <v>Origine / Technologie de génération</v>
      </c>
      <c r="E194" s="443" t="s">
        <v>2375</v>
      </c>
      <c r="F194" s="443" t="s">
        <v>2376</v>
      </c>
      <c r="G194" s="443" t="s">
        <v>2377</v>
      </c>
      <c r="H194" s="443"/>
    </row>
    <row r="195" spans="1:8" x14ac:dyDescent="0.25">
      <c r="A195" s="443"/>
      <c r="B195" s="443"/>
      <c r="C195" s="474" t="s">
        <v>2401</v>
      </c>
      <c r="D195" s="457" t="str" cm="1">
        <f t="array" ref="D195">_xlfn.IFS(
    Language=German,E195,
    Language=French,F195,
    Language=Italian,G195
)</f>
        <v>Pertes couvertes par GO ?</v>
      </c>
      <c r="E195" s="443" t="s">
        <v>27197</v>
      </c>
      <c r="F195" s="443" t="s">
        <v>27807</v>
      </c>
      <c r="G195" s="443" t="s">
        <v>27808</v>
      </c>
      <c r="H195" s="443"/>
    </row>
    <row r="196" spans="1:8" x14ac:dyDescent="0.25">
      <c r="A196" s="443"/>
      <c r="B196" s="443"/>
      <c r="C196" s="460" t="s">
        <v>2402</v>
      </c>
      <c r="D196" s="457" t="str" cm="1">
        <f t="array" ref="D196">_xlfn.IFS(
    Language=German,E196,
    Language=French,F196,
    Language=Italian,G196
)</f>
        <v>Tension</v>
      </c>
      <c r="E196" s="443" t="s">
        <v>217</v>
      </c>
      <c r="F196" s="443" t="s">
        <v>2380</v>
      </c>
      <c r="G196" s="443" t="s">
        <v>2381</v>
      </c>
      <c r="H196" s="443"/>
    </row>
    <row r="197" spans="1:8" x14ac:dyDescent="0.25">
      <c r="A197" s="443"/>
      <c r="B197" s="443"/>
      <c r="C197" s="460" t="s">
        <v>2403</v>
      </c>
      <c r="D197" s="473" t="str" cm="1">
        <f t="array" ref="D197">_xlfn.IFS(
    Language=German,E197,
    Language=French,F197,
    Language=Italian,G197
)</f>
        <v>Électricité achetée sans garantie d'origine</v>
      </c>
      <c r="E197" s="443" t="s">
        <v>2383</v>
      </c>
      <c r="F197" s="443" t="s">
        <v>27809</v>
      </c>
      <c r="G197" s="443" t="s">
        <v>28469</v>
      </c>
      <c r="H197" s="443"/>
    </row>
    <row r="198" spans="1:8" x14ac:dyDescent="0.25">
      <c r="A198" s="443"/>
      <c r="B198" s="443"/>
      <c r="C198" s="460" t="s">
        <v>2404</v>
      </c>
      <c r="D198" s="443" t="str" cm="1">
        <f t="array" ref="D198">_xlfn.IFS(
    Language=German,E198,
    Language=French,F198,
    Language=Italian,G198
)</f>
        <v>Électricité achetée avec garantie d'origine</v>
      </c>
      <c r="E198" s="443" t="s">
        <v>2385</v>
      </c>
      <c r="F198" s="443" t="s">
        <v>27810</v>
      </c>
      <c r="G198" s="443" t="s">
        <v>27811</v>
      </c>
      <c r="H198" s="443"/>
    </row>
    <row r="199" spans="1:8" ht="19.5" x14ac:dyDescent="0.25">
      <c r="A199" s="451" t="s">
        <v>2188</v>
      </c>
      <c r="B199" s="443"/>
      <c r="C199" s="460" t="s">
        <v>2405</v>
      </c>
      <c r="D199" s="451" t="str" cm="1">
        <f t="array" ref="D199">_xlfn.IFS(
    Language=German,E199,
    Language=French,F199,
    Language=Italian,G199
)</f>
        <v>6 Biens et services achetés</v>
      </c>
      <c r="E199" s="443" t="s">
        <v>27903</v>
      </c>
      <c r="F199" s="443" t="s">
        <v>27904</v>
      </c>
      <c r="G199" s="443" t="s">
        <v>27905</v>
      </c>
      <c r="H199" s="443"/>
    </row>
    <row r="200" spans="1:8" x14ac:dyDescent="0.25">
      <c r="A200" s="443"/>
      <c r="B200" s="443"/>
      <c r="C200" s="460" t="s">
        <v>2406</v>
      </c>
      <c r="D200" s="469" t="str" cm="1">
        <f t="array" ref="D200">_xlfn.IFS(
    Language=German,E200,
    Language=French,F200,
    Language=Italian,G200
)</f>
        <v>Approche basée sur les dépenses</v>
      </c>
      <c r="E200" s="443" t="s">
        <v>2407</v>
      </c>
      <c r="F200" s="443" t="s">
        <v>2408</v>
      </c>
      <c r="G200" s="443" t="s">
        <v>28472</v>
      </c>
      <c r="H200" s="443"/>
    </row>
    <row r="201" spans="1:8" ht="14.65" customHeight="1" x14ac:dyDescent="0.25">
      <c r="A201" s="443"/>
      <c r="B201" s="443"/>
      <c r="C201" s="460" t="s">
        <v>2409</v>
      </c>
      <c r="D201" s="450" t="str" cm="1">
        <f t="array" ref="D201">_xlfn.IFS(
    Language=German,E201,
    Language=French,F201,
    Language=Italian,G201
)</f>
        <v>Indiquez tous les biens et services achetés au cours de l’année du bilan.
Cela inclut, par exemple, les matières premières, la nourriture, l’équipement ou les services tels que le conseil, la planification et le nettoyage.</v>
      </c>
      <c r="E201" s="443" t="s">
        <v>2410</v>
      </c>
      <c r="F201" s="443" t="s">
        <v>27813</v>
      </c>
      <c r="G201" s="444" t="s">
        <v>28473</v>
      </c>
      <c r="H201" s="450"/>
    </row>
    <row r="202" spans="1:8" ht="14.65" customHeight="1" x14ac:dyDescent="0.25">
      <c r="A202" s="443"/>
      <c r="B202" s="443"/>
      <c r="C202" s="460" t="s">
        <v>2411</v>
      </c>
      <c r="D202" s="450" t="str" cm="1">
        <f t="array" ref="D202">_xlfn.IFS(
    Language=German,E202,
    Language=French,F202,
    Language=Italian,G202
)</f>
        <v>L’approche basée sur les dépenses utilise le volume d’achat par secteur de votre entreprise. Sinon, vous pouvez utiliser l’approche basée sur la quantité ci-dessous. Les achats ne doivent être saisis qu’à un seul endroit.
Approche basée sur les dépenses : Sous « Industrie », sélectionnez la classe de biens ou de services appropriée (menu déroulant). Sous « CHF », saisissez la quantité d’achat en francs suisses.</v>
      </c>
      <c r="E202" s="444" t="s">
        <v>28770</v>
      </c>
      <c r="F202" s="444" t="s">
        <v>28771</v>
      </c>
      <c r="G202" s="444" t="s">
        <v>28772</v>
      </c>
      <c r="H202" s="450"/>
    </row>
    <row r="203" spans="1:8" x14ac:dyDescent="0.25">
      <c r="A203" s="443"/>
      <c r="B203" s="443"/>
      <c r="C203" s="460" t="s">
        <v>2412</v>
      </c>
      <c r="D203" s="469" t="str" cm="1">
        <f t="array" ref="D203">_xlfn.IFS(
    Language=German,E203,
    Language=French,F203,
    Language=Italian,G203
)</f>
        <v>Secteur d'activité</v>
      </c>
      <c r="E203" s="443" t="s">
        <v>2413</v>
      </c>
      <c r="F203" s="443" t="s">
        <v>27814</v>
      </c>
      <c r="G203" s="443" t="s">
        <v>27204</v>
      </c>
      <c r="H203" s="443"/>
    </row>
    <row r="204" spans="1:8" x14ac:dyDescent="0.25">
      <c r="A204" s="443"/>
      <c r="B204" s="443"/>
      <c r="C204" s="460" t="s">
        <v>2414</v>
      </c>
      <c r="D204" s="469" t="str" cm="1">
        <f t="array" ref="D204">_xlfn.IFS(
    Language=German,E204,
    Language=French,F204,
    Language=Italian,G204
)</f>
        <v>Approche basée sur la quantité</v>
      </c>
      <c r="E204" s="443" t="s">
        <v>2415</v>
      </c>
      <c r="F204" s="443" t="s">
        <v>2416</v>
      </c>
      <c r="G204" s="443" t="s">
        <v>2417</v>
      </c>
      <c r="H204" s="443"/>
    </row>
    <row r="205" spans="1:8" x14ac:dyDescent="0.25">
      <c r="A205" s="443"/>
      <c r="B205" s="443"/>
      <c r="C205" s="460" t="s">
        <v>2418</v>
      </c>
      <c r="D205" s="443" t="str" cm="1">
        <f t="array" ref="D205">_xlfn.IFS(
    Language=German,E205,
    Language=French,F205,
    Language=Italian,G205
)</f>
        <v>Indiquez tous les biens et services achetés au cours de l’année du bilan qui ne sont pas couverts par l'« approche basée sur les dépenses ».
Cela inclut, par exemple, les matières premières, la nourriture, les consommables ou les équipements.</v>
      </c>
      <c r="E205" s="443" t="s">
        <v>2419</v>
      </c>
      <c r="F205" s="443" t="s">
        <v>27815</v>
      </c>
      <c r="G205" s="443" t="s">
        <v>28474</v>
      </c>
      <c r="H205" s="443"/>
    </row>
    <row r="206" spans="1:8" ht="129" x14ac:dyDescent="0.25">
      <c r="A206" s="443"/>
      <c r="B206" s="443"/>
      <c r="C206" s="460" t="s">
        <v>2420</v>
      </c>
      <c r="D206" s="443" t="str" cm="1">
        <f t="array" ref="D206">_xlfn.IFS(
    Language=German,E206,
    Language=French,F206,
    Language=Italian,G206
)</f>
        <v>L’approche basée sur la quantité est plus précise que celle basée sur la dépense (voir ci-dessus). Les achats ne doivent être saisis qu’à un seul endroit.
Approche basée sur la quantité : Sous « Matériel cat. 1/2/3" (menu déroulant). Sous « Saisie », saisissez la quantité d’achat dans l’unité spécifiée (par exemple kg, m3).</v>
      </c>
      <c r="E206" s="444" t="s">
        <v>28773</v>
      </c>
      <c r="F206" s="444" t="s">
        <v>28774</v>
      </c>
      <c r="G206" s="444" t="s">
        <v>28775</v>
      </c>
      <c r="H206" s="443"/>
    </row>
    <row r="207" spans="1:8" x14ac:dyDescent="0.25">
      <c r="A207" s="443"/>
      <c r="B207" s="443"/>
      <c r="C207" s="460" t="s">
        <v>2421</v>
      </c>
      <c r="D207" s="469" t="str" cm="1">
        <f t="array" ref="D207">_xlfn.IFS(
    Language=German,E207,
    Language=French,F207,
    Language=Italian,G207
)</f>
        <v>Matériau cat. 1</v>
      </c>
      <c r="E207" s="443" t="s">
        <v>2422</v>
      </c>
      <c r="F207" s="443" t="s">
        <v>27816</v>
      </c>
      <c r="G207" s="443" t="s">
        <v>27817</v>
      </c>
      <c r="H207" s="443"/>
    </row>
    <row r="208" spans="1:8" x14ac:dyDescent="0.25">
      <c r="A208" s="443"/>
      <c r="B208" s="443"/>
      <c r="C208" s="474" t="s">
        <v>2423</v>
      </c>
      <c r="D208" s="469" t="str" cm="1">
        <f t="array" ref="D208">_xlfn.IFS(
    Language=German,E208,
    Language=French,F208,
    Language=Italian,G208
)</f>
        <v>Matériau cat. 2</v>
      </c>
      <c r="E208" s="443" t="s">
        <v>2424</v>
      </c>
      <c r="F208" s="443" t="s">
        <v>27818</v>
      </c>
      <c r="G208" s="443" t="s">
        <v>27819</v>
      </c>
      <c r="H208" s="443"/>
    </row>
    <row r="209" spans="1:8" x14ac:dyDescent="0.25">
      <c r="A209" s="443"/>
      <c r="B209" s="443"/>
      <c r="C209" s="460" t="s">
        <v>2425</v>
      </c>
      <c r="D209" s="469" t="str" cm="1">
        <f t="array" ref="D209">_xlfn.IFS(
    Language=German,E209,
    Language=French,F209,
    Language=Italian,G209
)</f>
        <v>Matériau cat. 3</v>
      </c>
      <c r="E209" s="443" t="s">
        <v>2426</v>
      </c>
      <c r="F209" s="443" t="s">
        <v>27820</v>
      </c>
      <c r="G209" s="443" t="s">
        <v>27821</v>
      </c>
      <c r="H209" s="443"/>
    </row>
    <row r="210" spans="1:8" ht="19.5" x14ac:dyDescent="0.25">
      <c r="A210" s="451" t="s">
        <v>27163</v>
      </c>
      <c r="B210" s="443"/>
      <c r="C210" s="460" t="s">
        <v>2427</v>
      </c>
      <c r="D210" s="451" t="str" cm="1">
        <f t="array" ref="D210">_xlfn.IFS(
    Language=German,E210,
    Language=French,F210,
    Language=Italian,G210
)</f>
        <v>7 Biens d’équipement</v>
      </c>
      <c r="E210" s="443" t="s">
        <v>27906</v>
      </c>
      <c r="F210" s="443" t="s">
        <v>27907</v>
      </c>
      <c r="G210" s="443" t="s">
        <v>27908</v>
      </c>
      <c r="H210" s="443"/>
    </row>
    <row r="211" spans="1:8" x14ac:dyDescent="0.25">
      <c r="A211" s="443"/>
      <c r="B211" s="443"/>
      <c r="C211" s="460" t="s">
        <v>2428</v>
      </c>
      <c r="D211" s="450" t="str" cm="1">
        <f t="array" ref="D211">_xlfn.IFS(
    Language=German,E211,
    Language=French,F211,
    Language=Italian,G211
)</f>
        <v xml:space="preserve">Indiquez tous les biens d’équipement achetés au cours de l’année du bilan, par exemple les bâtiments, véhicules ou machines.
</v>
      </c>
      <c r="E211" s="443" t="s">
        <v>2429</v>
      </c>
      <c r="F211" s="443" t="s">
        <v>27822</v>
      </c>
      <c r="G211" s="443" t="s">
        <v>28475</v>
      </c>
      <c r="H211" s="450"/>
    </row>
    <row r="212" spans="1:8" ht="14.65" customHeight="1" x14ac:dyDescent="0.25">
      <c r="A212" s="443"/>
      <c r="B212" s="443"/>
      <c r="C212" s="460" t="s">
        <v>2430</v>
      </c>
      <c r="D212" s="450" t="str" cm="1">
        <f t="array" ref="D212">_xlfn.IFS(
    Language=German,E212,
    Language=French,F212,
    Language=Italian,G212
)</f>
        <v>Sélectionnez un produit approprié dans « Matériau cat. 1/2 » (menu déroulant). Sous « Saisie », saisissez la quantité dans l’unité correspondante (par exemple la pièce (p), m3)</v>
      </c>
      <c r="E212" s="443" t="s">
        <v>28776</v>
      </c>
      <c r="F212" s="443" t="s">
        <v>28777</v>
      </c>
      <c r="G212" s="444" t="s">
        <v>28778</v>
      </c>
      <c r="H212" s="450"/>
    </row>
    <row r="213" spans="1:8" x14ac:dyDescent="0.25">
      <c r="A213" s="443"/>
      <c r="B213" s="443"/>
      <c r="C213" s="460" t="s">
        <v>2431</v>
      </c>
      <c r="D213" s="450" t="str" cm="1">
        <f t="array" ref="D213">_xlfn.IFS(
    Language=German,E213,
    Language=French,F213,
    Language=Italian,G213
)</f>
        <v>Vous décidez vous-même si un bien acheté doit être enregistré comme un bien capital ou comme un bien ou un service. Suivez votre comptabilité financière. Assurez-vous que tous les biens et services achetés soient enregistrés au même endroit (et non plusieurs fois).</v>
      </c>
      <c r="E213" s="443" t="s">
        <v>2432</v>
      </c>
      <c r="F213" s="443" t="s">
        <v>2433</v>
      </c>
      <c r="G213" s="443" t="s">
        <v>28476</v>
      </c>
      <c r="H213" s="450"/>
    </row>
    <row r="214" spans="1:8" ht="14.65" customHeight="1" x14ac:dyDescent="0.25">
      <c r="A214" s="443"/>
      <c r="B214" s="443"/>
      <c r="C214" s="460" t="s">
        <v>2434</v>
      </c>
      <c r="D214" s="469" t="str" cm="1">
        <f t="array" ref="D214">_xlfn.IFS(
    Language=German,E214,
    Language=French,F214,
    Language=Italian,G214
)</f>
        <v>Matériau cat. 1</v>
      </c>
      <c r="E214" s="443" t="s">
        <v>2422</v>
      </c>
      <c r="F214" s="443" t="s">
        <v>27816</v>
      </c>
      <c r="G214" s="443" t="s">
        <v>27817</v>
      </c>
      <c r="H214" s="443"/>
    </row>
    <row r="215" spans="1:8" x14ac:dyDescent="0.25">
      <c r="A215" s="443"/>
      <c r="B215" s="443"/>
      <c r="C215" s="474" t="s">
        <v>2435</v>
      </c>
      <c r="D215" s="469" t="str" cm="1">
        <f t="array" ref="D215">_xlfn.IFS(
    Language=German,E215,
    Language=French,F215,
    Language=Italian,G215
)</f>
        <v>Matériau cat. 2</v>
      </c>
      <c r="E215" s="443" t="s">
        <v>2424</v>
      </c>
      <c r="F215" s="443" t="s">
        <v>27818</v>
      </c>
      <c r="G215" s="443" t="s">
        <v>27819</v>
      </c>
      <c r="H215" s="443"/>
    </row>
    <row r="216" spans="1:8" ht="14.65" customHeight="1" x14ac:dyDescent="0.25">
      <c r="A216" s="451" t="s">
        <v>27164</v>
      </c>
      <c r="B216" s="443"/>
      <c r="C216" s="460" t="s">
        <v>2436</v>
      </c>
      <c r="D216" s="451" t="str" cm="1">
        <f t="array" ref="D216">_xlfn.IFS(
    Language=German,E216,
    Language=French,F216,
    Language=Italian,G216
)</f>
        <v>8 Transport</v>
      </c>
      <c r="E216" s="443" t="s">
        <v>27909</v>
      </c>
      <c r="F216" s="443" t="s">
        <v>27909</v>
      </c>
      <c r="G216" s="443" t="s">
        <v>27910</v>
      </c>
      <c r="H216" s="443"/>
    </row>
    <row r="217" spans="1:8" x14ac:dyDescent="0.25">
      <c r="A217" s="443"/>
      <c r="B217" s="443"/>
      <c r="C217" s="460" t="s">
        <v>2439</v>
      </c>
      <c r="D217" s="469" t="str" cm="1">
        <f t="array" ref="D217">_xlfn.IFS(
    Language=German,E217,
    Language=French,F217,
    Language=Italian,G217
)</f>
        <v>Voyages d’affaires</v>
      </c>
      <c r="E217" s="443" t="s">
        <v>2440</v>
      </c>
      <c r="F217" s="443" t="s">
        <v>2441</v>
      </c>
      <c r="G217" s="443" t="s">
        <v>2442</v>
      </c>
      <c r="H217" s="443"/>
    </row>
    <row r="218" spans="1:8" x14ac:dyDescent="0.25">
      <c r="A218" s="443"/>
      <c r="B218" s="443"/>
      <c r="C218" s="460" t="s">
        <v>2443</v>
      </c>
      <c r="D218" s="450" t="str" cm="1">
        <f t="array" ref="D218">_xlfn.IFS(
    Language=German,E218,
    Language=French,F218,
    Language=Italian,G218
)</f>
        <v>Indiquez tous les déplacements d’affaires des employés utilisant un moyen de transport qui ne'appartient pas à votre entreprise.
Cela inclut, par exemple, les véhicules privés des employés, les véhicules loués à court-terme et les transports en commun.</v>
      </c>
      <c r="E218" s="443" t="s">
        <v>27144</v>
      </c>
      <c r="F218" s="443" t="s">
        <v>27823</v>
      </c>
      <c r="G218" s="443" t="s">
        <v>28477</v>
      </c>
      <c r="H218" s="450"/>
    </row>
    <row r="219" spans="1:8" x14ac:dyDescent="0.25">
      <c r="A219" s="443"/>
      <c r="B219" s="443"/>
      <c r="C219" s="460" t="s">
        <v>27162</v>
      </c>
      <c r="D219" s="450" t="str" cm="1">
        <f t="array" ref="D219">_xlfn.IFS(
    Language=German,E219,
    Language=French,F219,
    Language=Italian,G219
)</f>
        <v>Sous « Saisie », indiquez les distances parcourues par moyen de transport en kilomètres passagers (pkm) ou kilomètres véhicules (vkm).</v>
      </c>
      <c r="E219" s="443" t="s">
        <v>27145</v>
      </c>
      <c r="F219" s="443" t="s">
        <v>27824</v>
      </c>
      <c r="G219" s="443" t="s">
        <v>28478</v>
      </c>
      <c r="H219" s="450"/>
    </row>
    <row r="220" spans="1:8" x14ac:dyDescent="0.25">
      <c r="A220" s="443"/>
      <c r="B220" s="443"/>
      <c r="C220" s="460" t="s">
        <v>2444</v>
      </c>
      <c r="D220" s="469" t="str" cm="1">
        <f t="array" ref="D220">_xlfn.IFS(
    Language=German,E220,
    Language=French,F220,
    Language=Italian,G220
)</f>
        <v>Transport</v>
      </c>
      <c r="E220" s="443" t="s">
        <v>2445</v>
      </c>
      <c r="F220" s="443" t="s">
        <v>2437</v>
      </c>
      <c r="G220" s="443" t="s">
        <v>2438</v>
      </c>
      <c r="H220" s="443"/>
    </row>
    <row r="221" spans="1:8" x14ac:dyDescent="0.25">
      <c r="A221" s="443"/>
      <c r="B221" s="443"/>
      <c r="C221" s="460" t="s">
        <v>2446</v>
      </c>
      <c r="D221" s="443" t="str" cm="1">
        <f t="array" ref="D221">_xlfn.IFS(
    Language=German,E221,
    Language=French,F221,
    Language=Italian,G221
)</f>
        <v>Vols court-courriers en classe économique</v>
      </c>
      <c r="E221" s="443" t="s">
        <v>28241</v>
      </c>
      <c r="F221" s="443" t="s">
        <v>28247</v>
      </c>
      <c r="G221" s="443" t="s">
        <v>28479</v>
      </c>
      <c r="H221" s="443"/>
    </row>
    <row r="222" spans="1:8" x14ac:dyDescent="0.25">
      <c r="A222" s="443"/>
      <c r="B222" s="443"/>
      <c r="C222" s="460" t="s">
        <v>2447</v>
      </c>
      <c r="D222" s="443" t="str" cm="1">
        <f t="array" ref="D222">_xlfn.IFS(
    Language=German,E222,
    Language=French,F222,
    Language=Italian,G222
)</f>
        <v>Vols court-courriers en classe affaires</v>
      </c>
      <c r="E222" s="443" t="s">
        <v>28243</v>
      </c>
      <c r="F222" s="443" t="s">
        <v>28249</v>
      </c>
      <c r="G222" s="443" t="s">
        <v>28480</v>
      </c>
      <c r="H222" s="443"/>
    </row>
    <row r="223" spans="1:8" x14ac:dyDescent="0.25">
      <c r="A223" s="443"/>
      <c r="B223" s="443"/>
      <c r="C223" s="460" t="s">
        <v>28237</v>
      </c>
      <c r="D223" s="443" t="str" cm="1">
        <f t="array" ref="D223">_xlfn.IFS(
    Language=German,E223,
    Language=French,F223,
    Language=Italian,G223
)</f>
        <v>Vols moyen-courriers en classe économique</v>
      </c>
      <c r="E223" s="443" t="s">
        <v>28244</v>
      </c>
      <c r="F223" s="443" t="s">
        <v>28248</v>
      </c>
      <c r="G223" s="443" t="s">
        <v>28253</v>
      </c>
      <c r="H223" s="443"/>
    </row>
    <row r="224" spans="1:8" x14ac:dyDescent="0.25">
      <c r="A224" s="443"/>
      <c r="B224" s="443"/>
      <c r="C224" s="460" t="s">
        <v>28238</v>
      </c>
      <c r="D224" s="443" t="str" cm="1">
        <f t="array" ref="D224">_xlfn.IFS(
    Language=German,E224,
    Language=French,F224,
    Language=Italian,G224
)</f>
        <v>Vols moyen-courriers en classe affaires</v>
      </c>
      <c r="E224" s="443" t="s">
        <v>28245</v>
      </c>
      <c r="F224" s="443" t="s">
        <v>28250</v>
      </c>
      <c r="G224" s="443" t="s">
        <v>28481</v>
      </c>
      <c r="H224" s="443"/>
    </row>
    <row r="225" spans="1:8" x14ac:dyDescent="0.25">
      <c r="A225" s="443"/>
      <c r="B225" s="443"/>
      <c r="C225" s="460" t="s">
        <v>28239</v>
      </c>
      <c r="D225" s="443" t="str" cm="1">
        <f t="array" ref="D225">_xlfn.IFS(
    Language=German,E225,
    Language=French,F225,
    Language=Italian,G225
)</f>
        <v>Vols long-courriers en classe économique</v>
      </c>
      <c r="E225" s="443" t="s">
        <v>28246</v>
      </c>
      <c r="F225" s="443" t="s">
        <v>28251</v>
      </c>
      <c r="G225" s="443" t="s">
        <v>28482</v>
      </c>
      <c r="H225" s="443"/>
    </row>
    <row r="226" spans="1:8" x14ac:dyDescent="0.25">
      <c r="A226" s="443"/>
      <c r="B226" s="443"/>
      <c r="C226" s="460" t="s">
        <v>28240</v>
      </c>
      <c r="D226" s="443" t="str" cm="1">
        <f t="array" ref="D226">_xlfn.IFS(
    Language=German,E226,
    Language=French,F226,
    Language=Italian,G226
)</f>
        <v>Vols long-courriers en classe affaires</v>
      </c>
      <c r="E226" s="443" t="s">
        <v>28242</v>
      </c>
      <c r="F226" s="443" t="s">
        <v>28252</v>
      </c>
      <c r="G226" s="443" t="s">
        <v>28483</v>
      </c>
      <c r="H226" s="443"/>
    </row>
    <row r="227" spans="1:8" x14ac:dyDescent="0.25">
      <c r="A227" s="443"/>
      <c r="B227" s="443"/>
      <c r="C227" s="460" t="s">
        <v>2448</v>
      </c>
      <c r="D227" s="443" t="str" cm="1">
        <f t="array" ref="D227">_xlfn.IFS(
    Language=German,E227,
    Language=French,F227,
    Language=Italian,G227
)</f>
        <v>Train</v>
      </c>
      <c r="E227" s="443" t="s">
        <v>2449</v>
      </c>
      <c r="F227" s="443" t="s">
        <v>2450</v>
      </c>
      <c r="G227" s="443" t="s">
        <v>2451</v>
      </c>
      <c r="H227" s="443"/>
    </row>
    <row r="228" spans="1:8" ht="14.65" customHeight="1" x14ac:dyDescent="0.25">
      <c r="A228" s="443"/>
      <c r="B228" s="443"/>
      <c r="C228" s="460" t="s">
        <v>2452</v>
      </c>
      <c r="D228" s="443" t="str" cm="1">
        <f t="array" ref="D228">_xlfn.IFS(
    Language=German,E228,
    Language=French,F228,
    Language=Italian,G228
)</f>
        <v>Bus</v>
      </c>
      <c r="E228" s="443" t="s">
        <v>2453</v>
      </c>
      <c r="F228" s="443" t="s">
        <v>2453</v>
      </c>
      <c r="G228" s="443" t="s">
        <v>2454</v>
      </c>
      <c r="H228" s="443"/>
    </row>
    <row r="229" spans="1:8" x14ac:dyDescent="0.25">
      <c r="A229" s="443"/>
      <c r="B229" s="443"/>
      <c r="C229" s="460" t="s">
        <v>2455</v>
      </c>
      <c r="D229" s="443" t="str" cm="1">
        <f t="array" ref="D229">_xlfn.IFS(
    Language=German,E229,
    Language=French,F229,
    Language=Italian,G229
)</f>
        <v>Voiture particulière</v>
      </c>
      <c r="E229" s="443" t="s">
        <v>2456</v>
      </c>
      <c r="F229" s="443" t="s">
        <v>27825</v>
      </c>
      <c r="G229" s="443" t="s">
        <v>27826</v>
      </c>
      <c r="H229" s="443"/>
    </row>
    <row r="230" spans="1:8" x14ac:dyDescent="0.25">
      <c r="A230" s="443"/>
      <c r="B230" s="443"/>
      <c r="C230" s="460" t="s">
        <v>2457</v>
      </c>
      <c r="D230" s="469" t="str" cm="1">
        <f t="array" ref="D230">_xlfn.IFS(
    Language=German,E230,
    Language=French,F230,
    Language=Italian,G230
)</f>
        <v>Trajets pendulaires</v>
      </c>
      <c r="E230" s="443" t="s">
        <v>2458</v>
      </c>
      <c r="F230" s="443" t="s">
        <v>27827</v>
      </c>
      <c r="G230" s="443" t="s">
        <v>27828</v>
      </c>
      <c r="H230" s="443"/>
    </row>
    <row r="231" spans="1:8" x14ac:dyDescent="0.25">
      <c r="A231" s="443"/>
      <c r="B231" s="443"/>
      <c r="C231" s="460" t="s">
        <v>2459</v>
      </c>
      <c r="D231" s="450" t="str" cm="1">
        <f t="array" ref="D231">_xlfn.IFS(
    Language=German,E231,
    Language=French,F231,
    Language=Italian,G231
)</f>
        <v>Indiquez les trajets pendulaires des employés entre leur domicile et leur travail.</v>
      </c>
      <c r="E231" s="443" t="s">
        <v>27146</v>
      </c>
      <c r="F231" s="443" t="s">
        <v>27829</v>
      </c>
      <c r="G231" s="443" t="s">
        <v>28484</v>
      </c>
      <c r="H231" s="450"/>
    </row>
    <row r="232" spans="1:8" x14ac:dyDescent="0.25">
      <c r="A232" s="443"/>
      <c r="B232" s="443"/>
      <c r="C232" s="460" t="s">
        <v>2460</v>
      </c>
      <c r="D232" s="450" t="str" cm="1">
        <f t="array" ref="D232">_xlfn.IFS(
    Language=German,E232,
    Language=French,F232,
    Language=Italian,G232
)</f>
        <v>Saisie simplifiée : Indiquez le nombre d’employés en équivalents temps plein (FTE). Des moyennes suisses sont utilisées.
Saisie plus précise : Indiquez le nombre de passagers-kilomètres parcourus (pkm) par mode de transport (cumulé sur l’année du bilan).</v>
      </c>
      <c r="E232" s="443" t="s">
        <v>27147</v>
      </c>
      <c r="F232" s="443" t="s">
        <v>27830</v>
      </c>
      <c r="G232" s="443" t="s">
        <v>28485</v>
      </c>
      <c r="H232" s="450"/>
    </row>
    <row r="233" spans="1:8" x14ac:dyDescent="0.25">
      <c r="A233" s="443"/>
      <c r="B233" s="443"/>
      <c r="C233" s="460" t="s">
        <v>2461</v>
      </c>
      <c r="D233" s="469" t="str" cm="1">
        <f t="array" ref="D233">_xlfn.IFS(
    Language=German,E233,
    Language=French,F233,
    Language=Italian,G233
)</f>
        <v>Employés</v>
      </c>
      <c r="E233" s="443" t="s">
        <v>2462</v>
      </c>
      <c r="F233" s="443" t="s">
        <v>2463</v>
      </c>
      <c r="G233" s="443" t="s">
        <v>2464</v>
      </c>
      <c r="H233" s="443"/>
    </row>
    <row r="234" spans="1:8" x14ac:dyDescent="0.25">
      <c r="A234" s="443"/>
      <c r="B234" s="443"/>
      <c r="C234" s="460" t="s">
        <v>2465</v>
      </c>
      <c r="D234" s="443" t="str" cm="1">
        <f t="array" ref="D234">_xlfn.IFS(
    Language=German,E234,
    Language=French,F234,
    Language=Italian,G234
)</f>
        <v>Proportion d’employés</v>
      </c>
      <c r="E234" s="443" t="s">
        <v>28551</v>
      </c>
      <c r="F234" s="443" t="s">
        <v>2466</v>
      </c>
      <c r="G234" s="443" t="s">
        <v>28486</v>
      </c>
      <c r="H234" s="443"/>
    </row>
    <row r="235" spans="1:8" x14ac:dyDescent="0.25">
      <c r="A235" s="443"/>
      <c r="B235" s="443"/>
      <c r="C235" s="474" t="s">
        <v>2467</v>
      </c>
      <c r="D235" s="443" t="str" cm="1">
        <f t="array" ref="D235">_xlfn.IFS(
    Language=German,E235,
    Language=French,F235,
    Language=Italian,G235
)</f>
        <v>Équivalents à temps plein</v>
      </c>
      <c r="E235" s="443" t="s">
        <v>2468</v>
      </c>
      <c r="F235" s="443" t="s">
        <v>2469</v>
      </c>
      <c r="G235" s="443" t="s">
        <v>2470</v>
      </c>
      <c r="H235" s="443"/>
    </row>
    <row r="236" spans="1:8" ht="14.65" customHeight="1" x14ac:dyDescent="0.25">
      <c r="A236" s="443"/>
      <c r="B236" s="443"/>
      <c r="C236" s="460" t="s">
        <v>2471</v>
      </c>
      <c r="D236" s="469" t="str" cm="1">
        <f t="array" ref="D236">_xlfn.IFS(
    Language=German,E236,
    Language=French,F236,
    Language=Italian,G236
)</f>
        <v>Transport</v>
      </c>
      <c r="E236" s="443" t="s">
        <v>2445</v>
      </c>
      <c r="F236" s="443" t="s">
        <v>2437</v>
      </c>
      <c r="G236" s="443" t="s">
        <v>2438</v>
      </c>
      <c r="H236" s="443"/>
    </row>
    <row r="237" spans="1:8" ht="14.65" customHeight="1" x14ac:dyDescent="0.25">
      <c r="A237" s="443"/>
      <c r="B237" s="443"/>
      <c r="C237" s="460" t="s">
        <v>2472</v>
      </c>
      <c r="D237" s="443" t="str" cm="1">
        <f t="array" ref="D237">_xlfn.IFS(
    Language=German,E237,
    Language=French,F237,
    Language=Italian,G237
)</f>
        <v>Voiture particulière</v>
      </c>
      <c r="E237" s="443" t="s">
        <v>2456</v>
      </c>
      <c r="F237" s="443" t="s">
        <v>27825</v>
      </c>
      <c r="G237" s="443" t="s">
        <v>27826</v>
      </c>
      <c r="H237" s="443"/>
    </row>
    <row r="238" spans="1:8" x14ac:dyDescent="0.25">
      <c r="A238" s="443"/>
      <c r="B238" s="443"/>
      <c r="C238" s="460" t="s">
        <v>2473</v>
      </c>
      <c r="D238" s="443" t="str" cm="1">
        <f t="array" ref="D238">_xlfn.IFS(
    Language=German,E238,
    Language=French,F238,
    Language=Italian,G238
)</f>
        <v>Train</v>
      </c>
      <c r="E238" s="443" t="s">
        <v>2449</v>
      </c>
      <c r="F238" s="443" t="s">
        <v>2450</v>
      </c>
      <c r="G238" s="443" t="s">
        <v>2451</v>
      </c>
      <c r="H238" s="443"/>
    </row>
    <row r="239" spans="1:8" x14ac:dyDescent="0.25">
      <c r="A239" s="443"/>
      <c r="B239" s="443"/>
      <c r="C239" s="460" t="s">
        <v>2474</v>
      </c>
      <c r="D239" s="443" t="str" cm="1">
        <f t="array" ref="D239">_xlfn.IFS(
    Language=German,E239,
    Language=French,F239,
    Language=Italian,G239
)</f>
        <v>Bus</v>
      </c>
      <c r="E239" s="443" t="s">
        <v>2453</v>
      </c>
      <c r="F239" s="443" t="s">
        <v>2453</v>
      </c>
      <c r="G239" s="443" t="s">
        <v>2454</v>
      </c>
      <c r="H239" s="443"/>
    </row>
    <row r="240" spans="1:8" x14ac:dyDescent="0.25">
      <c r="A240" s="443"/>
      <c r="B240" s="443"/>
      <c r="C240" s="460" t="s">
        <v>2475</v>
      </c>
      <c r="D240" s="443" t="str" cm="1">
        <f t="array" ref="D240">_xlfn.IFS(
    Language=German,E240,
    Language=French,F240,
    Language=Italian,G240
)</f>
        <v>Vélo</v>
      </c>
      <c r="E240" s="443" t="s">
        <v>2476</v>
      </c>
      <c r="F240" s="443" t="s">
        <v>2477</v>
      </c>
      <c r="G240" s="443" t="s">
        <v>2478</v>
      </c>
      <c r="H240" s="443"/>
    </row>
    <row r="241" spans="1:8" x14ac:dyDescent="0.25">
      <c r="A241" s="443"/>
      <c r="B241" s="443"/>
      <c r="C241" s="460" t="s">
        <v>2479</v>
      </c>
      <c r="D241" s="443" t="str" cm="1">
        <f t="array" ref="D241">_xlfn.IFS(
    Language=German,E241,
    Language=French,F241,
    Language=Italian,G241
)</f>
        <v>Vélo électrique</v>
      </c>
      <c r="E241" s="443" t="s">
        <v>2480</v>
      </c>
      <c r="F241" s="443" t="s">
        <v>2481</v>
      </c>
      <c r="G241" s="443" t="s">
        <v>2482</v>
      </c>
      <c r="H241" s="443"/>
    </row>
    <row r="242" spans="1:8" x14ac:dyDescent="0.25">
      <c r="A242" s="443"/>
      <c r="B242" s="443"/>
      <c r="C242" s="460" t="s">
        <v>2483</v>
      </c>
      <c r="D242" s="443" t="str" cm="1">
        <f t="array" ref="D242">_xlfn.IFS(
    Language=German,E242,
    Language=French,F242,
    Language=Italian,G242
)</f>
        <v>Moto</v>
      </c>
      <c r="E242" s="443" t="s">
        <v>2484</v>
      </c>
      <c r="F242" s="443" t="s">
        <v>2485</v>
      </c>
      <c r="G242" s="443" t="s">
        <v>2485</v>
      </c>
      <c r="H242" s="443"/>
    </row>
    <row r="243" spans="1:8" x14ac:dyDescent="0.25">
      <c r="A243" s="443"/>
      <c r="B243" s="443"/>
      <c r="C243" s="460" t="s">
        <v>2486</v>
      </c>
      <c r="D243" s="469" t="str" cm="1">
        <f t="array" ref="D243">_xlfn.IFS(
    Language=German,E243,
    Language=French,F243,
    Language=Italian,G243
)</f>
        <v>Transport en amont</v>
      </c>
      <c r="E243" s="443" t="s">
        <v>2487</v>
      </c>
      <c r="F243" s="443" t="s">
        <v>2488</v>
      </c>
      <c r="G243" s="443" t="s">
        <v>2489</v>
      </c>
      <c r="H243" s="443"/>
    </row>
    <row r="244" spans="1:8" x14ac:dyDescent="0.25">
      <c r="A244" s="443"/>
      <c r="B244" s="443"/>
      <c r="C244" s="460" t="s">
        <v>2490</v>
      </c>
      <c r="D244" s="450" t="str" cm="1">
        <f t="array" ref="D244">_xlfn.IFS(
    Language=German,E244,
    Language=French,F244,
    Language=Italian,G244
)</f>
        <v>Indiquez toutes les activités de transport entre les fournisseurs et votre entreprise.</v>
      </c>
      <c r="E244" s="443" t="s">
        <v>27148</v>
      </c>
      <c r="F244" s="443" t="s">
        <v>27831</v>
      </c>
      <c r="G244" s="443" t="s">
        <v>28487</v>
      </c>
      <c r="H244" s="450"/>
    </row>
    <row r="245" spans="1:8" x14ac:dyDescent="0.25">
      <c r="A245" s="443"/>
      <c r="B245" s="443"/>
      <c r="C245" s="460" t="s">
        <v>27173</v>
      </c>
      <c r="D245" s="450" t="str" cm="1">
        <f t="array" ref="D245">_xlfn.IFS(
    Language=German,E245,
    Language=French,F245,
    Language=Italian,G245
)</f>
        <v>Indiquez le serrvice de transport en tonnes-kilomètres (tkm).</v>
      </c>
      <c r="E245" s="443" t="s">
        <v>27149</v>
      </c>
      <c r="F245" s="443" t="s">
        <v>27832</v>
      </c>
      <c r="G245" s="443" t="s">
        <v>28488</v>
      </c>
      <c r="H245" s="450"/>
    </row>
    <row r="246" spans="1:8" x14ac:dyDescent="0.25">
      <c r="A246" s="443"/>
      <c r="B246" s="443"/>
      <c r="C246" s="460" t="s">
        <v>2491</v>
      </c>
      <c r="D246" s="469" t="str" cm="1">
        <f t="array" ref="D246">_xlfn.IFS(
    Language=German,E246,
    Language=French,F246,
    Language=Italian,G246
)</f>
        <v>Moyens de transport</v>
      </c>
      <c r="E246" s="443" t="s">
        <v>2492</v>
      </c>
      <c r="F246" s="443" t="s">
        <v>2493</v>
      </c>
      <c r="G246" s="443" t="s">
        <v>2494</v>
      </c>
      <c r="H246" s="443"/>
    </row>
    <row r="247" spans="1:8" x14ac:dyDescent="0.25">
      <c r="A247" s="443"/>
      <c r="B247" s="443"/>
      <c r="C247" s="460" t="s">
        <v>2495</v>
      </c>
      <c r="D247" s="443" t="str" cm="1">
        <f t="array" ref="D247">_xlfn.IFS(
    Language=German,E247,
    Language=French,F247,
    Language=Italian,G247
)</f>
        <v>Camion</v>
      </c>
      <c r="E247" s="443" t="s">
        <v>2496</v>
      </c>
      <c r="F247" s="443" t="s">
        <v>2497</v>
      </c>
      <c r="G247" s="443" t="s">
        <v>2497</v>
      </c>
      <c r="H247" s="443"/>
    </row>
    <row r="248" spans="1:8" x14ac:dyDescent="0.25">
      <c r="A248" s="443"/>
      <c r="B248" s="443"/>
      <c r="C248" s="460" t="s">
        <v>2498</v>
      </c>
      <c r="D248" s="443" t="str" cm="1">
        <f t="array" ref="D248">_xlfn.IFS(
    Language=German,E248,
    Language=French,F248,
    Language=Italian,G248
)</f>
        <v>Bateau</v>
      </c>
      <c r="E248" s="443" t="s">
        <v>2499</v>
      </c>
      <c r="F248" s="443" t="s">
        <v>27833</v>
      </c>
      <c r="G248" s="443" t="s">
        <v>2500</v>
      </c>
      <c r="H248" s="443"/>
    </row>
    <row r="249" spans="1:8" x14ac:dyDescent="0.25">
      <c r="A249" s="443"/>
      <c r="B249" s="443"/>
      <c r="C249" s="460" t="s">
        <v>2501</v>
      </c>
      <c r="D249" s="443" t="str" cm="1">
        <f t="array" ref="D249">_xlfn.IFS(
    Language=German,E249,
    Language=French,F249,
    Language=Italian,G249
)</f>
        <v>Train</v>
      </c>
      <c r="E249" s="443" t="s">
        <v>2449</v>
      </c>
      <c r="F249" s="443" t="s">
        <v>2450</v>
      </c>
      <c r="G249" s="443" t="s">
        <v>2451</v>
      </c>
      <c r="H249" s="443"/>
    </row>
    <row r="250" spans="1:8" ht="14.65" customHeight="1" x14ac:dyDescent="0.25">
      <c r="A250" s="443"/>
      <c r="B250" s="443"/>
      <c r="C250" s="460" t="s">
        <v>2502</v>
      </c>
      <c r="D250" s="443" t="str" cm="1">
        <f t="array" ref="D250">_xlfn.IFS(
    Language=German,E250,
    Language=French,F250,
    Language=Italian,G250
)</f>
        <v>Avion</v>
      </c>
      <c r="E250" s="443" t="s">
        <v>2503</v>
      </c>
      <c r="F250" s="443" t="s">
        <v>2504</v>
      </c>
      <c r="G250" s="443" t="s">
        <v>2505</v>
      </c>
      <c r="H250" s="443"/>
    </row>
    <row r="251" spans="1:8" x14ac:dyDescent="0.25">
      <c r="A251" s="443"/>
      <c r="B251" s="443"/>
      <c r="C251" s="460" t="s">
        <v>2506</v>
      </c>
      <c r="D251" s="469" t="str" cm="1">
        <f t="array" ref="D251">_xlfn.IFS(
    Language=German,E251,
    Language=French,F251,
    Language=Italian,G251
)</f>
        <v>Transport en aval</v>
      </c>
      <c r="E251" s="443" t="s">
        <v>2507</v>
      </c>
      <c r="F251" s="443" t="s">
        <v>2508</v>
      </c>
      <c r="G251" s="443" t="s">
        <v>2509</v>
      </c>
      <c r="H251" s="443"/>
    </row>
    <row r="252" spans="1:8" x14ac:dyDescent="0.25">
      <c r="A252" s="443"/>
      <c r="B252" s="443"/>
      <c r="C252" s="460" t="s">
        <v>2510</v>
      </c>
      <c r="D252" s="450" t="str" cm="1">
        <f t="array" ref="D252">_xlfn.IFS(
    Language=German,E252,
    Language=French,F252,
    Language=Italian,G252
)</f>
        <v>Indiquez toutes les activités de transport entre votre entreprise et les clients à qui les produits sont vendus.</v>
      </c>
      <c r="E252" s="443" t="s">
        <v>27150</v>
      </c>
      <c r="F252" s="443" t="s">
        <v>27834</v>
      </c>
      <c r="G252" s="443" t="s">
        <v>27399</v>
      </c>
      <c r="H252" s="450"/>
    </row>
    <row r="253" spans="1:8" x14ac:dyDescent="0.25">
      <c r="A253" s="443"/>
      <c r="B253" s="443"/>
      <c r="C253" s="460" t="s">
        <v>27174</v>
      </c>
      <c r="D253" s="450" t="str" cm="1">
        <f t="array" ref="D253">_xlfn.IFS(
    Language=German,E253,
    Language=French,F253,
    Language=Italian,G253
)</f>
        <v>Indiquez le serrvice de transport en tonnes-kilomètres (tkm).</v>
      </c>
      <c r="E253" s="443" t="s">
        <v>27149</v>
      </c>
      <c r="F253" s="443" t="s">
        <v>27832</v>
      </c>
      <c r="G253" s="443" t="s">
        <v>28489</v>
      </c>
      <c r="H253" s="450"/>
    </row>
    <row r="254" spans="1:8" x14ac:dyDescent="0.25">
      <c r="A254" s="443"/>
      <c r="B254" s="443"/>
      <c r="C254" s="460" t="s">
        <v>2511</v>
      </c>
      <c r="D254" s="469" t="str" cm="1">
        <f t="array" ref="D254">_xlfn.IFS(
    Language=German,E254,
    Language=French,F254,
    Language=Italian,G254
)</f>
        <v>Moyens de transport</v>
      </c>
      <c r="E254" s="443" t="s">
        <v>2492</v>
      </c>
      <c r="F254" s="443" t="s">
        <v>2493</v>
      </c>
      <c r="G254" s="443" t="s">
        <v>2494</v>
      </c>
      <c r="H254" s="443"/>
    </row>
    <row r="255" spans="1:8" x14ac:dyDescent="0.25">
      <c r="A255" s="443"/>
      <c r="B255" s="443"/>
      <c r="C255" s="460" t="s">
        <v>2512</v>
      </c>
      <c r="D255" s="443" t="str" cm="1">
        <f t="array" ref="D255">_xlfn.IFS(
    Language=German,E255,
    Language=French,F255,
    Language=Italian,G255
)</f>
        <v>Camion</v>
      </c>
      <c r="E255" s="443" t="s">
        <v>2496</v>
      </c>
      <c r="F255" s="443" t="s">
        <v>2497</v>
      </c>
      <c r="G255" s="443" t="s">
        <v>2497</v>
      </c>
      <c r="H255" s="443"/>
    </row>
    <row r="256" spans="1:8" x14ac:dyDescent="0.25">
      <c r="A256" s="443"/>
      <c r="B256" s="443"/>
      <c r="C256" s="460" t="s">
        <v>2513</v>
      </c>
      <c r="D256" s="443" t="str" cm="1">
        <f t="array" ref="D256">_xlfn.IFS(
    Language=German,E256,
    Language=French,F256,
    Language=Italian,G256
)</f>
        <v>Bateau</v>
      </c>
      <c r="E256" s="443" t="s">
        <v>2499</v>
      </c>
      <c r="F256" s="443" t="s">
        <v>27833</v>
      </c>
      <c r="G256" s="443" t="s">
        <v>2500</v>
      </c>
      <c r="H256" s="443"/>
    </row>
    <row r="257" spans="1:8" x14ac:dyDescent="0.25">
      <c r="A257" s="443"/>
      <c r="B257" s="443"/>
      <c r="C257" s="460" t="s">
        <v>2514</v>
      </c>
      <c r="D257" s="443" t="str" cm="1">
        <f t="array" ref="D257">_xlfn.IFS(
    Language=German,E257,
    Language=French,F257,
    Language=Italian,G257
)</f>
        <v>Train</v>
      </c>
      <c r="E257" s="443" t="s">
        <v>2449</v>
      </c>
      <c r="F257" s="443" t="s">
        <v>2450</v>
      </c>
      <c r="G257" s="443" t="s">
        <v>2451</v>
      </c>
      <c r="H257" s="443"/>
    </row>
    <row r="258" spans="1:8" ht="14.65" customHeight="1" x14ac:dyDescent="0.25">
      <c r="A258" s="443"/>
      <c r="B258" s="443"/>
      <c r="C258" s="460" t="s">
        <v>2515</v>
      </c>
      <c r="D258" s="443" t="str" cm="1">
        <f t="array" ref="D258">_xlfn.IFS(
    Language=German,E258,
    Language=French,F258,
    Language=Italian,G258
)</f>
        <v>Avion</v>
      </c>
      <c r="E258" s="443" t="s">
        <v>2503</v>
      </c>
      <c r="F258" s="443" t="s">
        <v>2504</v>
      </c>
      <c r="G258" s="443" t="s">
        <v>2505</v>
      </c>
      <c r="H258" s="443"/>
    </row>
    <row r="259" spans="1:8" ht="19.5" x14ac:dyDescent="0.25">
      <c r="A259" s="451" t="s">
        <v>27165</v>
      </c>
      <c r="B259" s="443"/>
      <c r="C259" s="460" t="s">
        <v>2516</v>
      </c>
      <c r="D259" s="451" t="str" cm="1">
        <f t="array" ref="D259">_xlfn.IFS(
    Language=German,E259,
    Language=French,F259,
    Language=Italian,G259
)</f>
        <v>9 Déchets d'exploitation</v>
      </c>
      <c r="E259" s="443" t="s">
        <v>27911</v>
      </c>
      <c r="F259" s="443" t="s">
        <v>27912</v>
      </c>
      <c r="G259" s="443" t="s">
        <v>27913</v>
      </c>
      <c r="H259" s="443"/>
    </row>
    <row r="260" spans="1:8" x14ac:dyDescent="0.25">
      <c r="A260" s="443"/>
      <c r="B260" s="443"/>
      <c r="C260" s="460" t="s">
        <v>2517</v>
      </c>
      <c r="D260" s="450" t="str" cm="1">
        <f t="array" ref="D260">_xlfn.IFS(
    Language=German,E260,
    Language=French,F260,
    Language=Italian,G260
)</f>
        <v>Enregistrez tous les volumes de déchets opérationnellement pertinents qui sont éliminés ou traités à l’extérieur.</v>
      </c>
      <c r="E260" s="443" t="s">
        <v>27151</v>
      </c>
      <c r="F260" s="443" t="s">
        <v>27400</v>
      </c>
      <c r="G260" s="443" t="s">
        <v>28490</v>
      </c>
      <c r="H260" s="450"/>
    </row>
    <row r="261" spans="1:8" x14ac:dyDescent="0.25">
      <c r="A261" s="443"/>
      <c r="B261" s="443"/>
      <c r="C261" s="460" t="s">
        <v>27176</v>
      </c>
      <c r="D261" s="450" t="str" cm="1">
        <f t="array" ref="D261">_xlfn.IFS(
    Language=German,E261,
    Language=French,F261,
    Language=Italian,G261
)</f>
        <v>Attribuez tous les déchets à un type de déchet et à un type d’élimination correspondant.
Sous « kg », saisissez les quantités éliminées en kilogrammes.</v>
      </c>
      <c r="E261" s="443" t="s">
        <v>27152</v>
      </c>
      <c r="F261" s="443" t="s">
        <v>27401</v>
      </c>
      <c r="G261" s="443" t="s">
        <v>28491</v>
      </c>
      <c r="H261" s="450"/>
    </row>
    <row r="262" spans="1:8" x14ac:dyDescent="0.25">
      <c r="A262" s="443"/>
      <c r="B262" s="443"/>
      <c r="C262" s="460" t="s">
        <v>2518</v>
      </c>
      <c r="D262" s="469" t="str" cm="1">
        <f t="array" ref="D262">_xlfn.IFS(
    Language=German,E262,
    Language=French,F262,
    Language=Italian,G262
)</f>
        <v>Type de déchets</v>
      </c>
      <c r="E262" s="443" t="s">
        <v>2519</v>
      </c>
      <c r="F262" s="443" t="s">
        <v>2520</v>
      </c>
      <c r="G262" s="443" t="s">
        <v>2521</v>
      </c>
      <c r="H262" s="443"/>
    </row>
    <row r="263" spans="1:8" x14ac:dyDescent="0.25">
      <c r="A263" s="443"/>
      <c r="B263" s="443"/>
      <c r="C263" s="460" t="s">
        <v>2522</v>
      </c>
      <c r="D263" s="443" t="str" cm="1">
        <f t="array" ref="D263">_xlfn.IFS(
    Language=German,E263,
    Language=French,F263,
    Language=Italian,G263
)</f>
        <v>Déchets ménagers / industriels mixtes, incinération</v>
      </c>
      <c r="E263" s="443" t="s">
        <v>651</v>
      </c>
      <c r="F263" s="443" t="s">
        <v>27644</v>
      </c>
      <c r="G263" s="443" t="s">
        <v>27645</v>
      </c>
      <c r="H263" s="443"/>
    </row>
    <row r="264" spans="1:8" x14ac:dyDescent="0.25">
      <c r="A264" s="443"/>
      <c r="B264" s="443"/>
      <c r="C264" s="460" t="s">
        <v>2523</v>
      </c>
      <c r="D264" s="443" t="str" cm="1">
        <f t="array" ref="D264">_xlfn.IFS(
    Language=German,E264,
    Language=French,F264,
    Language=Italian,G264
)</f>
        <v>Déchets dangereux, incinération</v>
      </c>
      <c r="E264" s="443" t="s">
        <v>653</v>
      </c>
      <c r="F264" s="443" t="s">
        <v>27646</v>
      </c>
      <c r="G264" s="443" t="s">
        <v>27647</v>
      </c>
      <c r="H264" s="443"/>
    </row>
    <row r="265" spans="1:8" x14ac:dyDescent="0.25">
      <c r="A265" s="443"/>
      <c r="B265" s="443"/>
      <c r="C265" s="460" t="s">
        <v>2524</v>
      </c>
      <c r="D265" s="443" t="str" cm="1">
        <f t="array" ref="D265">_xlfn.IFS(
    Language=German,E265,
    Language=French,F265,
    Language=Italian,G265
)</f>
        <v>Déchets dangereux, décharge</v>
      </c>
      <c r="E265" s="443" t="s">
        <v>655</v>
      </c>
      <c r="F265" s="443" t="s">
        <v>656</v>
      </c>
      <c r="G265" s="443" t="s">
        <v>657</v>
      </c>
      <c r="H265" s="443"/>
    </row>
    <row r="266" spans="1:8" x14ac:dyDescent="0.25">
      <c r="A266" s="443"/>
      <c r="B266" s="443"/>
      <c r="C266" s="460" t="s">
        <v>2525</v>
      </c>
      <c r="D266" s="443" t="str" cm="1">
        <f t="array" ref="D266">_xlfn.IFS(
    Language=German,E266,
    Language=French,F266,
    Language=Italian,G266
)</f>
        <v>Plastique, incinération</v>
      </c>
      <c r="E266" s="443" t="s">
        <v>659</v>
      </c>
      <c r="F266" s="443" t="s">
        <v>27648</v>
      </c>
      <c r="G266" s="443" t="s">
        <v>27649</v>
      </c>
      <c r="H266" s="443"/>
    </row>
    <row r="267" spans="1:8" x14ac:dyDescent="0.25">
      <c r="A267" s="443"/>
      <c r="B267" s="443"/>
      <c r="C267" s="460" t="s">
        <v>2526</v>
      </c>
      <c r="D267" s="443" t="str" cm="1">
        <f t="array" ref="D267">_xlfn.IFS(
    Language=German,E267,
    Language=French,F267,
    Language=Italian,G267
)</f>
        <v>Plastique, recyclage</v>
      </c>
      <c r="E267" s="443" t="s">
        <v>661</v>
      </c>
      <c r="F267" s="443" t="s">
        <v>662</v>
      </c>
      <c r="G267" s="443" t="s">
        <v>27650</v>
      </c>
      <c r="H267" s="443"/>
    </row>
    <row r="268" spans="1:8" ht="14.65" customHeight="1" x14ac:dyDescent="0.25">
      <c r="A268" s="443"/>
      <c r="B268" s="443"/>
      <c r="C268" s="460" t="s">
        <v>2527</v>
      </c>
      <c r="D268" s="443" t="str" cm="1">
        <f t="array" ref="D268">_xlfn.IFS(
    Language=German,E268,
    Language=French,F268,
    Language=Italian,G268
)</f>
        <v>Métaux, recyclage</v>
      </c>
      <c r="E268" s="443" t="s">
        <v>664</v>
      </c>
      <c r="F268" s="443" t="s">
        <v>665</v>
      </c>
      <c r="G268" s="443" t="s">
        <v>27651</v>
      </c>
      <c r="H268" s="443"/>
    </row>
    <row r="269" spans="1:8" x14ac:dyDescent="0.25">
      <c r="A269" s="443"/>
      <c r="B269" s="443"/>
      <c r="C269" s="460" t="s">
        <v>2528</v>
      </c>
      <c r="D269" s="443" t="str" cm="1">
        <f t="array" ref="D269">_xlfn.IFS(
    Language=German,E269,
    Language=French,F269,
    Language=Italian,G269
)</f>
        <v>Déchets électroniques, recyclage</v>
      </c>
      <c r="E269" s="443" t="s">
        <v>666</v>
      </c>
      <c r="F269" s="443" t="s">
        <v>667</v>
      </c>
      <c r="G269" s="443" t="s">
        <v>668</v>
      </c>
      <c r="H269" s="443"/>
    </row>
    <row r="270" spans="1:8" x14ac:dyDescent="0.25">
      <c r="A270" s="443"/>
      <c r="B270" s="443"/>
      <c r="C270" s="460" t="s">
        <v>2529</v>
      </c>
      <c r="D270" s="443" t="str" cm="1">
        <f t="array" ref="D270">_xlfn.IFS(
    Language=German,E270,
    Language=French,F270,
    Language=Italian,G270
)</f>
        <v>Biodéchets, incinération</v>
      </c>
      <c r="E270" s="443" t="s">
        <v>670</v>
      </c>
      <c r="F270" s="443" t="s">
        <v>27652</v>
      </c>
      <c r="G270" s="443" t="s">
        <v>27653</v>
      </c>
      <c r="H270" s="443"/>
    </row>
    <row r="271" spans="1:8" x14ac:dyDescent="0.25">
      <c r="A271" s="443"/>
      <c r="B271" s="443"/>
      <c r="C271" s="460" t="s">
        <v>2530</v>
      </c>
      <c r="D271" s="443" t="str" cm="1">
        <f t="array" ref="D271">_xlfn.IFS(
    Language=German,E271,
    Language=French,F271,
    Language=Italian,G271
)</f>
        <v>Biodéchets, production de biogaz</v>
      </c>
      <c r="E271" s="443" t="s">
        <v>672</v>
      </c>
      <c r="F271" s="443" t="s">
        <v>673</v>
      </c>
      <c r="G271" s="443" t="s">
        <v>674</v>
      </c>
      <c r="H271" s="443"/>
    </row>
    <row r="272" spans="1:8" x14ac:dyDescent="0.25">
      <c r="A272" s="443"/>
      <c r="B272" s="443"/>
      <c r="C272" s="460" t="s">
        <v>2531</v>
      </c>
      <c r="D272" s="443" t="str" cm="1">
        <f t="array" ref="D272">_xlfn.IFS(
    Language=German,E272,
    Language=French,F272,
    Language=Italian,G272
)</f>
        <v>Matériaux inertes / déchets de construction, décharge</v>
      </c>
      <c r="E272" s="443" t="s">
        <v>676</v>
      </c>
      <c r="F272" s="443" t="s">
        <v>677</v>
      </c>
      <c r="G272" s="443" t="s">
        <v>678</v>
      </c>
      <c r="H272" s="443"/>
    </row>
    <row r="273" spans="1:8" x14ac:dyDescent="0.25">
      <c r="A273" s="443"/>
      <c r="B273" s="443"/>
      <c r="C273" s="460" t="s">
        <v>2532</v>
      </c>
      <c r="D273" s="443" t="str" cm="1">
        <f t="array" ref="D273">_xlfn.IFS(
    Language=German,E273,
    Language=French,F273,
    Language=Italian,G273
)</f>
        <v>Matériaux inertes / déchets de construction, recyclage</v>
      </c>
      <c r="E273" s="443" t="s">
        <v>680</v>
      </c>
      <c r="F273" s="443" t="s">
        <v>681</v>
      </c>
      <c r="G273" s="443" t="s">
        <v>682</v>
      </c>
      <c r="H273" s="443"/>
    </row>
    <row r="274" spans="1:8" x14ac:dyDescent="0.25">
      <c r="A274" s="443"/>
      <c r="B274" s="443"/>
      <c r="C274" s="460" t="s">
        <v>27175</v>
      </c>
      <c r="D274" s="443" t="str" cm="1">
        <f t="array" ref="D274">_xlfn.IFS(
    Language=German,E274,
    Language=French,F274,
    Language=Italian,G274
)</f>
        <v>Eaux usées</v>
      </c>
      <c r="E274" s="443" t="s">
        <v>2581</v>
      </c>
      <c r="F274" s="443" t="s">
        <v>2582</v>
      </c>
      <c r="G274" s="443" t="s">
        <v>2583</v>
      </c>
      <c r="H274" s="443"/>
    </row>
    <row r="275" spans="1:8" ht="19.5" x14ac:dyDescent="0.25">
      <c r="A275" s="451" t="s">
        <v>27166</v>
      </c>
      <c r="B275" s="443"/>
      <c r="C275" s="460" t="s">
        <v>2533</v>
      </c>
      <c r="D275" s="451" t="str" cm="1">
        <f t="array" ref="D275">_xlfn.IFS(
    Language=German,E275,
    Language=French,F275,
    Language=Italian,G275
)</f>
        <v>10 Produits vendus</v>
      </c>
      <c r="E275" s="443" t="s">
        <v>27914</v>
      </c>
      <c r="F275" s="443" t="s">
        <v>27915</v>
      </c>
      <c r="G275" s="443" t="s">
        <v>27916</v>
      </c>
      <c r="H275" s="443"/>
    </row>
    <row r="276" spans="1:8" x14ac:dyDescent="0.25">
      <c r="A276" s="443"/>
      <c r="B276" s="443"/>
      <c r="C276" s="460" t="s">
        <v>2534</v>
      </c>
      <c r="D276" s="469" t="str" cm="1">
        <f t="array" ref="D276">_xlfn.IFS(
    Language=German,E276,
    Language=French,F276,
    Language=Italian,G276
)</f>
        <v>Transformation des produits vendus</v>
      </c>
      <c r="E276" s="443" t="s">
        <v>2535</v>
      </c>
      <c r="F276" s="443" t="s">
        <v>2536</v>
      </c>
      <c r="G276" s="443" t="s">
        <v>2537</v>
      </c>
      <c r="H276" s="443"/>
    </row>
    <row r="277" spans="1:8" x14ac:dyDescent="0.25">
      <c r="A277" s="443"/>
      <c r="B277" s="443"/>
      <c r="C277" s="460" t="s">
        <v>2538</v>
      </c>
      <c r="D277" s="450" t="str" cm="1">
        <f t="array" ref="D277">_xlfn.IFS(
    Language=German,E277,
    Language=French,F277,
    Language=Italian,G277
)</f>
        <v>Indiquez la consommation de carburant, de combustible et d'électricité chez le client, qui est nécessaire pour la transformation ultérieure des produits que vous avez vendus.
Cela s’applique, par exemple, à l’utilisation de l’énergie dans le traitement ultérieur de produits intermédiaires tels que les granulés plastiques dans le moulage par injection.</v>
      </c>
      <c r="E277" s="443" t="s">
        <v>27153</v>
      </c>
      <c r="F277" s="443" t="s">
        <v>27835</v>
      </c>
      <c r="G277" s="443" t="s">
        <v>28492</v>
      </c>
      <c r="H277" s="450"/>
    </row>
    <row r="278" spans="1:8" x14ac:dyDescent="0.25">
      <c r="A278" s="443"/>
      <c r="B278" s="443"/>
      <c r="C278" s="460" t="s">
        <v>27178</v>
      </c>
      <c r="D278" s="450" t="str" cm="1">
        <f t="array" ref="D278">_xlfn.IFS(
    Language=German,E278,
    Language=French,F278,
    Language=Italian,G278
)</f>
        <v>Indiquez la consommation d’électricité estimée en kilowattheures (kWh). Sélectionnez les carburants concernés (menu déroulant). Sous « Saisie », saisissez les quantités estimées dans l’unité correspondante ou la consommation d’énergie directement en mégajoules (MJ).</v>
      </c>
      <c r="E278" s="443" t="s">
        <v>28779</v>
      </c>
      <c r="F278" s="443" t="s">
        <v>28780</v>
      </c>
      <c r="G278" s="443" t="s">
        <v>28781</v>
      </c>
      <c r="H278" s="450"/>
    </row>
    <row r="279" spans="1:8" x14ac:dyDescent="0.25">
      <c r="A279" s="443"/>
      <c r="B279" s="443"/>
      <c r="C279" s="460" t="s">
        <v>2539</v>
      </c>
      <c r="D279" s="469" t="str" cm="1">
        <f t="array" ref="D279">_xlfn.IFS(
    Language=German,E279,
    Language=French,F279,
    Language=Italian,G279
)</f>
        <v>Consommation d’énergie</v>
      </c>
      <c r="E279" s="443" t="s">
        <v>2540</v>
      </c>
      <c r="F279" s="443" t="s">
        <v>2541</v>
      </c>
      <c r="G279" s="443" t="s">
        <v>2542</v>
      </c>
      <c r="H279" s="443"/>
    </row>
    <row r="280" spans="1:8" x14ac:dyDescent="0.25">
      <c r="A280" s="443"/>
      <c r="B280" s="443"/>
      <c r="C280" s="460" t="s">
        <v>2543</v>
      </c>
      <c r="D280" s="443" t="str" cm="1">
        <f t="array" ref="D280">_xlfn.IFS(
    Language=German,E280,
    Language=French,F280,
    Language=Italian,G280
)</f>
        <v>Électricité, réseau, basse tension</v>
      </c>
      <c r="E280" s="443" t="s">
        <v>2544</v>
      </c>
      <c r="F280" s="443" t="s">
        <v>2545</v>
      </c>
      <c r="G280" s="443" t="s">
        <v>2546</v>
      </c>
      <c r="H280" s="443"/>
    </row>
    <row r="281" spans="1:8" x14ac:dyDescent="0.25">
      <c r="A281" s="443"/>
      <c r="B281" s="443"/>
      <c r="C281" s="460" t="s">
        <v>2547</v>
      </c>
      <c r="D281" s="443" t="str" cm="1">
        <f t="array" ref="D281">_xlfn.IFS(
    Language=German,E281,
    Language=French,F281,
    Language=Italian,G281
)</f>
        <v>Électricité, réseau, moyenne tension</v>
      </c>
      <c r="E281" s="443" t="s">
        <v>2548</v>
      </c>
      <c r="F281" s="443" t="s">
        <v>2549</v>
      </c>
      <c r="G281" s="443" t="s">
        <v>2550</v>
      </c>
      <c r="H281" s="443"/>
    </row>
    <row r="282" spans="1:8" x14ac:dyDescent="0.25">
      <c r="A282" s="443"/>
      <c r="B282" s="443"/>
      <c r="C282" s="460" t="s">
        <v>2551</v>
      </c>
      <c r="D282" s="469" t="str" cm="1">
        <f t="array" ref="D282">_xlfn.IFS(
    Language=German,E282,
    Language=French,F282,
    Language=Italian,G282
)</f>
        <v>Carburants et combustibles</v>
      </c>
      <c r="E282" s="443" t="s">
        <v>2552</v>
      </c>
      <c r="F282" s="443" t="s">
        <v>27836</v>
      </c>
      <c r="G282" s="443" t="s">
        <v>27837</v>
      </c>
      <c r="H282" s="443"/>
    </row>
    <row r="283" spans="1:8" x14ac:dyDescent="0.25">
      <c r="A283" s="443"/>
      <c r="B283" s="443"/>
      <c r="C283" s="460" t="s">
        <v>2553</v>
      </c>
      <c r="D283" s="469" t="str" cm="1">
        <f t="array" ref="D283">_xlfn.IFS(
    Language=German,E283,
    Language=French,F283,
    Language=Italian,G283
)</f>
        <v>Utilisation des produits vendus</v>
      </c>
      <c r="E283" s="443" t="s">
        <v>2554</v>
      </c>
      <c r="F283" s="443" t="s">
        <v>2555</v>
      </c>
      <c r="G283" s="443" t="s">
        <v>2556</v>
      </c>
      <c r="H283" s="443"/>
    </row>
    <row r="284" spans="1:8" x14ac:dyDescent="0.25">
      <c r="A284" s="443"/>
      <c r="B284" s="443"/>
      <c r="C284" s="460" t="s">
        <v>2557</v>
      </c>
      <c r="D284" s="450" t="str" cm="1">
        <f t="array" ref="D284">_xlfn.IFS(
    Language=German,E284,
    Language=French,F284,
    Language=Italian,G284
)</f>
        <v>Indiquez la consommation de carburant, de combustible et d'électricité chez le client pendant la phase d'utilisation des produits que vous avez vendus.
Cela s’applique, par exemple, aux besoins énergétiques des appareils électroniques ou à la consommation de carburant des véhicules.</v>
      </c>
      <c r="E284" s="443" t="s">
        <v>27154</v>
      </c>
      <c r="F284" s="443" t="s">
        <v>27838</v>
      </c>
      <c r="G284" s="443" t="s">
        <v>28493</v>
      </c>
      <c r="H284" s="450"/>
    </row>
    <row r="285" spans="1:8" x14ac:dyDescent="0.25">
      <c r="A285" s="443"/>
      <c r="B285" s="443"/>
      <c r="C285" s="460" t="s">
        <v>2558</v>
      </c>
      <c r="D285" s="469" t="str" cm="1">
        <f t="array" ref="D285">_xlfn.IFS(
    Language=German,E285,
    Language=French,F285,
    Language=Italian,G285
)</f>
        <v>Consommation d’énergie</v>
      </c>
      <c r="E285" s="443" t="s">
        <v>2540</v>
      </c>
      <c r="F285" s="443" t="s">
        <v>2541</v>
      </c>
      <c r="G285" s="443" t="s">
        <v>2542</v>
      </c>
      <c r="H285" s="443"/>
    </row>
    <row r="286" spans="1:8" x14ac:dyDescent="0.25">
      <c r="A286" s="443"/>
      <c r="B286" s="443"/>
      <c r="C286" s="460" t="s">
        <v>2559</v>
      </c>
      <c r="D286" s="443" t="str" cm="1">
        <f t="array" ref="D286">_xlfn.IFS(
    Language=German,E286,
    Language=French,F286,
    Language=Italian,G286
)</f>
        <v>Électricité, réseau, basse tension</v>
      </c>
      <c r="E286" s="443" t="s">
        <v>2544</v>
      </c>
      <c r="F286" s="443" t="s">
        <v>2545</v>
      </c>
      <c r="G286" s="443" t="s">
        <v>2546</v>
      </c>
      <c r="H286" s="443"/>
    </row>
    <row r="287" spans="1:8" ht="14.65" customHeight="1" x14ac:dyDescent="0.25">
      <c r="A287" s="443"/>
      <c r="B287" s="443"/>
      <c r="C287" s="460" t="s">
        <v>2560</v>
      </c>
      <c r="D287" s="443" t="str" cm="1">
        <f t="array" ref="D287">_xlfn.IFS(
    Language=German,E287,
    Language=French,F287,
    Language=Italian,G287
)</f>
        <v>Électricité, réseau, moyenne tension</v>
      </c>
      <c r="E287" s="443" t="s">
        <v>2548</v>
      </c>
      <c r="F287" s="443" t="s">
        <v>2549</v>
      </c>
      <c r="G287" s="443" t="s">
        <v>2550</v>
      </c>
      <c r="H287" s="443"/>
    </row>
    <row r="288" spans="1:8" x14ac:dyDescent="0.25">
      <c r="A288" s="443"/>
      <c r="B288" s="443"/>
      <c r="C288" s="460" t="s">
        <v>2561</v>
      </c>
      <c r="D288" s="469" t="str" cm="1">
        <f t="array" ref="D288">_xlfn.IFS(
    Language=German,E288,
    Language=French,F288,
    Language=Italian,G288
)</f>
        <v>Carburants et combustibles</v>
      </c>
      <c r="E288" s="443" t="s">
        <v>2562</v>
      </c>
      <c r="F288" s="443" t="s">
        <v>27836</v>
      </c>
      <c r="G288" s="443" t="s">
        <v>27837</v>
      </c>
      <c r="H288" s="443"/>
    </row>
    <row r="289" spans="1:8" x14ac:dyDescent="0.25">
      <c r="A289" s="443"/>
      <c r="B289" s="443"/>
      <c r="C289" s="460" t="s">
        <v>2563</v>
      </c>
      <c r="D289" s="469" t="str" cm="1">
        <f t="array" ref="D289">_xlfn.IFS(
    Language=German,E289,
    Language=French,F289,
    Language=Italian,G289
)</f>
        <v>Élimination des produits vendus</v>
      </c>
      <c r="E289" s="443" t="s">
        <v>2564</v>
      </c>
      <c r="F289" s="443" t="s">
        <v>2565</v>
      </c>
      <c r="G289" s="443" t="s">
        <v>2566</v>
      </c>
      <c r="H289" s="443"/>
    </row>
    <row r="290" spans="1:8" x14ac:dyDescent="0.25">
      <c r="A290" s="443"/>
      <c r="B290" s="443"/>
      <c r="C290" s="460" t="s">
        <v>2567</v>
      </c>
      <c r="D290" s="450" t="str" cm="1">
        <f t="array" ref="D290">_xlfn.IFS(
    Language=German,E290,
    Language=French,F290,
    Language=Italian,G290
)</f>
        <v>Indiquez la quantité totale de produits vendus au cours de l’année du bilan, en lien avec la fin de leur vie (élimination / recyclage).
Par exemple, un aspirateur est principalement en plastique et est incinéré, tandis qu’un produit métallique est susceptible d’être recyclé.</v>
      </c>
      <c r="E290" s="443" t="s">
        <v>27155</v>
      </c>
      <c r="F290" s="443" t="s">
        <v>27839</v>
      </c>
      <c r="G290" s="443" t="s">
        <v>28494</v>
      </c>
      <c r="H290" s="450"/>
    </row>
    <row r="291" spans="1:8" ht="43.5" x14ac:dyDescent="0.25">
      <c r="A291" s="443"/>
      <c r="B291" s="443"/>
      <c r="C291" s="460" t="s">
        <v>27180</v>
      </c>
      <c r="D291" s="450" t="str" cm="1">
        <f t="array" ref="D291">_xlfn.IFS(
    Language=German,E291,
    Language=French,F291,
    Language=Italian,G291
)</f>
        <v>Classez tous les produits vendus selon les types de déchets et le mode d'élimination prévu. Sous « kg », entrez les quantités en kilogrammes.</v>
      </c>
      <c r="E291" s="443" t="s">
        <v>28782</v>
      </c>
      <c r="F291" s="443" t="s">
        <v>28783</v>
      </c>
      <c r="G291" s="444" t="s">
        <v>28784</v>
      </c>
      <c r="H291" s="450"/>
    </row>
    <row r="292" spans="1:8" x14ac:dyDescent="0.25">
      <c r="A292" s="443"/>
      <c r="B292" s="443"/>
      <c r="C292" s="460" t="s">
        <v>2568</v>
      </c>
      <c r="D292" s="469" t="str" cm="1">
        <f t="array" ref="D292">_xlfn.IFS(
    Language=German,E292,
    Language=French,F292,
    Language=Italian,G292
)</f>
        <v>Type de déchets</v>
      </c>
      <c r="E292" s="443" t="s">
        <v>2519</v>
      </c>
      <c r="F292" s="443" t="s">
        <v>2520</v>
      </c>
      <c r="G292" s="443" t="s">
        <v>2521</v>
      </c>
      <c r="H292" s="475" t="s">
        <v>88</v>
      </c>
    </row>
    <row r="293" spans="1:8" x14ac:dyDescent="0.25">
      <c r="A293" s="443"/>
      <c r="B293" s="443"/>
      <c r="C293" s="460" t="s">
        <v>2569</v>
      </c>
      <c r="D293" s="443" t="str" cm="1">
        <f t="array" ref="D293">_xlfn.IFS(
    Language=German,E293,
    Language=French,F293,
    Language=Italian,G293
)</f>
        <v>Déchets ménagers / industriels mixtes, incinération</v>
      </c>
      <c r="E293" s="443" t="s">
        <v>651</v>
      </c>
      <c r="F293" s="443" t="s">
        <v>27644</v>
      </c>
      <c r="G293" s="443" t="s">
        <v>27645</v>
      </c>
      <c r="H293" s="443"/>
    </row>
    <row r="294" spans="1:8" x14ac:dyDescent="0.25">
      <c r="A294" s="443"/>
      <c r="B294" s="443"/>
      <c r="C294" s="460" t="s">
        <v>2570</v>
      </c>
      <c r="D294" s="443" t="str" cm="1">
        <f t="array" ref="D294">_xlfn.IFS(
    Language=German,E294,
    Language=French,F294,
    Language=Italian,G294
)</f>
        <v>Déchets dangereux, incinération</v>
      </c>
      <c r="E294" s="443" t="s">
        <v>653</v>
      </c>
      <c r="F294" s="443" t="s">
        <v>27646</v>
      </c>
      <c r="G294" s="443" t="s">
        <v>27647</v>
      </c>
      <c r="H294" s="443"/>
    </row>
    <row r="295" spans="1:8" x14ac:dyDescent="0.25">
      <c r="A295" s="443"/>
      <c r="B295" s="443"/>
      <c r="C295" s="460" t="s">
        <v>2571</v>
      </c>
      <c r="D295" s="443" t="str" cm="1">
        <f t="array" ref="D295">_xlfn.IFS(
    Language=German,E295,
    Language=French,F295,
    Language=Italian,G295
)</f>
        <v>Déchets dangereux, décharge</v>
      </c>
      <c r="E295" s="443" t="s">
        <v>655</v>
      </c>
      <c r="F295" s="443" t="s">
        <v>656</v>
      </c>
      <c r="G295" s="443" t="s">
        <v>657</v>
      </c>
      <c r="H295" s="443"/>
    </row>
    <row r="296" spans="1:8" x14ac:dyDescent="0.25">
      <c r="A296" s="443"/>
      <c r="B296" s="443"/>
      <c r="C296" s="460" t="s">
        <v>2572</v>
      </c>
      <c r="D296" s="443" t="str" cm="1">
        <f t="array" ref="D296">_xlfn.IFS(
    Language=German,E296,
    Language=French,F296,
    Language=Italian,G296
)</f>
        <v>Plastique, incinération</v>
      </c>
      <c r="E296" s="443" t="s">
        <v>659</v>
      </c>
      <c r="F296" s="443" t="s">
        <v>27648</v>
      </c>
      <c r="G296" s="443" t="s">
        <v>27649</v>
      </c>
      <c r="H296" s="443"/>
    </row>
    <row r="297" spans="1:8" ht="14.65" customHeight="1" x14ac:dyDescent="0.25">
      <c r="A297" s="443"/>
      <c r="B297" s="443"/>
      <c r="C297" s="460" t="s">
        <v>2573</v>
      </c>
      <c r="D297" s="443" t="str" cm="1">
        <f t="array" ref="D297">_xlfn.IFS(
    Language=German,E297,
    Language=French,F297,
    Language=Italian,G297
)</f>
        <v>Plastique, recyclage</v>
      </c>
      <c r="E297" s="443" t="s">
        <v>661</v>
      </c>
      <c r="F297" s="443" t="s">
        <v>662</v>
      </c>
      <c r="G297" s="443" t="s">
        <v>27650</v>
      </c>
      <c r="H297" s="443"/>
    </row>
    <row r="298" spans="1:8" x14ac:dyDescent="0.25">
      <c r="A298" s="443"/>
      <c r="B298" s="443"/>
      <c r="C298" s="460" t="s">
        <v>2574</v>
      </c>
      <c r="D298" s="443" t="str" cm="1">
        <f t="array" ref="D298">_xlfn.IFS(
    Language=German,E298,
    Language=French,F298,
    Language=Italian,G298
)</f>
        <v>Métaux, recyclage</v>
      </c>
      <c r="E298" s="443" t="s">
        <v>664</v>
      </c>
      <c r="F298" s="443" t="s">
        <v>665</v>
      </c>
      <c r="G298" s="443" t="s">
        <v>27651</v>
      </c>
      <c r="H298" s="443"/>
    </row>
    <row r="299" spans="1:8" x14ac:dyDescent="0.25">
      <c r="A299" s="443"/>
      <c r="B299" s="443"/>
      <c r="C299" s="460" t="s">
        <v>2575</v>
      </c>
      <c r="D299" s="443" t="str" cm="1">
        <f t="array" ref="D299">_xlfn.IFS(
    Language=German,E299,
    Language=French,F299,
    Language=Italian,G299
)</f>
        <v>Déchets électroniques, recyclage</v>
      </c>
      <c r="E299" s="443" t="s">
        <v>666</v>
      </c>
      <c r="F299" s="443" t="s">
        <v>667</v>
      </c>
      <c r="G299" s="443" t="s">
        <v>668</v>
      </c>
      <c r="H299" s="443"/>
    </row>
    <row r="300" spans="1:8" x14ac:dyDescent="0.25">
      <c r="A300" s="443"/>
      <c r="B300" s="443"/>
      <c r="C300" s="460" t="s">
        <v>2576</v>
      </c>
      <c r="D300" s="443" t="str" cm="1">
        <f t="array" ref="D300">_xlfn.IFS(
    Language=German,E300,
    Language=French,F300,
    Language=Italian,G300
)</f>
        <v>Biodéchets, incinération</v>
      </c>
      <c r="E300" s="443" t="s">
        <v>670</v>
      </c>
      <c r="F300" s="443" t="s">
        <v>27652</v>
      </c>
      <c r="G300" s="443" t="s">
        <v>27653</v>
      </c>
      <c r="H300" s="443"/>
    </row>
    <row r="301" spans="1:8" x14ac:dyDescent="0.25">
      <c r="A301" s="443"/>
      <c r="B301" s="443"/>
      <c r="C301" s="460" t="s">
        <v>2577</v>
      </c>
      <c r="D301" s="443" t="str" cm="1">
        <f t="array" ref="D301">_xlfn.IFS(
    Language=German,E301,
    Language=French,F301,
    Language=Italian,G301
)</f>
        <v>Biodéchets, production de biogaz</v>
      </c>
      <c r="E301" s="443" t="s">
        <v>672</v>
      </c>
      <c r="F301" s="443" t="s">
        <v>673</v>
      </c>
      <c r="G301" s="443" t="s">
        <v>674</v>
      </c>
      <c r="H301" s="443"/>
    </row>
    <row r="302" spans="1:8" x14ac:dyDescent="0.25">
      <c r="A302" s="443"/>
      <c r="B302" s="443"/>
      <c r="C302" s="460" t="s">
        <v>2578</v>
      </c>
      <c r="D302" s="443" t="str" cm="1">
        <f t="array" ref="D302">_xlfn.IFS(
    Language=German,E302,
    Language=French,F302,
    Language=Italian,G302
)</f>
        <v>Matériaux inertes / déchets de construction, décharge</v>
      </c>
      <c r="E302" s="443" t="s">
        <v>676</v>
      </c>
      <c r="F302" s="443" t="s">
        <v>677</v>
      </c>
      <c r="G302" s="443" t="s">
        <v>678</v>
      </c>
      <c r="H302" s="443"/>
    </row>
    <row r="303" spans="1:8" x14ac:dyDescent="0.25">
      <c r="A303" s="443"/>
      <c r="B303" s="443"/>
      <c r="C303" s="460" t="s">
        <v>2579</v>
      </c>
      <c r="D303" s="443" t="str" cm="1">
        <f t="array" ref="D303">_xlfn.IFS(
    Language=German,E303,
    Language=French,F303,
    Language=Italian,G303
)</f>
        <v>Matériaux inertes / déchets de construction, recyclage</v>
      </c>
      <c r="E303" s="443" t="s">
        <v>680</v>
      </c>
      <c r="F303" s="443" t="s">
        <v>681</v>
      </c>
      <c r="G303" s="443" t="s">
        <v>682</v>
      </c>
      <c r="H303" s="476"/>
    </row>
    <row r="304" spans="1:8" x14ac:dyDescent="0.25">
      <c r="A304" s="443"/>
      <c r="B304" s="443"/>
      <c r="C304" s="460" t="s">
        <v>2580</v>
      </c>
      <c r="D304" s="443" t="str" cm="1">
        <f t="array" ref="D304">_xlfn.IFS(
    Language=German,E304,
    Language=French,F304,
    Language=Italian,G304
)</f>
        <v>Eaux usées</v>
      </c>
      <c r="E304" s="443" t="s">
        <v>2581</v>
      </c>
      <c r="F304" s="443" t="s">
        <v>2582</v>
      </c>
      <c r="G304" s="443" t="s">
        <v>2583</v>
      </c>
      <c r="H304" s="443"/>
    </row>
    <row r="305" spans="1:11" ht="14.65" customHeight="1" x14ac:dyDescent="0.25">
      <c r="A305" s="451" t="s">
        <v>27167</v>
      </c>
      <c r="B305" s="443"/>
      <c r="C305" s="460" t="s">
        <v>2584</v>
      </c>
      <c r="D305" s="451" t="str" cm="1">
        <f t="array" ref="D305">_xlfn.IFS(
    Language=German,E305,
    Language=French,F305,
    Language=Italian,G305
)</f>
        <v>11 Entreprises franchisées</v>
      </c>
      <c r="E305" s="443" t="s">
        <v>27917</v>
      </c>
      <c r="F305" s="443" t="s">
        <v>27918</v>
      </c>
      <c r="G305" s="443" t="s">
        <v>27919</v>
      </c>
      <c r="H305" s="443"/>
    </row>
    <row r="306" spans="1:11" x14ac:dyDescent="0.25">
      <c r="A306" s="443"/>
      <c r="B306" s="443"/>
      <c r="C306" s="460" t="s">
        <v>2585</v>
      </c>
      <c r="D306" s="450" t="str" cm="1">
        <f t="array" ref="D306">_xlfn.IFS(
    Language=German,E306,
    Language=French,F306,
    Language=Italian,G306
)</f>
        <v>Indiquez la consommation de carburants, de combustibles et d’électricité des entreprises franchisées opérant sous votre marque.</v>
      </c>
      <c r="E306" s="443" t="s">
        <v>27156</v>
      </c>
      <c r="F306" s="443" t="s">
        <v>27840</v>
      </c>
      <c r="G306" s="443" t="s">
        <v>28495</v>
      </c>
      <c r="H306" s="450"/>
    </row>
    <row r="307" spans="1:11" x14ac:dyDescent="0.25">
      <c r="A307" s="443"/>
      <c r="B307" s="443"/>
      <c r="C307" s="460" t="s">
        <v>27181</v>
      </c>
      <c r="D307" s="450" t="str" cm="1">
        <f t="array" ref="D307">_xlfn.IFS(
    Language=German,E307,
    Language=French,F307,
    Language=Italian,G307
)</f>
        <v>Indiquez les données d’émissions calculées des scopes 1 et 2 en kilogrammes d’équivalents CO2.
À cet effet, l’entreprise franchisée peut remplir sa propre version du Corporate Footprint Calculator (limitée aux Scopes 1 et 2).</v>
      </c>
      <c r="E307" s="443" t="s">
        <v>27200</v>
      </c>
      <c r="F307" s="443" t="s">
        <v>27841</v>
      </c>
      <c r="G307" s="443" t="s">
        <v>28496</v>
      </c>
      <c r="H307" s="450"/>
    </row>
    <row r="308" spans="1:11" x14ac:dyDescent="0.25">
      <c r="A308" s="443"/>
      <c r="B308" s="443"/>
      <c r="C308" s="460" t="s">
        <v>2586</v>
      </c>
      <c r="D308" s="469" t="str" cm="1">
        <f t="array" ref="D308">_xlfn.IFS(
    Language=German,E308,
    Language=French,F308,
    Language=Italian,G308
)</f>
        <v>Émissions de gaz à effet de serre</v>
      </c>
      <c r="E308" s="443" t="s">
        <v>2587</v>
      </c>
      <c r="F308" s="443" t="s">
        <v>2588</v>
      </c>
      <c r="G308" s="443" t="s">
        <v>27201</v>
      </c>
      <c r="H308" s="443"/>
    </row>
    <row r="309" spans="1:11" ht="19.5" x14ac:dyDescent="0.25">
      <c r="A309" s="451" t="s">
        <v>27168</v>
      </c>
      <c r="B309" s="443"/>
      <c r="C309" s="460" t="s">
        <v>2589</v>
      </c>
      <c r="D309" s="451" t="str" cm="1">
        <f t="array" ref="D309">_xlfn.IFS(
    Language=German,E309,
    Language=French,F309,
    Language=Italian,G309
)</f>
        <v>12 Investissements</v>
      </c>
      <c r="E309" s="443" t="s">
        <v>27920</v>
      </c>
      <c r="F309" s="443" t="s">
        <v>27921</v>
      </c>
      <c r="G309" s="443" t="s">
        <v>27922</v>
      </c>
      <c r="H309" s="443"/>
    </row>
    <row r="310" spans="1:11" x14ac:dyDescent="0.25">
      <c r="A310" s="443"/>
      <c r="B310" s="443"/>
      <c r="C310" s="460" t="s">
        <v>2590</v>
      </c>
      <c r="D310" s="450" t="str" cm="1">
        <f t="array" ref="D310">_xlfn.IFS(
    Language=German,E310,
    Language=French,F310,
    Language=Italian,G310
)</f>
        <v>Indiquez les émissions liées aux investissements imputables proportionnellement à votre entreprise.
Il s’agit notamment de participations dans des entreprises, des fonds, des projets immobiliers ou d’infrastructure.</v>
      </c>
      <c r="E310" s="443" t="s">
        <v>27160</v>
      </c>
      <c r="F310" s="443" t="s">
        <v>27842</v>
      </c>
      <c r="G310" s="443" t="s">
        <v>28497</v>
      </c>
      <c r="H310" s="443"/>
    </row>
    <row r="311" spans="1:11" ht="114.75" x14ac:dyDescent="0.25">
      <c r="A311" s="443"/>
      <c r="B311" s="443"/>
      <c r="C311" s="460" t="s">
        <v>27183</v>
      </c>
      <c r="D311" s="450" t="str" cm="1">
        <f t="array" ref="D311">_xlfn.IFS(
    Language=German,E311,
    Language=French,F311,
    Language=Italian,G311
)</f>
        <v>Option 1 : Reprenez les émissions calculées des scopes 1 et 2 des entreprises investies et pondérez-les selon la part de capital correspondante.
Option 2 : Estimez les émissions sur la base du secteur, du chiffre d’affaires (CHF) et de la part de capital (%). Cette option couvre les scopes 1 à 3.</v>
      </c>
      <c r="E311" s="444" t="s">
        <v>28785</v>
      </c>
      <c r="F311" s="444" t="s">
        <v>28786</v>
      </c>
      <c r="G311" s="444" t="s">
        <v>28787</v>
      </c>
      <c r="H311" s="443"/>
    </row>
    <row r="312" spans="1:11" x14ac:dyDescent="0.25">
      <c r="A312" s="443"/>
      <c r="B312" s="443"/>
      <c r="C312" s="460" t="s">
        <v>2591</v>
      </c>
      <c r="D312" s="469" t="str" cm="1">
        <f t="array" ref="D312">_xlfn.IFS(
    Language=German,E312,
    Language=French,F312,
    Language=Italian,G312
)</f>
        <v>Émissions de gaz à effet de serre</v>
      </c>
      <c r="E312" s="443" t="s">
        <v>2587</v>
      </c>
      <c r="F312" s="443" t="s">
        <v>2588</v>
      </c>
      <c r="G312" s="443" t="s">
        <v>27201</v>
      </c>
      <c r="H312" s="443"/>
    </row>
    <row r="313" spans="1:11" x14ac:dyDescent="0.25">
      <c r="A313" s="443"/>
      <c r="B313" s="443"/>
      <c r="C313" s="460" t="s">
        <v>2592</v>
      </c>
      <c r="D313" s="443" t="str" cm="1">
        <f t="array" ref="D313">_xlfn.IFS(
    Language=German,E313,
    Language=French,F313,
    Language=Italian,G313
)</f>
        <v>(Émissions des scopes 1 et 2) x part de capital</v>
      </c>
      <c r="E313" s="443" t="s">
        <v>2593</v>
      </c>
      <c r="F313" s="443" t="s">
        <v>27202</v>
      </c>
      <c r="G313" s="443" t="s">
        <v>27203</v>
      </c>
      <c r="H313" s="443"/>
    </row>
    <row r="314" spans="1:11" x14ac:dyDescent="0.25">
      <c r="A314" s="443"/>
      <c r="B314" s="443"/>
      <c r="C314" s="460" t="s">
        <v>2594</v>
      </c>
      <c r="D314" s="469" t="str" cm="1">
        <f t="array" ref="D314">_xlfn.IFS(
    Language=German,E314,
    Language=French,F314,
    Language=Italian,G314
)</f>
        <v>Secteur d'activité</v>
      </c>
      <c r="E314" s="443" t="s">
        <v>2413</v>
      </c>
      <c r="F314" s="443" t="s">
        <v>27814</v>
      </c>
      <c r="G314" s="443" t="s">
        <v>27204</v>
      </c>
      <c r="H314" s="443"/>
    </row>
    <row r="315" spans="1:11" x14ac:dyDescent="0.25">
      <c r="A315" s="443"/>
      <c r="B315" s="443"/>
      <c r="C315" s="460" t="s">
        <v>2595</v>
      </c>
      <c r="D315" s="469" t="str" cm="1">
        <f t="array" ref="D315">_xlfn.IFS(
    Language=German,E315,
    Language=French,F315,
    Language=Italian,G315
)</f>
        <v>Part de capital [%]</v>
      </c>
      <c r="E315" s="443" t="s">
        <v>2596</v>
      </c>
      <c r="F315" s="443" t="s">
        <v>27205</v>
      </c>
      <c r="G315" s="443" t="s">
        <v>2597</v>
      </c>
      <c r="H315" s="443"/>
    </row>
    <row r="316" spans="1:11" x14ac:dyDescent="0.25">
      <c r="A316" s="443"/>
      <c r="B316" s="443"/>
      <c r="C316" s="460" t="s">
        <v>2598</v>
      </c>
      <c r="D316" s="469" t="str" cm="1">
        <f t="array" ref="D316">_xlfn.IFS(
    Language=German,E316,
    Language=French,F316,
    Language=Italian,G316
)</f>
        <v>Chiffre total [CHF]</v>
      </c>
      <c r="E316" s="443" t="s">
        <v>2599</v>
      </c>
      <c r="F316" s="443" t="s">
        <v>28905</v>
      </c>
      <c r="G316" s="443" t="s">
        <v>2600</v>
      </c>
      <c r="H316" s="443"/>
    </row>
    <row r="317" spans="1:11" ht="30" x14ac:dyDescent="0.4">
      <c r="A317" s="445" t="s">
        <v>2601</v>
      </c>
      <c r="B317" s="443"/>
      <c r="C317" s="446" t="s">
        <v>2602</v>
      </c>
      <c r="D317" s="445" t="str" cm="1">
        <f t="array" ref="D317">_xlfn.IFS(
    Language=German,E317,
    Language=French,F317,
    Language=Italian,G317
)</f>
        <v>Calculs</v>
      </c>
      <c r="E317" s="443" t="s">
        <v>27207</v>
      </c>
      <c r="F317" s="443" t="s">
        <v>27402</v>
      </c>
      <c r="G317" s="443" t="s">
        <v>27403</v>
      </c>
      <c r="H317" s="443"/>
    </row>
    <row r="318" spans="1:11" ht="15" customHeight="1" x14ac:dyDescent="0.25">
      <c r="A318" s="443"/>
      <c r="B318" s="443"/>
      <c r="C318" s="446" t="s">
        <v>2603</v>
      </c>
      <c r="D318" s="443" t="str" cm="1">
        <f t="array" ref="D318">_xlfn.IFS(
    Language=German,E318,
    Language=French,F318,
    Language=Italian,G318
)</f>
        <v>Ici, les émissions sont calculées. Pour ce faire, vos données issues de la feuille de calcul précédente sont comparées aux facteurs d'émission de la base de données de référence.
Le calcul est structuré selon les Scopes définis par le GHG Protocol.
Les émissions des bâtiments, installations et véhicules loués sont calculées séparément et attribuées aux Scopes conformément aux données que vous avez saisies dans les feuilles précédentes.
Les abbrévitations utilisées dans cette feuille sont les suivantes:
FU - Unité fonctionnelle
EF - Facteur d'émissions</v>
      </c>
      <c r="E318" s="444" t="s">
        <v>28853</v>
      </c>
      <c r="F318" s="444" t="s">
        <v>28852</v>
      </c>
      <c r="G318" s="444" t="s">
        <v>28851</v>
      </c>
      <c r="H318" s="477"/>
      <c r="I318" s="477"/>
      <c r="J318" s="477"/>
      <c r="K318" s="477"/>
    </row>
    <row r="319" spans="1:11" ht="19.5" x14ac:dyDescent="0.3">
      <c r="A319" s="451" t="s">
        <v>2109</v>
      </c>
      <c r="B319" s="443"/>
      <c r="C319" s="460" t="s">
        <v>2604</v>
      </c>
      <c r="D319" s="478" t="str" cm="1">
        <f t="array" ref="D319">_xlfn.IFS(
    Language=German,E319,
    Language=French,F319,
    Language=Italian,G319
)</f>
        <v>Instructions</v>
      </c>
      <c r="E319" s="443" t="s">
        <v>2201</v>
      </c>
      <c r="F319" s="443" t="s">
        <v>2125</v>
      </c>
      <c r="G319" s="443" t="s">
        <v>2126</v>
      </c>
      <c r="H319" s="443"/>
    </row>
    <row r="320" spans="1:11" ht="15" customHeight="1" x14ac:dyDescent="0.25">
      <c r="A320" s="443"/>
      <c r="B320" s="443"/>
      <c r="C320" s="460" t="s">
        <v>2605</v>
      </c>
      <c r="D320" s="443" t="str" cm="1">
        <f t="array" ref="D320">_xlfn.IFS(
    Language=German,E320,
    Language=French,F320,
    Language=Italian,G320
)</f>
        <v xml:space="preserve">Vous n'avez rien à faire dans cette feuille, elle sert uniquement à garantir la transparence des calculs et des données de base utilisées.
</v>
      </c>
      <c r="E320" s="443" t="s">
        <v>27398</v>
      </c>
      <c r="F320" s="444" t="s">
        <v>28850</v>
      </c>
      <c r="G320" s="443" t="s">
        <v>27404</v>
      </c>
      <c r="H320" s="477"/>
      <c r="I320" s="477"/>
      <c r="J320" s="477"/>
      <c r="K320" s="477"/>
    </row>
    <row r="321" spans="1:8" ht="19.5" x14ac:dyDescent="0.25">
      <c r="A321" s="451" t="s">
        <v>2113</v>
      </c>
      <c r="B321" s="443"/>
      <c r="C321" s="460" t="s">
        <v>2606</v>
      </c>
      <c r="D321" s="479" t="str" cm="1">
        <f t="array" ref="D321">_xlfn.IFS(
    Language=German,E321,
    Language=French,F321,
    Language=Italian,G321
)</f>
        <v>Table des matières</v>
      </c>
      <c r="E321" s="443" t="s">
        <v>2051</v>
      </c>
      <c r="F321" s="443" t="s">
        <v>2145</v>
      </c>
      <c r="G321" s="443" t="s">
        <v>2146</v>
      </c>
      <c r="H321" s="443"/>
    </row>
    <row r="322" spans="1:8" ht="19.5" x14ac:dyDescent="0.25">
      <c r="A322" s="451" t="s">
        <v>2119</v>
      </c>
      <c r="C322" s="460" t="s">
        <v>28290</v>
      </c>
      <c r="D322" s="479" t="str" cm="1">
        <f t="array" ref="D322">_xlfn.IFS(
    Language=German,E322,
    Language=French,F322,
    Language=Italian,G322
)</f>
        <v>Combustion stationnaire</v>
      </c>
      <c r="E322" s="29" t="s">
        <v>28335</v>
      </c>
      <c r="F322" s="29" t="s">
        <v>27786</v>
      </c>
      <c r="G322" s="29" t="s">
        <v>27787</v>
      </c>
    </row>
    <row r="323" spans="1:8" x14ac:dyDescent="0.25">
      <c r="C323" s="460" t="s">
        <v>28291</v>
      </c>
      <c r="D323" s="479" t="str" cm="1">
        <f t="array" ref="D323">_xlfn.IFS(
    Language=German,E323,
    Language=French,F323,
    Language=Italian,G323
)</f>
        <v>Émissions fugitives</v>
      </c>
      <c r="E323" s="29" t="s">
        <v>2298</v>
      </c>
      <c r="F323" s="29" t="s">
        <v>2299</v>
      </c>
      <c r="G323" s="29" t="s">
        <v>27798</v>
      </c>
    </row>
    <row r="324" spans="1:8" x14ac:dyDescent="0.25">
      <c r="C324" s="460" t="s">
        <v>28292</v>
      </c>
      <c r="D324" s="479" t="str" cm="1">
        <f t="array" ref="D324">_xlfn.IFS(
    Language=German,E324,
    Language=French,F324,
    Language=Italian,G324
)</f>
        <v>Combustion mobile (flotte)</v>
      </c>
      <c r="E324" s="29" t="s">
        <v>28336</v>
      </c>
      <c r="F324" s="29" t="s">
        <v>28353</v>
      </c>
      <c r="G324" s="29" t="s">
        <v>28368</v>
      </c>
    </row>
    <row r="325" spans="1:8" x14ac:dyDescent="0.25">
      <c r="C325" s="460" t="s">
        <v>28293</v>
      </c>
      <c r="D325" s="479" t="str" cm="1">
        <f t="array" ref="D325">_xlfn.IFS(
    Language=German,E325,
    Language=French,F325,
    Language=Italian,G325
)</f>
        <v>Émissions des processus</v>
      </c>
      <c r="E325" s="29" t="s">
        <v>28337</v>
      </c>
      <c r="F325" s="29" t="s">
        <v>28810</v>
      </c>
      <c r="G325" s="29" t="s">
        <v>28790</v>
      </c>
    </row>
    <row r="326" spans="1:8" x14ac:dyDescent="0.25">
      <c r="C326" s="460" t="s">
        <v>28296</v>
      </c>
      <c r="D326" s="479" t="str" cm="1">
        <f t="array" ref="D326">_xlfn.IFS(
    Language=German,E326,
    Language=French,F326,
    Language=Italian,G326
)</f>
        <v>Électricité - Basé sur le marché</v>
      </c>
      <c r="E326" s="29" t="s">
        <v>28384</v>
      </c>
      <c r="F326" s="29" t="s">
        <v>28788</v>
      </c>
      <c r="G326" s="29" t="s">
        <v>28791</v>
      </c>
    </row>
    <row r="327" spans="1:8" x14ac:dyDescent="0.25">
      <c r="C327" s="460" t="s">
        <v>28295</v>
      </c>
      <c r="D327" s="479" t="str" cm="1">
        <f t="array" ref="D327">_xlfn.IFS(
    Language=German,E327,
    Language=French,F327,
    Language=Italian,G327
)</f>
        <v>Électricité - Basé sur la localisation</v>
      </c>
      <c r="E327" s="29" t="s">
        <v>28385</v>
      </c>
      <c r="F327" s="29" t="s">
        <v>28789</v>
      </c>
      <c r="G327" s="29" t="s">
        <v>28792</v>
      </c>
    </row>
    <row r="328" spans="1:8" x14ac:dyDescent="0.25">
      <c r="C328" s="460" t="s">
        <v>28294</v>
      </c>
      <c r="D328" s="479" t="str" cm="1">
        <f t="array" ref="D328">_xlfn.IFS(
    Language=German,E328,
    Language=French,F328,
    Language=Italian,G328
)</f>
        <v>Chauffage et vapeur du district</v>
      </c>
      <c r="E328" s="29" t="s">
        <v>27215</v>
      </c>
      <c r="F328" s="29" t="s">
        <v>28356</v>
      </c>
      <c r="G328" s="29" t="s">
        <v>28498</v>
      </c>
    </row>
    <row r="329" spans="1:8" x14ac:dyDescent="0.25">
      <c r="C329" s="460" t="s">
        <v>28297</v>
      </c>
      <c r="D329" s="479" t="str" cm="1">
        <f t="array" ref="D329">_xlfn.IFS(
    Language=German,E329,
    Language=French,F329,
    Language=Italian,G329
)</f>
        <v>Flotte électrique - Basé sur le marché</v>
      </c>
      <c r="E329" s="29" t="s">
        <v>28338</v>
      </c>
      <c r="F329" s="29" t="s">
        <v>28804</v>
      </c>
      <c r="G329" s="29" t="s">
        <v>28793</v>
      </c>
    </row>
    <row r="330" spans="1:8" x14ac:dyDescent="0.25">
      <c r="C330" s="460" t="s">
        <v>28298</v>
      </c>
      <c r="D330" s="479" t="str" cm="1">
        <f t="array" ref="D330">_xlfn.IFS(
    Language=German,E330,
    Language=French,F330,
    Language=Italian,G330
)</f>
        <v>Flotte électrique - Basé sur la localisation</v>
      </c>
      <c r="E330" s="29" t="s">
        <v>28380</v>
      </c>
      <c r="F330" s="29" t="s">
        <v>28396</v>
      </c>
      <c r="G330" s="29" t="s">
        <v>28794</v>
      </c>
    </row>
    <row r="331" spans="1:8" x14ac:dyDescent="0.25">
      <c r="C331" s="460" t="s">
        <v>28299</v>
      </c>
      <c r="D331" s="479" t="str" cm="1">
        <f t="array" ref="D331">_xlfn.IFS(
    Language=German,E331,
    Language=French,F331,
    Language=Italian,G331
)</f>
        <v>Biens et services achetés - Basé sur les dépenses</v>
      </c>
      <c r="E331" s="29" t="s">
        <v>28381</v>
      </c>
      <c r="F331" s="29" t="s">
        <v>28358</v>
      </c>
      <c r="G331" s="29" t="s">
        <v>28499</v>
      </c>
    </row>
    <row r="332" spans="1:8" x14ac:dyDescent="0.25">
      <c r="C332" s="480" t="s">
        <v>28300</v>
      </c>
      <c r="D332" s="479" t="str" cm="1">
        <f t="array" ref="D332">_xlfn.IFS(
    Language=German,E332,
    Language=French,F332,
    Language=Italian,G332
)</f>
        <v>Biens et services achetés - Basé sur les produits</v>
      </c>
      <c r="E332" s="29" t="s">
        <v>28382</v>
      </c>
      <c r="F332" s="29" t="s">
        <v>28805</v>
      </c>
      <c r="G332" s="29" t="s">
        <v>28500</v>
      </c>
    </row>
    <row r="333" spans="1:8" x14ac:dyDescent="0.25">
      <c r="C333" s="480" t="s">
        <v>28301</v>
      </c>
      <c r="D333" s="479" t="str" cm="1">
        <f t="array" ref="D333">_xlfn.IFS(
    Language=German,E333,
    Language=French,F333,
    Language=Italian,G333
)</f>
        <v>Biens d’équipement</v>
      </c>
      <c r="E333" s="29" t="s">
        <v>28383</v>
      </c>
      <c r="F333" s="29" t="s">
        <v>28359</v>
      </c>
      <c r="G333" s="29" t="s">
        <v>28395</v>
      </c>
    </row>
    <row r="334" spans="1:8" x14ac:dyDescent="0.25">
      <c r="C334" s="480" t="s">
        <v>28302</v>
      </c>
      <c r="D334" s="479" t="str" cm="1">
        <f t="array" ref="D334">_xlfn.IFS(
    Language=German,E334,
    Language=French,F334,
    Language=Italian,G334
)</f>
        <v>Combustion stationnaire</v>
      </c>
      <c r="E334" s="29" t="s">
        <v>28335</v>
      </c>
      <c r="F334" s="29" t="s">
        <v>27786</v>
      </c>
      <c r="G334" s="29" t="s">
        <v>27787</v>
      </c>
    </row>
    <row r="335" spans="1:8" x14ac:dyDescent="0.25">
      <c r="C335" s="480" t="s">
        <v>28303</v>
      </c>
      <c r="D335" s="479" t="str" cm="1">
        <f t="array" ref="D335">_xlfn.IFS(
    Language=German,E335,
    Language=French,F335,
    Language=Italian,G335
)</f>
        <v>Chauffage et vapeur du district</v>
      </c>
      <c r="E335" s="29" t="s">
        <v>27215</v>
      </c>
      <c r="F335" s="29" t="s">
        <v>28356</v>
      </c>
      <c r="G335" s="29" t="s">
        <v>28498</v>
      </c>
    </row>
    <row r="336" spans="1:8" x14ac:dyDescent="0.25">
      <c r="C336" s="480" t="s">
        <v>28304</v>
      </c>
      <c r="D336" s="479" t="str" cm="1">
        <f t="array" ref="D336">_xlfn.IFS(
    Language=German,E336,
    Language=French,F336,
    Language=Italian,G336
)</f>
        <v>Électricité - Basée sur le marché</v>
      </c>
      <c r="E336" s="29" t="s">
        <v>28384</v>
      </c>
      <c r="F336" s="29" t="s">
        <v>28354</v>
      </c>
      <c r="G336" s="29" t="s">
        <v>28791</v>
      </c>
    </row>
    <row r="337" spans="3:7" x14ac:dyDescent="0.25">
      <c r="C337" s="480" t="s">
        <v>28305</v>
      </c>
      <c r="D337" s="479" t="str" cm="1">
        <f t="array" ref="D337">_xlfn.IFS(
    Language=German,E337,
    Language=French,F337,
    Language=Italian,G337
)</f>
        <v>Électricité - Basée sur la localisation</v>
      </c>
      <c r="E337" s="29" t="s">
        <v>28385</v>
      </c>
      <c r="F337" s="29" t="s">
        <v>28355</v>
      </c>
      <c r="G337" s="29" t="s">
        <v>28792</v>
      </c>
    </row>
    <row r="338" spans="3:7" x14ac:dyDescent="0.25">
      <c r="C338" s="480" t="s">
        <v>28306</v>
      </c>
      <c r="D338" s="479" t="str" cm="1">
        <f t="array" ref="D338">_xlfn.IFS(
    Language=German,E338,
    Language=French,F338,
    Language=Italian,G338
)</f>
        <v>Combustion mobile (flotte)</v>
      </c>
      <c r="E338" s="29" t="s">
        <v>28336</v>
      </c>
      <c r="F338" s="29" t="s">
        <v>28353</v>
      </c>
      <c r="G338" s="29" t="s">
        <v>28368</v>
      </c>
    </row>
    <row r="339" spans="3:7" x14ac:dyDescent="0.25">
      <c r="C339" s="480" t="s">
        <v>28307</v>
      </c>
      <c r="D339" s="479" t="str" cm="1">
        <f t="array" ref="D339">_xlfn.IFS(
    Language=German,E339,
    Language=French,F339,
    Language=Italian,G339
)</f>
        <v>Flotte électrique - Basée sur le marché</v>
      </c>
      <c r="E339" s="29" t="s">
        <v>28338</v>
      </c>
      <c r="F339" s="29" t="s">
        <v>28357</v>
      </c>
      <c r="G339" s="29" t="s">
        <v>28793</v>
      </c>
    </row>
    <row r="340" spans="3:7" x14ac:dyDescent="0.25">
      <c r="C340" s="480" t="s">
        <v>28308</v>
      </c>
      <c r="D340" s="479" t="str" cm="1">
        <f t="array" ref="D340">_xlfn.IFS(
    Language=German,E340,
    Language=French,F340,
    Language=Italian,G340
)</f>
        <v>Flotte électrique - Basé sur la localisation</v>
      </c>
      <c r="E340" s="29" t="s">
        <v>28380</v>
      </c>
      <c r="F340" s="29" t="s">
        <v>28396</v>
      </c>
      <c r="G340" s="29" t="s">
        <v>28794</v>
      </c>
    </row>
    <row r="341" spans="3:7" x14ac:dyDescent="0.25">
      <c r="C341" s="480" t="s">
        <v>28309</v>
      </c>
      <c r="D341" s="479" t="str" cm="1">
        <f t="array" ref="D341">_xlfn.IFS(
    Language=German,E341,
    Language=French,F341,
    Language=Italian,G341
)</f>
        <v>Transport en amont</v>
      </c>
      <c r="E341" s="29" t="s">
        <v>28386</v>
      </c>
      <c r="F341" s="29" t="s">
        <v>2488</v>
      </c>
      <c r="G341" s="29" t="s">
        <v>28369</v>
      </c>
    </row>
    <row r="342" spans="3:7" x14ac:dyDescent="0.25">
      <c r="C342" s="480" t="s">
        <v>28310</v>
      </c>
      <c r="D342" s="479" t="str" cm="1">
        <f t="array" ref="D342">_xlfn.IFS(
    Language=German,E342,
    Language=French,F342,
    Language=Italian,G342
)</f>
        <v>Déchets</v>
      </c>
      <c r="E342" s="29" t="s">
        <v>28339</v>
      </c>
      <c r="F342" s="29" t="s">
        <v>246</v>
      </c>
      <c r="G342" s="29" t="s">
        <v>28501</v>
      </c>
    </row>
    <row r="343" spans="3:7" x14ac:dyDescent="0.25">
      <c r="C343" s="480" t="s">
        <v>28311</v>
      </c>
      <c r="D343" s="479" t="str" cm="1">
        <f t="array" ref="D343">_xlfn.IFS(
    Language=German,E343,
    Language=French,F343,
    Language=Italian,G343
)</f>
        <v>Voyage d’affaires</v>
      </c>
      <c r="E343" s="29" t="s">
        <v>2440</v>
      </c>
      <c r="F343" s="29" t="s">
        <v>28360</v>
      </c>
      <c r="G343" s="29" t="s">
        <v>2442</v>
      </c>
    </row>
    <row r="344" spans="3:7" x14ac:dyDescent="0.25">
      <c r="C344" s="480" t="s">
        <v>28312</v>
      </c>
      <c r="D344" s="479" t="str" cm="1">
        <f t="array" ref="D344">_xlfn.IFS(
    Language=German,E344,
    Language=French,F344,
    Language=Italian,G344
)</f>
        <v>Transport des employés</v>
      </c>
      <c r="E344" s="29" t="s">
        <v>28340</v>
      </c>
      <c r="F344" s="29" t="s">
        <v>28361</v>
      </c>
      <c r="G344" s="29" t="s">
        <v>28370</v>
      </c>
    </row>
    <row r="345" spans="3:7" x14ac:dyDescent="0.25">
      <c r="C345" s="480" t="s">
        <v>28313</v>
      </c>
      <c r="D345" s="479" t="str" cm="1">
        <f t="array" ref="D345">_xlfn.IFS(
    Language=German,E345,
    Language=French,F345,
    Language=Italian,G345
)</f>
        <v>Transport en aval</v>
      </c>
      <c r="E345" s="29" t="s">
        <v>28388</v>
      </c>
      <c r="F345" s="29" t="s">
        <v>2508</v>
      </c>
      <c r="G345" s="29" t="s">
        <v>28371</v>
      </c>
    </row>
    <row r="346" spans="3:7" x14ac:dyDescent="0.25">
      <c r="C346" s="480" t="s">
        <v>28314</v>
      </c>
      <c r="D346" s="479" t="str" cm="1">
        <f t="array" ref="D346">_xlfn.IFS(
    Language=German,E346,
    Language=French,F346,
    Language=Italian,G346
)</f>
        <v>Transformation des produits vendus</v>
      </c>
      <c r="E346" s="29" t="s">
        <v>28341</v>
      </c>
      <c r="F346" s="29" t="s">
        <v>2536</v>
      </c>
      <c r="G346" s="29" t="s">
        <v>28389</v>
      </c>
    </row>
    <row r="347" spans="3:7" x14ac:dyDescent="0.25">
      <c r="C347" s="480" t="s">
        <v>28315</v>
      </c>
      <c r="D347" s="479" t="str" cm="1">
        <f t="array" ref="D347">_xlfn.IFS(
    Language=German,E347,
    Language=French,F347,
    Language=Italian,G347
)</f>
        <v>Utilisation des produits vendus</v>
      </c>
      <c r="E347" s="29" t="s">
        <v>28342</v>
      </c>
      <c r="F347" s="29" t="s">
        <v>2555</v>
      </c>
      <c r="G347" s="29" t="s">
        <v>2556</v>
      </c>
    </row>
    <row r="348" spans="3:7" x14ac:dyDescent="0.25">
      <c r="C348" s="480" t="s">
        <v>28316</v>
      </c>
      <c r="D348" s="479" t="str" cm="1">
        <f t="array" ref="D348">_xlfn.IFS(
    Language=German,E348,
    Language=French,F348,
    Language=Italian,G348
)</f>
        <v>Fin de vie des produits vendus</v>
      </c>
      <c r="E348" s="29" t="s">
        <v>28387</v>
      </c>
      <c r="F348" s="29" t="s">
        <v>28362</v>
      </c>
      <c r="G348" s="29" t="s">
        <v>28372</v>
      </c>
    </row>
    <row r="349" spans="3:7" x14ac:dyDescent="0.25">
      <c r="C349" s="480" t="s">
        <v>28317</v>
      </c>
      <c r="D349" s="479" t="str" cm="1">
        <f t="array" ref="D349">_xlfn.IFS(
    Language=German,E349,
    Language=French,F349,
    Language=Italian,G349
)</f>
        <v>Franchises</v>
      </c>
      <c r="E349" s="29" t="s">
        <v>2099</v>
      </c>
      <c r="F349" s="29" t="s">
        <v>2099</v>
      </c>
      <c r="G349" s="29" t="s">
        <v>28502</v>
      </c>
    </row>
    <row r="350" spans="3:7" x14ac:dyDescent="0.25">
      <c r="C350" s="480" t="s">
        <v>28318</v>
      </c>
      <c r="D350" s="479" t="str" cm="1">
        <f t="array" ref="D350">_xlfn.IFS(
    Language=German,E350,
    Language=French,F350,
    Language=Italian,G350
)</f>
        <v>Investissements</v>
      </c>
      <c r="E350" s="29" t="s">
        <v>28343</v>
      </c>
      <c r="F350" s="29" t="s">
        <v>28363</v>
      </c>
      <c r="G350" s="29" t="s">
        <v>28373</v>
      </c>
    </row>
    <row r="351" spans="3:7" x14ac:dyDescent="0.25">
      <c r="C351" s="480" t="s">
        <v>27865</v>
      </c>
      <c r="D351" s="479" t="str" cm="1">
        <f t="array" ref="D351">_xlfn.IFS(
    Language=German,E351,
    Language=French,F351,
    Language=Italian,G351
)</f>
        <v>Combustion stationnaire - Direct</v>
      </c>
      <c r="E351" s="29" t="s">
        <v>28344</v>
      </c>
      <c r="F351" s="29" t="s">
        <v>28364</v>
      </c>
      <c r="G351" s="29" t="s">
        <v>28503</v>
      </c>
    </row>
    <row r="352" spans="3:7" x14ac:dyDescent="0.25">
      <c r="C352" s="480" t="s">
        <v>27866</v>
      </c>
      <c r="D352" s="479" t="str" cm="1">
        <f t="array" ref="D352">_xlfn.IFS(
    Language=German,E352,
    Language=French,F352,
    Language=Italian,G352
)</f>
        <v>Combustion stationnaire - Indirect</v>
      </c>
      <c r="E352" s="29" t="s">
        <v>28345</v>
      </c>
      <c r="F352" s="29" t="s">
        <v>28614</v>
      </c>
      <c r="G352" s="29" t="s">
        <v>28504</v>
      </c>
    </row>
    <row r="353" spans="3:7" x14ac:dyDescent="0.25">
      <c r="C353" s="480" t="s">
        <v>27867</v>
      </c>
      <c r="D353" s="479" t="str" cm="1">
        <f t="array" ref="D353">_xlfn.IFS(
    Language=German,E353,
    Language=French,F353,
    Language=Italian,G353
)</f>
        <v>Chauffage à distance et vapeur - Direct</v>
      </c>
      <c r="E353" s="29" t="s">
        <v>28346</v>
      </c>
      <c r="F353" s="29" t="s">
        <v>28807</v>
      </c>
      <c r="G353" s="29" t="s">
        <v>28809</v>
      </c>
    </row>
    <row r="354" spans="3:7" x14ac:dyDescent="0.25">
      <c r="C354" s="480" t="s">
        <v>27868</v>
      </c>
      <c r="D354" s="479" t="str" cm="1">
        <f t="array" ref="D354">_xlfn.IFS(
    Language=German,E354,
    Language=French,F354,
    Language=Italian,G354
)</f>
        <v>Chauffage à distance et vapeur - Indirect</v>
      </c>
      <c r="E354" s="29" t="s">
        <v>28347</v>
      </c>
      <c r="F354" s="29" t="s">
        <v>28808</v>
      </c>
      <c r="G354" s="29" t="s">
        <v>28505</v>
      </c>
    </row>
    <row r="355" spans="3:7" x14ac:dyDescent="0.25">
      <c r="C355" s="480" t="s">
        <v>28319</v>
      </c>
      <c r="D355" s="479" t="str" cm="1">
        <f t="array" ref="D355">_xlfn.IFS(
    Language=German,E355,
    Language=French,F355,
    Language=Italian,G355
)</f>
        <v>Électricité - Basé sur le marché - Direct</v>
      </c>
      <c r="E355" s="29" t="s">
        <v>28348</v>
      </c>
      <c r="F355" s="29" t="s">
        <v>28606</v>
      </c>
      <c r="G355" s="29" t="s">
        <v>28795</v>
      </c>
    </row>
    <row r="356" spans="3:7" x14ac:dyDescent="0.25">
      <c r="C356" s="480" t="s">
        <v>28320</v>
      </c>
      <c r="D356" s="479" t="str" cm="1">
        <f t="array" ref="D356">_xlfn.IFS(
    Language=German,E356,
    Language=French,F356,
    Language=Italian,G356
)</f>
        <v>Électricité - Basé sur la localisation - Direct</v>
      </c>
      <c r="E356" s="29" t="s">
        <v>28391</v>
      </c>
      <c r="F356" s="29" t="s">
        <v>28607</v>
      </c>
      <c r="G356" s="29" t="s">
        <v>28796</v>
      </c>
    </row>
    <row r="357" spans="3:7" x14ac:dyDescent="0.25">
      <c r="C357" s="480" t="s">
        <v>28321</v>
      </c>
      <c r="D357" s="479" t="str" cm="1">
        <f t="array" ref="D357">_xlfn.IFS(
    Language=German,E357,
    Language=French,F357,
    Language=Italian,G357
)</f>
        <v>Électricité - Basé sur le marché - Indirect</v>
      </c>
      <c r="E357" s="29" t="s">
        <v>28349</v>
      </c>
      <c r="F357" s="29" t="s">
        <v>28608</v>
      </c>
      <c r="G357" s="29" t="s">
        <v>28797</v>
      </c>
    </row>
    <row r="358" spans="3:7" x14ac:dyDescent="0.25">
      <c r="C358" s="480" t="s">
        <v>28322</v>
      </c>
      <c r="D358" s="479" t="str" cm="1">
        <f t="array" ref="D358">_xlfn.IFS(
    Language=German,E358,
    Language=French,F358,
    Language=Italian,G358
)</f>
        <v>Électricité - Basé sur la localisation - Indirect</v>
      </c>
      <c r="E358" s="29" t="s">
        <v>28374</v>
      </c>
      <c r="F358" s="29" t="s">
        <v>28609</v>
      </c>
      <c r="G358" s="29" t="s">
        <v>28798</v>
      </c>
    </row>
    <row r="359" spans="3:7" x14ac:dyDescent="0.25">
      <c r="C359" s="480" t="s">
        <v>27869</v>
      </c>
      <c r="D359" s="479" t="str" cm="1">
        <f t="array" ref="D359">_xlfn.IFS(
    Language=German,E359,
    Language=French,F359,
    Language=Italian,G359
)</f>
        <v>Combustion mobile (flotte) - Direct</v>
      </c>
      <c r="E359" s="29" t="s">
        <v>28552</v>
      </c>
      <c r="F359" s="29" t="s">
        <v>28366</v>
      </c>
      <c r="G359" s="29" t="s">
        <v>28390</v>
      </c>
    </row>
    <row r="360" spans="3:7" x14ac:dyDescent="0.25">
      <c r="C360" s="480" t="s">
        <v>27870</v>
      </c>
      <c r="D360" s="479" t="str" cm="1">
        <f t="array" ref="D360">_xlfn.IFS(
    Language=German,E360,
    Language=French,F360,
    Language=Italian,G360
)</f>
        <v>Combustion mobile (flotte) - Indirecte</v>
      </c>
      <c r="E360" s="29" t="s">
        <v>28351</v>
      </c>
      <c r="F360" s="29" t="s">
        <v>28367</v>
      </c>
      <c r="G360" s="29" t="s">
        <v>28506</v>
      </c>
    </row>
    <row r="361" spans="3:7" x14ac:dyDescent="0.25">
      <c r="C361" s="480" t="s">
        <v>28334</v>
      </c>
      <c r="D361" s="479" t="str" cm="1">
        <f t="array" ref="D361">_xlfn.IFS(
    Language=German,E361,
    Language=French,F361,
    Language=Italian,G361
)</f>
        <v>Flotte électrique - Basé sur le marché - Direct</v>
      </c>
      <c r="E361" s="29" t="s">
        <v>28393</v>
      </c>
      <c r="F361" s="29" t="s">
        <v>28610</v>
      </c>
      <c r="G361" s="29" t="s">
        <v>28799</v>
      </c>
    </row>
    <row r="362" spans="3:7" x14ac:dyDescent="0.25">
      <c r="C362" s="480" t="s">
        <v>28333</v>
      </c>
      <c r="D362" s="479" t="str" cm="1">
        <f t="array" ref="D362">_xlfn.IFS(
    Language=German,E362,
    Language=French,F362,
    Language=Italian,G362
)</f>
        <v>Flotte électrique - Basé sur la localisation - Direct</v>
      </c>
      <c r="E362" s="29" t="s">
        <v>28375</v>
      </c>
      <c r="F362" s="29" t="s">
        <v>28611</v>
      </c>
      <c r="G362" s="29" t="s">
        <v>28800</v>
      </c>
    </row>
    <row r="363" spans="3:7" x14ac:dyDescent="0.25">
      <c r="C363" s="480" t="s">
        <v>28332</v>
      </c>
      <c r="D363" s="479" t="str" cm="1">
        <f t="array" ref="D363">_xlfn.IFS(
    Language=German,E363,
    Language=French,F363,
    Language=Italian,G363
)</f>
        <v>Flotte électrique - Basé sur le marché - Indirect</v>
      </c>
      <c r="E363" s="29" t="s">
        <v>28394</v>
      </c>
      <c r="F363" s="29" t="s">
        <v>28613</v>
      </c>
      <c r="G363" s="29" t="s">
        <v>28801</v>
      </c>
    </row>
    <row r="364" spans="3:7" x14ac:dyDescent="0.25">
      <c r="C364" s="480" t="s">
        <v>28331</v>
      </c>
      <c r="D364" s="479" t="str" cm="1">
        <f t="array" ref="D364">_xlfn.IFS(
    Language=German,E364,
    Language=French,F364,
    Language=Italian,G364
)</f>
        <v>Flotte électrique - Basé sur la localisation - Indirect</v>
      </c>
      <c r="E364" s="29" t="s">
        <v>28352</v>
      </c>
      <c r="F364" s="29" t="s">
        <v>28612</v>
      </c>
      <c r="G364" s="29" t="s">
        <v>28802</v>
      </c>
    </row>
    <row r="365" spans="3:7" x14ac:dyDescent="0.25">
      <c r="C365" s="480" t="s">
        <v>27871</v>
      </c>
      <c r="D365" s="479" t="str" cm="1">
        <f t="array" ref="D365">_xlfn.IFS(
    Language=German,E365,
    Language=French,F365,
    Language=Italian,G365
)</f>
        <v>Combustion stationnaire - Direct</v>
      </c>
      <c r="E365" s="29" t="s">
        <v>28344</v>
      </c>
      <c r="F365" s="29" t="s">
        <v>28364</v>
      </c>
      <c r="G365" s="29" t="s">
        <v>28503</v>
      </c>
    </row>
    <row r="366" spans="3:7" x14ac:dyDescent="0.25">
      <c r="C366" s="480" t="s">
        <v>27872</v>
      </c>
      <c r="D366" s="479" t="str" cm="1">
        <f t="array" ref="D366">_xlfn.IFS(
    Language=German,E366,
    Language=French,F366,
    Language=Italian,G366
)</f>
        <v>Combustion stationnaire - Indirect</v>
      </c>
      <c r="E366" s="29" t="s">
        <v>28345</v>
      </c>
      <c r="F366" s="29" t="s">
        <v>28614</v>
      </c>
      <c r="G366" s="29" t="s">
        <v>28504</v>
      </c>
    </row>
    <row r="367" spans="3:7" x14ac:dyDescent="0.25">
      <c r="C367" s="480" t="s">
        <v>27873</v>
      </c>
      <c r="D367" s="479" t="str" cm="1">
        <f t="array" ref="D367">_xlfn.IFS(
    Language=German,E367,
    Language=French,F367,
    Language=Italian,G367
)</f>
        <v>Chauffage à distance et vapeur - Direct</v>
      </c>
      <c r="E367" s="29" t="s">
        <v>28346</v>
      </c>
      <c r="F367" s="29" t="s">
        <v>28807</v>
      </c>
      <c r="G367" s="29" t="s">
        <v>28809</v>
      </c>
    </row>
    <row r="368" spans="3:7" x14ac:dyDescent="0.25">
      <c r="C368" s="480" t="s">
        <v>27874</v>
      </c>
      <c r="D368" s="479" t="str" cm="1">
        <f t="array" ref="D368">_xlfn.IFS(
    Language=German,E368,
    Language=French,F368,
    Language=Italian,G368
)</f>
        <v>Chauffage à distance et vapeur - Indirect</v>
      </c>
      <c r="E368" s="29" t="s">
        <v>28347</v>
      </c>
      <c r="F368" s="29" t="s">
        <v>28808</v>
      </c>
      <c r="G368" s="29" t="s">
        <v>28505</v>
      </c>
    </row>
    <row r="369" spans="1:7" x14ac:dyDescent="0.25">
      <c r="C369" s="480" t="s">
        <v>28323</v>
      </c>
      <c r="D369" s="479" t="str" cm="1">
        <f t="array" ref="D369">_xlfn.IFS(
    Language=German,E369,
    Language=French,F369,
    Language=Italian,G369
)</f>
        <v>Électricité - Basée sur le marché - Direct</v>
      </c>
      <c r="E369" s="29" t="s">
        <v>28348</v>
      </c>
      <c r="F369" s="29" t="s">
        <v>28615</v>
      </c>
      <c r="G369" s="29" t="s">
        <v>28795</v>
      </c>
    </row>
    <row r="370" spans="1:7" x14ac:dyDescent="0.25">
      <c r="C370" s="480" t="s">
        <v>28324</v>
      </c>
      <c r="D370" s="479" t="str" cm="1">
        <f t="array" ref="D370">_xlfn.IFS(
    Language=German,E370,
    Language=French,F370,
    Language=Italian,G370
)</f>
        <v>Électricité - Basée sur la localisation - Direct</v>
      </c>
      <c r="E370" s="29" t="s">
        <v>28392</v>
      </c>
      <c r="F370" s="29" t="s">
        <v>28365</v>
      </c>
      <c r="G370" s="29" t="s">
        <v>28796</v>
      </c>
    </row>
    <row r="371" spans="1:7" x14ac:dyDescent="0.25">
      <c r="C371" s="480" t="s">
        <v>28325</v>
      </c>
      <c r="D371" s="479" t="str" cm="1">
        <f t="array" ref="D371">_xlfn.IFS(
    Language=German,E371,
    Language=French,F371,
    Language=Italian,G371
)</f>
        <v>Électricité - Basée sur le marché - Indirect</v>
      </c>
      <c r="E371" s="29" t="s">
        <v>28349</v>
      </c>
      <c r="F371" s="29" t="s">
        <v>28616</v>
      </c>
      <c r="G371" s="29" t="s">
        <v>28797</v>
      </c>
    </row>
    <row r="372" spans="1:7" x14ac:dyDescent="0.25">
      <c r="C372" s="480" t="s">
        <v>28326</v>
      </c>
      <c r="D372" s="479" t="str" cm="1">
        <f t="array" ref="D372">_xlfn.IFS(
    Language=German,E372,
    Language=French,F372,
    Language=Italian,G372
)</f>
        <v>Électricité - Basée sur la localisation - Indirect</v>
      </c>
      <c r="E372" s="29" t="s">
        <v>28374</v>
      </c>
      <c r="F372" s="29" t="s">
        <v>28617</v>
      </c>
      <c r="G372" s="29" t="s">
        <v>28798</v>
      </c>
    </row>
    <row r="373" spans="1:7" x14ac:dyDescent="0.25">
      <c r="C373" s="480" t="s">
        <v>27875</v>
      </c>
      <c r="D373" s="479" t="str" cm="1">
        <f t="array" ref="D373">_xlfn.IFS(
    Language=German,E373,
    Language=French,F373,
    Language=Italian,G373
)</f>
        <v>Combustion mobile (flotte) - Direct</v>
      </c>
      <c r="E373" s="29" t="s">
        <v>28350</v>
      </c>
      <c r="F373" s="29" t="s">
        <v>28366</v>
      </c>
      <c r="G373" s="29" t="s">
        <v>28390</v>
      </c>
    </row>
    <row r="374" spans="1:7" x14ac:dyDescent="0.25">
      <c r="C374" s="480" t="s">
        <v>27876</v>
      </c>
      <c r="D374" s="479" t="str" cm="1">
        <f t="array" ref="D374">_xlfn.IFS(
    Language=German,E374,
    Language=French,F374,
    Language=Italian,G374
)</f>
        <v>Combustion mobile (flotte) - Indirect</v>
      </c>
      <c r="E374" s="29" t="s">
        <v>28351</v>
      </c>
      <c r="F374" s="29" t="s">
        <v>28618</v>
      </c>
      <c r="G374" s="29" t="s">
        <v>28506</v>
      </c>
    </row>
    <row r="375" spans="1:7" x14ac:dyDescent="0.25">
      <c r="C375" s="480" t="s">
        <v>28330</v>
      </c>
      <c r="D375" s="479" t="str" cm="1">
        <f t="array" ref="D375">_xlfn.IFS(
    Language=German,E375,
    Language=French,F375,
    Language=Italian,G375
)</f>
        <v>Flotte électrique - Basé sur le marché - Direct</v>
      </c>
      <c r="E375" s="29" t="s">
        <v>28393</v>
      </c>
      <c r="F375" s="29" t="s">
        <v>28610</v>
      </c>
      <c r="G375" s="29" t="s">
        <v>28799</v>
      </c>
    </row>
    <row r="376" spans="1:7" x14ac:dyDescent="0.25">
      <c r="C376" s="480" t="s">
        <v>28329</v>
      </c>
      <c r="D376" s="479" t="str" cm="1">
        <f t="array" ref="D376">_xlfn.IFS(
    Language=German,E376,
    Language=French,F376,
    Language=Italian,G376
)</f>
        <v>Flotte électrique - Basé sur la localisation - Direct</v>
      </c>
      <c r="E376" s="29" t="s">
        <v>28375</v>
      </c>
      <c r="F376" s="29" t="s">
        <v>28611</v>
      </c>
      <c r="G376" s="29" t="s">
        <v>28800</v>
      </c>
    </row>
    <row r="377" spans="1:7" x14ac:dyDescent="0.25">
      <c r="C377" s="480" t="s">
        <v>28328</v>
      </c>
      <c r="D377" s="479" t="str" cm="1">
        <f t="array" ref="D377">_xlfn.IFS(
    Language=German,E377,
    Language=French,F377,
    Language=Italian,G377
)</f>
        <v>Flotte électrique - Basé sur le marché - Indirect</v>
      </c>
      <c r="E377" s="29" t="s">
        <v>28394</v>
      </c>
      <c r="F377" s="29" t="s">
        <v>28613</v>
      </c>
      <c r="G377" s="29" t="s">
        <v>28803</v>
      </c>
    </row>
    <row r="378" spans="1:7" x14ac:dyDescent="0.25">
      <c r="C378" s="480" t="s">
        <v>28327</v>
      </c>
      <c r="D378" s="479" t="str" cm="1">
        <f t="array" ref="D378">_xlfn.IFS(
    Language=German,E378,
    Language=French,F378,
    Language=Italian,G378
)</f>
        <v>Flotte électrique - Basé sur la localisation - Indirect</v>
      </c>
      <c r="E378" s="29" t="s">
        <v>28352</v>
      </c>
      <c r="F378" s="29" t="s">
        <v>28612</v>
      </c>
      <c r="G378" s="29" t="s">
        <v>28802</v>
      </c>
    </row>
    <row r="379" spans="1:7" ht="30" x14ac:dyDescent="0.4">
      <c r="A379" s="445" t="s">
        <v>27406</v>
      </c>
      <c r="C379" s="446" t="s">
        <v>27441</v>
      </c>
      <c r="D379" s="445" t="str" cm="1">
        <f t="array" ref="D379">_xlfn.IFS(
    Language=German,E379,
    Language=French,F379,
    Language=Italian,G379
)</f>
        <v>Résultats</v>
      </c>
      <c r="E379" s="29" t="s">
        <v>27496</v>
      </c>
      <c r="F379" s="29" t="s">
        <v>27843</v>
      </c>
      <c r="G379" s="29" t="s">
        <v>27844</v>
      </c>
    </row>
    <row r="380" spans="1:7" x14ac:dyDescent="0.25">
      <c r="C380" s="446" t="s">
        <v>27442</v>
      </c>
      <c r="D380" s="481" t="str" cm="1">
        <f t="array" ref="D380">_xlfn.IFS(
    Language=German,E380,
    Language=French,F380,
    Language=Italian,G380
)</f>
        <v>Les résultats du calcul des émissions sont présentés ici. La classification s'effectue selon les Scopes définis dans le GHG Protocol.</v>
      </c>
      <c r="E380" s="29" t="s">
        <v>27499</v>
      </c>
      <c r="F380" s="29" t="s">
        <v>27845</v>
      </c>
      <c r="G380" s="29" t="s">
        <v>28507</v>
      </c>
    </row>
    <row r="381" spans="1:7" ht="19.5" x14ac:dyDescent="0.25">
      <c r="A381" s="451" t="s">
        <v>2109</v>
      </c>
      <c r="C381" s="446" t="s">
        <v>27443</v>
      </c>
      <c r="D381" s="451" t="str" cm="1">
        <f t="array" ref="D381">_xlfn.IFS(
    Language=German,E381,
    Language=French,F381,
    Language=Italian,G381
)</f>
        <v>Instructions</v>
      </c>
      <c r="E381" s="443" t="s">
        <v>2201</v>
      </c>
      <c r="F381" s="443" t="s">
        <v>2125</v>
      </c>
      <c r="G381" s="443" t="s">
        <v>2126</v>
      </c>
    </row>
    <row r="382" spans="1:7" ht="180" x14ac:dyDescent="0.25">
      <c r="C382" s="446" t="s">
        <v>27444</v>
      </c>
      <c r="D382" s="481" t="str" cm="1">
        <f t="array" ref="D382">_xlfn.IFS(
    Language=German,E382,
    Language=French,F382,
    Language=Italian,G382
)</f>
        <v>Vous n’avez rien à faire dans cette feuille. Les résultats peuvent être copiés ici et réutilisés, par exemple pour la déclaration de durabilité, une feuille de route net-zero ou autres.
Pour plus d'informations sur l'interprétation des résultats, référez-vous au User Manual (chap. 5). 
Les graphiques présentant les résultats peuvent être paramétrés pour présenter les résultats selon le périmètre du bilan, l'approche de calcul, et la méthode d'impact.</v>
      </c>
      <c r="E382" s="367" t="s">
        <v>28971</v>
      </c>
      <c r="F382" s="367" t="s">
        <v>28970</v>
      </c>
      <c r="G382" s="367" t="s">
        <v>28972</v>
      </c>
    </row>
    <row r="383" spans="1:7" ht="19.5" x14ac:dyDescent="0.25">
      <c r="A383" s="451" t="s">
        <v>2113</v>
      </c>
      <c r="C383" s="446" t="s">
        <v>27445</v>
      </c>
      <c r="D383" s="481" t="str" cm="1">
        <f t="array" ref="D383">_xlfn.IFS(
    Language=German,E383,
    Language=French,F383,
    Language=Italian,G383
)</f>
        <v>Tableau des résultats</v>
      </c>
      <c r="E383" s="29" t="s">
        <v>28955</v>
      </c>
      <c r="F383" s="29" t="s">
        <v>28926</v>
      </c>
      <c r="G383" s="29" t="s">
        <v>28957</v>
      </c>
    </row>
    <row r="384" spans="1:7" ht="19.5" x14ac:dyDescent="0.25">
      <c r="A384" s="451"/>
      <c r="C384" s="446" t="s">
        <v>28857</v>
      </c>
      <c r="D384" s="481" t="str" cm="1">
        <f t="array" ref="D384">_xlfn.IFS(
    Language=German,E384,
    Language=French,F384,
    Language=Italian,G384
)</f>
        <v>(en intégrant les GO suisses)</v>
      </c>
      <c r="E384" s="29" t="s">
        <v>28862</v>
      </c>
      <c r="F384" s="29" t="s">
        <v>28861</v>
      </c>
      <c r="G384" s="29" t="s">
        <v>28863</v>
      </c>
    </row>
    <row r="385" spans="1:7" ht="19.5" x14ac:dyDescent="0.25">
      <c r="A385" s="451"/>
      <c r="C385" s="446" t="s">
        <v>28858</v>
      </c>
      <c r="D385" s="481" t="str" cm="1">
        <f t="array" ref="D385">_xlfn.IFS(
    Language=German,E385,
    Language=French,F385,
    Language=Italian,G385
)</f>
        <v>(en considérant le mix de consommation suisse)</v>
      </c>
      <c r="E385" s="29" t="s">
        <v>28860</v>
      </c>
      <c r="F385" s="29" t="s">
        <v>28859</v>
      </c>
      <c r="G385" s="29" t="s">
        <v>28864</v>
      </c>
    </row>
    <row r="386" spans="1:7" x14ac:dyDescent="0.25">
      <c r="C386" s="446" t="s">
        <v>28930</v>
      </c>
      <c r="D386" s="481" t="str" cm="1">
        <f t="array" ref="D386">_xlfn.IFS(
    Language=German,E386,
    Language=French,F386,
    Language=Italian,G386
)</f>
        <v>Émissions GES (IPCC 2021)</v>
      </c>
      <c r="E386" s="29" t="s">
        <v>28944</v>
      </c>
      <c r="F386" s="29" t="s">
        <v>28938</v>
      </c>
      <c r="G386" s="29" t="s">
        <v>28942</v>
      </c>
    </row>
    <row r="387" spans="1:7" ht="18" x14ac:dyDescent="0.35">
      <c r="C387" s="446" t="s">
        <v>28931</v>
      </c>
      <c r="D387" s="481" t="str" cm="1">
        <f t="array" ref="D387">_xlfn.IFS(
    Language=German,E387,
    Language=French,F387,
    Language=Italian,G387
)</f>
        <v>Émissions CO2 biogénique</v>
      </c>
      <c r="E387" s="29" t="s">
        <v>28941</v>
      </c>
      <c r="F387" s="29" t="s">
        <v>28940</v>
      </c>
      <c r="G387" s="29" t="s">
        <v>28943</v>
      </c>
    </row>
    <row r="388" spans="1:7" x14ac:dyDescent="0.25">
      <c r="C388" s="446" t="s">
        <v>28932</v>
      </c>
      <c r="D388" s="481" t="str" cm="1">
        <f t="array" ref="D388">_xlfn.IFS(
    Language=German,E388,
    Language=French,F388,
    Language=Italian,G388
)</f>
        <v>Impact env. total (Ecological Scarcity 2021)</v>
      </c>
      <c r="E388" s="29" t="s">
        <v>28939</v>
      </c>
      <c r="F388" s="29" t="s">
        <v>28959</v>
      </c>
      <c r="G388" s="29" t="s">
        <v>28960</v>
      </c>
    </row>
    <row r="389" spans="1:7" x14ac:dyDescent="0.25">
      <c r="C389" s="446" t="s">
        <v>27446</v>
      </c>
      <c r="D389" s="481" t="str" cm="1">
        <f t="array" ref="D389">_xlfn.IFS(
    Language=German,E389,
    Language=French,F389,
    Language=Italian,G389
)</f>
        <v>Catégorie</v>
      </c>
      <c r="E389" s="29" t="s">
        <v>28956</v>
      </c>
      <c r="F389" s="29" t="s">
        <v>28925</v>
      </c>
      <c r="G389" s="29" t="s">
        <v>28958</v>
      </c>
    </row>
    <row r="390" spans="1:7" x14ac:dyDescent="0.25">
      <c r="C390" s="446" t="s">
        <v>27447</v>
      </c>
      <c r="D390" s="481" t="str" cm="1">
        <f t="array" ref="D390">_xlfn.IFS(
    Language=German,E390,
    Language=French,F390,
    Language=Italian,G390
)</f>
        <v>Combustion stationnaire</v>
      </c>
      <c r="E390" s="29" t="s">
        <v>28335</v>
      </c>
      <c r="F390" s="29" t="s">
        <v>27786</v>
      </c>
      <c r="G390" s="29" t="s">
        <v>27787</v>
      </c>
    </row>
    <row r="391" spans="1:7" x14ac:dyDescent="0.25">
      <c r="C391" s="446" t="s">
        <v>27448</v>
      </c>
      <c r="D391" s="481" t="str" cm="1">
        <f t="array" ref="D391">_xlfn.IFS(
    Language=German,E391,
    Language=French,F391,
    Language=Italian,G391
)</f>
        <v>Émissions fugitives</v>
      </c>
      <c r="E391" s="29" t="s">
        <v>2298</v>
      </c>
      <c r="F391" s="29" t="s">
        <v>2299</v>
      </c>
      <c r="G391" s="29" t="s">
        <v>27798</v>
      </c>
    </row>
    <row r="392" spans="1:7" x14ac:dyDescent="0.25">
      <c r="C392" s="446" t="s">
        <v>27449</v>
      </c>
      <c r="D392" s="481" t="str" cm="1">
        <f t="array" ref="D392">_xlfn.IFS(
    Language=German,E392,
    Language=French,F392,
    Language=Italian,G392
)</f>
        <v>Flotte</v>
      </c>
      <c r="E392" s="29" t="s">
        <v>2308</v>
      </c>
      <c r="F392" s="29" t="s">
        <v>2308</v>
      </c>
      <c r="G392" s="29" t="s">
        <v>2309</v>
      </c>
    </row>
    <row r="393" spans="1:7" x14ac:dyDescent="0.25">
      <c r="C393" s="446" t="s">
        <v>27450</v>
      </c>
      <c r="D393" s="481" t="str" cm="1">
        <f t="array" ref="D393">_xlfn.IFS(
    Language=German,E393,
    Language=French,F393,
    Language=Italian,G393
)</f>
        <v>Émissions liées aux processus</v>
      </c>
      <c r="E393" s="29" t="s">
        <v>27386</v>
      </c>
      <c r="F393" s="29" t="s">
        <v>27846</v>
      </c>
      <c r="G393" s="29" t="s">
        <v>27847</v>
      </c>
    </row>
    <row r="394" spans="1:7" x14ac:dyDescent="0.25">
      <c r="C394" s="446" t="s">
        <v>27451</v>
      </c>
      <c r="D394" s="481" t="str" cm="1">
        <f t="array" ref="D394">_xlfn.IFS(
    Language=German,E394,
    Language=French,F394,
    Language=Italian,G394
)</f>
        <v>Électricité (+ flotte électrique propre)</v>
      </c>
      <c r="E394" s="29" t="s">
        <v>27387</v>
      </c>
      <c r="F394" s="29" t="s">
        <v>27468</v>
      </c>
      <c r="G394" s="29" t="s">
        <v>27848</v>
      </c>
    </row>
    <row r="395" spans="1:7" x14ac:dyDescent="0.25">
      <c r="C395" s="446" t="s">
        <v>27452</v>
      </c>
      <c r="D395" s="481" t="str" cm="1">
        <f t="array" ref="D395">_xlfn.IFS(
    Language=German,E395,
    Language=French,F395,
    Language=Italian,G395
)</f>
        <v>Chauffage à distance et vapeur</v>
      </c>
      <c r="E395" s="29" t="s">
        <v>27215</v>
      </c>
      <c r="F395" s="29" t="s">
        <v>27849</v>
      </c>
      <c r="G395" s="29" t="s">
        <v>27850</v>
      </c>
    </row>
    <row r="396" spans="1:7" x14ac:dyDescent="0.25">
      <c r="C396" s="446" t="s">
        <v>27453</v>
      </c>
      <c r="D396" s="481" t="str" cm="1">
        <f t="array" ref="D396">_xlfn.IFS(
    Language=German,E396,
    Language=French,F396,
    Language=Italian,G396
)</f>
        <v>3.1 Biens et services</v>
      </c>
      <c r="E396" s="29" t="s">
        <v>27388</v>
      </c>
      <c r="F396" s="29" t="s">
        <v>27469</v>
      </c>
      <c r="G396" s="29" t="s">
        <v>27851</v>
      </c>
    </row>
    <row r="397" spans="1:7" x14ac:dyDescent="0.25">
      <c r="C397" s="446" t="s">
        <v>27454</v>
      </c>
      <c r="D397" s="481" t="str" cm="1">
        <f t="array" ref="D397">_xlfn.IFS(
    Language=German,E397,
    Language=French,F397,
    Language=Italian,G397
)</f>
        <v>3.2 Biens d’équipement</v>
      </c>
      <c r="E397" s="29" t="s">
        <v>27389</v>
      </c>
      <c r="F397" s="29" t="s">
        <v>27470</v>
      </c>
      <c r="G397" s="29" t="s">
        <v>28508</v>
      </c>
    </row>
    <row r="398" spans="1:7" x14ac:dyDescent="0.25">
      <c r="C398" s="446" t="s">
        <v>27455</v>
      </c>
      <c r="D398" s="481" t="str" cm="1">
        <f t="array" ref="D398">_xlfn.IFS(
    Language=German,E398,
    Language=French,F398,
    Language=Italian,G398
)</f>
        <v>3.3 Émissions indirectes de l'énergie</v>
      </c>
      <c r="E398" s="29" t="s">
        <v>28855</v>
      </c>
      <c r="F398" s="29" t="s">
        <v>28854</v>
      </c>
      <c r="G398" s="29" t="s">
        <v>28856</v>
      </c>
    </row>
    <row r="399" spans="1:7" x14ac:dyDescent="0.25">
      <c r="C399" s="446" t="s">
        <v>27456</v>
      </c>
      <c r="D399" s="481" t="str" cm="1">
        <f t="array" ref="D399">_xlfn.IFS(
    Language=German,E399,
    Language=French,F399,
    Language=Italian,G399
)</f>
        <v>3.4 Transport en amont</v>
      </c>
      <c r="E399" s="29" t="s">
        <v>27390</v>
      </c>
      <c r="F399" s="29" t="s">
        <v>27471</v>
      </c>
      <c r="G399" s="29" t="s">
        <v>27852</v>
      </c>
    </row>
    <row r="400" spans="1:7" x14ac:dyDescent="0.25">
      <c r="C400" s="446" t="s">
        <v>27457</v>
      </c>
      <c r="D400" s="481" t="str" cm="1">
        <f t="array" ref="D400">_xlfn.IFS(
    Language=German,E400,
    Language=French,F400,
    Language=Italian,G400
)</f>
        <v>3.5 Déchets d'exploitation</v>
      </c>
      <c r="E400" s="29" t="s">
        <v>27391</v>
      </c>
      <c r="F400" s="29" t="s">
        <v>27853</v>
      </c>
      <c r="G400" s="29" t="s">
        <v>28509</v>
      </c>
    </row>
    <row r="401" spans="3:7" x14ac:dyDescent="0.25">
      <c r="C401" s="446" t="s">
        <v>27458</v>
      </c>
      <c r="D401" s="481" t="str" cm="1">
        <f t="array" ref="D401">_xlfn.IFS(
    Language=German,E401,
    Language=French,F401,
    Language=Italian,G401
)</f>
        <v>3.6 Voyages d’affaires</v>
      </c>
      <c r="E401" s="29" t="s">
        <v>27392</v>
      </c>
      <c r="F401" s="29" t="s">
        <v>27472</v>
      </c>
      <c r="G401" s="29" t="s">
        <v>27854</v>
      </c>
    </row>
    <row r="402" spans="3:7" x14ac:dyDescent="0.25">
      <c r="C402" s="446" t="s">
        <v>27459</v>
      </c>
      <c r="D402" s="481" t="str" cm="1">
        <f t="array" ref="D402">_xlfn.IFS(
    Language=German,E402,
    Language=French,F402,
    Language=Italian,G402
)</f>
        <v>3.7 Trajets pendulaires</v>
      </c>
      <c r="E402" s="29" t="s">
        <v>27393</v>
      </c>
      <c r="F402" s="29" t="s">
        <v>27855</v>
      </c>
      <c r="G402" s="29" t="s">
        <v>27856</v>
      </c>
    </row>
    <row r="403" spans="3:7" x14ac:dyDescent="0.25">
      <c r="C403" s="446" t="s">
        <v>27460</v>
      </c>
      <c r="D403" s="481" t="str" cm="1">
        <f t="array" ref="D403">_xlfn.IFS(
    Language=German,E403,
    Language=French,F403,
    Language=Italian,G403
)</f>
        <v>3.8 Actifs loués en amont</v>
      </c>
      <c r="E403" s="29" t="s">
        <v>28819</v>
      </c>
      <c r="F403" s="29" t="s">
        <v>28817</v>
      </c>
      <c r="G403" s="29" t="s">
        <v>28510</v>
      </c>
    </row>
    <row r="404" spans="3:7" x14ac:dyDescent="0.25">
      <c r="C404" s="446" t="s">
        <v>27461</v>
      </c>
      <c r="D404" s="481" t="str" cm="1">
        <f t="array" ref="D404">_xlfn.IFS(
    Language=German,E404,
    Language=French,F404,
    Language=Italian,G404
)</f>
        <v>3.9 Transport en aval</v>
      </c>
      <c r="E404" s="29" t="s">
        <v>27394</v>
      </c>
      <c r="F404" s="29" t="s">
        <v>27857</v>
      </c>
      <c r="G404" s="29" t="s">
        <v>27858</v>
      </c>
    </row>
    <row r="405" spans="3:7" x14ac:dyDescent="0.25">
      <c r="C405" s="446" t="s">
        <v>27462</v>
      </c>
      <c r="D405" s="481" t="str" cm="1">
        <f t="array" ref="D405">_xlfn.IFS(
    Language=German,E405,
    Language=French,F405,
    Language=Italian,G405
)</f>
        <v>3.10 Transformation des biens vendus</v>
      </c>
      <c r="E405" s="29" t="s">
        <v>28544</v>
      </c>
      <c r="F405" s="29" t="s">
        <v>28546</v>
      </c>
      <c r="G405" s="29" t="s">
        <v>28548</v>
      </c>
    </row>
    <row r="406" spans="3:7" x14ac:dyDescent="0.25">
      <c r="C406" s="446" t="s">
        <v>27463</v>
      </c>
      <c r="D406" s="481" t="str" cm="1">
        <f t="array" ref="D406">_xlfn.IFS(
    Language=German,E406,
    Language=French,F406,
    Language=Italian,G406
)</f>
        <v>3.11 Utilisation des biens vendus</v>
      </c>
      <c r="E406" s="29" t="s">
        <v>28545</v>
      </c>
      <c r="F406" s="29" t="s">
        <v>28547</v>
      </c>
      <c r="G406" s="29" t="s">
        <v>28549</v>
      </c>
    </row>
    <row r="407" spans="3:7" x14ac:dyDescent="0.25">
      <c r="C407" s="446" t="s">
        <v>27464</v>
      </c>
      <c r="D407" s="481" t="str" cm="1">
        <f t="array" ref="D407">_xlfn.IFS(
    Language=German,E407,
    Language=French,F407,
    Language=Italian,G407
)</f>
        <v>3.12 Élimination des produits vendus</v>
      </c>
      <c r="E407" s="29" t="s">
        <v>27395</v>
      </c>
      <c r="F407" s="29" t="s">
        <v>27473</v>
      </c>
      <c r="G407" s="29" t="s">
        <v>27859</v>
      </c>
    </row>
    <row r="408" spans="3:7" x14ac:dyDescent="0.25">
      <c r="C408" s="446" t="s">
        <v>27465</v>
      </c>
      <c r="D408" s="481" t="str" cm="1">
        <f t="array" ref="D408">_xlfn.IFS(
    Language=German,E408,
    Language=French,F408,
    Language=Italian,G408
)</f>
        <v>3.13 Actifs loués en aval</v>
      </c>
      <c r="E408" s="29" t="s">
        <v>28820</v>
      </c>
      <c r="F408" s="29" t="s">
        <v>28818</v>
      </c>
      <c r="G408" s="29" t="s">
        <v>28511</v>
      </c>
    </row>
    <row r="409" spans="3:7" x14ac:dyDescent="0.25">
      <c r="C409" s="446" t="s">
        <v>27466</v>
      </c>
      <c r="D409" s="481" t="str" cm="1">
        <f t="array" ref="D409">_xlfn.IFS(
    Language=German,E409,
    Language=French,F409,
    Language=Italian,G409
)</f>
        <v>3.14 Franchises</v>
      </c>
      <c r="E409" s="29" t="s">
        <v>27860</v>
      </c>
      <c r="F409" s="29" t="s">
        <v>27488</v>
      </c>
      <c r="G409" s="29" t="s">
        <v>27861</v>
      </c>
    </row>
    <row r="410" spans="3:7" x14ac:dyDescent="0.25">
      <c r="C410" s="446" t="s">
        <v>27467</v>
      </c>
      <c r="D410" s="481" t="str" cm="1">
        <f t="array" ref="D410">_xlfn.IFS(
    Language=German,E410,
    Language=French,F410,
    Language=Italian,G410
)</f>
        <v>3.15 Investissements</v>
      </c>
      <c r="E410" s="29" t="s">
        <v>27396</v>
      </c>
      <c r="F410" s="29" t="s">
        <v>27474</v>
      </c>
      <c r="G410" s="29" t="s">
        <v>27475</v>
      </c>
    </row>
    <row r="411" spans="3:7" x14ac:dyDescent="0.25">
      <c r="C411" s="446" t="s">
        <v>28927</v>
      </c>
      <c r="D411" s="481" t="str" cm="1">
        <f t="array" ref="D411">_xlfn.IFS(
    Language=German,E411,
    Language=French,F411,
    Language=Italian,G411
)</f>
        <v>Visualisation des résultats</v>
      </c>
      <c r="E411" s="29" t="s">
        <v>28948</v>
      </c>
      <c r="F411" s="29" t="s">
        <v>28912</v>
      </c>
      <c r="G411" s="29" t="s">
        <v>28945</v>
      </c>
    </row>
    <row r="412" spans="3:7" x14ac:dyDescent="0.25">
      <c r="C412" s="446" t="s">
        <v>28933</v>
      </c>
      <c r="D412" s="481" t="str" cm="1">
        <f t="array" ref="D412">_xlfn.IFS(
    Language=German,E412,
    Language=French,F412,
    Language=Italian,G412
)</f>
        <v>Périmètre du bilan</v>
      </c>
      <c r="E412" s="29" t="s">
        <v>28961</v>
      </c>
      <c r="F412" s="29" t="s">
        <v>28962</v>
      </c>
      <c r="G412" s="29" t="s">
        <v>28963</v>
      </c>
    </row>
    <row r="413" spans="3:7" x14ac:dyDescent="0.25">
      <c r="C413" s="446" t="s">
        <v>28934</v>
      </c>
      <c r="D413" s="481" t="str" cm="1">
        <f t="array" ref="D413">_xlfn.IFS(
    Language=German,E413,
    Language=French,F413,
    Language=Italian,G413
)</f>
        <v>Approche de calcul de l'électricité</v>
      </c>
      <c r="E413" s="29" t="s">
        <v>28999</v>
      </c>
      <c r="F413" s="29" t="s">
        <v>28998</v>
      </c>
      <c r="G413" s="29" t="s">
        <v>29000</v>
      </c>
    </row>
    <row r="414" spans="3:7" x14ac:dyDescent="0.25">
      <c r="C414" s="446" t="s">
        <v>28935</v>
      </c>
      <c r="D414" s="481" t="str" cm="1">
        <f t="array" ref="D414">_xlfn.IFS(
    Language=German,E414,
    Language=French,F414,
    Language=Italian,G414
)</f>
        <v>Méthode d'impact</v>
      </c>
      <c r="E414" s="29" t="s">
        <v>28949</v>
      </c>
      <c r="F414" s="29" t="s">
        <v>28913</v>
      </c>
      <c r="G414" s="29" t="s">
        <v>28952</v>
      </c>
    </row>
    <row r="415" spans="3:7" x14ac:dyDescent="0.25">
      <c r="C415" s="446" t="s">
        <v>28936</v>
      </c>
      <c r="D415" s="481" t="str" cm="1">
        <f t="array" ref="D415">_xlfn.IFS(
    Language=German,E415,
    Language=French,F415,
    Language=Italian,G415
)</f>
        <v>Résultats par Scope</v>
      </c>
      <c r="E415" s="29" t="s">
        <v>28950</v>
      </c>
      <c r="F415" s="29" t="s">
        <v>28928</v>
      </c>
      <c r="G415" s="29" t="s">
        <v>28947</v>
      </c>
    </row>
    <row r="416" spans="3:7" x14ac:dyDescent="0.25">
      <c r="C416" s="446" t="s">
        <v>28937</v>
      </c>
      <c r="D416" s="481" t="str" cm="1">
        <f t="array" ref="D416">_xlfn.IFS(
    Language=German,E416,
    Language=French,F416,
    Language=Italian,G416
)</f>
        <v>Résultats par catégorie</v>
      </c>
      <c r="E416" s="29" t="s">
        <v>28951</v>
      </c>
      <c r="F416" s="29" t="s">
        <v>28929</v>
      </c>
      <c r="G416" s="29" t="s">
        <v>28946</v>
      </c>
    </row>
  </sheetData>
  <phoneticPr fontId="64" type="noConversion"/>
  <hyperlinks>
    <hyperlink ref="E22" r:id="rId1" xr:uid="{7BA403DF-B114-42EE-8F95-22F56C745B2F}"/>
  </hyperlinks>
  <pageMargins left="0.7" right="0.7" top="0.78740157499999996" bottom="0.78740157499999996" header="0.3" footer="0.3"/>
  <pageSetup paperSize="9"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8C70-024A-4368-BBB9-19486BA3F6FA}">
  <sheetPr codeName="Sheet3">
    <tabColor rgb="FFFFD5D5"/>
  </sheetPr>
  <dimension ref="A1:P108"/>
  <sheetViews>
    <sheetView zoomScaleNormal="100" workbookViewId="0">
      <pane ySplit="4" topLeftCell="A5" activePane="bottomLeft" state="frozen"/>
      <selection activeCell="B35" sqref="B35:E35"/>
      <selection pane="bottomLeft" activeCell="A6" sqref="A6"/>
    </sheetView>
  </sheetViews>
  <sheetFormatPr defaultColWidth="10.7109375" defaultRowHeight="15" x14ac:dyDescent="0.25"/>
  <cols>
    <col min="1" max="1" width="5.7109375" style="92" customWidth="1"/>
    <col min="2" max="2" width="4.42578125" style="92" customWidth="1"/>
    <col min="3" max="3" width="101.5703125" style="92" customWidth="1"/>
    <col min="4" max="4" width="55.42578125" style="93" customWidth="1"/>
    <col min="5" max="5" width="1" style="93" customWidth="1"/>
    <col min="6" max="6" width="19.5703125" style="94" customWidth="1"/>
    <col min="7" max="7" width="1" style="92" customWidth="1"/>
    <col min="8" max="8" width="18.28515625" style="92" hidden="1" customWidth="1"/>
    <col min="9" max="9" width="35.7109375" style="95" hidden="1" customWidth="1"/>
    <col min="10" max="11" width="19.28515625" style="93" hidden="1" customWidth="1"/>
    <col min="12" max="12" width="51.7109375" style="96" hidden="1" customWidth="1"/>
    <col min="13" max="13" width="5.28515625" style="97" customWidth="1"/>
    <col min="14" max="14" width="56.7109375" style="92" customWidth="1"/>
    <col min="15" max="16384" width="10.7109375" style="92"/>
  </cols>
  <sheetData>
    <row r="1" spans="1:14" s="1" customFormat="1" ht="5.0999999999999996" customHeight="1" x14ac:dyDescent="0.2">
      <c r="I1" s="59"/>
      <c r="J1" s="60"/>
      <c r="K1" s="60"/>
      <c r="L1" s="61"/>
    </row>
    <row r="2" spans="1:14" s="1" customFormat="1" ht="20.100000000000001" customHeight="1" x14ac:dyDescent="0.25">
      <c r="C2" s="62"/>
      <c r="D2" s="63"/>
      <c r="E2" s="63"/>
      <c r="F2" s="766" t="s">
        <v>28812</v>
      </c>
      <c r="G2" s="767"/>
      <c r="I2" s="275" t="s">
        <v>27405</v>
      </c>
      <c r="J2" s="275" t="s">
        <v>28220</v>
      </c>
      <c r="K2" s="275" t="s">
        <v>28221</v>
      </c>
      <c r="L2" s="275" t="s">
        <v>28222</v>
      </c>
      <c r="M2" s="275"/>
      <c r="N2" s="275"/>
    </row>
    <row r="3" spans="1:14" s="1" customFormat="1" ht="5.0999999999999996" customHeight="1" x14ac:dyDescent="0.2">
      <c r="I3" s="59"/>
      <c r="J3" s="60"/>
      <c r="K3" s="60"/>
      <c r="L3" s="61"/>
    </row>
    <row r="4" spans="1:14" s="64" customFormat="1" ht="5.0999999999999996" customHeight="1" x14ac:dyDescent="0.25">
      <c r="D4" s="65"/>
      <c r="E4" s="65"/>
      <c r="F4" s="66"/>
      <c r="I4" s="67"/>
      <c r="J4" s="65"/>
      <c r="K4" s="65"/>
      <c r="L4" s="68"/>
      <c r="M4" s="69"/>
    </row>
    <row r="5" spans="1:14" s="10" customFormat="1" ht="10.15" customHeight="1" x14ac:dyDescent="0.25">
      <c r="A5" s="373"/>
      <c r="D5" s="70"/>
      <c r="E5" s="70"/>
      <c r="F5" s="71"/>
      <c r="J5" s="70"/>
      <c r="K5" s="70"/>
      <c r="L5" s="22"/>
      <c r="M5" s="72"/>
    </row>
    <row r="6" spans="1:14" s="10" customFormat="1" ht="30" x14ac:dyDescent="0.4">
      <c r="A6" s="373"/>
      <c r="B6" s="14" t="str">
        <f>n1Inputs</f>
        <v>Informations générales</v>
      </c>
      <c r="D6" s="70"/>
      <c r="E6" s="70"/>
      <c r="F6" s="71"/>
      <c r="I6" s="13" t="s">
        <v>2122</v>
      </c>
      <c r="J6" s="70"/>
      <c r="K6" s="70"/>
      <c r="L6" s="22"/>
      <c r="M6" s="72"/>
    </row>
    <row r="7" spans="1:14" s="10" customFormat="1" ht="7.15" customHeight="1" x14ac:dyDescent="0.4">
      <c r="B7" s="73"/>
      <c r="D7" s="70"/>
      <c r="E7" s="70"/>
      <c r="F7" s="71"/>
      <c r="I7" s="13"/>
      <c r="J7" s="70"/>
      <c r="K7" s="70"/>
      <c r="L7" s="22"/>
      <c r="M7" s="72"/>
    </row>
    <row r="8" spans="1:14" s="10" customFormat="1" ht="59.25" customHeight="1" x14ac:dyDescent="0.2">
      <c r="B8" s="700" t="str">
        <f>n1Inputs_Text1</f>
        <v>Les questions suivantes servent à limiter au minimum la saisie ultérieure de données. Pour ce faire, toutes les questions doivent être répondues avant de procéder à la collecte des données dans la feuille suivante « 2 Data Inputs ».Les réponses ne doivent pas être modifiées après avoir rempli les feuilles suivantes.
Pour définir le périmètre, nous recommandons une brève analyse de pertinence de vos émissions. Vous pouvez trouver de l’aide à ce sujet dans le User Manual (chap. 3.2).</v>
      </c>
      <c r="C8" s="700"/>
      <c r="D8" s="700"/>
      <c r="E8" s="700"/>
      <c r="F8" s="700"/>
      <c r="G8" s="700"/>
      <c r="I8" s="13" t="s">
        <v>2123</v>
      </c>
      <c r="J8" s="70"/>
      <c r="K8" s="70"/>
      <c r="L8" s="22"/>
      <c r="M8" s="72"/>
    </row>
    <row r="9" spans="1:14" s="10" customFormat="1" ht="9.9499999999999993" customHeight="1" x14ac:dyDescent="0.25">
      <c r="B9" s="19"/>
      <c r="C9" s="16"/>
      <c r="D9" s="16"/>
      <c r="E9" s="16"/>
      <c r="F9" s="71"/>
      <c r="I9" s="13"/>
      <c r="J9" s="70"/>
      <c r="K9" s="70"/>
      <c r="L9" s="22"/>
      <c r="M9" s="72"/>
    </row>
    <row r="10" spans="1:14" s="74" customFormat="1" ht="30" customHeight="1" x14ac:dyDescent="0.25">
      <c r="B10" s="18" t="str">
        <f>n1Inputs_1Instruction</f>
        <v>Instructions</v>
      </c>
      <c r="D10" s="75"/>
      <c r="E10" s="75"/>
      <c r="F10" s="76"/>
      <c r="I10" s="77" t="s">
        <v>2124</v>
      </c>
      <c r="J10" s="75"/>
      <c r="K10" s="75"/>
      <c r="L10" s="78"/>
      <c r="M10" s="79"/>
    </row>
    <row r="11" spans="1:14" s="10" customFormat="1" ht="15" customHeight="1" x14ac:dyDescent="0.2">
      <c r="B11" s="700" t="str">
        <f>n1Inputs_1Instruction_Text1</f>
        <v>Veuillez remplir toutes les questions dans l’ordre. D’après vos réponses, les questions ultérieures et les données qui ne sont pas pertinentes pour votre entreprise seront cachées.</v>
      </c>
      <c r="C11" s="700"/>
      <c r="D11" s="700"/>
      <c r="E11" s="700"/>
      <c r="F11" s="700"/>
      <c r="I11" s="13" t="s">
        <v>2127</v>
      </c>
      <c r="J11" s="70"/>
      <c r="K11" s="70"/>
      <c r="L11" s="22"/>
      <c r="M11" s="72"/>
    </row>
    <row r="12" spans="1:14" s="10" customFormat="1" ht="15" customHeight="1" x14ac:dyDescent="0.2">
      <c r="B12" s="16"/>
      <c r="C12" s="16"/>
      <c r="D12" s="16"/>
      <c r="E12" s="16"/>
      <c r="F12" s="16"/>
      <c r="I12" s="80"/>
      <c r="J12" s="70"/>
      <c r="K12" s="70"/>
      <c r="L12" s="22"/>
      <c r="M12" s="72"/>
    </row>
    <row r="13" spans="1:14" s="10" customFormat="1" ht="15" customHeight="1" x14ac:dyDescent="0.2">
      <c r="B13" s="81"/>
      <c r="C13" s="82" t="str">
        <f>n1Inputs_1Instruction_Text2</f>
        <v>Les champs jaunes doivent être remplis.</v>
      </c>
      <c r="D13" s="16"/>
      <c r="E13" s="16"/>
      <c r="F13" s="16"/>
      <c r="I13" s="13" t="s">
        <v>2129</v>
      </c>
      <c r="J13" s="70"/>
      <c r="K13" s="70"/>
      <c r="L13" s="22"/>
      <c r="M13" s="72"/>
    </row>
    <row r="14" spans="1:14" s="10" customFormat="1" ht="6" customHeight="1" x14ac:dyDescent="0.2">
      <c r="B14" s="16"/>
      <c r="C14" s="82"/>
      <c r="D14" s="16"/>
      <c r="E14" s="16"/>
      <c r="F14" s="16"/>
      <c r="I14" s="80"/>
      <c r="J14" s="70"/>
      <c r="K14" s="70"/>
      <c r="L14" s="22"/>
      <c r="M14" s="72"/>
    </row>
    <row r="15" spans="1:14" s="10" customFormat="1" ht="15" customHeight="1" x14ac:dyDescent="0.2">
      <c r="B15" s="83"/>
      <c r="C15" s="82" t="str">
        <f>n1Inputs_1Instruction_Text3</f>
        <v>Les champs verts ont déjà été remplis et peuvent être ajustés à tout moment.</v>
      </c>
      <c r="D15" s="16"/>
      <c r="E15" s="16"/>
      <c r="F15" s="16"/>
      <c r="I15" s="13" t="s">
        <v>2132</v>
      </c>
      <c r="J15" s="70"/>
      <c r="K15" s="70"/>
      <c r="L15" s="22"/>
      <c r="M15" s="72"/>
    </row>
    <row r="16" spans="1:14" s="10" customFormat="1" ht="15" customHeight="1" x14ac:dyDescent="0.2">
      <c r="B16" s="16"/>
      <c r="C16" s="16"/>
      <c r="D16" s="16"/>
      <c r="E16" s="16"/>
      <c r="F16" s="16"/>
      <c r="I16" s="80"/>
      <c r="J16" s="70"/>
      <c r="K16" s="70"/>
      <c r="L16" s="22"/>
      <c r="M16" s="72"/>
    </row>
    <row r="17" spans="2:13" s="74" customFormat="1" ht="30" customHeight="1" x14ac:dyDescent="0.25">
      <c r="B17" s="18" t="str">
        <f>n1Inputs_2Info</f>
        <v>Détails de l’entreprise</v>
      </c>
      <c r="C17" s="18"/>
      <c r="D17" s="18"/>
      <c r="E17" s="18"/>
      <c r="F17" s="76"/>
      <c r="I17" s="77" t="s">
        <v>2134</v>
      </c>
      <c r="J17" s="75"/>
      <c r="K17" s="75"/>
      <c r="L17" s="84"/>
      <c r="M17" s="79"/>
    </row>
    <row r="18" spans="2:13" s="10" customFormat="1" ht="15" customHeight="1" x14ac:dyDescent="0.25">
      <c r="B18" s="710" t="str">
        <f>n1Inputs_2Info_Text1</f>
        <v>Nom de l’entreprise / unité organisationnelle :</v>
      </c>
      <c r="C18" s="710"/>
      <c r="D18" s="710"/>
      <c r="E18" s="25"/>
      <c r="F18" s="71"/>
      <c r="I18" s="77" t="s">
        <v>2137</v>
      </c>
      <c r="J18" s="70"/>
      <c r="K18" s="70"/>
      <c r="L18" s="22"/>
      <c r="M18" s="72"/>
    </row>
    <row r="19" spans="2:13" s="10" customFormat="1" ht="14.25" x14ac:dyDescent="0.2">
      <c r="B19" s="715"/>
      <c r="C19" s="715"/>
      <c r="D19" s="715"/>
      <c r="E19" s="715"/>
      <c r="F19" s="715"/>
      <c r="I19" s="13"/>
      <c r="J19" s="70"/>
      <c r="K19" s="70"/>
      <c r="L19" s="22"/>
      <c r="M19" s="72"/>
    </row>
    <row r="20" spans="2:13" s="10" customFormat="1" ht="15" customHeight="1" x14ac:dyDescent="0.25">
      <c r="B20" s="708" t="str">
        <f>n1Inputs_2Info_Text2</f>
        <v>Année de rapport :</v>
      </c>
      <c r="C20" s="708"/>
      <c r="D20" s="708"/>
      <c r="E20" s="19"/>
      <c r="F20" s="71"/>
      <c r="I20" s="77" t="s">
        <v>2140</v>
      </c>
      <c r="J20" s="70"/>
      <c r="K20" s="70"/>
      <c r="L20" s="22"/>
      <c r="M20" s="72"/>
    </row>
    <row r="21" spans="2:13" s="10" customFormat="1" ht="15" customHeight="1" x14ac:dyDescent="0.2">
      <c r="B21" s="715"/>
      <c r="C21" s="715"/>
      <c r="D21" s="715"/>
      <c r="E21" s="715"/>
      <c r="F21" s="715"/>
      <c r="I21" s="13"/>
      <c r="J21" s="70"/>
      <c r="K21" s="70"/>
      <c r="L21" s="22"/>
      <c r="M21" s="72"/>
    </row>
    <row r="22" spans="2:13" s="10" customFormat="1" ht="15" customHeight="1" x14ac:dyDescent="0.25">
      <c r="B22" s="706" t="str">
        <f>n1Inputs_2Info_Text3</f>
        <v xml:space="preserve"> Brève description des limites organisationnelles du bilan (entités inclues dans le bilan) :</v>
      </c>
      <c r="C22" s="706"/>
      <c r="D22" s="706"/>
      <c r="E22" s="23"/>
      <c r="F22" s="71"/>
      <c r="I22" s="77" t="s">
        <v>2143</v>
      </c>
      <c r="J22" s="70"/>
      <c r="K22" s="70"/>
      <c r="L22" s="22"/>
      <c r="M22" s="72"/>
    </row>
    <row r="23" spans="2:13" s="10" customFormat="1" ht="45" customHeight="1" x14ac:dyDescent="0.2">
      <c r="B23" s="716"/>
      <c r="C23" s="716"/>
      <c r="D23" s="716"/>
      <c r="E23" s="716"/>
      <c r="F23" s="716"/>
      <c r="I23" s="13"/>
      <c r="J23" s="70"/>
      <c r="K23" s="70"/>
      <c r="L23" s="22"/>
      <c r="M23" s="72"/>
    </row>
    <row r="24" spans="2:13" s="10" customFormat="1" ht="15" customHeight="1" x14ac:dyDescent="0.2">
      <c r="B24" s="23"/>
      <c r="C24" s="23"/>
      <c r="D24" s="23"/>
      <c r="E24" s="23"/>
      <c r="F24" s="23"/>
      <c r="I24" s="13"/>
      <c r="J24" s="70"/>
      <c r="K24" s="70"/>
      <c r="L24" s="22"/>
      <c r="M24" s="72"/>
    </row>
    <row r="25" spans="2:13" s="18" customFormat="1" ht="30" customHeight="1" thickBot="1" x14ac:dyDescent="0.25">
      <c r="B25" s="18" t="str">
        <f>n1Inputs_3Index</f>
        <v>Table des matières</v>
      </c>
      <c r="D25" s="85"/>
      <c r="E25" s="85"/>
      <c r="F25" s="76"/>
      <c r="H25" s="371"/>
      <c r="I25" s="13" t="s">
        <v>2144</v>
      </c>
      <c r="J25" s="85"/>
      <c r="K25" s="85"/>
      <c r="L25" s="86"/>
      <c r="M25" s="87"/>
    </row>
    <row r="26" spans="2:13" s="10" customFormat="1" ht="16.5" thickTop="1" thickBot="1" x14ac:dyDescent="0.3">
      <c r="B26" s="491" t="str">
        <f>IF(H26=1,"✓","")</f>
        <v/>
      </c>
      <c r="C26" s="415" t="str">
        <f>n1Inputs_4AConsolidation</f>
        <v>A Délimitation organisationnelle (approche de consolidation)</v>
      </c>
      <c r="F26" s="71"/>
      <c r="H26" s="372">
        <f>L33</f>
        <v>0</v>
      </c>
      <c r="I26" s="13"/>
      <c r="J26" s="70"/>
      <c r="K26" s="70"/>
      <c r="L26" s="22"/>
      <c r="M26" s="72"/>
    </row>
    <row r="27" spans="2:13" s="10" customFormat="1" ht="16.5" thickTop="1" thickBot="1" x14ac:dyDescent="0.3">
      <c r="B27" s="491" t="str">
        <f>IF(H27=1,"✓","")</f>
        <v/>
      </c>
      <c r="C27" s="415" t="str">
        <f>n1Inputs_5BScopes</f>
        <v>B Périmètre du bilan (Scopes)</v>
      </c>
      <c r="F27" s="71"/>
      <c r="H27" s="372">
        <f>L41</f>
        <v>0</v>
      </c>
      <c r="I27" s="13"/>
      <c r="J27" s="70"/>
      <c r="K27" s="70"/>
      <c r="L27" s="22"/>
      <c r="M27" s="72"/>
    </row>
    <row r="28" spans="2:13" s="10" customFormat="1" ht="16.5" thickTop="1" thickBot="1" x14ac:dyDescent="0.3">
      <c r="B28" s="491" t="str">
        <f>IF(H28=1,"✓","")</f>
        <v/>
      </c>
      <c r="C28" s="415" t="str">
        <f>n1Inputs_6CDirectEmissions</f>
        <v>C Sources d’émissions opérationnelles - Émissions directes</v>
      </c>
      <c r="F28" s="71"/>
      <c r="H28" s="372">
        <f>L49</f>
        <v>0</v>
      </c>
      <c r="I28" s="13"/>
      <c r="J28" s="70"/>
      <c r="K28" s="70"/>
      <c r="L28" s="22"/>
      <c r="M28" s="72"/>
    </row>
    <row r="29" spans="2:13" s="10" customFormat="1" ht="16.5" thickTop="1" thickBot="1" x14ac:dyDescent="0.3">
      <c r="B29" s="491" t="str">
        <f>IF(H29=1,"✓","")</f>
        <v/>
      </c>
      <c r="C29" s="415" t="str">
        <f>n1Inputs_7DIndirectEmissions</f>
        <v>D Sources d’émissions opérationnelles - Émissions indirectes</v>
      </c>
      <c r="F29" s="71"/>
      <c r="H29" s="372">
        <f>L75</f>
        <v>0</v>
      </c>
      <c r="I29" s="13"/>
      <c r="J29" s="70"/>
      <c r="K29" s="70"/>
      <c r="L29" s="22"/>
      <c r="M29" s="72"/>
    </row>
    <row r="30" spans="2:13" s="10" customFormat="1" ht="16.5" thickTop="1" thickBot="1" x14ac:dyDescent="0.3">
      <c r="B30" s="491" t="str">
        <f>IF(H30=1,"✓","")</f>
        <v/>
      </c>
      <c r="C30" s="415" t="str" cm="1">
        <f t="array" ref="C30">GenInp_titE</f>
        <v>E Autres émissions environnementales</v>
      </c>
      <c r="F30" s="71"/>
      <c r="H30" s="372">
        <f>L101</f>
        <v>0</v>
      </c>
      <c r="I30" s="13"/>
      <c r="J30" s="70"/>
      <c r="K30" s="70"/>
      <c r="L30" s="22"/>
      <c r="M30" s="72"/>
    </row>
    <row r="31" spans="2:13" s="10" customFormat="1" ht="24" customHeight="1" thickTop="1" x14ac:dyDescent="0.25">
      <c r="B31" s="88"/>
      <c r="D31" s="70"/>
      <c r="E31" s="70"/>
      <c r="F31" s="89"/>
      <c r="H31" s="373"/>
      <c r="I31" s="13"/>
      <c r="J31" s="90" t="s">
        <v>27517</v>
      </c>
      <c r="K31" s="90" t="s">
        <v>27518</v>
      </c>
      <c r="L31" s="17" t="s">
        <v>2052</v>
      </c>
      <c r="M31" s="72"/>
    </row>
    <row r="32" spans="2:13" ht="6" customHeight="1" x14ac:dyDescent="0.25">
      <c r="B32" s="91"/>
    </row>
    <row r="33" spans="1:16" s="98" customFormat="1" ht="30" customHeight="1" x14ac:dyDescent="0.2">
      <c r="B33" s="99" t="str">
        <f>n1Inputs_4AConsolidation</f>
        <v>A Délimitation organisationnelle (approche de consolidation)</v>
      </c>
      <c r="C33" s="99"/>
      <c r="D33" s="99"/>
      <c r="E33" s="99"/>
      <c r="F33" s="99"/>
      <c r="G33" s="99"/>
      <c r="H33" s="101"/>
      <c r="I33" s="95" t="s">
        <v>2148</v>
      </c>
      <c r="J33" s="374"/>
      <c r="K33" s="374"/>
      <c r="L33" s="375">
        <f>SUM(L35:L38)/COUNT(L35:L38)</f>
        <v>0</v>
      </c>
      <c r="M33" s="100"/>
      <c r="N33" s="100"/>
      <c r="O33" s="100"/>
      <c r="P33" s="101"/>
    </row>
    <row r="34" spans="1:16" ht="6" customHeight="1" x14ac:dyDescent="0.25">
      <c r="B34" s="102"/>
      <c r="C34" s="103"/>
      <c r="D34" s="104"/>
      <c r="E34" s="104"/>
      <c r="F34" s="105"/>
      <c r="G34" s="106"/>
      <c r="J34" s="376"/>
      <c r="K34" s="376"/>
      <c r="L34" s="377"/>
      <c r="M34" s="96"/>
      <c r="N34" s="107"/>
      <c r="O34" s="107"/>
    </row>
    <row r="35" spans="1:16" ht="30" customHeight="1" x14ac:dyDescent="0.2">
      <c r="B35" s="717" t="str">
        <f>n1Inputs_4AConsolidation_Text1</f>
        <v>Quelle approche de consolidation souhaitez-vous utiliser (aide dans le User Manual (chap. 3.1) ; approche la plus couramment utilisée : Contrôle opérationnel) ?</v>
      </c>
      <c r="C35" s="718"/>
      <c r="D35" s="718"/>
      <c r="E35" s="439"/>
      <c r="F35" s="369"/>
      <c r="G35" s="108"/>
      <c r="H35" s="92" t="s">
        <v>28258</v>
      </c>
      <c r="I35" s="95" t="s">
        <v>2149</v>
      </c>
      <c r="J35" s="376" t="s">
        <v>2054</v>
      </c>
      <c r="K35" s="378" t="str" cm="1">
        <f t="array" ref="K35">_xlfn.XLOOKUP(
   F35,
   _xlfn.TOCOL(_xlfn.HSTACK(
      Lists_1GeneralInput[DE Name],
      Lists_1GeneralInput[FR Name],
      Lists_1GeneralInput[IT Name]
   )),
   _xlfn.TOCOL(_xlfn.HSTACK(
      Lists_1GeneralInput[EN Name],
      Lists_1GeneralInput[EN Name],
      Lists_1GeneralInput[EN Name]
   )),
   "missing input"
)</f>
        <v>missing input</v>
      </c>
      <c r="L35" s="375">
        <f>IF(GenInp_ConsolAppr&lt;&gt;"missing input",1,0)</f>
        <v>0</v>
      </c>
      <c r="M35" s="96"/>
      <c r="N35" s="107"/>
      <c r="O35" s="107"/>
    </row>
    <row r="36" spans="1:16" ht="6" customHeight="1" x14ac:dyDescent="0.25">
      <c r="B36" s="109"/>
      <c r="C36" s="17"/>
      <c r="D36" s="110"/>
      <c r="E36" s="110"/>
      <c r="F36" s="71"/>
      <c r="G36" s="108"/>
      <c r="J36" s="376"/>
      <c r="K36" s="376"/>
      <c r="L36" s="377"/>
      <c r="M36" s="96"/>
      <c r="N36" s="107"/>
      <c r="O36" s="107"/>
    </row>
    <row r="37" spans="1:16" ht="6" customHeight="1" x14ac:dyDescent="0.2">
      <c r="B37" s="111"/>
      <c r="C37" s="112"/>
      <c r="D37" s="112"/>
      <c r="E37" s="112"/>
      <c r="F37" s="113"/>
      <c r="G37" s="114"/>
      <c r="J37" s="376"/>
      <c r="K37" s="376"/>
      <c r="L37" s="377"/>
      <c r="M37" s="96"/>
      <c r="N37" s="107"/>
      <c r="O37" s="107"/>
    </row>
    <row r="38" spans="1:16" ht="30" customHeight="1" x14ac:dyDescent="0.2">
      <c r="B38" s="713" t="str">
        <f>IF(GenInp_ConsolAppr="Operational Control",Lists!B331,Lists!B332)</f>
        <v>La majorité de vos biens loués en amont et aval sont-ils en location type "Bail d'exploitation" ou "Bail financier"?
(aide dans le User Manual)</v>
      </c>
      <c r="C38" s="714"/>
      <c r="D38" s="714"/>
      <c r="E38" s="115"/>
      <c r="F38" s="369"/>
      <c r="G38" s="108"/>
      <c r="H38" s="92" t="s">
        <v>28259</v>
      </c>
      <c r="I38" s="276" t="s">
        <v>27408</v>
      </c>
      <c r="J38" s="376" t="s">
        <v>2054</v>
      </c>
      <c r="K38" s="378" t="str" cm="1">
        <f t="array" ref="K38">IF(GenInp_ConsolAppr="Operational Control","Lease type not relevant",
_xlfn.XLOOKUP(
   F38,
   _xlfn.TOCOL(_xlfn.HSTACK(
      Lists_1GeneralInput[DE Name],
      Lists_1GeneralInput[FR Name],
      Lists_1GeneralInput[IT Name]
   )),
   _xlfn.TOCOL(_xlfn.HSTACK(
      Lists_1GeneralInput[EN Name],
      Lists_1GeneralInput[EN Name],
      Lists_1GeneralInput[EN Name]
   )),
   "missing input"
))</f>
        <v>missing input</v>
      </c>
      <c r="L38" s="375">
        <f>IF(GenInp_LeaseType&lt;&gt;"missing input",1,0)</f>
        <v>0</v>
      </c>
      <c r="M38" s="96"/>
      <c r="N38" s="107"/>
      <c r="O38" s="107"/>
    </row>
    <row r="39" spans="1:16" ht="6" customHeight="1" x14ac:dyDescent="0.25">
      <c r="B39" s="116"/>
      <c r="C39" s="117"/>
      <c r="D39" s="118"/>
      <c r="E39" s="118"/>
      <c r="F39" s="119"/>
      <c r="G39" s="120"/>
      <c r="J39" s="376"/>
      <c r="K39" s="376"/>
      <c r="L39" s="377"/>
      <c r="M39" s="96"/>
      <c r="N39" s="107"/>
      <c r="O39" s="107"/>
    </row>
    <row r="40" spans="1:16" ht="30" customHeight="1" x14ac:dyDescent="0.2">
      <c r="A40" s="121"/>
      <c r="B40" s="122"/>
      <c r="C40" s="122"/>
      <c r="D40" s="122"/>
      <c r="E40" s="122"/>
      <c r="F40" s="123"/>
      <c r="J40" s="376"/>
      <c r="K40" s="379"/>
      <c r="L40" s="380"/>
      <c r="M40" s="124"/>
      <c r="N40" s="107"/>
      <c r="O40" s="107"/>
    </row>
    <row r="41" spans="1:16" s="125" customFormat="1" ht="30" customHeight="1" x14ac:dyDescent="0.2">
      <c r="B41" s="99" t="str">
        <f>n1Inputs_5BScopes</f>
        <v>B Périmètre du bilan (Scopes)</v>
      </c>
      <c r="C41" s="99"/>
      <c r="D41" s="99"/>
      <c r="E41" s="99"/>
      <c r="F41" s="99"/>
      <c r="G41" s="99"/>
      <c r="I41" s="95" t="s">
        <v>2151</v>
      </c>
      <c r="J41" s="381"/>
      <c r="K41" s="381"/>
      <c r="L41" s="375">
        <f>L46</f>
        <v>0</v>
      </c>
      <c r="M41" s="126"/>
      <c r="N41" s="126"/>
      <c r="O41" s="126"/>
    </row>
    <row r="42" spans="1:16" ht="6" customHeight="1" x14ac:dyDescent="0.2">
      <c r="B42" s="127"/>
      <c r="C42" s="128"/>
      <c r="D42" s="128"/>
      <c r="E42" s="128"/>
      <c r="F42" s="129"/>
      <c r="G42" s="106"/>
      <c r="J42" s="376"/>
      <c r="K42" s="376"/>
      <c r="L42" s="382"/>
      <c r="M42" s="107"/>
      <c r="N42" s="107"/>
      <c r="O42" s="107"/>
    </row>
    <row r="43" spans="1:16" ht="30" customHeight="1" x14ac:dyDescent="0.2">
      <c r="A43" s="121"/>
      <c r="B43" s="721" t="str">
        <f>n1Inputs_5BScopes_Text1</f>
        <v>Pour les feuilles de route net-zéro, il est obligatoire d’inclure les émissions de Scope 1 et 2.</v>
      </c>
      <c r="C43" s="714"/>
      <c r="D43" s="714"/>
      <c r="E43" s="115"/>
      <c r="F43" s="131"/>
      <c r="G43" s="108"/>
      <c r="I43" s="95" t="s">
        <v>2152</v>
      </c>
      <c r="J43" s="376" t="s">
        <v>2056</v>
      </c>
      <c r="K43" s="378"/>
      <c r="L43" s="380" t="s">
        <v>2057</v>
      </c>
      <c r="M43" s="124"/>
      <c r="N43" s="107" t="s">
        <v>2058</v>
      </c>
      <c r="O43" s="107"/>
    </row>
    <row r="44" spans="1:16" ht="6" customHeight="1" x14ac:dyDescent="0.2">
      <c r="A44" s="121"/>
      <c r="B44" s="132"/>
      <c r="C44" s="133"/>
      <c r="D44" s="133"/>
      <c r="E44" s="133"/>
      <c r="F44" s="134"/>
      <c r="G44" s="135"/>
      <c r="J44" s="376"/>
      <c r="K44" s="376"/>
      <c r="L44" s="377"/>
      <c r="M44" s="96"/>
      <c r="N44" s="107"/>
      <c r="O44" s="107"/>
    </row>
    <row r="45" spans="1:16" ht="6" customHeight="1" x14ac:dyDescent="0.2">
      <c r="A45" s="121"/>
      <c r="B45" s="130"/>
      <c r="C45" s="115"/>
      <c r="D45" s="115"/>
      <c r="E45" s="115"/>
      <c r="F45" s="131"/>
      <c r="G45" s="108"/>
      <c r="J45" s="376"/>
      <c r="K45" s="376"/>
      <c r="L45" s="377"/>
      <c r="M45" s="96"/>
      <c r="N45" s="107"/>
      <c r="O45" s="107"/>
    </row>
    <row r="46" spans="1:16" ht="30" customHeight="1" x14ac:dyDescent="0.2">
      <c r="A46" s="121"/>
      <c r="B46" s="721" t="str">
        <f>n1Inputs_5BScopes_Text2</f>
        <v>Souhaitez-vous également inclure les émissions du Scope 3 dans le bilan (recommandé afin d'obtenir une vue d'ensemble et dans le cadre des feuilles de route net-zéro) ?</v>
      </c>
      <c r="C46" s="714"/>
      <c r="D46" s="714"/>
      <c r="E46" s="115"/>
      <c r="F46" s="369"/>
      <c r="G46" s="108"/>
      <c r="H46" s="92" t="s">
        <v>28260</v>
      </c>
      <c r="I46" s="95" t="s">
        <v>2153</v>
      </c>
      <c r="J46" s="376" t="s">
        <v>2059</v>
      </c>
      <c r="K46" s="378" t="str" cm="1">
        <f t="array" ref="K46">IF(F46="","Yes",_xlfn.XLOOKUP(
   F46,
   _xlfn.TOCOL(_xlfn.HSTACK(
      Lists_1GeneralInput[DE Name],
      Lists_1GeneralInput[FR Name],
      Lists_1GeneralInput[IT Name]
   )),
   _xlfn.TOCOL(_xlfn.HSTACK(
      Lists_1GeneralInput[EN Name],
      Lists_1GeneralInput[EN Name],
      Lists_1GeneralInput[EN Name]
   )),
   "missing input"
))</f>
        <v>Yes</v>
      </c>
      <c r="L46" s="375">
        <f>IF(F46&lt;&gt;"",1,0)</f>
        <v>0</v>
      </c>
      <c r="M46" s="124"/>
      <c r="N46" s="107" t="s">
        <v>2060</v>
      </c>
      <c r="O46" s="107"/>
    </row>
    <row r="47" spans="1:16" ht="6" customHeight="1" x14ac:dyDescent="0.2">
      <c r="A47" s="121"/>
      <c r="B47" s="136"/>
      <c r="C47" s="137"/>
      <c r="D47" s="137"/>
      <c r="E47" s="137"/>
      <c r="F47" s="138"/>
      <c r="G47" s="120"/>
      <c r="J47" s="376"/>
      <c r="K47" s="376"/>
      <c r="L47" s="380"/>
      <c r="M47" s="124"/>
      <c r="N47" s="107"/>
      <c r="O47" s="107"/>
    </row>
    <row r="48" spans="1:16" ht="30" customHeight="1" x14ac:dyDescent="0.2">
      <c r="A48" s="121"/>
      <c r="B48" s="122"/>
      <c r="C48" s="122"/>
      <c r="D48" s="122"/>
      <c r="E48" s="122"/>
      <c r="F48" s="123"/>
      <c r="J48" s="376"/>
      <c r="K48" s="376"/>
      <c r="L48" s="380"/>
      <c r="M48" s="124"/>
      <c r="N48" s="107"/>
      <c r="O48" s="107"/>
    </row>
    <row r="49" spans="2:15" s="98" customFormat="1" ht="30" customHeight="1" x14ac:dyDescent="0.2">
      <c r="B49" s="99" t="str">
        <f>n1Inputs_6CDirectEmissions</f>
        <v>C Sources d’émissions opérationnelles - Émissions directes</v>
      </c>
      <c r="C49" s="99"/>
      <c r="D49" s="99"/>
      <c r="E49" s="99"/>
      <c r="F49" s="99"/>
      <c r="G49" s="99"/>
      <c r="H49" s="199"/>
      <c r="I49" s="95" t="s">
        <v>2155</v>
      </c>
      <c r="J49" s="374"/>
      <c r="K49" s="374"/>
      <c r="L49" s="375" cm="1">
        <f t="array" ref="L49">SUMPRODUCT((K50:K72&lt;&gt;"")*(K50:K72&lt;&gt;"missing input"))/COUNTA(K50:K72)</f>
        <v>0</v>
      </c>
      <c r="M49" s="139"/>
      <c r="N49" s="140" t="s">
        <v>2061</v>
      </c>
      <c r="O49" s="140" t="s">
        <v>2062</v>
      </c>
    </row>
    <row r="50" spans="2:15" ht="6" customHeight="1" x14ac:dyDescent="0.25">
      <c r="B50" s="141"/>
      <c r="C50" s="142"/>
      <c r="D50" s="143"/>
      <c r="E50" s="143"/>
      <c r="F50" s="105"/>
      <c r="G50" s="106"/>
      <c r="H50" s="91"/>
      <c r="J50" s="376"/>
      <c r="K50" s="376"/>
      <c r="L50" s="377"/>
      <c r="M50" s="96"/>
      <c r="N50" s="144"/>
      <c r="O50" s="144"/>
    </row>
    <row r="51" spans="2:15" ht="30" customHeight="1" x14ac:dyDescent="0.2">
      <c r="B51" s="719" t="str">
        <f>n1Inputs_6CDirectEmissions_Text1</f>
        <v>Votre entreprise utilise-t-elle ou possède-t-elle des bâtiments ou des installations (achat d’électricité ou de chauffage, ou production d’énergie) ?</v>
      </c>
      <c r="C51" s="720"/>
      <c r="D51" s="720"/>
      <c r="E51" s="436"/>
      <c r="F51" s="369"/>
      <c r="G51" s="108"/>
      <c r="H51" s="92" t="s">
        <v>28261</v>
      </c>
      <c r="I51" s="95" t="s">
        <v>2158</v>
      </c>
      <c r="J51" s="376" t="s">
        <v>2064</v>
      </c>
      <c r="K51" s="378" t="str" cm="1">
        <f t="array" ref="K51">_xlfn.XLOOKUP(
   F51,
   _xlfn.TOCOL(_xlfn.HSTACK(
      Lists_1GeneralInput[DE Name],
      Lists_1GeneralInput[FR Name],
      Lists_1GeneralInput[IT Name]
   )),
   _xlfn.TOCOL(_xlfn.HSTACK(
      Lists_1GeneralInput[EN Name],
      Lists_1GeneralInput[EN Name],
      Lists_1GeneralInput[EN Name]
   )),
   "missing input"
)</f>
        <v>missing input</v>
      </c>
      <c r="L51" s="375">
        <f>IF(K51&lt;&gt;"missing input",1,0)</f>
        <v>0</v>
      </c>
      <c r="M51" s="96"/>
      <c r="N51" s="107" t="s">
        <v>2065</v>
      </c>
      <c r="O51" s="107"/>
    </row>
    <row r="52" spans="2:15" ht="6" customHeight="1" x14ac:dyDescent="0.2">
      <c r="B52" s="145"/>
      <c r="C52" s="146"/>
      <c r="D52" s="147"/>
      <c r="E52" s="147"/>
      <c r="F52" s="148"/>
      <c r="G52" s="135"/>
      <c r="J52" s="376"/>
      <c r="K52" s="376"/>
      <c r="L52" s="377"/>
      <c r="M52" s="96"/>
      <c r="N52" s="107"/>
      <c r="O52" s="107"/>
    </row>
    <row r="53" spans="2:15" ht="6" customHeight="1" x14ac:dyDescent="0.2">
      <c r="B53" s="149"/>
      <c r="C53" s="150"/>
      <c r="D53" s="90"/>
      <c r="E53" s="90"/>
      <c r="F53" s="151"/>
      <c r="G53" s="108"/>
      <c r="J53" s="376"/>
      <c r="K53" s="376"/>
      <c r="L53" s="377"/>
      <c r="M53" s="96"/>
      <c r="N53" s="107"/>
      <c r="O53" s="107"/>
    </row>
    <row r="54" spans="2:15" ht="30.75" customHeight="1" x14ac:dyDescent="0.2">
      <c r="B54" s="722" t="str">
        <f>IF(
 OR(F51="Nein", F51="Non", F51="No"),
 "",
 n1Inputs_6CDirectEmissions_Text101
)</f>
        <v>Votre entreprise utilise-t-elle des espaces ou des installations opérationnellement pertinents qui ne lui appartiennent pas (approvisionnement en électricité/chaleur/énergie via un contrat de location/bail) ?</v>
      </c>
      <c r="C54" s="723"/>
      <c r="D54" s="723"/>
      <c r="E54" s="437"/>
      <c r="F54" s="369"/>
      <c r="G54" s="108"/>
      <c r="H54" s="92" t="s">
        <v>29002</v>
      </c>
      <c r="I54" s="95" t="s">
        <v>27409</v>
      </c>
      <c r="J54" s="376" t="s">
        <v>2066</v>
      </c>
      <c r="K54" s="378" t="str" cm="1">
        <f t="array" ref="K54">_xlfn.XLOOKUP(
   F54,
   _xlfn.TOCOL(_xlfn.HSTACK(
      Lists_1GeneralInput[DE Name],
      Lists_1GeneralInput[FR Name],
      Lists_1GeneralInput[IT Name]
   )),
   _xlfn.TOCOL(_xlfn.HSTACK(
      Lists_1GeneralInput[EN Name],
      Lists_1GeneralInput[EN Name],
      Lists_1GeneralInput[EN Name]
   )),
   IF(K51="No","not relevant","missing input")
)</f>
        <v>missing input</v>
      </c>
      <c r="L54" s="375">
        <f>IF(K54&lt;&gt;"missing input",1,0)</f>
        <v>0</v>
      </c>
      <c r="M54" s="96"/>
      <c r="N54" s="107"/>
      <c r="O54" s="107"/>
    </row>
    <row r="55" spans="2:15" ht="6.75" customHeight="1" x14ac:dyDescent="0.2">
      <c r="B55" s="145"/>
      <c r="C55" s="146"/>
      <c r="D55" s="147"/>
      <c r="E55" s="147"/>
      <c r="F55" s="148"/>
      <c r="G55" s="135"/>
      <c r="J55" s="376"/>
      <c r="K55" s="376"/>
      <c r="L55" s="377"/>
      <c r="M55" s="96"/>
      <c r="N55" s="107"/>
      <c r="O55" s="107"/>
    </row>
    <row r="56" spans="2:15" ht="6" customHeight="1" x14ac:dyDescent="0.2">
      <c r="B56" s="152"/>
      <c r="C56" s="25"/>
      <c r="D56" s="90"/>
      <c r="E56" s="90"/>
      <c r="F56" s="151"/>
      <c r="G56" s="108"/>
      <c r="J56" s="376"/>
      <c r="K56" s="376"/>
      <c r="L56" s="377"/>
      <c r="M56" s="96"/>
      <c r="N56" s="107"/>
      <c r="O56" s="107"/>
    </row>
    <row r="57" spans="2:15" ht="30" customHeight="1" x14ac:dyDescent="0.2">
      <c r="B57" s="722" t="str">
        <f>IF(
 OR(F51="Nein", F51="Non", F51="No"),
 "",
 n1Inputs_6CDirectEmissions_Text102
)</f>
        <v>Votre entreprise possède-t-elle des espaces ou des installations utilisés par d’autres entreprises ? (approvisionnement en électricité/chauffage/énergie auprès de tiers via un contrat de location/bail) ?</v>
      </c>
      <c r="C57" s="723"/>
      <c r="D57" s="723"/>
      <c r="E57" s="437"/>
      <c r="F57" s="369"/>
      <c r="G57" s="108"/>
      <c r="H57" s="92" t="s">
        <v>29003</v>
      </c>
      <c r="I57" s="95" t="s">
        <v>27410</v>
      </c>
      <c r="J57" s="376" t="s">
        <v>2067</v>
      </c>
      <c r="K57" s="378" t="str" cm="1">
        <f t="array" ref="K57">_xlfn.XLOOKUP(
   F57,
   _xlfn.TOCOL(_xlfn.HSTACK(
      Lists_1GeneralInput[DE Name],
      Lists_1GeneralInput[FR Name],
      Lists_1GeneralInput[IT Name]
   )),
   _xlfn.TOCOL(_xlfn.HSTACK(
      Lists_1GeneralInput[EN Name],
      Lists_1GeneralInput[EN Name],
      Lists_1GeneralInput[EN Name]
   )),
   IF(K51="No","not relevant","missing input")
)</f>
        <v>missing input</v>
      </c>
      <c r="L57" s="375">
        <f>IF(K57&lt;&gt;"missing input",1,0)</f>
        <v>0</v>
      </c>
      <c r="M57" s="96"/>
      <c r="O57" s="107"/>
    </row>
    <row r="58" spans="2:15" ht="6" customHeight="1" x14ac:dyDescent="0.2">
      <c r="B58" s="145"/>
      <c r="C58" s="146"/>
      <c r="D58" s="147"/>
      <c r="E58" s="147"/>
      <c r="F58" s="148"/>
      <c r="G58" s="135"/>
      <c r="J58" s="376"/>
      <c r="K58" s="376"/>
      <c r="L58" s="377"/>
      <c r="M58" s="96"/>
      <c r="N58" s="107"/>
      <c r="O58" s="107"/>
    </row>
    <row r="59" spans="2:15" ht="6" customHeight="1" x14ac:dyDescent="0.2">
      <c r="B59" s="153"/>
      <c r="C59" s="25"/>
      <c r="D59" s="90"/>
      <c r="E59" s="90"/>
      <c r="F59" s="151"/>
      <c r="G59" s="108"/>
      <c r="J59" s="376"/>
      <c r="K59" s="376"/>
      <c r="L59" s="377"/>
      <c r="M59" s="96"/>
      <c r="N59" s="107"/>
      <c r="O59" s="107"/>
    </row>
    <row r="60" spans="2:15" s="93" customFormat="1" ht="30" customHeight="1" x14ac:dyDescent="0.2">
      <c r="B60" s="724" t="str">
        <f>n1Inputs_6CDirectEmissions_Text2</f>
        <v>Votre entreprise produit-elle des émissions directes de gaz à effet de serre (par exemple CO2, CH4, N2O, NF3, SF6) issues de procédés industriels (par exemple, calcination de chaux et de ciment, production d’engrais, fusion des métaux, procédés verre/céramique, fermentation) ?</v>
      </c>
      <c r="C60" s="725"/>
      <c r="D60" s="725"/>
      <c r="E60" s="435"/>
      <c r="F60" s="369"/>
      <c r="G60" s="154"/>
      <c r="H60" s="93" t="s">
        <v>28262</v>
      </c>
      <c r="I60" s="95" t="s">
        <v>2160</v>
      </c>
      <c r="J60" s="376" t="s">
        <v>2070</v>
      </c>
      <c r="K60" s="378" t="str" cm="1">
        <f t="array" ref="K60">_xlfn.XLOOKUP(
   F60,
   _xlfn.TOCOL(_xlfn.HSTACK(
      Lists_1GeneralInput[DE Name],
      Lists_1GeneralInput[FR Name],
      Lists_1GeneralInput[IT Name]
   )),
   _xlfn.TOCOL(_xlfn.HSTACK(
      Lists_1GeneralInput[EN Name],
      Lists_1GeneralInput[EN Name],
      Lists_1GeneralInput[EN Name]
   )),
   "missing input"
)</f>
        <v>missing input</v>
      </c>
      <c r="L60" s="375">
        <f>IF(K60&lt;&gt;"missing input",1,0)</f>
        <v>0</v>
      </c>
      <c r="M60" s="124"/>
      <c r="N60" s="155" t="s">
        <v>2071</v>
      </c>
      <c r="O60" s="155"/>
    </row>
    <row r="61" spans="2:15" ht="6" customHeight="1" x14ac:dyDescent="0.2">
      <c r="B61" s="145"/>
      <c r="C61" s="146"/>
      <c r="D61" s="147"/>
      <c r="E61" s="147"/>
      <c r="F61" s="148"/>
      <c r="G61" s="135"/>
      <c r="J61" s="376"/>
      <c r="K61" s="376"/>
      <c r="L61" s="377"/>
      <c r="M61" s="96"/>
      <c r="N61" s="107"/>
      <c r="O61" s="107"/>
    </row>
    <row r="62" spans="2:15" ht="6" customHeight="1" x14ac:dyDescent="0.2">
      <c r="B62" s="156"/>
      <c r="C62" s="17"/>
      <c r="D62" s="90"/>
      <c r="E62" s="90"/>
      <c r="F62" s="151"/>
      <c r="G62" s="108"/>
      <c r="J62" s="376"/>
      <c r="K62" s="376"/>
      <c r="L62" s="377"/>
      <c r="M62" s="96"/>
      <c r="N62" s="107"/>
      <c r="O62" s="107"/>
    </row>
    <row r="63" spans="2:15" ht="30" customHeight="1" x14ac:dyDescent="0.2">
      <c r="B63" s="719" t="str">
        <f>n1Inputs_6CDirectEmissions_Text3</f>
        <v>Vos activités professionnelles génèrent-elles des émissions fugitives (par exemple, réfrigérant, COV, SF6, fuites de méthane) ?</v>
      </c>
      <c r="C63" s="720"/>
      <c r="D63" s="720"/>
      <c r="E63" s="436"/>
      <c r="F63" s="369"/>
      <c r="G63" s="108"/>
      <c r="H63" s="92" t="s">
        <v>28263</v>
      </c>
      <c r="I63" s="95" t="s">
        <v>2162</v>
      </c>
      <c r="J63" s="376" t="s">
        <v>2073</v>
      </c>
      <c r="K63" s="378" t="str" cm="1">
        <f t="array" ref="K63">_xlfn.XLOOKUP(
   F63,
   _xlfn.TOCOL(_xlfn.HSTACK(
      Lists_1GeneralInput[DE Name],
      Lists_1GeneralInput[FR Name],
      Lists_1GeneralInput[IT Name]
   )),
   _xlfn.TOCOL(_xlfn.HSTACK(
      Lists_1GeneralInput[EN Name],
      Lists_1GeneralInput[EN Name],
      Lists_1GeneralInput[EN Name]
   )),
   "missing input"
)</f>
        <v>missing input</v>
      </c>
      <c r="L63" s="375">
        <f>IF(K63&lt;&gt;"missing input",1,0)</f>
        <v>0</v>
      </c>
      <c r="M63" s="96"/>
      <c r="N63" s="107" t="s">
        <v>2071</v>
      </c>
      <c r="O63" s="107"/>
    </row>
    <row r="64" spans="2:15" ht="6" customHeight="1" x14ac:dyDescent="0.2">
      <c r="B64" s="145"/>
      <c r="C64" s="146"/>
      <c r="D64" s="147"/>
      <c r="E64" s="147"/>
      <c r="F64" s="148"/>
      <c r="G64" s="135"/>
      <c r="J64" s="376"/>
      <c r="K64" s="376"/>
      <c r="L64" s="377"/>
      <c r="M64" s="96"/>
      <c r="N64" s="107"/>
      <c r="O64" s="107"/>
    </row>
    <row r="65" spans="1:15" ht="6" customHeight="1" x14ac:dyDescent="0.2">
      <c r="B65" s="156"/>
      <c r="C65" s="17"/>
      <c r="D65" s="90"/>
      <c r="E65" s="90"/>
      <c r="F65" s="151"/>
      <c r="G65" s="108"/>
      <c r="J65" s="376"/>
      <c r="K65" s="376"/>
      <c r="L65" s="377"/>
      <c r="M65" s="96"/>
      <c r="N65" s="107"/>
      <c r="O65" s="107"/>
    </row>
    <row r="66" spans="1:15" ht="30" customHeight="1" x14ac:dyDescent="0.2">
      <c r="B66" s="719" t="str">
        <f>n1Inputs_6CDirectEmissions_Text4</f>
        <v>Votre entreprise utilise-t-elle des véhicules ou des machines mobiles (consommation de carburant) ?</v>
      </c>
      <c r="C66" s="720"/>
      <c r="D66" s="720"/>
      <c r="E66" s="436"/>
      <c r="F66" s="369"/>
      <c r="G66" s="108"/>
      <c r="H66" s="92" t="s">
        <v>28264</v>
      </c>
      <c r="I66" s="95" t="s">
        <v>2165</v>
      </c>
      <c r="J66" s="376" t="s">
        <v>2075</v>
      </c>
      <c r="K66" s="378" t="str" cm="1">
        <f t="array" ref="K66">_xlfn.XLOOKUP(
   F66,
   _xlfn.TOCOL(_xlfn.HSTACK(
      Lists_1GeneralInput[DE Name],
      Lists_1GeneralInput[FR Name],
      Lists_1GeneralInput[IT Name]
   )),
   _xlfn.TOCOL(_xlfn.HSTACK(
      Lists_1GeneralInput[EN Name],
      Lists_1GeneralInput[EN Name],
      Lists_1GeneralInput[EN Name]
   )),
   "missing input"
)</f>
        <v>missing input</v>
      </c>
      <c r="L66" s="375">
        <f>IF(K66&lt;&gt;"missing input",1,0)</f>
        <v>0</v>
      </c>
      <c r="M66" s="96"/>
      <c r="N66" s="107" t="s">
        <v>2076</v>
      </c>
      <c r="O66" s="107"/>
    </row>
    <row r="67" spans="1:15" ht="6" customHeight="1" x14ac:dyDescent="0.2">
      <c r="B67" s="145"/>
      <c r="C67" s="146"/>
      <c r="D67" s="147"/>
      <c r="E67" s="147"/>
      <c r="F67" s="148"/>
      <c r="G67" s="135"/>
      <c r="J67" s="376"/>
      <c r="K67" s="376"/>
      <c r="L67" s="377"/>
      <c r="M67" s="96"/>
      <c r="N67" s="107"/>
      <c r="O67" s="107"/>
    </row>
    <row r="68" spans="1:15" ht="6" customHeight="1" x14ac:dyDescent="0.2">
      <c r="B68" s="156"/>
      <c r="C68" s="17"/>
      <c r="D68" s="90"/>
      <c r="E68" s="90"/>
      <c r="F68" s="151"/>
      <c r="G68" s="108"/>
      <c r="J68" s="376"/>
      <c r="K68" s="376"/>
      <c r="L68" s="377"/>
      <c r="M68" s="96"/>
      <c r="N68" s="107"/>
      <c r="O68" s="107"/>
    </row>
    <row r="69" spans="1:15" ht="30" customHeight="1" x14ac:dyDescent="0.2">
      <c r="B69" s="726" t="str">
        <f>IF(K66="No","",n1Inputs_6CDirectEmissions_Text401)</f>
        <v>Votre entreprise loue-t-elle des véhicules ou des machines mobiles auprès d’autres entreprises ?</v>
      </c>
      <c r="C69" s="727"/>
      <c r="D69" s="727"/>
      <c r="E69" s="438"/>
      <c r="F69" s="369"/>
      <c r="G69" s="108"/>
      <c r="H69" s="92" t="s">
        <v>29004</v>
      </c>
      <c r="I69" s="95" t="s">
        <v>27411</v>
      </c>
      <c r="J69" s="376" t="s">
        <v>2077</v>
      </c>
      <c r="K69" s="378" t="str" cm="1">
        <f t="array" ref="K69">_xlfn.XLOOKUP(
   F69,
   _xlfn.TOCOL(_xlfn.HSTACK(
      Lists_1GeneralInput[DE Name],
      Lists_1GeneralInput[FR Name],
      Lists_1GeneralInput[IT Name]
   )),
   _xlfn.TOCOL(_xlfn.HSTACK(
      Lists_1GeneralInput[EN Name],
      Lists_1GeneralInput[EN Name],
      Lists_1GeneralInput[EN Name]
   )),
   IF(K66="no","not relevant","missing input")
)</f>
        <v>missing input</v>
      </c>
      <c r="L69" s="375">
        <f>IF(K69&lt;&gt;"missing input",1,0)</f>
        <v>0</v>
      </c>
      <c r="M69" s="96"/>
      <c r="N69" s="107">
        <v>3.3</v>
      </c>
      <c r="O69" s="107"/>
    </row>
    <row r="70" spans="1:15" ht="6" customHeight="1" x14ac:dyDescent="0.2">
      <c r="B70" s="145"/>
      <c r="C70" s="146"/>
      <c r="D70" s="147"/>
      <c r="E70" s="147"/>
      <c r="F70" s="148"/>
      <c r="G70" s="135"/>
      <c r="J70" s="376"/>
      <c r="K70" s="376"/>
      <c r="L70" s="377"/>
      <c r="M70" s="96"/>
      <c r="N70" s="107"/>
      <c r="O70" s="107"/>
    </row>
    <row r="71" spans="1:15" ht="6" customHeight="1" x14ac:dyDescent="0.2">
      <c r="B71" s="156"/>
      <c r="C71" s="17"/>
      <c r="D71" s="90"/>
      <c r="E71" s="90"/>
      <c r="F71" s="151"/>
      <c r="G71" s="108"/>
      <c r="J71" s="376"/>
      <c r="K71" s="376"/>
      <c r="L71" s="377"/>
      <c r="M71" s="96"/>
      <c r="N71" s="107"/>
      <c r="O71" s="107"/>
    </row>
    <row r="72" spans="1:15" ht="30" customHeight="1" x14ac:dyDescent="0.2">
      <c r="B72" s="726" t="str">
        <f>IF(K66="No","",n1Inputs_6CDirectEmissions_Text402)</f>
        <v>Votre entreprise loue-t-elle des véhicules à des tiers externes ?</v>
      </c>
      <c r="C72" s="727"/>
      <c r="D72" s="727"/>
      <c r="E72" s="438"/>
      <c r="F72" s="369"/>
      <c r="G72" s="108"/>
      <c r="H72" s="92" t="s">
        <v>29005</v>
      </c>
      <c r="I72" s="95" t="s">
        <v>27412</v>
      </c>
      <c r="J72" s="376" t="s">
        <v>2078</v>
      </c>
      <c r="K72" s="378" t="str" cm="1">
        <f t="array" ref="K72">_xlfn.XLOOKUP(
   F72,
   _xlfn.TOCOL(_xlfn.HSTACK(
      Lists_1GeneralInput[DE Name],
      Lists_1GeneralInput[FR Name],
      Lists_1GeneralInput[IT Name]
   )),
   _xlfn.TOCOL(_xlfn.HSTACK(
      Lists_1GeneralInput[EN Name],
      Lists_1GeneralInput[EN Name],
      Lists_1GeneralInput[EN Name]
   )),
   IF(K66="no","not relevant","missing input")
)</f>
        <v>missing input</v>
      </c>
      <c r="L72" s="375">
        <f>IF(K72&lt;&gt;"missing input",1,0)</f>
        <v>0</v>
      </c>
      <c r="M72" s="96"/>
      <c r="O72" s="107" t="s">
        <v>2079</v>
      </c>
    </row>
    <row r="73" spans="1:15" ht="6" customHeight="1" x14ac:dyDescent="0.2">
      <c r="B73" s="157"/>
      <c r="C73" s="158"/>
      <c r="D73" s="159"/>
      <c r="E73" s="159"/>
      <c r="F73" s="160"/>
      <c r="G73" s="120"/>
      <c r="J73" s="376"/>
      <c r="K73" s="376"/>
      <c r="L73" s="377"/>
      <c r="M73" s="96"/>
      <c r="N73" s="107"/>
      <c r="O73" s="107"/>
    </row>
    <row r="74" spans="1:15" ht="30" customHeight="1" x14ac:dyDescent="0.2">
      <c r="A74" s="121"/>
      <c r="B74" s="161"/>
      <c r="C74" s="161"/>
      <c r="D74" s="161"/>
      <c r="E74" s="161"/>
      <c r="F74" s="162"/>
      <c r="J74" s="376"/>
      <c r="K74" s="376"/>
      <c r="L74" s="380"/>
      <c r="M74" s="124"/>
      <c r="O74" s="107"/>
    </row>
    <row r="75" spans="1:15" s="125" customFormat="1" ht="30" customHeight="1" x14ac:dyDescent="0.2">
      <c r="B75" s="99" t="str">
        <f>n1Inputs_7DIndirectEmissions</f>
        <v>D Sources d’émissions opérationnelles - Émissions indirectes</v>
      </c>
      <c r="C75" s="99"/>
      <c r="D75" s="99"/>
      <c r="E75" s="99"/>
      <c r="F75" s="99"/>
      <c r="G75" s="99"/>
      <c r="H75" s="356"/>
      <c r="I75" s="95" t="s">
        <v>2168</v>
      </c>
      <c r="J75" s="381"/>
      <c r="K75" s="381"/>
      <c r="L75" s="375">
        <f>SUM(L77:L98)/COUNT(L77:L98)</f>
        <v>0</v>
      </c>
      <c r="M75" s="163"/>
      <c r="N75" s="164"/>
      <c r="O75" s="164" t="s">
        <v>2062</v>
      </c>
    </row>
    <row r="76" spans="1:15" ht="6" customHeight="1" x14ac:dyDescent="0.25">
      <c r="B76" s="165"/>
      <c r="C76" s="166"/>
      <c r="D76" s="166"/>
      <c r="E76" s="166"/>
      <c r="F76" s="167"/>
      <c r="G76" s="106"/>
      <c r="H76" s="91"/>
      <c r="J76" s="376"/>
      <c r="K76" s="376"/>
      <c r="L76" s="377"/>
      <c r="M76" s="96"/>
      <c r="N76" s="144"/>
      <c r="O76" s="144"/>
    </row>
    <row r="77" spans="1:15" ht="30" customHeight="1" x14ac:dyDescent="0.2">
      <c r="B77" s="719" t="str">
        <f>n1Inputs_7DIndirectEmissions_Text1</f>
        <v>Votre entreprise a-t-elle réalisé des investissements importants dans les biens d’équipement (par exemple, bâtiments, véhicules, machines) au cours de l’année du bilan ?</v>
      </c>
      <c r="C77" s="720"/>
      <c r="D77" s="720"/>
      <c r="E77" s="436"/>
      <c r="F77" s="370"/>
      <c r="G77" s="108"/>
      <c r="H77" s="92" t="s">
        <v>28265</v>
      </c>
      <c r="I77" s="95" t="s">
        <v>2171</v>
      </c>
      <c r="J77" s="376" t="s">
        <v>2082</v>
      </c>
      <c r="K77" s="378" t="str" cm="1">
        <f t="array" ref="K77">_xlfn.XLOOKUP(
   F77,
   _xlfn.TOCOL(_xlfn.HSTACK(
      Lists_1GeneralInput[DE Name],
      Lists_1GeneralInput[FR Name],
      Lists_1GeneralInput[IT Name]
   )),
   _xlfn.TOCOL(_xlfn.HSTACK(
      Lists_1GeneralInput[EN Name],
      Lists_1GeneralInput[EN Name],
      Lists_1GeneralInput[EN Name]
   )),
   "missing input"
)</f>
        <v>missing input</v>
      </c>
      <c r="L77" s="375">
        <f>IF(K77&lt;&gt;"missing input",1,0)</f>
        <v>0</v>
      </c>
      <c r="M77" s="96"/>
      <c r="N77" s="107" t="s">
        <v>2083</v>
      </c>
      <c r="O77" s="107"/>
    </row>
    <row r="78" spans="1:15" ht="6" customHeight="1" x14ac:dyDescent="0.2">
      <c r="B78" s="145"/>
      <c r="C78" s="168"/>
      <c r="D78" s="147"/>
      <c r="E78" s="147"/>
      <c r="F78" s="148"/>
      <c r="G78" s="135"/>
      <c r="J78" s="376"/>
      <c r="K78" s="376"/>
      <c r="L78" s="377"/>
      <c r="M78" s="96"/>
      <c r="N78" s="107"/>
      <c r="O78" s="107"/>
    </row>
    <row r="79" spans="1:15" ht="6" customHeight="1" x14ac:dyDescent="0.2">
      <c r="B79" s="156"/>
      <c r="C79" s="17"/>
      <c r="D79" s="90"/>
      <c r="E79" s="90"/>
      <c r="F79" s="169"/>
      <c r="G79" s="108"/>
      <c r="J79" s="376"/>
      <c r="K79" s="376"/>
      <c r="L79" s="377"/>
      <c r="M79" s="96"/>
      <c r="N79" s="107"/>
      <c r="O79" s="107"/>
    </row>
    <row r="80" spans="1:15" ht="30" customHeight="1" x14ac:dyDescent="0.2">
      <c r="B80" s="719" t="str">
        <f>n1Inputs_7DIndirectEmissions_Text2</f>
        <v>Les employés utilisent-ils les transports publics ou privés pour leurs déplacements professionnels (par exemple, voiture privée, avion, train) ?</v>
      </c>
      <c r="C80" s="720"/>
      <c r="D80" s="720"/>
      <c r="E80" s="436"/>
      <c r="F80" s="370"/>
      <c r="G80" s="108"/>
      <c r="H80" s="92" t="s">
        <v>28266</v>
      </c>
      <c r="I80" s="95" t="s">
        <v>2172</v>
      </c>
      <c r="J80" s="376" t="s">
        <v>2085</v>
      </c>
      <c r="K80" s="378" t="str" cm="1">
        <f t="array" ref="K80">_xlfn.XLOOKUP(
   F80,
   _xlfn.TOCOL(_xlfn.HSTACK(
      Lists_1GeneralInput[DE Name],
      Lists_1GeneralInput[FR Name],
      Lists_1GeneralInput[IT Name]
   )),
   _xlfn.TOCOL(_xlfn.HSTACK(
      Lists_1GeneralInput[EN Name],
      Lists_1GeneralInput[EN Name],
      Lists_1GeneralInput[EN Name]
   )),
   "missing input"
)</f>
        <v>missing input</v>
      </c>
      <c r="L80" s="375">
        <f>IF(K80&lt;&gt;"missing input",1,0)</f>
        <v>0</v>
      </c>
      <c r="M80" s="96"/>
      <c r="N80" s="107" t="s">
        <v>2086</v>
      </c>
      <c r="O80" s="107"/>
    </row>
    <row r="81" spans="1:15" ht="6" customHeight="1" x14ac:dyDescent="0.2">
      <c r="B81" s="145"/>
      <c r="C81" s="168"/>
      <c r="D81" s="147"/>
      <c r="E81" s="147"/>
      <c r="F81" s="148"/>
      <c r="G81" s="135"/>
      <c r="J81" s="376"/>
      <c r="K81" s="376"/>
      <c r="L81" s="377"/>
      <c r="M81" s="96"/>
      <c r="N81" s="107"/>
      <c r="O81" s="107"/>
    </row>
    <row r="82" spans="1:15" ht="6" customHeight="1" x14ac:dyDescent="0.2">
      <c r="B82" s="156"/>
      <c r="C82" s="17"/>
      <c r="D82" s="90"/>
      <c r="E82" s="90"/>
      <c r="F82" s="169"/>
      <c r="G82" s="108"/>
      <c r="J82" s="376"/>
      <c r="K82" s="376"/>
      <c r="L82" s="377"/>
      <c r="M82" s="96"/>
      <c r="N82" s="107"/>
      <c r="O82" s="107"/>
    </row>
    <row r="83" spans="1:15" ht="30" customHeight="1" x14ac:dyDescent="0.2">
      <c r="B83" s="719" t="str">
        <f>n1Inputs_7DIndirectEmissions_Text3</f>
        <v>L’entreprise collecte-t-elle des informations sur les trajets domicile-travail des employés (par exemple, des enquêtes sur les transports et la distance) ?</v>
      </c>
      <c r="C83" s="720"/>
      <c r="D83" s="720"/>
      <c r="E83" s="436"/>
      <c r="F83" s="370"/>
      <c r="G83" s="108"/>
      <c r="H83" s="92" t="s">
        <v>28267</v>
      </c>
      <c r="I83" s="95" t="s">
        <v>2175</v>
      </c>
      <c r="J83" s="376" t="s">
        <v>2088</v>
      </c>
      <c r="K83" s="378" t="str" cm="1">
        <f t="array" ref="K83">_xlfn.XLOOKUP(
   F83,
   _xlfn.TOCOL(_xlfn.HSTACK(
      Lists_1GeneralInput[DE Name],
      Lists_1GeneralInput[FR Name],
      Lists_1GeneralInput[IT Name]
   )),
   _xlfn.TOCOL(_xlfn.HSTACK(
      Lists_1GeneralInput[EN Name],
      Lists_1GeneralInput[EN Name],
      Lists_1GeneralInput[EN Name]
   )),
   "missing input"
)</f>
        <v>missing input</v>
      </c>
      <c r="L83" s="375">
        <f>IF(K83&lt;&gt;"missing input",1,0)</f>
        <v>0</v>
      </c>
      <c r="M83" s="96"/>
      <c r="N83" s="107" t="s">
        <v>2089</v>
      </c>
      <c r="O83" s="107"/>
    </row>
    <row r="84" spans="1:15" ht="6" customHeight="1" x14ac:dyDescent="0.2">
      <c r="B84" s="145"/>
      <c r="C84" s="168"/>
      <c r="D84" s="147"/>
      <c r="E84" s="147"/>
      <c r="F84" s="148"/>
      <c r="G84" s="135"/>
      <c r="J84" s="376"/>
      <c r="K84" s="376"/>
      <c r="L84" s="377"/>
      <c r="M84" s="96"/>
      <c r="N84" s="107"/>
      <c r="O84" s="107"/>
    </row>
    <row r="85" spans="1:15" ht="6" customHeight="1" x14ac:dyDescent="0.2">
      <c r="B85" s="156"/>
      <c r="C85" s="17"/>
      <c r="D85" s="90"/>
      <c r="E85" s="90"/>
      <c r="F85" s="169"/>
      <c r="G85" s="108"/>
      <c r="J85" s="376"/>
      <c r="K85" s="376"/>
      <c r="L85" s="377"/>
      <c r="M85" s="96"/>
      <c r="N85" s="107"/>
      <c r="O85" s="107"/>
    </row>
    <row r="86" spans="1:15" ht="30" customHeight="1" x14ac:dyDescent="0.2">
      <c r="B86" s="719" t="str">
        <f>n1Inputs_7DIndirectEmissions_Text4</f>
        <v>Votre entreprise vend-elle des produits physiques ou des produits intermédiaires ?</v>
      </c>
      <c r="C86" s="720"/>
      <c r="D86" s="720"/>
      <c r="E86" s="436"/>
      <c r="F86" s="370"/>
      <c r="G86" s="108"/>
      <c r="H86" s="92" t="s">
        <v>28268</v>
      </c>
      <c r="I86" s="95" t="s">
        <v>2178</v>
      </c>
      <c r="J86" s="376" t="s">
        <v>2091</v>
      </c>
      <c r="K86" s="378" t="str" cm="1">
        <f t="array" ref="K86">_xlfn.XLOOKUP(
   F86,
   _xlfn.TOCOL(_xlfn.HSTACK(
      Lists_1GeneralInput[DE Name],
      Lists_1GeneralInput[FR Name],
      Lists_1GeneralInput[IT Name]
   )),
   _xlfn.TOCOL(_xlfn.HSTACK(
      Lists_1GeneralInput[EN Name],
      Lists_1GeneralInput[EN Name],
      Lists_1GeneralInput[EN Name]
   )),
   "missing input"
)</f>
        <v>missing input</v>
      </c>
      <c r="L86" s="375">
        <f>IF(K86&lt;&gt;"missing input",1,0)</f>
        <v>0</v>
      </c>
      <c r="M86" s="96"/>
      <c r="N86" s="107" t="s">
        <v>2092</v>
      </c>
      <c r="O86" s="107"/>
    </row>
    <row r="87" spans="1:15" ht="6" customHeight="1" x14ac:dyDescent="0.2">
      <c r="B87" s="145"/>
      <c r="C87" s="168"/>
      <c r="D87" s="147"/>
      <c r="E87" s="147"/>
      <c r="F87" s="148"/>
      <c r="G87" s="135"/>
      <c r="J87" s="376"/>
      <c r="K87" s="376"/>
      <c r="L87" s="377"/>
      <c r="M87" s="96"/>
      <c r="N87" s="107"/>
      <c r="O87" s="107"/>
    </row>
    <row r="88" spans="1:15" ht="6" customHeight="1" x14ac:dyDescent="0.2">
      <c r="B88" s="156"/>
      <c r="C88" s="17"/>
      <c r="D88" s="90"/>
      <c r="E88" s="90"/>
      <c r="F88" s="169"/>
      <c r="G88" s="108"/>
      <c r="J88" s="376"/>
      <c r="K88" s="376"/>
      <c r="L88" s="377"/>
      <c r="M88" s="96"/>
      <c r="N88" s="107"/>
      <c r="O88" s="107"/>
    </row>
    <row r="89" spans="1:15" ht="30" customHeight="1" x14ac:dyDescent="0.2">
      <c r="A89" s="170"/>
      <c r="B89" s="719" t="str">
        <f>n1Inputs_7DIndirectEmissions_Text5</f>
        <v>Votre entreprise vend-elle des produits intermédiaires qui sont ensuite transformés par d’autres ?</v>
      </c>
      <c r="C89" s="720"/>
      <c r="D89" s="720"/>
      <c r="E89" s="436"/>
      <c r="F89" s="370"/>
      <c r="G89" s="108"/>
      <c r="H89" s="92" t="s">
        <v>28269</v>
      </c>
      <c r="I89" s="95" t="s">
        <v>2180</v>
      </c>
      <c r="J89" s="376" t="s">
        <v>2094</v>
      </c>
      <c r="K89" s="378" t="str" cm="1">
        <f t="array" ref="K89">_xlfn.XLOOKUP(
   F89,
   _xlfn.TOCOL(_xlfn.HSTACK(
      Lists_1GeneralInput[DE Name],
      Lists_1GeneralInput[FR Name],
      Lists_1GeneralInput[IT Name]
   )),
   _xlfn.TOCOL(_xlfn.HSTACK(
      Lists_1GeneralInput[EN Name],
      Lists_1GeneralInput[EN Name],
      Lists_1GeneralInput[EN Name]
   )),
   "missing input"
)</f>
        <v>missing input</v>
      </c>
      <c r="L89" s="375">
        <f>IF(K89&lt;&gt;"missing input",1,0)</f>
        <v>0</v>
      </c>
      <c r="M89" s="96"/>
      <c r="N89" s="107" t="s">
        <v>2095</v>
      </c>
      <c r="O89" s="107"/>
    </row>
    <row r="90" spans="1:15" ht="6" customHeight="1" x14ac:dyDescent="0.2">
      <c r="B90" s="145"/>
      <c r="C90" s="168"/>
      <c r="D90" s="147"/>
      <c r="E90" s="147"/>
      <c r="F90" s="148"/>
      <c r="G90" s="135"/>
      <c r="J90" s="376"/>
      <c r="K90" s="376"/>
      <c r="L90" s="377"/>
      <c r="M90" s="96"/>
      <c r="N90" s="107"/>
      <c r="O90" s="107"/>
    </row>
    <row r="91" spans="1:15" ht="6" customHeight="1" x14ac:dyDescent="0.2">
      <c r="A91" s="170"/>
      <c r="B91" s="156"/>
      <c r="C91" s="17"/>
      <c r="D91" s="90"/>
      <c r="E91" s="90"/>
      <c r="F91" s="169"/>
      <c r="G91" s="108"/>
      <c r="J91" s="376"/>
      <c r="K91" s="376"/>
      <c r="L91" s="377"/>
      <c r="M91" s="96"/>
      <c r="N91" s="107"/>
      <c r="O91" s="107"/>
    </row>
    <row r="92" spans="1:15" ht="30" customHeight="1" x14ac:dyDescent="0.2">
      <c r="A92" s="170"/>
      <c r="B92" s="724" t="str">
        <f>n1Inputs_7DIndirectEmissions_Text6</f>
        <v>Votre entreprise vend-elle des produits dont l’utilisation par les clients nécessite de l’énergie ou provoque des émissions (par exemple, consommation d’électricité, consommation de carburant) ?</v>
      </c>
      <c r="C92" s="725"/>
      <c r="D92" s="725"/>
      <c r="E92" s="435"/>
      <c r="F92" s="370"/>
      <c r="G92" s="108"/>
      <c r="H92" s="92" t="s">
        <v>28270</v>
      </c>
      <c r="I92" s="95" t="s">
        <v>2182</v>
      </c>
      <c r="J92" s="376" t="s">
        <v>2097</v>
      </c>
      <c r="K92" s="378" t="str" cm="1">
        <f t="array" ref="K92">_xlfn.XLOOKUP(
   F92,
   _xlfn.TOCOL(_xlfn.HSTACK(
      Lists_1GeneralInput[DE Name],
      Lists_1GeneralInput[FR Name],
      Lists_1GeneralInput[IT Name]
   )),
   _xlfn.TOCOL(_xlfn.HSTACK(
      Lists_1GeneralInput[EN Name],
      Lists_1GeneralInput[EN Name],
      Lists_1GeneralInput[EN Name]
   )),
   "missing input"
)</f>
        <v>missing input</v>
      </c>
      <c r="L92" s="375">
        <f>IF(K92&lt;&gt;"missing input",1,0)</f>
        <v>0</v>
      </c>
      <c r="M92" s="96"/>
      <c r="N92" s="107" t="s">
        <v>2098</v>
      </c>
      <c r="O92" s="107"/>
    </row>
    <row r="93" spans="1:15" ht="6" customHeight="1" x14ac:dyDescent="0.2">
      <c r="B93" s="145"/>
      <c r="C93" s="168"/>
      <c r="D93" s="147"/>
      <c r="E93" s="147"/>
      <c r="F93" s="148"/>
      <c r="G93" s="135"/>
      <c r="J93" s="376"/>
      <c r="K93" s="376"/>
      <c r="L93" s="377"/>
      <c r="M93" s="96"/>
      <c r="N93" s="107"/>
      <c r="O93" s="107"/>
    </row>
    <row r="94" spans="1:15" ht="6" customHeight="1" x14ac:dyDescent="0.2">
      <c r="B94" s="156"/>
      <c r="C94" s="17"/>
      <c r="D94" s="90"/>
      <c r="E94" s="90"/>
      <c r="F94" s="169"/>
      <c r="G94" s="108"/>
      <c r="J94" s="376"/>
      <c r="K94" s="376"/>
      <c r="L94" s="377"/>
      <c r="M94" s="96"/>
      <c r="N94" s="107"/>
      <c r="O94" s="107"/>
    </row>
    <row r="95" spans="1:15" ht="30" customHeight="1" x14ac:dyDescent="0.2">
      <c r="B95" s="719" t="str">
        <f>n1Inputs_7DIndirectEmissions_Text7</f>
        <v>Votre entreprise accorde-t-elle des licences de franchise à des tiers qui exploitent leurs propres sites ?</v>
      </c>
      <c r="C95" s="720"/>
      <c r="D95" s="720"/>
      <c r="E95" s="436"/>
      <c r="F95" s="370"/>
      <c r="G95" s="108"/>
      <c r="H95" s="92" t="s">
        <v>28271</v>
      </c>
      <c r="I95" s="95" t="s">
        <v>2184</v>
      </c>
      <c r="J95" s="376" t="s">
        <v>2099</v>
      </c>
      <c r="K95" s="378" t="str" cm="1">
        <f t="array" ref="K95">_xlfn.XLOOKUP(
   F95,
   _xlfn.TOCOL(_xlfn.HSTACK(
      Lists_1GeneralInput[DE Name],
      Lists_1GeneralInput[FR Name],
      Lists_1GeneralInput[IT Name]
   )),
   _xlfn.TOCOL(_xlfn.HSTACK(
      Lists_1GeneralInput[EN Name],
      Lists_1GeneralInput[EN Name],
      Lists_1GeneralInput[EN Name]
   )),
   "missing input"
)</f>
        <v>missing input</v>
      </c>
      <c r="L95" s="375">
        <f>IF(K95&lt;&gt;"missing input",1,0)</f>
        <v>0</v>
      </c>
      <c r="M95" s="96"/>
      <c r="N95" s="107" t="s">
        <v>2100</v>
      </c>
      <c r="O95" s="107"/>
    </row>
    <row r="96" spans="1:15" ht="6" customHeight="1" x14ac:dyDescent="0.2">
      <c r="B96" s="145"/>
      <c r="C96" s="168"/>
      <c r="D96" s="147"/>
      <c r="E96" s="147"/>
      <c r="F96" s="148"/>
      <c r="G96" s="135"/>
      <c r="J96" s="376"/>
      <c r="K96" s="376"/>
      <c r="L96" s="377"/>
      <c r="M96" s="96"/>
      <c r="N96" s="107"/>
      <c r="O96" s="107"/>
    </row>
    <row r="97" spans="1:15" ht="6" customHeight="1" x14ac:dyDescent="0.2">
      <c r="B97" s="156"/>
      <c r="C97" s="17"/>
      <c r="D97" s="90"/>
      <c r="E97" s="90"/>
      <c r="F97" s="169"/>
      <c r="G97" s="108"/>
      <c r="J97" s="376"/>
      <c r="K97" s="376"/>
      <c r="L97" s="377"/>
      <c r="M97" s="96"/>
      <c r="N97" s="107"/>
      <c r="O97" s="107"/>
    </row>
    <row r="98" spans="1:15" ht="30" customHeight="1" x14ac:dyDescent="0.2">
      <c r="B98" s="719" t="str">
        <f>n1Inputs_7DIndirectEmissions_Text8</f>
        <v>Votre entreprise détient-elle des actions ou des instruments financiers (investissements en actions ou en dette) dans d’autres sociétés ou projets ?</v>
      </c>
      <c r="C98" s="720"/>
      <c r="D98" s="720"/>
      <c r="E98" s="436"/>
      <c r="F98" s="370"/>
      <c r="G98" s="108"/>
      <c r="H98" s="92" t="s">
        <v>28272</v>
      </c>
      <c r="I98" s="95" t="s">
        <v>2186</v>
      </c>
      <c r="J98" s="376" t="s">
        <v>2102</v>
      </c>
      <c r="K98" s="378" t="str" cm="1">
        <f t="array" ref="K98">_xlfn.XLOOKUP(
   F98,
   _xlfn.TOCOL(_xlfn.HSTACK(
      Lists_1GeneralInput[DE Name],
      Lists_1GeneralInput[FR Name],
      Lists_1GeneralInput[IT Name]
   )),
   _xlfn.TOCOL(_xlfn.HSTACK(
      Lists_1GeneralInput[EN Name],
      Lists_1GeneralInput[EN Name],
      Lists_1GeneralInput[EN Name]
   )),
   "missing input"
)</f>
        <v>missing input</v>
      </c>
      <c r="L98" s="375">
        <f>IF(K98&lt;&gt;"missing input",1,0)</f>
        <v>0</v>
      </c>
      <c r="M98" s="96"/>
      <c r="N98" s="107" t="s">
        <v>2103</v>
      </c>
      <c r="O98" s="107"/>
    </row>
    <row r="99" spans="1:15" ht="6" customHeight="1" x14ac:dyDescent="0.25">
      <c r="B99" s="171"/>
      <c r="C99" s="172"/>
      <c r="D99" s="173"/>
      <c r="E99" s="173"/>
      <c r="F99" s="119"/>
      <c r="G99" s="120"/>
      <c r="J99" s="376"/>
      <c r="K99" s="376"/>
      <c r="L99" s="377"/>
      <c r="M99" s="96"/>
      <c r="N99" s="107"/>
      <c r="O99" s="107"/>
    </row>
    <row r="100" spans="1:15" ht="30" customHeight="1" x14ac:dyDescent="0.2">
      <c r="D100" s="92"/>
      <c r="E100" s="92"/>
      <c r="F100" s="92"/>
      <c r="J100" s="379"/>
      <c r="K100" s="376"/>
      <c r="L100" s="377"/>
      <c r="M100" s="96"/>
      <c r="N100" s="107"/>
      <c r="O100" s="107"/>
    </row>
    <row r="101" spans="1:15" s="98" customFormat="1" ht="30" customHeight="1" x14ac:dyDescent="0.2">
      <c r="B101" s="99" t="str">
        <f>n1Inputs_8EUBP</f>
        <v>E Autres émissions environnementales</v>
      </c>
      <c r="C101" s="99"/>
      <c r="D101" s="99"/>
      <c r="E101" s="99"/>
      <c r="F101" s="99"/>
      <c r="G101" s="99"/>
      <c r="I101" s="95" t="s">
        <v>2189</v>
      </c>
      <c r="J101" s="374"/>
      <c r="K101" s="374"/>
      <c r="L101" s="375">
        <f>SUM(L103:L104)/COUNT(L103:L104)</f>
        <v>0</v>
      </c>
      <c r="M101" s="139"/>
      <c r="N101" s="140"/>
      <c r="O101" s="174"/>
    </row>
    <row r="102" spans="1:15" ht="6" customHeight="1" x14ac:dyDescent="0.25">
      <c r="B102" s="175"/>
      <c r="C102" s="167"/>
      <c r="D102" s="167"/>
      <c r="E102" s="167"/>
      <c r="F102" s="167"/>
      <c r="G102" s="106"/>
      <c r="J102" s="376"/>
      <c r="K102" s="376"/>
      <c r="L102" s="377"/>
      <c r="M102" s="96"/>
      <c r="N102" s="144"/>
      <c r="O102" s="107"/>
    </row>
    <row r="103" spans="1:15" ht="30" customHeight="1" x14ac:dyDescent="0.2">
      <c r="A103" s="121"/>
      <c r="B103" s="724" t="str">
        <f>n1Inputs_8EUBP_Text1</f>
        <v>Votre entreprise utilise-t-elle des produits chimiques ou de grandes quantités de détergents, exploite-t-elle sa propre station d'épuration ou de traitement des eaux, ou ses activités génèrent-elles d'autres émissions environnementales pertinentes en plus des émissions de gaz à effet de serre?</v>
      </c>
      <c r="C103" s="725"/>
      <c r="D103" s="725"/>
      <c r="E103" s="435"/>
      <c r="F103" s="370"/>
      <c r="G103" s="108"/>
      <c r="H103" s="92" t="s">
        <v>28273</v>
      </c>
      <c r="I103" s="95" t="s">
        <v>2192</v>
      </c>
      <c r="J103" s="376"/>
      <c r="K103" s="378" t="str" cm="1">
        <f t="array" ref="K103">_xlfn.XLOOKUP(
   F103,
   _xlfn.TOCOL(_xlfn.HSTACK(
      Lists_1GeneralInput[DE Name],
      Lists_1GeneralInput[FR Name],
      Lists_1GeneralInput[IT Name]
   )),
   _xlfn.TOCOL(_xlfn.HSTACK(
      Lists_1GeneralInput[EN Name],
      Lists_1GeneralInput[EN Name],
      Lists_1GeneralInput[EN Name]
   )),
   "missing input"
)</f>
        <v>missing input</v>
      </c>
      <c r="L103" s="375">
        <f>IF(K103&lt;&gt;"missing input",1,0)</f>
        <v>0</v>
      </c>
      <c r="M103" s="96"/>
      <c r="N103" s="107" t="s">
        <v>2105</v>
      </c>
      <c r="O103" s="107"/>
    </row>
    <row r="104" spans="1:15" ht="6" customHeight="1" x14ac:dyDescent="0.2">
      <c r="B104" s="284"/>
      <c r="C104" s="117"/>
      <c r="D104" s="285"/>
      <c r="E104" s="285"/>
      <c r="F104" s="286"/>
      <c r="G104" s="120"/>
      <c r="J104" s="376"/>
      <c r="K104" s="376"/>
      <c r="L104" s="377"/>
      <c r="M104" s="96"/>
      <c r="N104" s="107"/>
      <c r="O104" s="107"/>
    </row>
    <row r="105" spans="1:15" x14ac:dyDescent="0.25">
      <c r="J105" s="376"/>
      <c r="K105" s="376"/>
      <c r="L105" s="377"/>
      <c r="M105" s="96"/>
      <c r="N105" s="107"/>
      <c r="O105" s="107"/>
    </row>
    <row r="106" spans="1:15" ht="15.75" x14ac:dyDescent="0.25">
      <c r="L106" s="176"/>
      <c r="M106" s="176"/>
      <c r="N106" s="107"/>
      <c r="O106" s="107"/>
    </row>
    <row r="107" spans="1:15" ht="15.75" x14ac:dyDescent="0.2">
      <c r="D107" s="177"/>
      <c r="E107" s="177"/>
      <c r="F107" s="177"/>
      <c r="L107" s="176"/>
      <c r="M107" s="177"/>
    </row>
    <row r="108" spans="1:15" ht="15.75" x14ac:dyDescent="0.2">
      <c r="D108" s="177"/>
      <c r="E108" s="177"/>
      <c r="F108" s="177"/>
    </row>
  </sheetData>
  <sheetProtection sheet="1" selectLockedCells="1"/>
  <mergeCells count="30">
    <mergeCell ref="B103:D103"/>
    <mergeCell ref="B83:D83"/>
    <mergeCell ref="B86:D86"/>
    <mergeCell ref="B89:D89"/>
    <mergeCell ref="B92:D92"/>
    <mergeCell ref="B95:D95"/>
    <mergeCell ref="B98:D98"/>
    <mergeCell ref="B80:D80"/>
    <mergeCell ref="B43:D43"/>
    <mergeCell ref="B46:D46"/>
    <mergeCell ref="B51:D51"/>
    <mergeCell ref="B54:D54"/>
    <mergeCell ref="B57:D57"/>
    <mergeCell ref="B60:D60"/>
    <mergeCell ref="B63:D63"/>
    <mergeCell ref="B66:D66"/>
    <mergeCell ref="B69:D69"/>
    <mergeCell ref="B72:D72"/>
    <mergeCell ref="B77:D77"/>
    <mergeCell ref="B38:D38"/>
    <mergeCell ref="F2:G2"/>
    <mergeCell ref="B8:G8"/>
    <mergeCell ref="B11:F11"/>
    <mergeCell ref="B18:D18"/>
    <mergeCell ref="B19:F19"/>
    <mergeCell ref="B20:D20"/>
    <mergeCell ref="B21:F21"/>
    <mergeCell ref="B22:D22"/>
    <mergeCell ref="B23:F23"/>
    <mergeCell ref="B35:D35"/>
  </mergeCells>
  <conditionalFormatting sqref="B26">
    <cfRule type="expression" dxfId="219" priority="39">
      <formula>$L$33=100%</formula>
    </cfRule>
  </conditionalFormatting>
  <conditionalFormatting sqref="B27">
    <cfRule type="expression" dxfId="218" priority="38">
      <formula>$L$41=100%</formula>
    </cfRule>
  </conditionalFormatting>
  <conditionalFormatting sqref="B28">
    <cfRule type="expression" dxfId="217" priority="37">
      <formula>$L$49=100%</formula>
    </cfRule>
  </conditionalFormatting>
  <conditionalFormatting sqref="B29">
    <cfRule type="expression" dxfId="216" priority="228">
      <formula>$L$75=100%</formula>
    </cfRule>
    <cfRule type="expression" dxfId="215" priority="227">
      <formula>$K$46="No"</formula>
    </cfRule>
  </conditionalFormatting>
  <conditionalFormatting sqref="B30">
    <cfRule type="expression" dxfId="214" priority="42">
      <formula>$L$101=100%</formula>
    </cfRule>
  </conditionalFormatting>
  <conditionalFormatting sqref="B19:F19">
    <cfRule type="expression" dxfId="213" priority="2">
      <formula>ISBLANK(B19)</formula>
    </cfRule>
  </conditionalFormatting>
  <conditionalFormatting sqref="B21:F21">
    <cfRule type="expression" dxfId="212" priority="3">
      <formula>ISBLANK(B21)</formula>
    </cfRule>
  </conditionalFormatting>
  <conditionalFormatting sqref="B23:F23">
    <cfRule type="expression" dxfId="211" priority="9">
      <formula>ISBLANK(B23)</formula>
    </cfRule>
  </conditionalFormatting>
  <conditionalFormatting sqref="B75:G99">
    <cfRule type="expression" dxfId="210" priority="1">
      <formula>$K$46="No"</formula>
    </cfRule>
  </conditionalFormatting>
  <conditionalFormatting sqref="B76:G99">
    <cfRule type="expression" dxfId="209" priority="10">
      <formula>$K$46="No"</formula>
    </cfRule>
  </conditionalFormatting>
  <conditionalFormatting sqref="F35">
    <cfRule type="expression" dxfId="208" priority="36">
      <formula>$L$35=0%</formula>
    </cfRule>
  </conditionalFormatting>
  <conditionalFormatting sqref="F38">
    <cfRule type="expression" dxfId="207" priority="4">
      <formula>$K$35="Operational Control"</formula>
    </cfRule>
    <cfRule type="expression" dxfId="206" priority="5">
      <formula>AND(NOT($K$35="Operational Control"),$L$38=0%)</formula>
    </cfRule>
  </conditionalFormatting>
  <conditionalFormatting sqref="F46">
    <cfRule type="expression" dxfId="205" priority="33">
      <formula>$L$46=0</formula>
    </cfRule>
  </conditionalFormatting>
  <conditionalFormatting sqref="F51">
    <cfRule type="expression" dxfId="204" priority="35">
      <formula>$L$51=0%</formula>
    </cfRule>
  </conditionalFormatting>
  <conditionalFormatting sqref="F54">
    <cfRule type="expression" dxfId="203" priority="31">
      <formula>$K$51="No"</formula>
    </cfRule>
    <cfRule type="expression" dxfId="202" priority="32">
      <formula>AND(NOT($K$51="No"), $L$54=0%)</formula>
    </cfRule>
    <cfRule type="expression" dxfId="201" priority="34">
      <formula>AND(NOT($K$51="No"), $L$54=100%)</formula>
    </cfRule>
  </conditionalFormatting>
  <conditionalFormatting sqref="F57">
    <cfRule type="expression" dxfId="200" priority="24">
      <formula>$K$51="No"</formula>
    </cfRule>
    <cfRule type="expression" dxfId="199" priority="25">
      <formula>AND(NOT(OR($K$51="No")), $L$57=0%)</formula>
    </cfRule>
    <cfRule type="expression" dxfId="198" priority="26">
      <formula>AND(NOT($K$51="No"), $L$57=100%)</formula>
    </cfRule>
  </conditionalFormatting>
  <conditionalFormatting sqref="F60">
    <cfRule type="expression" dxfId="197" priority="30">
      <formula>$L$60=0%</formula>
    </cfRule>
  </conditionalFormatting>
  <conditionalFormatting sqref="F63">
    <cfRule type="expression" dxfId="196" priority="29">
      <formula>$L$63=0%</formula>
    </cfRule>
  </conditionalFormatting>
  <conditionalFormatting sqref="F66">
    <cfRule type="expression" dxfId="195" priority="28">
      <formula>$L$66=0%</formula>
    </cfRule>
  </conditionalFormatting>
  <conditionalFormatting sqref="F69">
    <cfRule type="expression" dxfId="194" priority="22">
      <formula>AND($K$66&lt;&gt;"No", $L$69=0%)</formula>
    </cfRule>
    <cfRule type="expression" dxfId="193" priority="21">
      <formula>$K$66="No"</formula>
    </cfRule>
    <cfRule type="expression" dxfId="192" priority="23">
      <formula>AND($K$66&lt;&gt;"No", $L$69=100%)</formula>
    </cfRule>
  </conditionalFormatting>
  <conditionalFormatting sqref="F72">
    <cfRule type="expression" dxfId="191" priority="6">
      <formula>$K$66="No"</formula>
    </cfRule>
    <cfRule type="expression" dxfId="190" priority="7">
      <formula>AND($K$66&lt;&gt;"No", $L$72=0%)</formula>
    </cfRule>
    <cfRule type="expression" dxfId="189" priority="8">
      <formula>AND($K$66&lt;&gt;"No", $L$72=100%)</formula>
    </cfRule>
  </conditionalFormatting>
  <conditionalFormatting sqref="F77">
    <cfRule type="expression" dxfId="188" priority="27">
      <formula>ISBLANK(F77)</formula>
    </cfRule>
  </conditionalFormatting>
  <conditionalFormatting sqref="F80">
    <cfRule type="expression" dxfId="187" priority="17">
      <formula>ISBLANK(F80)</formula>
    </cfRule>
  </conditionalFormatting>
  <conditionalFormatting sqref="F83">
    <cfRule type="expression" dxfId="186" priority="16">
      <formula>ISBLANK(F83)</formula>
    </cfRule>
  </conditionalFormatting>
  <conditionalFormatting sqref="F86">
    <cfRule type="expression" dxfId="185" priority="15">
      <formula>ISBLANK(F86)</formula>
    </cfRule>
  </conditionalFormatting>
  <conditionalFormatting sqref="F89">
    <cfRule type="expression" dxfId="184" priority="14">
      <formula>ISBLANK(F89)</formula>
    </cfRule>
  </conditionalFormatting>
  <conditionalFormatting sqref="F92">
    <cfRule type="expression" dxfId="183" priority="13">
      <formula>ISBLANK(F92)</formula>
    </cfRule>
  </conditionalFormatting>
  <conditionalFormatting sqref="F95">
    <cfRule type="expression" dxfId="182" priority="12">
      <formula>ISBLANK(F95)</formula>
    </cfRule>
  </conditionalFormatting>
  <conditionalFormatting sqref="F98">
    <cfRule type="expression" dxfId="181" priority="11">
      <formula>ISBLANK(F98)</formula>
    </cfRule>
  </conditionalFormatting>
  <conditionalFormatting sqref="F103">
    <cfRule type="expression" dxfId="180" priority="20">
      <formula>ISBLANK(F103)</formula>
    </cfRule>
  </conditionalFormatting>
  <dataValidations count="2">
    <dataValidation type="list" allowBlank="1" showInputMessage="1" showErrorMessage="1" sqref="F62 F56 F59 F73" xr:uid="{A1B186D2-3449-4B6E-9EA2-580586E30775}">
      <formula1>$O$10:$O$10</formula1>
    </dataValidation>
    <dataValidation type="list" allowBlank="1" showInputMessage="1" showErrorMessage="1" sqref="F96:F97 F61 F55 L45:M45 F93:F94 F102 F70:F71 F52:F53 F64:F65 F67:F68 F78:F79 F81:F82 F84:F85 F87:F88 F90:F91 F99:F100 F104 F58" xr:uid="{BDEEC083-1AD9-47A9-BB0C-83D55854E7B1}">
      <formula1>$N$108:$N$109</formula1>
    </dataValidation>
  </dataValidations>
  <hyperlinks>
    <hyperlink ref="F2" location="'1 General Inputs '!A5" display="▲ Back to Top" xr:uid="{02311EC8-4AFB-401E-8032-3C46527D6432}"/>
    <hyperlink ref="C26" location="GenInp_HyperlinkA" display="GenInp_HyperlinkA" xr:uid="{D0F64C50-9BF0-4883-8CD1-D0A9AA3D84E7}"/>
    <hyperlink ref="C27" location="GenInp_HyperlinkB" display="GenInp_HyperlinkB" xr:uid="{63ECFEA5-C032-4EE0-9EA7-D60A1B7B8D44}"/>
    <hyperlink ref="C28" location="GenInp_HyperlinkD" display="GenInp_HyperlinkD" xr:uid="{1FBF9E14-D819-4AED-9BD3-C2BF925D8CA8}"/>
    <hyperlink ref="C29" location="GenInp_HyperlinkD" display="GenInp_HyperlinkD" xr:uid="{ADA4FFFF-FD46-41BD-8977-A5AAE9DD0760}"/>
    <hyperlink ref="C30" location="GenInp_HyperlinkE" display="GenInp_HyperlinkE" xr:uid="{F7537B06-F556-480C-A5DB-1476210DEB25}"/>
    <hyperlink ref="F2:G2" location="'1 General Inputs '!A6" display="▲ Back to top" xr:uid="{4DFC7FC5-AA37-4B0E-BE15-BBBB01D6DFA0}"/>
  </hyperlinks>
  <pageMargins left="0.7" right="0.7" top="0.78740157499999996" bottom="0.78740157499999996" header="0.3" footer="0.3"/>
  <pageSetup paperSize="9" orientation="portrait" r:id="rId1"/>
  <ignoredErrors>
    <ignoredError sqref="C26:C30"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2B0DD5B2-149D-4A9D-98A6-AFE658D45D70}">
          <x14:formula1>
            <xm:f>Lists!$B$321:$B$323</xm:f>
          </x14:formula1>
          <xm:sqref>F35</xm:sqref>
        </x14:dataValidation>
        <x14:dataValidation type="list" allowBlank="1" showInputMessage="1" showErrorMessage="1" xr:uid="{FADA485F-7CA0-4372-921D-2F66AA469FF1}">
          <x14:formula1>
            <xm:f>Lists!$B$325:$B$326</xm:f>
          </x14:formula1>
          <xm:sqref>F51 F103 F98 F95 F92 F89 F86 F83 F80 F77 F72 F69 F66 F63 F60 F57 F54 F46</xm:sqref>
        </x14:dataValidation>
        <x14:dataValidation type="list" allowBlank="1" showInputMessage="1" showErrorMessage="1" xr:uid="{9DFD94F4-D427-4F75-8CAF-6CE8EB644633}">
          <x14:formula1>
            <xm:f>Lists!$B$328:$B$329</xm:f>
          </x14:formula1>
          <xm:sqref>F38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2B66-0EA4-4564-8F69-6CF82A11357F}">
  <sheetPr codeName="Sheet4">
    <tabColor rgb="FFFFD5D5"/>
    <pageSetUpPr autoPageBreaks="0"/>
  </sheetPr>
  <dimension ref="A1:P960"/>
  <sheetViews>
    <sheetView zoomScaleNormal="100" workbookViewId="0">
      <pane ySplit="4" topLeftCell="A5" activePane="bottomLeft" state="frozen"/>
      <selection activeCell="B35" sqref="B35:E35"/>
      <selection pane="bottomLeft" activeCell="A6" sqref="A6"/>
    </sheetView>
  </sheetViews>
  <sheetFormatPr defaultColWidth="10.7109375" defaultRowHeight="14.25" x14ac:dyDescent="0.2"/>
  <cols>
    <col min="1" max="1" width="5.7109375" style="95" customWidth="1"/>
    <col min="2" max="2" width="4.42578125" style="92" customWidth="1"/>
    <col min="3" max="3" width="81.5703125" style="92" customWidth="1"/>
    <col min="4" max="4" width="32.28515625" style="92" bestFit="1" customWidth="1"/>
    <col min="5" max="5" width="25.7109375" style="92" customWidth="1"/>
    <col min="6" max="7" width="17.7109375" style="92" customWidth="1"/>
    <col min="8" max="8" width="4.42578125" style="92" customWidth="1"/>
    <col min="9" max="9" width="28.42578125" style="92" hidden="1" customWidth="1"/>
    <col min="10" max="10" width="52.28515625" style="92" hidden="1" customWidth="1"/>
    <col min="11" max="11" width="25.5703125" style="186" hidden="1" customWidth="1"/>
    <col min="12" max="12" width="22.28515625" style="92" hidden="1" customWidth="1"/>
    <col min="13" max="13" width="22" style="92" hidden="1" customWidth="1"/>
    <col min="14" max="14" width="19" style="92" hidden="1" customWidth="1"/>
    <col min="15" max="15" width="21.28515625" style="92" customWidth="1"/>
    <col min="16" max="16" width="16.7109375" style="92" customWidth="1"/>
    <col min="17" max="16384" width="10.7109375" style="92"/>
  </cols>
  <sheetData>
    <row r="1" spans="1:16" s="1" customFormat="1" ht="5.0999999999999996" customHeight="1" x14ac:dyDescent="0.2">
      <c r="A1" s="59"/>
    </row>
    <row r="2" spans="1:16" s="1" customFormat="1" ht="20.100000000000001" customHeight="1" x14ac:dyDescent="0.25">
      <c r="A2" s="59"/>
      <c r="C2" s="62"/>
      <c r="D2" s="63"/>
      <c r="E2" s="183"/>
      <c r="G2" s="702" t="s">
        <v>28812</v>
      </c>
      <c r="H2" s="703"/>
      <c r="I2" s="275" t="s">
        <v>28219</v>
      </c>
      <c r="J2" s="306" t="s">
        <v>27405</v>
      </c>
      <c r="N2" s="275" t="s">
        <v>29012</v>
      </c>
      <c r="O2" s="6"/>
      <c r="P2" s="6"/>
    </row>
    <row r="3" spans="1:16" s="1" customFormat="1" ht="5.0999999999999996" customHeight="1" x14ac:dyDescent="0.2">
      <c r="A3" s="59"/>
    </row>
    <row r="4" spans="1:16" s="64" customFormat="1" ht="5.0999999999999996" customHeight="1" x14ac:dyDescent="0.2">
      <c r="A4" s="67"/>
    </row>
    <row r="5" spans="1:16" s="10" customFormat="1" ht="10.15" customHeight="1" x14ac:dyDescent="0.2">
      <c r="A5" s="13"/>
      <c r="K5" s="178"/>
    </row>
    <row r="6" spans="1:16" s="10" customFormat="1" ht="30" x14ac:dyDescent="0.4">
      <c r="A6" s="414"/>
      <c r="B6" s="14" t="str">
        <f>n2Data</f>
        <v>Saisie des données de l’entreprise</v>
      </c>
      <c r="J6" s="13" t="s">
        <v>2194</v>
      </c>
      <c r="K6" s="178"/>
    </row>
    <row r="7" spans="1:16" s="10" customFormat="1" ht="7.15" customHeight="1" x14ac:dyDescent="0.4">
      <c r="A7" s="77"/>
      <c r="B7" s="73"/>
      <c r="J7" s="13"/>
      <c r="K7" s="178"/>
    </row>
    <row r="8" spans="1:16" s="10" customFormat="1" ht="31.5" customHeight="1" x14ac:dyDescent="0.2">
      <c r="A8" s="77"/>
      <c r="B8" s="700" t="str">
        <f>n2Data_Text1</f>
        <v>Ici, vous saisissez toutes les données de l’entreprise pour l’année de bilan de l’unité organisationnelle définie. Ces « données d’activité » sont au cœur du bilan. En fonction de vos saisies, les émissions sont automatiquement calculées dans le feuille de calcul suivante « 3 Calculation » et résumées sous « 4 Dashboard ».</v>
      </c>
      <c r="C8" s="700"/>
      <c r="D8" s="700"/>
      <c r="E8" s="700"/>
      <c r="F8" s="700"/>
      <c r="G8" s="700"/>
      <c r="H8" s="700"/>
      <c r="I8" s="16"/>
      <c r="J8" s="13" t="s">
        <v>2198</v>
      </c>
      <c r="K8" s="178"/>
      <c r="O8" s="16"/>
      <c r="P8" s="16"/>
    </row>
    <row r="9" spans="1:16" s="10" customFormat="1" ht="9.9499999999999993" customHeight="1" x14ac:dyDescent="0.2">
      <c r="A9" s="13"/>
      <c r="J9" s="13"/>
      <c r="K9" s="178"/>
    </row>
    <row r="10" spans="1:16" s="74" customFormat="1" ht="30" customHeight="1" x14ac:dyDescent="0.2">
      <c r="A10" s="77"/>
      <c r="B10" s="18" t="str">
        <f>n2Data_1Instruction</f>
        <v>Instructions</v>
      </c>
      <c r="J10" s="77" t="s">
        <v>2200</v>
      </c>
      <c r="K10" s="178"/>
    </row>
    <row r="11" spans="1:16" s="10" customFormat="1" ht="30" customHeight="1" x14ac:dyDescent="0.2">
      <c r="A11" s="77"/>
      <c r="B11" s="700" t="str">
        <f>n2Data_1Instruction_Text1</f>
        <v>La saisie des données de votre entreprise est divisée en cases thématiques (pas selon les Scopes). Suivez les instructions dans les cases et remplissez les champs concernés en utilisant le code couleur suivant :</v>
      </c>
      <c r="C11" s="700"/>
      <c r="D11" s="700"/>
      <c r="E11" s="700"/>
      <c r="F11" s="700"/>
      <c r="G11" s="700"/>
      <c r="H11" s="700"/>
      <c r="I11" s="16"/>
      <c r="J11" s="13" t="s">
        <v>2217</v>
      </c>
      <c r="K11" s="178"/>
      <c r="O11" s="16"/>
      <c r="P11" s="16"/>
    </row>
    <row r="12" spans="1:16" s="10" customFormat="1" ht="15" customHeight="1" x14ac:dyDescent="0.2">
      <c r="A12" s="13"/>
      <c r="B12" s="187"/>
      <c r="C12" s="82" t="str">
        <f>n2Data_1Instruction_Text2</f>
        <v>Les champs jaunes peuvent être remplis (menu déroulant ou entrées numériques).</v>
      </c>
      <c r="D12" s="16"/>
      <c r="E12" s="16"/>
      <c r="H12" s="188"/>
      <c r="I12" s="188"/>
      <c r="J12" s="13" t="s">
        <v>2219</v>
      </c>
      <c r="K12" s="178"/>
      <c r="O12" s="188"/>
      <c r="P12" s="188"/>
    </row>
    <row r="13" spans="1:16" s="10" customFormat="1" ht="6" customHeight="1" x14ac:dyDescent="0.2">
      <c r="A13" s="13"/>
      <c r="B13" s="16"/>
      <c r="C13" s="82"/>
      <c r="D13" s="16"/>
      <c r="E13" s="16"/>
      <c r="H13" s="188"/>
      <c r="I13" s="188"/>
      <c r="J13" s="80"/>
      <c r="K13" s="178"/>
      <c r="O13" s="188"/>
      <c r="P13" s="188"/>
    </row>
    <row r="14" spans="1:16" s="10" customFormat="1" ht="15" customHeight="1" x14ac:dyDescent="0.2">
      <c r="A14" s="13"/>
      <c r="B14" s="83"/>
      <c r="C14" s="82" t="str">
        <f>n2Data_1Instruction_Text3</f>
        <v>Les champs verts ont déjà été remplis et peuvent être ajustés à tout moment.</v>
      </c>
      <c r="D14" s="16"/>
      <c r="E14" s="16"/>
      <c r="H14" s="188"/>
      <c r="I14" s="188"/>
      <c r="J14" s="13" t="s">
        <v>2222</v>
      </c>
      <c r="K14" s="178"/>
      <c r="O14" s="188"/>
      <c r="P14" s="188"/>
    </row>
    <row r="15" spans="1:16" s="10" customFormat="1" ht="6" customHeight="1" x14ac:dyDescent="0.2">
      <c r="A15" s="13"/>
      <c r="B15" s="16"/>
      <c r="C15" s="82"/>
      <c r="D15" s="16"/>
      <c r="E15" s="16"/>
      <c r="H15" s="188"/>
      <c r="I15" s="188"/>
      <c r="J15" s="80"/>
      <c r="K15" s="178"/>
      <c r="O15" s="188"/>
      <c r="P15" s="188"/>
    </row>
    <row r="16" spans="1:16" s="10" customFormat="1" ht="15" customHeight="1" x14ac:dyDescent="0.2">
      <c r="A16" s="13"/>
      <c r="B16" s="189" t="s">
        <v>27134</v>
      </c>
      <c r="C16" s="190" t="str">
        <f>n2Data_1Instruction_Text4</f>
        <v>Les cases avec du texte grisé n’ont pas besoin d’être prises en compte (masquées en fonction de vos saisies sous 1 General Inputs).</v>
      </c>
      <c r="D16" s="16"/>
      <c r="E16" s="16"/>
      <c r="H16" s="188"/>
      <c r="I16" s="188"/>
      <c r="J16" s="13" t="s">
        <v>2223</v>
      </c>
      <c r="K16" s="178"/>
      <c r="O16" s="188"/>
      <c r="P16" s="188"/>
    </row>
    <row r="17" spans="1:16" s="10" customFormat="1" ht="6" customHeight="1" x14ac:dyDescent="0.2">
      <c r="A17" s="13"/>
      <c r="B17" s="16"/>
      <c r="C17" s="82"/>
      <c r="D17" s="16"/>
      <c r="E17" s="16"/>
      <c r="H17" s="188"/>
      <c r="I17" s="188"/>
      <c r="J17" s="22"/>
      <c r="K17" s="178"/>
      <c r="O17" s="188"/>
      <c r="P17" s="188"/>
    </row>
    <row r="18" spans="1:16" s="10" customFormat="1" ht="15" customHeight="1" x14ac:dyDescent="0.2">
      <c r="A18" s="13"/>
      <c r="B18" s="191"/>
      <c r="C18" s="192" t="str">
        <f>n2Data_1Instruction_Text5</f>
        <v>Lorsque vous avez saisi toutes les données de l’entreprise dans un encadré, marquez la comme terminée (tout deviendra automatiquement vert).</v>
      </c>
      <c r="D18" s="193"/>
      <c r="E18" s="193"/>
      <c r="J18" s="13" t="s">
        <v>2225</v>
      </c>
      <c r="K18" s="178"/>
    </row>
    <row r="19" spans="1:16" s="10" customFormat="1" ht="6" customHeight="1" x14ac:dyDescent="0.2">
      <c r="A19" s="13"/>
      <c r="B19" s="16"/>
      <c r="C19" s="82"/>
      <c r="D19" s="16"/>
      <c r="E19" s="16"/>
      <c r="H19" s="188"/>
      <c r="I19" s="188"/>
      <c r="J19" s="22"/>
      <c r="K19" s="178"/>
      <c r="O19" s="188"/>
      <c r="P19" s="188"/>
    </row>
    <row r="20" spans="1:16" s="10" customFormat="1" ht="15" customHeight="1" x14ac:dyDescent="0.2">
      <c r="A20" s="13"/>
      <c r="B20" s="10" t="str">
        <f>n2Data_1Instruction_Text6</f>
        <v>La table des matières vous indique la progression actuelle de votre traitement.</v>
      </c>
      <c r="C20" s="192"/>
      <c r="D20" s="193"/>
      <c r="E20" s="193"/>
      <c r="J20" s="13" t="s">
        <v>2227</v>
      </c>
      <c r="K20" s="178"/>
    </row>
    <row r="21" spans="1:16" s="10" customFormat="1" ht="15" customHeight="1" x14ac:dyDescent="0.2">
      <c r="A21" s="13"/>
      <c r="K21" s="178"/>
    </row>
    <row r="22" spans="1:16" s="74" customFormat="1" ht="30" customHeight="1" thickBot="1" x14ac:dyDescent="0.25">
      <c r="A22" s="194"/>
      <c r="B22" s="18" t="str">
        <f>n2Data_2Index</f>
        <v>Table des matières</v>
      </c>
      <c r="J22" s="13" t="s">
        <v>2229</v>
      </c>
      <c r="K22" s="178"/>
    </row>
    <row r="23" spans="1:16" s="10" customFormat="1" ht="15" customHeight="1" thickBot="1" x14ac:dyDescent="0.25">
      <c r="A23" s="13"/>
      <c r="B23" s="492" t="str">
        <f t="shared" ref="B23:B34" si="0">IF(I23=1,"✓","")</f>
        <v/>
      </c>
      <c r="C23" s="416" t="str">
        <f>n2Data_3StationalryComb</f>
        <v>1 Combustion stationnaire</v>
      </c>
      <c r="I23" s="372">
        <f>SUM(I50,I79,I111,I140,I172,I201)/COUNT(I50,I79,I111,I140,I172,I201)</f>
        <v>0</v>
      </c>
      <c r="J23" s="13"/>
      <c r="K23" s="178"/>
    </row>
    <row r="24" spans="1:16" s="10" customFormat="1" ht="15" customHeight="1" thickBot="1" x14ac:dyDescent="0.25">
      <c r="A24" s="13"/>
      <c r="B24" s="492" t="str">
        <f t="shared" si="0"/>
        <v/>
      </c>
      <c r="C24" s="416" t="str">
        <f>n2Data_4Processes</f>
        <v>2 Processus</v>
      </c>
      <c r="I24" s="372">
        <f>I233</f>
        <v>0</v>
      </c>
      <c r="J24" s="13"/>
      <c r="K24" s="178"/>
    </row>
    <row r="25" spans="1:16" s="10" customFormat="1" ht="15" customHeight="1" thickBot="1" x14ac:dyDescent="0.25">
      <c r="A25" s="195"/>
      <c r="B25" s="493" t="str">
        <f t="shared" si="0"/>
        <v/>
      </c>
      <c r="C25" s="416" t="str">
        <f>n2Data_5Fugitive</f>
        <v>3 Émissions fugitives</v>
      </c>
      <c r="I25" s="372">
        <f>I282</f>
        <v>0</v>
      </c>
      <c r="J25" s="13"/>
      <c r="K25" s="178"/>
    </row>
    <row r="26" spans="1:16" s="10" customFormat="1" ht="15" customHeight="1" thickTop="1" thickBot="1" x14ac:dyDescent="0.25">
      <c r="A26" s="195"/>
      <c r="B26" s="494" t="str">
        <f t="shared" si="0"/>
        <v/>
      </c>
      <c r="C26" s="416" t="str">
        <f>n2Data_6Fleet</f>
        <v>4 Flotte</v>
      </c>
      <c r="I26" s="372">
        <f>SUM(I314,I351,I389)/COUNT(I314,I351,I389)</f>
        <v>0</v>
      </c>
      <c r="J26" s="13"/>
      <c r="K26" s="178"/>
    </row>
    <row r="27" spans="1:16" s="10" customFormat="1" ht="15" customHeight="1" thickTop="1" thickBot="1" x14ac:dyDescent="0.25">
      <c r="A27" s="195"/>
      <c r="B27" s="495" t="str">
        <f t="shared" si="0"/>
        <v/>
      </c>
      <c r="C27" s="416" t="str">
        <f>n2Data_7Electricity</f>
        <v>5 Électricité</v>
      </c>
      <c r="I27" s="372">
        <f>SUM(I430,I464,I498)/COUNT(I430,I464,I498)</f>
        <v>0</v>
      </c>
      <c r="J27" s="13"/>
      <c r="K27" s="178"/>
    </row>
    <row r="28" spans="1:16" s="10" customFormat="1" ht="15" customHeight="1" thickTop="1" thickBot="1" x14ac:dyDescent="0.25">
      <c r="A28" s="195"/>
      <c r="B28" s="494" t="str">
        <f t="shared" si="0"/>
        <v/>
      </c>
      <c r="C28" s="416" t="str">
        <f>n2Data_8PurchasedGoods</f>
        <v>6 Biens et services achetés</v>
      </c>
      <c r="I28" s="372">
        <f>SUM(I532,I572)/COUNT(I532,I572)</f>
        <v>0</v>
      </c>
      <c r="J28" s="13"/>
      <c r="K28" s="178"/>
    </row>
    <row r="29" spans="1:16" s="10" customFormat="1" ht="15" customHeight="1" thickTop="1" thickBot="1" x14ac:dyDescent="0.25">
      <c r="A29" s="195"/>
      <c r="B29" s="495" t="str">
        <f t="shared" si="0"/>
        <v/>
      </c>
      <c r="C29" s="416" t="str">
        <f>n2Data_9CapitalGoods</f>
        <v>7 Biens d’équipement</v>
      </c>
      <c r="I29" s="372">
        <f>I615</f>
        <v>0</v>
      </c>
      <c r="J29" s="13"/>
      <c r="K29" s="178"/>
    </row>
    <row r="30" spans="1:16" s="10" customFormat="1" ht="15" customHeight="1" thickTop="1" thickBot="1" x14ac:dyDescent="0.25">
      <c r="A30" s="195"/>
      <c r="B30" s="494" t="str">
        <f t="shared" si="0"/>
        <v/>
      </c>
      <c r="C30" s="416" t="str">
        <f>n2Data_10Transport</f>
        <v>8 Transport</v>
      </c>
      <c r="I30" s="372">
        <f>SUM(I657,I686,I716,I740)/COUNT(I657,I686,I716,I740)</f>
        <v>0</v>
      </c>
      <c r="J30" s="13"/>
      <c r="K30" s="178"/>
    </row>
    <row r="31" spans="1:16" s="10" customFormat="1" ht="15" customHeight="1" thickTop="1" thickBot="1" x14ac:dyDescent="0.25">
      <c r="A31" s="195"/>
      <c r="B31" s="495" t="str">
        <f t="shared" si="0"/>
        <v/>
      </c>
      <c r="C31" s="416" t="str">
        <f>n2Data_11Waste</f>
        <v>9 Déchets d'exploitation</v>
      </c>
      <c r="I31" s="372">
        <f>I765</f>
        <v>0</v>
      </c>
      <c r="J31" s="13"/>
      <c r="K31" s="178"/>
    </row>
    <row r="32" spans="1:16" s="10" customFormat="1" ht="15" customHeight="1" thickTop="1" thickBot="1" x14ac:dyDescent="0.25">
      <c r="A32" s="195"/>
      <c r="B32" s="495" t="str">
        <f t="shared" si="0"/>
        <v/>
      </c>
      <c r="C32" s="416" t="str">
        <f>n2Data_12SoldProducts</f>
        <v>10 Produits vendus</v>
      </c>
      <c r="I32" s="372">
        <f>SUM(I799,I835,I871)/COUNT(I799,I835,I871)</f>
        <v>0</v>
      </c>
      <c r="J32" s="13"/>
      <c r="K32" s="178"/>
    </row>
    <row r="33" spans="1:16" s="10" customFormat="1" ht="15" customHeight="1" thickTop="1" thickBot="1" x14ac:dyDescent="0.25">
      <c r="A33" s="13"/>
      <c r="B33" s="495" t="str">
        <f t="shared" si="0"/>
        <v/>
      </c>
      <c r="C33" s="416" t="str">
        <f>n2Data_13Franchise</f>
        <v>11 Entreprises franchisées</v>
      </c>
      <c r="I33" s="372">
        <f>I904</f>
        <v>0</v>
      </c>
      <c r="J33" s="13"/>
      <c r="K33" s="178"/>
    </row>
    <row r="34" spans="1:16" s="10" customFormat="1" ht="15" customHeight="1" thickTop="1" thickBot="1" x14ac:dyDescent="0.25">
      <c r="A34" s="13"/>
      <c r="B34" s="495" t="str">
        <f t="shared" si="0"/>
        <v/>
      </c>
      <c r="C34" s="416" t="str">
        <f>n2Data_14Investments</f>
        <v>12 Investissements</v>
      </c>
      <c r="I34" s="372">
        <f>I927</f>
        <v>0</v>
      </c>
      <c r="J34" s="13"/>
      <c r="K34" s="178"/>
    </row>
    <row r="35" spans="1:16" s="10" customFormat="1" ht="15" thickTop="1" x14ac:dyDescent="0.2">
      <c r="A35" s="13"/>
      <c r="B35" s="413"/>
      <c r="C35" s="196"/>
      <c r="I35" s="373" t="str">
        <f>IF(GenInp_B1_Scope3="no","No S3","Yes S3")</f>
        <v>Yes S3</v>
      </c>
      <c r="J35" s="13"/>
      <c r="K35" s="178"/>
    </row>
    <row r="36" spans="1:16" x14ac:dyDescent="0.2">
      <c r="B36" s="197"/>
      <c r="J36" s="95"/>
    </row>
    <row r="37" spans="1:16" s="98" customFormat="1" ht="30" customHeight="1" x14ac:dyDescent="0.2">
      <c r="A37" s="198"/>
      <c r="B37" s="199" t="str">
        <f>n2Data_3StationalryComb</f>
        <v>1 Combustion stationnaire</v>
      </c>
      <c r="I37" s="383"/>
      <c r="J37" s="181" t="s">
        <v>2230</v>
      </c>
      <c r="K37" s="186"/>
    </row>
    <row r="38" spans="1:16" ht="15" customHeight="1" x14ac:dyDescent="0.2">
      <c r="B38" s="200"/>
      <c r="C38" s="129"/>
      <c r="D38" s="129"/>
      <c r="E38" s="129"/>
      <c r="F38" s="129"/>
      <c r="G38" s="129"/>
      <c r="H38" s="201" t="str">
        <f>n2Data_3StationalryComb</f>
        <v>1 Combustion stationnaire</v>
      </c>
      <c r="I38" s="384" t="str">
        <f>IF(GenInp_C1_Energy="no","hide","display")</f>
        <v>display</v>
      </c>
      <c r="J38" s="95"/>
      <c r="L38" s="203"/>
      <c r="O38" s="202"/>
      <c r="P38" s="202"/>
    </row>
    <row r="39" spans="1:16" ht="10.15" customHeight="1" x14ac:dyDescent="0.25">
      <c r="B39" s="204"/>
      <c r="C39" s="24"/>
      <c r="D39" s="10"/>
      <c r="E39" s="10"/>
      <c r="F39" s="10"/>
      <c r="G39" s="196"/>
      <c r="H39" s="205"/>
      <c r="I39" s="385"/>
      <c r="J39" s="95"/>
      <c r="L39" s="203"/>
      <c r="O39" s="206"/>
      <c r="P39" s="206"/>
    </row>
    <row r="40" spans="1:16" ht="15" x14ac:dyDescent="0.25">
      <c r="B40" s="204"/>
      <c r="C40" s="24" t="str">
        <f>n2Data_3Stationary_1Owned</f>
        <v>Actifs à consommation propre (sur site)</v>
      </c>
      <c r="D40" s="10"/>
      <c r="E40" s="10"/>
      <c r="F40" s="10"/>
      <c r="G40" s="10"/>
      <c r="H40" s="108"/>
      <c r="I40" s="379"/>
      <c r="J40" s="95" t="s">
        <v>2231</v>
      </c>
    </row>
    <row r="41" spans="1:16" ht="30" customHeight="1" x14ac:dyDescent="0.2">
      <c r="B41" s="204"/>
      <c r="C41" s="696" t="str">
        <f>n2Data_3Stationary_1Owned_Text1</f>
        <v>Indiquez les combustibles que votre entreprise brûle sur place dans des systèmes de production d’énergie installés en permanence (par exemple, chaudières, centrales thermiques et électriques mixtes, fours, générateurs fixes ; fossiles ou biogéniques). Ne notez que les installations que vous utilisez vous-même.</v>
      </c>
      <c r="D41" s="696"/>
      <c r="E41" s="696"/>
      <c r="F41" s="696"/>
      <c r="G41" s="10"/>
      <c r="H41" s="108"/>
      <c r="I41" s="379"/>
      <c r="J41" s="95" t="s">
        <v>2232</v>
      </c>
    </row>
    <row r="42" spans="1:16" ht="10.15" customHeight="1" x14ac:dyDescent="0.2">
      <c r="B42" s="204"/>
      <c r="C42" s="21"/>
      <c r="D42" s="21"/>
      <c r="E42" s="21"/>
      <c r="F42" s="21"/>
      <c r="G42" s="10"/>
      <c r="H42" s="108"/>
      <c r="I42" s="379"/>
      <c r="J42" s="95"/>
    </row>
    <row r="43" spans="1:16" ht="30" customHeight="1" x14ac:dyDescent="0.2">
      <c r="B43" s="204"/>
      <c r="C43" s="700" t="str">
        <f>n2Data_3Stationary_1Owned_Text2</f>
        <v>Sous Carburant, sélectionnez le carburant que vous utilisez (menu déroulant). Sous « Saisie », saisissez la consommation annuelle en unité habituelle (par exemple litres, kilogrammes ou mètres cubes).</v>
      </c>
      <c r="D43" s="700"/>
      <c r="E43" s="700"/>
      <c r="F43" s="700"/>
      <c r="G43" s="10"/>
      <c r="H43" s="108"/>
      <c r="I43" s="379"/>
      <c r="J43" s="95" t="s">
        <v>2234</v>
      </c>
    </row>
    <row r="44" spans="1:16" ht="10.15" customHeight="1" x14ac:dyDescent="0.2">
      <c r="B44" s="204"/>
      <c r="C44" s="16"/>
      <c r="D44" s="16"/>
      <c r="E44" s="16"/>
      <c r="F44" s="16"/>
      <c r="G44" s="10"/>
      <c r="H44" s="108"/>
      <c r="I44" s="379"/>
      <c r="J44" s="95"/>
    </row>
    <row r="45" spans="1:16" x14ac:dyDescent="0.2">
      <c r="B45" s="204"/>
      <c r="C45" s="700" t="str">
        <f>n2Data_3Stationary_1Owned_Text3</f>
        <v>La puissance calorifique inférieure en mégajoules (MJ) est calculée automatiquement. Sinon, vous pouvez entrer la puissance calorifique directement dans MJ (colonne de droite).</v>
      </c>
      <c r="D45" s="700"/>
      <c r="E45" s="700"/>
      <c r="F45" s="700"/>
      <c r="G45" s="10"/>
      <c r="H45" s="108"/>
      <c r="I45" s="379"/>
      <c r="J45" s="95" t="s">
        <v>2235</v>
      </c>
    </row>
    <row r="46" spans="1:16" ht="10.15" customHeight="1" x14ac:dyDescent="0.2">
      <c r="B46" s="204"/>
      <c r="C46" s="16"/>
      <c r="D46" s="16"/>
      <c r="E46" s="16"/>
      <c r="F46" s="16"/>
      <c r="G46" s="10"/>
      <c r="H46" s="108"/>
      <c r="I46" s="379"/>
      <c r="J46" s="95"/>
    </row>
    <row r="47" spans="1:16" ht="17.100000000000001" customHeight="1" x14ac:dyDescent="0.2">
      <c r="B47" s="204"/>
      <c r="C47" s="207" t="str">
        <f>n2Data_0General_Text1 &amp; I47</f>
        <v>Pour plus d’informations, voir le User Manual, chapitre 4.1</v>
      </c>
      <c r="D47" s="16"/>
      <c r="E47" s="16"/>
      <c r="F47" s="16"/>
      <c r="G47" s="10"/>
      <c r="H47" s="108"/>
      <c r="I47" s="379" t="str">
        <f>" 4.1"</f>
        <v xml:space="preserve"> 4.1</v>
      </c>
      <c r="J47" s="95" t="s">
        <v>2203</v>
      </c>
    </row>
    <row r="48" spans="1:16" ht="10.15" customHeight="1" x14ac:dyDescent="0.2">
      <c r="B48" s="204"/>
      <c r="C48" s="16"/>
      <c r="D48" s="16"/>
      <c r="E48" s="16"/>
      <c r="F48" s="16"/>
      <c r="G48" s="10"/>
      <c r="H48" s="108"/>
      <c r="I48" s="379"/>
      <c r="J48" s="95"/>
    </row>
    <row r="49" spans="2:16" ht="21.6" customHeight="1" x14ac:dyDescent="0.2">
      <c r="B49" s="204"/>
      <c r="C49" s="728" t="str">
        <f>n2Data_0General_Text2</f>
        <v>Cochez la case une fois le tableau terminé.</v>
      </c>
      <c r="D49" s="728"/>
      <c r="E49" s="728"/>
      <c r="F49" s="728"/>
      <c r="G49" s="10"/>
      <c r="H49" s="108"/>
      <c r="I49" s="386" t="b">
        <v>0</v>
      </c>
      <c r="J49" s="95" t="s">
        <v>2204</v>
      </c>
      <c r="O49" s="208"/>
      <c r="P49" s="208"/>
    </row>
    <row r="50" spans="2:16" ht="10.15" customHeight="1" x14ac:dyDescent="0.2">
      <c r="B50" s="204"/>
      <c r="C50" s="10"/>
      <c r="D50" s="21"/>
      <c r="E50" s="21"/>
      <c r="F50" s="21"/>
      <c r="G50" s="10"/>
      <c r="H50" s="108"/>
      <c r="I50" s="387">
        <f>IF(OR($I$38="hide",I49=TRUE),100%,0%)</f>
        <v>0</v>
      </c>
      <c r="J50" s="95"/>
      <c r="O50" s="209"/>
      <c r="P50" s="209"/>
    </row>
    <row r="51" spans="2:16" ht="15" customHeight="1" x14ac:dyDescent="0.2">
      <c r="B51" s="204"/>
      <c r="C51" s="207" t="str">
        <f>n2Data_0General_Text3</f>
        <v>Notes :</v>
      </c>
      <c r="D51" s="21"/>
      <c r="E51" s="21"/>
      <c r="F51" s="21"/>
      <c r="G51" s="10"/>
      <c r="H51" s="108"/>
      <c r="I51" s="379"/>
      <c r="J51" s="95" t="s">
        <v>2207</v>
      </c>
    </row>
    <row r="52" spans="2:16" ht="15" customHeight="1" x14ac:dyDescent="0.2">
      <c r="B52" s="204"/>
      <c r="C52" s="729"/>
      <c r="D52" s="730"/>
      <c r="E52" s="730"/>
      <c r="F52" s="731"/>
      <c r="G52" s="10"/>
      <c r="H52" s="108"/>
      <c r="I52" s="379"/>
      <c r="J52" s="95"/>
    </row>
    <row r="53" spans="2:16" ht="15" customHeight="1" x14ac:dyDescent="0.2">
      <c r="B53" s="204"/>
      <c r="C53" s="732"/>
      <c r="D53" s="733"/>
      <c r="E53" s="733"/>
      <c r="F53" s="734"/>
      <c r="G53" s="10"/>
      <c r="H53" s="108"/>
      <c r="I53" s="379"/>
      <c r="J53" s="95"/>
    </row>
    <row r="54" spans="2:16" x14ac:dyDescent="0.2">
      <c r="B54" s="204"/>
      <c r="C54" s="10"/>
      <c r="D54" s="10"/>
      <c r="E54" s="10"/>
      <c r="F54" s="10"/>
      <c r="G54" s="10"/>
      <c r="H54" s="108"/>
      <c r="I54" s="379"/>
      <c r="J54" s="95"/>
    </row>
    <row r="55" spans="2:16" ht="15" x14ac:dyDescent="0.25">
      <c r="B55" s="204"/>
      <c r="C55" s="210" t="str">
        <f>n2Data_3Stationary_1Owned_Text6</f>
        <v>Carburant</v>
      </c>
      <c r="D55" s="210" t="str">
        <f>n2Data_0General_Text4_Input</f>
        <v>Saisie</v>
      </c>
      <c r="E55" s="210" t="str">
        <f>n2Data_0General_Text5_Unit</f>
        <v>Unité</v>
      </c>
      <c r="F55" s="210" t="s">
        <v>73</v>
      </c>
      <c r="G55" s="10"/>
      <c r="H55" s="108"/>
      <c r="I55" s="379"/>
      <c r="J55" s="95" t="s">
        <v>2236</v>
      </c>
      <c r="K55" s="186" t="s">
        <v>2211</v>
      </c>
      <c r="L55" s="95" t="s">
        <v>2214</v>
      </c>
    </row>
    <row r="56" spans="2:16" ht="15" hidden="1" customHeight="1" x14ac:dyDescent="0.25">
      <c r="B56" s="204"/>
      <c r="C56" s="210" t="s">
        <v>27179</v>
      </c>
      <c r="D56" s="210" t="s">
        <v>27170</v>
      </c>
      <c r="E56" s="210" t="s">
        <v>276</v>
      </c>
      <c r="F56" s="210" t="s">
        <v>73</v>
      </c>
      <c r="G56" s="10"/>
      <c r="H56" s="108"/>
      <c r="I56" s="379"/>
      <c r="K56" s="92"/>
      <c r="M56" s="95"/>
    </row>
    <row r="57" spans="2:16" ht="15" customHeight="1" x14ac:dyDescent="0.2">
      <c r="B57" s="204"/>
      <c r="C57" s="393"/>
      <c r="D57" s="394"/>
      <c r="E57" s="295" t="str" cm="1">
        <f t="array" ref="E57">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57" s="394" cm="1">
        <f t="array" ref="F57">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57" s="10"/>
      <c r="H57" s="108"/>
      <c r="I57" s="379"/>
      <c r="J57" s="95"/>
      <c r="K57" s="95"/>
      <c r="L57" s="95"/>
    </row>
    <row r="58" spans="2:16" ht="15" customHeight="1" x14ac:dyDescent="0.2">
      <c r="B58" s="204"/>
      <c r="C58" s="395"/>
      <c r="D58" s="396"/>
      <c r="E58" s="295" t="str" cm="1">
        <f t="array" ref="E58">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58" s="394" cm="1">
        <f t="array" ref="F58">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58" s="10"/>
      <c r="H58" s="108"/>
      <c r="I58" s="379"/>
      <c r="J58" s="95"/>
    </row>
    <row r="59" spans="2:16" ht="15" customHeight="1" x14ac:dyDescent="0.2">
      <c r="B59" s="204"/>
      <c r="C59" s="395"/>
      <c r="D59" s="396"/>
      <c r="E59" s="295" t="str" cm="1">
        <f t="array" ref="E59">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59" s="394" cm="1">
        <f t="array" ref="F59">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59" s="10"/>
      <c r="H59" s="108"/>
      <c r="I59" s="379"/>
      <c r="J59" s="95"/>
    </row>
    <row r="60" spans="2:16" ht="15" customHeight="1" x14ac:dyDescent="0.2">
      <c r="B60" s="204"/>
      <c r="C60" s="395"/>
      <c r="D60" s="396"/>
      <c r="E60" s="295" t="str" cm="1">
        <f t="array" ref="E60">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0" s="394" cm="1">
        <f t="array" ref="F60">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0" s="10"/>
      <c r="H60" s="108"/>
      <c r="I60" s="379"/>
      <c r="J60" s="95"/>
    </row>
    <row r="61" spans="2:16" ht="15" customHeight="1" x14ac:dyDescent="0.2">
      <c r="B61" s="204"/>
      <c r="C61" s="395"/>
      <c r="D61" s="396"/>
      <c r="E61" s="295" t="str" cm="1">
        <f t="array" ref="E61">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1" s="394" cm="1">
        <f t="array" ref="F61">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1" s="10"/>
      <c r="H61" s="108"/>
      <c r="I61" s="379"/>
      <c r="J61" s="95"/>
    </row>
    <row r="62" spans="2:16" ht="15" customHeight="1" x14ac:dyDescent="0.2">
      <c r="B62" s="204"/>
      <c r="C62" s="395"/>
      <c r="D62" s="396"/>
      <c r="E62" s="295" t="str" cm="1">
        <f t="array" ref="E62">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2" s="394" cm="1">
        <f t="array" ref="F62">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2" s="10"/>
      <c r="H62" s="108"/>
      <c r="I62" s="379"/>
      <c r="J62" s="95"/>
    </row>
    <row r="63" spans="2:16" ht="15" customHeight="1" x14ac:dyDescent="0.2">
      <c r="B63" s="204"/>
      <c r="C63" s="395"/>
      <c r="D63" s="396"/>
      <c r="E63" s="295" t="str" cm="1">
        <f t="array" ref="E63">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3" s="394" cm="1">
        <f t="array" ref="F63">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3" s="10"/>
      <c r="H63" s="108"/>
      <c r="I63" s="379"/>
      <c r="J63" s="95"/>
    </row>
    <row r="64" spans="2:16" ht="15" customHeight="1" x14ac:dyDescent="0.2">
      <c r="B64" s="204"/>
      <c r="C64" s="395"/>
      <c r="D64" s="396"/>
      <c r="E64" s="295" t="str" cm="1">
        <f t="array" ref="E64">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4" s="394" cm="1">
        <f t="array" ref="F64">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4" s="10"/>
      <c r="H64" s="108"/>
      <c r="I64" s="379"/>
      <c r="J64" s="95"/>
    </row>
    <row r="65" spans="2:16" ht="15" customHeight="1" x14ac:dyDescent="0.2">
      <c r="B65" s="204"/>
      <c r="C65" s="395"/>
      <c r="D65" s="396"/>
      <c r="E65" s="295" t="str" cm="1">
        <f t="array" ref="E65">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5" s="394" cm="1">
        <f t="array" ref="F65">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5" s="10"/>
      <c r="H65" s="108"/>
      <c r="I65" s="379"/>
      <c r="J65" s="95"/>
    </row>
    <row r="66" spans="2:16" ht="15" customHeight="1" x14ac:dyDescent="0.2">
      <c r="B66" s="204"/>
      <c r="C66" s="395"/>
      <c r="D66" s="396"/>
      <c r="E66" s="295" t="str" cm="1">
        <f t="array" ref="E66">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6" s="394" cm="1">
        <f t="array" ref="F66">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6" s="10"/>
      <c r="H66" s="108"/>
      <c r="I66" s="379"/>
      <c r="J66" s="95"/>
    </row>
    <row r="67" spans="2:16" ht="15" customHeight="1" x14ac:dyDescent="0.2">
      <c r="B67" s="204"/>
      <c r="C67" s="397"/>
      <c r="D67" s="398"/>
      <c r="E67" s="295" t="str" cm="1">
        <f t="array" ref="E67">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7" s="394" cm="1">
        <f t="array" ref="F67">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67" s="10"/>
      <c r="H67" s="108"/>
      <c r="I67" s="379"/>
      <c r="J67" s="95"/>
    </row>
    <row r="68" spans="2:16" ht="7.15" customHeight="1" x14ac:dyDescent="0.2">
      <c r="B68" s="204"/>
      <c r="C68" s="211"/>
      <c r="D68" s="261"/>
      <c r="E68" s="211" t="str" cm="1">
        <f t="array" ref="E68">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8" s="261" t="str" cm="1">
        <f t="array" ref="F68">IF(ISBLANK(D_StationaryComb_Owned[[#This Row],[Data]]),"",D_StationaryComb_Owned[[#This Row],[Data]]*_xlfn.XLOOKUP(D_StationaryComb_Owned[[#This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
      </c>
      <c r="G68" s="10"/>
      <c r="H68" s="108"/>
      <c r="I68" s="379"/>
      <c r="J68" s="95"/>
    </row>
    <row r="69" spans="2:16" x14ac:dyDescent="0.2">
      <c r="B69" s="204"/>
      <c r="C69" s="10"/>
      <c r="D69" s="10"/>
      <c r="E69" s="10"/>
      <c r="F69" s="10"/>
      <c r="G69" s="10"/>
      <c r="H69" s="108"/>
      <c r="I69" s="379"/>
      <c r="J69" s="95"/>
    </row>
    <row r="70" spans="2:16" ht="10.15" customHeight="1" x14ac:dyDescent="0.2">
      <c r="B70" s="204"/>
      <c r="C70" s="10"/>
      <c r="D70" s="10"/>
      <c r="E70" s="10"/>
      <c r="F70" s="10"/>
      <c r="G70" s="10"/>
      <c r="H70" s="108"/>
      <c r="I70" s="379"/>
      <c r="J70" s="95"/>
    </row>
    <row r="71" spans="2:16" ht="15" x14ac:dyDescent="0.25">
      <c r="B71" s="204"/>
      <c r="C71" s="24" t="str">
        <f>n2Data_3Stationary_2OwnedDistrict</f>
        <v>Actifs à consommation propre (chauffage à distance et vapeur)</v>
      </c>
      <c r="D71" s="10"/>
      <c r="E71" s="10"/>
      <c r="F71" s="10"/>
      <c r="G71" s="10"/>
      <c r="H71" s="108"/>
      <c r="I71" s="379"/>
      <c r="J71" s="95" t="s">
        <v>2240</v>
      </c>
    </row>
    <row r="72" spans="2:16" ht="15" customHeight="1" x14ac:dyDescent="0.2">
      <c r="B72" s="204"/>
      <c r="C72" s="700" t="str">
        <f>n2Data_3Stationary_2OwnedDistrict_Text1</f>
        <v>Indiquez la consommation de chauffage urbain ou de vapeur pour votre consommation personnelle dans les bâtiments ou installations appartenant à votre entreprise.</v>
      </c>
      <c r="D72" s="700"/>
      <c r="E72" s="700"/>
      <c r="F72" s="700"/>
      <c r="G72" s="196"/>
      <c r="H72" s="108"/>
      <c r="I72" s="379"/>
      <c r="J72" s="95" t="s">
        <v>2241</v>
      </c>
    </row>
    <row r="73" spans="2:16" ht="10.15" customHeight="1" x14ac:dyDescent="0.2">
      <c r="B73" s="204"/>
      <c r="C73" s="16"/>
      <c r="D73" s="16"/>
      <c r="E73" s="16"/>
      <c r="F73" s="16"/>
      <c r="G73" s="196"/>
      <c r="H73" s="108"/>
      <c r="I73" s="379"/>
      <c r="J73" s="95"/>
    </row>
    <row r="74" spans="2:16" ht="30" customHeight="1" x14ac:dyDescent="0.2">
      <c r="B74" s="204"/>
      <c r="C74" s="700" t="str">
        <f>n2Data_3Stationary_2OwnedDistrict_Text2</f>
        <v>Sous « Source d’énergie », sélectionnez la source d’énergie (menu déroulant ; si inconnue, sélectionnez la moyenne suisse). Sous « MJ », entrez la consommation annuelle de chaleur finale en MJ.</v>
      </c>
      <c r="D74" s="700"/>
      <c r="E74" s="700"/>
      <c r="F74" s="700"/>
      <c r="G74" s="10"/>
      <c r="H74" s="108"/>
      <c r="I74" s="379"/>
      <c r="J74" s="95" t="s">
        <v>2243</v>
      </c>
    </row>
    <row r="75" spans="2:16" ht="10.15" customHeight="1" x14ac:dyDescent="0.2">
      <c r="B75" s="204"/>
      <c r="C75" s="16"/>
      <c r="D75" s="16"/>
      <c r="E75" s="16"/>
      <c r="F75" s="16"/>
      <c r="G75" s="10"/>
      <c r="H75" s="108"/>
      <c r="I75" s="379"/>
      <c r="J75" s="95"/>
    </row>
    <row r="76" spans="2:16" ht="17.100000000000001" customHeight="1" x14ac:dyDescent="0.2">
      <c r="B76" s="204"/>
      <c r="C76" s="207" t="str">
        <f>n2Data_0General_Text1 &amp; I76</f>
        <v>Pour plus d’informations, voir le User Manual, chapitre 4.1</v>
      </c>
      <c r="D76" s="16"/>
      <c r="E76" s="16"/>
      <c r="F76" s="16"/>
      <c r="G76" s="10"/>
      <c r="H76" s="108"/>
      <c r="I76" s="379" t="str">
        <f>" 4.1"</f>
        <v xml:space="preserve"> 4.1</v>
      </c>
      <c r="J76" s="95" t="s">
        <v>2203</v>
      </c>
    </row>
    <row r="77" spans="2:16" ht="10.15" customHeight="1" x14ac:dyDescent="0.2">
      <c r="B77" s="204"/>
      <c r="C77" s="16"/>
      <c r="D77" s="16"/>
      <c r="E77" s="16"/>
      <c r="F77" s="16"/>
      <c r="G77" s="10"/>
      <c r="H77" s="108"/>
      <c r="I77" s="379"/>
      <c r="J77" s="95"/>
    </row>
    <row r="78" spans="2:16" ht="21.75" customHeight="1" x14ac:dyDescent="0.2">
      <c r="B78" s="204"/>
      <c r="C78" s="728" t="str">
        <f>n2Data_0General_Text2</f>
        <v>Cochez la case une fois le tableau terminé.</v>
      </c>
      <c r="D78" s="728"/>
      <c r="E78" s="728"/>
      <c r="F78" s="728"/>
      <c r="G78" s="10"/>
      <c r="H78" s="108"/>
      <c r="I78" s="386" t="b">
        <v>0</v>
      </c>
      <c r="J78" s="95" t="s">
        <v>2204</v>
      </c>
      <c r="O78" s="208"/>
      <c r="P78" s="208"/>
    </row>
    <row r="79" spans="2:16" ht="10.15" customHeight="1" x14ac:dyDescent="0.2">
      <c r="B79" s="204"/>
      <c r="C79" s="115"/>
      <c r="D79" s="115"/>
      <c r="E79" s="115"/>
      <c r="F79" s="115"/>
      <c r="G79" s="10"/>
      <c r="H79" s="108"/>
      <c r="I79" s="387">
        <f>IF(OR($I$38="hide",I78=TRUE),100%,0%)</f>
        <v>0</v>
      </c>
      <c r="J79" s="95"/>
      <c r="O79" s="209"/>
      <c r="P79" s="209"/>
    </row>
    <row r="80" spans="2:16" x14ac:dyDescent="0.2">
      <c r="B80" s="204"/>
      <c r="C80" s="207" t="str">
        <f>n2Data_0General_Text3</f>
        <v>Notes :</v>
      </c>
      <c r="D80" s="115"/>
      <c r="E80" s="115"/>
      <c r="F80" s="115"/>
      <c r="G80" s="10"/>
      <c r="H80" s="108"/>
      <c r="I80" s="379"/>
      <c r="J80" s="95" t="s">
        <v>2207</v>
      </c>
    </row>
    <row r="81" spans="2:12" x14ac:dyDescent="0.2">
      <c r="B81" s="204"/>
      <c r="C81" s="729"/>
      <c r="D81" s="730"/>
      <c r="E81" s="730"/>
      <c r="F81" s="731"/>
      <c r="G81" s="10"/>
      <c r="H81" s="108"/>
      <c r="I81" s="379"/>
      <c r="J81" s="95"/>
    </row>
    <row r="82" spans="2:12" x14ac:dyDescent="0.2">
      <c r="B82" s="204"/>
      <c r="C82" s="732"/>
      <c r="D82" s="733"/>
      <c r="E82" s="733"/>
      <c r="F82" s="734"/>
      <c r="G82" s="10"/>
      <c r="H82" s="108"/>
      <c r="I82" s="379"/>
      <c r="J82" s="95"/>
    </row>
    <row r="83" spans="2:12" ht="10.15" customHeight="1" x14ac:dyDescent="0.2">
      <c r="B83" s="204"/>
      <c r="C83" s="10"/>
      <c r="D83" s="10"/>
      <c r="E83" s="10"/>
      <c r="F83" s="10"/>
      <c r="G83" s="10"/>
      <c r="H83" s="108"/>
      <c r="I83" s="379"/>
      <c r="J83" s="95"/>
    </row>
    <row r="84" spans="2:12" ht="15" x14ac:dyDescent="0.25">
      <c r="B84" s="204"/>
      <c r="C84" s="210" t="str">
        <f>n2Data_3Stationary_2OwnedDistrict_Text6</f>
        <v>Source d’énergie</v>
      </c>
      <c r="D84" s="213" t="s">
        <v>27135</v>
      </c>
      <c r="E84" s="213" t="s">
        <v>27136</v>
      </c>
      <c r="F84" s="210" t="s">
        <v>73</v>
      </c>
      <c r="G84" s="10"/>
      <c r="H84" s="108"/>
      <c r="I84" s="379"/>
      <c r="J84" s="95" t="s">
        <v>2244</v>
      </c>
    </row>
    <row r="85" spans="2:12" ht="15" hidden="1" customHeight="1" x14ac:dyDescent="0.25">
      <c r="B85" s="204"/>
      <c r="C85" s="210" t="s">
        <v>27186</v>
      </c>
      <c r="D85" s="213" t="s">
        <v>27135</v>
      </c>
      <c r="E85" s="213" t="s">
        <v>27136</v>
      </c>
      <c r="F85" s="210" t="s">
        <v>73</v>
      </c>
      <c r="G85" s="10"/>
      <c r="H85" s="108"/>
      <c r="I85" s="379"/>
      <c r="L85" s="95"/>
    </row>
    <row r="86" spans="2:12" ht="15" customHeight="1" x14ac:dyDescent="0.2">
      <c r="B86" s="204"/>
      <c r="C86" s="394"/>
      <c r="D86" s="307"/>
      <c r="E86" s="307"/>
      <c r="F86" s="394"/>
      <c r="G86" s="10"/>
      <c r="H86" s="108"/>
      <c r="I86" s="379"/>
      <c r="J86" s="95"/>
    </row>
    <row r="87" spans="2:12" ht="15" customHeight="1" x14ac:dyDescent="0.2">
      <c r="B87" s="204"/>
      <c r="C87" s="396"/>
      <c r="D87" s="308"/>
      <c r="E87" s="308"/>
      <c r="F87" s="396"/>
      <c r="G87" s="10"/>
      <c r="H87" s="108"/>
      <c r="I87" s="379"/>
      <c r="J87" s="95"/>
    </row>
    <row r="88" spans="2:12" ht="15" customHeight="1" x14ac:dyDescent="0.2">
      <c r="B88" s="204"/>
      <c r="C88" s="396"/>
      <c r="D88" s="308"/>
      <c r="E88" s="308"/>
      <c r="F88" s="396"/>
      <c r="G88" s="10"/>
      <c r="H88" s="108"/>
      <c r="I88" s="379"/>
      <c r="J88" s="95"/>
    </row>
    <row r="89" spans="2:12" ht="15" customHeight="1" x14ac:dyDescent="0.2">
      <c r="B89" s="204"/>
      <c r="C89" s="396"/>
      <c r="D89" s="308"/>
      <c r="E89" s="308"/>
      <c r="F89" s="396"/>
      <c r="G89" s="10"/>
      <c r="H89" s="108"/>
      <c r="I89" s="379"/>
      <c r="J89" s="95"/>
    </row>
    <row r="90" spans="2:12" ht="15" customHeight="1" x14ac:dyDescent="0.2">
      <c r="B90" s="204"/>
      <c r="C90" s="396"/>
      <c r="D90" s="308"/>
      <c r="E90" s="308"/>
      <c r="F90" s="396"/>
      <c r="G90" s="10"/>
      <c r="H90" s="108"/>
      <c r="I90" s="379"/>
      <c r="J90" s="95"/>
    </row>
    <row r="91" spans="2:12" ht="15" customHeight="1" x14ac:dyDescent="0.2">
      <c r="B91" s="204"/>
      <c r="C91" s="396"/>
      <c r="D91" s="308"/>
      <c r="E91" s="308"/>
      <c r="F91" s="396"/>
      <c r="G91" s="10"/>
      <c r="H91" s="108"/>
      <c r="I91" s="379"/>
      <c r="J91" s="95"/>
    </row>
    <row r="92" spans="2:12" ht="15" customHeight="1" x14ac:dyDescent="0.2">
      <c r="B92" s="204"/>
      <c r="C92" s="396"/>
      <c r="D92" s="308"/>
      <c r="E92" s="308"/>
      <c r="F92" s="396"/>
      <c r="G92" s="10"/>
      <c r="H92" s="108"/>
      <c r="I92" s="379"/>
      <c r="J92" s="95"/>
    </row>
    <row r="93" spans="2:12" ht="15" customHeight="1" x14ac:dyDescent="0.2">
      <c r="B93" s="204"/>
      <c r="C93" s="396"/>
      <c r="D93" s="308"/>
      <c r="E93" s="308"/>
      <c r="F93" s="396"/>
      <c r="G93" s="10"/>
      <c r="H93" s="108"/>
      <c r="I93" s="379"/>
      <c r="J93" s="95"/>
    </row>
    <row r="94" spans="2:12" ht="15" customHeight="1" x14ac:dyDescent="0.2">
      <c r="B94" s="204"/>
      <c r="C94" s="396"/>
      <c r="D94" s="308"/>
      <c r="E94" s="308"/>
      <c r="F94" s="396"/>
      <c r="G94" s="10"/>
      <c r="H94" s="108"/>
      <c r="I94" s="379"/>
      <c r="J94" s="95"/>
    </row>
    <row r="95" spans="2:12" ht="15" customHeight="1" x14ac:dyDescent="0.2">
      <c r="B95" s="204"/>
      <c r="C95" s="398"/>
      <c r="D95" s="309"/>
      <c r="E95" s="309"/>
      <c r="F95" s="398"/>
      <c r="G95" s="10"/>
      <c r="H95" s="108"/>
      <c r="I95" s="379"/>
      <c r="J95" s="95"/>
    </row>
    <row r="96" spans="2:12" ht="7.15" customHeight="1" x14ac:dyDescent="0.2">
      <c r="B96" s="204"/>
      <c r="C96" s="211"/>
      <c r="D96" s="211"/>
      <c r="E96" s="211"/>
      <c r="F96" s="212"/>
      <c r="G96" s="10"/>
      <c r="H96" s="108"/>
      <c r="I96" s="379"/>
      <c r="J96" s="95"/>
    </row>
    <row r="97" spans="2:16" x14ac:dyDescent="0.2">
      <c r="B97" s="171"/>
      <c r="C97" s="172"/>
      <c r="D97" s="172"/>
      <c r="E97" s="172"/>
      <c r="F97" s="172"/>
      <c r="G97" s="172"/>
      <c r="H97" s="120"/>
      <c r="I97" s="379"/>
      <c r="J97" s="95"/>
    </row>
    <row r="98" spans="2:16" x14ac:dyDescent="0.2">
      <c r="I98" s="379"/>
      <c r="J98" s="95"/>
    </row>
    <row r="99" spans="2:16" x14ac:dyDescent="0.2">
      <c r="B99" s="200"/>
      <c r="C99" s="129"/>
      <c r="D99" s="129"/>
      <c r="E99" s="129"/>
      <c r="F99" s="129"/>
      <c r="G99" s="214"/>
      <c r="H99" s="215" t="str">
        <f>n2Data_3StationalryComb</f>
        <v>1 Combustion stationnaire</v>
      </c>
      <c r="I99" s="388" t="str">
        <f>IF(OR(GenInp_C1_Energy="no",GenInp_C11_Energy_Lessee="no"),"hide","display")</f>
        <v>display</v>
      </c>
      <c r="J99" s="95"/>
      <c r="O99" s="216"/>
      <c r="P99" s="216"/>
    </row>
    <row r="100" spans="2:16" ht="10.15" customHeight="1" x14ac:dyDescent="0.25">
      <c r="B100" s="204"/>
      <c r="C100" s="24"/>
      <c r="D100" s="10"/>
      <c r="E100" s="10"/>
      <c r="F100" s="10"/>
      <c r="G100" s="72"/>
      <c r="H100" s="217"/>
      <c r="I100" s="388"/>
      <c r="J100" s="95"/>
      <c r="O100" s="216"/>
      <c r="P100" s="216"/>
    </row>
    <row r="101" spans="2:16" ht="15" x14ac:dyDescent="0.25">
      <c r="B101" s="204"/>
      <c r="C101" s="24" t="str">
        <f>n2Data_3Stationary_3Lessee</f>
        <v>Actifs loués en amont (sur place)</v>
      </c>
      <c r="D101" s="10"/>
      <c r="E101" s="10"/>
      <c r="F101" s="10"/>
      <c r="G101" s="10"/>
      <c r="H101" s="108"/>
      <c r="I101" s="379"/>
      <c r="J101" s="95" t="s">
        <v>2246</v>
      </c>
    </row>
    <row r="102" spans="2:16" ht="30" customHeight="1" x14ac:dyDescent="0.2">
      <c r="B102" s="204"/>
      <c r="C102" s="696" t="str">
        <f>n2Data_3Stationary_3Lessee_Text1</f>
        <v>Indiquez les combustibles que votre entreprise brûle sur site dans des équipements de production d’énergie loués et installés de façon permanente (par exemple, chaudières, centrales thermiques et électriques mixtes, fours, générateurs fixes ; fossiles ou biogéniques). Indiquez uniquement les installations que votre entreprise loue en amont.</v>
      </c>
      <c r="D102" s="696"/>
      <c r="E102" s="696"/>
      <c r="F102" s="696"/>
      <c r="G102" s="196"/>
      <c r="H102" s="108"/>
      <c r="I102" s="379"/>
      <c r="J102" s="95" t="s">
        <v>2247</v>
      </c>
    </row>
    <row r="103" spans="2:16" ht="10.15" customHeight="1" x14ac:dyDescent="0.2">
      <c r="B103" s="204"/>
      <c r="C103" s="21"/>
      <c r="D103" s="21"/>
      <c r="E103" s="21"/>
      <c r="F103" s="21"/>
      <c r="G103" s="10"/>
      <c r="H103" s="108"/>
      <c r="I103" s="379"/>
      <c r="J103" s="95"/>
    </row>
    <row r="104" spans="2:16" ht="30" customHeight="1" x14ac:dyDescent="0.2">
      <c r="B104" s="204"/>
      <c r="C104" s="696" t="str">
        <f>n2Data_3Stationary_3Lessee_Text2</f>
        <v>Sous Carburant, sélectionnez le carburant que vous utilisez (menu déroulant). Sous « Saisie », saisissez la consommation annuelle en unité habituelle (par exemple litres, kilogrammes ou mètres cubes).</v>
      </c>
      <c r="D104" s="696"/>
      <c r="E104" s="696"/>
      <c r="F104" s="696"/>
      <c r="G104" s="10"/>
      <c r="H104" s="108"/>
      <c r="I104" s="379"/>
      <c r="J104" s="95" t="s">
        <v>2249</v>
      </c>
    </row>
    <row r="105" spans="2:16" ht="10.15" customHeight="1" x14ac:dyDescent="0.2">
      <c r="B105" s="204"/>
      <c r="C105" s="16"/>
      <c r="D105" s="16"/>
      <c r="E105" s="16"/>
      <c r="F105" s="16"/>
      <c r="G105" s="10"/>
      <c r="H105" s="108"/>
      <c r="I105" s="379"/>
    </row>
    <row r="106" spans="2:16" x14ac:dyDescent="0.2">
      <c r="B106" s="204"/>
      <c r="C106" s="696" t="str">
        <f>n2Data_3Stationary_3Lessee_Text3</f>
        <v>La puissance calorifique inférieure en mégajoules (MJ) est calculée automatiquement. Sinon, vous pouvez entrer la puissance calorifique directement dans MJ (colonne de droite).</v>
      </c>
      <c r="D106" s="696"/>
      <c r="E106" s="696"/>
      <c r="F106" s="696"/>
      <c r="G106" s="10"/>
      <c r="H106" s="108"/>
      <c r="I106" s="379"/>
      <c r="J106" s="95" t="s">
        <v>2250</v>
      </c>
    </row>
    <row r="107" spans="2:16" ht="10.15" customHeight="1" x14ac:dyDescent="0.2">
      <c r="B107" s="204"/>
      <c r="C107" s="16"/>
      <c r="D107" s="16"/>
      <c r="E107" s="16"/>
      <c r="F107" s="16"/>
      <c r="G107" s="10"/>
      <c r="H107" s="108"/>
      <c r="I107" s="379"/>
    </row>
    <row r="108" spans="2:16" ht="17.100000000000001" customHeight="1" x14ac:dyDescent="0.2">
      <c r="B108" s="204"/>
      <c r="C108" s="736" t="str">
        <f>n2Data_0General_Text1 &amp; I108</f>
        <v>Pour plus d’informations, voir le User Manual, chapitre 4.1</v>
      </c>
      <c r="D108" s="736"/>
      <c r="E108" s="736"/>
      <c r="F108" s="736"/>
      <c r="G108" s="10"/>
      <c r="H108" s="108"/>
      <c r="I108" s="379" t="str">
        <f>" 4.1"</f>
        <v xml:space="preserve"> 4.1</v>
      </c>
      <c r="J108" s="95" t="s">
        <v>2203</v>
      </c>
    </row>
    <row r="109" spans="2:16" ht="10.15" customHeight="1" x14ac:dyDescent="0.2">
      <c r="B109" s="204"/>
      <c r="C109" s="16"/>
      <c r="D109" s="16"/>
      <c r="E109" s="16"/>
      <c r="F109" s="16"/>
      <c r="G109" s="10"/>
      <c r="H109" s="108"/>
      <c r="I109" s="379"/>
      <c r="J109" s="95"/>
    </row>
    <row r="110" spans="2:16" ht="21.6" customHeight="1" x14ac:dyDescent="0.2">
      <c r="B110" s="204"/>
      <c r="C110" s="728" t="str">
        <f>n2Data_0General_Text2</f>
        <v>Cochez la case une fois le tableau terminé.</v>
      </c>
      <c r="D110" s="728"/>
      <c r="E110" s="728"/>
      <c r="F110" s="728"/>
      <c r="G110" s="10"/>
      <c r="H110" s="108"/>
      <c r="I110" s="386" t="b">
        <v>0</v>
      </c>
      <c r="J110" s="95" t="s">
        <v>2204</v>
      </c>
      <c r="O110" s="208"/>
      <c r="P110" s="208"/>
    </row>
    <row r="111" spans="2:16" ht="10.15" customHeight="1" x14ac:dyDescent="0.2">
      <c r="B111" s="204"/>
      <c r="C111" s="21"/>
      <c r="D111" s="21"/>
      <c r="E111" s="21"/>
      <c r="F111" s="21"/>
      <c r="G111" s="10"/>
      <c r="H111" s="108"/>
      <c r="I111" s="387">
        <f>IF(OR($I$99="hide",I110=TRUE),100%,0%)</f>
        <v>0</v>
      </c>
      <c r="J111" s="95"/>
      <c r="O111" s="209"/>
      <c r="P111" s="209"/>
    </row>
    <row r="112" spans="2:16" ht="15" customHeight="1" x14ac:dyDescent="0.2">
      <c r="B112" s="204"/>
      <c r="C112" s="736" t="str">
        <f>n2Data_0General_Text3</f>
        <v>Notes :</v>
      </c>
      <c r="D112" s="736"/>
      <c r="E112" s="736"/>
      <c r="F112" s="736"/>
      <c r="G112" s="10"/>
      <c r="H112" s="108"/>
      <c r="I112" s="379"/>
      <c r="J112" s="95" t="s">
        <v>2207</v>
      </c>
    </row>
    <row r="113" spans="2:13" ht="15" customHeight="1" x14ac:dyDescent="0.2">
      <c r="B113" s="204"/>
      <c r="C113" s="729"/>
      <c r="D113" s="730"/>
      <c r="E113" s="730"/>
      <c r="F113" s="731"/>
      <c r="G113" s="10"/>
      <c r="H113" s="108"/>
      <c r="I113" s="379"/>
      <c r="J113" s="95"/>
    </row>
    <row r="114" spans="2:13" ht="15" customHeight="1" x14ac:dyDescent="0.2">
      <c r="B114" s="204"/>
      <c r="C114" s="732"/>
      <c r="D114" s="733"/>
      <c r="E114" s="733"/>
      <c r="F114" s="734"/>
      <c r="G114" s="10"/>
      <c r="H114" s="108"/>
      <c r="I114" s="379"/>
      <c r="J114" s="95"/>
    </row>
    <row r="115" spans="2:13" ht="10.15" customHeight="1" x14ac:dyDescent="0.2">
      <c r="B115" s="204"/>
      <c r="C115" s="10"/>
      <c r="D115" s="10"/>
      <c r="E115" s="10"/>
      <c r="F115" s="10"/>
      <c r="G115" s="10"/>
      <c r="H115" s="108"/>
      <c r="I115" s="379"/>
      <c r="J115" s="95"/>
    </row>
    <row r="116" spans="2:13" ht="15" x14ac:dyDescent="0.25">
      <c r="B116" s="204"/>
      <c r="C116" s="210" t="str">
        <f>n2Data_3Stationary_3Lessee_Text6</f>
        <v>Carburant</v>
      </c>
      <c r="D116" s="210" t="str">
        <f>n2Data_0General_Text4_Input</f>
        <v>Saisie</v>
      </c>
      <c r="E116" s="210" t="str">
        <f>n2Data_0General_Text5_Unit</f>
        <v>Unité</v>
      </c>
      <c r="F116" s="210" t="s">
        <v>73</v>
      </c>
      <c r="G116" s="10"/>
      <c r="H116" s="108"/>
      <c r="I116" s="379"/>
      <c r="J116" s="95" t="s">
        <v>2251</v>
      </c>
      <c r="K116" s="186" t="s">
        <v>2211</v>
      </c>
      <c r="L116" s="95" t="s">
        <v>2214</v>
      </c>
    </row>
    <row r="117" spans="2:13" ht="15" hidden="1" customHeight="1" x14ac:dyDescent="0.25">
      <c r="B117" s="204"/>
      <c r="C117" s="210" t="s">
        <v>27179</v>
      </c>
      <c r="D117" s="210" t="s">
        <v>27170</v>
      </c>
      <c r="E117" s="210" t="s">
        <v>276</v>
      </c>
      <c r="F117" s="210" t="s">
        <v>73</v>
      </c>
      <c r="G117" s="10"/>
      <c r="H117" s="108"/>
      <c r="I117" s="379"/>
      <c r="K117" s="92"/>
      <c r="M117" s="95"/>
    </row>
    <row r="118" spans="2:13" ht="15" customHeight="1" x14ac:dyDescent="0.2">
      <c r="B118" s="204"/>
      <c r="C118" s="399"/>
      <c r="D118" s="394"/>
      <c r="E118" s="308" t="str" cm="1">
        <f t="array" ref="E118">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18" s="396" cm="1">
        <f t="array" ref="F118">IF(OR(C118="",D118=""),0,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18" s="10"/>
      <c r="H118" s="108"/>
      <c r="I118" s="379"/>
    </row>
    <row r="119" spans="2:13" ht="15" customHeight="1" x14ac:dyDescent="0.2">
      <c r="B119" s="204"/>
      <c r="C119" s="395"/>
      <c r="D119" s="396"/>
      <c r="E119" s="308" t="str" cm="1">
        <f t="array" ref="E119">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19" s="396" cm="1">
        <f t="array" ref="F119">IF(OR(C119="",D119=""),0,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19" s="10"/>
      <c r="H119" s="108"/>
      <c r="I119" s="379"/>
      <c r="J119" s="95"/>
    </row>
    <row r="120" spans="2:13" ht="15" customHeight="1" x14ac:dyDescent="0.2">
      <c r="B120" s="204"/>
      <c r="C120" s="395"/>
      <c r="D120" s="396"/>
      <c r="E120" s="308" t="str" cm="1">
        <f t="array" ref="E120">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0" s="396" cm="1">
        <f t="array" ref="F120">IF(OR(C120="",D120=""),0,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0" s="10"/>
      <c r="H120" s="108"/>
      <c r="I120" s="379"/>
      <c r="J120" s="95"/>
    </row>
    <row r="121" spans="2:13" ht="15" customHeight="1" x14ac:dyDescent="0.2">
      <c r="B121" s="204"/>
      <c r="C121" s="395"/>
      <c r="D121" s="396"/>
      <c r="E121" s="308" t="str" cm="1">
        <f t="array" ref="E121">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1" s="396" cm="1">
        <f t="array" ref="F121">IF(OR(C121="",D121=""),0,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1" s="10"/>
      <c r="H121" s="108"/>
      <c r="I121" s="379"/>
      <c r="J121" s="95"/>
    </row>
    <row r="122" spans="2:13" ht="15" customHeight="1" x14ac:dyDescent="0.2">
      <c r="B122" s="204"/>
      <c r="C122" s="395"/>
      <c r="D122" s="396"/>
      <c r="E122" s="308" t="str" cm="1">
        <f t="array" ref="E122">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2" s="396" cm="1">
        <f t="array" ref="F122">IF(OR(C122="",D122=""),0,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2" s="10"/>
      <c r="H122" s="108"/>
      <c r="I122" s="379"/>
      <c r="J122" s="95"/>
    </row>
    <row r="123" spans="2:13" ht="15" customHeight="1" x14ac:dyDescent="0.2">
      <c r="B123" s="204"/>
      <c r="C123" s="395"/>
      <c r="D123" s="396"/>
      <c r="E123" s="308" t="str" cm="1">
        <f t="array" ref="E123">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3" s="396" cm="1">
        <f t="array" ref="F123">IF(OR(C123="",D123=""),0,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3" s="10"/>
      <c r="H123" s="108"/>
      <c r="I123" s="379"/>
      <c r="J123" s="95"/>
    </row>
    <row r="124" spans="2:13" ht="15" customHeight="1" x14ac:dyDescent="0.2">
      <c r="B124" s="204"/>
      <c r="C124" s="395"/>
      <c r="D124" s="396"/>
      <c r="E124" s="308" t="str" cm="1">
        <f t="array" ref="E124">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4" s="396" cm="1">
        <f t="array" ref="F124">IF(OR(C124="",D124=""),0,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4" s="10"/>
      <c r="H124" s="108"/>
      <c r="I124" s="379"/>
      <c r="J124" s="95"/>
    </row>
    <row r="125" spans="2:13" ht="15" customHeight="1" x14ac:dyDescent="0.2">
      <c r="B125" s="204"/>
      <c r="C125" s="395"/>
      <c r="D125" s="396"/>
      <c r="E125" s="308" t="str" cm="1">
        <f t="array" ref="E125">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5" s="396" cm="1">
        <f t="array" ref="F125">IF(OR(C125="",D125=""),0,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5" s="10"/>
      <c r="H125" s="108"/>
      <c r="I125" s="379"/>
      <c r="J125" s="95"/>
    </row>
    <row r="126" spans="2:13" ht="15" customHeight="1" x14ac:dyDescent="0.2">
      <c r="B126" s="204"/>
      <c r="C126" s="395"/>
      <c r="D126" s="396"/>
      <c r="E126" s="308" t="str" cm="1">
        <f t="array" ref="E126">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6" s="396" cm="1">
        <f t="array" ref="F126">IF(OR(C126="",D126=""),0,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6" s="10"/>
      <c r="H126" s="108"/>
      <c r="I126" s="379"/>
      <c r="J126" s="95"/>
    </row>
    <row r="127" spans="2:13" ht="15" customHeight="1" x14ac:dyDescent="0.2">
      <c r="B127" s="204"/>
      <c r="C127" s="395"/>
      <c r="D127" s="396"/>
      <c r="E127" s="308" t="str" cm="1">
        <f t="array" ref="E127">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7" s="396" cm="1">
        <f t="array" ref="F127">IF(OR(C127="",D127=""),0,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7" s="10"/>
      <c r="H127" s="108"/>
      <c r="I127" s="379"/>
      <c r="J127" s="95"/>
    </row>
    <row r="128" spans="2:13" x14ac:dyDescent="0.2">
      <c r="B128" s="204"/>
      <c r="C128" s="397"/>
      <c r="D128" s="398"/>
      <c r="E128" s="308" t="str" cm="1">
        <f t="array" ref="E128">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8" s="398" cm="1">
        <f t="array" ref="F128">IF(OR(C128="",D128=""),0,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8" s="10"/>
      <c r="H128" s="108"/>
      <c r="I128" s="379"/>
      <c r="J128" s="95"/>
    </row>
    <row r="129" spans="2:16" ht="7.15" customHeight="1" x14ac:dyDescent="0.2">
      <c r="B129" s="204"/>
      <c r="C129" s="211"/>
      <c r="D129" s="261"/>
      <c r="E129" s="211" t="str" cm="1">
        <f t="array" ref="E129">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9" s="262" cm="1">
        <f t="array" ref="F129">IF(OR(C129="",D129=""),0,
D_StationaryComb_Owned49[[#This Row],[Data]]*_xlfn.XLOOKUP(D_StationaryComb_Owned49[[#This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f>
        <v>0</v>
      </c>
      <c r="G129" s="10"/>
      <c r="H129" s="108"/>
      <c r="I129" s="379"/>
      <c r="J129" s="95"/>
    </row>
    <row r="130" spans="2:16" x14ac:dyDescent="0.2">
      <c r="B130" s="204"/>
      <c r="C130" s="10"/>
      <c r="D130" s="219"/>
      <c r="E130" s="10"/>
      <c r="F130" s="219"/>
      <c r="G130" s="10"/>
      <c r="H130" s="108"/>
      <c r="I130" s="379"/>
      <c r="J130" s="95"/>
    </row>
    <row r="131" spans="2:16" ht="10.15" customHeight="1" x14ac:dyDescent="0.2">
      <c r="B131" s="204"/>
      <c r="C131" s="10"/>
      <c r="D131" s="219"/>
      <c r="E131" s="10"/>
      <c r="F131" s="219"/>
      <c r="G131" s="10"/>
      <c r="H131" s="108"/>
      <c r="I131" s="379"/>
      <c r="J131" s="95"/>
    </row>
    <row r="132" spans="2:16" ht="14.65" customHeight="1" x14ac:dyDescent="0.25">
      <c r="B132" s="204"/>
      <c r="C132" s="24" t="str">
        <f>n2Data_3Stationary_4LesseeDistrict</f>
        <v>Actifs loués en amont (chauffage à distance et vapeur)</v>
      </c>
      <c r="D132" s="10"/>
      <c r="E132" s="10"/>
      <c r="F132" s="10"/>
      <c r="G132" s="10"/>
      <c r="H132" s="108"/>
      <c r="I132" s="379"/>
      <c r="J132" s="95" t="s">
        <v>2252</v>
      </c>
    </row>
    <row r="133" spans="2:16" ht="15" customHeight="1" x14ac:dyDescent="0.2">
      <c r="B133" s="204"/>
      <c r="C133" s="700" t="str">
        <f>n2Data_3Stationary_4LesseeDistrict_Text1</f>
        <v>Indiquez l’achat de chauffage urbain ou de vapeur pour des bâtiments ou installations loués en amont.</v>
      </c>
      <c r="D133" s="700"/>
      <c r="E133" s="700"/>
      <c r="F133" s="700"/>
      <c r="G133" s="196"/>
      <c r="H133" s="108"/>
      <c r="I133" s="379"/>
      <c r="J133" s="95" t="s">
        <v>2253</v>
      </c>
    </row>
    <row r="134" spans="2:16" ht="10.15" customHeight="1" x14ac:dyDescent="0.2">
      <c r="B134" s="204"/>
      <c r="C134" s="16"/>
      <c r="D134" s="16"/>
      <c r="E134" s="16"/>
      <c r="F134" s="16"/>
      <c r="G134" s="196"/>
      <c r="H134" s="108"/>
      <c r="I134" s="379"/>
      <c r="J134" s="95"/>
    </row>
    <row r="135" spans="2:16" x14ac:dyDescent="0.2">
      <c r="B135" s="204"/>
      <c r="C135" s="700" t="str">
        <f>n2Data_3Stationary_4LesseeDistrict_Text2</f>
        <v>Sous « Source d’énergie », sélectionnez la source d’énergie (menu déroulant ; si inconnue, sélectionnez la moyenne suisse). Sous « MJ », entrez la consommation annuelle de chaleur finale en MJ.</v>
      </c>
      <c r="D135" s="700"/>
      <c r="E135" s="700"/>
      <c r="F135" s="700"/>
      <c r="G135" s="10"/>
      <c r="H135" s="108"/>
      <c r="I135" s="379"/>
      <c r="J135" s="95" t="s">
        <v>2255</v>
      </c>
    </row>
    <row r="136" spans="2:16" ht="10.15" customHeight="1" x14ac:dyDescent="0.2">
      <c r="B136" s="204"/>
      <c r="C136" s="16"/>
      <c r="D136" s="16"/>
      <c r="E136" s="16"/>
      <c r="F136" s="16"/>
      <c r="G136" s="10"/>
      <c r="H136" s="108"/>
      <c r="I136" s="379"/>
      <c r="J136" s="95"/>
    </row>
    <row r="137" spans="2:16" ht="17.100000000000001" customHeight="1" x14ac:dyDescent="0.2">
      <c r="B137" s="204"/>
      <c r="C137" s="735" t="str">
        <f>n2Data_0General_Text1 &amp; I137</f>
        <v>Pour plus d’informations, voir le User Manual, chapitre 4.1</v>
      </c>
      <c r="D137" s="735"/>
      <c r="E137" s="735"/>
      <c r="F137" s="735"/>
      <c r="G137" s="10"/>
      <c r="H137" s="108"/>
      <c r="I137" s="379" t="str">
        <f>" 4.1"</f>
        <v xml:space="preserve"> 4.1</v>
      </c>
      <c r="J137" s="95" t="s">
        <v>2203</v>
      </c>
    </row>
    <row r="138" spans="2:16" ht="10.15" customHeight="1" x14ac:dyDescent="0.2">
      <c r="B138" s="204"/>
      <c r="C138" s="16"/>
      <c r="D138" s="16"/>
      <c r="E138" s="16"/>
      <c r="F138" s="16"/>
      <c r="G138" s="196"/>
      <c r="H138" s="108"/>
      <c r="I138" s="379"/>
      <c r="J138" s="95"/>
    </row>
    <row r="139" spans="2:16" ht="21.75" customHeight="1" x14ac:dyDescent="0.2">
      <c r="B139" s="204"/>
      <c r="C139" s="728" t="str">
        <f>n2Data_0General_Text2</f>
        <v>Cochez la case une fois le tableau terminé.</v>
      </c>
      <c r="D139" s="728"/>
      <c r="E139" s="728"/>
      <c r="F139" s="728"/>
      <c r="G139" s="196"/>
      <c r="H139" s="108"/>
      <c r="I139" s="386" t="b">
        <v>0</v>
      </c>
      <c r="J139" s="95" t="s">
        <v>2204</v>
      </c>
      <c r="O139" s="208"/>
      <c r="P139" s="208"/>
    </row>
    <row r="140" spans="2:16" ht="10.15" customHeight="1" x14ac:dyDescent="0.2">
      <c r="B140" s="204"/>
      <c r="C140" s="21"/>
      <c r="D140" s="21"/>
      <c r="E140" s="21"/>
      <c r="F140" s="21"/>
      <c r="G140" s="196"/>
      <c r="H140" s="108"/>
      <c r="I140" s="387">
        <f>IF(OR($I$99="hide",I139=TRUE),100%,0%)</f>
        <v>0</v>
      </c>
      <c r="J140" s="95"/>
      <c r="O140" s="209"/>
      <c r="P140" s="209"/>
    </row>
    <row r="141" spans="2:16" ht="15" customHeight="1" x14ac:dyDescent="0.2">
      <c r="B141" s="204"/>
      <c r="C141" s="735" t="str">
        <f>n2Data_0General_Text3</f>
        <v>Notes :</v>
      </c>
      <c r="D141" s="735"/>
      <c r="E141" s="735"/>
      <c r="F141" s="735"/>
      <c r="G141" s="196"/>
      <c r="H141" s="108"/>
      <c r="I141" s="379"/>
      <c r="J141" s="95" t="s">
        <v>2207</v>
      </c>
    </row>
    <row r="142" spans="2:16" ht="15" customHeight="1" x14ac:dyDescent="0.2">
      <c r="B142" s="204"/>
      <c r="C142" s="729"/>
      <c r="D142" s="730"/>
      <c r="E142" s="730"/>
      <c r="F142" s="731"/>
      <c r="G142" s="196"/>
      <c r="H142" s="108"/>
      <c r="I142" s="379"/>
      <c r="J142" s="95"/>
    </row>
    <row r="143" spans="2:16" ht="15" customHeight="1" x14ac:dyDescent="0.2">
      <c r="B143" s="204"/>
      <c r="C143" s="732"/>
      <c r="D143" s="733"/>
      <c r="E143" s="733"/>
      <c r="F143" s="734"/>
      <c r="G143" s="10"/>
      <c r="H143" s="108"/>
      <c r="I143" s="379"/>
      <c r="J143" s="95"/>
    </row>
    <row r="144" spans="2:16" ht="15" customHeight="1" x14ac:dyDescent="0.2">
      <c r="B144" s="204"/>
      <c r="C144" s="21"/>
      <c r="D144" s="21"/>
      <c r="E144" s="21"/>
      <c r="F144" s="21"/>
      <c r="G144" s="10"/>
      <c r="H144" s="108"/>
      <c r="I144" s="379"/>
      <c r="J144" s="95"/>
    </row>
    <row r="145" spans="1:16" ht="15" customHeight="1" x14ac:dyDescent="0.25">
      <c r="B145" s="204"/>
      <c r="C145" s="210" t="str">
        <f>n2Data_3Stationary_4LesseeDistrict_Text6</f>
        <v>Source d’énergie</v>
      </c>
      <c r="D145" s="220" t="s">
        <v>27135</v>
      </c>
      <c r="E145" s="220" t="s">
        <v>27136</v>
      </c>
      <c r="F145" s="210" t="s">
        <v>73</v>
      </c>
      <c r="G145" s="10"/>
      <c r="H145" s="108"/>
      <c r="I145" s="379"/>
      <c r="J145" s="95" t="s">
        <v>2256</v>
      </c>
    </row>
    <row r="146" spans="1:16" ht="15" hidden="1" customHeight="1" x14ac:dyDescent="0.25">
      <c r="B146" s="204"/>
      <c r="C146" s="210" t="s">
        <v>27186</v>
      </c>
      <c r="D146" s="220" t="s">
        <v>27135</v>
      </c>
      <c r="E146" s="220" t="s">
        <v>27136</v>
      </c>
      <c r="F146" s="210" t="s">
        <v>73</v>
      </c>
      <c r="G146" s="10"/>
      <c r="H146" s="108"/>
      <c r="I146" s="379"/>
      <c r="L146" s="95"/>
    </row>
    <row r="147" spans="1:16" ht="15" customHeight="1" x14ac:dyDescent="0.2">
      <c r="B147" s="204"/>
      <c r="C147" s="399"/>
      <c r="D147" s="308"/>
      <c r="E147" s="308"/>
      <c r="F147" s="394"/>
      <c r="G147" s="10"/>
      <c r="H147" s="108"/>
      <c r="I147" s="379"/>
      <c r="J147" s="95"/>
    </row>
    <row r="148" spans="1:16" ht="15" customHeight="1" x14ac:dyDescent="0.2">
      <c r="B148" s="204"/>
      <c r="C148" s="395"/>
      <c r="D148" s="308"/>
      <c r="E148" s="308"/>
      <c r="F148" s="396"/>
      <c r="G148" s="10"/>
      <c r="H148" s="108"/>
      <c r="I148" s="379"/>
      <c r="J148" s="95"/>
    </row>
    <row r="149" spans="1:16" s="186" customFormat="1" ht="15" customHeight="1" x14ac:dyDescent="0.2">
      <c r="A149" s="95"/>
      <c r="B149" s="204"/>
      <c r="C149" s="395"/>
      <c r="D149" s="308"/>
      <c r="E149" s="308"/>
      <c r="F149" s="396"/>
      <c r="G149" s="10"/>
      <c r="H149" s="108"/>
      <c r="I149" s="379"/>
      <c r="J149" s="95"/>
      <c r="L149" s="92"/>
      <c r="M149" s="92"/>
      <c r="N149" s="92"/>
      <c r="O149" s="92"/>
      <c r="P149" s="92"/>
    </row>
    <row r="150" spans="1:16" s="186" customFormat="1" ht="15" customHeight="1" x14ac:dyDescent="0.2">
      <c r="A150" s="95"/>
      <c r="B150" s="204"/>
      <c r="C150" s="395"/>
      <c r="D150" s="308"/>
      <c r="E150" s="308"/>
      <c r="F150" s="396"/>
      <c r="G150" s="10"/>
      <c r="H150" s="108"/>
      <c r="I150" s="379"/>
      <c r="J150" s="95"/>
      <c r="L150" s="92"/>
      <c r="M150" s="92"/>
      <c r="N150" s="92"/>
      <c r="O150" s="92"/>
      <c r="P150" s="92"/>
    </row>
    <row r="151" spans="1:16" s="186" customFormat="1" ht="15" customHeight="1" x14ac:dyDescent="0.2">
      <c r="A151" s="95"/>
      <c r="B151" s="204"/>
      <c r="C151" s="395"/>
      <c r="D151" s="308"/>
      <c r="E151" s="308"/>
      <c r="F151" s="396"/>
      <c r="G151" s="10"/>
      <c r="H151" s="108"/>
      <c r="I151" s="379"/>
      <c r="J151" s="95"/>
      <c r="L151" s="92"/>
      <c r="M151" s="92"/>
      <c r="N151" s="92"/>
      <c r="O151" s="92"/>
      <c r="P151" s="92"/>
    </row>
    <row r="152" spans="1:16" s="186" customFormat="1" ht="15" customHeight="1" x14ac:dyDescent="0.2">
      <c r="A152" s="95"/>
      <c r="B152" s="204"/>
      <c r="C152" s="395"/>
      <c r="D152" s="308"/>
      <c r="E152" s="308"/>
      <c r="F152" s="396"/>
      <c r="G152" s="10"/>
      <c r="H152" s="108"/>
      <c r="I152" s="379"/>
      <c r="J152" s="95"/>
      <c r="L152" s="92"/>
      <c r="M152" s="92"/>
      <c r="N152" s="92"/>
      <c r="O152" s="92"/>
      <c r="P152" s="92"/>
    </row>
    <row r="153" spans="1:16" s="186" customFormat="1" ht="15" customHeight="1" x14ac:dyDescent="0.2">
      <c r="A153" s="95"/>
      <c r="B153" s="204"/>
      <c r="C153" s="395"/>
      <c r="D153" s="308"/>
      <c r="E153" s="308"/>
      <c r="F153" s="396"/>
      <c r="G153" s="10"/>
      <c r="H153" s="108"/>
      <c r="I153" s="379"/>
      <c r="J153" s="95"/>
      <c r="L153" s="92"/>
      <c r="M153" s="92"/>
      <c r="N153" s="92"/>
      <c r="O153" s="92"/>
      <c r="P153" s="92"/>
    </row>
    <row r="154" spans="1:16" s="186" customFormat="1" ht="15" customHeight="1" x14ac:dyDescent="0.2">
      <c r="A154" s="95"/>
      <c r="B154" s="204"/>
      <c r="C154" s="395"/>
      <c r="D154" s="308"/>
      <c r="E154" s="308"/>
      <c r="F154" s="396"/>
      <c r="G154" s="10"/>
      <c r="H154" s="108"/>
      <c r="I154" s="379"/>
      <c r="J154" s="95"/>
      <c r="L154" s="92"/>
      <c r="M154" s="92"/>
      <c r="N154" s="92"/>
      <c r="O154" s="92"/>
      <c r="P154" s="92"/>
    </row>
    <row r="155" spans="1:16" s="186" customFormat="1" ht="15" customHeight="1" x14ac:dyDescent="0.2">
      <c r="A155" s="95"/>
      <c r="B155" s="204"/>
      <c r="C155" s="395"/>
      <c r="D155" s="308"/>
      <c r="E155" s="308"/>
      <c r="F155" s="396"/>
      <c r="G155" s="10"/>
      <c r="H155" s="108"/>
      <c r="I155" s="379"/>
      <c r="J155" s="95"/>
      <c r="L155" s="92"/>
      <c r="M155" s="92"/>
      <c r="N155" s="92"/>
      <c r="O155" s="92"/>
      <c r="P155" s="92"/>
    </row>
    <row r="156" spans="1:16" s="186" customFormat="1" ht="15" customHeight="1" x14ac:dyDescent="0.2">
      <c r="A156" s="95"/>
      <c r="B156" s="204"/>
      <c r="C156" s="397"/>
      <c r="D156" s="308"/>
      <c r="E156" s="308"/>
      <c r="F156" s="398"/>
      <c r="G156" s="10"/>
      <c r="H156" s="108"/>
      <c r="I156" s="379"/>
      <c r="J156" s="95"/>
      <c r="L156" s="92"/>
      <c r="M156" s="92"/>
      <c r="N156" s="92"/>
      <c r="O156" s="92"/>
      <c r="P156" s="92"/>
    </row>
    <row r="157" spans="1:16" s="186" customFormat="1" ht="7.15" customHeight="1" x14ac:dyDescent="0.2">
      <c r="A157" s="95"/>
      <c r="B157" s="204"/>
      <c r="C157" s="211"/>
      <c r="D157" s="211"/>
      <c r="E157" s="211"/>
      <c r="F157" s="261"/>
      <c r="G157" s="10"/>
      <c r="H157" s="108"/>
      <c r="I157" s="379"/>
      <c r="J157" s="95"/>
      <c r="L157" s="92"/>
      <c r="M157" s="92"/>
      <c r="N157" s="92"/>
      <c r="O157" s="92"/>
      <c r="P157" s="92"/>
    </row>
    <row r="158" spans="1:16" s="186" customFormat="1" x14ac:dyDescent="0.2">
      <c r="A158" s="95"/>
      <c r="B158" s="171"/>
      <c r="C158" s="172"/>
      <c r="D158" s="172"/>
      <c r="E158" s="172"/>
      <c r="F158" s="172"/>
      <c r="G158" s="172"/>
      <c r="H158" s="120"/>
      <c r="I158" s="379"/>
      <c r="J158" s="95"/>
      <c r="L158" s="92"/>
      <c r="M158" s="92"/>
      <c r="N158" s="92"/>
      <c r="O158" s="92"/>
      <c r="P158" s="92"/>
    </row>
    <row r="159" spans="1:16" s="186" customFormat="1" ht="15" customHeight="1" x14ac:dyDescent="0.25">
      <c r="A159" s="95"/>
      <c r="B159" s="221"/>
      <c r="C159" s="92"/>
      <c r="D159" s="92"/>
      <c r="E159" s="92"/>
      <c r="F159" s="92"/>
      <c r="G159" s="92"/>
      <c r="H159" s="92"/>
      <c r="I159" s="379"/>
      <c r="J159" s="95"/>
      <c r="L159" s="92"/>
      <c r="M159" s="92"/>
      <c r="N159" s="92"/>
      <c r="O159" s="92"/>
      <c r="P159" s="92"/>
    </row>
    <row r="160" spans="1:16" s="186" customFormat="1" x14ac:dyDescent="0.2">
      <c r="A160" s="95"/>
      <c r="B160" s="200"/>
      <c r="C160" s="129"/>
      <c r="D160" s="129"/>
      <c r="E160" s="129"/>
      <c r="F160" s="129"/>
      <c r="G160" s="214"/>
      <c r="H160" s="215" t="str">
        <f>n2Data_3StationalryComb</f>
        <v>1 Combustion stationnaire</v>
      </c>
      <c r="I160" s="388" t="str">
        <f>IF(OR(GenInp_C1_Energy="no",GenInp_C12_Energy_Lessor="no"),"hide","display")</f>
        <v>display</v>
      </c>
      <c r="J160" s="95"/>
      <c r="L160" s="92"/>
      <c r="M160" s="92"/>
      <c r="N160" s="92"/>
      <c r="O160" s="216"/>
      <c r="P160" s="216"/>
    </row>
    <row r="161" spans="1:16" s="186" customFormat="1" ht="15" x14ac:dyDescent="0.25">
      <c r="A161" s="95"/>
      <c r="B161" s="204"/>
      <c r="C161" s="24"/>
      <c r="D161" s="10"/>
      <c r="E161" s="10"/>
      <c r="F161" s="10"/>
      <c r="G161" s="72"/>
      <c r="H161" s="217"/>
      <c r="I161" s="388"/>
      <c r="J161" s="95"/>
      <c r="L161" s="92"/>
      <c r="M161" s="92"/>
      <c r="N161" s="92"/>
      <c r="O161" s="216"/>
      <c r="P161" s="216"/>
    </row>
    <row r="162" spans="1:16" s="186" customFormat="1" ht="15" x14ac:dyDescent="0.25">
      <c r="A162" s="95"/>
      <c r="B162" s="204"/>
      <c r="C162" s="24" t="str">
        <f>n2Data_3Stationary_5Lessor</f>
        <v>Actifs loués en aval (sur place)</v>
      </c>
      <c r="D162" s="10"/>
      <c r="E162" s="10"/>
      <c r="F162" s="10"/>
      <c r="G162" s="10"/>
      <c r="H162" s="108"/>
      <c r="I162" s="379"/>
      <c r="J162" s="95" t="s">
        <v>2257</v>
      </c>
      <c r="L162" s="92"/>
      <c r="M162" s="92"/>
      <c r="N162" s="92"/>
      <c r="O162" s="92"/>
      <c r="P162" s="92"/>
    </row>
    <row r="163" spans="1:16" s="186" customFormat="1" ht="30" customHeight="1" x14ac:dyDescent="0.2">
      <c r="A163" s="95"/>
      <c r="B163" s="204"/>
      <c r="C163" s="696" t="str">
        <f>n2Data_3Stationary_5Lessor_Text1</f>
        <v>Indiquez les combustibles que votre entreprise brûle sur place dans des systèmes de production d’énergie loués et installés de façon permanente (par exemple, chaudières, centrales thermiques et électriques mixtes, fours, générateurs fixes ; fossiles ou biogéniques). Indiquez uniquement les actifs que votre entreprise loue ici.</v>
      </c>
      <c r="D163" s="696"/>
      <c r="E163" s="696"/>
      <c r="F163" s="696"/>
      <c r="G163" s="196"/>
      <c r="H163" s="108"/>
      <c r="I163" s="379"/>
      <c r="J163" s="95" t="s">
        <v>2258</v>
      </c>
      <c r="L163" s="92"/>
      <c r="M163" s="92"/>
      <c r="N163" s="92"/>
      <c r="O163" s="92"/>
      <c r="P163" s="92"/>
    </row>
    <row r="164" spans="1:16" s="186" customFormat="1" ht="10.15" customHeight="1" x14ac:dyDescent="0.2">
      <c r="A164" s="95"/>
      <c r="B164" s="204"/>
      <c r="C164" s="21"/>
      <c r="D164" s="21"/>
      <c r="E164" s="21"/>
      <c r="F164" s="21"/>
      <c r="G164" s="10"/>
      <c r="H164" s="108"/>
      <c r="I164" s="379"/>
      <c r="J164" s="95"/>
      <c r="L164" s="92"/>
      <c r="M164" s="92"/>
      <c r="N164" s="92"/>
      <c r="O164" s="92"/>
      <c r="P164" s="92"/>
    </row>
    <row r="165" spans="1:16" ht="30" customHeight="1" x14ac:dyDescent="0.2">
      <c r="B165" s="204"/>
      <c r="C165" s="696" t="str">
        <f>n2Data_3Stationary_5Lessor_Text2</f>
        <v>Sous Carburant, sélectionnez le carburant que vous utilisez (menu déroulant). Sous « Saisie », saisissez la consommation annuelle en unité habituelle (par exemple litres, kilogrammes ou mètres cubes).</v>
      </c>
      <c r="D165" s="696"/>
      <c r="E165" s="696"/>
      <c r="F165" s="696"/>
      <c r="G165" s="10"/>
      <c r="H165" s="108"/>
      <c r="I165" s="379"/>
      <c r="J165" s="95" t="s">
        <v>2260</v>
      </c>
    </row>
    <row r="166" spans="1:16" ht="10.15" customHeight="1" x14ac:dyDescent="0.2">
      <c r="B166" s="204"/>
      <c r="C166" s="16"/>
      <c r="D166" s="16"/>
      <c r="E166" s="16"/>
      <c r="F166" s="16"/>
      <c r="G166" s="10"/>
      <c r="H166" s="108"/>
      <c r="I166" s="379"/>
      <c r="J166" s="95"/>
    </row>
    <row r="167" spans="1:16" x14ac:dyDescent="0.2">
      <c r="B167" s="204"/>
      <c r="C167" s="696" t="str">
        <f>n2Data_3Stationary_5Lessor_Text3</f>
        <v>La puissance calorifique inférieure en mégajoules (MJ) est calculée automatiquement. Sinon, vous pouvez entrer la puissance calorifique directement dans MJ (colonne de droite).</v>
      </c>
      <c r="D167" s="696"/>
      <c r="E167" s="696"/>
      <c r="F167" s="696"/>
      <c r="G167" s="10"/>
      <c r="H167" s="108"/>
      <c r="I167" s="379"/>
      <c r="J167" s="95" t="s">
        <v>2261</v>
      </c>
    </row>
    <row r="168" spans="1:16" ht="10.15" customHeight="1" x14ac:dyDescent="0.2">
      <c r="B168" s="204"/>
      <c r="C168" s="16"/>
      <c r="D168" s="16"/>
      <c r="E168" s="16"/>
      <c r="F168" s="16"/>
      <c r="G168" s="10"/>
      <c r="H168" s="108"/>
      <c r="I168" s="379"/>
      <c r="J168" s="95"/>
    </row>
    <row r="169" spans="1:16" ht="17.100000000000001" customHeight="1" x14ac:dyDescent="0.2">
      <c r="B169" s="204"/>
      <c r="C169" s="736" t="str">
        <f>n2Data_0General_Text1 &amp; I169</f>
        <v>Pour plus d’informations, voir le User Manual, chapitre 4.1</v>
      </c>
      <c r="D169" s="736"/>
      <c r="E169" s="736"/>
      <c r="F169" s="736"/>
      <c r="G169" s="10"/>
      <c r="H169" s="108"/>
      <c r="I169" s="379" t="str">
        <f>" 4.1"</f>
        <v xml:space="preserve"> 4.1</v>
      </c>
      <c r="J169" s="95" t="s">
        <v>2203</v>
      </c>
    </row>
    <row r="170" spans="1:16" ht="10.15" customHeight="1" x14ac:dyDescent="0.2">
      <c r="B170" s="204"/>
      <c r="C170" s="16"/>
      <c r="D170" s="16"/>
      <c r="E170" s="16"/>
      <c r="F170" s="16"/>
      <c r="G170" s="10"/>
      <c r="H170" s="108"/>
      <c r="I170" s="379"/>
      <c r="J170" s="95"/>
    </row>
    <row r="171" spans="1:16" ht="21.6" customHeight="1" x14ac:dyDescent="0.2">
      <c r="B171" s="204"/>
      <c r="C171" s="728" t="str">
        <f>n2Data_0General_Text2</f>
        <v>Cochez la case une fois le tableau terminé.</v>
      </c>
      <c r="D171" s="728"/>
      <c r="E171" s="728"/>
      <c r="F171" s="728"/>
      <c r="G171" s="10"/>
      <c r="H171" s="108"/>
      <c r="I171" s="386" t="b">
        <v>0</v>
      </c>
      <c r="J171" s="95" t="s">
        <v>2204</v>
      </c>
      <c r="O171" s="208"/>
      <c r="P171" s="208"/>
    </row>
    <row r="172" spans="1:16" ht="10.15" customHeight="1" x14ac:dyDescent="0.2">
      <c r="B172" s="204"/>
      <c r="C172" s="21"/>
      <c r="D172" s="21"/>
      <c r="E172" s="21"/>
      <c r="F172" s="21"/>
      <c r="G172" s="10"/>
      <c r="H172" s="108"/>
      <c r="I172" s="387">
        <f>IF(OR($I$160="hide",I171=TRUE),100%,0%)</f>
        <v>0</v>
      </c>
      <c r="J172" s="95"/>
      <c r="O172" s="209"/>
      <c r="P172" s="209"/>
    </row>
    <row r="173" spans="1:16" ht="15.6" customHeight="1" x14ac:dyDescent="0.2">
      <c r="B173" s="204"/>
      <c r="C173" s="736" t="str">
        <f>n2Data_0General_Text3</f>
        <v>Notes :</v>
      </c>
      <c r="D173" s="736"/>
      <c r="E173" s="736"/>
      <c r="F173" s="736"/>
      <c r="G173" s="10"/>
      <c r="H173" s="108"/>
      <c r="I173" s="379"/>
      <c r="J173" s="95" t="s">
        <v>2207</v>
      </c>
    </row>
    <row r="174" spans="1:16" ht="15.6" customHeight="1" x14ac:dyDescent="0.2">
      <c r="B174" s="204"/>
      <c r="C174" s="729"/>
      <c r="D174" s="730"/>
      <c r="E174" s="730"/>
      <c r="F174" s="731"/>
      <c r="G174" s="10"/>
      <c r="H174" s="108"/>
      <c r="I174" s="379"/>
      <c r="J174" s="95"/>
    </row>
    <row r="175" spans="1:16" ht="15.6" customHeight="1" x14ac:dyDescent="0.2">
      <c r="B175" s="204"/>
      <c r="C175" s="732"/>
      <c r="D175" s="733"/>
      <c r="E175" s="733"/>
      <c r="F175" s="734"/>
      <c r="G175" s="10"/>
      <c r="H175" s="108"/>
      <c r="I175" s="379"/>
      <c r="J175" s="95"/>
    </row>
    <row r="176" spans="1:16" ht="10.15" customHeight="1" x14ac:dyDescent="0.2">
      <c r="B176" s="204"/>
      <c r="C176" s="21"/>
      <c r="D176" s="21"/>
      <c r="E176" s="21"/>
      <c r="F176" s="21"/>
      <c r="G176" s="10"/>
      <c r="H176" s="108"/>
      <c r="I176" s="379"/>
      <c r="J176" s="95"/>
    </row>
    <row r="177" spans="1:16" ht="15" x14ac:dyDescent="0.25">
      <c r="B177" s="204"/>
      <c r="C177" s="210" t="str">
        <f>n2Data_3Stationary_5Lessor_Text6</f>
        <v>Carburant</v>
      </c>
      <c r="D177" s="210" t="str">
        <f>n2Data_0General_Text4_Input</f>
        <v>Saisie</v>
      </c>
      <c r="E177" s="210" t="str">
        <f>n2Data_0General_Text5_Unit</f>
        <v>Unité</v>
      </c>
      <c r="F177" s="210" t="s">
        <v>73</v>
      </c>
      <c r="G177" s="10"/>
      <c r="H177" s="108"/>
      <c r="I177" s="379"/>
      <c r="J177" s="95" t="s">
        <v>2262</v>
      </c>
      <c r="K177" s="186" t="s">
        <v>2211</v>
      </c>
      <c r="L177" s="95" t="s">
        <v>2214</v>
      </c>
    </row>
    <row r="178" spans="1:16" ht="15" hidden="1" customHeight="1" x14ac:dyDescent="0.25">
      <c r="B178" s="204"/>
      <c r="C178" s="210" t="s">
        <v>27179</v>
      </c>
      <c r="D178" s="210" t="s">
        <v>27170</v>
      </c>
      <c r="E178" s="210" t="s">
        <v>276</v>
      </c>
      <c r="F178" s="210" t="s">
        <v>73</v>
      </c>
      <c r="G178" s="10"/>
      <c r="H178" s="108"/>
      <c r="I178" s="379"/>
      <c r="K178" s="92"/>
      <c r="M178" s="95"/>
    </row>
    <row r="179" spans="1:16" ht="15" customHeight="1" x14ac:dyDescent="0.2">
      <c r="B179" s="204"/>
      <c r="C179" s="399"/>
      <c r="D179" s="394"/>
      <c r="E179" s="308" t="str" cm="1">
        <f t="array" ref="E179">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79" s="396" cm="1">
        <f t="array" ref="F179">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79" s="10"/>
      <c r="H179" s="108"/>
      <c r="I179" s="379"/>
    </row>
    <row r="180" spans="1:16" ht="15" customHeight="1" x14ac:dyDescent="0.2">
      <c r="B180" s="204"/>
      <c r="C180" s="395"/>
      <c r="D180" s="396"/>
      <c r="E180" s="308" t="str" cm="1">
        <f t="array" ref="E180">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0" s="396" cm="1">
        <f t="array" ref="F180">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0" s="10"/>
      <c r="H180" s="108"/>
      <c r="I180" s="379"/>
      <c r="J180" s="95"/>
    </row>
    <row r="181" spans="1:16" ht="15" customHeight="1" x14ac:dyDescent="0.2">
      <c r="B181" s="204"/>
      <c r="C181" s="395"/>
      <c r="D181" s="396"/>
      <c r="E181" s="308" t="str" cm="1">
        <f t="array" ref="E181">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1" s="396" cm="1">
        <f t="array" ref="F181">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1" s="10"/>
      <c r="H181" s="108"/>
      <c r="I181" s="379"/>
      <c r="J181" s="95"/>
    </row>
    <row r="182" spans="1:16" s="186" customFormat="1" ht="15" customHeight="1" x14ac:dyDescent="0.2">
      <c r="A182" s="95"/>
      <c r="B182" s="204"/>
      <c r="C182" s="395"/>
      <c r="D182" s="396"/>
      <c r="E182" s="308" t="str" cm="1">
        <f t="array" ref="E182">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2" s="396" cm="1">
        <f t="array" ref="F182">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2" s="10"/>
      <c r="H182" s="108"/>
      <c r="I182" s="379"/>
      <c r="J182" s="95"/>
      <c r="L182" s="92"/>
      <c r="M182" s="92"/>
      <c r="N182" s="92"/>
      <c r="O182" s="92"/>
      <c r="P182" s="92"/>
    </row>
    <row r="183" spans="1:16" s="186" customFormat="1" ht="15" customHeight="1" x14ac:dyDescent="0.2">
      <c r="A183" s="95"/>
      <c r="B183" s="204"/>
      <c r="C183" s="395"/>
      <c r="D183" s="396"/>
      <c r="E183" s="308" t="str" cm="1">
        <f t="array" ref="E183">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3" s="396" cm="1">
        <f t="array" ref="F183">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3" s="10"/>
      <c r="H183" s="108"/>
      <c r="I183" s="379"/>
      <c r="J183" s="95"/>
      <c r="L183" s="92"/>
      <c r="M183" s="92"/>
      <c r="N183" s="92"/>
      <c r="O183" s="92"/>
      <c r="P183" s="92"/>
    </row>
    <row r="184" spans="1:16" s="186" customFormat="1" ht="15" customHeight="1" x14ac:dyDescent="0.2">
      <c r="A184" s="95"/>
      <c r="B184" s="204"/>
      <c r="C184" s="395"/>
      <c r="D184" s="396"/>
      <c r="E184" s="308" t="str" cm="1">
        <f t="array" ref="E184">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4" s="396" cm="1">
        <f t="array" ref="F184">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4" s="10"/>
      <c r="H184" s="108"/>
      <c r="I184" s="379"/>
      <c r="J184" s="95"/>
      <c r="L184" s="92"/>
      <c r="M184" s="92"/>
      <c r="N184" s="92"/>
      <c r="O184" s="92"/>
      <c r="P184" s="92"/>
    </row>
    <row r="185" spans="1:16" s="186" customFormat="1" ht="15" customHeight="1" x14ac:dyDescent="0.2">
      <c r="A185" s="95"/>
      <c r="B185" s="204"/>
      <c r="C185" s="395"/>
      <c r="D185" s="396"/>
      <c r="E185" s="308" t="str" cm="1">
        <f t="array" ref="E185">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5" s="396" cm="1">
        <f t="array" ref="F185">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5" s="10"/>
      <c r="H185" s="108"/>
      <c r="I185" s="379"/>
      <c r="J185" s="95"/>
      <c r="L185" s="92"/>
      <c r="M185" s="92"/>
      <c r="N185" s="92"/>
      <c r="O185" s="92"/>
      <c r="P185" s="92"/>
    </row>
    <row r="186" spans="1:16" s="186" customFormat="1" ht="15" customHeight="1" x14ac:dyDescent="0.2">
      <c r="A186" s="95"/>
      <c r="B186" s="204"/>
      <c r="C186" s="395"/>
      <c r="D186" s="396"/>
      <c r="E186" s="308" t="str" cm="1">
        <f t="array" ref="E186">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6" s="396" cm="1">
        <f t="array" ref="F186">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6" s="10"/>
      <c r="H186" s="108"/>
      <c r="I186" s="379"/>
      <c r="J186" s="95"/>
      <c r="L186" s="92"/>
      <c r="M186" s="92"/>
      <c r="N186" s="92"/>
      <c r="O186" s="92"/>
      <c r="P186" s="92"/>
    </row>
    <row r="187" spans="1:16" s="186" customFormat="1" ht="15" customHeight="1" x14ac:dyDescent="0.2">
      <c r="A187" s="95"/>
      <c r="B187" s="204"/>
      <c r="C187" s="395"/>
      <c r="D187" s="396"/>
      <c r="E187" s="308" t="str" cm="1">
        <f t="array" ref="E187">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7" s="396" cm="1">
        <f t="array" ref="F187">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7" s="10"/>
      <c r="H187" s="108"/>
      <c r="I187" s="379"/>
      <c r="J187" s="95"/>
      <c r="L187" s="92"/>
      <c r="M187" s="92"/>
      <c r="N187" s="92"/>
      <c r="O187" s="92"/>
      <c r="P187" s="92"/>
    </row>
    <row r="188" spans="1:16" s="186" customFormat="1" ht="15" customHeight="1" x14ac:dyDescent="0.2">
      <c r="A188" s="95"/>
      <c r="B188" s="204"/>
      <c r="C188" s="395"/>
      <c r="D188" s="396"/>
      <c r="E188" s="308" t="str" cm="1">
        <f t="array" ref="E188">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8" s="396" cm="1">
        <f t="array" ref="F188">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8" s="10"/>
      <c r="H188" s="108"/>
      <c r="I188" s="379"/>
      <c r="J188" s="95"/>
      <c r="L188" s="92"/>
      <c r="M188" s="92"/>
      <c r="N188" s="92"/>
      <c r="O188" s="92"/>
      <c r="P188" s="92"/>
    </row>
    <row r="189" spans="1:16" s="186" customFormat="1" ht="15" customHeight="1" x14ac:dyDescent="0.2">
      <c r="A189" s="95"/>
      <c r="B189" s="204"/>
      <c r="C189" s="397"/>
      <c r="D189" s="398"/>
      <c r="E189" s="308" t="str" cm="1">
        <f t="array" ref="E189">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9" s="396" cm="1">
        <f t="array" ref="F189">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89" s="10"/>
      <c r="H189" s="108"/>
      <c r="I189" s="379"/>
      <c r="J189" s="95"/>
      <c r="L189" s="92"/>
      <c r="M189" s="92"/>
      <c r="N189" s="92"/>
      <c r="O189" s="92"/>
      <c r="P189" s="92"/>
    </row>
    <row r="190" spans="1:16" s="186" customFormat="1" ht="5.25" customHeight="1" x14ac:dyDescent="0.2">
      <c r="A190" s="95"/>
      <c r="B190" s="204"/>
      <c r="C190" s="211"/>
      <c r="D190" s="261"/>
      <c r="E190" s="211" t="str" cm="1">
        <f t="array" ref="E190">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90" s="261" cm="1">
        <f t="array" ref="F190">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_xlfn.TOCOL(_xlfn.HSTACK(Lists_S1_StationaryComb[Net calorific value (MJ/Input Unit)],Lists_S1_StationaryComb[Net calorific value (MJ/Input Unit)],    Lists_S1_StationaryComb[Net calorific value (MJ/Input Unit)]),1),""))</f>
        <v>0</v>
      </c>
      <c r="G190" s="10"/>
      <c r="H190" s="108"/>
      <c r="I190" s="379"/>
      <c r="J190" s="95"/>
      <c r="L190" s="92"/>
      <c r="M190" s="92"/>
      <c r="N190" s="92"/>
      <c r="O190" s="92"/>
      <c r="P190" s="92"/>
    </row>
    <row r="191" spans="1:16" s="186" customFormat="1" ht="15" customHeight="1" x14ac:dyDescent="0.2">
      <c r="A191" s="95"/>
      <c r="B191" s="204"/>
      <c r="C191" s="115"/>
      <c r="D191" s="115"/>
      <c r="E191" s="115"/>
      <c r="F191" s="115"/>
      <c r="G191" s="196"/>
      <c r="H191" s="108"/>
      <c r="I191" s="379"/>
      <c r="J191" s="95"/>
      <c r="L191" s="92"/>
      <c r="M191" s="92"/>
      <c r="N191" s="92"/>
      <c r="O191" s="92"/>
      <c r="P191" s="92"/>
    </row>
    <row r="192" spans="1:16" s="186" customFormat="1" ht="10.15" customHeight="1" x14ac:dyDescent="0.2">
      <c r="A192" s="95"/>
      <c r="B192" s="204"/>
      <c r="C192" s="115"/>
      <c r="D192" s="115"/>
      <c r="E192" s="115"/>
      <c r="F192" s="115"/>
      <c r="G192" s="196"/>
      <c r="H192" s="108"/>
      <c r="I192" s="379"/>
      <c r="J192" s="95"/>
      <c r="L192" s="92"/>
      <c r="M192" s="92"/>
      <c r="N192" s="92"/>
      <c r="O192" s="92"/>
      <c r="P192" s="92"/>
    </row>
    <row r="193" spans="1:16" s="186" customFormat="1" ht="15" x14ac:dyDescent="0.25">
      <c r="A193" s="95"/>
      <c r="B193" s="204"/>
      <c r="C193" s="24" t="str">
        <f>n2Data_3Stationary_6LessorDistrict</f>
        <v>Actifs loués en aval (chauffage à distance et vapeur)</v>
      </c>
      <c r="D193" s="10"/>
      <c r="E193" s="10"/>
      <c r="F193" s="10"/>
      <c r="G193" s="10"/>
      <c r="H193" s="108"/>
      <c r="I193" s="379"/>
      <c r="J193" s="95" t="s">
        <v>2263</v>
      </c>
      <c r="L193" s="92"/>
      <c r="M193" s="92"/>
      <c r="N193" s="92"/>
      <c r="O193" s="92"/>
      <c r="P193" s="92"/>
    </row>
    <row r="194" spans="1:16" s="186" customFormat="1" ht="15" customHeight="1" x14ac:dyDescent="0.2">
      <c r="A194" s="95"/>
      <c r="B194" s="204"/>
      <c r="C194" s="700" t="str">
        <f>n2Data_3Stationary_6LessorDistrict_Text1</f>
        <v>Achat de chauffage à distance ou de vapeur pour des bâtiments ou installations loués.</v>
      </c>
      <c r="D194" s="700"/>
      <c r="E194" s="700"/>
      <c r="F194" s="700"/>
      <c r="G194" s="196"/>
      <c r="H194" s="108"/>
      <c r="I194" s="379"/>
      <c r="J194" s="95" t="s">
        <v>2264</v>
      </c>
      <c r="L194" s="92"/>
      <c r="M194" s="92"/>
      <c r="N194" s="92"/>
      <c r="O194" s="92"/>
      <c r="P194" s="92"/>
    </row>
    <row r="195" spans="1:16" s="186" customFormat="1" ht="10.15" customHeight="1" x14ac:dyDescent="0.2">
      <c r="A195" s="95"/>
      <c r="B195" s="204"/>
      <c r="C195" s="16"/>
      <c r="D195" s="16"/>
      <c r="E195" s="16"/>
      <c r="F195" s="16"/>
      <c r="G195" s="196"/>
      <c r="H195" s="108"/>
      <c r="I195" s="379"/>
      <c r="J195" s="95"/>
      <c r="L195" s="92"/>
      <c r="M195" s="92"/>
      <c r="N195" s="92"/>
      <c r="O195" s="92"/>
      <c r="P195" s="92"/>
    </row>
    <row r="196" spans="1:16" s="186" customFormat="1" ht="30" customHeight="1" x14ac:dyDescent="0.2">
      <c r="A196" s="95"/>
      <c r="B196" s="204"/>
      <c r="C196" s="700" t="str">
        <f>n2Data_3Stationary_6LessorDistrict_Text2</f>
        <v>Sous « Source d’énergie », sélectionnez la source d’énergie (menu déroulant ; si inconnue, sélectionnez la moyenne suisse). Sous « MJ », entrez la consommation annuelle de chaleur finale en MJ.</v>
      </c>
      <c r="D196" s="700"/>
      <c r="E196" s="700"/>
      <c r="F196" s="700"/>
      <c r="G196" s="10"/>
      <c r="H196" s="108"/>
      <c r="I196" s="379"/>
      <c r="J196" s="95" t="s">
        <v>2266</v>
      </c>
      <c r="L196" s="92"/>
      <c r="M196" s="92"/>
      <c r="N196" s="92"/>
      <c r="O196" s="92"/>
      <c r="P196" s="92"/>
    </row>
    <row r="197" spans="1:16" s="186" customFormat="1" ht="10.15" customHeight="1" x14ac:dyDescent="0.2">
      <c r="A197" s="95"/>
      <c r="B197" s="204"/>
      <c r="C197" s="16"/>
      <c r="D197" s="16"/>
      <c r="E197" s="16"/>
      <c r="F197" s="16"/>
      <c r="G197" s="10"/>
      <c r="H197" s="108"/>
      <c r="I197" s="379"/>
      <c r="J197" s="95"/>
      <c r="L197" s="92"/>
      <c r="M197" s="92"/>
      <c r="N197" s="92"/>
      <c r="O197" s="92"/>
      <c r="P197" s="92"/>
    </row>
    <row r="198" spans="1:16" s="186" customFormat="1" ht="17.100000000000001" customHeight="1" x14ac:dyDescent="0.2">
      <c r="A198" s="95"/>
      <c r="B198" s="204"/>
      <c r="C198" s="735" t="str">
        <f>n2Data_0General_Text1 &amp; I198</f>
        <v>Pour plus d’informations, voir le User Manual, chapitre 4.1</v>
      </c>
      <c r="D198" s="735"/>
      <c r="E198" s="735"/>
      <c r="F198" s="735"/>
      <c r="G198" s="10"/>
      <c r="H198" s="108"/>
      <c r="I198" s="379" t="str">
        <f>" 4.1"</f>
        <v xml:space="preserve"> 4.1</v>
      </c>
      <c r="J198" s="95" t="s">
        <v>2203</v>
      </c>
      <c r="L198" s="92"/>
      <c r="M198" s="92"/>
      <c r="N198" s="92"/>
      <c r="O198" s="92"/>
      <c r="P198" s="92"/>
    </row>
    <row r="199" spans="1:16" s="186" customFormat="1" ht="10.15" customHeight="1" x14ac:dyDescent="0.2">
      <c r="A199" s="95"/>
      <c r="B199" s="204"/>
      <c r="C199" s="16"/>
      <c r="D199" s="16"/>
      <c r="E199" s="16"/>
      <c r="F199" s="16"/>
      <c r="G199" s="196"/>
      <c r="H199" s="108"/>
      <c r="I199" s="379"/>
      <c r="J199" s="95"/>
      <c r="L199" s="92"/>
      <c r="M199" s="92"/>
      <c r="N199" s="92"/>
      <c r="O199" s="92"/>
      <c r="P199" s="92"/>
    </row>
    <row r="200" spans="1:16" s="186" customFormat="1" ht="21.75" customHeight="1" x14ac:dyDescent="0.2">
      <c r="A200" s="95"/>
      <c r="B200" s="204"/>
      <c r="C200" s="728" t="str">
        <f>n2Data_0General_Text2</f>
        <v>Cochez la case une fois le tableau terminé.</v>
      </c>
      <c r="D200" s="728"/>
      <c r="E200" s="728"/>
      <c r="F200" s="728"/>
      <c r="G200" s="196"/>
      <c r="H200" s="108"/>
      <c r="I200" s="386" t="b">
        <v>0</v>
      </c>
      <c r="J200" s="95" t="s">
        <v>2204</v>
      </c>
      <c r="L200" s="92"/>
      <c r="M200" s="92"/>
      <c r="N200" s="92"/>
      <c r="O200" s="208"/>
      <c r="P200" s="208"/>
    </row>
    <row r="201" spans="1:16" s="186" customFormat="1" ht="10.15" customHeight="1" x14ac:dyDescent="0.2">
      <c r="A201" s="95"/>
      <c r="B201" s="204"/>
      <c r="C201" s="21"/>
      <c r="D201" s="21"/>
      <c r="E201" s="21"/>
      <c r="F201" s="21"/>
      <c r="G201" s="196"/>
      <c r="H201" s="108"/>
      <c r="I201" s="387">
        <f>IF(OR($I$160="hide",I200=TRUE),100%,0%)</f>
        <v>0</v>
      </c>
      <c r="J201" s="95"/>
      <c r="L201" s="92"/>
      <c r="M201" s="92"/>
      <c r="N201" s="92"/>
      <c r="O201" s="209"/>
      <c r="P201" s="209"/>
    </row>
    <row r="202" spans="1:16" s="186" customFormat="1" ht="15" customHeight="1" x14ac:dyDescent="0.2">
      <c r="A202" s="95"/>
      <c r="B202" s="204"/>
      <c r="C202" s="735" t="str">
        <f>n2Data_0General_Text3</f>
        <v>Notes :</v>
      </c>
      <c r="D202" s="735"/>
      <c r="E202" s="735"/>
      <c r="F202" s="735"/>
      <c r="G202" s="196"/>
      <c r="H202" s="108"/>
      <c r="I202" s="379"/>
      <c r="J202" s="95" t="s">
        <v>2207</v>
      </c>
      <c r="L202" s="92"/>
      <c r="M202" s="92"/>
      <c r="N202" s="92"/>
      <c r="O202" s="92"/>
      <c r="P202" s="92"/>
    </row>
    <row r="203" spans="1:16" s="186" customFormat="1" ht="15" customHeight="1" x14ac:dyDescent="0.2">
      <c r="A203" s="95"/>
      <c r="B203" s="204"/>
      <c r="C203" s="729"/>
      <c r="D203" s="730"/>
      <c r="E203" s="730"/>
      <c r="F203" s="731"/>
      <c r="G203" s="196"/>
      <c r="H203" s="108"/>
      <c r="I203" s="379"/>
      <c r="J203" s="95"/>
      <c r="L203" s="92"/>
      <c r="M203" s="92"/>
      <c r="N203" s="92"/>
      <c r="O203" s="92"/>
      <c r="P203" s="92"/>
    </row>
    <row r="204" spans="1:16" s="186" customFormat="1" ht="15" customHeight="1" x14ac:dyDescent="0.2">
      <c r="A204" s="95"/>
      <c r="B204" s="204"/>
      <c r="C204" s="732"/>
      <c r="D204" s="733"/>
      <c r="E204" s="733"/>
      <c r="F204" s="734"/>
      <c r="G204" s="196"/>
      <c r="H204" s="108"/>
      <c r="I204" s="379"/>
      <c r="J204" s="95"/>
      <c r="L204" s="92"/>
      <c r="M204" s="92"/>
      <c r="N204" s="92"/>
      <c r="O204" s="92"/>
      <c r="P204" s="92"/>
    </row>
    <row r="205" spans="1:16" s="186" customFormat="1" ht="15" customHeight="1" x14ac:dyDescent="0.2">
      <c r="A205" s="95"/>
      <c r="B205" s="204"/>
      <c r="C205" s="21"/>
      <c r="D205" s="21"/>
      <c r="E205" s="21"/>
      <c r="F205" s="21"/>
      <c r="G205" s="196"/>
      <c r="H205" s="108"/>
      <c r="I205" s="379"/>
      <c r="J205" s="95"/>
      <c r="L205" s="92"/>
      <c r="M205" s="92"/>
      <c r="N205" s="92"/>
      <c r="O205" s="92"/>
      <c r="P205" s="92"/>
    </row>
    <row r="206" spans="1:16" s="186" customFormat="1" ht="15" customHeight="1" x14ac:dyDescent="0.25">
      <c r="A206" s="95"/>
      <c r="B206" s="204"/>
      <c r="C206" s="210" t="str" cm="1">
        <f t="array" aca="1" ref="C206" ca="1">INDIRECT(J206)</f>
        <v>Carburant</v>
      </c>
      <c r="D206" s="222" t="s">
        <v>27135</v>
      </c>
      <c r="E206" s="222" t="s">
        <v>27136</v>
      </c>
      <c r="F206" s="223" t="s">
        <v>73</v>
      </c>
      <c r="G206" s="196"/>
      <c r="H206" s="108"/>
      <c r="I206" s="379"/>
      <c r="J206" s="95" t="s">
        <v>2267</v>
      </c>
      <c r="L206" s="92"/>
      <c r="M206" s="92"/>
      <c r="N206" s="92"/>
      <c r="O206" s="92"/>
      <c r="P206" s="92"/>
    </row>
    <row r="207" spans="1:16" s="186" customFormat="1" ht="15" hidden="1" customHeight="1" x14ac:dyDescent="0.25">
      <c r="A207" s="95"/>
      <c r="B207" s="204"/>
      <c r="C207" s="210" t="s">
        <v>27186</v>
      </c>
      <c r="D207" s="222" t="s">
        <v>27135</v>
      </c>
      <c r="E207" s="222" t="s">
        <v>27136</v>
      </c>
      <c r="F207" s="223" t="s">
        <v>73</v>
      </c>
      <c r="G207" s="10"/>
      <c r="H207" s="108"/>
      <c r="I207" s="379"/>
      <c r="L207" s="92"/>
      <c r="M207" s="92"/>
      <c r="N207" s="92"/>
      <c r="O207" s="92"/>
      <c r="P207" s="92"/>
    </row>
    <row r="208" spans="1:16" s="186" customFormat="1" ht="15" customHeight="1" x14ac:dyDescent="0.2">
      <c r="A208" s="95"/>
      <c r="B208" s="204"/>
      <c r="C208" s="399"/>
      <c r="D208" s="308"/>
      <c r="E208" s="308"/>
      <c r="F208" s="394"/>
      <c r="G208" s="10"/>
      <c r="H208" s="108"/>
      <c r="I208" s="379"/>
      <c r="J208" s="92"/>
      <c r="L208" s="92"/>
      <c r="M208" s="92"/>
      <c r="N208" s="92"/>
      <c r="O208" s="92"/>
      <c r="P208" s="92"/>
    </row>
    <row r="209" spans="1:16" s="186" customFormat="1" ht="15" customHeight="1" x14ac:dyDescent="0.2">
      <c r="A209" s="95"/>
      <c r="B209" s="204"/>
      <c r="C209" s="395"/>
      <c r="D209" s="308"/>
      <c r="E209" s="308"/>
      <c r="F209" s="396"/>
      <c r="G209" s="10"/>
      <c r="H209" s="108"/>
      <c r="I209" s="379"/>
      <c r="J209" s="92"/>
      <c r="L209" s="92"/>
      <c r="M209" s="92"/>
      <c r="N209" s="92"/>
      <c r="O209" s="92"/>
      <c r="P209" s="92"/>
    </row>
    <row r="210" spans="1:16" s="186" customFormat="1" ht="15" customHeight="1" x14ac:dyDescent="0.2">
      <c r="A210" s="95"/>
      <c r="B210" s="204"/>
      <c r="C210" s="395"/>
      <c r="D210" s="308"/>
      <c r="E210" s="308"/>
      <c r="F210" s="396"/>
      <c r="G210" s="10"/>
      <c r="H210" s="108"/>
      <c r="I210" s="379"/>
      <c r="J210" s="92"/>
      <c r="L210" s="92"/>
      <c r="M210" s="92"/>
      <c r="N210" s="92"/>
      <c r="O210" s="92"/>
      <c r="P210" s="92"/>
    </row>
    <row r="211" spans="1:16" s="186" customFormat="1" ht="15" customHeight="1" x14ac:dyDescent="0.2">
      <c r="A211" s="95"/>
      <c r="B211" s="204"/>
      <c r="C211" s="395"/>
      <c r="D211" s="308"/>
      <c r="E211" s="308"/>
      <c r="F211" s="396"/>
      <c r="G211" s="10"/>
      <c r="H211" s="108"/>
      <c r="I211" s="379"/>
      <c r="J211" s="92"/>
      <c r="L211" s="92"/>
      <c r="M211" s="92"/>
      <c r="N211" s="92"/>
      <c r="O211" s="92"/>
      <c r="P211" s="92"/>
    </row>
    <row r="212" spans="1:16" s="186" customFormat="1" ht="15" customHeight="1" x14ac:dyDescent="0.2">
      <c r="A212" s="95"/>
      <c r="B212" s="204"/>
      <c r="C212" s="395"/>
      <c r="D212" s="308"/>
      <c r="E212" s="308"/>
      <c r="F212" s="396"/>
      <c r="G212" s="10"/>
      <c r="H212" s="108"/>
      <c r="I212" s="379"/>
      <c r="J212" s="92"/>
      <c r="L212" s="92"/>
      <c r="M212" s="92"/>
      <c r="N212" s="92"/>
      <c r="O212" s="92"/>
      <c r="P212" s="92"/>
    </row>
    <row r="213" spans="1:16" s="186" customFormat="1" ht="15" customHeight="1" x14ac:dyDescent="0.2">
      <c r="A213" s="95"/>
      <c r="B213" s="204"/>
      <c r="C213" s="395"/>
      <c r="D213" s="308"/>
      <c r="E213" s="308"/>
      <c r="F213" s="396"/>
      <c r="G213" s="10"/>
      <c r="H213" s="108"/>
      <c r="I213" s="379"/>
      <c r="J213" s="92"/>
      <c r="L213" s="92"/>
      <c r="M213" s="92"/>
      <c r="N213" s="92"/>
      <c r="O213" s="92"/>
      <c r="P213" s="92"/>
    </row>
    <row r="214" spans="1:16" s="186" customFormat="1" ht="15" customHeight="1" x14ac:dyDescent="0.2">
      <c r="A214" s="95"/>
      <c r="B214" s="204"/>
      <c r="C214" s="395"/>
      <c r="D214" s="308"/>
      <c r="E214" s="308"/>
      <c r="F214" s="396"/>
      <c r="G214" s="10"/>
      <c r="H214" s="108"/>
      <c r="I214" s="379"/>
      <c r="J214" s="92"/>
      <c r="L214" s="92"/>
      <c r="M214" s="92"/>
      <c r="N214" s="92"/>
      <c r="O214" s="92"/>
      <c r="P214" s="92"/>
    </row>
    <row r="215" spans="1:16" ht="15" customHeight="1" x14ac:dyDescent="0.2">
      <c r="B215" s="204"/>
      <c r="C215" s="395"/>
      <c r="D215" s="308"/>
      <c r="E215" s="308"/>
      <c r="F215" s="396"/>
      <c r="G215" s="10"/>
      <c r="H215" s="108"/>
      <c r="I215" s="379"/>
    </row>
    <row r="216" spans="1:16" ht="15" customHeight="1" x14ac:dyDescent="0.2">
      <c r="B216" s="204"/>
      <c r="C216" s="395"/>
      <c r="D216" s="308"/>
      <c r="E216" s="308"/>
      <c r="F216" s="396"/>
      <c r="G216" s="10"/>
      <c r="H216" s="108"/>
      <c r="I216" s="379"/>
    </row>
    <row r="217" spans="1:16" ht="15" customHeight="1" x14ac:dyDescent="0.2">
      <c r="B217" s="204"/>
      <c r="C217" s="397"/>
      <c r="D217" s="308"/>
      <c r="E217" s="308"/>
      <c r="F217" s="398"/>
      <c r="G217" s="10"/>
      <c r="H217" s="108"/>
      <c r="I217" s="379"/>
    </row>
    <row r="218" spans="1:16" ht="7.15" customHeight="1" x14ac:dyDescent="0.2">
      <c r="B218" s="204"/>
      <c r="C218" s="211"/>
      <c r="D218" s="211"/>
      <c r="E218" s="211"/>
      <c r="F218" s="261"/>
      <c r="G218" s="10"/>
      <c r="H218" s="108"/>
      <c r="I218" s="379"/>
    </row>
    <row r="219" spans="1:16" x14ac:dyDescent="0.2">
      <c r="B219" s="171"/>
      <c r="C219" s="172"/>
      <c r="D219" s="172"/>
      <c r="E219" s="172"/>
      <c r="F219" s="172"/>
      <c r="G219" s="172"/>
      <c r="H219" s="120"/>
      <c r="I219" s="379"/>
    </row>
    <row r="220" spans="1:16" x14ac:dyDescent="0.2">
      <c r="I220" s="379"/>
    </row>
    <row r="221" spans="1:16" x14ac:dyDescent="0.2">
      <c r="I221" s="379"/>
    </row>
    <row r="222" spans="1:16" s="98" customFormat="1" ht="30" customHeight="1" x14ac:dyDescent="0.2">
      <c r="A222" s="198"/>
      <c r="B222" s="199" t="str">
        <f>n2Data_4Processes</f>
        <v>2 Processus</v>
      </c>
      <c r="I222" s="383"/>
      <c r="J222" s="181" t="s">
        <v>2268</v>
      </c>
      <c r="K222" s="186"/>
    </row>
    <row r="223" spans="1:16" x14ac:dyDescent="0.2">
      <c r="B223" s="200"/>
      <c r="C223" s="129"/>
      <c r="D223" s="129"/>
      <c r="E223" s="129"/>
      <c r="F223" s="129"/>
      <c r="G223" s="214"/>
      <c r="H223" s="215" t="str">
        <f>n2Data_4Processes</f>
        <v>2 Processus</v>
      </c>
      <c r="I223" s="388" t="str">
        <f>IF(GenInp_C2_ProcessEm="no","hide","display")</f>
        <v>display</v>
      </c>
      <c r="O223" s="216"/>
      <c r="P223" s="216"/>
    </row>
    <row r="224" spans="1:16" ht="10.15" customHeight="1" x14ac:dyDescent="0.2">
      <c r="B224" s="204"/>
      <c r="C224" s="10"/>
      <c r="D224" s="10"/>
      <c r="E224" s="10"/>
      <c r="F224" s="10"/>
      <c r="G224" s="72"/>
      <c r="H224" s="217"/>
      <c r="I224" s="388"/>
      <c r="O224" s="216"/>
      <c r="P224" s="216"/>
    </row>
    <row r="225" spans="2:16" ht="15" x14ac:dyDescent="0.25">
      <c r="B225" s="204"/>
      <c r="C225" s="180" t="str">
        <f>n2Data_4Processes_1directGHGE</f>
        <v>Émissions directes de gaz à effet de serre issues des procédés et de l’utilisation des terres</v>
      </c>
      <c r="D225" s="23"/>
      <c r="E225" s="23"/>
      <c r="F225" s="23"/>
      <c r="G225" s="10"/>
      <c r="H225" s="108"/>
      <c r="I225" s="379"/>
      <c r="J225" s="181" t="s">
        <v>2269</v>
      </c>
    </row>
    <row r="226" spans="2:16" ht="30" customHeight="1" x14ac:dyDescent="0.2">
      <c r="B226" s="204"/>
      <c r="C226" s="700" t="str">
        <f>n2Data_4Processes_1directGHGE_Text1</f>
        <v>Indiquez les émissions directes de gaz à effet de serre provenant de procédés ou d’utilisations des sols qui ne proviennent pas de la combustion du combustible.
Cela inclut, par exemple, les réactions chimiques, les procédés de fermentation, le traitement des eaux usées, le compostage ou d’autres transformations de matériaux.</v>
      </c>
      <c r="D226" s="700"/>
      <c r="E226" s="700"/>
      <c r="F226" s="700"/>
      <c r="G226" s="196"/>
      <c r="H226" s="108"/>
      <c r="I226" s="379"/>
      <c r="J226" s="181" t="s">
        <v>2273</v>
      </c>
    </row>
    <row r="227" spans="2:16" ht="10.15" customHeight="1" x14ac:dyDescent="0.2">
      <c r="B227" s="204"/>
      <c r="C227" s="21"/>
      <c r="D227" s="21"/>
      <c r="E227" s="21"/>
      <c r="F227" s="21"/>
      <c r="G227" s="10"/>
      <c r="H227" s="108"/>
      <c r="I227" s="379"/>
      <c r="J227" s="203"/>
    </row>
    <row r="228" spans="2:16" ht="15" customHeight="1" x14ac:dyDescent="0.2">
      <c r="B228" s="204"/>
      <c r="C228" s="700" t="str">
        <f>n2Data_4Processes_1directGHGE_Text2</f>
        <v>Indiquez directement les émissions annuelles de gaz à effet de serre en kilogrammes (kg).</v>
      </c>
      <c r="D228" s="700"/>
      <c r="E228" s="700"/>
      <c r="F228" s="700"/>
      <c r="G228" s="10"/>
      <c r="H228" s="108"/>
      <c r="I228" s="379"/>
      <c r="J228" s="181" t="s">
        <v>2276</v>
      </c>
    </row>
    <row r="229" spans="2:16" ht="10.15" customHeight="1" x14ac:dyDescent="0.2">
      <c r="B229" s="204"/>
      <c r="C229" s="16"/>
      <c r="D229" s="16"/>
      <c r="E229" s="16"/>
      <c r="F229" s="16"/>
      <c r="G229" s="10"/>
      <c r="H229" s="108"/>
      <c r="I229" s="379"/>
      <c r="J229" s="203"/>
    </row>
    <row r="230" spans="2:16" ht="17.100000000000001" customHeight="1" x14ac:dyDescent="0.2">
      <c r="B230" s="204"/>
      <c r="C230" s="735" t="str">
        <f>n2Data_0General_Text1 &amp; I230</f>
        <v>Pour plus d’informations, voir le User Manual, chapitre 4.2</v>
      </c>
      <c r="D230" s="735"/>
      <c r="E230" s="735"/>
      <c r="F230" s="735"/>
      <c r="G230" s="10"/>
      <c r="H230" s="108"/>
      <c r="I230" s="379" t="str">
        <f>" 4.2"</f>
        <v xml:space="preserve"> 4.2</v>
      </c>
      <c r="J230" s="95" t="s">
        <v>2203</v>
      </c>
    </row>
    <row r="231" spans="2:16" ht="10.15" customHeight="1" x14ac:dyDescent="0.2">
      <c r="B231" s="204"/>
      <c r="C231" s="16"/>
      <c r="D231" s="16"/>
      <c r="E231" s="16"/>
      <c r="F231" s="16"/>
      <c r="G231" s="10"/>
      <c r="H231" s="108"/>
      <c r="I231" s="379"/>
      <c r="J231" s="95"/>
    </row>
    <row r="232" spans="2:16" ht="21.6" customHeight="1" x14ac:dyDescent="0.2">
      <c r="B232" s="204"/>
      <c r="C232" s="728" t="str">
        <f>n2Data_0General_Text2</f>
        <v>Cochez la case une fois le tableau terminé.</v>
      </c>
      <c r="D232" s="728"/>
      <c r="E232" s="728"/>
      <c r="F232" s="728"/>
      <c r="G232" s="10"/>
      <c r="H232" s="108"/>
      <c r="I232" s="386" t="b">
        <v>0</v>
      </c>
      <c r="J232" s="95" t="s">
        <v>2204</v>
      </c>
      <c r="O232" s="208"/>
      <c r="P232" s="208"/>
    </row>
    <row r="233" spans="2:16" ht="10.15" customHeight="1" x14ac:dyDescent="0.2">
      <c r="B233" s="204"/>
      <c r="C233" s="21"/>
      <c r="D233" s="21"/>
      <c r="E233" s="21"/>
      <c r="F233" s="21"/>
      <c r="G233" s="10"/>
      <c r="H233" s="108"/>
      <c r="I233" s="387">
        <f>IF(OR($I$223="hide",I232=TRUE),100%,0%)</f>
        <v>0</v>
      </c>
      <c r="J233" s="95"/>
      <c r="O233" s="209"/>
      <c r="P233" s="209"/>
    </row>
    <row r="234" spans="2:16" x14ac:dyDescent="0.2">
      <c r="B234" s="204"/>
      <c r="C234" s="735" t="str">
        <f>n2Data_0General_Text3</f>
        <v>Notes :</v>
      </c>
      <c r="D234" s="735"/>
      <c r="E234" s="735"/>
      <c r="F234" s="735"/>
      <c r="G234" s="10"/>
      <c r="H234" s="108"/>
      <c r="I234" s="379"/>
      <c r="J234" s="95" t="s">
        <v>2207</v>
      </c>
    </row>
    <row r="235" spans="2:16" x14ac:dyDescent="0.2">
      <c r="B235" s="204"/>
      <c r="C235" s="729"/>
      <c r="D235" s="730"/>
      <c r="E235" s="730"/>
      <c r="F235" s="731"/>
      <c r="G235" s="10"/>
      <c r="H235" s="108"/>
      <c r="I235" s="379"/>
    </row>
    <row r="236" spans="2:16" x14ac:dyDescent="0.2">
      <c r="B236" s="204"/>
      <c r="C236" s="732"/>
      <c r="D236" s="733"/>
      <c r="E236" s="733"/>
      <c r="F236" s="734"/>
      <c r="G236" s="10"/>
      <c r="H236" s="108"/>
      <c r="I236" s="379"/>
    </row>
    <row r="237" spans="2:16" x14ac:dyDescent="0.2">
      <c r="B237" s="204"/>
      <c r="C237" s="224"/>
      <c r="D237" s="10"/>
      <c r="E237" s="10"/>
      <c r="F237" s="10"/>
      <c r="G237" s="10"/>
      <c r="H237" s="108"/>
      <c r="I237" s="379"/>
    </row>
    <row r="238" spans="2:16" ht="15" x14ac:dyDescent="0.25">
      <c r="B238" s="204"/>
      <c r="C238" s="210" t="str">
        <f>n2Data_4Processes_1directGHGE_Text3</f>
        <v>Gaz à effet de serre</v>
      </c>
      <c r="D238" s="213" t="s">
        <v>27135</v>
      </c>
      <c r="E238" s="213" t="s">
        <v>27137</v>
      </c>
      <c r="F238" s="210" t="s">
        <v>88</v>
      </c>
      <c r="G238" s="10"/>
      <c r="H238" s="108"/>
      <c r="I238" s="379"/>
      <c r="J238" s="181" t="s">
        <v>2279</v>
      </c>
    </row>
    <row r="239" spans="2:16" ht="15" hidden="1" customHeight="1" x14ac:dyDescent="0.25">
      <c r="B239" s="204"/>
      <c r="C239" s="210" t="s">
        <v>27182</v>
      </c>
      <c r="D239" s="213" t="s">
        <v>27135</v>
      </c>
      <c r="E239" s="213" t="s">
        <v>27137</v>
      </c>
      <c r="F239" s="210" t="s">
        <v>88</v>
      </c>
      <c r="G239" s="10"/>
      <c r="H239" s="108"/>
      <c r="I239" s="379"/>
    </row>
    <row r="240" spans="2:16" ht="15" customHeight="1" x14ac:dyDescent="0.2">
      <c r="B240" s="204"/>
      <c r="C240" s="490" t="str">
        <f>n2Data_4Processes_1directGHGE_Text4</f>
        <v>Équivalents CO2 (lorsque les chiffres des émissions sont combinés)</v>
      </c>
      <c r="D240" s="308"/>
      <c r="E240" s="308"/>
      <c r="F240" s="400"/>
      <c r="G240" s="10"/>
      <c r="H240" s="108"/>
      <c r="I240" s="379"/>
      <c r="J240" s="181" t="s">
        <v>2283</v>
      </c>
    </row>
    <row r="241" spans="2:10" ht="15" customHeight="1" x14ac:dyDescent="0.2">
      <c r="B241" s="204"/>
      <c r="C241" s="651" t="str">
        <f>n2Data_4Processes_1directGHGE_Text5</f>
        <v>Gaz à effet de serre séparément</v>
      </c>
      <c r="D241" s="308"/>
      <c r="E241" s="308"/>
      <c r="G241" s="10"/>
      <c r="H241" s="108"/>
      <c r="I241" s="379"/>
      <c r="J241" s="181" t="s">
        <v>2285</v>
      </c>
    </row>
    <row r="242" spans="2:10" ht="15" customHeight="1" x14ac:dyDescent="0.2">
      <c r="B242" s="204"/>
      <c r="C242" s="490" t="s">
        <v>27138</v>
      </c>
      <c r="D242" s="308"/>
      <c r="E242" s="308"/>
      <c r="F242" s="401"/>
      <c r="G242" s="10"/>
      <c r="H242" s="108"/>
      <c r="I242" s="379"/>
    </row>
    <row r="243" spans="2:10" ht="15" customHeight="1" x14ac:dyDescent="0.2">
      <c r="B243" s="204"/>
      <c r="C243" s="490" t="str">
        <f>n2Data_4Processes_1directGHGE_Text6</f>
        <v>CH4 (fossil)</v>
      </c>
      <c r="D243" s="308"/>
      <c r="E243" s="308"/>
      <c r="F243" s="402"/>
      <c r="G243" s="10"/>
      <c r="H243" s="108"/>
      <c r="I243" s="379"/>
      <c r="J243" s="181" t="s">
        <v>2289</v>
      </c>
    </row>
    <row r="244" spans="2:10" ht="15" customHeight="1" x14ac:dyDescent="0.2">
      <c r="B244" s="204"/>
      <c r="C244" s="490" t="str">
        <f>n2Data_4Processes_1directGHGE_Text7</f>
        <v>CH4 non fossil</v>
      </c>
      <c r="D244" s="308"/>
      <c r="E244" s="308"/>
      <c r="F244" s="402"/>
      <c r="G244" s="10"/>
      <c r="H244" s="108"/>
      <c r="I244" s="379"/>
      <c r="J244" s="181" t="s">
        <v>2292</v>
      </c>
    </row>
    <row r="245" spans="2:10" ht="15" customHeight="1" x14ac:dyDescent="0.2">
      <c r="B245" s="204"/>
      <c r="C245" s="490" t="s">
        <v>27139</v>
      </c>
      <c r="D245" s="308"/>
      <c r="E245" s="308"/>
      <c r="F245" s="402"/>
      <c r="G245" s="10"/>
      <c r="H245" s="108"/>
      <c r="I245" s="379"/>
    </row>
    <row r="246" spans="2:10" ht="15" customHeight="1" x14ac:dyDescent="0.2">
      <c r="B246" s="204"/>
      <c r="C246" s="490" t="s">
        <v>27140</v>
      </c>
      <c r="D246" s="308"/>
      <c r="E246" s="308"/>
      <c r="F246" s="402"/>
      <c r="G246" s="10"/>
      <c r="H246" s="108"/>
      <c r="I246" s="379"/>
    </row>
    <row r="247" spans="2:10" ht="15" customHeight="1" x14ac:dyDescent="0.2">
      <c r="B247" s="204"/>
      <c r="C247" s="490" t="s">
        <v>27141</v>
      </c>
      <c r="D247" s="308"/>
      <c r="E247" s="308"/>
      <c r="F247" s="403"/>
      <c r="G247" s="10"/>
      <c r="H247" s="108"/>
      <c r="I247" s="379"/>
    </row>
    <row r="248" spans="2:10" ht="7.15" customHeight="1" x14ac:dyDescent="0.2">
      <c r="B248" s="204"/>
      <c r="C248" s="225"/>
      <c r="D248" s="225"/>
      <c r="E248" s="225"/>
      <c r="F248" s="263"/>
      <c r="G248" s="10"/>
      <c r="H248" s="108"/>
      <c r="I248" s="379"/>
    </row>
    <row r="249" spans="2:10" ht="14.65" customHeight="1" x14ac:dyDescent="0.2">
      <c r="B249" s="204"/>
      <c r="C249" s="10"/>
      <c r="D249" s="10"/>
      <c r="E249" s="10"/>
      <c r="F249" s="10"/>
      <c r="G249" s="10"/>
      <c r="H249" s="108"/>
      <c r="I249" s="379"/>
    </row>
    <row r="250" spans="2:10" ht="15" hidden="1" x14ac:dyDescent="0.25">
      <c r="B250" s="204"/>
      <c r="C250" s="210" t="s">
        <v>27142</v>
      </c>
      <c r="D250" s="213" t="s">
        <v>27135</v>
      </c>
      <c r="E250" s="213" t="s">
        <v>27136</v>
      </c>
      <c r="F250" s="210" t="s">
        <v>563</v>
      </c>
      <c r="G250" s="10"/>
      <c r="H250" s="108"/>
      <c r="I250" s="379"/>
    </row>
    <row r="251" spans="2:10" hidden="1" x14ac:dyDescent="0.2">
      <c r="B251" s="204"/>
      <c r="C251" s="227"/>
      <c r="F251" s="228"/>
      <c r="G251" s="10"/>
      <c r="H251" s="108"/>
      <c r="I251" s="379"/>
    </row>
    <row r="252" spans="2:10" hidden="1" x14ac:dyDescent="0.2">
      <c r="B252" s="204"/>
      <c r="C252" s="227"/>
      <c r="F252" s="228"/>
      <c r="G252" s="10"/>
      <c r="H252" s="108"/>
      <c r="I252" s="379"/>
    </row>
    <row r="253" spans="2:10" hidden="1" x14ac:dyDescent="0.2">
      <c r="B253" s="204"/>
      <c r="C253" s="227"/>
      <c r="F253" s="228"/>
      <c r="G253" s="10"/>
      <c r="H253" s="108"/>
      <c r="I253" s="379"/>
    </row>
    <row r="254" spans="2:10" hidden="1" x14ac:dyDescent="0.2">
      <c r="B254" s="204"/>
      <c r="C254" s="227"/>
      <c r="F254" s="228"/>
      <c r="G254" s="10"/>
      <c r="H254" s="108"/>
      <c r="I254" s="379"/>
    </row>
    <row r="255" spans="2:10" hidden="1" x14ac:dyDescent="0.2">
      <c r="B255" s="204"/>
      <c r="C255" s="227"/>
      <c r="F255" s="228"/>
      <c r="G255" s="10"/>
      <c r="H255" s="108"/>
      <c r="I255" s="379"/>
    </row>
    <row r="256" spans="2:10" ht="7.15" hidden="1" customHeight="1" x14ac:dyDescent="0.2">
      <c r="B256" s="204"/>
      <c r="C256" s="211"/>
      <c r="D256" s="211"/>
      <c r="E256" s="211"/>
      <c r="F256" s="212"/>
      <c r="G256" s="10"/>
      <c r="H256" s="108"/>
      <c r="I256" s="379"/>
    </row>
    <row r="257" spans="1:16" hidden="1" x14ac:dyDescent="0.2">
      <c r="B257" s="204"/>
      <c r="C257" s="10"/>
      <c r="D257" s="10"/>
      <c r="E257" s="10"/>
      <c r="F257" s="219"/>
      <c r="G257" s="10"/>
      <c r="H257" s="108"/>
      <c r="I257" s="379"/>
    </row>
    <row r="258" spans="1:16" ht="15" customHeight="1" x14ac:dyDescent="0.2">
      <c r="B258" s="204"/>
      <c r="C258" s="700" t="str">
        <f>n2Data_4Processes_1directGHGE_Text8</f>
        <v>Si cela vous concerne, vous pouvez indiquer les émissions spécifiques aux processus en utilisant les champs de sélection sous « Émissions (air/eau/sol) ».</v>
      </c>
      <c r="D258" s="700"/>
      <c r="E258" s="700"/>
      <c r="F258" s="700"/>
      <c r="G258" s="10"/>
      <c r="H258" s="108"/>
      <c r="I258" s="379"/>
      <c r="J258" s="181" t="s">
        <v>2295</v>
      </c>
    </row>
    <row r="259" spans="1:16" ht="15" customHeight="1" x14ac:dyDescent="0.2">
      <c r="B259" s="204"/>
      <c r="C259" s="16"/>
      <c r="D259" s="16"/>
      <c r="E259" s="16"/>
      <c r="F259" s="16"/>
      <c r="G259" s="10"/>
      <c r="H259" s="108"/>
      <c r="I259" s="379"/>
      <c r="J259" s="203"/>
    </row>
    <row r="260" spans="1:16" ht="15" customHeight="1" x14ac:dyDescent="0.25">
      <c r="B260" s="204"/>
      <c r="C260" s="210" t="str">
        <f>n2Data_4Processes_1directGHGE_Text9</f>
        <v>Émissions (air/eau/sol)</v>
      </c>
      <c r="D260" s="213" t="s">
        <v>27135</v>
      </c>
      <c r="E260" s="213" t="s">
        <v>27136</v>
      </c>
      <c r="F260" s="210" t="s">
        <v>88</v>
      </c>
      <c r="G260" s="10"/>
      <c r="H260" s="108"/>
      <c r="I260" s="388" t="str">
        <f>IF(GenInp_E1="no","hide","display")</f>
        <v>display</v>
      </c>
      <c r="J260" s="181" t="s">
        <v>2296</v>
      </c>
    </row>
    <row r="261" spans="1:16" ht="15" hidden="1" customHeight="1" x14ac:dyDescent="0.25">
      <c r="B261" s="204"/>
      <c r="C261" s="210" t="s">
        <v>27187</v>
      </c>
      <c r="D261" s="213" t="s">
        <v>27135</v>
      </c>
      <c r="E261" s="213" t="s">
        <v>27136</v>
      </c>
      <c r="F261" s="210" t="s">
        <v>88</v>
      </c>
      <c r="G261" s="10"/>
      <c r="H261" s="108"/>
      <c r="I261" s="379"/>
    </row>
    <row r="262" spans="1:16" ht="15" customHeight="1" x14ac:dyDescent="0.2">
      <c r="B262" s="204"/>
      <c r="C262" s="399"/>
      <c r="D262" s="308"/>
      <c r="E262" s="308"/>
      <c r="F262" s="394"/>
      <c r="G262" s="10"/>
      <c r="H262" s="108"/>
      <c r="I262" s="379"/>
    </row>
    <row r="263" spans="1:16" ht="15" customHeight="1" x14ac:dyDescent="0.2">
      <c r="B263" s="204"/>
      <c r="C263" s="395"/>
      <c r="D263" s="308"/>
      <c r="E263" s="308"/>
      <c r="F263" s="396"/>
      <c r="G263" s="10"/>
      <c r="H263" s="108"/>
      <c r="I263" s="379"/>
    </row>
    <row r="264" spans="1:16" ht="15" customHeight="1" x14ac:dyDescent="0.2">
      <c r="B264" s="204"/>
      <c r="C264" s="395"/>
      <c r="D264" s="308"/>
      <c r="E264" s="308"/>
      <c r="F264" s="396"/>
      <c r="G264" s="10"/>
      <c r="H264" s="108"/>
      <c r="I264" s="379"/>
    </row>
    <row r="265" spans="1:16" ht="15" customHeight="1" x14ac:dyDescent="0.2">
      <c r="B265" s="204"/>
      <c r="C265" s="395"/>
      <c r="D265" s="308"/>
      <c r="E265" s="308"/>
      <c r="F265" s="396"/>
      <c r="G265" s="10"/>
      <c r="H265" s="108"/>
      <c r="I265" s="379"/>
    </row>
    <row r="266" spans="1:16" ht="15" customHeight="1" x14ac:dyDescent="0.2">
      <c r="B266" s="204"/>
      <c r="C266" s="397"/>
      <c r="D266" s="308"/>
      <c r="E266" s="308"/>
      <c r="F266" s="398"/>
      <c r="G266" s="10"/>
      <c r="H266" s="108"/>
      <c r="I266" s="379"/>
    </row>
    <row r="267" spans="1:16" ht="7.15" customHeight="1" x14ac:dyDescent="0.2">
      <c r="B267" s="204"/>
      <c r="C267" s="211"/>
      <c r="D267" s="211"/>
      <c r="E267" s="211"/>
      <c r="F267" s="261"/>
      <c r="G267" s="10"/>
      <c r="H267" s="108"/>
      <c r="I267" s="379"/>
    </row>
    <row r="268" spans="1:16" x14ac:dyDescent="0.2">
      <c r="B268" s="171"/>
      <c r="C268" s="172"/>
      <c r="D268" s="172"/>
      <c r="E268" s="172"/>
      <c r="F268" s="172"/>
      <c r="G268" s="172"/>
      <c r="H268" s="120"/>
      <c r="I268" s="379"/>
    </row>
    <row r="269" spans="1:16" ht="15" customHeight="1" x14ac:dyDescent="0.25">
      <c r="B269" s="221"/>
      <c r="E269" s="379"/>
      <c r="I269" s="379"/>
    </row>
    <row r="270" spans="1:16" ht="15" customHeight="1" x14ac:dyDescent="0.25">
      <c r="B270" s="221"/>
      <c r="I270" s="379"/>
    </row>
    <row r="271" spans="1:16" s="98" customFormat="1" ht="30" customHeight="1" x14ac:dyDescent="0.2">
      <c r="A271" s="198"/>
      <c r="B271" s="199" t="str">
        <f>n2Data_5Fugitive</f>
        <v>3 Émissions fugitives</v>
      </c>
      <c r="I271" s="383"/>
      <c r="J271" s="181" t="s">
        <v>2297</v>
      </c>
      <c r="K271" s="186"/>
    </row>
    <row r="272" spans="1:16" x14ac:dyDescent="0.2">
      <c r="B272" s="200"/>
      <c r="C272" s="129"/>
      <c r="D272" s="129"/>
      <c r="E272" s="129"/>
      <c r="F272" s="129"/>
      <c r="G272" s="214"/>
      <c r="H272" s="215" t="str">
        <f>n2Data_5Fugitive</f>
        <v>3 Émissions fugitives</v>
      </c>
      <c r="I272" s="388" t="str">
        <f>IF(GenInp_C3_Fugitive="no","hide","display")</f>
        <v>display</v>
      </c>
      <c r="O272" s="216"/>
      <c r="P272" s="216"/>
    </row>
    <row r="273" spans="2:16" ht="10.15" customHeight="1" x14ac:dyDescent="0.2">
      <c r="B273" s="204"/>
      <c r="C273" s="10"/>
      <c r="D273" s="10"/>
      <c r="E273" s="10"/>
      <c r="F273" s="10"/>
      <c r="G273" s="72"/>
      <c r="H273" s="217"/>
      <c r="I273" s="388"/>
      <c r="O273" s="216"/>
      <c r="P273" s="216"/>
    </row>
    <row r="274" spans="2:16" ht="15" x14ac:dyDescent="0.25">
      <c r="B274" s="204"/>
      <c r="C274" s="24" t="str">
        <f>n2Data_5Fugitive_1directGHGE</f>
        <v>Émissions directes de gaz à effet de serre issues des fuites</v>
      </c>
      <c r="D274" s="10"/>
      <c r="E274" s="10"/>
      <c r="F274" s="10"/>
      <c r="G274" s="10"/>
      <c r="H274" s="108"/>
      <c r="I274" s="379"/>
      <c r="J274" s="181" t="s">
        <v>2300</v>
      </c>
    </row>
    <row r="275" spans="2:16" ht="30" customHeight="1" x14ac:dyDescent="0.2">
      <c r="B275" s="204"/>
      <c r="C275" s="700" t="str">
        <f>n2Data_5Fugitive_1directGHGE_Text1</f>
        <v>Indiquez les émissions directes de gaz à effet de serre causées par la fuite accidentelle de gaz des installations de votre entreprise.
Cela inclut, par exemple, les pertes de réfrigérants dues aux systèmes de refroidissement et de climatisation, les émissions de méthane provenant des gazoducs ou les fuites des systèmes techniques.</v>
      </c>
      <c r="D275" s="700"/>
      <c r="E275" s="700"/>
      <c r="F275" s="700"/>
      <c r="G275" s="196"/>
      <c r="H275" s="108"/>
      <c r="I275" s="379"/>
      <c r="J275" s="181" t="s">
        <v>2303</v>
      </c>
    </row>
    <row r="276" spans="2:16" ht="10.15" customHeight="1" x14ac:dyDescent="0.2">
      <c r="B276" s="204"/>
      <c r="C276" s="16"/>
      <c r="D276" s="16"/>
      <c r="E276" s="16"/>
      <c r="F276" s="16"/>
      <c r="G276" s="10"/>
      <c r="H276" s="108"/>
      <c r="I276" s="379"/>
    </row>
    <row r="277" spans="2:16" x14ac:dyDescent="0.2">
      <c r="B277" s="204"/>
      <c r="C277" s="700" t="str">
        <f>n2Data_5Fugitive_1directGHGE_Text2</f>
        <v>Sous « Gaz à effet de serre », sélectionnez la substance affectée (menu déroulant). Sous « kg », entrez les fuites pour l’année du bilan en kilogrammes.</v>
      </c>
      <c r="D277" s="700"/>
      <c r="E277" s="700"/>
      <c r="F277" s="700"/>
      <c r="G277" s="10"/>
      <c r="H277" s="108"/>
      <c r="I277" s="379"/>
      <c r="J277" s="181" t="s">
        <v>2305</v>
      </c>
    </row>
    <row r="278" spans="2:16" ht="10.15" customHeight="1" x14ac:dyDescent="0.2">
      <c r="B278" s="204"/>
      <c r="C278" s="16"/>
      <c r="D278" s="16"/>
      <c r="E278" s="16"/>
      <c r="F278" s="16"/>
      <c r="G278" s="10"/>
      <c r="H278" s="108"/>
      <c r="I278" s="379"/>
      <c r="J278" s="203"/>
    </row>
    <row r="279" spans="2:16" ht="17.100000000000001" customHeight="1" x14ac:dyDescent="0.2">
      <c r="B279" s="204"/>
      <c r="C279" s="735" t="str">
        <f>n2Data_0General_Text1 &amp; I279</f>
        <v>Pour plus d’informations, voir le User Manual, chapitre 4.3</v>
      </c>
      <c r="D279" s="735"/>
      <c r="E279" s="735"/>
      <c r="F279" s="735"/>
      <c r="G279" s="10"/>
      <c r="H279" s="108"/>
      <c r="I279" s="379" t="str">
        <f>" 4.3"</f>
        <v xml:space="preserve"> 4.3</v>
      </c>
      <c r="J279" s="95" t="s">
        <v>2203</v>
      </c>
    </row>
    <row r="280" spans="2:16" ht="10.15" customHeight="1" x14ac:dyDescent="0.2">
      <c r="B280" s="204"/>
      <c r="C280" s="16"/>
      <c r="D280" s="16"/>
      <c r="E280" s="16"/>
      <c r="F280" s="16"/>
      <c r="G280" s="10"/>
      <c r="H280" s="108"/>
      <c r="I280" s="379"/>
      <c r="J280" s="95"/>
    </row>
    <row r="281" spans="2:16" ht="21.6" customHeight="1" x14ac:dyDescent="0.2">
      <c r="B281" s="204"/>
      <c r="C281" s="728" t="str">
        <f>n2Data_0General_Text2</f>
        <v>Cochez la case une fois le tableau terminé.</v>
      </c>
      <c r="D281" s="728"/>
      <c r="E281" s="728"/>
      <c r="F281" s="728"/>
      <c r="G281" s="10"/>
      <c r="H281" s="108"/>
      <c r="I281" s="386" t="b">
        <v>0</v>
      </c>
      <c r="J281" s="95" t="s">
        <v>2204</v>
      </c>
      <c r="O281" s="208"/>
      <c r="P281" s="208"/>
    </row>
    <row r="282" spans="2:16" ht="10.15" customHeight="1" x14ac:dyDescent="0.2">
      <c r="B282" s="204"/>
      <c r="C282" s="21"/>
      <c r="D282" s="21"/>
      <c r="E282" s="21"/>
      <c r="F282" s="21"/>
      <c r="G282" s="10"/>
      <c r="H282" s="108"/>
      <c r="I282" s="387">
        <f>IF(OR(I272="hide",I281=TRUE),100%,0%)</f>
        <v>0</v>
      </c>
      <c r="J282" s="95"/>
      <c r="O282" s="209"/>
      <c r="P282" s="209"/>
    </row>
    <row r="283" spans="2:16" x14ac:dyDescent="0.2">
      <c r="B283" s="204"/>
      <c r="C283" s="207" t="str">
        <f>n2Data_0General_Text3</f>
        <v>Notes :</v>
      </c>
      <c r="D283" s="21"/>
      <c r="E283" s="21"/>
      <c r="F283" s="21"/>
      <c r="G283" s="10"/>
      <c r="H283" s="108"/>
      <c r="I283" s="379"/>
      <c r="J283" s="95" t="s">
        <v>2207</v>
      </c>
    </row>
    <row r="284" spans="2:16" x14ac:dyDescent="0.2">
      <c r="B284" s="204"/>
      <c r="C284" s="729"/>
      <c r="D284" s="730"/>
      <c r="E284" s="730"/>
      <c r="F284" s="731"/>
      <c r="G284" s="10"/>
      <c r="H284" s="108"/>
      <c r="I284" s="379"/>
    </row>
    <row r="285" spans="2:16" x14ac:dyDescent="0.2">
      <c r="B285" s="204"/>
      <c r="C285" s="732"/>
      <c r="D285" s="733"/>
      <c r="E285" s="733"/>
      <c r="F285" s="734"/>
      <c r="G285" s="10"/>
      <c r="H285" s="108"/>
      <c r="I285" s="379"/>
    </row>
    <row r="286" spans="2:16" x14ac:dyDescent="0.2">
      <c r="B286" s="204"/>
      <c r="C286" s="224"/>
      <c r="D286" s="10"/>
      <c r="E286" s="10"/>
      <c r="F286" s="10"/>
      <c r="G286" s="10"/>
      <c r="H286" s="108"/>
      <c r="I286" s="379"/>
    </row>
    <row r="287" spans="2:16" ht="15" x14ac:dyDescent="0.25">
      <c r="B287" s="204"/>
      <c r="C287" s="210" t="str">
        <f>n2Data_5Fugitive_1directGHGE_Text3</f>
        <v>Gaz à effet de serre</v>
      </c>
      <c r="D287" s="213" t="s">
        <v>27135</v>
      </c>
      <c r="E287" s="213" t="s">
        <v>27137</v>
      </c>
      <c r="F287" s="210" t="s">
        <v>88</v>
      </c>
      <c r="G287" s="10"/>
      <c r="H287" s="108"/>
      <c r="I287" s="379"/>
      <c r="J287" s="181" t="s">
        <v>2306</v>
      </c>
    </row>
    <row r="288" spans="2:16" ht="15" hidden="1" customHeight="1" x14ac:dyDescent="0.25">
      <c r="B288" s="204"/>
      <c r="C288" s="210" t="s">
        <v>27182</v>
      </c>
      <c r="D288" s="213" t="s">
        <v>27135</v>
      </c>
      <c r="E288" s="213" t="s">
        <v>27137</v>
      </c>
      <c r="F288" s="210" t="s">
        <v>88</v>
      </c>
      <c r="G288" s="10"/>
      <c r="H288" s="108"/>
      <c r="I288" s="379"/>
    </row>
    <row r="289" spans="1:16" ht="15" customHeight="1" x14ac:dyDescent="0.2">
      <c r="B289" s="204"/>
      <c r="C289" s="399"/>
      <c r="D289" s="308"/>
      <c r="E289" s="308"/>
      <c r="F289" s="401"/>
      <c r="G289" s="10"/>
      <c r="H289" s="108"/>
      <c r="I289" s="379"/>
    </row>
    <row r="290" spans="1:16" ht="15" customHeight="1" x14ac:dyDescent="0.2">
      <c r="B290" s="204"/>
      <c r="C290" s="395"/>
      <c r="D290" s="308"/>
      <c r="E290" s="308"/>
      <c r="F290" s="402"/>
      <c r="G290" s="10"/>
      <c r="H290" s="108"/>
      <c r="I290" s="379"/>
    </row>
    <row r="291" spans="1:16" ht="15" customHeight="1" x14ac:dyDescent="0.2">
      <c r="B291" s="204"/>
      <c r="C291" s="395"/>
      <c r="D291" s="308"/>
      <c r="E291" s="308"/>
      <c r="F291" s="402"/>
      <c r="G291" s="10"/>
      <c r="H291" s="108"/>
      <c r="I291" s="379"/>
    </row>
    <row r="292" spans="1:16" ht="15" customHeight="1" x14ac:dyDescent="0.2">
      <c r="B292" s="204"/>
      <c r="C292" s="395"/>
      <c r="D292" s="308"/>
      <c r="E292" s="308"/>
      <c r="F292" s="402"/>
      <c r="G292" s="10"/>
      <c r="H292" s="108"/>
      <c r="I292" s="379"/>
    </row>
    <row r="293" spans="1:16" ht="15" customHeight="1" x14ac:dyDescent="0.2">
      <c r="B293" s="204"/>
      <c r="C293" s="395"/>
      <c r="D293" s="308"/>
      <c r="E293" s="308"/>
      <c r="F293" s="402"/>
      <c r="G293" s="10"/>
      <c r="H293" s="108"/>
      <c r="I293" s="379"/>
    </row>
    <row r="294" spans="1:16" ht="15" customHeight="1" x14ac:dyDescent="0.2">
      <c r="B294" s="204"/>
      <c r="C294" s="395"/>
      <c r="D294" s="308"/>
      <c r="E294" s="308"/>
      <c r="F294" s="402"/>
      <c r="G294" s="10"/>
      <c r="H294" s="108"/>
      <c r="I294" s="379"/>
    </row>
    <row r="295" spans="1:16" ht="15" customHeight="1" x14ac:dyDescent="0.2">
      <c r="B295" s="204"/>
      <c r="C295" s="395"/>
      <c r="D295" s="308"/>
      <c r="E295" s="308"/>
      <c r="F295" s="402"/>
      <c r="G295" s="10"/>
      <c r="H295" s="108"/>
      <c r="I295" s="379"/>
    </row>
    <row r="296" spans="1:16" ht="15" customHeight="1" x14ac:dyDescent="0.2">
      <c r="B296" s="204"/>
      <c r="C296" s="395"/>
      <c r="D296" s="308"/>
      <c r="E296" s="308"/>
      <c r="F296" s="402"/>
      <c r="G296" s="10"/>
      <c r="H296" s="108"/>
      <c r="I296" s="379"/>
    </row>
    <row r="297" spans="1:16" ht="15" customHeight="1" x14ac:dyDescent="0.2">
      <c r="B297" s="204"/>
      <c r="C297" s="395"/>
      <c r="D297" s="308"/>
      <c r="E297" s="308"/>
      <c r="F297" s="402"/>
      <c r="G297" s="10"/>
      <c r="H297" s="108"/>
      <c r="I297" s="379"/>
    </row>
    <row r="298" spans="1:16" ht="15" customHeight="1" x14ac:dyDescent="0.2">
      <c r="B298" s="204"/>
      <c r="C298" s="397"/>
      <c r="D298" s="308"/>
      <c r="E298" s="308"/>
      <c r="F298" s="403"/>
      <c r="G298" s="10"/>
      <c r="H298" s="108"/>
      <c r="I298" s="379"/>
    </row>
    <row r="299" spans="1:16" ht="7.15" customHeight="1" x14ac:dyDescent="0.2">
      <c r="B299" s="204"/>
      <c r="C299" s="225"/>
      <c r="D299" s="225"/>
      <c r="E299" s="225"/>
      <c r="F299" s="263"/>
      <c r="G299" s="10"/>
      <c r="H299" s="108"/>
      <c r="I299" s="379"/>
    </row>
    <row r="300" spans="1:16" x14ac:dyDescent="0.2">
      <c r="B300" s="171"/>
      <c r="C300" s="172"/>
      <c r="D300" s="172"/>
      <c r="E300" s="172"/>
      <c r="F300" s="172"/>
      <c r="G300" s="172"/>
      <c r="H300" s="120"/>
      <c r="I300" s="379"/>
    </row>
    <row r="301" spans="1:16" ht="15" customHeight="1" x14ac:dyDescent="0.25">
      <c r="B301" s="221"/>
      <c r="I301" s="379"/>
    </row>
    <row r="302" spans="1:16" ht="15" customHeight="1" x14ac:dyDescent="0.25">
      <c r="B302" s="221"/>
      <c r="I302" s="379"/>
    </row>
    <row r="303" spans="1:16" s="98" customFormat="1" ht="30" customHeight="1" x14ac:dyDescent="0.2">
      <c r="A303" s="198"/>
      <c r="B303" s="199" t="str">
        <f>n2Data_6Fleet</f>
        <v>4 Flotte</v>
      </c>
      <c r="I303" s="383"/>
      <c r="J303" s="181" t="s">
        <v>2307</v>
      </c>
      <c r="K303" s="186"/>
    </row>
    <row r="304" spans="1:16" x14ac:dyDescent="0.2">
      <c r="B304" s="200"/>
      <c r="C304" s="129"/>
      <c r="D304" s="129"/>
      <c r="E304" s="129"/>
      <c r="F304" s="129"/>
      <c r="G304" s="129"/>
      <c r="H304" s="215" t="str">
        <f>n2Data_6Fleet</f>
        <v>4 Flotte</v>
      </c>
      <c r="I304" s="388" t="str">
        <f>IF(GenInp_C4_Mobile="no","hide","display")</f>
        <v>display</v>
      </c>
      <c r="O304" s="216"/>
      <c r="P304" s="216"/>
    </row>
    <row r="305" spans="2:16" ht="10.15" customHeight="1" x14ac:dyDescent="0.2">
      <c r="B305" s="204"/>
      <c r="C305" s="10"/>
      <c r="D305" s="10"/>
      <c r="E305" s="10"/>
      <c r="F305" s="10"/>
      <c r="G305" s="10"/>
      <c r="H305" s="217"/>
      <c r="I305" s="388"/>
      <c r="O305" s="216"/>
      <c r="P305" s="216"/>
    </row>
    <row r="306" spans="2:16" ht="15" x14ac:dyDescent="0.25">
      <c r="B306" s="204"/>
      <c r="C306" s="24" t="str">
        <f>n2Data_6Fleet_1Owend</f>
        <v>Actifs à usage propre</v>
      </c>
      <c r="D306" s="10"/>
      <c r="E306" s="10"/>
      <c r="F306" s="10"/>
      <c r="G306" s="10"/>
      <c r="H306" s="108"/>
      <c r="I306" s="379"/>
      <c r="J306" s="181" t="s">
        <v>2310</v>
      </c>
    </row>
    <row r="307" spans="2:16" ht="30" customHeight="1" x14ac:dyDescent="0.2">
      <c r="B307" s="204"/>
      <c r="C307" s="700" t="str">
        <f>n2Data_6Fleet_1Owend_Text1</f>
        <v>Indiquez les émissions issues de la consommation de carburant ou d’électricité des véhicules et machines mobiles appartenant à votre entreprise que vous utilisez vous-même.
Cela inclut, par exemple, des voitures particulières, des camions, des chariots élévateurs, des machines de construction, des machines de jardinage.</v>
      </c>
      <c r="D307" s="700"/>
      <c r="E307" s="700"/>
      <c r="F307" s="700"/>
      <c r="G307" s="10"/>
      <c r="H307" s="108"/>
      <c r="I307" s="379"/>
      <c r="J307" s="181" t="s">
        <v>2311</v>
      </c>
    </row>
    <row r="308" spans="2:16" ht="10.15" customHeight="1" x14ac:dyDescent="0.2">
      <c r="B308" s="204"/>
      <c r="C308" s="16"/>
      <c r="D308" s="16"/>
      <c r="E308" s="16"/>
      <c r="F308" s="16"/>
      <c r="G308" s="10"/>
      <c r="H308" s="108"/>
      <c r="I308" s="379"/>
    </row>
    <row r="309" spans="2:16" ht="74.45" customHeight="1" x14ac:dyDescent="0.2">
      <c r="B309" s="204"/>
      <c r="C309" s="700" t="str">
        <f>n2Data_6Fleet_1Owend_Text2</f>
        <v>Saisie simplifiée : Indiquez la consommation de l’année du bilan soit directement en litres d’essence/diesel, soit en kWh d’électricité.
Entrée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(sous b) Carburant).</v>
      </c>
      <c r="D309" s="700"/>
      <c r="E309" s="700"/>
      <c r="F309" s="700"/>
      <c r="G309" s="10"/>
      <c r="H309" s="108"/>
      <c r="I309" s="379"/>
      <c r="J309" s="181" t="s">
        <v>2313</v>
      </c>
    </row>
    <row r="310" spans="2:16" ht="10.15" customHeight="1" x14ac:dyDescent="0.2">
      <c r="B310" s="204"/>
      <c r="C310" s="16"/>
      <c r="D310" s="16"/>
      <c r="E310" s="16"/>
      <c r="F310" s="16"/>
      <c r="G310" s="10"/>
      <c r="H310" s="108"/>
      <c r="I310" s="379"/>
      <c r="J310" s="203"/>
    </row>
    <row r="311" spans="2:16" ht="17.100000000000001" customHeight="1" x14ac:dyDescent="0.2">
      <c r="B311" s="204"/>
      <c r="C311" s="207" t="str">
        <f>n2Data_0General_Text1 &amp; I311</f>
        <v>Pour plus d’informations, voir le User Manual, chapitre 4.4</v>
      </c>
      <c r="D311" s="16"/>
      <c r="E311" s="16"/>
      <c r="F311" s="16"/>
      <c r="G311" s="10"/>
      <c r="H311" s="108"/>
      <c r="I311" s="379" t="str">
        <f>" 4.4"</f>
        <v xml:space="preserve"> 4.4</v>
      </c>
      <c r="J311" s="95" t="s">
        <v>2203</v>
      </c>
    </row>
    <row r="312" spans="2:16" ht="10.15" customHeight="1" x14ac:dyDescent="0.2">
      <c r="B312" s="204"/>
      <c r="C312" s="16"/>
      <c r="D312" s="16"/>
      <c r="E312" s="16"/>
      <c r="F312" s="16"/>
      <c r="G312" s="10"/>
      <c r="H312" s="108"/>
      <c r="I312" s="379"/>
      <c r="J312" s="95"/>
    </row>
    <row r="313" spans="2:16" ht="21.6" customHeight="1" x14ac:dyDescent="0.2">
      <c r="B313" s="204"/>
      <c r="C313" s="728" t="str">
        <f>n2Data_0General_Text2</f>
        <v>Cochez la case une fois le tableau terminé.</v>
      </c>
      <c r="D313" s="728"/>
      <c r="E313" s="728"/>
      <c r="F313" s="728"/>
      <c r="G313" s="10"/>
      <c r="H313" s="108"/>
      <c r="I313" s="386" t="b">
        <v>0</v>
      </c>
      <c r="J313" s="95" t="s">
        <v>2204</v>
      </c>
      <c r="O313" s="208"/>
      <c r="P313" s="208"/>
    </row>
    <row r="314" spans="2:16" ht="10.15" customHeight="1" x14ac:dyDescent="0.2">
      <c r="B314" s="204"/>
      <c r="C314" s="10"/>
      <c r="D314" s="10"/>
      <c r="E314" s="10"/>
      <c r="F314" s="10"/>
      <c r="G314" s="10"/>
      <c r="H314" s="108"/>
      <c r="I314" s="387">
        <f>IF(OR(I304="hide",I313=TRUE),100%,0%)</f>
        <v>0</v>
      </c>
      <c r="J314" s="95"/>
      <c r="O314" s="209"/>
      <c r="P314" s="209"/>
    </row>
    <row r="315" spans="2:16" x14ac:dyDescent="0.2">
      <c r="B315" s="204"/>
      <c r="C315" s="207" t="str">
        <f>n2Data_0General_Text3</f>
        <v>Notes :</v>
      </c>
      <c r="D315" s="21"/>
      <c r="E315" s="21"/>
      <c r="F315" s="21"/>
      <c r="G315" s="10"/>
      <c r="H315" s="108"/>
      <c r="I315" s="379"/>
      <c r="J315" s="95" t="s">
        <v>2207</v>
      </c>
    </row>
    <row r="316" spans="2:16" x14ac:dyDescent="0.2">
      <c r="B316" s="204"/>
      <c r="C316" s="729"/>
      <c r="D316" s="730"/>
      <c r="E316" s="730"/>
      <c r="F316" s="731"/>
      <c r="G316" s="10"/>
      <c r="H316" s="108"/>
      <c r="I316" s="379"/>
    </row>
    <row r="317" spans="2:16" x14ac:dyDescent="0.2">
      <c r="B317" s="204"/>
      <c r="C317" s="732"/>
      <c r="D317" s="733"/>
      <c r="E317" s="733"/>
      <c r="F317" s="734"/>
      <c r="G317" s="10"/>
      <c r="H317" s="108"/>
      <c r="I317" s="379"/>
    </row>
    <row r="318" spans="2:16" x14ac:dyDescent="0.2">
      <c r="B318" s="204"/>
      <c r="C318" s="224"/>
      <c r="D318" s="10"/>
      <c r="E318" s="10"/>
      <c r="F318" s="10"/>
      <c r="G318" s="10"/>
      <c r="H318" s="108"/>
      <c r="I318" s="379"/>
    </row>
    <row r="319" spans="2:16" ht="15" x14ac:dyDescent="0.25">
      <c r="B319" s="204"/>
      <c r="C319" s="210" t="str">
        <f>n2Data_6Fleet_1Owend_Text3</f>
        <v>Consommation de carburant</v>
      </c>
      <c r="D319" s="213" t="s">
        <v>27135</v>
      </c>
      <c r="E319" s="210" t="str">
        <f>n2Data_0General_Text5_Unit</f>
        <v>Unité</v>
      </c>
      <c r="F319" s="210" t="str">
        <f>n2Data_0General_Text4_Input</f>
        <v>Saisie</v>
      </c>
      <c r="G319" s="10"/>
      <c r="H319" s="108"/>
      <c r="I319" s="379"/>
      <c r="J319" s="181" t="s">
        <v>2314</v>
      </c>
      <c r="K319" s="95" t="s">
        <v>2214</v>
      </c>
      <c r="L319" s="186" t="s">
        <v>2211</v>
      </c>
    </row>
    <row r="320" spans="2:16" ht="15" hidden="1" customHeight="1" x14ac:dyDescent="0.25">
      <c r="B320" s="204"/>
      <c r="C320" s="210" t="s">
        <v>27194</v>
      </c>
      <c r="D320" s="213" t="s">
        <v>27135</v>
      </c>
      <c r="E320" s="210" t="s">
        <v>276</v>
      </c>
      <c r="F320" s="210" t="s">
        <v>27170</v>
      </c>
      <c r="G320" s="10"/>
      <c r="H320" s="108"/>
      <c r="I320" s="379"/>
      <c r="K320" s="92"/>
    </row>
    <row r="321" spans="1:16" ht="15" customHeight="1" x14ac:dyDescent="0.2">
      <c r="B321" s="204"/>
      <c r="C321" s="308" t="str">
        <f>n2Data_6Fleet_1Owend_Text4</f>
        <v>Diesel</v>
      </c>
      <c r="D321" s="308"/>
      <c r="E321" s="308" t="s">
        <v>74</v>
      </c>
      <c r="F321" s="394"/>
      <c r="G321" s="10"/>
      <c r="H321" s="108"/>
      <c r="I321" s="379"/>
      <c r="J321" s="181" t="s">
        <v>2318</v>
      </c>
    </row>
    <row r="322" spans="1:16" ht="15" customHeight="1" x14ac:dyDescent="0.2">
      <c r="B322" s="204"/>
      <c r="C322" s="308" t="str">
        <f>n2Data_6Fleet_1Owend_Text5</f>
        <v>Essence</v>
      </c>
      <c r="D322" s="308"/>
      <c r="E322" s="308" t="s">
        <v>74</v>
      </c>
      <c r="F322" s="396"/>
      <c r="G322" s="10"/>
      <c r="H322" s="108"/>
      <c r="I322" s="379"/>
      <c r="J322" s="181" t="s">
        <v>2320</v>
      </c>
    </row>
    <row r="323" spans="1:16" ht="15" customHeight="1" x14ac:dyDescent="0.2">
      <c r="B323" s="204"/>
      <c r="C323" s="308" t="str">
        <f>n2Data_6Fleet_1Owend_Text6</f>
        <v>Électricité</v>
      </c>
      <c r="D323" s="308"/>
      <c r="E323" s="308" t="s">
        <v>224</v>
      </c>
      <c r="F323" s="398"/>
      <c r="G323" s="10"/>
      <c r="H323" s="108"/>
      <c r="I323" s="379"/>
      <c r="J323" s="181" t="s">
        <v>2324</v>
      </c>
    </row>
    <row r="324" spans="1:16" ht="7.15" customHeight="1" x14ac:dyDescent="0.2">
      <c r="B324" s="204"/>
      <c r="C324" s="211"/>
      <c r="D324" s="211"/>
      <c r="E324" s="211"/>
      <c r="F324" s="261"/>
      <c r="G324" s="10"/>
      <c r="H324" s="108"/>
      <c r="I324" s="379"/>
    </row>
    <row r="325" spans="1:16" x14ac:dyDescent="0.2">
      <c r="B325" s="204"/>
      <c r="C325" s="10"/>
      <c r="D325" s="10"/>
      <c r="E325" s="10"/>
      <c r="F325" s="219"/>
      <c r="G325" s="10"/>
      <c r="H325" s="108"/>
      <c r="I325" s="379"/>
    </row>
    <row r="326" spans="1:16" ht="15" x14ac:dyDescent="0.25">
      <c r="B326" s="204"/>
      <c r="C326" s="210" t="str">
        <f>n2Data_6Fleet_1Owend_Text7a</f>
        <v>Véhicule</v>
      </c>
      <c r="D326" s="210" t="str">
        <f>n2Data_6Fleet_1Owend_Text7b</f>
        <v>a) Prestations kilométriques</v>
      </c>
      <c r="E326" s="210" t="str">
        <f>n2Data_6Fleet_1Owend_Text7c</f>
        <v>Unité a)</v>
      </c>
      <c r="F326" s="210" t="str">
        <f>n2Data_6Fleet_1Owend_Text7d</f>
        <v>b) Carburant</v>
      </c>
      <c r="G326" s="357" t="str">
        <f>n2Data_6Fleet_1Owend_Text7e</f>
        <v>Unité b)</v>
      </c>
      <c r="H326" s="108"/>
      <c r="I326" s="379"/>
      <c r="J326" s="181" t="s">
        <v>2326</v>
      </c>
      <c r="K326" s="181" t="s">
        <v>2330</v>
      </c>
      <c r="L326" s="181" t="s">
        <v>2332</v>
      </c>
      <c r="M326" s="181" t="s">
        <v>2336</v>
      </c>
      <c r="N326" s="181" t="s">
        <v>2340</v>
      </c>
    </row>
    <row r="327" spans="1:16" ht="15" hidden="1" customHeight="1" x14ac:dyDescent="0.25">
      <c r="B327" s="204"/>
      <c r="C327" s="210" t="s">
        <v>27190</v>
      </c>
      <c r="D327" s="210" t="s">
        <v>2331</v>
      </c>
      <c r="E327" s="210" t="s">
        <v>27191</v>
      </c>
      <c r="F327" s="210" t="s">
        <v>27192</v>
      </c>
      <c r="G327" s="357" t="s">
        <v>27193</v>
      </c>
      <c r="H327" s="108"/>
      <c r="I327" s="379"/>
      <c r="K327" s="92"/>
    </row>
    <row r="328" spans="1:16" ht="15" customHeight="1" x14ac:dyDescent="0.2">
      <c r="B328" s="204"/>
      <c r="C328" s="399"/>
      <c r="D328" s="394"/>
      <c r="E328" s="308" t="str" cm="1">
        <f t="array" ref="E328">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28" s="396" cm="1">
        <f t="array" ref="F328">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28" s="358" t="str" cm="1">
        <f t="array" ref="G328">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28" s="108"/>
      <c r="I328" s="389"/>
      <c r="K328" s="92"/>
    </row>
    <row r="329" spans="1:16" ht="15" customHeight="1" x14ac:dyDescent="0.2">
      <c r="B329" s="204"/>
      <c r="C329" s="395"/>
      <c r="D329" s="396"/>
      <c r="E329" s="308" t="str" cm="1">
        <f t="array" ref="E329">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29" s="396" cm="1">
        <f t="array" ref="F329">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29" s="358" t="str" cm="1">
        <f t="array" ref="G329">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29" s="108"/>
      <c r="I329" s="379"/>
    </row>
    <row r="330" spans="1:16" ht="15" customHeight="1" x14ac:dyDescent="0.2">
      <c r="B330" s="204"/>
      <c r="C330" s="395"/>
      <c r="D330" s="396"/>
      <c r="E330" s="308" t="str" cm="1">
        <f t="array" ref="E330">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0" s="396" cm="1">
        <f t="array" ref="F330">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0" s="358" t="str" cm="1">
        <f t="array" ref="G330">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0" s="108"/>
      <c r="I330" s="379"/>
    </row>
    <row r="331" spans="1:16" ht="15" customHeight="1" x14ac:dyDescent="0.2">
      <c r="B331" s="204"/>
      <c r="C331" s="395"/>
      <c r="D331" s="396"/>
      <c r="E331" s="308" t="str" cm="1">
        <f t="array" ref="E331">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1" s="396" cm="1">
        <f t="array" ref="F331">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1" s="358" t="str" cm="1">
        <f t="array" ref="G331">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1" s="108"/>
      <c r="I331" s="379"/>
    </row>
    <row r="332" spans="1:16" s="186" customFormat="1" ht="15" customHeight="1" x14ac:dyDescent="0.2">
      <c r="A332" s="95"/>
      <c r="B332" s="204"/>
      <c r="C332" s="395"/>
      <c r="D332" s="396"/>
      <c r="E332" s="308" t="str" cm="1">
        <f t="array" ref="E332">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2" s="396" cm="1">
        <f t="array" ref="F332">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2" s="358" t="str" cm="1">
        <f t="array" ref="G332">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2" s="108"/>
      <c r="I332" s="379"/>
      <c r="J332" s="92"/>
      <c r="L332" s="92"/>
      <c r="M332" s="92"/>
      <c r="N332" s="92"/>
      <c r="O332" s="92"/>
      <c r="P332" s="92"/>
    </row>
    <row r="333" spans="1:16" s="186" customFormat="1" ht="15" customHeight="1" x14ac:dyDescent="0.2">
      <c r="A333" s="95"/>
      <c r="B333" s="204"/>
      <c r="C333" s="395"/>
      <c r="D333" s="396"/>
      <c r="E333" s="308" t="str" cm="1">
        <f t="array" ref="E333">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3" s="396" cm="1">
        <f t="array" ref="F333">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3" s="358" t="str" cm="1">
        <f t="array" ref="G333">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3" s="108"/>
      <c r="I333" s="379"/>
      <c r="J333" s="92"/>
      <c r="L333" s="92"/>
      <c r="M333" s="92"/>
      <c r="N333" s="92"/>
      <c r="O333" s="92"/>
      <c r="P333" s="92"/>
    </row>
    <row r="334" spans="1:16" s="186" customFormat="1" ht="15" customHeight="1" x14ac:dyDescent="0.2">
      <c r="A334" s="95"/>
      <c r="B334" s="204"/>
      <c r="C334" s="395"/>
      <c r="D334" s="396"/>
      <c r="E334" s="308" t="str" cm="1">
        <f t="array" ref="E334">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4" s="396" cm="1">
        <f t="array" ref="F334">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4" s="358" t="str" cm="1">
        <f t="array" ref="G334">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4" s="108"/>
      <c r="I334" s="379"/>
      <c r="J334" s="92"/>
      <c r="L334" s="92"/>
      <c r="M334" s="92"/>
      <c r="N334" s="92"/>
      <c r="O334" s="92"/>
      <c r="P334" s="92"/>
    </row>
    <row r="335" spans="1:16" s="186" customFormat="1" ht="15" customHeight="1" x14ac:dyDescent="0.2">
      <c r="A335" s="95"/>
      <c r="B335" s="204"/>
      <c r="C335" s="395"/>
      <c r="D335" s="396"/>
      <c r="E335" s="308" t="str" cm="1">
        <f t="array" ref="E335">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5" s="396" cm="1">
        <f t="array" ref="F335">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5" s="358" t="str" cm="1">
        <f t="array" ref="G335">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5" s="108"/>
      <c r="I335" s="379"/>
      <c r="J335" s="92"/>
      <c r="L335" s="92"/>
      <c r="M335" s="92"/>
      <c r="N335" s="92"/>
      <c r="O335" s="92"/>
      <c r="P335" s="92"/>
    </row>
    <row r="336" spans="1:16" s="186" customFormat="1" ht="15" customHeight="1" x14ac:dyDescent="0.2">
      <c r="A336" s="95"/>
      <c r="B336" s="204"/>
      <c r="C336" s="395"/>
      <c r="D336" s="396"/>
      <c r="E336" s="308" t="str" cm="1">
        <f t="array" ref="E336">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6" s="396" cm="1">
        <f t="array" ref="F336">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6" s="358" t="str" cm="1">
        <f t="array" ref="G336">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6" s="108"/>
      <c r="I336" s="379"/>
      <c r="J336" s="92"/>
      <c r="L336" s="92"/>
      <c r="M336" s="92"/>
      <c r="N336" s="92"/>
      <c r="O336" s="92"/>
      <c r="P336" s="92"/>
    </row>
    <row r="337" spans="1:16" s="186" customFormat="1" ht="15" customHeight="1" x14ac:dyDescent="0.2">
      <c r="A337" s="95"/>
      <c r="B337" s="204"/>
      <c r="C337" s="397"/>
      <c r="D337" s="398"/>
      <c r="E337" s="308" t="str" cm="1">
        <f t="array" ref="E337">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7" s="398" cm="1">
        <f t="array" ref="F337">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7" s="358" t="str" cm="1">
        <f t="array" ref="G337">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7" s="108"/>
      <c r="I337" s="379"/>
      <c r="J337" s="92"/>
      <c r="L337" s="92"/>
      <c r="M337" s="92"/>
      <c r="N337" s="92"/>
      <c r="O337" s="92"/>
      <c r="P337" s="92"/>
    </row>
    <row r="338" spans="1:16" s="186" customFormat="1" ht="5.65" customHeight="1" x14ac:dyDescent="0.2">
      <c r="A338" s="95"/>
      <c r="B338" s="204"/>
      <c r="C338" s="211"/>
      <c r="D338" s="261"/>
      <c r="E338" s="211" t="str" cm="1">
        <f t="array" ref="E338">IF(D_Fleet_own[[#This Row],[Vehicle]]="","",
   _xlfn.XLOOKUP(
     D_Fleet_own[[#This Row],[Vehicle]],
     _xlfn.TOCOL(_xlfn.HSTACK(Lists_S1_Fleet_direct[DE Name],Lists_S1_Fleet_direct[FR Name],Lists_S1_Fleet_direct[IT Name]),1),
     _xlfn.TOCOL(_xlfn.HSTACK(Lists_S1_Fleet_direct[Functional unit a)],Lists_S1_Fleet_direct[Functional unit a)],Lists_S1_Fleet_direct[Functional unit a)]),1),
     "")
)</f>
        <v/>
      </c>
      <c r="F338" s="261" t="str">
        <f>IF(D_Fleet_own[[#This Row],[a) Kilometer]]="","",D_Fleet_own[[#This Row],[a) Kilometer]]*Lists!I129)</f>
        <v/>
      </c>
      <c r="G338" s="212" t="str" cm="1">
        <f t="array" ref="G338">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8" s="108"/>
      <c r="I338" s="379"/>
      <c r="J338" s="92"/>
      <c r="L338" s="92"/>
      <c r="M338" s="92"/>
      <c r="N338" s="92"/>
      <c r="O338" s="92"/>
      <c r="P338" s="92"/>
    </row>
    <row r="339" spans="1:16" s="186" customFormat="1" x14ac:dyDescent="0.2">
      <c r="A339" s="95"/>
      <c r="B339" s="171"/>
      <c r="C339" s="172"/>
      <c r="D339" s="172"/>
      <c r="E339" s="172"/>
      <c r="F339" s="172"/>
      <c r="G339" s="172"/>
      <c r="H339" s="120"/>
      <c r="I339" s="379"/>
      <c r="J339" s="92"/>
      <c r="L339" s="92"/>
      <c r="M339" s="92"/>
      <c r="N339" s="92"/>
      <c r="O339" s="92"/>
      <c r="P339" s="92"/>
    </row>
    <row r="340" spans="1:16" x14ac:dyDescent="0.2">
      <c r="I340" s="379"/>
    </row>
    <row r="341" spans="1:16" s="186" customFormat="1" x14ac:dyDescent="0.2">
      <c r="A341" s="95"/>
      <c r="B341" s="200"/>
      <c r="C341" s="129"/>
      <c r="D341" s="129"/>
      <c r="E341" s="129"/>
      <c r="F341" s="129"/>
      <c r="G341" s="129"/>
      <c r="H341" s="215" t="str">
        <f>n2Data_6Fleet</f>
        <v>4 Flotte</v>
      </c>
      <c r="I341" s="388" t="str">
        <f>IF(OR(GenInp_C4_Mobile="no",GenInp_C41_Mobile_Lessee="no"),"hide","display")</f>
        <v>display</v>
      </c>
      <c r="J341" s="92"/>
      <c r="L341" s="92"/>
      <c r="M341" s="92"/>
      <c r="N341" s="92"/>
      <c r="O341" s="216"/>
      <c r="P341" s="216"/>
    </row>
    <row r="342" spans="1:16" s="186" customFormat="1" ht="10.15" customHeight="1" x14ac:dyDescent="0.2">
      <c r="A342" s="95"/>
      <c r="B342" s="204"/>
      <c r="C342" s="10"/>
      <c r="D342" s="10"/>
      <c r="E342" s="10"/>
      <c r="F342" s="10"/>
      <c r="G342" s="10"/>
      <c r="H342" s="217"/>
      <c r="I342" s="388"/>
      <c r="J342" s="92"/>
      <c r="L342" s="92"/>
      <c r="M342" s="92"/>
      <c r="N342" s="92"/>
      <c r="O342" s="216"/>
      <c r="P342" s="216"/>
    </row>
    <row r="343" spans="1:16" s="186" customFormat="1" ht="15" x14ac:dyDescent="0.25">
      <c r="A343" s="95"/>
      <c r="B343" s="204"/>
      <c r="C343" s="24" t="str">
        <f>n2Data_6Fleet_2Lessee</f>
        <v>Actifs loués en amont</v>
      </c>
      <c r="D343" s="10"/>
      <c r="E343" s="10"/>
      <c r="F343" s="10"/>
      <c r="G343" s="10"/>
      <c r="H343" s="108"/>
      <c r="I343" s="379"/>
      <c r="J343" s="181" t="s">
        <v>2342</v>
      </c>
      <c r="L343" s="92"/>
      <c r="M343" s="92"/>
      <c r="N343" s="92"/>
      <c r="O343" s="92"/>
      <c r="P343" s="92"/>
    </row>
    <row r="344" spans="1:16" s="186" customFormat="1" ht="30" customHeight="1" x14ac:dyDescent="0.2">
      <c r="A344" s="95"/>
      <c r="B344" s="204"/>
      <c r="C344" s="700" t="str">
        <f>n2Data_6Fleet_2Lessee_Text1</f>
        <v>Indiquez les émissions dues à la consommation de carburant ou d’électricité provenant de véhicules et de machines mobiles loués en amont.
Cela inclut, par exemple, des voitures particulières, des camions, des chariots élévateurs, des machines de construction, des machines de jardinage.</v>
      </c>
      <c r="D344" s="700"/>
      <c r="E344" s="700"/>
      <c r="F344" s="700"/>
      <c r="G344" s="10"/>
      <c r="H344" s="108"/>
      <c r="I344" s="379"/>
      <c r="J344" s="181" t="s">
        <v>2343</v>
      </c>
      <c r="L344" s="92"/>
      <c r="M344" s="92"/>
      <c r="N344" s="92"/>
      <c r="O344" s="92"/>
      <c r="P344" s="92"/>
    </row>
    <row r="345" spans="1:16" s="186" customFormat="1" ht="10.15" customHeight="1" x14ac:dyDescent="0.2">
      <c r="A345" s="95"/>
      <c r="B345" s="204"/>
      <c r="C345" s="16"/>
      <c r="D345" s="16"/>
      <c r="E345" s="16"/>
      <c r="F345" s="16"/>
      <c r="G345" s="10"/>
      <c r="H345" s="108"/>
      <c r="I345" s="379"/>
      <c r="J345" s="92"/>
      <c r="L345" s="92"/>
      <c r="M345" s="92"/>
      <c r="N345" s="92"/>
      <c r="O345" s="92"/>
      <c r="P345" s="92"/>
    </row>
    <row r="346" spans="1:16" s="186" customFormat="1" ht="74.45" customHeight="1" x14ac:dyDescent="0.2">
      <c r="A346" s="95"/>
      <c r="B346" s="204"/>
      <c r="C346" s="700" t="str">
        <f>n2Data_6Fleet_2Lessee_Text2</f>
        <v>Saisie simplifiée : Indiquez la consommation de l’année du bilan soit directement en litres d’essence/diesel, soit en kWh d’électricité.
Saisie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(colonne de droite).</v>
      </c>
      <c r="D346" s="700"/>
      <c r="E346" s="700"/>
      <c r="F346" s="700"/>
      <c r="G346" s="10"/>
      <c r="H346" s="108"/>
      <c r="I346" s="379"/>
      <c r="J346" s="181" t="s">
        <v>2345</v>
      </c>
      <c r="L346" s="92"/>
      <c r="M346" s="92"/>
      <c r="N346" s="92"/>
      <c r="O346" s="92"/>
      <c r="P346" s="92"/>
    </row>
    <row r="347" spans="1:16" s="186" customFormat="1" ht="10.15" customHeight="1" x14ac:dyDescent="0.2">
      <c r="A347" s="95"/>
      <c r="B347" s="204"/>
      <c r="C347" s="16"/>
      <c r="D347" s="16"/>
      <c r="E347" s="16"/>
      <c r="F347" s="16"/>
      <c r="G347" s="10"/>
      <c r="H347" s="108"/>
      <c r="I347" s="379"/>
      <c r="J347" s="203"/>
      <c r="L347" s="92"/>
      <c r="M347" s="92"/>
      <c r="N347" s="92"/>
      <c r="O347" s="92"/>
      <c r="P347" s="92"/>
    </row>
    <row r="348" spans="1:16" ht="17.100000000000001" customHeight="1" x14ac:dyDescent="0.2">
      <c r="B348" s="204"/>
      <c r="C348" s="207" t="str">
        <f>n2Data_0General_Text1 &amp; I348</f>
        <v>Pour plus d’informations, voir le User Manual, chapitre 4.4</v>
      </c>
      <c r="D348" s="16"/>
      <c r="E348" s="16"/>
      <c r="F348" s="16"/>
      <c r="G348" s="10"/>
      <c r="H348" s="108"/>
      <c r="I348" s="379" t="str">
        <f>" 4.4"</f>
        <v xml:space="preserve"> 4.4</v>
      </c>
      <c r="J348" s="95" t="s">
        <v>2203</v>
      </c>
    </row>
    <row r="349" spans="1:16" ht="10.15" customHeight="1" x14ac:dyDescent="0.2">
      <c r="B349" s="204"/>
      <c r="C349" s="16"/>
      <c r="D349" s="16"/>
      <c r="E349" s="16"/>
      <c r="F349" s="16"/>
      <c r="G349" s="10"/>
      <c r="H349" s="108"/>
      <c r="I349" s="379"/>
      <c r="J349" s="95"/>
    </row>
    <row r="350" spans="1:16" ht="21.6" customHeight="1" x14ac:dyDescent="0.2">
      <c r="B350" s="204"/>
      <c r="C350" s="728" t="str">
        <f>n2Data_0General_Text2</f>
        <v>Cochez la case une fois le tableau terminé.</v>
      </c>
      <c r="D350" s="728"/>
      <c r="E350" s="728"/>
      <c r="F350" s="728"/>
      <c r="G350" s="10"/>
      <c r="H350" s="108"/>
      <c r="I350" s="386" t="b">
        <v>0</v>
      </c>
      <c r="J350" s="95" t="s">
        <v>2204</v>
      </c>
      <c r="O350" s="208"/>
      <c r="P350" s="208"/>
    </row>
    <row r="351" spans="1:16" ht="10.15" customHeight="1" x14ac:dyDescent="0.2">
      <c r="B351" s="204"/>
      <c r="C351" s="21"/>
      <c r="D351" s="21"/>
      <c r="E351" s="21"/>
      <c r="F351" s="21"/>
      <c r="G351" s="10"/>
      <c r="H351" s="108"/>
      <c r="I351" s="387">
        <f>IF(OR(I341="hide",I350=TRUE),100%,0%)</f>
        <v>0</v>
      </c>
      <c r="J351" s="95"/>
      <c r="O351" s="209"/>
      <c r="P351" s="209"/>
    </row>
    <row r="352" spans="1:16" x14ac:dyDescent="0.2">
      <c r="B352" s="204"/>
      <c r="C352" s="207" t="str">
        <f>n2Data_0General_Text3</f>
        <v>Notes :</v>
      </c>
      <c r="D352" s="21"/>
      <c r="E352" s="21"/>
      <c r="F352" s="21"/>
      <c r="G352" s="10"/>
      <c r="H352" s="108"/>
      <c r="I352" s="379"/>
      <c r="J352" s="95" t="s">
        <v>2207</v>
      </c>
    </row>
    <row r="353" spans="1:16" x14ac:dyDescent="0.2">
      <c r="B353" s="204"/>
      <c r="C353" s="729"/>
      <c r="D353" s="730"/>
      <c r="E353" s="730"/>
      <c r="F353" s="731"/>
      <c r="G353" s="10"/>
      <c r="H353" s="108"/>
      <c r="I353" s="379"/>
    </row>
    <row r="354" spans="1:16" x14ac:dyDescent="0.2">
      <c r="B354" s="204"/>
      <c r="C354" s="732"/>
      <c r="D354" s="733"/>
      <c r="E354" s="733"/>
      <c r="F354" s="734"/>
      <c r="G354" s="10"/>
      <c r="H354" s="108"/>
      <c r="I354" s="379"/>
    </row>
    <row r="355" spans="1:16" x14ac:dyDescent="0.2">
      <c r="B355" s="204"/>
      <c r="C355" s="224"/>
      <c r="D355" s="10"/>
      <c r="E355" s="10"/>
      <c r="F355" s="10"/>
      <c r="G355" s="10"/>
      <c r="H355" s="108"/>
      <c r="I355" s="379"/>
      <c r="K355" s="92"/>
    </row>
    <row r="356" spans="1:16" x14ac:dyDescent="0.2">
      <c r="B356" s="204"/>
      <c r="C356" s="224"/>
      <c r="D356" s="10"/>
      <c r="E356" s="10"/>
      <c r="F356" s="10"/>
      <c r="G356" s="10"/>
      <c r="H356" s="108"/>
      <c r="I356" s="379"/>
      <c r="K356" s="92"/>
    </row>
    <row r="357" spans="1:16" ht="15" x14ac:dyDescent="0.25">
      <c r="B357" s="204"/>
      <c r="C357" s="210" t="str">
        <f>n2Data_6Fleet_2Lessee_Text3</f>
        <v>Consommation de carburant (simplifiée)</v>
      </c>
      <c r="D357" s="213" t="s">
        <v>27135</v>
      </c>
      <c r="E357" s="210" t="str">
        <f>n2Data_0General_Text5_Unit</f>
        <v>Unité</v>
      </c>
      <c r="F357" s="210" t="str">
        <f>n2Data_0General_Text4_Input</f>
        <v>Saisie</v>
      </c>
      <c r="G357" s="10"/>
      <c r="H357" s="108"/>
      <c r="I357" s="379"/>
      <c r="J357" s="181" t="s">
        <v>2346</v>
      </c>
      <c r="K357" s="95" t="s">
        <v>2214</v>
      </c>
      <c r="L357" s="186" t="s">
        <v>2211</v>
      </c>
    </row>
    <row r="358" spans="1:16" ht="15" hidden="1" customHeight="1" x14ac:dyDescent="0.25">
      <c r="B358" s="204"/>
      <c r="C358" s="210" t="s">
        <v>27194</v>
      </c>
      <c r="D358" s="213" t="s">
        <v>27135</v>
      </c>
      <c r="E358" s="210" t="s">
        <v>276</v>
      </c>
      <c r="F358" s="210" t="s">
        <v>27170</v>
      </c>
      <c r="G358" s="10"/>
      <c r="H358" s="108"/>
      <c r="I358" s="379"/>
      <c r="K358" s="92"/>
    </row>
    <row r="359" spans="1:16" ht="15" customHeight="1" x14ac:dyDescent="0.2">
      <c r="B359" s="204"/>
      <c r="C359" s="308" t="str">
        <f>n2Data_6Fleet_2Lessee_Text4</f>
        <v>Diesel</v>
      </c>
      <c r="D359" s="308"/>
      <c r="E359" s="308" t="s">
        <v>27143</v>
      </c>
      <c r="F359" s="394"/>
      <c r="G359" s="10"/>
      <c r="H359" s="108"/>
      <c r="I359" s="379"/>
      <c r="J359" s="181" t="s">
        <v>2347</v>
      </c>
    </row>
    <row r="360" spans="1:16" ht="15" customHeight="1" x14ac:dyDescent="0.2">
      <c r="B360" s="204"/>
      <c r="C360" s="308" t="str">
        <f>n2Data_6Fleet_2Lessee_Text5</f>
        <v>Essence</v>
      </c>
      <c r="D360" s="308"/>
      <c r="E360" s="308" t="s">
        <v>27143</v>
      </c>
      <c r="F360" s="396"/>
      <c r="G360" s="10"/>
      <c r="H360" s="108"/>
      <c r="I360" s="379"/>
      <c r="J360" s="181" t="s">
        <v>2348</v>
      </c>
    </row>
    <row r="361" spans="1:16" ht="15" customHeight="1" x14ac:dyDescent="0.2">
      <c r="B361" s="204"/>
      <c r="C361" s="308" t="str">
        <f>n2Data_6Fleet_2Lessee_Text6</f>
        <v>Électricité</v>
      </c>
      <c r="D361" s="308"/>
      <c r="E361" s="308" t="s">
        <v>224</v>
      </c>
      <c r="F361" s="398"/>
      <c r="G361" s="10"/>
      <c r="H361" s="108"/>
      <c r="I361" s="379"/>
      <c r="J361" s="181" t="s">
        <v>2349</v>
      </c>
    </row>
    <row r="362" spans="1:16" ht="7.15" customHeight="1" x14ac:dyDescent="0.2">
      <c r="B362" s="204"/>
      <c r="C362" s="211"/>
      <c r="D362" s="211"/>
      <c r="E362" s="211"/>
      <c r="F362" s="261"/>
      <c r="G362" s="10"/>
      <c r="H362" s="108"/>
      <c r="I362" s="379"/>
    </row>
    <row r="363" spans="1:16" x14ac:dyDescent="0.2">
      <c r="B363" s="204"/>
      <c r="C363" s="10"/>
      <c r="D363" s="10"/>
      <c r="E363" s="10"/>
      <c r="F363" s="219"/>
      <c r="G363" s="10"/>
      <c r="H363" s="108"/>
      <c r="I363" s="379"/>
      <c r="K363" s="92"/>
    </row>
    <row r="364" spans="1:16" ht="15" x14ac:dyDescent="0.25">
      <c r="B364" s="204"/>
      <c r="C364" s="210" t="str">
        <f>n2Data_6Fleet_2Lessee_Text7a</f>
        <v>Véhicule</v>
      </c>
      <c r="D364" s="210" t="str">
        <f>n2Data_6Fleet_2Lessee_Text7b</f>
        <v>a) Prestations kilométriques</v>
      </c>
      <c r="E364" s="210" t="str">
        <f>n2Data_6Fleet_2Lessee_Text7c</f>
        <v>Unité a)</v>
      </c>
      <c r="F364" s="210" t="str">
        <f>n2Data_6Fleet_2Lessee_Text7d</f>
        <v>b) Carburant</v>
      </c>
      <c r="G364" s="357" t="str">
        <f>n2Data_6Fleet_2Lessee_Text7e</f>
        <v>Unité b)</v>
      </c>
      <c r="H364" s="108"/>
      <c r="I364" s="379"/>
      <c r="J364" s="181" t="s">
        <v>2350</v>
      </c>
      <c r="K364" s="182" t="s">
        <v>2351</v>
      </c>
      <c r="L364" s="181" t="s">
        <v>2352</v>
      </c>
      <c r="M364" s="181" t="s">
        <v>2353</v>
      </c>
      <c r="N364" s="181" t="s">
        <v>2354</v>
      </c>
    </row>
    <row r="365" spans="1:16" ht="15" hidden="1" customHeight="1" x14ac:dyDescent="0.25">
      <c r="B365" s="204"/>
      <c r="C365" s="210" t="s">
        <v>27190</v>
      </c>
      <c r="D365" s="210" t="s">
        <v>2331</v>
      </c>
      <c r="E365" s="210" t="s">
        <v>27191</v>
      </c>
      <c r="F365" s="210" t="s">
        <v>27192</v>
      </c>
      <c r="G365" s="357" t="s">
        <v>27193</v>
      </c>
      <c r="H365" s="108"/>
      <c r="I365" s="379"/>
      <c r="K365" s="92"/>
    </row>
    <row r="366" spans="1:16" ht="15" customHeight="1" x14ac:dyDescent="0.2">
      <c r="B366" s="204"/>
      <c r="C366" s="399"/>
      <c r="D366" s="394"/>
      <c r="E366" s="308" t="str" cm="1">
        <f t="array" ref="E366">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6" s="394" cm="1">
        <f t="array" ref="F366">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6" s="358" t="str" cm="1">
        <f t="array" ref="G366">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6" s="108"/>
      <c r="I366" s="379"/>
    </row>
    <row r="367" spans="1:16" s="186" customFormat="1" ht="15" customHeight="1" x14ac:dyDescent="0.2">
      <c r="A367" s="95"/>
      <c r="B367" s="204"/>
      <c r="C367" s="395"/>
      <c r="D367" s="396"/>
      <c r="E367" s="308" t="str" cm="1">
        <f t="array" ref="E367">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7" s="396" cm="1">
        <f t="array" ref="F367">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7" s="358" t="str" cm="1">
        <f t="array" ref="G367">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7" s="108"/>
      <c r="I367" s="379"/>
      <c r="J367" s="92"/>
      <c r="L367" s="92"/>
      <c r="M367" s="92"/>
      <c r="N367" s="92"/>
      <c r="O367" s="92"/>
      <c r="P367" s="92"/>
    </row>
    <row r="368" spans="1:16" s="186" customFormat="1" ht="15" customHeight="1" x14ac:dyDescent="0.2">
      <c r="A368" s="95"/>
      <c r="B368" s="204"/>
      <c r="C368" s="395"/>
      <c r="D368" s="396"/>
      <c r="E368" s="308" t="str" cm="1">
        <f t="array" ref="E368">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8" s="396" cm="1">
        <f t="array" ref="F368">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8" s="358" t="str" cm="1">
        <f t="array" ref="G368">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8" s="108"/>
      <c r="I368" s="379"/>
      <c r="J368" s="92"/>
      <c r="L368" s="92"/>
      <c r="M368" s="92"/>
      <c r="N368" s="92"/>
      <c r="O368" s="92"/>
      <c r="P368" s="92"/>
    </row>
    <row r="369" spans="1:16" s="186" customFormat="1" ht="15" customHeight="1" x14ac:dyDescent="0.2">
      <c r="A369" s="95"/>
      <c r="B369" s="204"/>
      <c r="C369" s="395"/>
      <c r="D369" s="396"/>
      <c r="E369" s="308" t="str" cm="1">
        <f t="array" ref="E369">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9" s="396" cm="1">
        <f t="array" ref="F369">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9" s="358" t="str" cm="1">
        <f t="array" ref="G369">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9" s="108"/>
      <c r="I369" s="379"/>
      <c r="J369" s="92"/>
      <c r="L369" s="92"/>
      <c r="M369" s="92"/>
      <c r="N369" s="92"/>
      <c r="O369" s="92"/>
      <c r="P369" s="92"/>
    </row>
    <row r="370" spans="1:16" s="186" customFormat="1" ht="15" customHeight="1" x14ac:dyDescent="0.2">
      <c r="A370" s="95"/>
      <c r="B370" s="204"/>
      <c r="C370" s="395"/>
      <c r="D370" s="396"/>
      <c r="E370" s="308" t="str" cm="1">
        <f t="array" ref="E370">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0" s="396" cm="1">
        <f t="array" ref="F370">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0" s="358" t="str" cm="1">
        <f t="array" ref="G370">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0" s="108"/>
      <c r="I370" s="379"/>
      <c r="J370" s="92"/>
      <c r="L370" s="92"/>
      <c r="M370" s="92"/>
      <c r="N370" s="92"/>
      <c r="O370" s="92"/>
      <c r="P370" s="92"/>
    </row>
    <row r="371" spans="1:16" s="186" customFormat="1" ht="15" customHeight="1" x14ac:dyDescent="0.2">
      <c r="A371" s="95"/>
      <c r="B371" s="204"/>
      <c r="C371" s="395"/>
      <c r="D371" s="396"/>
      <c r="E371" s="308" t="str" cm="1">
        <f t="array" ref="E371">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1" s="396" cm="1">
        <f t="array" ref="F371">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1" s="358" t="str" cm="1">
        <f t="array" ref="G371">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1" s="108"/>
      <c r="I371" s="379"/>
      <c r="J371" s="92"/>
      <c r="L371" s="92"/>
      <c r="M371" s="92"/>
      <c r="N371" s="92"/>
      <c r="O371" s="92"/>
      <c r="P371" s="92"/>
    </row>
    <row r="372" spans="1:16" s="186" customFormat="1" ht="15" customHeight="1" x14ac:dyDescent="0.2">
      <c r="A372" s="95"/>
      <c r="B372" s="204"/>
      <c r="C372" s="395"/>
      <c r="D372" s="396"/>
      <c r="E372" s="308" t="str" cm="1">
        <f t="array" ref="E372">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2" s="396" cm="1">
        <f t="array" ref="F372">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2" s="358" t="str" cm="1">
        <f t="array" ref="G372">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2" s="108"/>
      <c r="I372" s="379"/>
      <c r="J372" s="92"/>
      <c r="L372" s="92"/>
      <c r="M372" s="92"/>
      <c r="N372" s="92"/>
      <c r="O372" s="92"/>
      <c r="P372" s="92"/>
    </row>
    <row r="373" spans="1:16" s="186" customFormat="1" ht="15" customHeight="1" x14ac:dyDescent="0.2">
      <c r="A373" s="95"/>
      <c r="B373" s="204"/>
      <c r="C373" s="395"/>
      <c r="D373" s="396"/>
      <c r="E373" s="308" t="str" cm="1">
        <f t="array" ref="E373">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3" s="396" cm="1">
        <f t="array" ref="F373">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3" s="358" t="str" cm="1">
        <f t="array" ref="G373">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3" s="108"/>
      <c r="I373" s="379"/>
      <c r="J373" s="92"/>
      <c r="L373" s="92"/>
      <c r="M373" s="92"/>
      <c r="N373" s="92"/>
      <c r="O373" s="92"/>
      <c r="P373" s="92"/>
    </row>
    <row r="374" spans="1:16" s="186" customFormat="1" ht="15" customHeight="1" x14ac:dyDescent="0.2">
      <c r="A374" s="95"/>
      <c r="B374" s="204"/>
      <c r="C374" s="395"/>
      <c r="D374" s="396"/>
      <c r="E374" s="308" t="str" cm="1">
        <f t="array" ref="E374">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4" s="396" cm="1">
        <f t="array" ref="F374">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4" s="358" t="str" cm="1">
        <f t="array" ref="G374">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4" s="108"/>
      <c r="I374" s="379"/>
      <c r="J374" s="92"/>
      <c r="L374" s="92"/>
      <c r="M374" s="92"/>
      <c r="N374" s="92"/>
      <c r="O374" s="92"/>
      <c r="P374" s="92"/>
    </row>
    <row r="375" spans="1:16" s="186" customFormat="1" ht="15" customHeight="1" x14ac:dyDescent="0.2">
      <c r="A375" s="95"/>
      <c r="B375" s="204"/>
      <c r="C375" s="397"/>
      <c r="D375" s="398"/>
      <c r="E375" s="308" t="str" cm="1">
        <f t="array" ref="E375">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5" s="398" cm="1">
        <f t="array" ref="F375">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5" s="358" t="str" cm="1">
        <f t="array" ref="G375">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5" s="108"/>
      <c r="I375" s="379"/>
      <c r="J375" s="92"/>
      <c r="L375" s="92"/>
      <c r="M375" s="92"/>
      <c r="N375" s="92"/>
      <c r="O375" s="92"/>
      <c r="P375" s="92"/>
    </row>
    <row r="376" spans="1:16" s="186" customFormat="1" ht="7.15" customHeight="1" x14ac:dyDescent="0.2">
      <c r="A376" s="95"/>
      <c r="B376" s="204"/>
      <c r="C376" s="211"/>
      <c r="D376" s="261"/>
      <c r="E376" s="211" t="str">
        <f>IF(D_Fleet_leased[[#This Row],[Vehicle]]="", "","Niederspannung")</f>
        <v/>
      </c>
      <c r="F376" s="262" cm="1">
        <f t="array" ref="F376">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6" s="212" t="str" cm="1">
        <f t="array" ref="G376">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6" s="108"/>
      <c r="I376" s="379"/>
      <c r="J376" s="92"/>
      <c r="L376" s="92"/>
      <c r="M376" s="92"/>
      <c r="N376" s="92"/>
      <c r="O376" s="92"/>
      <c r="P376" s="92"/>
    </row>
    <row r="377" spans="1:16" s="186" customFormat="1" x14ac:dyDescent="0.2">
      <c r="A377" s="95"/>
      <c r="B377" s="171"/>
      <c r="C377" s="172"/>
      <c r="D377" s="172"/>
      <c r="E377" s="172"/>
      <c r="F377" s="172"/>
      <c r="G377" s="172"/>
      <c r="H377" s="120"/>
      <c r="I377" s="379"/>
      <c r="J377" s="92"/>
      <c r="L377" s="92"/>
      <c r="M377" s="92"/>
      <c r="N377" s="92"/>
      <c r="O377" s="92"/>
      <c r="P377" s="92"/>
    </row>
    <row r="378" spans="1:16" x14ac:dyDescent="0.2">
      <c r="I378" s="379"/>
    </row>
    <row r="379" spans="1:16" s="186" customFormat="1" x14ac:dyDescent="0.2">
      <c r="A379" s="95"/>
      <c r="B379" s="200"/>
      <c r="C379" s="129"/>
      <c r="D379" s="129"/>
      <c r="E379" s="129"/>
      <c r="F379" s="129"/>
      <c r="G379" s="129"/>
      <c r="H379" s="215" t="str">
        <f>n2Data_6Fleet</f>
        <v>4 Flotte</v>
      </c>
      <c r="I379" s="388" t="str">
        <f>IF(OR(GenInp_C4_Mobile="no",GenInp_C42_Mobile_Lessor="no"),"hide","display")</f>
        <v>display</v>
      </c>
      <c r="J379" s="92"/>
      <c r="L379" s="92"/>
      <c r="M379" s="92"/>
      <c r="N379" s="92"/>
      <c r="O379" s="216"/>
      <c r="P379" s="216"/>
    </row>
    <row r="380" spans="1:16" s="186" customFormat="1" ht="10.15" customHeight="1" x14ac:dyDescent="0.2">
      <c r="A380" s="95"/>
      <c r="B380" s="204"/>
      <c r="C380" s="10"/>
      <c r="D380" s="10"/>
      <c r="E380" s="10"/>
      <c r="F380" s="10"/>
      <c r="G380" s="10"/>
      <c r="H380" s="217"/>
      <c r="I380" s="388"/>
      <c r="J380" s="92"/>
      <c r="L380" s="92"/>
      <c r="M380" s="92"/>
      <c r="N380" s="92"/>
      <c r="O380" s="216"/>
      <c r="P380" s="216"/>
    </row>
    <row r="381" spans="1:16" s="186" customFormat="1" ht="15" x14ac:dyDescent="0.25">
      <c r="A381" s="95"/>
      <c r="B381" s="204"/>
      <c r="C381" s="24" t="str">
        <f>n2Data_6Fleet_3Lessor</f>
        <v>Actifs loués en aval</v>
      </c>
      <c r="D381" s="10"/>
      <c r="E381" s="10"/>
      <c r="F381" s="10"/>
      <c r="G381" s="10"/>
      <c r="H381" s="108"/>
      <c r="I381" s="379"/>
      <c r="J381" s="181" t="s">
        <v>2355</v>
      </c>
      <c r="L381" s="92"/>
      <c r="M381" s="92"/>
      <c r="N381" s="92"/>
      <c r="O381" s="92"/>
      <c r="P381" s="92"/>
    </row>
    <row r="382" spans="1:16" s="186" customFormat="1" ht="30" customHeight="1" x14ac:dyDescent="0.2">
      <c r="A382" s="95"/>
      <c r="B382" s="204"/>
      <c r="C382" s="700" t="str">
        <f>n2Data_6Fleet_3Lessor_Text1</f>
        <v>Indiquez les émissions provenant de la consommation de carburant ou d’électricité des véhicules et des machines mobiles appartenant à votre entreprise et que vous louez.
Cela inclut, par exemple, des voitures particulières, des camions, des chariots élévateurs, des machines de construction, des machines de jardinage.</v>
      </c>
      <c r="D382" s="700"/>
      <c r="E382" s="700"/>
      <c r="F382" s="700"/>
      <c r="G382" s="10"/>
      <c r="H382" s="108"/>
      <c r="I382" s="379"/>
      <c r="J382" s="181" t="s">
        <v>2356</v>
      </c>
      <c r="L382" s="92"/>
      <c r="M382" s="92"/>
      <c r="N382" s="92"/>
      <c r="O382" s="92"/>
      <c r="P382" s="92"/>
    </row>
    <row r="383" spans="1:16" ht="10.15" customHeight="1" x14ac:dyDescent="0.2">
      <c r="B383" s="204"/>
      <c r="C383" s="16"/>
      <c r="D383" s="16"/>
      <c r="E383" s="16"/>
      <c r="F383" s="16"/>
      <c r="G383" s="10"/>
      <c r="H383" s="108"/>
      <c r="I383" s="379"/>
    </row>
    <row r="384" spans="1:16" ht="74.45" customHeight="1" x14ac:dyDescent="0.2">
      <c r="B384" s="204"/>
      <c r="C384" s="700" t="str">
        <f>n2Data_6Fleet_3Lessor_Text2</f>
        <v>Saisie simplifiée : Indiquez la consommation de l’année du bilan soit directement en litres d’essence/diesel, soit en kWh d’électricité.
Saisie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(colonne de droite).</v>
      </c>
      <c r="D384" s="700"/>
      <c r="E384" s="700"/>
      <c r="F384" s="700"/>
      <c r="G384" s="10"/>
      <c r="H384" s="108"/>
      <c r="I384" s="379"/>
      <c r="J384" s="181" t="s">
        <v>2358</v>
      </c>
    </row>
    <row r="385" spans="2:16" ht="10.15" customHeight="1" x14ac:dyDescent="0.2">
      <c r="B385" s="204"/>
      <c r="C385" s="16"/>
      <c r="D385" s="16"/>
      <c r="E385" s="16"/>
      <c r="F385" s="16"/>
      <c r="G385" s="10"/>
      <c r="H385" s="108"/>
      <c r="I385" s="379"/>
      <c r="J385" s="203"/>
    </row>
    <row r="386" spans="2:16" ht="17.100000000000001" customHeight="1" x14ac:dyDescent="0.2">
      <c r="B386" s="204"/>
      <c r="C386" s="207" t="str">
        <f>n2Data_0General_Text1 &amp; I386</f>
        <v>Pour plus d’informations, voir le User Manual, chapitre 4.4</v>
      </c>
      <c r="D386" s="16"/>
      <c r="E386" s="16"/>
      <c r="F386" s="16"/>
      <c r="G386" s="10"/>
      <c r="H386" s="108"/>
      <c r="I386" s="379" t="str">
        <f>" 4.4"</f>
        <v xml:space="preserve"> 4.4</v>
      </c>
      <c r="J386" s="95" t="s">
        <v>2203</v>
      </c>
    </row>
    <row r="387" spans="2:16" ht="10.15" customHeight="1" x14ac:dyDescent="0.2">
      <c r="B387" s="204"/>
      <c r="C387" s="16"/>
      <c r="D387" s="16"/>
      <c r="E387" s="16"/>
      <c r="F387" s="16"/>
      <c r="G387" s="10"/>
      <c r="H387" s="108"/>
      <c r="I387" s="379"/>
      <c r="J387" s="95"/>
    </row>
    <row r="388" spans="2:16" ht="21.6" customHeight="1" x14ac:dyDescent="0.2">
      <c r="B388" s="204"/>
      <c r="C388" s="728" t="str">
        <f>n2Data_0General_Text2</f>
        <v>Cochez la case une fois le tableau terminé.</v>
      </c>
      <c r="D388" s="728"/>
      <c r="E388" s="728"/>
      <c r="F388" s="728"/>
      <c r="G388" s="10"/>
      <c r="H388" s="108"/>
      <c r="I388" s="386" t="b">
        <v>0</v>
      </c>
      <c r="J388" s="95" t="s">
        <v>2204</v>
      </c>
      <c r="O388" s="208"/>
      <c r="P388" s="208"/>
    </row>
    <row r="389" spans="2:16" ht="10.15" customHeight="1" x14ac:dyDescent="0.2">
      <c r="B389" s="204"/>
      <c r="C389" s="10"/>
      <c r="D389" s="10"/>
      <c r="E389" s="10"/>
      <c r="F389" s="10"/>
      <c r="G389" s="10"/>
      <c r="H389" s="108"/>
      <c r="I389" s="387">
        <f>IF(OR(I379="hide",I388=TRUE),100%,0%)</f>
        <v>0</v>
      </c>
      <c r="J389" s="95"/>
      <c r="O389" s="209"/>
      <c r="P389" s="209"/>
    </row>
    <row r="390" spans="2:16" x14ac:dyDescent="0.2">
      <c r="B390" s="204"/>
      <c r="C390" s="207" t="str">
        <f>n2Data_0General_Text3</f>
        <v>Notes :</v>
      </c>
      <c r="D390" s="21"/>
      <c r="E390" s="21"/>
      <c r="F390" s="21"/>
      <c r="G390" s="10"/>
      <c r="H390" s="108"/>
      <c r="I390" s="379"/>
      <c r="J390" s="95" t="s">
        <v>2207</v>
      </c>
    </row>
    <row r="391" spans="2:16" x14ac:dyDescent="0.2">
      <c r="B391" s="204"/>
      <c r="C391" s="729"/>
      <c r="D391" s="730"/>
      <c r="E391" s="730"/>
      <c r="F391" s="731"/>
      <c r="G391" s="10"/>
      <c r="H391" s="108"/>
      <c r="I391" s="379"/>
    </row>
    <row r="392" spans="2:16" x14ac:dyDescent="0.2">
      <c r="B392" s="204"/>
      <c r="C392" s="732"/>
      <c r="D392" s="733"/>
      <c r="E392" s="733"/>
      <c r="F392" s="734"/>
      <c r="G392" s="10"/>
      <c r="H392" s="108"/>
      <c r="I392" s="379"/>
    </row>
    <row r="393" spans="2:16" x14ac:dyDescent="0.2">
      <c r="B393" s="204"/>
      <c r="C393" s="224"/>
      <c r="D393" s="10"/>
      <c r="E393" s="10"/>
      <c r="F393" s="10"/>
      <c r="G393" s="10"/>
      <c r="H393" s="108"/>
      <c r="I393" s="379"/>
    </row>
    <row r="394" spans="2:16" ht="15" x14ac:dyDescent="0.25">
      <c r="B394" s="204"/>
      <c r="C394" s="210" t="str">
        <f>n2Data_6Fleet_3Lessor_Text3</f>
        <v>Consommation de carburant (simplifiée)</v>
      </c>
      <c r="D394" s="213" t="s">
        <v>27135</v>
      </c>
      <c r="E394" s="210" t="str">
        <f>n2Data_0General_Text5_Unit</f>
        <v>Unité</v>
      </c>
      <c r="F394" s="210" t="str">
        <f>n2Data_0General_Text4_Input</f>
        <v>Saisie</v>
      </c>
      <c r="G394" s="10"/>
      <c r="H394" s="108"/>
      <c r="I394" s="379"/>
      <c r="J394" s="181" t="s">
        <v>2359</v>
      </c>
      <c r="K394" s="95" t="s">
        <v>2214</v>
      </c>
      <c r="L394" s="186" t="s">
        <v>2211</v>
      </c>
    </row>
    <row r="395" spans="2:16" ht="15" hidden="1" customHeight="1" x14ac:dyDescent="0.25">
      <c r="B395" s="204"/>
      <c r="C395" s="210" t="s">
        <v>27194</v>
      </c>
      <c r="D395" s="213" t="s">
        <v>27135</v>
      </c>
      <c r="E395" s="210" t="s">
        <v>276</v>
      </c>
      <c r="F395" s="210" t="s">
        <v>27170</v>
      </c>
      <c r="G395" s="10"/>
      <c r="H395" s="108"/>
      <c r="I395" s="379"/>
      <c r="K395" s="92"/>
    </row>
    <row r="396" spans="2:16" ht="15" customHeight="1" x14ac:dyDescent="0.2">
      <c r="B396" s="204"/>
      <c r="C396" s="308" t="str">
        <f>n2Data_6Fleet_3Lessor_Text4</f>
        <v>Diesel</v>
      </c>
      <c r="D396" s="308"/>
      <c r="E396" s="308" t="s">
        <v>27143</v>
      </c>
      <c r="F396" s="394"/>
      <c r="G396" s="10"/>
      <c r="H396" s="108"/>
      <c r="I396" s="379"/>
      <c r="J396" s="181" t="s">
        <v>2360</v>
      </c>
    </row>
    <row r="397" spans="2:16" ht="15" customHeight="1" x14ac:dyDescent="0.2">
      <c r="B397" s="204"/>
      <c r="C397" s="308" t="str">
        <f>n2Data_6Fleet_3Lessor_Text5</f>
        <v>Essence</v>
      </c>
      <c r="D397" s="308"/>
      <c r="E397" s="308" t="s">
        <v>27143</v>
      </c>
      <c r="F397" s="396"/>
      <c r="G397" s="10"/>
      <c r="H397" s="108"/>
      <c r="I397" s="379"/>
      <c r="J397" s="181" t="s">
        <v>2361</v>
      </c>
    </row>
    <row r="398" spans="2:16" ht="15" customHeight="1" x14ac:dyDescent="0.2">
      <c r="B398" s="204"/>
      <c r="C398" s="308" t="str">
        <f>n2Data_6Fleet_3Lessor_Text6</f>
        <v>Électricité</v>
      </c>
      <c r="D398" s="308"/>
      <c r="E398" s="308" t="s">
        <v>224</v>
      </c>
      <c r="F398" s="398"/>
      <c r="G398" s="10"/>
      <c r="H398" s="108"/>
      <c r="I398" s="379"/>
      <c r="J398" s="181" t="s">
        <v>2362</v>
      </c>
    </row>
    <row r="399" spans="2:16" ht="7.15" customHeight="1" x14ac:dyDescent="0.2">
      <c r="B399" s="204"/>
      <c r="C399" s="211"/>
      <c r="D399" s="211"/>
      <c r="E399" s="211"/>
      <c r="F399" s="261"/>
      <c r="G399" s="10"/>
      <c r="H399" s="108"/>
      <c r="I399" s="379"/>
    </row>
    <row r="400" spans="2:16" x14ac:dyDescent="0.2">
      <c r="B400" s="204"/>
      <c r="C400" s="10"/>
      <c r="D400" s="10"/>
      <c r="E400" s="10"/>
      <c r="F400" s="219"/>
      <c r="G400" s="10"/>
      <c r="H400" s="108"/>
      <c r="I400" s="379"/>
    </row>
    <row r="401" spans="2:14" ht="15" x14ac:dyDescent="0.25">
      <c r="B401" s="204"/>
      <c r="C401" s="210" t="str">
        <f>n2Data_6Fleet_3Lessor_Text7a</f>
        <v>Véhicule</v>
      </c>
      <c r="D401" s="210" t="str">
        <f>n2Data_6Fleet_3Lessor_Text7b</f>
        <v>a) Prestations kilométriques</v>
      </c>
      <c r="E401" s="210" t="str">
        <f>n2Data_6Fleet_3Lessor_Text7c</f>
        <v>Unité a)</v>
      </c>
      <c r="F401" s="210" t="str">
        <f>n2Data_6Fleet_3Lessor_Text7d</f>
        <v>b) Carburant</v>
      </c>
      <c r="G401" s="357" t="str">
        <f>n2Data_6Fleet_3Lessor_Text7e</f>
        <v>Unité b)</v>
      </c>
      <c r="H401" s="108"/>
      <c r="I401" s="379"/>
      <c r="J401" s="181" t="s">
        <v>2363</v>
      </c>
      <c r="K401" s="182" t="s">
        <v>2364</v>
      </c>
      <c r="L401" s="181" t="s">
        <v>2365</v>
      </c>
      <c r="M401" s="181" t="s">
        <v>2366</v>
      </c>
      <c r="N401" s="181" t="s">
        <v>2367</v>
      </c>
    </row>
    <row r="402" spans="2:14" ht="15" hidden="1" customHeight="1" x14ac:dyDescent="0.25">
      <c r="B402" s="204"/>
      <c r="C402" s="210" t="s">
        <v>27190</v>
      </c>
      <c r="D402" s="210" t="s">
        <v>2331</v>
      </c>
      <c r="E402" s="210" t="s">
        <v>27191</v>
      </c>
      <c r="F402" s="210" t="s">
        <v>27192</v>
      </c>
      <c r="G402" s="357" t="s">
        <v>27193</v>
      </c>
      <c r="H402" s="108"/>
      <c r="I402" s="379"/>
      <c r="K402" s="92"/>
    </row>
    <row r="403" spans="2:14" ht="15" customHeight="1" x14ac:dyDescent="0.2">
      <c r="B403" s="204"/>
      <c r="C403" s="399"/>
      <c r="D403" s="404"/>
      <c r="E403" s="308" t="str" cm="1">
        <f t="array" ref="E403">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3" s="394" cm="1">
        <f t="array" ref="F403">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3" s="358" t="str" cm="1">
        <f t="array" ref="G403">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3" s="108"/>
      <c r="I403" s="379"/>
      <c r="K403" s="92"/>
    </row>
    <row r="404" spans="2:14" ht="15" customHeight="1" x14ac:dyDescent="0.2">
      <c r="B404" s="204"/>
      <c r="C404" s="395"/>
      <c r="D404" s="405"/>
      <c r="E404" s="308" t="str" cm="1">
        <f t="array" ref="E404">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4" s="396" cm="1">
        <f t="array" ref="F404">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4" s="358" t="str" cm="1">
        <f t="array" ref="G404">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4" s="108"/>
      <c r="I404" s="379"/>
    </row>
    <row r="405" spans="2:14" ht="15" customHeight="1" x14ac:dyDescent="0.2">
      <c r="B405" s="204"/>
      <c r="C405" s="395"/>
      <c r="D405" s="395"/>
      <c r="E405" s="308" t="str" cm="1">
        <f t="array" ref="E405">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5" s="396" cm="1">
        <f t="array" ref="F405">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5" s="358" t="str" cm="1">
        <f t="array" ref="G405">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5" s="108"/>
      <c r="I405" s="379"/>
    </row>
    <row r="406" spans="2:14" ht="15" customHeight="1" x14ac:dyDescent="0.2">
      <c r="B406" s="204"/>
      <c r="C406" s="395"/>
      <c r="D406" s="395"/>
      <c r="E406" s="308" t="str" cm="1">
        <f t="array" ref="E406">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6" s="396" cm="1">
        <f t="array" ref="F406">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6" s="358" t="str" cm="1">
        <f t="array" ref="G406">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6" s="108"/>
      <c r="I406" s="379"/>
    </row>
    <row r="407" spans="2:14" ht="15" customHeight="1" x14ac:dyDescent="0.2">
      <c r="B407" s="204"/>
      <c r="C407" s="395"/>
      <c r="D407" s="395"/>
      <c r="E407" s="308" t="str" cm="1">
        <f t="array" ref="E407">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7" s="396" cm="1">
        <f t="array" ref="F407">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7" s="358" t="str" cm="1">
        <f t="array" ref="G407">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7" s="108"/>
      <c r="I407" s="379"/>
    </row>
    <row r="408" spans="2:14" ht="15" customHeight="1" x14ac:dyDescent="0.2">
      <c r="B408" s="204"/>
      <c r="C408" s="395"/>
      <c r="D408" s="395"/>
      <c r="E408" s="308" t="str" cm="1">
        <f t="array" ref="E408">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8" s="396" cm="1">
        <f t="array" ref="F408">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8" s="358" t="str" cm="1">
        <f t="array" ref="G408">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8" s="108"/>
      <c r="I408" s="379"/>
    </row>
    <row r="409" spans="2:14" ht="15" customHeight="1" x14ac:dyDescent="0.2">
      <c r="B409" s="204"/>
      <c r="C409" s="395"/>
      <c r="D409" s="395"/>
      <c r="E409" s="308" t="str" cm="1">
        <f t="array" ref="E409">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9" s="396" cm="1">
        <f t="array" ref="F409">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9" s="358" t="str" cm="1">
        <f t="array" ref="G409">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9" s="108"/>
      <c r="I409" s="379"/>
    </row>
    <row r="410" spans="2:14" ht="15" customHeight="1" x14ac:dyDescent="0.2">
      <c r="B410" s="204"/>
      <c r="C410" s="395"/>
      <c r="D410" s="395"/>
      <c r="E410" s="308" t="str" cm="1">
        <f t="array" ref="E410">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10" s="396" cm="1">
        <f t="array" ref="F410">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0" s="358" t="str" cm="1">
        <f t="array" ref="G410">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0" s="108"/>
      <c r="I410" s="379"/>
    </row>
    <row r="411" spans="2:14" ht="15" customHeight="1" x14ac:dyDescent="0.2">
      <c r="B411" s="204"/>
      <c r="C411" s="395"/>
      <c r="D411" s="405"/>
      <c r="E411" s="308" t="str" cm="1">
        <f t="array" ref="E411">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11" s="396" cm="1">
        <f t="array" ref="F411">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1" s="358" t="str" cm="1">
        <f t="array" ref="G411">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1" s="108"/>
      <c r="I411" s="379"/>
    </row>
    <row r="412" spans="2:14" ht="15" customHeight="1" x14ac:dyDescent="0.2">
      <c r="B412" s="204"/>
      <c r="C412" s="397"/>
      <c r="D412" s="406"/>
      <c r="E412" s="308" t="str" cm="1">
        <f t="array" ref="E412">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12" s="398" cm="1">
        <f t="array" ref="F412">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2" s="358" t="str" cm="1">
        <f t="array" ref="G412">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2" s="108"/>
      <c r="I412" s="379"/>
    </row>
    <row r="413" spans="2:14" ht="7.15" customHeight="1" x14ac:dyDescent="0.2">
      <c r="B413" s="204"/>
      <c r="C413" s="211"/>
      <c r="D413" s="211" t="str">
        <f>IF(D_Fleet_vermietet[[#This Row],[Vehicle]]="", "","Nein")</f>
        <v/>
      </c>
      <c r="E413" s="211" t="str">
        <f>IF(D_Fleet_vermietet[[#This Row],[Vehicle]]="", "","Niederspannung")</f>
        <v/>
      </c>
      <c r="F413" s="262" cm="1">
        <f t="array" ref="F413">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3" s="212" t="str" cm="1">
        <f t="array" ref="G413">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3" s="108"/>
      <c r="I413" s="379"/>
    </row>
    <row r="414" spans="2:14" x14ac:dyDescent="0.2">
      <c r="B414" s="171"/>
      <c r="C414" s="172"/>
      <c r="D414" s="172"/>
      <c r="E414" s="172"/>
      <c r="F414" s="172"/>
      <c r="G414" s="172"/>
      <c r="H414" s="120"/>
      <c r="I414" s="379"/>
    </row>
    <row r="415" spans="2:14" ht="15" customHeight="1" x14ac:dyDescent="0.2">
      <c r="I415" s="379"/>
    </row>
    <row r="416" spans="2:14" ht="15" customHeight="1" x14ac:dyDescent="0.2">
      <c r="I416" s="379"/>
    </row>
    <row r="417" spans="1:16" s="98" customFormat="1" ht="30" customHeight="1" x14ac:dyDescent="0.2">
      <c r="A417" s="198"/>
      <c r="B417" s="199" t="str">
        <f>n2Data_7Electricity</f>
        <v>5 Électricité</v>
      </c>
      <c r="I417" s="383"/>
      <c r="J417" s="181" t="s">
        <v>2368</v>
      </c>
      <c r="K417" s="186"/>
    </row>
    <row r="418" spans="1:16" ht="15" customHeight="1" x14ac:dyDescent="0.2">
      <c r="B418" s="200"/>
      <c r="C418" s="129"/>
      <c r="D418" s="129"/>
      <c r="E418" s="129"/>
      <c r="F418" s="129"/>
      <c r="G418" s="129"/>
      <c r="H418" s="215" t="str">
        <f>n2Data_7Electricity</f>
        <v>5 Électricité</v>
      </c>
      <c r="I418" s="388" t="str">
        <f>IF(GenInp_C1_Energy="no","hide","display")</f>
        <v>display</v>
      </c>
      <c r="O418" s="216"/>
      <c r="P418" s="216"/>
    </row>
    <row r="419" spans="1:16" ht="10.15" customHeight="1" x14ac:dyDescent="0.2">
      <c r="B419" s="204"/>
      <c r="C419" s="10"/>
      <c r="D419" s="10"/>
      <c r="E419" s="10"/>
      <c r="F419" s="10"/>
      <c r="G419" s="10"/>
      <c r="H419" s="217"/>
      <c r="I419" s="388"/>
      <c r="O419" s="216"/>
      <c r="P419" s="216"/>
    </row>
    <row r="420" spans="1:16" ht="15" x14ac:dyDescent="0.25">
      <c r="B420" s="204"/>
      <c r="C420" s="24" t="str">
        <f>n2Data_7Electricity_1Owend</f>
        <v>Actifs à usage propre</v>
      </c>
      <c r="D420" s="10"/>
      <c r="E420" s="10"/>
      <c r="F420" s="10"/>
      <c r="G420" s="10"/>
      <c r="H420" s="217"/>
      <c r="I420" s="388"/>
      <c r="J420" s="181" t="s">
        <v>2369</v>
      </c>
      <c r="O420" s="216"/>
      <c r="P420" s="216"/>
    </row>
    <row r="421" spans="1:16" ht="30" customHeight="1" x14ac:dyDescent="0.2">
      <c r="B421" s="204"/>
      <c r="C421" s="700" t="str">
        <f>n2Data_7Electricity_1Owend_Text1</f>
        <v>Indiquez la consommation d’électricité de tous les bâtiments, actifs et processus appartenant à votre entreprise que vous utilisez vous-même.
La consommation électrique est différenciée entre l'électricité sans garantie d'origine (GO) et l'électricité avec GO.</v>
      </c>
      <c r="D421" s="700"/>
      <c r="E421" s="700"/>
      <c r="F421" s="700"/>
      <c r="G421" s="196"/>
      <c r="H421" s="108"/>
      <c r="I421" s="379"/>
      <c r="J421" s="181" t="s">
        <v>2370</v>
      </c>
    </row>
    <row r="422" spans="1:16" ht="10.15" customHeight="1" x14ac:dyDescent="0.2">
      <c r="B422" s="204"/>
      <c r="C422" s="16"/>
      <c r="D422" s="16"/>
      <c r="E422" s="16"/>
      <c r="F422" s="16"/>
      <c r="G422" s="196"/>
      <c r="H422" s="108"/>
      <c r="I422" s="379"/>
    </row>
    <row r="423" spans="1:16" x14ac:dyDescent="0.2">
      <c r="B423" s="204"/>
      <c r="C423" s="700" t="str">
        <f>n2Data_7Electricity_1Owend_Text2</f>
        <v>Électricité sans garantie d’origine : Indiquez la consommation d’électricité pour l’année du bilan sans GOs en kilowattheures (kWh) (basse ou moyenne tension).</v>
      </c>
      <c r="D423" s="700"/>
      <c r="E423" s="700"/>
      <c r="F423" s="700"/>
      <c r="G423" s="10"/>
      <c r="H423" s="108"/>
      <c r="I423" s="379"/>
      <c r="J423" s="181" t="s">
        <v>2372</v>
      </c>
    </row>
    <row r="424" spans="1:16" ht="10.15" customHeight="1" x14ac:dyDescent="0.2">
      <c r="B424" s="204"/>
      <c r="C424" s="16"/>
      <c r="D424" s="16"/>
      <c r="E424" s="16"/>
      <c r="F424" s="16"/>
      <c r="G424" s="10"/>
      <c r="H424" s="108"/>
      <c r="I424" s="379"/>
      <c r="J424" s="203"/>
    </row>
    <row r="425" spans="1:16" ht="31.15" customHeight="1" x14ac:dyDescent="0.2">
      <c r="B425" s="204"/>
      <c r="C425" s="700" t="str">
        <f>n2Data_7Electricity_1Owend_Text3</f>
        <v>Électricité avec garantie d’origine  (seuls les GO suisses peuvent être pris en compte): Sous « Origine », sélectionnez la technologie de génération, si les pertes sont couvertes par des GOs et le type de tension (menu déroulant). Sous « kWh », entrez la consommation d’électricité en kilowattheures.</v>
      </c>
      <c r="D425" s="700"/>
      <c r="E425" s="700"/>
      <c r="F425" s="700"/>
      <c r="G425" s="10"/>
      <c r="H425" s="108"/>
      <c r="I425" s="379"/>
      <c r="J425" s="181" t="s">
        <v>2373</v>
      </c>
    </row>
    <row r="426" spans="1:16" ht="10.15" customHeight="1" x14ac:dyDescent="0.2">
      <c r="B426" s="204"/>
      <c r="C426" s="16"/>
      <c r="D426" s="16"/>
      <c r="E426" s="16"/>
      <c r="F426" s="16"/>
      <c r="G426" s="10"/>
      <c r="H426" s="108"/>
      <c r="I426" s="379"/>
      <c r="J426" s="203"/>
    </row>
    <row r="427" spans="1:16" ht="17.100000000000001" customHeight="1" x14ac:dyDescent="0.2">
      <c r="B427" s="204"/>
      <c r="C427" s="207" t="str">
        <f>n2Data_0General_Text1 &amp; I427</f>
        <v>Pour plus d’informations, voir le User Manual, chapitre 4.5</v>
      </c>
      <c r="D427" s="16"/>
      <c r="E427" s="16"/>
      <c r="F427" s="16"/>
      <c r="G427" s="10"/>
      <c r="H427" s="108"/>
      <c r="I427" s="379" t="str">
        <f>" 4.5"</f>
        <v xml:space="preserve"> 4.5</v>
      </c>
      <c r="J427" s="95" t="s">
        <v>2203</v>
      </c>
    </row>
    <row r="428" spans="1:16" ht="10.15" customHeight="1" x14ac:dyDescent="0.2">
      <c r="B428" s="204"/>
      <c r="C428" s="16"/>
      <c r="D428" s="16"/>
      <c r="E428" s="16"/>
      <c r="F428" s="16"/>
      <c r="G428" s="196"/>
      <c r="H428" s="108"/>
      <c r="I428" s="379"/>
      <c r="J428" s="95"/>
    </row>
    <row r="429" spans="1:16" ht="21.75" customHeight="1" x14ac:dyDescent="0.2">
      <c r="B429" s="204"/>
      <c r="C429" s="728" t="str">
        <f>n2Data_0General_Text2</f>
        <v>Cochez la case une fois le tableau terminé.</v>
      </c>
      <c r="D429" s="728"/>
      <c r="E429" s="728"/>
      <c r="F429" s="728"/>
      <c r="G429" s="196"/>
      <c r="H429" s="108"/>
      <c r="I429" s="386" t="b">
        <v>0</v>
      </c>
      <c r="J429" s="95" t="s">
        <v>2204</v>
      </c>
      <c r="O429" s="208"/>
      <c r="P429" s="208"/>
    </row>
    <row r="430" spans="1:16" ht="10.15" customHeight="1" x14ac:dyDescent="0.2">
      <c r="B430" s="204"/>
      <c r="C430" s="21"/>
      <c r="D430" s="21"/>
      <c r="E430" s="21"/>
      <c r="F430" s="21"/>
      <c r="G430" s="196"/>
      <c r="H430" s="108"/>
      <c r="I430" s="387">
        <f>IF(OR(I418="hide",I429=TRUE),100%,0%)</f>
        <v>0</v>
      </c>
      <c r="J430" s="95"/>
      <c r="O430" s="209"/>
      <c r="P430" s="209"/>
    </row>
    <row r="431" spans="1:16" x14ac:dyDescent="0.2">
      <c r="B431" s="204"/>
      <c r="C431" s="207" t="str">
        <f>n2Data_0General_Text3</f>
        <v>Notes :</v>
      </c>
      <c r="D431" s="21"/>
      <c r="E431" s="21"/>
      <c r="F431" s="21"/>
      <c r="G431" s="196"/>
      <c r="H431" s="108"/>
      <c r="I431" s="379"/>
      <c r="J431" s="95" t="s">
        <v>2207</v>
      </c>
    </row>
    <row r="432" spans="1:16" x14ac:dyDescent="0.2">
      <c r="B432" s="204"/>
      <c r="C432" s="729"/>
      <c r="D432" s="730"/>
      <c r="E432" s="730"/>
      <c r="F432" s="731"/>
      <c r="G432" s="196"/>
      <c r="H432" s="108"/>
      <c r="I432" s="379"/>
    </row>
    <row r="433" spans="2:14" x14ac:dyDescent="0.2">
      <c r="B433" s="204"/>
      <c r="C433" s="732"/>
      <c r="D433" s="733"/>
      <c r="E433" s="733"/>
      <c r="F433" s="734"/>
      <c r="G433" s="196"/>
      <c r="H433" s="108"/>
      <c r="I433" s="379"/>
    </row>
    <row r="434" spans="2:14" x14ac:dyDescent="0.2">
      <c r="B434" s="204"/>
      <c r="C434" s="224"/>
      <c r="D434" s="10"/>
      <c r="E434" s="10"/>
      <c r="F434" s="10"/>
      <c r="G434" s="10"/>
      <c r="H434" s="108"/>
      <c r="I434" s="379"/>
    </row>
    <row r="435" spans="2:14" ht="15" x14ac:dyDescent="0.25">
      <c r="B435" s="204"/>
      <c r="C435" s="210" t="str">
        <f>n2Data_7Electricity_1Owend_Text4a</f>
        <v>Origine / Technologie de génération</v>
      </c>
      <c r="D435" s="210" t="str">
        <f>n2Data_7Electricity_1Owend_Text4b</f>
        <v>Pertes couvertes par GO ?</v>
      </c>
      <c r="E435" s="210" t="str">
        <f>n2Data_7Electricity_1Owend_Text4c</f>
        <v>Tension</v>
      </c>
      <c r="F435" s="210" t="s">
        <v>224</v>
      </c>
      <c r="G435" s="10"/>
      <c r="H435" s="108"/>
      <c r="I435" s="378" t="s">
        <v>27495</v>
      </c>
      <c r="K435" s="181" t="s">
        <v>2374</v>
      </c>
      <c r="L435" s="182" t="s">
        <v>2378</v>
      </c>
      <c r="M435" s="181" t="s">
        <v>2379</v>
      </c>
    </row>
    <row r="436" spans="2:14" ht="15" hidden="1" customHeight="1" x14ac:dyDescent="0.25">
      <c r="B436" s="204"/>
      <c r="C436" s="210" t="s">
        <v>2607</v>
      </c>
      <c r="D436" s="210" t="s">
        <v>27195</v>
      </c>
      <c r="E436" s="210" t="s">
        <v>27196</v>
      </c>
      <c r="F436" s="210" t="s">
        <v>224</v>
      </c>
      <c r="G436" s="10"/>
      <c r="H436" s="108"/>
      <c r="I436" s="379"/>
      <c r="K436" s="92"/>
      <c r="N436" s="181"/>
    </row>
    <row r="437" spans="2:14" ht="15" customHeight="1" x14ac:dyDescent="0.2">
      <c r="B437" s="204"/>
      <c r="C437" s="308" t="str">
        <f>n2Data_7Electricity_1Owend_Text5</f>
        <v>Électricité achetée sans garantie d'origine</v>
      </c>
      <c r="D437" s="308"/>
      <c r="E437" s="395" t="str">
        <f>Lists!$H$47</f>
        <v>Basse tension</v>
      </c>
      <c r="F437" s="410"/>
      <c r="G437" s="10"/>
      <c r="H437" s="108"/>
      <c r="I437" s="379"/>
      <c r="J437" s="186" t="str">
        <f>IF(OR(D_Electricity_Owned[[#This Row],[Voltage]]="Mittelspannung",
           D_Electricity_Owned[[#This Row],[Voltage]]="Moyenne tension",
           D_Electricity_Owned[[#This Row],[Voltage]]="Media tensione"),
     "Mittelspannung",
     "Niederspannung")</f>
        <v>Niederspannung</v>
      </c>
      <c r="K437" s="181" t="s">
        <v>2382</v>
      </c>
      <c r="L437" s="186"/>
    </row>
    <row r="438" spans="2:14" ht="15" customHeight="1" x14ac:dyDescent="0.2">
      <c r="B438" s="204"/>
      <c r="C438" s="308" t="str">
        <f>n2Data_7Electricity_1Owend_Text6</f>
        <v>Électricité achetée avec garantie d'origine</v>
      </c>
      <c r="D438" s="308"/>
      <c r="F438" s="229"/>
      <c r="G438" s="10"/>
      <c r="H438" s="108"/>
      <c r="I438" s="379"/>
      <c r="K438" s="181" t="s">
        <v>2384</v>
      </c>
      <c r="L438" s="186"/>
    </row>
    <row r="439" spans="2:14" ht="15" customHeight="1" x14ac:dyDescent="0.2">
      <c r="B439" s="204"/>
      <c r="C439" s="407"/>
      <c r="D439" s="397" t="str" cm="1">
        <f t="array" ref="D439">IF(D_Electricity_Owned[[#This Row],[Source]]="", "",
  _xlfn.IFS(
     Language=German,"Nein",
     Language=French,"Non",
     Language=Italian,"No"
))</f>
        <v/>
      </c>
      <c r="E439" s="395" t="str" cm="1">
        <f t="array" ref="E439">IF(D_Electricity_Owned[[#This Row],[Source]]="", "",
  _xlfn.IFS(
     Language=German,"Niederspannung",
     Language=French,"Basse tension",
     Language=Italian,"Bassa tensione"
))</f>
        <v/>
      </c>
      <c r="F439" s="396"/>
      <c r="G439" s="10"/>
      <c r="H439" s="108"/>
      <c r="I439" s="390" t="str" cm="1">
        <f t="array" ref="I439">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39" s="186" t="str">
        <f>IF(OR(D_Electricity_Owned[[#This Row],[Voltage]]="Mittelspannung",
           D_Electricity_Owned[[#This Row],[Voltage]]="Moyenne tension",
           D_Electricity_Owned[[#This Row],[Voltage]]="Media tensione"),
     "Mittelspannung",
     "Niederspannung")</f>
        <v>Niederspannung</v>
      </c>
      <c r="K439" s="92"/>
    </row>
    <row r="440" spans="2:14" ht="15" customHeight="1" x14ac:dyDescent="0.2">
      <c r="B440" s="204"/>
      <c r="C440" s="408"/>
      <c r="D440" s="397" t="str" cm="1">
        <f t="array" ref="D440">IF(D_Electricity_Owned[[#This Row],[Source]]="", "",
  _xlfn.IFS(
     Language=German,"Nein",
     Language=French,"Non",
     Language=Italian,"No"
))</f>
        <v/>
      </c>
      <c r="E440" s="395" t="str" cm="1">
        <f t="array" ref="E440">IF(D_Electricity_Owned[[#This Row],[Source]]="", "",
  _xlfn.IFS(
     Language=German,"Niederspannung",
     Language=French,"Basse tension",
     Language=Italian,"Bassa tensione"
))</f>
        <v/>
      </c>
      <c r="F440" s="396"/>
      <c r="G440" s="10"/>
      <c r="H440" s="108"/>
      <c r="I440" s="390" t="str" cm="1">
        <f t="array" ref="I440">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0" s="186" t="str">
        <f>IF(OR(D_Electricity_Owned[[#This Row],[Voltage]]="Mittelspannung",
           D_Electricity_Owned[[#This Row],[Voltage]]="Moyenne tension",
           D_Electricity_Owned[[#This Row],[Voltage]]="Media tensione"),
     "Mittelspannung",
     "Niederspannung")</f>
        <v>Niederspannung</v>
      </c>
      <c r="K440" s="92"/>
    </row>
    <row r="441" spans="2:14" ht="15" customHeight="1" x14ac:dyDescent="0.2">
      <c r="B441" s="204"/>
      <c r="C441" s="408"/>
      <c r="D441" s="397" t="str" cm="1">
        <f t="array" ref="D441">IF(D_Electricity_Owned[[#This Row],[Source]]="", "",
  _xlfn.IFS(
     Language=German,"Nein",
     Language=French,"Non",
     Language=Italian,"No"
))</f>
        <v/>
      </c>
      <c r="E441" s="395" t="str" cm="1">
        <f t="array" ref="E441">IF(D_Electricity_Owned[[#This Row],[Source]]="", "",
  _xlfn.IFS(
     Language=German,"Niederspannung",
     Language=French,"Basse tension",
     Language=Italian,"Bassa tensione"
))</f>
        <v/>
      </c>
      <c r="F441" s="396"/>
      <c r="G441" s="10"/>
      <c r="H441" s="108"/>
      <c r="I441" s="390" t="str" cm="1">
        <f t="array" ref="I441">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1" s="186" t="str">
        <f>IF(OR(D_Electricity_Owned[[#This Row],[Voltage]]="Mittelspannung",
           D_Electricity_Owned[[#This Row],[Voltage]]="Moyenne tension",
           D_Electricity_Owned[[#This Row],[Voltage]]="Media tensione"),
     "Mittelspannung",
     "Niederspannung")</f>
        <v>Niederspannung</v>
      </c>
      <c r="K441" s="92"/>
    </row>
    <row r="442" spans="2:14" ht="15" customHeight="1" x14ac:dyDescent="0.2">
      <c r="B442" s="204"/>
      <c r="C442" s="408"/>
      <c r="D442" s="397" t="str" cm="1">
        <f t="array" ref="D442">IF(D_Electricity_Owned[[#This Row],[Source]]="", "",
  _xlfn.IFS(
     Language=German,"Nein",
     Language=French,"Non",
     Language=Italian,"No"
))</f>
        <v/>
      </c>
      <c r="E442" s="395" t="str" cm="1">
        <f t="array" ref="E442">IF(D_Electricity_Owned[[#This Row],[Source]]="", "",
  _xlfn.IFS(
     Language=German,"Niederspannung",
     Language=French,"Basse tension",
     Language=Italian,"Bassa tensione"
))</f>
        <v/>
      </c>
      <c r="F442" s="396"/>
      <c r="G442" s="10"/>
      <c r="H442" s="108"/>
      <c r="I442" s="390" t="str" cm="1">
        <f t="array" ref="I442">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2" s="186" t="str">
        <f>IF(OR(D_Electricity_Owned[[#This Row],[Voltage]]="Mittelspannung",
           D_Electricity_Owned[[#This Row],[Voltage]]="Moyenne tension",
           D_Electricity_Owned[[#This Row],[Voltage]]="Media tensione"),
     "Mittelspannung",
     "Niederspannung")</f>
        <v>Niederspannung</v>
      </c>
      <c r="K442" s="92"/>
    </row>
    <row r="443" spans="2:14" ht="15" customHeight="1" x14ac:dyDescent="0.2">
      <c r="B443" s="204"/>
      <c r="C443" s="408"/>
      <c r="D443" s="397" t="str" cm="1">
        <f t="array" ref="D443">IF(D_Electricity_Owned[[#This Row],[Source]]="", "",
  _xlfn.IFS(
     Language=German,"Nein",
     Language=French,"Non",
     Language=Italian,"No"
))</f>
        <v/>
      </c>
      <c r="E443" s="395" t="str" cm="1">
        <f t="array" ref="E443">IF(D_Electricity_Owned[[#This Row],[Source]]="", "",
  _xlfn.IFS(
     Language=German,"Niederspannung",
     Language=French,"Basse tension",
     Language=Italian,"Bassa tensione"
))</f>
        <v/>
      </c>
      <c r="F443" s="396"/>
      <c r="G443" s="373"/>
      <c r="H443" s="108"/>
      <c r="I443" s="390" t="str" cm="1">
        <f t="array" ref="I443">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3" s="186" t="str">
        <f>IF(OR(D_Electricity_Owned[[#This Row],[Voltage]]="Mittelspannung",
           D_Electricity_Owned[[#This Row],[Voltage]]="Moyenne tension",
           D_Electricity_Owned[[#This Row],[Voltage]]="Media tensione"),
     "Mittelspannung",
     "Niederspannung")</f>
        <v>Niederspannung</v>
      </c>
      <c r="K443" s="92"/>
    </row>
    <row r="444" spans="2:14" ht="15" customHeight="1" x14ac:dyDescent="0.2">
      <c r="B444" s="204"/>
      <c r="C444" s="408"/>
      <c r="D444" s="397" t="str" cm="1">
        <f t="array" ref="D444">IF(D_Electricity_Owned[[#This Row],[Source]]="", "",
  _xlfn.IFS(
     Language=German,"Nein",
     Language=French,"Non",
     Language=Italian,"No"
))</f>
        <v/>
      </c>
      <c r="E444" s="395" t="str" cm="1">
        <f t="array" ref="E444">IF(D_Electricity_Owned[[#This Row],[Source]]="", "",
  _xlfn.IFS(
     Language=German,"Niederspannung",
     Language=French,"Basse tension",
     Language=Italian,"Bassa tensione"
))</f>
        <v/>
      </c>
      <c r="F444" s="396"/>
      <c r="G444" s="10"/>
      <c r="H444" s="108"/>
      <c r="I444" s="390" t="str" cm="1">
        <f t="array" ref="I444">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4" s="186" t="str">
        <f>IF(OR(D_Electricity_Owned[[#This Row],[Voltage]]="Mittelspannung",
           D_Electricity_Owned[[#This Row],[Voltage]]="Moyenne tension",
           D_Electricity_Owned[[#This Row],[Voltage]]="Media tensione"),
     "Mittelspannung",
     "Niederspannung")</f>
        <v>Niederspannung</v>
      </c>
      <c r="K444" s="92"/>
    </row>
    <row r="445" spans="2:14" ht="15" customHeight="1" x14ac:dyDescent="0.2">
      <c r="B445" s="204"/>
      <c r="C445" s="408"/>
      <c r="D445" s="397" t="str" cm="1">
        <f t="array" ref="D445">IF(D_Electricity_Owned[[#This Row],[Source]]="", "",
  _xlfn.IFS(
     Language=German,"Nein",
     Language=French,"Non",
     Language=Italian,"No"
))</f>
        <v/>
      </c>
      <c r="E445" s="395" t="str" cm="1">
        <f t="array" ref="E445">IF(D_Electricity_Owned[[#This Row],[Source]]="", "",
  _xlfn.IFS(
     Language=German,"Niederspannung",
     Language=French,"Basse tension",
     Language=Italian,"Bassa tensione"
))</f>
        <v/>
      </c>
      <c r="F445" s="396"/>
      <c r="G445" s="10"/>
      <c r="H445" s="108"/>
      <c r="I445" s="390" t="str" cm="1">
        <f t="array" ref="I445">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5" s="186" t="str">
        <f>IF(OR(D_Electricity_Owned[[#This Row],[Voltage]]="Mittelspannung",
           D_Electricity_Owned[[#This Row],[Voltage]]="Moyenne tension",
           D_Electricity_Owned[[#This Row],[Voltage]]="Media tensione"),
     "Mittelspannung",
     "Niederspannung")</f>
        <v>Niederspannung</v>
      </c>
      <c r="K445" s="92"/>
    </row>
    <row r="446" spans="2:14" ht="15" customHeight="1" x14ac:dyDescent="0.2">
      <c r="B446" s="204"/>
      <c r="C446" s="408"/>
      <c r="D446" s="397" t="str" cm="1">
        <f t="array" ref="D446">IF(D_Electricity_Owned[[#This Row],[Source]]="", "",
  _xlfn.IFS(
     Language=German,"Nein",
     Language=French,"Non",
     Language=Italian,"No"
))</f>
        <v/>
      </c>
      <c r="E446" s="395" t="str" cm="1">
        <f t="array" ref="E446">IF(D_Electricity_Owned[[#This Row],[Source]]="", "",
  _xlfn.IFS(
     Language=German,"Niederspannung",
     Language=French,"Basse tension",
     Language=Italian,"Bassa tensione"
))</f>
        <v/>
      </c>
      <c r="F446" s="396"/>
      <c r="G446" s="10"/>
      <c r="H446" s="108"/>
      <c r="I446" s="390" t="str" cm="1">
        <f t="array" ref="I446">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6" s="186" t="str">
        <f>IF(OR(D_Electricity_Owned[[#This Row],[Voltage]]="Mittelspannung",
           D_Electricity_Owned[[#This Row],[Voltage]]="Moyenne tension",
           D_Electricity_Owned[[#This Row],[Voltage]]="Media tensione"),
     "Mittelspannung",
     "Niederspannung")</f>
        <v>Niederspannung</v>
      </c>
      <c r="K446" s="92"/>
    </row>
    <row r="447" spans="2:14" ht="15" customHeight="1" x14ac:dyDescent="0.2">
      <c r="B447" s="204"/>
      <c r="C447" s="408"/>
      <c r="D447" s="397" t="str" cm="1">
        <f t="array" ref="D447">IF(D_Electricity_Owned[[#This Row],[Source]]="", "",
  _xlfn.IFS(
     Language=German,"Nein",
     Language=French,"Non",
     Language=Italian,"No"
))</f>
        <v/>
      </c>
      <c r="E447" s="395" t="str" cm="1">
        <f t="array" ref="E447">IF(D_Electricity_Owned[[#This Row],[Source]]="", "",
  _xlfn.IFS(
     Language=German,"Niederspannung",
     Language=French,"Basse tension",
     Language=Italian,"Bassa tensione"
))</f>
        <v/>
      </c>
      <c r="F447" s="396"/>
      <c r="G447" s="10"/>
      <c r="H447" s="108"/>
      <c r="I447" s="390" t="str" cm="1">
        <f t="array" ref="I447">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7" s="186" t="str">
        <f>IF(OR(D_Electricity_Owned[[#This Row],[Voltage]]="Mittelspannung",
           D_Electricity_Owned[[#This Row],[Voltage]]="Moyenne tension",
           D_Electricity_Owned[[#This Row],[Voltage]]="Media tensione"),
     "Mittelspannung",
     "Niederspannung")</f>
        <v>Niederspannung</v>
      </c>
      <c r="K447" s="92"/>
    </row>
    <row r="448" spans="2:14" ht="15" customHeight="1" x14ac:dyDescent="0.2">
      <c r="B448" s="204"/>
      <c r="C448" s="409"/>
      <c r="D448" s="397" t="str" cm="1">
        <f t="array" ref="D448">IF(D_Electricity_Owned[[#This Row],[Source]]="", "",
  _xlfn.IFS(
     Language=German,"Nein",
     Language=French,"Non",
     Language=Italian,"No"
))</f>
        <v/>
      </c>
      <c r="E448" s="395" t="str" cm="1">
        <f t="array" ref="E448">IF(D_Electricity_Owned[[#This Row],[Source]]="", "",
  _xlfn.IFS(
     Language=German,"Niederspannung",
     Language=French,"Basse tension",
     Language=Italian,"Bassa tensione"
))</f>
        <v/>
      </c>
      <c r="F448" s="398"/>
      <c r="G448" s="10"/>
      <c r="H448" s="108"/>
      <c r="I448" s="390" t="str" cm="1">
        <f t="array" ref="I448">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8" s="186" t="str">
        <f>IF(OR(D_Electricity_Owned[[#This Row],[Voltage]]="Mittelspannung",
           D_Electricity_Owned[[#This Row],[Voltage]]="Moyenne tension",
           D_Electricity_Owned[[#This Row],[Voltage]]="Media tensione"),
     "Mittelspannung",
     "Niederspannung")</f>
        <v>Niederspannung</v>
      </c>
      <c r="K448" s="92"/>
    </row>
    <row r="449" spans="1:16" ht="7.15" customHeight="1" x14ac:dyDescent="0.2">
      <c r="B449" s="204"/>
      <c r="C449" s="211"/>
      <c r="D449" s="211" t="str" cm="1">
        <f t="array" ref="D449">IF(D_Electricity_Owned[[#This Row],[Source]]="", "",
  _xlfn.IFS(
     Language=German,"Nein",
     Language=French,"Non",
     Language=Italian,"No"
))</f>
        <v/>
      </c>
      <c r="E449" s="211" t="str" cm="1">
        <f t="array" ref="E449">IF(D_Electricity_Owned[[#This Row],[Source]]="", "",
  _xlfn.IFS(
     Language=German,"Niederspannung",
     Language=French,"Basse tension",
     Language=Italian,"Bassa tensione"
))</f>
        <v/>
      </c>
      <c r="F449" s="261"/>
      <c r="G449" s="10"/>
      <c r="H449" s="108"/>
      <c r="I449" s="379"/>
    </row>
    <row r="450" spans="1:16" s="186" customFormat="1" x14ac:dyDescent="0.2">
      <c r="A450" s="95"/>
      <c r="B450" s="171"/>
      <c r="C450" s="172"/>
      <c r="D450" s="172"/>
      <c r="E450" s="172"/>
      <c r="F450" s="172"/>
      <c r="G450" s="172"/>
      <c r="H450" s="120"/>
      <c r="I450" s="379"/>
      <c r="J450" s="92"/>
      <c r="L450" s="92"/>
      <c r="M450" s="92"/>
      <c r="N450" s="92"/>
      <c r="O450" s="92"/>
      <c r="P450" s="92"/>
    </row>
    <row r="451" spans="1:16" x14ac:dyDescent="0.2">
      <c r="I451" s="379"/>
    </row>
    <row r="452" spans="1:16" s="186" customFormat="1" x14ac:dyDescent="0.2">
      <c r="A452" s="95"/>
      <c r="B452" s="200"/>
      <c r="C452" s="129"/>
      <c r="D452" s="129"/>
      <c r="E452" s="129"/>
      <c r="F452" s="129"/>
      <c r="G452" s="129"/>
      <c r="H452" s="215" t="str">
        <f>n2Data_7Electricity</f>
        <v>5 Électricité</v>
      </c>
      <c r="I452" s="388" t="str">
        <f>IF(OR(GenInp_C1_Energy="no",GenInp_C11_Energy_Lessee="no"),"hide","display")</f>
        <v>display</v>
      </c>
      <c r="J452" s="92"/>
      <c r="L452" s="92"/>
      <c r="M452" s="92"/>
      <c r="N452" s="92"/>
      <c r="O452" s="216"/>
      <c r="P452" s="216"/>
    </row>
    <row r="453" spans="1:16" s="186" customFormat="1" ht="10.15" customHeight="1" x14ac:dyDescent="0.2">
      <c r="A453" s="95"/>
      <c r="B453" s="204"/>
      <c r="C453" s="10"/>
      <c r="D453" s="10"/>
      <c r="E453" s="10"/>
      <c r="F453" s="10"/>
      <c r="G453" s="10"/>
      <c r="H453" s="217"/>
      <c r="I453" s="388"/>
      <c r="J453" s="92"/>
      <c r="L453" s="92"/>
      <c r="M453" s="92"/>
      <c r="N453" s="92"/>
      <c r="O453" s="216"/>
      <c r="P453" s="216"/>
    </row>
    <row r="454" spans="1:16" s="186" customFormat="1" ht="15" x14ac:dyDescent="0.25">
      <c r="A454" s="95"/>
      <c r="B454" s="204"/>
      <c r="C454" s="24" t="str">
        <f>n2Data_7Electricity_2Lessee</f>
        <v>Actifs loués en amont</v>
      </c>
      <c r="D454" s="10"/>
      <c r="E454" s="10"/>
      <c r="F454" s="10"/>
      <c r="G454" s="10"/>
      <c r="H454" s="217"/>
      <c r="I454" s="388"/>
      <c r="K454" s="181" t="s">
        <v>2386</v>
      </c>
      <c r="M454" s="92"/>
      <c r="N454" s="92"/>
      <c r="O454" s="216"/>
      <c r="P454" s="216"/>
    </row>
    <row r="455" spans="1:16" s="186" customFormat="1" ht="30" customHeight="1" x14ac:dyDescent="0.2">
      <c r="A455" s="95"/>
      <c r="B455" s="204"/>
      <c r="C455" s="700" t="str">
        <f>n2Data_7Electricity_2Lessee_Text1</f>
        <v>Indiquez la consommation d’électricité de tous les bâtiments, installations et processus loués.
La consommation électrique est différenciée entre l'électricité sans garantie d'origine (GO) et l'électricité avec GO.</v>
      </c>
      <c r="D455" s="700"/>
      <c r="E455" s="700"/>
      <c r="F455" s="700"/>
      <c r="G455" s="196"/>
      <c r="H455" s="108"/>
      <c r="I455" s="379"/>
      <c r="K455" s="181" t="s">
        <v>2387</v>
      </c>
      <c r="M455" s="92"/>
      <c r="N455" s="92"/>
      <c r="O455" s="92"/>
      <c r="P455" s="92"/>
    </row>
    <row r="456" spans="1:16" s="186" customFormat="1" ht="10.15" customHeight="1" x14ac:dyDescent="0.2">
      <c r="A456" s="95"/>
      <c r="B456" s="204"/>
      <c r="C456" s="16"/>
      <c r="D456" s="16"/>
      <c r="E456" s="16"/>
      <c r="F456" s="16"/>
      <c r="G456" s="196"/>
      <c r="H456" s="108"/>
      <c r="I456" s="379"/>
      <c r="K456" s="181"/>
      <c r="M456" s="92"/>
      <c r="N456" s="92"/>
      <c r="O456" s="92"/>
      <c r="P456" s="92"/>
    </row>
    <row r="457" spans="1:16" s="186" customFormat="1" x14ac:dyDescent="0.2">
      <c r="A457" s="95"/>
      <c r="B457" s="204"/>
      <c r="C457" s="700" t="str">
        <f>n2Data_7Electricity_2Lessee_Text2</f>
        <v>Électricité sans garantie d’origine : Indiquez la consommation d’électricité pour l’année du bilan sans GOs en kilowattheures (kWh) (basse ou moyenne tension).</v>
      </c>
      <c r="D457" s="700"/>
      <c r="E457" s="700"/>
      <c r="F457" s="700"/>
      <c r="G457" s="10"/>
      <c r="H457" s="108"/>
      <c r="I457" s="379"/>
      <c r="K457" s="181" t="s">
        <v>2389</v>
      </c>
      <c r="M457" s="92"/>
      <c r="N457" s="92"/>
      <c r="O457" s="92"/>
      <c r="P457" s="92"/>
    </row>
    <row r="458" spans="1:16" s="186" customFormat="1" ht="10.15" customHeight="1" x14ac:dyDescent="0.2">
      <c r="A458" s="95"/>
      <c r="B458" s="204"/>
      <c r="C458" s="16"/>
      <c r="D458" s="16"/>
      <c r="E458" s="16"/>
      <c r="F458" s="16"/>
      <c r="G458" s="10"/>
      <c r="H458" s="108"/>
      <c r="I458" s="379"/>
      <c r="K458" s="203"/>
      <c r="M458" s="92"/>
      <c r="N458" s="92"/>
      <c r="O458" s="92"/>
      <c r="P458" s="92"/>
    </row>
    <row r="459" spans="1:16" s="186" customFormat="1" ht="30" customHeight="1" x14ac:dyDescent="0.2">
      <c r="A459" s="95"/>
      <c r="B459" s="204"/>
      <c r="C459" s="700" t="str">
        <f>n2Data_7Electricity_2Lessee_Text3</f>
        <v>Électricité avec garantie d’origine (seuls les GO suisses peuvent être pris en compte) : Sous « Origine », sélectionnez la technologie de génération, si les pertes sont couvertes par des GOs et le type de tension (menu déroulant). Sous « kWh », entrez la consommation d’électricité en kilowattheures.</v>
      </c>
      <c r="D459" s="700"/>
      <c r="E459" s="700"/>
      <c r="F459" s="700"/>
      <c r="G459" s="10"/>
      <c r="H459" s="108"/>
      <c r="I459" s="379"/>
      <c r="K459" s="181" t="s">
        <v>2390</v>
      </c>
      <c r="M459" s="92"/>
      <c r="N459" s="92"/>
      <c r="O459" s="92"/>
      <c r="P459" s="92"/>
    </row>
    <row r="460" spans="1:16" s="186" customFormat="1" ht="10.15" customHeight="1" x14ac:dyDescent="0.2">
      <c r="A460" s="95"/>
      <c r="B460" s="204"/>
      <c r="C460" s="16"/>
      <c r="D460" s="16"/>
      <c r="E460" s="16"/>
      <c r="F460" s="16"/>
      <c r="G460" s="10"/>
      <c r="H460" s="108"/>
      <c r="I460" s="379"/>
      <c r="K460" s="203"/>
      <c r="M460" s="92"/>
      <c r="N460" s="92"/>
      <c r="O460" s="92"/>
      <c r="P460" s="92"/>
    </row>
    <row r="461" spans="1:16" s="186" customFormat="1" ht="17.100000000000001" customHeight="1" x14ac:dyDescent="0.2">
      <c r="A461" s="95"/>
      <c r="B461" s="204"/>
      <c r="C461" s="207" t="str">
        <f>n2Data_0General_Text1 &amp; I461</f>
        <v>Pour plus d’informations, voir le User Manual, chapitre 4.5</v>
      </c>
      <c r="D461" s="16"/>
      <c r="E461" s="16"/>
      <c r="F461" s="16"/>
      <c r="G461" s="10"/>
      <c r="H461" s="108"/>
      <c r="I461" s="379" t="str">
        <f>" 4.5"</f>
        <v xml:space="preserve"> 4.5</v>
      </c>
      <c r="K461" s="95" t="s">
        <v>2203</v>
      </c>
      <c r="M461" s="92"/>
      <c r="N461" s="92"/>
      <c r="O461" s="92"/>
      <c r="P461" s="92"/>
    </row>
    <row r="462" spans="1:16" s="186" customFormat="1" ht="10.15" customHeight="1" x14ac:dyDescent="0.2">
      <c r="A462" s="95"/>
      <c r="B462" s="204"/>
      <c r="C462" s="16"/>
      <c r="D462" s="16"/>
      <c r="E462" s="16"/>
      <c r="F462" s="16"/>
      <c r="G462" s="196"/>
      <c r="H462" s="108"/>
      <c r="I462" s="379"/>
      <c r="K462" s="95"/>
      <c r="M462" s="92"/>
      <c r="N462" s="92"/>
      <c r="O462" s="92"/>
      <c r="P462" s="92"/>
    </row>
    <row r="463" spans="1:16" s="186" customFormat="1" ht="21.75" customHeight="1" x14ac:dyDescent="0.2">
      <c r="A463" s="95"/>
      <c r="B463" s="204"/>
      <c r="C463" s="728" t="str">
        <f>n2Data_0General_Text2</f>
        <v>Cochez la case une fois le tableau terminé.</v>
      </c>
      <c r="D463" s="728"/>
      <c r="E463" s="728"/>
      <c r="F463" s="728"/>
      <c r="G463" s="196"/>
      <c r="H463" s="108"/>
      <c r="I463" s="386" t="b">
        <v>0</v>
      </c>
      <c r="K463" s="95" t="s">
        <v>2204</v>
      </c>
      <c r="M463" s="92"/>
      <c r="N463" s="92"/>
      <c r="O463" s="208"/>
      <c r="P463" s="208"/>
    </row>
    <row r="464" spans="1:16" s="186" customFormat="1" ht="10.15" customHeight="1" x14ac:dyDescent="0.2">
      <c r="A464" s="95"/>
      <c r="B464" s="204"/>
      <c r="C464" s="21"/>
      <c r="D464" s="21"/>
      <c r="E464" s="21"/>
      <c r="F464" s="21"/>
      <c r="G464" s="196"/>
      <c r="H464" s="108"/>
      <c r="I464" s="387">
        <f>IF(OR(I452="hide",I463=TRUE),100%,0%)</f>
        <v>0</v>
      </c>
      <c r="K464" s="95"/>
      <c r="M464" s="92"/>
      <c r="N464" s="92"/>
      <c r="O464" s="209"/>
      <c r="P464" s="209"/>
    </row>
    <row r="465" spans="1:16" s="186" customFormat="1" x14ac:dyDescent="0.2">
      <c r="A465" s="95"/>
      <c r="B465" s="204"/>
      <c r="C465" s="207" t="str">
        <f>n2Data_0General_Text3</f>
        <v>Notes :</v>
      </c>
      <c r="D465" s="21"/>
      <c r="E465" s="21"/>
      <c r="F465" s="21"/>
      <c r="G465" s="196"/>
      <c r="H465" s="108"/>
      <c r="I465" s="379"/>
      <c r="K465" s="95" t="s">
        <v>2207</v>
      </c>
      <c r="M465" s="92"/>
      <c r="N465" s="92"/>
      <c r="O465" s="92"/>
      <c r="P465" s="92"/>
    </row>
    <row r="466" spans="1:16" x14ac:dyDescent="0.2">
      <c r="B466" s="204"/>
      <c r="C466" s="729"/>
      <c r="D466" s="730"/>
      <c r="E466" s="730"/>
      <c r="F466" s="731"/>
      <c r="G466" s="196"/>
      <c r="H466" s="108"/>
      <c r="I466" s="379"/>
      <c r="K466" s="92"/>
      <c r="L466" s="186"/>
    </row>
    <row r="467" spans="1:16" x14ac:dyDescent="0.2">
      <c r="B467" s="204"/>
      <c r="C467" s="732"/>
      <c r="D467" s="733"/>
      <c r="E467" s="733"/>
      <c r="F467" s="734"/>
      <c r="G467" s="196"/>
      <c r="H467" s="108"/>
      <c r="I467" s="379"/>
      <c r="K467" s="92"/>
      <c r="L467" s="186"/>
    </row>
    <row r="468" spans="1:16" x14ac:dyDescent="0.2">
      <c r="B468" s="204"/>
      <c r="C468" s="224"/>
      <c r="D468" s="10"/>
      <c r="E468" s="10"/>
      <c r="F468" s="10"/>
      <c r="G468" s="10"/>
      <c r="H468" s="108"/>
      <c r="I468" s="379"/>
      <c r="K468" s="92"/>
      <c r="L468" s="186"/>
    </row>
    <row r="469" spans="1:16" ht="15" x14ac:dyDescent="0.25">
      <c r="B469" s="204"/>
      <c r="C469" s="210" t="str">
        <f>n2Data_7Electricity_2Lessee_Text4a</f>
        <v>Origine / Technologie de génération</v>
      </c>
      <c r="D469" s="210" t="str">
        <f>n2Data_7Electricity_2Lessee_Text4b</f>
        <v>Pertes couvertes par GO ?</v>
      </c>
      <c r="E469" s="210" t="str">
        <f>n2Data_7Electricity_2Lessee_Text4c</f>
        <v>Tension</v>
      </c>
      <c r="F469" s="210" t="s">
        <v>224</v>
      </c>
      <c r="G469" s="10"/>
      <c r="H469" s="108"/>
      <c r="I469" s="378" t="s">
        <v>27495</v>
      </c>
      <c r="K469" s="181" t="s">
        <v>2391</v>
      </c>
      <c r="L469" s="182" t="s">
        <v>2392</v>
      </c>
      <c r="M469" s="181" t="s">
        <v>2393</v>
      </c>
    </row>
    <row r="470" spans="1:16" ht="15" hidden="1" x14ac:dyDescent="0.25">
      <c r="B470" s="204"/>
      <c r="C470" s="210" t="s">
        <v>2607</v>
      </c>
      <c r="D470" s="210" t="s">
        <v>27195</v>
      </c>
      <c r="E470" s="210" t="s">
        <v>27196</v>
      </c>
      <c r="F470" s="210" t="s">
        <v>224</v>
      </c>
      <c r="G470" s="10"/>
      <c r="H470" s="108"/>
      <c r="I470" s="379"/>
      <c r="K470" s="92"/>
      <c r="N470" s="181"/>
    </row>
    <row r="471" spans="1:16" ht="15" customHeight="1" x14ac:dyDescent="0.2">
      <c r="B471" s="204"/>
      <c r="C471" s="308" t="str">
        <f>n2Data_7Electricity_2Lessee_Text5</f>
        <v>Électricité achetée sans garantie d'origine</v>
      </c>
      <c r="D471" s="308"/>
      <c r="E471" s="395" t="str">
        <f>Lists!$H$47</f>
        <v>Basse tension</v>
      </c>
      <c r="F471" s="410"/>
      <c r="G471" s="10"/>
      <c r="H471" s="108"/>
      <c r="I471" s="379"/>
      <c r="J471" s="186" t="str">
        <f>IF(OR(D_Electricity_Lessor[[#This Row],[Voltage]]="Mittelspannung",
           D_Electricity_Lessor[[#This Row],[Voltage]]="Moyenne tension",
           D_Electricity_Lessor[[#This Row],[Voltage]]="Media tensione"),
     "Mittelspannung",
     "Niederspannung")</f>
        <v>Niederspannung</v>
      </c>
      <c r="K471" s="181" t="s">
        <v>2394</v>
      </c>
      <c r="L471" s="186"/>
    </row>
    <row r="472" spans="1:16" ht="15" customHeight="1" x14ac:dyDescent="0.2">
      <c r="B472" s="204"/>
      <c r="C472" s="308" t="str">
        <f>n2Data_7Electricity_2Lessee_Text6</f>
        <v>Électricité achetée avec garantie d'origine</v>
      </c>
      <c r="D472" s="308"/>
      <c r="F472" s="229"/>
      <c r="G472" s="10"/>
      <c r="H472" s="108"/>
      <c r="I472" s="379"/>
      <c r="J472" s="186"/>
      <c r="K472" s="181" t="s">
        <v>2395</v>
      </c>
      <c r="L472" s="186"/>
    </row>
    <row r="473" spans="1:16" ht="15" customHeight="1" x14ac:dyDescent="0.2">
      <c r="B473" s="204"/>
      <c r="C473" s="407"/>
      <c r="D473" s="399" t="str" cm="1">
        <f t="array" ref="D473">IF(D_Electricity_Lessor[[#This Row],[Source]]="", "",
  _xlfn.IFS(
     Language=German,"Nein",
     Language=French,"Non",
     Language=Italian,"No"
))</f>
        <v/>
      </c>
      <c r="E473" s="395" t="str" cm="1">
        <f t="array" ref="E473">IF(D_Electricity_Lessor[[#This Row],[Source]]="", "",
  _xlfn.IFS(
     Language=German,"Niederspannung",
     Language=French,"Basse tension",
     Language=Italian,"Bassa tensione"
))</f>
        <v/>
      </c>
      <c r="F473" s="394"/>
      <c r="G473" s="10"/>
      <c r="H473" s="108"/>
      <c r="I473" s="390" t="str" cm="1">
        <f t="array" ref="I473">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3" s="186" t="str">
        <f>IF(OR(D_Electricity_Lessor[[#This Row],[Voltage]]="Mittelspannung",
           D_Electricity_Lessor[[#This Row],[Voltage]]="Moyenne tension",
           D_Electricity_Lessor[[#This Row],[Voltage]]="Media tensione"),
     "Mittelspannung",
     "Niederspannung")</f>
        <v>Niederspannung</v>
      </c>
    </row>
    <row r="474" spans="1:16" ht="15" customHeight="1" x14ac:dyDescent="0.2">
      <c r="B474" s="204"/>
      <c r="C474" s="408"/>
      <c r="D474" s="395" t="str" cm="1">
        <f t="array" ref="D474">IF(D_Electricity_Lessor[[#This Row],[Source]]="", "",
  _xlfn.IFS(
     Language=German,"Nein",
     Language=French,"Non",
     Language=Italian,"No"
))</f>
        <v/>
      </c>
      <c r="E474" s="395" t="str" cm="1">
        <f t="array" ref="E474">IF(D_Electricity_Lessor[[#This Row],[Source]]="", "",
  _xlfn.IFS(
     Language=German,"Niederspannung",
     Language=French,"Basse tension",
     Language=Italian,"Bassa tensione"
))</f>
        <v/>
      </c>
      <c r="F474" s="396"/>
      <c r="G474" s="10"/>
      <c r="H474" s="108"/>
      <c r="I474" s="390" t="str" cm="1">
        <f t="array" ref="I474">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4" s="186" t="str">
        <f>IF(OR(D_Electricity_Lessor[[#This Row],[Voltage]]="Mittelspannung",
           D_Electricity_Lessor[[#This Row],[Voltage]]="Moyenne tension",
           D_Electricity_Lessor[[#This Row],[Voltage]]="Media tensione"),
     "Mittelspannung",
     "Niederspannung")</f>
        <v>Niederspannung</v>
      </c>
    </row>
    <row r="475" spans="1:16" ht="15" customHeight="1" x14ac:dyDescent="0.2">
      <c r="B475" s="204"/>
      <c r="C475" s="408"/>
      <c r="D475" s="395" t="str" cm="1">
        <f t="array" ref="D475">IF(D_Electricity_Lessor[[#This Row],[Source]]="", "",
  _xlfn.IFS(
     Language=German,"Nein",
     Language=French,"Non",
     Language=Italian,"No"
))</f>
        <v/>
      </c>
      <c r="E475" s="395" t="str" cm="1">
        <f t="array" ref="E475">IF(D_Electricity_Lessor[[#This Row],[Source]]="", "",
  _xlfn.IFS(
     Language=German,"Niederspannung",
     Language=French,"Basse tension",
     Language=Italian,"Bassa tensione"
))</f>
        <v/>
      </c>
      <c r="F475" s="396"/>
      <c r="G475" s="10"/>
      <c r="H475" s="108"/>
      <c r="I475" s="390" t="str" cm="1">
        <f t="array" ref="I475">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5" s="186" t="str">
        <f>IF(OR(D_Electricity_Lessor[[#This Row],[Voltage]]="Mittelspannung",
           D_Electricity_Lessor[[#This Row],[Voltage]]="Moyenne tension",
           D_Electricity_Lessor[[#This Row],[Voltage]]="Media tensione"),
     "Mittelspannung",
     "Niederspannung")</f>
        <v>Niederspannung</v>
      </c>
    </row>
    <row r="476" spans="1:16" ht="15" customHeight="1" x14ac:dyDescent="0.2">
      <c r="B476" s="204"/>
      <c r="C476" s="408"/>
      <c r="D476" s="395" t="str" cm="1">
        <f t="array" ref="D476">IF(D_Electricity_Lessor[[#This Row],[Source]]="", "",
  _xlfn.IFS(
     Language=German,"Nein",
     Language=French,"Non",
     Language=Italian,"No"
))</f>
        <v/>
      </c>
      <c r="E476" s="395" t="str" cm="1">
        <f t="array" ref="E476">IF(D_Electricity_Lessor[[#This Row],[Source]]="", "",
  _xlfn.IFS(
     Language=German,"Niederspannung",
     Language=French,"Basse tension",
     Language=Italian,"Bassa tensione"
))</f>
        <v/>
      </c>
      <c r="F476" s="396"/>
      <c r="G476" s="10"/>
      <c r="H476" s="108"/>
      <c r="I476" s="390" t="str" cm="1">
        <f t="array" ref="I476">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6" s="186" t="str">
        <f>IF(OR(D_Electricity_Lessor[[#This Row],[Voltage]]="Mittelspannung",
           D_Electricity_Lessor[[#This Row],[Voltage]]="Moyenne tension",
           D_Electricity_Lessor[[#This Row],[Voltage]]="Media tensione"),
     "Mittelspannung",
     "Niederspannung")</f>
        <v>Niederspannung</v>
      </c>
    </row>
    <row r="477" spans="1:16" ht="15" customHeight="1" x14ac:dyDescent="0.2">
      <c r="B477" s="204"/>
      <c r="C477" s="408"/>
      <c r="D477" s="395" t="str" cm="1">
        <f t="array" ref="D477">IF(D_Electricity_Lessor[[#This Row],[Source]]="", "",
  _xlfn.IFS(
     Language=German,"Nein",
     Language=French,"Non",
     Language=Italian,"No"
))</f>
        <v/>
      </c>
      <c r="E477" s="395" t="str" cm="1">
        <f t="array" ref="E477">IF(D_Electricity_Lessor[[#This Row],[Source]]="", "",
  _xlfn.IFS(
     Language=German,"Niederspannung",
     Language=French,"Basse tension",
     Language=Italian,"Bassa tensione"
))</f>
        <v/>
      </c>
      <c r="F477" s="396"/>
      <c r="G477" s="10"/>
      <c r="H477" s="108"/>
      <c r="I477" s="390" t="str" cm="1">
        <f t="array" ref="I477">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7" s="186" t="str">
        <f>IF(OR(D_Electricity_Lessor[[#This Row],[Voltage]]="Mittelspannung",
           D_Electricity_Lessor[[#This Row],[Voltage]]="Moyenne tension",
           D_Electricity_Lessor[[#This Row],[Voltage]]="Media tensione"),
     "Mittelspannung",
     "Niederspannung")</f>
        <v>Niederspannung</v>
      </c>
    </row>
    <row r="478" spans="1:16" ht="15" customHeight="1" x14ac:dyDescent="0.2">
      <c r="B478" s="204"/>
      <c r="C478" s="408"/>
      <c r="D478" s="395" t="str" cm="1">
        <f t="array" ref="D478">IF(D_Electricity_Lessor[[#This Row],[Source]]="", "",
  _xlfn.IFS(
     Language=German,"Nein",
     Language=French,"Non",
     Language=Italian,"No"
))</f>
        <v/>
      </c>
      <c r="E478" s="395" t="str" cm="1">
        <f t="array" ref="E478">IF(D_Electricity_Lessor[[#This Row],[Source]]="", "",
  _xlfn.IFS(
     Language=German,"Niederspannung",
     Language=French,"Basse tension",
     Language=Italian,"Bassa tensione"
))</f>
        <v/>
      </c>
      <c r="F478" s="396"/>
      <c r="G478" s="10"/>
      <c r="H478" s="108"/>
      <c r="I478" s="390" t="str" cm="1">
        <f t="array" ref="I478">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8" s="186" t="str">
        <f>IF(OR(D_Electricity_Lessor[[#This Row],[Voltage]]="Mittelspannung",
           D_Electricity_Lessor[[#This Row],[Voltage]]="Moyenne tension",
           D_Electricity_Lessor[[#This Row],[Voltage]]="Media tensione"),
     "Mittelspannung",
     "Niederspannung")</f>
        <v>Niederspannung</v>
      </c>
    </row>
    <row r="479" spans="1:16" ht="15" customHeight="1" x14ac:dyDescent="0.2">
      <c r="B479" s="204"/>
      <c r="C479" s="408"/>
      <c r="D479" s="395" t="str" cm="1">
        <f t="array" ref="D479">IF(D_Electricity_Lessor[[#This Row],[Source]]="", "",
  _xlfn.IFS(
     Language=German,"Nein",
     Language=French,"Non",
     Language=Italian,"No"
))</f>
        <v/>
      </c>
      <c r="E479" s="395" t="str" cm="1">
        <f t="array" ref="E479">IF(D_Electricity_Lessor[[#This Row],[Source]]="", "",
  _xlfn.IFS(
     Language=German,"Niederspannung",
     Language=French,"Basse tension",
     Language=Italian,"Bassa tensione"
))</f>
        <v/>
      </c>
      <c r="F479" s="396"/>
      <c r="G479" s="10"/>
      <c r="H479" s="108"/>
      <c r="I479" s="390" t="str" cm="1">
        <f t="array" ref="I479">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9" s="186" t="str">
        <f>IF(OR(D_Electricity_Lessor[[#This Row],[Voltage]]="Mittelspannung",
           D_Electricity_Lessor[[#This Row],[Voltage]]="Moyenne tension",
           D_Electricity_Lessor[[#This Row],[Voltage]]="Media tensione"),
     "Mittelspannung",
     "Niederspannung")</f>
        <v>Niederspannung</v>
      </c>
    </row>
    <row r="480" spans="1:16" ht="15" customHeight="1" x14ac:dyDescent="0.2">
      <c r="B480" s="204"/>
      <c r="C480" s="408"/>
      <c r="D480" s="395" t="str" cm="1">
        <f t="array" ref="D480">IF(D_Electricity_Lessor[[#This Row],[Source]]="", "",
  _xlfn.IFS(
     Language=German,"Nein",
     Language=French,"Non",
     Language=Italian,"No"
))</f>
        <v/>
      </c>
      <c r="E480" s="395" t="str" cm="1">
        <f t="array" ref="E480">IF(D_Electricity_Lessor[[#This Row],[Source]]="", "",
  _xlfn.IFS(
     Language=German,"Niederspannung",
     Language=French,"Basse tension",
     Language=Italian,"Bassa tensione"
))</f>
        <v/>
      </c>
      <c r="F480" s="396"/>
      <c r="G480" s="10"/>
      <c r="H480" s="108"/>
      <c r="I480" s="390" t="str" cm="1">
        <f t="array" ref="I480">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80" s="186" t="str">
        <f>IF(OR(D_Electricity_Lessor[[#This Row],[Voltage]]="Mittelspannung",
           D_Electricity_Lessor[[#This Row],[Voltage]]="Moyenne tension",
           D_Electricity_Lessor[[#This Row],[Voltage]]="Media tensione"),
     "Mittelspannung",
     "Niederspannung")</f>
        <v>Niederspannung</v>
      </c>
    </row>
    <row r="481" spans="1:16" ht="15" customHeight="1" x14ac:dyDescent="0.2">
      <c r="B481" s="204"/>
      <c r="C481" s="408"/>
      <c r="D481" s="395" t="str" cm="1">
        <f t="array" ref="D481">IF(D_Electricity_Lessor[[#This Row],[Source]]="", "",
  _xlfn.IFS(
     Language=German,"Nein",
     Language=French,"Non",
     Language=Italian,"No"
))</f>
        <v/>
      </c>
      <c r="E481" s="395" t="str" cm="1">
        <f t="array" ref="E481">IF(D_Electricity_Lessor[[#This Row],[Source]]="", "",
  _xlfn.IFS(
     Language=German,"Niederspannung",
     Language=French,"Basse tension",
     Language=Italian,"Bassa tensione"
))</f>
        <v/>
      </c>
      <c r="F481" s="396"/>
      <c r="G481" s="10"/>
      <c r="H481" s="108"/>
      <c r="I481" s="390" t="str" cm="1">
        <f t="array" ref="I481">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81" s="186" t="str">
        <f>IF(OR(D_Electricity_Lessor[[#This Row],[Voltage]]="Mittelspannung",
           D_Electricity_Lessor[[#This Row],[Voltage]]="Moyenne tension",
           D_Electricity_Lessor[[#This Row],[Voltage]]="Media tensione"),
     "Mittelspannung",
     "Niederspannung")</f>
        <v>Niederspannung</v>
      </c>
    </row>
    <row r="482" spans="1:16" ht="15" customHeight="1" x14ac:dyDescent="0.2">
      <c r="B482" s="204"/>
      <c r="C482" s="409"/>
      <c r="D482" s="397" t="str" cm="1">
        <f t="array" ref="D482">IF(D_Electricity_Lessor[[#This Row],[Source]]="", "",
  _xlfn.IFS(
     Language=German,"Nein",
     Language=French,"Non",
     Language=Italian,"No"
))</f>
        <v/>
      </c>
      <c r="E482" s="395" t="str" cm="1">
        <f t="array" ref="E482">IF(D_Electricity_Lessor[[#This Row],[Source]]="", "",
  _xlfn.IFS(
     Language=German,"Niederspannung",
     Language=French,"Basse tension",
     Language=Italian,"Bassa tensione"
))</f>
        <v/>
      </c>
      <c r="F482" s="398"/>
      <c r="G482" s="10"/>
      <c r="H482" s="108"/>
      <c r="I482" s="390" t="str" cm="1">
        <f t="array" ref="I482">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82" s="186" t="str">
        <f>IF(OR(D_Electricity_Lessor[[#This Row],[Voltage]]="Mittelspannung",
           D_Electricity_Lessor[[#This Row],[Voltage]]="Moyenne tension",
           D_Electricity_Lessor[[#This Row],[Voltage]]="Media tensione"),
     "Mittelspannung",
     "Niederspannung")</f>
        <v>Niederspannung</v>
      </c>
    </row>
    <row r="483" spans="1:16" s="186" customFormat="1" ht="7.15" customHeight="1" x14ac:dyDescent="0.2">
      <c r="A483" s="95"/>
      <c r="B483" s="204"/>
      <c r="C483" s="211"/>
      <c r="D483" s="211" t="str" cm="1">
        <f t="array" ref="D483">IF(D_Electricity_Lessor[[#This Row],[Source]]="", "",
  _xlfn.IFS(
     Language=German,"Nein",
     Language=French,"Non",
     Language=Italian,"No"
))</f>
        <v/>
      </c>
      <c r="E483" s="211" t="str" cm="1">
        <f t="array" ref="E483">IF(D_Electricity_Lessor[[#This Row],[Source]]="", "",
  _xlfn.IFS(
     Language=German,"Niederspannung",
     Language=French,"Basse tension",
     Language=Italian,"Bassa tensione"
))</f>
        <v/>
      </c>
      <c r="F483" s="261"/>
      <c r="G483" s="10"/>
      <c r="H483" s="108"/>
      <c r="I483" s="379"/>
      <c r="J483" s="92"/>
      <c r="L483" s="92"/>
      <c r="M483" s="92"/>
      <c r="N483" s="92"/>
      <c r="O483" s="92"/>
      <c r="P483" s="92"/>
    </row>
    <row r="484" spans="1:16" s="186" customFormat="1" x14ac:dyDescent="0.2">
      <c r="A484" s="95"/>
      <c r="B484" s="171"/>
      <c r="C484" s="172"/>
      <c r="D484" s="172"/>
      <c r="E484" s="172"/>
      <c r="F484" s="172"/>
      <c r="G484" s="172"/>
      <c r="H484" s="120"/>
      <c r="I484" s="379"/>
      <c r="J484" s="92"/>
      <c r="L484" s="92"/>
      <c r="M484" s="92"/>
      <c r="N484" s="92"/>
      <c r="O484" s="92"/>
      <c r="P484" s="92"/>
    </row>
    <row r="485" spans="1:16" x14ac:dyDescent="0.2">
      <c r="I485" s="379"/>
    </row>
    <row r="486" spans="1:16" s="186" customFormat="1" x14ac:dyDescent="0.2">
      <c r="A486" s="95"/>
      <c r="B486" s="200"/>
      <c r="C486" s="129"/>
      <c r="D486" s="129"/>
      <c r="E486" s="129"/>
      <c r="F486" s="129"/>
      <c r="G486" s="129"/>
      <c r="H486" s="215" t="str">
        <f>n2Data_7Electricity</f>
        <v>5 Électricité</v>
      </c>
      <c r="I486" s="388" t="str">
        <f>IF(OR(GenInp_C1_Energy="no",GenInp_C12_Energy_Lessor="no"),"hide","display")</f>
        <v>display</v>
      </c>
      <c r="J486" s="92"/>
      <c r="L486" s="92"/>
      <c r="M486" s="92"/>
      <c r="N486" s="92"/>
      <c r="O486" s="216"/>
      <c r="P486" s="216"/>
    </row>
    <row r="487" spans="1:16" s="186" customFormat="1" ht="10.15" customHeight="1" x14ac:dyDescent="0.2">
      <c r="A487" s="95"/>
      <c r="B487" s="204"/>
      <c r="C487" s="10"/>
      <c r="D487" s="10"/>
      <c r="E487" s="10"/>
      <c r="F487" s="10"/>
      <c r="G487" s="10"/>
      <c r="H487" s="217"/>
      <c r="I487" s="388"/>
      <c r="J487" s="92"/>
      <c r="L487" s="92"/>
      <c r="M487" s="92"/>
      <c r="N487" s="92"/>
      <c r="O487" s="216"/>
      <c r="P487" s="216"/>
    </row>
    <row r="488" spans="1:16" s="186" customFormat="1" ht="15" x14ac:dyDescent="0.25">
      <c r="A488" s="95"/>
      <c r="B488" s="204"/>
      <c r="C488" s="24" t="str">
        <f>n2Data_7Electricity_3Lessor</f>
        <v>Actifs loués en aval</v>
      </c>
      <c r="D488" s="10"/>
      <c r="E488" s="10"/>
      <c r="F488" s="10"/>
      <c r="G488" s="10"/>
      <c r="H488" s="217"/>
      <c r="I488" s="388"/>
      <c r="K488" s="181" t="s">
        <v>2396</v>
      </c>
      <c r="M488" s="92"/>
      <c r="N488" s="92"/>
      <c r="O488" s="216"/>
      <c r="P488" s="216"/>
    </row>
    <row r="489" spans="1:16" s="186" customFormat="1" ht="30" customHeight="1" x14ac:dyDescent="0.2">
      <c r="A489" s="95"/>
      <c r="B489" s="204"/>
      <c r="C489" s="700" t="str">
        <f>n2Data_7Electricity_3Lessor_Text1</f>
        <v>Indiquez la consommation d’électricité de tous les bâtiments, installations et processus loués.
La consommation électrique est différenciée entre l'électricité sans garantie d'origine (GO) et l'électricité avec GO.</v>
      </c>
      <c r="D489" s="700"/>
      <c r="E489" s="700"/>
      <c r="F489" s="700"/>
      <c r="G489" s="196"/>
      <c r="H489" s="108"/>
      <c r="I489" s="379"/>
      <c r="K489" s="181" t="s">
        <v>2397</v>
      </c>
      <c r="M489" s="92"/>
      <c r="N489" s="92"/>
      <c r="O489" s="92"/>
      <c r="P489" s="92"/>
    </row>
    <row r="490" spans="1:16" s="186" customFormat="1" ht="10.15" customHeight="1" x14ac:dyDescent="0.2">
      <c r="A490" s="95"/>
      <c r="B490" s="204"/>
      <c r="C490" s="16"/>
      <c r="D490" s="16"/>
      <c r="E490" s="16"/>
      <c r="F490" s="16"/>
      <c r="G490" s="196"/>
      <c r="H490" s="108"/>
      <c r="I490" s="379"/>
      <c r="K490" s="92"/>
      <c r="M490" s="92"/>
      <c r="N490" s="92"/>
      <c r="O490" s="92"/>
      <c r="P490" s="92"/>
    </row>
    <row r="491" spans="1:16" s="186" customFormat="1" x14ac:dyDescent="0.2">
      <c r="A491" s="95"/>
      <c r="B491" s="204"/>
      <c r="C491" s="700" t="str">
        <f>n2Data_7Electricity_3Lessor_Text2</f>
        <v>Électricité sans garantie d’origine : Indiquez la consommation d’électricité pour l’année du bilan sans GOs en kilowattheures (kWh) (basse ou moyenne tension).</v>
      </c>
      <c r="D491" s="700"/>
      <c r="E491" s="700"/>
      <c r="F491" s="700"/>
      <c r="G491" s="10"/>
      <c r="H491" s="108"/>
      <c r="I491" s="379"/>
      <c r="K491" s="181" t="s">
        <v>2398</v>
      </c>
      <c r="M491" s="92"/>
      <c r="N491" s="92"/>
      <c r="O491" s="92"/>
      <c r="P491" s="92"/>
    </row>
    <row r="492" spans="1:16" s="186" customFormat="1" ht="10.15" customHeight="1" x14ac:dyDescent="0.2">
      <c r="A492" s="95"/>
      <c r="B492" s="204"/>
      <c r="C492" s="16"/>
      <c r="D492" s="16"/>
      <c r="E492" s="16"/>
      <c r="F492" s="16"/>
      <c r="G492" s="10"/>
      <c r="H492" s="108"/>
      <c r="I492" s="379"/>
      <c r="K492" s="203"/>
      <c r="M492" s="92"/>
      <c r="N492" s="92"/>
      <c r="O492" s="92"/>
      <c r="P492" s="92"/>
    </row>
    <row r="493" spans="1:16" s="186" customFormat="1" ht="30.6" customHeight="1" x14ac:dyDescent="0.2">
      <c r="A493" s="95"/>
      <c r="B493" s="204"/>
      <c r="C493" s="700" t="str">
        <f>n2Data_7Electricity_3Lessor_Text3</f>
        <v>Électricité avec garantie d’origine (seuls les GO suisses peuvent être pris en compte) : Sous « Origine », sélectionnez la technologie de génération, si les pertes sont couvertes par des GOs et le type de tension (menu déroulant). Sous « kWh », entrez la consommation d’électricité en kilowattheures.</v>
      </c>
      <c r="D493" s="700"/>
      <c r="E493" s="700"/>
      <c r="F493" s="700"/>
      <c r="G493" s="10"/>
      <c r="H493" s="108"/>
      <c r="I493" s="379"/>
      <c r="K493" s="181" t="s">
        <v>2399</v>
      </c>
      <c r="M493" s="92"/>
      <c r="N493" s="92"/>
      <c r="O493" s="92"/>
      <c r="P493" s="92"/>
    </row>
    <row r="494" spans="1:16" s="186" customFormat="1" ht="10.15" customHeight="1" x14ac:dyDescent="0.2">
      <c r="A494" s="95"/>
      <c r="B494" s="204"/>
      <c r="C494" s="16"/>
      <c r="D494" s="16"/>
      <c r="E494" s="16"/>
      <c r="F494" s="16"/>
      <c r="G494" s="10"/>
      <c r="H494" s="108"/>
      <c r="I494" s="379"/>
      <c r="K494" s="203"/>
      <c r="M494" s="92"/>
      <c r="N494" s="92"/>
      <c r="O494" s="92"/>
      <c r="P494" s="92"/>
    </row>
    <row r="495" spans="1:16" s="186" customFormat="1" ht="17.100000000000001" customHeight="1" x14ac:dyDescent="0.2">
      <c r="A495" s="95"/>
      <c r="B495" s="204"/>
      <c r="C495" s="207" t="str">
        <f>n2Data_0General_Text1 &amp; I495</f>
        <v>Pour plus d’informations, voir le User Manual, chapitre 4.5</v>
      </c>
      <c r="D495" s="16"/>
      <c r="E495" s="16"/>
      <c r="F495" s="16"/>
      <c r="G495" s="10"/>
      <c r="H495" s="108"/>
      <c r="I495" s="379" t="str">
        <f>" 4.5"</f>
        <v xml:space="preserve"> 4.5</v>
      </c>
      <c r="K495" s="95" t="s">
        <v>2203</v>
      </c>
      <c r="M495" s="92"/>
      <c r="N495" s="92"/>
      <c r="O495" s="92"/>
      <c r="P495" s="92"/>
    </row>
    <row r="496" spans="1:16" s="186" customFormat="1" ht="10.15" customHeight="1" x14ac:dyDescent="0.2">
      <c r="A496" s="95"/>
      <c r="B496" s="204"/>
      <c r="C496" s="16"/>
      <c r="D496" s="16"/>
      <c r="E496" s="16"/>
      <c r="F496" s="16"/>
      <c r="G496" s="196"/>
      <c r="H496" s="108"/>
      <c r="I496" s="379"/>
      <c r="K496" s="95"/>
      <c r="M496" s="92"/>
      <c r="N496" s="92"/>
      <c r="O496" s="92"/>
      <c r="P496" s="92"/>
    </row>
    <row r="497" spans="1:16" s="186" customFormat="1" ht="21.75" customHeight="1" x14ac:dyDescent="0.2">
      <c r="A497" s="95"/>
      <c r="B497" s="204"/>
      <c r="C497" s="728" t="str">
        <f>n2Data_0General_Text2</f>
        <v>Cochez la case une fois le tableau terminé.</v>
      </c>
      <c r="D497" s="728"/>
      <c r="E497" s="728"/>
      <c r="F497" s="728"/>
      <c r="G497" s="196"/>
      <c r="H497" s="108"/>
      <c r="I497" s="386" t="b">
        <v>0</v>
      </c>
      <c r="K497" s="95" t="s">
        <v>2204</v>
      </c>
      <c r="M497" s="92"/>
      <c r="N497" s="92"/>
      <c r="O497" s="208"/>
      <c r="P497" s="208"/>
    </row>
    <row r="498" spans="1:16" s="186" customFormat="1" ht="10.15" customHeight="1" x14ac:dyDescent="0.2">
      <c r="A498" s="95"/>
      <c r="B498" s="204"/>
      <c r="C498" s="10"/>
      <c r="D498" s="10"/>
      <c r="E498" s="10"/>
      <c r="F498" s="10"/>
      <c r="G498" s="196"/>
      <c r="H498" s="108"/>
      <c r="I498" s="387">
        <f>IF(OR(I486="hide",I497=TRUE),100%,0%)</f>
        <v>0</v>
      </c>
      <c r="K498" s="95"/>
      <c r="M498" s="92"/>
      <c r="N498" s="92"/>
      <c r="O498" s="209"/>
      <c r="P498" s="209"/>
    </row>
    <row r="499" spans="1:16" x14ac:dyDescent="0.2">
      <c r="B499" s="204"/>
      <c r="C499" s="207" t="str">
        <f>n2Data_0General_Text3</f>
        <v>Notes :</v>
      </c>
      <c r="D499" s="21"/>
      <c r="E499" s="21"/>
      <c r="F499" s="21"/>
      <c r="G499" s="196"/>
      <c r="H499" s="108"/>
      <c r="I499" s="379"/>
      <c r="K499" s="95" t="s">
        <v>2207</v>
      </c>
      <c r="L499" s="186"/>
    </row>
    <row r="500" spans="1:16" x14ac:dyDescent="0.2">
      <c r="B500" s="204"/>
      <c r="C500" s="729"/>
      <c r="D500" s="730"/>
      <c r="E500" s="730"/>
      <c r="F500" s="731"/>
      <c r="G500" s="196"/>
      <c r="H500" s="108"/>
      <c r="I500" s="379"/>
      <c r="K500" s="92"/>
      <c r="L500" s="186"/>
    </row>
    <row r="501" spans="1:16" x14ac:dyDescent="0.2">
      <c r="B501" s="204"/>
      <c r="C501" s="732"/>
      <c r="D501" s="733"/>
      <c r="E501" s="733"/>
      <c r="F501" s="734"/>
      <c r="G501" s="196"/>
      <c r="H501" s="108"/>
      <c r="I501" s="379"/>
      <c r="K501" s="92"/>
      <c r="L501" s="186"/>
    </row>
    <row r="502" spans="1:16" x14ac:dyDescent="0.2">
      <c r="B502" s="204"/>
      <c r="C502" s="224"/>
      <c r="D502" s="10"/>
      <c r="E502" s="10"/>
      <c r="F502" s="10"/>
      <c r="G502" s="10"/>
      <c r="H502" s="108"/>
      <c r="I502" s="379"/>
      <c r="K502" s="92"/>
      <c r="L502" s="186"/>
    </row>
    <row r="503" spans="1:16" ht="15" x14ac:dyDescent="0.25">
      <c r="B503" s="204"/>
      <c r="C503" s="210" t="str">
        <f>n2Data_7Electricity_3Lessor_Text4a</f>
        <v>Origine / Technologie de génération</v>
      </c>
      <c r="D503" s="210" t="str">
        <f>n2Data_7Electricity_3Lessor_Text4b</f>
        <v>Pertes couvertes par GO ?</v>
      </c>
      <c r="E503" s="210" t="str">
        <f>n2Data_7Electricity_3Lessor_Text4c</f>
        <v>Tension</v>
      </c>
      <c r="F503" s="210" t="s">
        <v>224</v>
      </c>
      <c r="G503" s="10"/>
      <c r="H503" s="108"/>
      <c r="I503" s="378" t="s">
        <v>27495</v>
      </c>
      <c r="K503" s="181" t="s">
        <v>2400</v>
      </c>
      <c r="L503" s="182" t="s">
        <v>2401</v>
      </c>
      <c r="M503" s="181" t="s">
        <v>2402</v>
      </c>
    </row>
    <row r="504" spans="1:16" ht="15" hidden="1" x14ac:dyDescent="0.25">
      <c r="B504" s="204"/>
      <c r="C504" s="210" t="s">
        <v>2607</v>
      </c>
      <c r="D504" s="210" t="s">
        <v>27195</v>
      </c>
      <c r="E504" s="210" t="s">
        <v>27196</v>
      </c>
      <c r="F504" s="210" t="s">
        <v>224</v>
      </c>
      <c r="G504" s="10"/>
      <c r="H504" s="108"/>
      <c r="I504" s="379"/>
      <c r="K504" s="92"/>
      <c r="L504" s="186"/>
      <c r="N504" s="181"/>
    </row>
    <row r="505" spans="1:16" ht="15" customHeight="1" x14ac:dyDescent="0.2">
      <c r="B505" s="204"/>
      <c r="C505" s="308" t="str">
        <f>n2Data_7Electricity_3Lessor_Text5</f>
        <v>Électricité achetée sans garantie d'origine</v>
      </c>
      <c r="D505" s="308"/>
      <c r="E505" s="395" t="str">
        <f>Lists!$H$47</f>
        <v>Basse tension</v>
      </c>
      <c r="F505" s="410"/>
      <c r="G505" s="10"/>
      <c r="H505" s="108"/>
      <c r="I505" s="379"/>
      <c r="J505" s="186" t="str">
        <f>IF(OR(D_Electricity_Lessee[[#This Row],[Voltage]]="Mittelspannung",
           D_Electricity_Lessee[[#This Row],[Voltage]]="Moyenne tension",
           D_Electricity_Lessee[[#This Row],[Voltage]]="Media tensione"),
     "Mittelspannung",
     "Niederspannung")</f>
        <v>Niederspannung</v>
      </c>
      <c r="K505" s="181" t="s">
        <v>2403</v>
      </c>
      <c r="L505" s="186"/>
    </row>
    <row r="506" spans="1:16" ht="15" customHeight="1" x14ac:dyDescent="0.2">
      <c r="B506" s="204"/>
      <c r="C506" s="308" t="str">
        <f>n2Data_7Electricity_3Lessor_Text6</f>
        <v>Électricité achetée avec garantie d'origine</v>
      </c>
      <c r="D506" s="308"/>
      <c r="F506" s="229"/>
      <c r="G506" s="10"/>
      <c r="H506" s="108"/>
      <c r="I506" s="379"/>
      <c r="J506" s="186"/>
      <c r="K506" s="181" t="s">
        <v>2404</v>
      </c>
      <c r="L506" s="186"/>
    </row>
    <row r="507" spans="1:16" ht="15" customHeight="1" x14ac:dyDescent="0.2">
      <c r="B507" s="204"/>
      <c r="C507" s="407"/>
      <c r="D507" s="399" t="str" cm="1">
        <f t="array" ref="D507">IF(D_Electricity_Lessee[[#This Row],[Source]]="", "",
  _xlfn.IFS(
     Language=German,"Nein",
     Language=French,"Non",
     Language=Italian,"No"
))</f>
        <v/>
      </c>
      <c r="E507" s="395" t="str" cm="1">
        <f t="array" ref="E507">IF(D_Electricity_Lessee[[#This Row],[Source]]="", "",
  _xlfn.IFS(
     Language=German,"Niederspannung",
     Language=French,"Basse tension",
     Language=Italian,"Bassa tensione"
))</f>
        <v/>
      </c>
      <c r="F507" s="394"/>
      <c r="G507" s="10"/>
      <c r="H507" s="108"/>
      <c r="I507" s="390" t="str" cm="1">
        <f t="array" ref="I507">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07" s="186" t="str">
        <f>IF(OR(D_Electricity_Lessee[[#This Row],[Voltage]]="Mittelspannung",
           D_Electricity_Lessee[[#This Row],[Voltage]]="Moyenne tension",
           D_Electricity_Lessee[[#This Row],[Voltage]]="Media tensione"),
     "Mittelspannung",
     "Niederspannung")</f>
        <v>Niederspannung</v>
      </c>
      <c r="K507" s="92"/>
      <c r="L507" s="186"/>
    </row>
    <row r="508" spans="1:16" ht="15" customHeight="1" x14ac:dyDescent="0.2">
      <c r="B508" s="204"/>
      <c r="C508" s="408"/>
      <c r="D508" s="395" t="str" cm="1">
        <f t="array" ref="D508">IF(D_Electricity_Lessee[[#This Row],[Source]]="", "",
  _xlfn.IFS(
     Language=German,"Nein",
     Language=French,"Non",
     Language=Italian,"No"
))</f>
        <v/>
      </c>
      <c r="E508" s="395" t="str" cm="1">
        <f t="array" ref="E508">IF(D_Electricity_Lessee[[#This Row],[Source]]="", "",
  _xlfn.IFS(
     Language=German,"Niederspannung",
     Language=French,"Basse tension",
     Language=Italian,"Bassa tensione"
))</f>
        <v/>
      </c>
      <c r="F508" s="396"/>
      <c r="G508" s="10"/>
      <c r="H508" s="108"/>
      <c r="I508" s="390" t="str" cm="1">
        <f t="array" ref="I508">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08" s="186" t="str">
        <f>IF(OR(D_Electricity_Lessee[[#This Row],[Voltage]]="Mittelspannung",
           D_Electricity_Lessee[[#This Row],[Voltage]]="Moyenne tension",
           D_Electricity_Lessee[[#This Row],[Voltage]]="Media tensione"),
     "Mittelspannung",
     "Niederspannung")</f>
        <v>Niederspannung</v>
      </c>
    </row>
    <row r="509" spans="1:16" ht="15" customHeight="1" x14ac:dyDescent="0.2">
      <c r="B509" s="204"/>
      <c r="C509" s="408"/>
      <c r="D509" s="395" t="str" cm="1">
        <f t="array" ref="D509">IF(D_Electricity_Lessee[[#This Row],[Source]]="", "",
  _xlfn.IFS(
     Language=German,"Nein",
     Language=French,"Non",
     Language=Italian,"No"
))</f>
        <v/>
      </c>
      <c r="E509" s="395" t="str" cm="1">
        <f t="array" ref="E509">IF(D_Electricity_Lessee[[#This Row],[Source]]="", "",
  _xlfn.IFS(
     Language=German,"Niederspannung",
     Language=French,"Basse tension",
     Language=Italian,"Bassa tensione"
))</f>
        <v/>
      </c>
      <c r="F509" s="396"/>
      <c r="G509" s="10"/>
      <c r="H509" s="108"/>
      <c r="I509" s="390" t="str" cm="1">
        <f t="array" ref="I509">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09" s="186" t="str">
        <f>IF(OR(D_Electricity_Lessee[[#This Row],[Voltage]]="Mittelspannung",
           D_Electricity_Lessee[[#This Row],[Voltage]]="Moyenne tension",
           D_Electricity_Lessee[[#This Row],[Voltage]]="Media tensione"),
     "Mittelspannung",
     "Niederspannung")</f>
        <v>Niederspannung</v>
      </c>
    </row>
    <row r="510" spans="1:16" ht="15" customHeight="1" x14ac:dyDescent="0.2">
      <c r="B510" s="204"/>
      <c r="C510" s="408"/>
      <c r="D510" s="395" t="str" cm="1">
        <f t="array" ref="D510">IF(D_Electricity_Lessee[[#This Row],[Source]]="", "",
  _xlfn.IFS(
     Language=German,"Nein",
     Language=French,"Non",
     Language=Italian,"No"
))</f>
        <v/>
      </c>
      <c r="E510" s="395" t="str" cm="1">
        <f t="array" ref="E510">IF(D_Electricity_Lessee[[#This Row],[Source]]="", "",
  _xlfn.IFS(
     Language=German,"Niederspannung",
     Language=French,"Basse tension",
     Language=Italian,"Bassa tensione"
))</f>
        <v/>
      </c>
      <c r="F510" s="396"/>
      <c r="G510" s="10"/>
      <c r="H510" s="108"/>
      <c r="I510" s="390" t="str" cm="1">
        <f t="array" ref="I510">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0" s="186" t="str">
        <f>IF(OR(D_Electricity_Lessee[[#This Row],[Voltage]]="Mittelspannung",
           D_Electricity_Lessee[[#This Row],[Voltage]]="Moyenne tension",
           D_Electricity_Lessee[[#This Row],[Voltage]]="Media tensione"),
     "Mittelspannung",
     "Niederspannung")</f>
        <v>Niederspannung</v>
      </c>
    </row>
    <row r="511" spans="1:16" ht="15" customHeight="1" x14ac:dyDescent="0.2">
      <c r="B511" s="204"/>
      <c r="C511" s="408"/>
      <c r="D511" s="395" t="str" cm="1">
        <f t="array" ref="D511">IF(D_Electricity_Lessee[[#This Row],[Source]]="", "",
  _xlfn.IFS(
     Language=German,"Nein",
     Language=French,"Non",
     Language=Italian,"No"
))</f>
        <v/>
      </c>
      <c r="E511" s="395" t="str" cm="1">
        <f t="array" ref="E511">IF(D_Electricity_Lessee[[#This Row],[Source]]="", "",
  _xlfn.IFS(
     Language=German,"Niederspannung",
     Language=French,"Basse tension",
     Language=Italian,"Bassa tensione"
))</f>
        <v/>
      </c>
      <c r="F511" s="396"/>
      <c r="G511" s="10"/>
      <c r="H511" s="108"/>
      <c r="I511" s="390" t="str" cm="1">
        <f t="array" ref="I511">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1" s="186" t="str">
        <f>IF(OR(D_Electricity_Lessee[[#This Row],[Voltage]]="Mittelspannung",
           D_Electricity_Lessee[[#This Row],[Voltage]]="Moyenne tension",
           D_Electricity_Lessee[[#This Row],[Voltage]]="Media tensione"),
     "Mittelspannung",
     "Niederspannung")</f>
        <v>Niederspannung</v>
      </c>
    </row>
    <row r="512" spans="1:16" ht="15" customHeight="1" x14ac:dyDescent="0.2">
      <c r="B512" s="204"/>
      <c r="C512" s="408"/>
      <c r="D512" s="395" t="str" cm="1">
        <f t="array" ref="D512">IF(D_Electricity_Lessee[[#This Row],[Source]]="", "",
  _xlfn.IFS(
     Language=German,"Nein",
     Language=French,"Non",
     Language=Italian,"No"
))</f>
        <v/>
      </c>
      <c r="E512" s="395" t="str" cm="1">
        <f t="array" ref="E512">IF(D_Electricity_Lessee[[#This Row],[Source]]="", "",
  _xlfn.IFS(
     Language=German,"Niederspannung",
     Language=French,"Basse tension",
     Language=Italian,"Bassa tensione"
))</f>
        <v/>
      </c>
      <c r="F512" s="396"/>
      <c r="G512" s="10"/>
      <c r="H512" s="108"/>
      <c r="I512" s="390" t="str" cm="1">
        <f t="array" ref="I512">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2" s="186" t="str">
        <f>IF(OR(D_Electricity_Lessee[[#This Row],[Voltage]]="Mittelspannung",
           D_Electricity_Lessee[[#This Row],[Voltage]]="Moyenne tension",
           D_Electricity_Lessee[[#This Row],[Voltage]]="Media tensione"),
     "Mittelspannung",
     "Niederspannung")</f>
        <v>Niederspannung</v>
      </c>
    </row>
    <row r="513" spans="1:16" ht="15" customHeight="1" x14ac:dyDescent="0.2">
      <c r="B513" s="204"/>
      <c r="C513" s="408"/>
      <c r="D513" s="395" t="str" cm="1">
        <f t="array" ref="D513">IF(D_Electricity_Lessee[[#This Row],[Source]]="", "",
  _xlfn.IFS(
     Language=German,"Nein",
     Language=French,"Non",
     Language=Italian,"No"
))</f>
        <v/>
      </c>
      <c r="E513" s="395" t="str" cm="1">
        <f t="array" ref="E513">IF(D_Electricity_Lessee[[#This Row],[Source]]="", "",
  _xlfn.IFS(
     Language=German,"Niederspannung",
     Language=French,"Basse tension",
     Language=Italian,"Bassa tensione"
))</f>
        <v/>
      </c>
      <c r="F513" s="396"/>
      <c r="G513" s="10"/>
      <c r="H513" s="108"/>
      <c r="I513" s="390" t="str" cm="1">
        <f t="array" ref="I513">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3" s="186" t="str">
        <f>IF(OR(D_Electricity_Lessee[[#This Row],[Voltage]]="Mittelspannung",
           D_Electricity_Lessee[[#This Row],[Voltage]]="Moyenne tension",
           D_Electricity_Lessee[[#This Row],[Voltage]]="Media tensione"),
     "Mittelspannung",
     "Niederspannung")</f>
        <v>Niederspannung</v>
      </c>
    </row>
    <row r="514" spans="1:16" ht="15" customHeight="1" x14ac:dyDescent="0.2">
      <c r="B514" s="204"/>
      <c r="C514" s="408"/>
      <c r="D514" s="395" t="str" cm="1">
        <f t="array" ref="D514">IF(D_Electricity_Lessee[[#This Row],[Source]]="", "",
  _xlfn.IFS(
     Language=German,"Nein",
     Language=French,"Non",
     Language=Italian,"No"
))</f>
        <v/>
      </c>
      <c r="E514" s="395" t="str" cm="1">
        <f t="array" ref="E514">IF(D_Electricity_Lessee[[#This Row],[Source]]="", "",
  _xlfn.IFS(
     Language=German,"Niederspannung",
     Language=French,"Basse tension",
     Language=Italian,"Bassa tensione"
))</f>
        <v/>
      </c>
      <c r="F514" s="396"/>
      <c r="G514" s="10"/>
      <c r="H514" s="108"/>
      <c r="I514" s="390" t="str" cm="1">
        <f t="array" ref="I514">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4" s="186" t="str">
        <f>IF(OR(D_Electricity_Lessee[[#This Row],[Voltage]]="Mittelspannung",
           D_Electricity_Lessee[[#This Row],[Voltage]]="Moyenne tension",
           D_Electricity_Lessee[[#This Row],[Voltage]]="Media tensione"),
     "Mittelspannung",
     "Niederspannung")</f>
        <v>Niederspannung</v>
      </c>
    </row>
    <row r="515" spans="1:16" ht="15" customHeight="1" x14ac:dyDescent="0.2">
      <c r="B515" s="204"/>
      <c r="C515" s="408"/>
      <c r="D515" s="395" t="str" cm="1">
        <f t="array" ref="D515">IF(D_Electricity_Lessee[[#This Row],[Source]]="", "",
  _xlfn.IFS(
     Language=German,"Nein",
     Language=French,"Non",
     Language=Italian,"No"
))</f>
        <v/>
      </c>
      <c r="E515" s="395" t="str" cm="1">
        <f t="array" ref="E515">IF(D_Electricity_Lessee[[#This Row],[Source]]="", "",
  _xlfn.IFS(
     Language=German,"Niederspannung",
     Language=French,"Basse tension",
     Language=Italian,"Bassa tensione"
))</f>
        <v/>
      </c>
      <c r="F515" s="396"/>
      <c r="G515" s="10"/>
      <c r="H515" s="108"/>
      <c r="I515" s="390" t="str" cm="1">
        <f t="array" ref="I515">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5" s="186" t="str">
        <f>IF(OR(D_Electricity_Lessee[[#This Row],[Voltage]]="Mittelspannung",
           D_Electricity_Lessee[[#This Row],[Voltage]]="Moyenne tension",
           D_Electricity_Lessee[[#This Row],[Voltage]]="Media tensione"),
     "Mittelspannung",
     "Niederspannung")</f>
        <v>Niederspannung</v>
      </c>
    </row>
    <row r="516" spans="1:16" ht="15" customHeight="1" x14ac:dyDescent="0.2">
      <c r="B516" s="204"/>
      <c r="C516" s="409"/>
      <c r="D516" s="397" t="str" cm="1">
        <f t="array" ref="D516">IF(D_Electricity_Lessee[[#This Row],[Source]]="", "",
  _xlfn.IFS(
     Language=German,"Nein",
     Language=French,"Non",
     Language=Italian,"No"
))</f>
        <v/>
      </c>
      <c r="E516" s="395" t="str" cm="1">
        <f t="array" ref="E516">IF(D_Electricity_Lessee[[#This Row],[Source]]="", "",
  _xlfn.IFS(
     Language=German,"Niederspannung",
     Language=French,"Basse tension",
     Language=Italian,"Bassa tensione"
))</f>
        <v/>
      </c>
      <c r="F516" s="398"/>
      <c r="G516" s="10"/>
      <c r="H516" s="108"/>
      <c r="I516" s="390" t="str" cm="1">
        <f t="array" ref="I516">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6" s="186" t="str">
        <f>IF(OR(D_Electricity_Lessee[[#This Row],[Voltage]]="Mittelspannung",
           D_Electricity_Lessee[[#This Row],[Voltage]]="Moyenne tension",
           D_Electricity_Lessee[[#This Row],[Voltage]]="Media tensione"),
     "Mittelspannung",
     "Niederspannung")</f>
        <v>Niederspannung</v>
      </c>
    </row>
    <row r="517" spans="1:16" ht="7.15" customHeight="1" x14ac:dyDescent="0.2">
      <c r="B517" s="204"/>
      <c r="C517" s="211"/>
      <c r="D517" s="211" t="str" cm="1">
        <f t="array" ref="D517">IF(D_Electricity_Lessee[[#This Row],[Source]]="", "",
  _xlfn.IFS(
     Language=German,"Nein",
     Language=French,"Non",
     Language=Italian,"No"
))</f>
        <v/>
      </c>
      <c r="E517" s="211" t="str" cm="1">
        <f t="array" ref="E517">IF(D_Electricity_Lessee[[#This Row],[Source]]="", "",
  _xlfn.IFS(
     Language=German,"Niederspannung",
     Language=French,"Basse tension",
     Language=Italian,"Bassa tensione"
))</f>
        <v/>
      </c>
      <c r="F517" s="261"/>
      <c r="G517" s="10"/>
      <c r="H517" s="108"/>
      <c r="I517" s="379"/>
    </row>
    <row r="518" spans="1:16" x14ac:dyDescent="0.2">
      <c r="B518" s="171"/>
      <c r="C518" s="172"/>
      <c r="D518" s="172"/>
      <c r="E518" s="172"/>
      <c r="F518" s="172"/>
      <c r="G518" s="172"/>
      <c r="H518" s="120"/>
      <c r="I518" s="379"/>
    </row>
    <row r="519" spans="1:16" x14ac:dyDescent="0.2">
      <c r="I519" s="379"/>
    </row>
    <row r="520" spans="1:16" x14ac:dyDescent="0.2">
      <c r="I520" s="379"/>
    </row>
    <row r="521" spans="1:16" s="98" customFormat="1" ht="30" customHeight="1" x14ac:dyDescent="0.2">
      <c r="A521" s="198"/>
      <c r="B521" s="199" t="str">
        <f>n2Data_8PurchasedGoods</f>
        <v>6 Biens et services achetés</v>
      </c>
      <c r="I521" s="383"/>
      <c r="J521" s="181" t="s">
        <v>2405</v>
      </c>
      <c r="K521" s="186"/>
    </row>
    <row r="522" spans="1:16" x14ac:dyDescent="0.2">
      <c r="B522" s="200"/>
      <c r="C522" s="129"/>
      <c r="D522" s="129"/>
      <c r="E522" s="129"/>
      <c r="F522" s="129"/>
      <c r="G522" s="129"/>
      <c r="H522" s="215" t="str">
        <f>n2Data_8PurchasedGoods</f>
        <v>6 Biens et services achetés</v>
      </c>
      <c r="I522" s="388" t="str">
        <f>IF(GenInp_B1_Scope3="no","hide","display")</f>
        <v>display</v>
      </c>
      <c r="O522" s="216"/>
      <c r="P522" s="216"/>
    </row>
    <row r="523" spans="1:16" x14ac:dyDescent="0.2">
      <c r="B523" s="204"/>
      <c r="C523" s="10"/>
      <c r="D523" s="10"/>
      <c r="E523" s="10"/>
      <c r="F523" s="10"/>
      <c r="G523" s="10"/>
      <c r="H523" s="217"/>
      <c r="I523" s="388"/>
      <c r="O523" s="216"/>
      <c r="P523" s="216"/>
    </row>
    <row r="524" spans="1:16" ht="15" x14ac:dyDescent="0.25">
      <c r="B524" s="204"/>
      <c r="C524" s="24" t="str">
        <f>n2Data_8PurchasedGoods_1Spend</f>
        <v>Approche basée sur les dépenses</v>
      </c>
      <c r="D524" s="10"/>
      <c r="E524" s="10"/>
      <c r="F524" s="10"/>
      <c r="G524" s="10"/>
      <c r="H524" s="108"/>
      <c r="I524" s="379"/>
      <c r="J524" s="181" t="s">
        <v>2406</v>
      </c>
    </row>
    <row r="525" spans="1:16" ht="30" customHeight="1" x14ac:dyDescent="0.2">
      <c r="B525" s="204"/>
      <c r="C525" s="700" t="str">
        <f>n2Data_8PurchasedGoods_1Spend_Text1</f>
        <v>Indiquez tous les biens et services achetés au cours de l’année du bilan.
Cela inclut, par exemple, les matières premières, la nourriture, l’équipement ou les services tels que le conseil, la planification et le nettoyage.</v>
      </c>
      <c r="D525" s="700"/>
      <c r="E525" s="700"/>
      <c r="F525" s="700"/>
      <c r="G525" s="196"/>
      <c r="H525" s="108"/>
      <c r="I525" s="379"/>
      <c r="J525" s="181" t="s">
        <v>2409</v>
      </c>
    </row>
    <row r="526" spans="1:16" ht="10.15" customHeight="1" x14ac:dyDescent="0.2">
      <c r="B526" s="204"/>
      <c r="C526" s="16"/>
      <c r="D526" s="16"/>
      <c r="E526" s="16"/>
      <c r="F526" s="16"/>
      <c r="G526" s="196"/>
      <c r="H526" s="108"/>
      <c r="I526" s="379"/>
      <c r="J526" s="95"/>
    </row>
    <row r="527" spans="1:16" ht="58.15" customHeight="1" x14ac:dyDescent="0.2">
      <c r="B527" s="204"/>
      <c r="C527" s="700" t="str">
        <f>n2Data_8PurchasedGoods_1Spend_Text2</f>
        <v>L’approche basée sur les dépenses utilise le volume d’achat par secteur de votre entreprise. Sinon, vous pouvez utiliser l’approche basée sur la quantité ci-dessous. Les achats ne doivent être saisis qu’à un seul endroit.
Approche basée sur les dépenses : Sous « Industrie », sélectionnez la classe de biens ou de services appropriée (menu déroulant). Sous « CHF », saisissez la quantité d’achat en francs suisses.</v>
      </c>
      <c r="D527" s="700"/>
      <c r="E527" s="700"/>
      <c r="F527" s="700"/>
      <c r="G527" s="196"/>
      <c r="H527" s="108"/>
      <c r="I527" s="379"/>
      <c r="J527" s="181" t="s">
        <v>2411</v>
      </c>
    </row>
    <row r="528" spans="1:16" ht="10.15" customHeight="1" x14ac:dyDescent="0.2">
      <c r="B528" s="204"/>
      <c r="C528" s="16"/>
      <c r="D528" s="16"/>
      <c r="E528" s="16"/>
      <c r="F528" s="16"/>
      <c r="G528" s="196"/>
      <c r="H528" s="108"/>
      <c r="I528" s="379"/>
      <c r="J528" s="95"/>
    </row>
    <row r="529" spans="2:16" x14ac:dyDescent="0.2">
      <c r="B529" s="204"/>
      <c r="C529" s="218" t="str">
        <f>n2Data_0General_Text1 &amp; I529</f>
        <v>Pour plus d’informations, voir le User Manual, chapitre 4.6</v>
      </c>
      <c r="D529" s="218"/>
      <c r="E529" s="218"/>
      <c r="F529" s="218"/>
      <c r="G529" s="196"/>
      <c r="H529" s="108"/>
      <c r="I529" s="379" t="str">
        <f>" 4.6"</f>
        <v xml:space="preserve"> 4.6</v>
      </c>
      <c r="J529" s="95" t="s">
        <v>2203</v>
      </c>
    </row>
    <row r="530" spans="2:16" ht="10.15" customHeight="1" x14ac:dyDescent="0.2">
      <c r="B530" s="204"/>
      <c r="C530" s="16"/>
      <c r="D530" s="16"/>
      <c r="E530" s="16"/>
      <c r="F530" s="16"/>
      <c r="G530" s="196"/>
      <c r="H530" s="108"/>
      <c r="I530" s="379"/>
      <c r="J530" s="95"/>
    </row>
    <row r="531" spans="2:16" ht="21.75" customHeight="1" x14ac:dyDescent="0.2">
      <c r="B531" s="204"/>
      <c r="C531" s="728" t="str">
        <f>n2Data_0General_Text2</f>
        <v>Cochez la case une fois le tableau terminé.</v>
      </c>
      <c r="D531" s="728"/>
      <c r="E531" s="728"/>
      <c r="F531" s="728"/>
      <c r="G531" s="196"/>
      <c r="H531" s="108"/>
      <c r="I531" s="386" t="b">
        <v>0</v>
      </c>
      <c r="J531" s="95" t="s">
        <v>2204</v>
      </c>
      <c r="O531" s="208"/>
      <c r="P531" s="208"/>
    </row>
    <row r="532" spans="2:16" ht="10.15" customHeight="1" x14ac:dyDescent="0.2">
      <c r="B532" s="204"/>
      <c r="C532" s="10"/>
      <c r="D532" s="10"/>
      <c r="E532" s="10"/>
      <c r="F532" s="10"/>
      <c r="G532" s="196"/>
      <c r="H532" s="108"/>
      <c r="I532" s="387">
        <f>IF(OR(I522="hide",I531=TRUE),100%,0%)</f>
        <v>0</v>
      </c>
      <c r="J532" s="95"/>
      <c r="O532" s="209"/>
      <c r="P532" s="209"/>
    </row>
    <row r="533" spans="2:16" x14ac:dyDescent="0.2">
      <c r="B533" s="204"/>
      <c r="C533" s="218" t="str">
        <f>n2Data_0General_Text3</f>
        <v>Notes :</v>
      </c>
      <c r="D533" s="21"/>
      <c r="E533" s="21"/>
      <c r="F533" s="21"/>
      <c r="G533" s="196"/>
      <c r="H533" s="108"/>
      <c r="I533" s="379"/>
      <c r="J533" s="95" t="s">
        <v>2207</v>
      </c>
    </row>
    <row r="534" spans="2:16" x14ac:dyDescent="0.2">
      <c r="B534" s="204"/>
      <c r="C534" s="729"/>
      <c r="D534" s="730"/>
      <c r="E534" s="730"/>
      <c r="F534" s="731"/>
      <c r="G534" s="196"/>
      <c r="H534" s="108"/>
      <c r="I534" s="379"/>
    </row>
    <row r="535" spans="2:16" x14ac:dyDescent="0.2">
      <c r="B535" s="204"/>
      <c r="C535" s="732"/>
      <c r="D535" s="733"/>
      <c r="E535" s="733"/>
      <c r="F535" s="734"/>
      <c r="G535" s="10"/>
      <c r="H535" s="108"/>
      <c r="I535" s="379"/>
    </row>
    <row r="536" spans="2:16" x14ac:dyDescent="0.2">
      <c r="B536" s="204"/>
      <c r="C536" s="224"/>
      <c r="D536" s="10"/>
      <c r="E536" s="10"/>
      <c r="F536" s="10"/>
      <c r="G536" s="10"/>
      <c r="H536" s="108"/>
      <c r="I536" s="379"/>
    </row>
    <row r="537" spans="2:16" ht="15" x14ac:dyDescent="0.25">
      <c r="B537" s="204"/>
      <c r="C537" s="210" t="str">
        <f>n2Data_8PurchasedGoods_1Spend_Text3</f>
        <v>Secteur d'activité</v>
      </c>
      <c r="D537" s="213" t="s">
        <v>27135</v>
      </c>
      <c r="E537" s="213" t="s">
        <v>27137</v>
      </c>
      <c r="F537" s="210" t="s">
        <v>414</v>
      </c>
      <c r="G537" s="10"/>
      <c r="H537" s="108"/>
      <c r="I537" s="379"/>
      <c r="J537" s="181" t="s">
        <v>2412</v>
      </c>
    </row>
    <row r="538" spans="2:16" ht="15" hidden="1" customHeight="1" x14ac:dyDescent="0.25">
      <c r="B538" s="204"/>
      <c r="C538" s="210" t="s">
        <v>27161</v>
      </c>
      <c r="D538" s="213" t="s">
        <v>27135</v>
      </c>
      <c r="E538" s="213" t="s">
        <v>27137</v>
      </c>
      <c r="F538" s="210" t="s">
        <v>414</v>
      </c>
      <c r="G538" s="10"/>
      <c r="H538" s="108"/>
      <c r="I538" s="379"/>
    </row>
    <row r="539" spans="2:16" ht="15" customHeight="1" x14ac:dyDescent="0.2">
      <c r="B539" s="204"/>
      <c r="C539" s="399"/>
      <c r="D539" s="308"/>
      <c r="E539" s="308"/>
      <c r="F539" s="394"/>
      <c r="G539" s="10"/>
      <c r="H539" s="108"/>
      <c r="I539" s="379"/>
    </row>
    <row r="540" spans="2:16" ht="15" customHeight="1" x14ac:dyDescent="0.2">
      <c r="B540" s="204"/>
      <c r="C540" s="395"/>
      <c r="D540" s="308"/>
      <c r="E540" s="308"/>
      <c r="F540" s="396"/>
      <c r="G540" s="10"/>
      <c r="H540" s="108"/>
      <c r="I540" s="379"/>
    </row>
    <row r="541" spans="2:16" ht="15" customHeight="1" x14ac:dyDescent="0.2">
      <c r="B541" s="204"/>
      <c r="C541" s="395"/>
      <c r="D541" s="308"/>
      <c r="E541" s="308"/>
      <c r="F541" s="396"/>
      <c r="G541" s="10"/>
      <c r="H541" s="108"/>
      <c r="I541" s="379"/>
    </row>
    <row r="542" spans="2:16" ht="15" customHeight="1" x14ac:dyDescent="0.2">
      <c r="B542" s="204"/>
      <c r="C542" s="395"/>
      <c r="D542" s="308"/>
      <c r="E542" s="308"/>
      <c r="F542" s="396"/>
      <c r="G542" s="10"/>
      <c r="H542" s="108"/>
      <c r="I542" s="379"/>
    </row>
    <row r="543" spans="2:16" ht="15" customHeight="1" x14ac:dyDescent="0.2">
      <c r="B543" s="204"/>
      <c r="C543" s="395"/>
      <c r="D543" s="308"/>
      <c r="E543" s="308"/>
      <c r="F543" s="396"/>
      <c r="G543" s="10"/>
      <c r="H543" s="108"/>
      <c r="I543" s="379"/>
    </row>
    <row r="544" spans="2:16" ht="15" customHeight="1" x14ac:dyDescent="0.2">
      <c r="B544" s="204"/>
      <c r="C544" s="395"/>
      <c r="D544" s="308"/>
      <c r="E544" s="308"/>
      <c r="F544" s="396"/>
      <c r="G544" s="10"/>
      <c r="H544" s="108"/>
      <c r="I544" s="379"/>
    </row>
    <row r="545" spans="1:16" ht="15" customHeight="1" x14ac:dyDescent="0.2">
      <c r="B545" s="204"/>
      <c r="C545" s="395"/>
      <c r="D545" s="308"/>
      <c r="E545" s="308"/>
      <c r="F545" s="396"/>
      <c r="G545" s="10"/>
      <c r="H545" s="108"/>
      <c r="I545" s="379"/>
    </row>
    <row r="546" spans="1:16" ht="15" customHeight="1" x14ac:dyDescent="0.2">
      <c r="B546" s="204"/>
      <c r="C546" s="395"/>
      <c r="D546" s="308"/>
      <c r="E546" s="308"/>
      <c r="F546" s="396"/>
      <c r="G546" s="10"/>
      <c r="H546" s="108"/>
      <c r="I546" s="379"/>
    </row>
    <row r="547" spans="1:16" ht="15" customHeight="1" x14ac:dyDescent="0.2">
      <c r="B547" s="204"/>
      <c r="C547" s="395"/>
      <c r="D547" s="308"/>
      <c r="E547" s="308"/>
      <c r="F547" s="396"/>
      <c r="G547" s="10"/>
      <c r="H547" s="108"/>
      <c r="I547" s="379"/>
    </row>
    <row r="548" spans="1:16" ht="15" customHeight="1" x14ac:dyDescent="0.2">
      <c r="B548" s="204"/>
      <c r="C548" s="395"/>
      <c r="D548" s="308"/>
      <c r="E548" s="308"/>
      <c r="F548" s="396"/>
      <c r="G548" s="10"/>
      <c r="H548" s="108"/>
      <c r="I548" s="379"/>
    </row>
    <row r="549" spans="1:16" s="186" customFormat="1" ht="15" customHeight="1" x14ac:dyDescent="0.2">
      <c r="A549" s="95"/>
      <c r="B549" s="204"/>
      <c r="C549" s="395"/>
      <c r="D549" s="308"/>
      <c r="E549" s="308"/>
      <c r="F549" s="396"/>
      <c r="G549" s="10"/>
      <c r="H549" s="108"/>
      <c r="I549" s="379"/>
      <c r="J549" s="92"/>
      <c r="L549" s="92"/>
      <c r="M549" s="92"/>
      <c r="N549" s="92"/>
      <c r="O549" s="92"/>
      <c r="P549" s="92"/>
    </row>
    <row r="550" spans="1:16" s="186" customFormat="1" ht="15" customHeight="1" x14ac:dyDescent="0.2">
      <c r="A550" s="95"/>
      <c r="B550" s="204"/>
      <c r="C550" s="395"/>
      <c r="D550" s="308"/>
      <c r="E550" s="308"/>
      <c r="F550" s="396"/>
      <c r="G550" s="10"/>
      <c r="H550" s="108"/>
      <c r="I550" s="379"/>
      <c r="J550" s="92"/>
      <c r="L550" s="92"/>
      <c r="M550" s="92"/>
      <c r="N550" s="92"/>
      <c r="O550" s="92"/>
      <c r="P550" s="92"/>
    </row>
    <row r="551" spans="1:16" s="186" customFormat="1" ht="15" customHeight="1" x14ac:dyDescent="0.2">
      <c r="A551" s="95"/>
      <c r="B551" s="204"/>
      <c r="C551" s="395"/>
      <c r="D551" s="308"/>
      <c r="E551" s="308"/>
      <c r="F551" s="396"/>
      <c r="G551" s="10"/>
      <c r="H551" s="108"/>
      <c r="I551" s="379"/>
      <c r="J551" s="92"/>
      <c r="L551" s="92"/>
      <c r="M551" s="92"/>
      <c r="N551" s="92"/>
      <c r="O551" s="92"/>
      <c r="P551" s="92"/>
    </row>
    <row r="552" spans="1:16" s="186" customFormat="1" ht="15" customHeight="1" x14ac:dyDescent="0.2">
      <c r="A552" s="95"/>
      <c r="B552" s="204"/>
      <c r="C552" s="395"/>
      <c r="D552" s="308"/>
      <c r="E552" s="308"/>
      <c r="F552" s="396"/>
      <c r="G552" s="10"/>
      <c r="H552" s="108"/>
      <c r="I552" s="379"/>
      <c r="J552" s="92"/>
      <c r="L552" s="92"/>
      <c r="M552" s="92"/>
      <c r="N552" s="92"/>
      <c r="O552" s="92"/>
      <c r="P552" s="92"/>
    </row>
    <row r="553" spans="1:16" s="186" customFormat="1" ht="15" customHeight="1" x14ac:dyDescent="0.2">
      <c r="A553" s="95"/>
      <c r="B553" s="204"/>
      <c r="C553" s="395"/>
      <c r="D553" s="308"/>
      <c r="E553" s="308"/>
      <c r="F553" s="396"/>
      <c r="G553" s="10"/>
      <c r="H553" s="108"/>
      <c r="I553" s="379"/>
      <c r="J553" s="92"/>
      <c r="L553" s="92"/>
      <c r="M553" s="92"/>
      <c r="N553" s="92"/>
      <c r="O553" s="92"/>
      <c r="P553" s="92"/>
    </row>
    <row r="554" spans="1:16" s="186" customFormat="1" ht="15" customHeight="1" x14ac:dyDescent="0.2">
      <c r="A554" s="95"/>
      <c r="B554" s="204"/>
      <c r="C554" s="395"/>
      <c r="D554" s="308"/>
      <c r="E554" s="308"/>
      <c r="F554" s="396"/>
      <c r="G554" s="10"/>
      <c r="H554" s="108"/>
      <c r="I554" s="379"/>
      <c r="J554" s="92"/>
      <c r="L554" s="92"/>
      <c r="M554" s="92"/>
      <c r="N554" s="92"/>
      <c r="O554" s="92"/>
      <c r="P554" s="92"/>
    </row>
    <row r="555" spans="1:16" s="186" customFormat="1" ht="15" customHeight="1" x14ac:dyDescent="0.2">
      <c r="A555" s="95"/>
      <c r="B555" s="204"/>
      <c r="C555" s="395"/>
      <c r="D555" s="308"/>
      <c r="E555" s="308"/>
      <c r="F555" s="396"/>
      <c r="G555" s="10"/>
      <c r="H555" s="108"/>
      <c r="I555" s="379"/>
      <c r="J555" s="92"/>
      <c r="L555" s="92"/>
      <c r="M555" s="92"/>
      <c r="N555" s="92"/>
      <c r="O555" s="92"/>
      <c r="P555" s="92"/>
    </row>
    <row r="556" spans="1:16" s="186" customFormat="1" ht="15" customHeight="1" x14ac:dyDescent="0.2">
      <c r="A556" s="95"/>
      <c r="B556" s="204"/>
      <c r="C556" s="395"/>
      <c r="D556" s="308"/>
      <c r="E556" s="308"/>
      <c r="F556" s="396"/>
      <c r="G556" s="10"/>
      <c r="H556" s="108"/>
      <c r="I556" s="379"/>
      <c r="J556" s="92"/>
      <c r="L556" s="92"/>
      <c r="M556" s="92"/>
      <c r="N556" s="92"/>
      <c r="O556" s="92"/>
      <c r="P556" s="92"/>
    </row>
    <row r="557" spans="1:16" s="186" customFormat="1" ht="15" customHeight="1" x14ac:dyDescent="0.2">
      <c r="A557" s="95"/>
      <c r="B557" s="204"/>
      <c r="C557" s="395"/>
      <c r="D557" s="308"/>
      <c r="E557" s="308"/>
      <c r="F557" s="396"/>
      <c r="G557" s="10"/>
      <c r="H557" s="108"/>
      <c r="I557" s="379"/>
      <c r="J557" s="92"/>
      <c r="L557" s="92"/>
      <c r="M557" s="92"/>
      <c r="N557" s="92"/>
      <c r="O557" s="92"/>
      <c r="P557" s="92"/>
    </row>
    <row r="558" spans="1:16" s="186" customFormat="1" ht="15" customHeight="1" x14ac:dyDescent="0.2">
      <c r="A558" s="95"/>
      <c r="B558" s="204"/>
      <c r="C558" s="397"/>
      <c r="D558" s="308"/>
      <c r="E558" s="308"/>
      <c r="F558" s="398"/>
      <c r="G558" s="10"/>
      <c r="H558" s="108"/>
      <c r="I558" s="379"/>
      <c r="J558" s="92"/>
      <c r="L558" s="92"/>
      <c r="M558" s="92"/>
      <c r="N558" s="92"/>
      <c r="O558" s="92"/>
      <c r="P558" s="92"/>
    </row>
    <row r="559" spans="1:16" s="186" customFormat="1" ht="7.15" customHeight="1" x14ac:dyDescent="0.2">
      <c r="A559" s="95"/>
      <c r="B559" s="204"/>
      <c r="C559" s="211"/>
      <c r="D559" s="211"/>
      <c r="E559" s="211"/>
      <c r="F559" s="261"/>
      <c r="G559" s="10"/>
      <c r="H559" s="108"/>
      <c r="I559" s="379"/>
      <c r="J559" s="230"/>
      <c r="L559" s="92"/>
      <c r="M559" s="92"/>
      <c r="N559" s="92"/>
      <c r="O559" s="92"/>
      <c r="P559" s="92"/>
    </row>
    <row r="560" spans="1:16" s="186" customFormat="1" x14ac:dyDescent="0.2">
      <c r="A560" s="95"/>
      <c r="B560" s="171"/>
      <c r="C560" s="172"/>
      <c r="D560" s="172"/>
      <c r="E560" s="172"/>
      <c r="F560" s="172"/>
      <c r="G560" s="172"/>
      <c r="H560" s="120"/>
      <c r="I560" s="379"/>
      <c r="J560" s="92"/>
      <c r="L560" s="92"/>
      <c r="M560" s="92"/>
      <c r="N560" s="92"/>
      <c r="O560" s="92"/>
      <c r="P560" s="92"/>
    </row>
    <row r="561" spans="1:16" x14ac:dyDescent="0.2">
      <c r="I561" s="379"/>
    </row>
    <row r="562" spans="1:16" s="186" customFormat="1" x14ac:dyDescent="0.2">
      <c r="A562" s="95"/>
      <c r="B562" s="200"/>
      <c r="C562" s="129"/>
      <c r="D562" s="129"/>
      <c r="E562" s="129"/>
      <c r="F562" s="129"/>
      <c r="G562" s="129"/>
      <c r="H562" s="215" t="str">
        <f>n2Data_8PurchasedGoods</f>
        <v>6 Biens et services achetés</v>
      </c>
      <c r="I562" s="388" t="str">
        <f>IF('1 General Inputs '!K46="no","hide","display")</f>
        <v>display</v>
      </c>
      <c r="J562" s="92"/>
      <c r="L562" s="92"/>
      <c r="M562" s="92"/>
      <c r="N562" s="92"/>
      <c r="O562" s="216"/>
      <c r="P562" s="216"/>
    </row>
    <row r="563" spans="1:16" s="186" customFormat="1" ht="10.15" customHeight="1" x14ac:dyDescent="0.2">
      <c r="A563" s="95"/>
      <c r="B563" s="204"/>
      <c r="C563" s="10"/>
      <c r="D563" s="10"/>
      <c r="E563" s="10"/>
      <c r="F563" s="10"/>
      <c r="G563" s="10"/>
      <c r="H563" s="108"/>
      <c r="I563" s="379"/>
      <c r="J563" s="92"/>
      <c r="L563" s="92"/>
      <c r="M563" s="92"/>
      <c r="N563" s="92"/>
      <c r="O563" s="92"/>
      <c r="P563" s="92"/>
    </row>
    <row r="564" spans="1:16" s="186" customFormat="1" ht="15" x14ac:dyDescent="0.25">
      <c r="A564" s="95"/>
      <c r="B564" s="204"/>
      <c r="C564" s="24" t="str">
        <f>n2Data_8PurchasedGoods_1Quantity</f>
        <v>Approche basée sur la quantité</v>
      </c>
      <c r="D564" s="10"/>
      <c r="E564" s="10"/>
      <c r="F564" s="10"/>
      <c r="G564" s="231"/>
      <c r="H564" s="108"/>
      <c r="I564" s="379"/>
      <c r="J564" s="181" t="s">
        <v>2414</v>
      </c>
      <c r="L564" s="92"/>
      <c r="M564" s="92"/>
      <c r="N564" s="92"/>
      <c r="O564" s="92"/>
      <c r="P564" s="92"/>
    </row>
    <row r="565" spans="1:16" ht="30" customHeight="1" x14ac:dyDescent="0.2">
      <c r="B565" s="204"/>
      <c r="C565" s="700" t="str">
        <f>n2Data_8PurchasedGoods_1Quantity_Text1</f>
        <v>Indiquez tous les biens et services achetés au cours de l’année du bilan qui ne sont pas couverts par l'« approche basée sur les dépenses ».
Cela inclut, par exemple, les matières premières, la nourriture, les consommables ou les équipements.</v>
      </c>
      <c r="D565" s="700"/>
      <c r="E565" s="700"/>
      <c r="F565" s="700"/>
      <c r="G565" s="21"/>
      <c r="H565" s="232"/>
      <c r="I565" s="391"/>
      <c r="J565" s="181" t="s">
        <v>2418</v>
      </c>
      <c r="O565" s="233"/>
      <c r="P565" s="233"/>
    </row>
    <row r="566" spans="1:16" ht="10.15" customHeight="1" x14ac:dyDescent="0.2">
      <c r="B566" s="204"/>
      <c r="C566" s="16"/>
      <c r="D566" s="16"/>
      <c r="E566" s="16"/>
      <c r="F566" s="16"/>
      <c r="G566" s="16"/>
      <c r="H566" s="232"/>
      <c r="I566" s="391"/>
      <c r="J566" s="95"/>
      <c r="O566" s="233"/>
      <c r="P566" s="233"/>
    </row>
    <row r="567" spans="1:16" ht="46.15" customHeight="1" x14ac:dyDescent="0.2">
      <c r="B567" s="204"/>
      <c r="C567" s="700" t="str">
        <f>n2Data_8PurchasedGoods_1Quantity_Text2</f>
        <v>L’approche basée sur la quantité est plus précise que celle basée sur la dépense (voir ci-dessus). Les achats ne doivent être saisis qu’à un seul endroit.
Approche basée sur la quantité : Sous « Matériel cat. 1/2/3" (menu déroulant). Sous « Saisie », saisissez la quantité d’achat dans l’unité spécifiée (par exemple kg, m3).</v>
      </c>
      <c r="D567" s="700"/>
      <c r="E567" s="700"/>
      <c r="F567" s="700"/>
      <c r="G567" s="16"/>
      <c r="H567" s="232"/>
      <c r="I567" s="391"/>
      <c r="J567" s="181" t="s">
        <v>2420</v>
      </c>
      <c r="O567" s="233"/>
      <c r="P567" s="233"/>
    </row>
    <row r="568" spans="1:16" ht="10.15" customHeight="1" x14ac:dyDescent="0.2">
      <c r="B568" s="204"/>
      <c r="C568" s="16"/>
      <c r="D568" s="16"/>
      <c r="E568" s="16"/>
      <c r="F568" s="16"/>
      <c r="G568" s="16"/>
      <c r="H568" s="232"/>
      <c r="I568" s="391"/>
      <c r="J568" s="95"/>
      <c r="O568" s="233"/>
      <c r="P568" s="233"/>
    </row>
    <row r="569" spans="1:16" x14ac:dyDescent="0.2">
      <c r="B569" s="204"/>
      <c r="C569" s="218" t="str">
        <f>n2Data_0General_Text1 &amp; I569</f>
        <v>Pour plus d’informations, voir le User Manual, chapitre 4.6</v>
      </c>
      <c r="D569" s="218"/>
      <c r="E569" s="218"/>
      <c r="F569" s="218"/>
      <c r="G569" s="16"/>
      <c r="H569" s="232"/>
      <c r="I569" s="379" t="str">
        <f>" 4.6"</f>
        <v xml:space="preserve"> 4.6</v>
      </c>
      <c r="J569" s="95" t="s">
        <v>2203</v>
      </c>
      <c r="O569" s="233"/>
      <c r="P569" s="233"/>
    </row>
    <row r="570" spans="1:16" ht="10.15" customHeight="1" x14ac:dyDescent="0.2">
      <c r="B570" s="204"/>
      <c r="C570" s="16"/>
      <c r="D570" s="16"/>
      <c r="E570" s="16"/>
      <c r="F570" s="16"/>
      <c r="G570" s="16"/>
      <c r="H570" s="232"/>
      <c r="I570" s="391"/>
      <c r="J570" s="95"/>
      <c r="O570" s="233"/>
      <c r="P570" s="233"/>
    </row>
    <row r="571" spans="1:16" ht="21.75" customHeight="1" x14ac:dyDescent="0.2">
      <c r="B571" s="204"/>
      <c r="C571" s="728" t="str">
        <f>n2Data_0General_Text2</f>
        <v>Cochez la case une fois le tableau terminé.</v>
      </c>
      <c r="D571" s="728"/>
      <c r="E571" s="728"/>
      <c r="F571" s="728"/>
      <c r="G571" s="16"/>
      <c r="H571" s="232"/>
      <c r="I571" s="386" t="b">
        <v>0</v>
      </c>
      <c r="J571" s="95" t="s">
        <v>2204</v>
      </c>
      <c r="O571" s="208"/>
      <c r="P571" s="208"/>
    </row>
    <row r="572" spans="1:16" ht="10.15" customHeight="1" x14ac:dyDescent="0.2">
      <c r="B572" s="204"/>
      <c r="C572" s="10"/>
      <c r="D572" s="10"/>
      <c r="E572" s="10"/>
      <c r="F572" s="10"/>
      <c r="G572" s="16"/>
      <c r="H572" s="232"/>
      <c r="I572" s="387">
        <f>IF(OR(I562="hide",I571=TRUE),100%,0%)</f>
        <v>0</v>
      </c>
      <c r="J572" s="95"/>
      <c r="O572" s="209"/>
      <c r="P572" s="209"/>
    </row>
    <row r="573" spans="1:16" x14ac:dyDescent="0.2">
      <c r="B573" s="204"/>
      <c r="C573" s="218" t="str">
        <f>n2Data_0General_Text3</f>
        <v>Notes :</v>
      </c>
      <c r="D573" s="21"/>
      <c r="E573" s="21"/>
      <c r="F573" s="21"/>
      <c r="G573" s="16"/>
      <c r="H573" s="232"/>
      <c r="I573" s="391"/>
      <c r="J573" s="95" t="s">
        <v>2207</v>
      </c>
      <c r="O573" s="233"/>
      <c r="P573" s="233"/>
    </row>
    <row r="574" spans="1:16" x14ac:dyDescent="0.2">
      <c r="B574" s="204"/>
      <c r="C574" s="729"/>
      <c r="D574" s="730"/>
      <c r="E574" s="730"/>
      <c r="F574" s="730"/>
      <c r="G574" s="731"/>
      <c r="H574" s="232"/>
      <c r="I574" s="391"/>
      <c r="J574" s="93"/>
      <c r="O574" s="233"/>
      <c r="P574" s="233"/>
    </row>
    <row r="575" spans="1:16" x14ac:dyDescent="0.2">
      <c r="B575" s="204"/>
      <c r="C575" s="732"/>
      <c r="D575" s="733"/>
      <c r="E575" s="733"/>
      <c r="F575" s="733"/>
      <c r="G575" s="734"/>
      <c r="H575" s="232"/>
      <c r="I575" s="391"/>
      <c r="J575" s="93"/>
      <c r="O575" s="233"/>
      <c r="P575" s="233"/>
    </row>
    <row r="576" spans="1:16" x14ac:dyDescent="0.2">
      <c r="B576" s="204"/>
      <c r="C576" s="224"/>
      <c r="D576" s="10"/>
      <c r="E576" s="10"/>
      <c r="F576" s="10"/>
      <c r="G576" s="10"/>
      <c r="H576" s="108"/>
      <c r="I576" s="379"/>
    </row>
    <row r="577" spans="2:14" ht="15" x14ac:dyDescent="0.25">
      <c r="B577" s="204"/>
      <c r="C577" s="210" t="str">
        <f>n2Data_8PurchasedGoods_1Quantity_Text3a</f>
        <v>Matériau cat. 1</v>
      </c>
      <c r="D577" s="210" t="str">
        <f>n2Data_8PurchasedGoods_1Quantity_Text3b</f>
        <v>Matériau cat. 2</v>
      </c>
      <c r="E577" s="210" t="str">
        <f>n2Data_8PurchasedGoods_1Quantity_Text3c</f>
        <v>Matériau cat. 3</v>
      </c>
      <c r="F577" s="210" t="str">
        <f>n2Data_0General_Text4_Input</f>
        <v>Saisie</v>
      </c>
      <c r="G577" s="357" t="str">
        <f>n2Data_0General_Text5_Unit</f>
        <v>Unité</v>
      </c>
      <c r="H577" s="108"/>
      <c r="I577" s="379"/>
      <c r="J577" s="181" t="s">
        <v>2421</v>
      </c>
      <c r="K577" s="182" t="s">
        <v>2423</v>
      </c>
      <c r="L577" s="181" t="s">
        <v>2425</v>
      </c>
      <c r="M577" s="186" t="s">
        <v>2211</v>
      </c>
      <c r="N577" s="95" t="s">
        <v>2214</v>
      </c>
    </row>
    <row r="578" spans="2:14" ht="15" hidden="1" customHeight="1" x14ac:dyDescent="0.25">
      <c r="B578" s="204"/>
      <c r="C578" s="210" t="s">
        <v>27198</v>
      </c>
      <c r="D578" s="210" t="s">
        <v>27199</v>
      </c>
      <c r="E578" s="210" t="s">
        <v>27206</v>
      </c>
      <c r="F578" s="210" t="s">
        <v>27170</v>
      </c>
      <c r="G578" s="357" t="s">
        <v>276</v>
      </c>
      <c r="H578" s="108"/>
      <c r="I578" s="379"/>
      <c r="K578" s="92"/>
    </row>
    <row r="579" spans="2:14" ht="15" customHeight="1" x14ac:dyDescent="0.2">
      <c r="B579" s="204"/>
      <c r="C579" s="399"/>
      <c r="D579" s="399"/>
      <c r="E579" s="399"/>
      <c r="F579" s="411"/>
      <c r="G579" s="358" t="str">
        <f>IF(OR(D_Purchased_ProductB[[#This Row],[Material Cat. 2]]="",DatInp_PurchasedGoods_ProductBased_Line1_MatKat1=""),"",_xlfn.XLOOKUP(D579,Lists3.1_Longlist[Mat. Cat. 2],Lists3.1_Longlist[Unit]))</f>
        <v/>
      </c>
      <c r="H579" s="108"/>
      <c r="I579" s="379"/>
    </row>
    <row r="580" spans="2:14" ht="15" customHeight="1" x14ac:dyDescent="0.2">
      <c r="B580" s="204"/>
      <c r="C580" s="395"/>
      <c r="D580" s="395"/>
      <c r="E580" s="395"/>
      <c r="F580" s="396"/>
      <c r="G580" s="358" t="str">
        <f>IF(OR(D_Purchased_ProductB[[#This Row],[Material Cat. 2]]="",DatInp_PurchasedGoods_ProductBased_Line2_MatKat1=""),"",_xlfn.XLOOKUP(D580,Lists3.1_Longlist[Mat. Cat. 2],Lists3.1_Longlist[Unit]))</f>
        <v/>
      </c>
      <c r="H580" s="108"/>
      <c r="I580" s="379"/>
    </row>
    <row r="581" spans="2:14" ht="15" customHeight="1" x14ac:dyDescent="0.2">
      <c r="B581" s="204"/>
      <c r="C581" s="395"/>
      <c r="D581" s="395"/>
      <c r="E581" s="395"/>
      <c r="F581" s="396"/>
      <c r="G581" s="358" t="str">
        <f>IF(OR(D_Purchased_ProductB[[#This Row],[Material Cat. 2]]="",DatInp_PurchasedGoods_ProductBased_Line3_MatKat1=""),"",_xlfn.XLOOKUP(D581,Lists3.1_Longlist[Mat. Cat. 2],Lists3.1_Longlist[Unit]))</f>
        <v/>
      </c>
      <c r="H581" s="108"/>
      <c r="I581" s="379"/>
    </row>
    <row r="582" spans="2:14" ht="15" customHeight="1" x14ac:dyDescent="0.2">
      <c r="B582" s="204"/>
      <c r="C582" s="395"/>
      <c r="D582" s="395"/>
      <c r="E582" s="395"/>
      <c r="F582" s="396"/>
      <c r="G582" s="358" t="str">
        <f>IF(OR(D_Purchased_ProductB[[#This Row],[Material Cat. 2]]="",DatInp_PurchasedGoods_ProductBased_Line4_MatKat1=""),"",_xlfn.XLOOKUP(D582,Lists3.1_Longlist[Mat. Cat. 2],Lists3.1_Longlist[Unit]))</f>
        <v/>
      </c>
      <c r="H582" s="108"/>
      <c r="I582" s="379"/>
    </row>
    <row r="583" spans="2:14" ht="15" customHeight="1" x14ac:dyDescent="0.2">
      <c r="B583" s="204"/>
      <c r="C583" s="395"/>
      <c r="D583" s="395"/>
      <c r="E583" s="395"/>
      <c r="F583" s="396"/>
      <c r="G583" s="358" t="str">
        <f>IF(OR(D_Purchased_ProductB[[#This Row],[Material Cat. 2]]="",DatInp_PurchasedGoods_ProductBased_Line5_MatKat1=""),"",_xlfn.XLOOKUP(D583,Lists3.1_Longlist[Mat. Cat. 2],Lists3.1_Longlist[Unit]))</f>
        <v/>
      </c>
      <c r="H583" s="108"/>
      <c r="I583" s="379"/>
    </row>
    <row r="584" spans="2:14" ht="15" customHeight="1" x14ac:dyDescent="0.2">
      <c r="B584" s="204"/>
      <c r="C584" s="395"/>
      <c r="D584" s="395"/>
      <c r="E584" s="395"/>
      <c r="F584" s="396"/>
      <c r="G584" s="358" t="str">
        <f>IF(OR(D_Purchased_ProductB[[#This Row],[Material Cat. 2]]="",DatInp_PurchasedGoods_ProductBased_Line6_MatKat1=""),"",_xlfn.XLOOKUP(D584,Lists3.1_Longlist[Mat. Cat. 2],Lists3.1_Longlist[Unit]))</f>
        <v/>
      </c>
      <c r="H584" s="108"/>
      <c r="I584" s="379"/>
    </row>
    <row r="585" spans="2:14" ht="15" customHeight="1" x14ac:dyDescent="0.2">
      <c r="B585" s="204"/>
      <c r="C585" s="395"/>
      <c r="D585" s="395"/>
      <c r="E585" s="395"/>
      <c r="F585" s="396"/>
      <c r="G585" s="358" t="str">
        <f>IF(OR(D_Purchased_ProductB[[#This Row],[Material Cat. 2]]="",DatInp_PurchasedGoods_ProductBased_Line7_MatKat1=""),"",_xlfn.XLOOKUP(D585,Lists3.1_Longlist[Mat. Cat. 2],Lists3.1_Longlist[Unit]))</f>
        <v/>
      </c>
      <c r="H585" s="108"/>
      <c r="I585" s="379"/>
    </row>
    <row r="586" spans="2:14" ht="15" customHeight="1" x14ac:dyDescent="0.2">
      <c r="B586" s="204"/>
      <c r="C586" s="395"/>
      <c r="D586" s="395"/>
      <c r="E586" s="395"/>
      <c r="F586" s="396"/>
      <c r="G586" s="358" t="str">
        <f>IF(OR(D_Purchased_ProductB[[#This Row],[Material Cat. 2]]="",DatInp_PurchasedGoods_ProductBased_Line8_MatKat1=""),"",_xlfn.XLOOKUP(D586,Lists3.1_Longlist[Mat. Cat. 2],Lists3.1_Longlist[Unit]))</f>
        <v/>
      </c>
      <c r="H586" s="108"/>
      <c r="I586" s="379"/>
    </row>
    <row r="587" spans="2:14" ht="15" customHeight="1" x14ac:dyDescent="0.2">
      <c r="B587" s="204"/>
      <c r="C587" s="395"/>
      <c r="D587" s="395"/>
      <c r="E587" s="395"/>
      <c r="F587" s="396"/>
      <c r="G587" s="358" t="str">
        <f>IF(OR(D_Purchased_ProductB[[#This Row],[Material Cat. 2]]="",DatInp_PurchasedGoods_ProductBased_Line9_MatKat1=""),"",_xlfn.XLOOKUP(D587,Lists3.1_Longlist[Mat. Cat. 2],Lists3.1_Longlist[Unit]))</f>
        <v/>
      </c>
      <c r="H587" s="108"/>
      <c r="I587" s="379"/>
    </row>
    <row r="588" spans="2:14" ht="15" customHeight="1" x14ac:dyDescent="0.2">
      <c r="B588" s="204"/>
      <c r="C588" s="395"/>
      <c r="D588" s="395"/>
      <c r="E588" s="395"/>
      <c r="F588" s="396"/>
      <c r="G588" s="358" t="str">
        <f>IF(OR(D_Purchased_ProductB[[#This Row],[Material Cat. 2]]="",DatInp_PurchasedGoods_ProductBased_Line10_MatKat1=""),"",_xlfn.XLOOKUP(D588,Lists3.1_Longlist[Mat. Cat. 2],Lists3.1_Longlist[Unit]))</f>
        <v/>
      </c>
      <c r="H588" s="108"/>
      <c r="I588" s="379"/>
    </row>
    <row r="589" spans="2:14" ht="15" customHeight="1" x14ac:dyDescent="0.2">
      <c r="B589" s="204"/>
      <c r="C589" s="395"/>
      <c r="D589" s="395"/>
      <c r="E589" s="395"/>
      <c r="F589" s="396"/>
      <c r="G589" s="358" t="str">
        <f>IF(OR(D_Purchased_ProductB[[#This Row],[Material Cat. 2]]="",DatInp_PurchasedGoods_ProductBased_Line11_MatKat1=""),"",_xlfn.XLOOKUP(D589,Lists3.1_Longlist[Mat. Cat. 2],Lists3.1_Longlist[Unit]))</f>
        <v/>
      </c>
      <c r="H589" s="108"/>
      <c r="I589" s="379"/>
    </row>
    <row r="590" spans="2:14" ht="15" customHeight="1" x14ac:dyDescent="0.2">
      <c r="B590" s="204"/>
      <c r="C590" s="395"/>
      <c r="D590" s="395"/>
      <c r="E590" s="395"/>
      <c r="F590" s="396"/>
      <c r="G590" s="358" t="str">
        <f>IF(OR(D_Purchased_ProductB[[#This Row],[Material Cat. 2]]="",DatInp_PurchasedGoods_ProductBased_Line12_MatKat1=""),"",_xlfn.XLOOKUP(D590,Lists3.1_Longlist[Mat. Cat. 2],Lists3.1_Longlist[Unit]))</f>
        <v/>
      </c>
      <c r="H590" s="108"/>
      <c r="I590" s="379"/>
    </row>
    <row r="591" spans="2:14" ht="15" customHeight="1" x14ac:dyDescent="0.2">
      <c r="B591" s="204"/>
      <c r="C591" s="395"/>
      <c r="D591" s="395"/>
      <c r="E591" s="395"/>
      <c r="F591" s="396"/>
      <c r="G591" s="358" t="str">
        <f>IF(OR(D_Purchased_ProductB[[#This Row],[Material Cat. 2]]="",DatInp_PurchasedGoods_ProductBased_Line13_MatKat1=""),"",_xlfn.XLOOKUP(D591,Lists3.1_Longlist[Mat. Cat. 2],Lists3.1_Longlist[Unit]))</f>
        <v/>
      </c>
      <c r="H591" s="108"/>
      <c r="I591" s="379"/>
    </row>
    <row r="592" spans="2:14" ht="15" customHeight="1" x14ac:dyDescent="0.2">
      <c r="B592" s="204"/>
      <c r="C592" s="395"/>
      <c r="D592" s="395"/>
      <c r="E592" s="395"/>
      <c r="F592" s="396"/>
      <c r="G592" s="358" t="str">
        <f>IF(OR(D_Purchased_ProductB[[#This Row],[Material Cat. 2]]="",DatInp_PurchasedGoods_ProductBased_Line14_MatKat1=""),"",_xlfn.XLOOKUP(D592,Lists3.1_Longlist[Mat. Cat. 2],Lists3.1_Longlist[Unit]))</f>
        <v/>
      </c>
      <c r="H592" s="108"/>
      <c r="I592" s="379"/>
    </row>
    <row r="593" spans="1:16" ht="15" customHeight="1" x14ac:dyDescent="0.2">
      <c r="B593" s="204"/>
      <c r="C593" s="395"/>
      <c r="D593" s="395"/>
      <c r="E593" s="395"/>
      <c r="F593" s="396"/>
      <c r="G593" s="358" t="str">
        <f>IF(OR(D_Purchased_ProductB[[#This Row],[Material Cat. 2]]="",DatInp_PurchasedGoods_ProductBased_Line15_MatKat1=""),"",_xlfn.XLOOKUP(D593,Lists3.1_Longlist[Mat. Cat. 2],Lists3.1_Longlist[Unit]))</f>
        <v/>
      </c>
      <c r="H593" s="108"/>
      <c r="I593" s="379"/>
    </row>
    <row r="594" spans="1:16" ht="15" customHeight="1" x14ac:dyDescent="0.2">
      <c r="B594" s="204"/>
      <c r="C594" s="395"/>
      <c r="D594" s="395"/>
      <c r="E594" s="395"/>
      <c r="F594" s="396"/>
      <c r="G594" s="358" t="str">
        <f>IF(OR(D_Purchased_ProductB[[#This Row],[Material Cat. 2]]="",DatInp_PurchasedGoods_ProductBased_Line16_MatKat1=""),"",_xlfn.XLOOKUP(D594,Lists3.1_Longlist[Mat. Cat. 2],Lists3.1_Longlist[Unit]))</f>
        <v/>
      </c>
      <c r="H594" s="108"/>
      <c r="I594" s="379"/>
    </row>
    <row r="595" spans="1:16" ht="15" customHeight="1" x14ac:dyDescent="0.2">
      <c r="B595" s="204"/>
      <c r="C595" s="395"/>
      <c r="D595" s="395"/>
      <c r="E595" s="395"/>
      <c r="F595" s="396"/>
      <c r="G595" s="358" t="str">
        <f>IF(OR(D_Purchased_ProductB[[#This Row],[Material Cat. 2]]="",DatInp_PurchasedGoods_ProductBased_Line17_MatKat1=""),"",_xlfn.XLOOKUP(D595,Lists3.1_Longlist[Mat. Cat. 2],Lists3.1_Longlist[Unit]))</f>
        <v/>
      </c>
      <c r="H595" s="108"/>
      <c r="I595" s="379"/>
    </row>
    <row r="596" spans="1:16" ht="15" customHeight="1" x14ac:dyDescent="0.2">
      <c r="B596" s="204"/>
      <c r="C596" s="395"/>
      <c r="D596" s="395"/>
      <c r="E596" s="395"/>
      <c r="F596" s="396"/>
      <c r="G596" s="358" t="str">
        <f>IF(OR(D_Purchased_ProductB[[#This Row],[Material Cat. 2]]="",DatInp_PurchasedGoods_ProductBased_Line18_MatKat1=""),"",_xlfn.XLOOKUP(D596,Lists3.1_Longlist[Mat. Cat. 2],Lists3.1_Longlist[Unit]))</f>
        <v/>
      </c>
      <c r="H596" s="108"/>
      <c r="I596" s="379"/>
    </row>
    <row r="597" spans="1:16" ht="15" customHeight="1" x14ac:dyDescent="0.2">
      <c r="B597" s="204"/>
      <c r="C597" s="395"/>
      <c r="D597" s="395"/>
      <c r="E597" s="395"/>
      <c r="F597" s="396"/>
      <c r="G597" s="358" t="str">
        <f>IF(OR(D_Purchased_ProductB[[#This Row],[Material Cat. 2]]="",DatInp_PurchasedGoods_ProductBased_Line19_MatKat1=""),"",_xlfn.XLOOKUP(D597,Lists3.1_Longlist[Mat. Cat. 2],Lists3.1_Longlist[Unit]))</f>
        <v/>
      </c>
      <c r="H597" s="108"/>
      <c r="I597" s="379"/>
    </row>
    <row r="598" spans="1:16" ht="15" customHeight="1" x14ac:dyDescent="0.2">
      <c r="B598" s="204"/>
      <c r="C598" s="397"/>
      <c r="D598" s="397"/>
      <c r="E598" s="397"/>
      <c r="F598" s="412"/>
      <c r="G598" s="358" t="str">
        <f>IF(OR(D_Purchased_ProductB[[#This Row],[Material Cat. 2]]="",DatInp_PurchasedGoods_ProductBased_Line20_MatKat1=""),"",_xlfn.XLOOKUP(D598,Lists3.1_Longlist[Mat. Cat. 2],Lists3.1_Longlist[Unit]))</f>
        <v/>
      </c>
      <c r="H598" s="108"/>
      <c r="I598" s="379"/>
    </row>
    <row r="599" spans="1:16" ht="7.15" customHeight="1" x14ac:dyDescent="0.2">
      <c r="B599" s="204"/>
      <c r="C599" s="211"/>
      <c r="D599" s="211"/>
      <c r="E599" s="211"/>
      <c r="F599" s="212"/>
      <c r="G599" s="211"/>
      <c r="H599" s="108"/>
      <c r="I599" s="379"/>
    </row>
    <row r="600" spans="1:16" x14ac:dyDescent="0.2">
      <c r="B600" s="171"/>
      <c r="C600" s="172"/>
      <c r="D600" s="172"/>
      <c r="E600" s="172"/>
      <c r="F600" s="172"/>
      <c r="G600" s="172"/>
      <c r="H600" s="120"/>
      <c r="I600" s="379"/>
    </row>
    <row r="601" spans="1:16" x14ac:dyDescent="0.2">
      <c r="I601" s="379"/>
    </row>
    <row r="602" spans="1:16" x14ac:dyDescent="0.2">
      <c r="I602" s="379"/>
    </row>
    <row r="603" spans="1:16" s="98" customFormat="1" ht="30" customHeight="1" x14ac:dyDescent="0.2">
      <c r="A603" s="198"/>
      <c r="B603" s="199" t="str">
        <f>n2Data_9CapitalGoods</f>
        <v>7 Biens d’équipement</v>
      </c>
      <c r="I603" s="383"/>
      <c r="J603" s="181" t="s">
        <v>2427</v>
      </c>
      <c r="K603" s="186"/>
    </row>
    <row r="604" spans="1:16" x14ac:dyDescent="0.2">
      <c r="B604" s="200"/>
      <c r="C604" s="129"/>
      <c r="D604" s="129"/>
      <c r="E604" s="129"/>
      <c r="F604" s="129"/>
      <c r="G604" s="129"/>
      <c r="H604" s="215" t="str">
        <f>n2Data_9CapitalGoods</f>
        <v>7 Biens d’équipement</v>
      </c>
      <c r="I604" s="388" t="str">
        <f>IF(OR('1 General Inputs '!K46="no",'1 General Inputs '!K77="no"),"hide","display")</f>
        <v>display</v>
      </c>
      <c r="O604" s="216"/>
      <c r="P604" s="216"/>
    </row>
    <row r="605" spans="1:16" ht="10.15" customHeight="1" x14ac:dyDescent="0.2">
      <c r="B605" s="204"/>
      <c r="C605" s="10"/>
      <c r="D605" s="10"/>
      <c r="E605" s="10"/>
      <c r="F605" s="10"/>
      <c r="G605" s="231"/>
      <c r="H605" s="108"/>
      <c r="I605" s="379"/>
    </row>
    <row r="606" spans="1:16" ht="15" customHeight="1" x14ac:dyDescent="0.2">
      <c r="B606" s="204"/>
      <c r="C606" s="700" t="str">
        <f>n2Data_9CapitalGoods_Text1</f>
        <v xml:space="preserve">Indiquez tous les biens d’équipement achetés au cours de l’année du bilan, par exemple les bâtiments, véhicules ou machines.
</v>
      </c>
      <c r="D606" s="700"/>
      <c r="E606" s="700"/>
      <c r="F606" s="700"/>
      <c r="G606" s="21"/>
      <c r="H606" s="232"/>
      <c r="I606" s="391"/>
      <c r="J606" s="181" t="s">
        <v>2428</v>
      </c>
      <c r="O606" s="233"/>
      <c r="P606" s="233"/>
    </row>
    <row r="607" spans="1:16" ht="10.15" customHeight="1" x14ac:dyDescent="0.2">
      <c r="B607" s="204"/>
      <c r="C607" s="16"/>
      <c r="D607" s="16"/>
      <c r="E607" s="16"/>
      <c r="F607" s="16"/>
      <c r="G607" s="16"/>
      <c r="H607" s="232"/>
      <c r="I607" s="391"/>
      <c r="J607" s="181"/>
      <c r="O607" s="233"/>
      <c r="P607" s="233"/>
    </row>
    <row r="608" spans="1:16" x14ac:dyDescent="0.2">
      <c r="B608" s="204"/>
      <c r="C608" s="700" t="str">
        <f>n2Data_9CapitalGoods_Text2</f>
        <v>Sélectionnez un produit approprié dans « Matériau cat. 1/2 » (menu déroulant). Sous « Saisie », saisissez la quantité dans l’unité correspondante (par exemple la pièce (p), m3)</v>
      </c>
      <c r="D608" s="700"/>
      <c r="E608" s="700"/>
      <c r="F608" s="700"/>
      <c r="G608" s="16"/>
      <c r="H608" s="232"/>
      <c r="I608" s="391"/>
      <c r="J608" s="181" t="s">
        <v>2430</v>
      </c>
      <c r="O608" s="233"/>
      <c r="P608" s="233"/>
    </row>
    <row r="609" spans="2:16" ht="10.15" customHeight="1" x14ac:dyDescent="0.2">
      <c r="B609" s="204"/>
      <c r="C609" s="16"/>
      <c r="D609" s="16"/>
      <c r="E609" s="16"/>
      <c r="F609" s="16"/>
      <c r="G609" s="16"/>
      <c r="H609" s="232"/>
      <c r="I609" s="391"/>
      <c r="J609" s="181"/>
      <c r="O609" s="233"/>
      <c r="P609" s="233"/>
    </row>
    <row r="610" spans="2:16" ht="30" customHeight="1" x14ac:dyDescent="0.2">
      <c r="B610" s="204"/>
      <c r="C610" s="700" t="str">
        <f>n2Data_9CapitalGoods_Text3</f>
        <v>Vous décidez vous-même si un bien acheté doit être enregistré comme un bien capital ou comme un bien ou un service. Suivez votre comptabilité financière. Assurez-vous que tous les biens et services achetés soient enregistrés au même endroit (et non plusieurs fois).</v>
      </c>
      <c r="D610" s="700"/>
      <c r="E610" s="700"/>
      <c r="F610" s="700"/>
      <c r="G610" s="16"/>
      <c r="H610" s="232"/>
      <c r="I610" s="391"/>
      <c r="J610" s="181" t="s">
        <v>2431</v>
      </c>
      <c r="O610" s="233"/>
      <c r="P610" s="233"/>
    </row>
    <row r="611" spans="2:16" ht="10.15" customHeight="1" x14ac:dyDescent="0.2">
      <c r="B611" s="204"/>
      <c r="C611" s="16"/>
      <c r="D611" s="16"/>
      <c r="E611" s="16"/>
      <c r="F611" s="16"/>
      <c r="G611" s="16"/>
      <c r="H611" s="232"/>
      <c r="I611" s="391"/>
      <c r="J611" s="181"/>
      <c r="O611" s="233"/>
      <c r="P611" s="233"/>
    </row>
    <row r="612" spans="2:16" x14ac:dyDescent="0.2">
      <c r="B612" s="204"/>
      <c r="C612" s="218" t="str">
        <f>n2Data_0General_Text1 &amp; I612</f>
        <v>Pour plus d’informations, voir le User Manual, chapitre 4.7</v>
      </c>
      <c r="D612" s="218"/>
      <c r="E612" s="218"/>
      <c r="F612" s="218"/>
      <c r="G612" s="16"/>
      <c r="H612" s="232"/>
      <c r="I612" s="379" t="str">
        <f>" 4.7"</f>
        <v xml:space="preserve"> 4.7</v>
      </c>
      <c r="J612" s="95" t="s">
        <v>2203</v>
      </c>
      <c r="O612" s="233"/>
      <c r="P612" s="233"/>
    </row>
    <row r="613" spans="2:16" ht="10.15" customHeight="1" x14ac:dyDescent="0.2">
      <c r="B613" s="204"/>
      <c r="C613" s="16"/>
      <c r="D613" s="16"/>
      <c r="E613" s="16"/>
      <c r="F613" s="16"/>
      <c r="G613" s="16"/>
      <c r="H613" s="232"/>
      <c r="I613" s="391"/>
      <c r="J613" s="95"/>
      <c r="O613" s="233"/>
      <c r="P613" s="233"/>
    </row>
    <row r="614" spans="2:16" ht="21.75" customHeight="1" x14ac:dyDescent="0.2">
      <c r="B614" s="204"/>
      <c r="C614" s="728" t="str">
        <f>n2Data_0General_Text2</f>
        <v>Cochez la case une fois le tableau terminé.</v>
      </c>
      <c r="D614" s="728"/>
      <c r="E614" s="728"/>
      <c r="F614" s="728"/>
      <c r="G614" s="16"/>
      <c r="H614" s="232"/>
      <c r="I614" s="386" t="b">
        <v>0</v>
      </c>
      <c r="J614" s="95" t="s">
        <v>2204</v>
      </c>
      <c r="O614" s="208"/>
      <c r="P614" s="208"/>
    </row>
    <row r="615" spans="2:16" ht="15" customHeight="1" x14ac:dyDescent="0.2">
      <c r="B615" s="204"/>
      <c r="C615" s="10"/>
      <c r="D615" s="10"/>
      <c r="E615" s="10"/>
      <c r="F615" s="10"/>
      <c r="G615" s="16"/>
      <c r="H615" s="232"/>
      <c r="I615" s="387">
        <f>IF(OR(I604="hide",I614=TRUE),100%,0%)</f>
        <v>0</v>
      </c>
      <c r="J615" s="95"/>
      <c r="O615" s="209"/>
      <c r="P615" s="209"/>
    </row>
    <row r="616" spans="2:16" ht="15" customHeight="1" x14ac:dyDescent="0.2">
      <c r="B616" s="204"/>
      <c r="C616" s="218" t="str">
        <f>n2Data_0General_Text3</f>
        <v>Notes :</v>
      </c>
      <c r="D616" s="21"/>
      <c r="E616" s="21"/>
      <c r="F616" s="21"/>
      <c r="G616" s="16"/>
      <c r="H616" s="232"/>
      <c r="I616" s="391"/>
      <c r="J616" s="95" t="s">
        <v>2207</v>
      </c>
      <c r="O616" s="233"/>
      <c r="P616" s="233"/>
    </row>
    <row r="617" spans="2:16" x14ac:dyDescent="0.2">
      <c r="B617" s="204"/>
      <c r="C617" s="729"/>
      <c r="D617" s="730"/>
      <c r="E617" s="730"/>
      <c r="F617" s="730"/>
      <c r="G617" s="731"/>
      <c r="H617" s="232"/>
      <c r="I617" s="391"/>
      <c r="J617" s="93"/>
      <c r="O617" s="233"/>
      <c r="P617" s="233"/>
    </row>
    <row r="618" spans="2:16" x14ac:dyDescent="0.2">
      <c r="B618" s="204"/>
      <c r="C618" s="732"/>
      <c r="D618" s="733"/>
      <c r="E618" s="733"/>
      <c r="F618" s="733"/>
      <c r="G618" s="734"/>
      <c r="H618" s="232"/>
      <c r="I618" s="391"/>
      <c r="J618" s="93"/>
      <c r="O618" s="233"/>
      <c r="P618" s="233"/>
    </row>
    <row r="619" spans="2:16" ht="15" customHeight="1" x14ac:dyDescent="0.2">
      <c r="B619" s="204"/>
      <c r="C619" s="224"/>
      <c r="D619" s="10"/>
      <c r="E619" s="10"/>
      <c r="F619" s="10"/>
      <c r="G619" s="10"/>
      <c r="H619" s="108"/>
      <c r="I619" s="379"/>
    </row>
    <row r="620" spans="2:16" ht="15" customHeight="1" x14ac:dyDescent="0.25">
      <c r="B620" s="204"/>
      <c r="C620" s="210" t="str">
        <f>n2Data_9CapitalGoods_Text4a</f>
        <v>Matériau cat. 1</v>
      </c>
      <c r="D620" s="210" t="str">
        <f>n2Data_9CapitalGoods_Text4b</f>
        <v>Matériau cat. 2</v>
      </c>
      <c r="E620" s="213" t="s">
        <v>27135</v>
      </c>
      <c r="F620" s="210" t="str">
        <f>n2Data_0General_Text4_Input</f>
        <v>Saisie</v>
      </c>
      <c r="G620" s="353" t="str">
        <f>n2Data_0General_Text5_Unit</f>
        <v>Unité</v>
      </c>
      <c r="H620" s="108"/>
      <c r="I620" s="379"/>
      <c r="J620" s="181" t="s">
        <v>2434</v>
      </c>
      <c r="K620" s="182" t="s">
        <v>2435</v>
      </c>
      <c r="L620" s="186" t="s">
        <v>2211</v>
      </c>
      <c r="M620" s="95" t="s">
        <v>2214</v>
      </c>
    </row>
    <row r="621" spans="2:16" ht="15" hidden="1" customHeight="1" x14ac:dyDescent="0.25">
      <c r="B621" s="204"/>
      <c r="C621" s="210" t="s">
        <v>27198</v>
      </c>
      <c r="D621" s="210" t="s">
        <v>27199</v>
      </c>
      <c r="E621" s="213" t="s">
        <v>27135</v>
      </c>
      <c r="F621" s="210" t="s">
        <v>27170</v>
      </c>
      <c r="G621" s="353" t="s">
        <v>276</v>
      </c>
      <c r="H621" s="108"/>
      <c r="I621" s="379"/>
    </row>
    <row r="622" spans="2:16" ht="15" customHeight="1" x14ac:dyDescent="0.2">
      <c r="B622" s="204"/>
      <c r="C622" s="399"/>
      <c r="D622" s="399"/>
      <c r="E622" s="308"/>
      <c r="F622" s="394"/>
      <c r="G622" s="354" t="str" cm="1">
        <f t="array" ref="G622">IF(D_CapitalGoods[[#This Row],[Material Cat. 2]]="","",_xlfn.XLOOKUP(D622,
_xlfn.TOCOL(_xlfn.HSTACK(Lists_S3.2_CapitalGoods[DE Name],Lists_S3.2_CapitalGoods[FR Name],Lists_S3.2_CapitalGoods[IT Name]),1),
_xlfn.TOCOL(_xlfn.HSTACK(Lists_S3.2_CapitalGoods[Functional Unit2],Lists_S3.2_CapitalGoods[Functional Unit2],Lists_S3.2_CapitalGoods[Functional Unit2]),1),""))</f>
        <v/>
      </c>
      <c r="H622" s="108"/>
      <c r="I622" s="379"/>
    </row>
    <row r="623" spans="2:16" ht="15" customHeight="1" x14ac:dyDescent="0.2">
      <c r="B623" s="204"/>
      <c r="C623" s="395"/>
      <c r="D623" s="395"/>
      <c r="E623" s="308"/>
      <c r="F623" s="396"/>
      <c r="G623" s="354" t="str" cm="1">
        <f t="array" ref="G623">IF(D_CapitalGoods[[#This Row],[Material Cat. 2]]="","",_xlfn.XLOOKUP(D623,
_xlfn.TOCOL(_xlfn.HSTACK(Lists_S3.2_CapitalGoods[DE Name],Lists_S3.2_CapitalGoods[FR Name],Lists_S3.2_CapitalGoods[IT Name]),1),
_xlfn.TOCOL(_xlfn.HSTACK(Lists_S3.2_CapitalGoods[Functional Unit2],Lists_S3.2_CapitalGoods[Functional Unit2],Lists_S3.2_CapitalGoods[Functional Unit2]),1),""))</f>
        <v/>
      </c>
      <c r="H623" s="108"/>
      <c r="I623" s="379"/>
    </row>
    <row r="624" spans="2:16" ht="15" customHeight="1" x14ac:dyDescent="0.2">
      <c r="B624" s="204"/>
      <c r="C624" s="395"/>
      <c r="D624" s="395"/>
      <c r="E624" s="308"/>
      <c r="F624" s="396"/>
      <c r="G624" s="354" t="str" cm="1">
        <f t="array" ref="G624">IF(D_CapitalGoods[[#This Row],[Material Cat. 2]]="","",_xlfn.XLOOKUP(D624,
_xlfn.TOCOL(_xlfn.HSTACK(Lists_S3.2_CapitalGoods[DE Name],Lists_S3.2_CapitalGoods[FR Name],Lists_S3.2_CapitalGoods[IT Name]),1),
_xlfn.TOCOL(_xlfn.HSTACK(Lists_S3.2_CapitalGoods[Functional Unit2],Lists_S3.2_CapitalGoods[Functional Unit2],Lists_S3.2_CapitalGoods[Functional Unit2]),1),""))</f>
        <v/>
      </c>
      <c r="H624" s="108"/>
      <c r="I624" s="379"/>
    </row>
    <row r="625" spans="2:9" ht="15" customHeight="1" x14ac:dyDescent="0.2">
      <c r="B625" s="204"/>
      <c r="C625" s="395"/>
      <c r="D625" s="395"/>
      <c r="E625" s="308"/>
      <c r="F625" s="396"/>
      <c r="G625" s="354" t="str" cm="1">
        <f t="array" ref="G625">IF(D_CapitalGoods[[#This Row],[Material Cat. 2]]="","",_xlfn.XLOOKUP(D625,
_xlfn.TOCOL(_xlfn.HSTACK(Lists_S3.2_CapitalGoods[DE Name],Lists_S3.2_CapitalGoods[FR Name],Lists_S3.2_CapitalGoods[IT Name]),1),
_xlfn.TOCOL(_xlfn.HSTACK(Lists_S3.2_CapitalGoods[Functional Unit2],Lists_S3.2_CapitalGoods[Functional Unit2],Lists_S3.2_CapitalGoods[Functional Unit2]),1),""))</f>
        <v/>
      </c>
      <c r="H625" s="108"/>
      <c r="I625" s="379"/>
    </row>
    <row r="626" spans="2:9" ht="15" customHeight="1" x14ac:dyDescent="0.2">
      <c r="B626" s="204"/>
      <c r="C626" s="395"/>
      <c r="D626" s="395"/>
      <c r="E626" s="308"/>
      <c r="F626" s="396"/>
      <c r="G626" s="354" t="str" cm="1">
        <f t="array" ref="G626">IF(D_CapitalGoods[[#This Row],[Material Cat. 2]]="","",_xlfn.XLOOKUP(D626,
_xlfn.TOCOL(_xlfn.HSTACK(Lists_S3.2_CapitalGoods[DE Name],Lists_S3.2_CapitalGoods[FR Name],Lists_S3.2_CapitalGoods[IT Name]),1),
_xlfn.TOCOL(_xlfn.HSTACK(Lists_S3.2_CapitalGoods[Functional Unit2],Lists_S3.2_CapitalGoods[Functional Unit2],Lists_S3.2_CapitalGoods[Functional Unit2]),1),""))</f>
        <v/>
      </c>
      <c r="H626" s="108"/>
      <c r="I626" s="379"/>
    </row>
    <row r="627" spans="2:9" ht="15" customHeight="1" x14ac:dyDescent="0.2">
      <c r="B627" s="204"/>
      <c r="C627" s="395"/>
      <c r="D627" s="395"/>
      <c r="E627" s="308"/>
      <c r="F627" s="396"/>
      <c r="G627" s="354" t="str" cm="1">
        <f t="array" ref="G627">IF(D_CapitalGoods[[#This Row],[Material Cat. 2]]="","",_xlfn.XLOOKUP(D627,
_xlfn.TOCOL(_xlfn.HSTACK(Lists_S3.2_CapitalGoods[DE Name],Lists_S3.2_CapitalGoods[FR Name],Lists_S3.2_CapitalGoods[IT Name]),1),
_xlfn.TOCOL(_xlfn.HSTACK(Lists_S3.2_CapitalGoods[Functional Unit2],Lists_S3.2_CapitalGoods[Functional Unit2],Lists_S3.2_CapitalGoods[Functional Unit2]),1),""))</f>
        <v/>
      </c>
      <c r="H627" s="108"/>
      <c r="I627" s="379"/>
    </row>
    <row r="628" spans="2:9" ht="15" customHeight="1" x14ac:dyDescent="0.2">
      <c r="B628" s="204"/>
      <c r="C628" s="395"/>
      <c r="D628" s="395"/>
      <c r="E628" s="308"/>
      <c r="F628" s="396"/>
      <c r="G628" s="354" t="str" cm="1">
        <f t="array" ref="G628">IF(D_CapitalGoods[[#This Row],[Material Cat. 2]]="","",_xlfn.XLOOKUP(D628,
_xlfn.TOCOL(_xlfn.HSTACK(Lists_S3.2_CapitalGoods[DE Name],Lists_S3.2_CapitalGoods[FR Name],Lists_S3.2_CapitalGoods[IT Name]),1),
_xlfn.TOCOL(_xlfn.HSTACK(Lists_S3.2_CapitalGoods[Functional Unit2],Lists_S3.2_CapitalGoods[Functional Unit2],Lists_S3.2_CapitalGoods[Functional Unit2]),1),""))</f>
        <v/>
      </c>
      <c r="H628" s="108"/>
      <c r="I628" s="379"/>
    </row>
    <row r="629" spans="2:9" ht="15" customHeight="1" x14ac:dyDescent="0.2">
      <c r="B629" s="204"/>
      <c r="C629" s="395"/>
      <c r="D629" s="395"/>
      <c r="E629" s="308"/>
      <c r="F629" s="396"/>
      <c r="G629" s="354" t="str" cm="1">
        <f t="array" ref="G629">IF(D_CapitalGoods[[#This Row],[Material Cat. 2]]="","",_xlfn.XLOOKUP(D629,
_xlfn.TOCOL(_xlfn.HSTACK(Lists_S3.2_CapitalGoods[DE Name],Lists_S3.2_CapitalGoods[FR Name],Lists_S3.2_CapitalGoods[IT Name]),1),
_xlfn.TOCOL(_xlfn.HSTACK(Lists_S3.2_CapitalGoods[Functional Unit2],Lists_S3.2_CapitalGoods[Functional Unit2],Lists_S3.2_CapitalGoods[Functional Unit2]),1),""))</f>
        <v/>
      </c>
      <c r="H629" s="108"/>
      <c r="I629" s="379"/>
    </row>
    <row r="630" spans="2:9" ht="15" customHeight="1" x14ac:dyDescent="0.2">
      <c r="B630" s="204"/>
      <c r="C630" s="395"/>
      <c r="D630" s="395"/>
      <c r="E630" s="308"/>
      <c r="F630" s="396"/>
      <c r="G630" s="354" t="str" cm="1">
        <f t="array" ref="G630">IF(D_CapitalGoods[[#This Row],[Material Cat. 2]]="","",_xlfn.XLOOKUP(D630,
_xlfn.TOCOL(_xlfn.HSTACK(Lists_S3.2_CapitalGoods[DE Name],Lists_S3.2_CapitalGoods[FR Name],Lists_S3.2_CapitalGoods[IT Name]),1),
_xlfn.TOCOL(_xlfn.HSTACK(Lists_S3.2_CapitalGoods[Functional Unit2],Lists_S3.2_CapitalGoods[Functional Unit2],Lists_S3.2_CapitalGoods[Functional Unit2]),1),""))</f>
        <v/>
      </c>
      <c r="H630" s="108"/>
      <c r="I630" s="379"/>
    </row>
    <row r="631" spans="2:9" ht="15" customHeight="1" x14ac:dyDescent="0.2">
      <c r="B631" s="204"/>
      <c r="C631" s="395"/>
      <c r="D631" s="395"/>
      <c r="E631" s="308"/>
      <c r="F631" s="396"/>
      <c r="G631" s="354" t="str" cm="1">
        <f t="array" ref="G631">IF(D_CapitalGoods[[#This Row],[Material Cat. 2]]="","",_xlfn.XLOOKUP(D631,
_xlfn.TOCOL(_xlfn.HSTACK(Lists_S3.2_CapitalGoods[DE Name],Lists_S3.2_CapitalGoods[FR Name],Lists_S3.2_CapitalGoods[IT Name]),1),
_xlfn.TOCOL(_xlfn.HSTACK(Lists_S3.2_CapitalGoods[Functional Unit2],Lists_S3.2_CapitalGoods[Functional Unit2],Lists_S3.2_CapitalGoods[Functional Unit2]),1),""))</f>
        <v/>
      </c>
      <c r="H631" s="108"/>
      <c r="I631" s="379"/>
    </row>
    <row r="632" spans="2:9" ht="15" customHeight="1" x14ac:dyDescent="0.2">
      <c r="B632" s="204"/>
      <c r="C632" s="395"/>
      <c r="D632" s="395"/>
      <c r="E632" s="308"/>
      <c r="F632" s="396"/>
      <c r="G632" s="354" t="str" cm="1">
        <f t="array" ref="G632">IF(D_CapitalGoods[[#This Row],[Material Cat. 2]]="","",_xlfn.XLOOKUP(D632,
_xlfn.TOCOL(_xlfn.HSTACK(Lists_S3.2_CapitalGoods[DE Name],Lists_S3.2_CapitalGoods[FR Name],Lists_S3.2_CapitalGoods[IT Name]),1),
_xlfn.TOCOL(_xlfn.HSTACK(Lists_S3.2_CapitalGoods[Functional Unit2],Lists_S3.2_CapitalGoods[Functional Unit2],Lists_S3.2_CapitalGoods[Functional Unit2]),1),""))</f>
        <v/>
      </c>
      <c r="H632" s="108"/>
      <c r="I632" s="379"/>
    </row>
    <row r="633" spans="2:9" ht="15" customHeight="1" x14ac:dyDescent="0.2">
      <c r="B633" s="204"/>
      <c r="C633" s="395"/>
      <c r="D633" s="395"/>
      <c r="E633" s="308"/>
      <c r="F633" s="396"/>
      <c r="G633" s="354" t="str" cm="1">
        <f t="array" ref="G633">IF(D_CapitalGoods[[#This Row],[Material Cat. 2]]="","",_xlfn.XLOOKUP(D633,
_xlfn.TOCOL(_xlfn.HSTACK(Lists_S3.2_CapitalGoods[DE Name],Lists_S3.2_CapitalGoods[FR Name],Lists_S3.2_CapitalGoods[IT Name]),1),
_xlfn.TOCOL(_xlfn.HSTACK(Lists_S3.2_CapitalGoods[Functional Unit2],Lists_S3.2_CapitalGoods[Functional Unit2],Lists_S3.2_CapitalGoods[Functional Unit2]),1),""))</f>
        <v/>
      </c>
      <c r="H633" s="108"/>
      <c r="I633" s="379"/>
    </row>
    <row r="634" spans="2:9" ht="15" customHeight="1" x14ac:dyDescent="0.2">
      <c r="B634" s="204"/>
      <c r="C634" s="395"/>
      <c r="D634" s="395"/>
      <c r="E634" s="308"/>
      <c r="F634" s="396"/>
      <c r="G634" s="354" t="str" cm="1">
        <f t="array" ref="G634">IF(D_CapitalGoods[[#This Row],[Material Cat. 2]]="","",_xlfn.XLOOKUP(D634,
_xlfn.TOCOL(_xlfn.HSTACK(Lists_S3.2_CapitalGoods[DE Name],Lists_S3.2_CapitalGoods[FR Name],Lists_S3.2_CapitalGoods[IT Name]),1),
_xlfn.TOCOL(_xlfn.HSTACK(Lists_S3.2_CapitalGoods[Functional Unit2],Lists_S3.2_CapitalGoods[Functional Unit2],Lists_S3.2_CapitalGoods[Functional Unit2]),1),""))</f>
        <v/>
      </c>
      <c r="H634" s="108"/>
      <c r="I634" s="379"/>
    </row>
    <row r="635" spans="2:9" ht="15" customHeight="1" x14ac:dyDescent="0.2">
      <c r="B635" s="204"/>
      <c r="C635" s="395"/>
      <c r="D635" s="395"/>
      <c r="E635" s="308"/>
      <c r="F635" s="396"/>
      <c r="G635" s="354" t="str" cm="1">
        <f t="array" ref="G635">IF(D_CapitalGoods[[#This Row],[Material Cat. 2]]="","",_xlfn.XLOOKUP(D635,
_xlfn.TOCOL(_xlfn.HSTACK(Lists_S3.2_CapitalGoods[DE Name],Lists_S3.2_CapitalGoods[FR Name],Lists_S3.2_CapitalGoods[IT Name]),1),
_xlfn.TOCOL(_xlfn.HSTACK(Lists_S3.2_CapitalGoods[Functional Unit2],Lists_S3.2_CapitalGoods[Functional Unit2],Lists_S3.2_CapitalGoods[Functional Unit2]),1),""))</f>
        <v/>
      </c>
      <c r="H635" s="108"/>
      <c r="I635" s="379"/>
    </row>
    <row r="636" spans="2:9" ht="15" customHeight="1" x14ac:dyDescent="0.2">
      <c r="B636" s="204"/>
      <c r="C636" s="395"/>
      <c r="D636" s="395"/>
      <c r="E636" s="308"/>
      <c r="F636" s="396"/>
      <c r="G636" s="354" t="str" cm="1">
        <f t="array" ref="G636">IF(D_CapitalGoods[[#This Row],[Material Cat. 2]]="","",_xlfn.XLOOKUP(D636,
_xlfn.TOCOL(_xlfn.HSTACK(Lists_S3.2_CapitalGoods[DE Name],Lists_S3.2_CapitalGoods[FR Name],Lists_S3.2_CapitalGoods[IT Name]),1),
_xlfn.TOCOL(_xlfn.HSTACK(Lists_S3.2_CapitalGoods[Functional Unit2],Lists_S3.2_CapitalGoods[Functional Unit2],Lists_S3.2_CapitalGoods[Functional Unit2]),1),""))</f>
        <v/>
      </c>
      <c r="H636" s="108"/>
      <c r="I636" s="379"/>
    </row>
    <row r="637" spans="2:9" ht="15" customHeight="1" x14ac:dyDescent="0.2">
      <c r="B637" s="204"/>
      <c r="C637" s="395"/>
      <c r="D637" s="395"/>
      <c r="E637" s="308"/>
      <c r="F637" s="396"/>
      <c r="G637" s="354" t="str" cm="1">
        <f t="array" ref="G637">IF(D_CapitalGoods[[#This Row],[Material Cat. 2]]="","",_xlfn.XLOOKUP(D637,
_xlfn.TOCOL(_xlfn.HSTACK(Lists_S3.2_CapitalGoods[DE Name],Lists_S3.2_CapitalGoods[FR Name],Lists_S3.2_CapitalGoods[IT Name]),1),
_xlfn.TOCOL(_xlfn.HSTACK(Lists_S3.2_CapitalGoods[Functional Unit2],Lists_S3.2_CapitalGoods[Functional Unit2],Lists_S3.2_CapitalGoods[Functional Unit2]),1),""))</f>
        <v/>
      </c>
      <c r="H637" s="108"/>
      <c r="I637" s="379"/>
    </row>
    <row r="638" spans="2:9" ht="15" customHeight="1" x14ac:dyDescent="0.2">
      <c r="B638" s="204"/>
      <c r="C638" s="395"/>
      <c r="D638" s="395"/>
      <c r="E638" s="308"/>
      <c r="F638" s="396"/>
      <c r="G638" s="354" t="str" cm="1">
        <f t="array" ref="G638">IF(D_CapitalGoods[[#This Row],[Material Cat. 2]]="","",_xlfn.XLOOKUP(D638,
_xlfn.TOCOL(_xlfn.HSTACK(Lists_S3.2_CapitalGoods[DE Name],Lists_S3.2_CapitalGoods[FR Name],Lists_S3.2_CapitalGoods[IT Name]),1),
_xlfn.TOCOL(_xlfn.HSTACK(Lists_S3.2_CapitalGoods[Functional Unit2],Lists_S3.2_CapitalGoods[Functional Unit2],Lists_S3.2_CapitalGoods[Functional Unit2]),1),""))</f>
        <v/>
      </c>
      <c r="H638" s="108"/>
      <c r="I638" s="379"/>
    </row>
    <row r="639" spans="2:9" ht="15" customHeight="1" x14ac:dyDescent="0.2">
      <c r="B639" s="204"/>
      <c r="C639" s="395"/>
      <c r="D639" s="395"/>
      <c r="E639" s="308"/>
      <c r="F639" s="396"/>
      <c r="G639" s="354" t="str" cm="1">
        <f t="array" ref="G639">IF(D_CapitalGoods[[#This Row],[Material Cat. 2]]="","",_xlfn.XLOOKUP(D639,
_xlfn.TOCOL(_xlfn.HSTACK(Lists_S3.2_CapitalGoods[DE Name],Lists_S3.2_CapitalGoods[FR Name],Lists_S3.2_CapitalGoods[IT Name]),1),
_xlfn.TOCOL(_xlfn.HSTACK(Lists_S3.2_CapitalGoods[Functional Unit2],Lists_S3.2_CapitalGoods[Functional Unit2],Lists_S3.2_CapitalGoods[Functional Unit2]),1),""))</f>
        <v/>
      </c>
      <c r="H639" s="108"/>
      <c r="I639" s="379"/>
    </row>
    <row r="640" spans="2:9" ht="15" customHeight="1" x14ac:dyDescent="0.2">
      <c r="B640" s="204"/>
      <c r="C640" s="395"/>
      <c r="D640" s="395"/>
      <c r="E640" s="308"/>
      <c r="F640" s="396"/>
      <c r="G640" s="354" t="str" cm="1">
        <f t="array" ref="G640">IF(D_CapitalGoods[[#This Row],[Material Cat. 2]]="","",_xlfn.XLOOKUP(D640,
_xlfn.TOCOL(_xlfn.HSTACK(Lists_S3.2_CapitalGoods[DE Name],Lists_S3.2_CapitalGoods[FR Name],Lists_S3.2_CapitalGoods[IT Name]),1),
_xlfn.TOCOL(_xlfn.HSTACK(Lists_S3.2_CapitalGoods[Functional Unit2],Lists_S3.2_CapitalGoods[Functional Unit2],Lists_S3.2_CapitalGoods[Functional Unit2]),1),""))</f>
        <v/>
      </c>
      <c r="H640" s="108"/>
      <c r="I640" s="379"/>
    </row>
    <row r="641" spans="1:16" ht="15" customHeight="1" x14ac:dyDescent="0.2">
      <c r="B641" s="204"/>
      <c r="C641" s="397"/>
      <c r="D641" s="397"/>
      <c r="E641" s="308"/>
      <c r="F641" s="398"/>
      <c r="G641" s="354" t="str" cm="1">
        <f t="array" ref="G641">IF(D_CapitalGoods[[#This Row],[Material Cat. 2]]="","",_xlfn.XLOOKUP(D641,
_xlfn.TOCOL(_xlfn.HSTACK(Lists_S3.2_CapitalGoods[DE Name],Lists_S3.2_CapitalGoods[FR Name],Lists_S3.2_CapitalGoods[IT Name]),1),
_xlfn.TOCOL(_xlfn.HSTACK(Lists_S3.2_CapitalGoods[Functional Unit2],Lists_S3.2_CapitalGoods[Functional Unit2],Lists_S3.2_CapitalGoods[Functional Unit2]),1),""))</f>
        <v/>
      </c>
      <c r="H641" s="108"/>
      <c r="I641" s="379"/>
    </row>
    <row r="642" spans="1:16" ht="7.15" customHeight="1" x14ac:dyDescent="0.2">
      <c r="B642" s="204"/>
      <c r="C642" s="211"/>
      <c r="D642" s="211"/>
      <c r="E642" s="211"/>
      <c r="F642" s="212"/>
      <c r="G642" s="355"/>
      <c r="H642" s="108"/>
      <c r="I642" s="379"/>
    </row>
    <row r="643" spans="1:16" ht="15" customHeight="1" x14ac:dyDescent="0.2">
      <c r="B643" s="171"/>
      <c r="C643" s="234"/>
      <c r="D643" s="172"/>
      <c r="E643" s="172"/>
      <c r="F643" s="172"/>
      <c r="G643" s="172"/>
      <c r="H643" s="120"/>
      <c r="I643" s="379"/>
    </row>
    <row r="644" spans="1:16" x14ac:dyDescent="0.2">
      <c r="I644" s="379"/>
    </row>
    <row r="645" spans="1:16" x14ac:dyDescent="0.2">
      <c r="I645" s="379"/>
    </row>
    <row r="646" spans="1:16" s="98" customFormat="1" ht="30" customHeight="1" x14ac:dyDescent="0.2">
      <c r="A646" s="198"/>
      <c r="B646" s="199" t="str">
        <f>n2Data_10Transport</f>
        <v>8 Transport</v>
      </c>
      <c r="I646" s="383"/>
      <c r="J646" s="181" t="s">
        <v>2436</v>
      </c>
      <c r="K646" s="186"/>
    </row>
    <row r="647" spans="1:16" x14ac:dyDescent="0.2">
      <c r="B647" s="200"/>
      <c r="C647" s="129"/>
      <c r="D647" s="129"/>
      <c r="E647" s="129"/>
      <c r="F647" s="129"/>
      <c r="G647" s="129"/>
      <c r="H647" s="215" t="str">
        <f>n2Data_10Transport</f>
        <v>8 Transport</v>
      </c>
      <c r="I647" s="388" t="str">
        <f>IF(OR(GenInp_B1_Scope3="no",GenInp_D2_S3.6="no"),"hide","display")</f>
        <v>display</v>
      </c>
      <c r="O647" s="216"/>
      <c r="P647" s="216"/>
    </row>
    <row r="648" spans="1:16" ht="10.15" customHeight="1" x14ac:dyDescent="0.2">
      <c r="B648" s="204"/>
      <c r="C648" s="10"/>
      <c r="D648" s="10"/>
      <c r="E648" s="10"/>
      <c r="F648" s="10"/>
      <c r="G648" s="10"/>
      <c r="H648" s="217"/>
      <c r="I648" s="388"/>
      <c r="O648" s="216"/>
      <c r="P648" s="216"/>
    </row>
    <row r="649" spans="1:16" ht="15" x14ac:dyDescent="0.25">
      <c r="B649" s="204"/>
      <c r="C649" s="24" t="str">
        <f>n2Data_10Transport_1Bussinesstrip</f>
        <v>Voyages d’affaires</v>
      </c>
      <c r="D649" s="10"/>
      <c r="E649" s="10"/>
      <c r="F649" s="10"/>
      <c r="G649" s="10"/>
      <c r="H649" s="108"/>
      <c r="I649" s="379"/>
      <c r="J649" s="181" t="s">
        <v>2439</v>
      </c>
    </row>
    <row r="650" spans="1:16" ht="30" customHeight="1" x14ac:dyDescent="0.2">
      <c r="B650" s="204"/>
      <c r="C650" s="700" t="str">
        <f>n2Data_10Transport_1Bussinesstrip_Text1</f>
        <v>Indiquez tous les déplacements d’affaires des employés utilisant un moyen de transport qui ne'appartient pas à votre entreprise.
Cela inclut, par exemple, les véhicules privés des employés, les véhicules loués à court-terme et les transports en commun.</v>
      </c>
      <c r="D650" s="700"/>
      <c r="E650" s="700"/>
      <c r="F650" s="700"/>
      <c r="G650" s="10"/>
      <c r="H650" s="108"/>
      <c r="I650" s="379"/>
      <c r="J650" s="181" t="s">
        <v>2443</v>
      </c>
    </row>
    <row r="651" spans="1:16" ht="10.15" customHeight="1" x14ac:dyDescent="0.2">
      <c r="B651" s="204"/>
      <c r="C651" s="16"/>
      <c r="D651" s="16"/>
      <c r="E651" s="16"/>
      <c r="F651" s="16"/>
      <c r="G651" s="10"/>
      <c r="H651" s="108"/>
      <c r="I651" s="379"/>
    </row>
    <row r="652" spans="1:16" ht="15" customHeight="1" x14ac:dyDescent="0.2">
      <c r="B652" s="204"/>
      <c r="C652" s="700" t="str">
        <f>n2Data_10Transport_1Bussinesstrip_Text1.1</f>
        <v>Sous « Saisie », indiquez les distances parcourues par moyen de transport en kilomètres passagers (pkm) ou kilomètres véhicules (vkm).</v>
      </c>
      <c r="D652" s="700"/>
      <c r="E652" s="700"/>
      <c r="F652" s="700"/>
      <c r="G652" s="10"/>
      <c r="H652" s="108"/>
      <c r="I652" s="379"/>
      <c r="J652" s="95" t="s">
        <v>27162</v>
      </c>
    </row>
    <row r="653" spans="1:16" ht="10.15" customHeight="1" x14ac:dyDescent="0.2">
      <c r="B653" s="204"/>
      <c r="C653" s="16"/>
      <c r="D653" s="16"/>
      <c r="E653" s="16"/>
      <c r="F653" s="16"/>
      <c r="G653" s="10"/>
      <c r="H653" s="108"/>
      <c r="I653" s="379"/>
    </row>
    <row r="654" spans="1:16" ht="15" customHeight="1" x14ac:dyDescent="0.2">
      <c r="B654" s="204"/>
      <c r="C654" s="218" t="str">
        <f>n2Data_0General_Text1 &amp; I654</f>
        <v>Pour plus d’informations, voir le User Manual, chapitre 4.8</v>
      </c>
      <c r="D654" s="218"/>
      <c r="E654" s="218"/>
      <c r="F654" s="218"/>
      <c r="G654" s="10"/>
      <c r="H654" s="108"/>
      <c r="I654" s="379" t="str">
        <f>" 4.8"</f>
        <v xml:space="preserve"> 4.8</v>
      </c>
      <c r="J654" s="95" t="s">
        <v>2203</v>
      </c>
    </row>
    <row r="655" spans="1:16" ht="10.15" customHeight="1" x14ac:dyDescent="0.2">
      <c r="B655" s="204"/>
      <c r="C655" s="16"/>
      <c r="D655" s="16"/>
      <c r="E655" s="16"/>
      <c r="F655" s="16"/>
      <c r="G655" s="10"/>
      <c r="H655" s="108"/>
      <c r="I655" s="379"/>
      <c r="J655" s="95"/>
    </row>
    <row r="656" spans="1:16" ht="21.75" customHeight="1" x14ac:dyDescent="0.2">
      <c r="B656" s="204"/>
      <c r="C656" s="728" t="str">
        <f>n2Data_0General_Text2</f>
        <v>Cochez la case une fois le tableau terminé.</v>
      </c>
      <c r="D656" s="728"/>
      <c r="E656" s="728"/>
      <c r="F656" s="728"/>
      <c r="G656" s="10"/>
      <c r="H656" s="108"/>
      <c r="I656" s="386" t="b">
        <v>0</v>
      </c>
      <c r="J656" s="95" t="s">
        <v>2204</v>
      </c>
    </row>
    <row r="657" spans="1:16" ht="10.15" customHeight="1" x14ac:dyDescent="0.2">
      <c r="B657" s="204"/>
      <c r="C657" s="10"/>
      <c r="D657" s="10"/>
      <c r="E657" s="10"/>
      <c r="F657" s="10"/>
      <c r="G657" s="10"/>
      <c r="H657" s="108"/>
      <c r="I657" s="387">
        <f>IF(OR(I647="hide",I656=TRUE),100%,0%)</f>
        <v>0</v>
      </c>
      <c r="J657" s="95"/>
    </row>
    <row r="658" spans="1:16" ht="15" customHeight="1" x14ac:dyDescent="0.2">
      <c r="B658" s="204"/>
      <c r="C658" s="218" t="str">
        <f>n2Data_0General_Text3</f>
        <v>Notes :</v>
      </c>
      <c r="D658" s="21"/>
      <c r="E658" s="21"/>
      <c r="F658" s="21"/>
      <c r="G658" s="10"/>
      <c r="H658" s="108"/>
      <c r="I658" s="379"/>
      <c r="J658" s="95" t="s">
        <v>2207</v>
      </c>
    </row>
    <row r="659" spans="1:16" x14ac:dyDescent="0.2">
      <c r="B659" s="204"/>
      <c r="C659" s="729"/>
      <c r="D659" s="730"/>
      <c r="E659" s="730"/>
      <c r="F659" s="731"/>
      <c r="G659" s="10"/>
      <c r="H659" s="108"/>
      <c r="I659" s="379"/>
      <c r="O659" s="208"/>
      <c r="P659" s="208"/>
    </row>
    <row r="660" spans="1:16" x14ac:dyDescent="0.2">
      <c r="B660" s="204"/>
      <c r="C660" s="732"/>
      <c r="D660" s="733"/>
      <c r="E660" s="733"/>
      <c r="F660" s="734"/>
      <c r="G660" s="10"/>
      <c r="H660" s="108"/>
      <c r="I660" s="379"/>
      <c r="O660" s="209"/>
      <c r="P660" s="209"/>
    </row>
    <row r="661" spans="1:16" ht="15" customHeight="1" x14ac:dyDescent="0.2">
      <c r="B661" s="204"/>
      <c r="C661" s="224"/>
      <c r="D661" s="10"/>
      <c r="E661" s="10"/>
      <c r="F661" s="10"/>
      <c r="G661" s="10"/>
      <c r="H661" s="108"/>
      <c r="I661" s="379"/>
    </row>
    <row r="662" spans="1:16" ht="15" customHeight="1" x14ac:dyDescent="0.25">
      <c r="B662" s="204"/>
      <c r="C662" s="210" t="str">
        <f>n2Data_10Transport_1Bussinesstrip_Text2</f>
        <v>Transport</v>
      </c>
      <c r="D662" s="210" t="str">
        <f>n2Data_0General_Text5_Unit</f>
        <v>Unité</v>
      </c>
      <c r="E662" s="210"/>
      <c r="F662" s="210" t="str">
        <f>n2Data_0General_Text4_Input</f>
        <v>Saisie</v>
      </c>
      <c r="G662" s="10"/>
      <c r="H662" s="108"/>
      <c r="I662" s="379"/>
      <c r="J662" s="181" t="s">
        <v>2444</v>
      </c>
      <c r="K662" s="95" t="s">
        <v>2214</v>
      </c>
      <c r="L662" s="186" t="s">
        <v>2211</v>
      </c>
    </row>
    <row r="663" spans="1:16" ht="15" hidden="1" customHeight="1" x14ac:dyDescent="0.25">
      <c r="B663" s="204"/>
      <c r="C663" s="210" t="s">
        <v>27169</v>
      </c>
      <c r="D663" s="210" t="s">
        <v>276</v>
      </c>
      <c r="E663" s="213" t="s">
        <v>27135</v>
      </c>
      <c r="F663" s="210" t="s">
        <v>27170</v>
      </c>
      <c r="G663" s="10"/>
      <c r="H663" s="108"/>
      <c r="I663" s="379"/>
      <c r="J663" s="181"/>
      <c r="K663" s="95"/>
    </row>
    <row r="664" spans="1:16" s="186" customFormat="1" ht="15" customHeight="1" x14ac:dyDescent="0.2">
      <c r="A664" s="95"/>
      <c r="B664" s="204"/>
      <c r="C664" s="308" t="str">
        <f>n2Data_10Transport_1Bussinesstrip_Text3</f>
        <v>Vols court-courriers en classe économique</v>
      </c>
      <c r="D664" s="308" t="s">
        <v>17280</v>
      </c>
      <c r="E664" s="308"/>
      <c r="F664" s="394"/>
      <c r="G664" s="10"/>
      <c r="H664" s="108"/>
      <c r="I664" s="379"/>
      <c r="J664" s="181" t="s">
        <v>2446</v>
      </c>
      <c r="L664" s="92"/>
      <c r="M664" s="92"/>
      <c r="N664" s="92"/>
      <c r="O664" s="92"/>
      <c r="P664" s="92"/>
    </row>
    <row r="665" spans="1:16" s="186" customFormat="1" ht="15" customHeight="1" x14ac:dyDescent="0.2">
      <c r="A665" s="95"/>
      <c r="B665" s="204"/>
      <c r="C665" s="308" t="str">
        <f>n2Data_10Transport_1Bussinesstrip_Text4</f>
        <v>Vols court-courriers en classe affaires</v>
      </c>
      <c r="D665" s="308" t="s">
        <v>17280</v>
      </c>
      <c r="E665" s="308"/>
      <c r="F665" s="396"/>
      <c r="G665" s="10"/>
      <c r="H665" s="108"/>
      <c r="I665" s="379"/>
      <c r="J665" s="181" t="s">
        <v>2447</v>
      </c>
      <c r="L665" s="92"/>
      <c r="M665" s="92"/>
      <c r="N665" s="92"/>
      <c r="O665" s="92"/>
      <c r="P665" s="92"/>
    </row>
    <row r="666" spans="1:16" s="186" customFormat="1" ht="15" customHeight="1" x14ac:dyDescent="0.2">
      <c r="A666" s="95"/>
      <c r="B666" s="204"/>
      <c r="C666" s="308" t="str">
        <f>n2Data_10Transport_1Bussinesstrip_Text4.1</f>
        <v>Vols moyen-courriers en classe économique</v>
      </c>
      <c r="D666" s="308" t="s">
        <v>17280</v>
      </c>
      <c r="E666" s="308"/>
      <c r="F666" s="396"/>
      <c r="G666" s="10"/>
      <c r="H666" s="108"/>
      <c r="I666" s="379"/>
      <c r="J666" s="181" t="s">
        <v>28237</v>
      </c>
      <c r="L666" s="92"/>
      <c r="M666" s="92"/>
      <c r="N666" s="92"/>
      <c r="O666" s="92"/>
      <c r="P666" s="92"/>
    </row>
    <row r="667" spans="1:16" s="186" customFormat="1" ht="15" customHeight="1" x14ac:dyDescent="0.2">
      <c r="A667" s="95"/>
      <c r="B667" s="204"/>
      <c r="C667" s="308" t="str">
        <f>n2Data_10Transport_1Bussinesstrip_Text4.2</f>
        <v>Vols moyen-courriers en classe affaires</v>
      </c>
      <c r="D667" s="308" t="s">
        <v>17280</v>
      </c>
      <c r="E667" s="308"/>
      <c r="F667" s="396"/>
      <c r="G667" s="10"/>
      <c r="H667" s="108"/>
      <c r="I667" s="379"/>
      <c r="J667" s="181" t="s">
        <v>28238</v>
      </c>
      <c r="L667" s="92"/>
      <c r="M667" s="92"/>
      <c r="N667" s="92"/>
      <c r="O667" s="92"/>
      <c r="P667" s="92"/>
    </row>
    <row r="668" spans="1:16" s="186" customFormat="1" ht="15" customHeight="1" x14ac:dyDescent="0.2">
      <c r="A668" s="95"/>
      <c r="B668" s="204"/>
      <c r="C668" s="308" t="str">
        <f>n2Data_10Transport_1Bussinesstrip_Text4.3</f>
        <v>Vols long-courriers en classe économique</v>
      </c>
      <c r="D668" s="308" t="s">
        <v>17280</v>
      </c>
      <c r="E668" s="308"/>
      <c r="F668" s="396"/>
      <c r="G668" s="10"/>
      <c r="H668" s="108"/>
      <c r="I668" s="379"/>
      <c r="J668" s="181" t="s">
        <v>28239</v>
      </c>
      <c r="L668" s="92"/>
      <c r="M668" s="92"/>
      <c r="N668" s="92"/>
      <c r="O668" s="92"/>
      <c r="P668" s="92"/>
    </row>
    <row r="669" spans="1:16" s="186" customFormat="1" ht="15" customHeight="1" x14ac:dyDescent="0.2">
      <c r="A669" s="95"/>
      <c r="B669" s="204"/>
      <c r="C669" s="308" t="str">
        <f>n2Data_10Transport_1Bussinesstrip_Text4.4</f>
        <v>Vols long-courriers en classe affaires</v>
      </c>
      <c r="D669" s="308" t="s">
        <v>17280</v>
      </c>
      <c r="E669" s="308"/>
      <c r="F669" s="396"/>
      <c r="G669" s="10"/>
      <c r="H669" s="108"/>
      <c r="I669" s="379"/>
      <c r="J669" s="181" t="s">
        <v>28240</v>
      </c>
      <c r="L669" s="92"/>
      <c r="M669" s="92"/>
      <c r="N669" s="92"/>
      <c r="O669" s="92"/>
      <c r="P669" s="92"/>
    </row>
    <row r="670" spans="1:16" s="186" customFormat="1" ht="15" customHeight="1" x14ac:dyDescent="0.2">
      <c r="A670" s="95"/>
      <c r="B670" s="204"/>
      <c r="C670" s="308" t="str">
        <f>n2Data_10Transport_1Bussinesstrip_Text5</f>
        <v>Train</v>
      </c>
      <c r="D670" s="308" t="s">
        <v>17280</v>
      </c>
      <c r="E670" s="308"/>
      <c r="F670" s="396"/>
      <c r="G670" s="10"/>
      <c r="H670" s="108"/>
      <c r="I670" s="379"/>
      <c r="J670" s="181" t="s">
        <v>2448</v>
      </c>
      <c r="L670" s="92"/>
      <c r="M670" s="92"/>
      <c r="N670" s="92"/>
      <c r="O670" s="92"/>
      <c r="P670" s="92"/>
    </row>
    <row r="671" spans="1:16" s="186" customFormat="1" ht="15" customHeight="1" x14ac:dyDescent="0.2">
      <c r="A671" s="95"/>
      <c r="B671" s="204"/>
      <c r="C671" s="308" t="str">
        <f>n2Data_10Transport_1Bussinesstrip_Text6</f>
        <v>Bus</v>
      </c>
      <c r="D671" s="308" t="s">
        <v>17280</v>
      </c>
      <c r="E671" s="308"/>
      <c r="F671" s="396"/>
      <c r="G671" s="10"/>
      <c r="H671" s="108"/>
      <c r="I671" s="379"/>
      <c r="J671" s="181" t="s">
        <v>2452</v>
      </c>
      <c r="L671" s="92"/>
      <c r="M671" s="92"/>
      <c r="N671" s="92"/>
      <c r="O671" s="92"/>
      <c r="P671" s="92"/>
    </row>
    <row r="672" spans="1:16" s="186" customFormat="1" ht="15" customHeight="1" x14ac:dyDescent="0.2">
      <c r="A672" s="95"/>
      <c r="B672" s="204"/>
      <c r="C672" s="308" t="str">
        <f>n2Data_10Transport_1Bussinesstrip_Text7</f>
        <v>Voiture particulière</v>
      </c>
      <c r="D672" s="308" t="s">
        <v>392</v>
      </c>
      <c r="E672" s="308"/>
      <c r="F672" s="398"/>
      <c r="G672" s="10"/>
      <c r="H672" s="108"/>
      <c r="I672" s="379"/>
      <c r="J672" s="181" t="s">
        <v>2455</v>
      </c>
      <c r="L672" s="92"/>
      <c r="M672" s="92"/>
      <c r="N672" s="92"/>
      <c r="O672" s="92"/>
      <c r="P672" s="92"/>
    </row>
    <row r="673" spans="1:16" s="186" customFormat="1" ht="7.15" customHeight="1" x14ac:dyDescent="0.2">
      <c r="A673" s="95"/>
      <c r="B673" s="204"/>
      <c r="C673" s="225"/>
      <c r="D673" s="225"/>
      <c r="E673" s="225"/>
      <c r="F673" s="226"/>
      <c r="G673" s="10"/>
      <c r="H673" s="108"/>
      <c r="I673" s="379"/>
      <c r="J673" s="92"/>
      <c r="L673" s="92"/>
      <c r="M673" s="92"/>
      <c r="N673" s="92"/>
      <c r="O673" s="92"/>
      <c r="P673" s="92"/>
    </row>
    <row r="674" spans="1:16" s="186" customFormat="1" ht="15" customHeight="1" x14ac:dyDescent="0.2">
      <c r="A674" s="95"/>
      <c r="B674" s="171"/>
      <c r="C674" s="172"/>
      <c r="D674" s="172"/>
      <c r="E674" s="172"/>
      <c r="F674" s="172"/>
      <c r="G674" s="172"/>
      <c r="H674" s="120"/>
      <c r="I674" s="379"/>
      <c r="J674" s="92"/>
      <c r="L674" s="92"/>
      <c r="M674" s="92"/>
      <c r="N674" s="92"/>
      <c r="O674" s="92"/>
      <c r="P674" s="92"/>
    </row>
    <row r="675" spans="1:16" x14ac:dyDescent="0.2">
      <c r="I675" s="379"/>
    </row>
    <row r="676" spans="1:16" s="186" customFormat="1" ht="15" customHeight="1" x14ac:dyDescent="0.2">
      <c r="A676" s="95"/>
      <c r="B676" s="200"/>
      <c r="C676" s="129"/>
      <c r="D676" s="129"/>
      <c r="E676" s="129"/>
      <c r="F676" s="129"/>
      <c r="G676" s="129"/>
      <c r="H676" s="215" t="str">
        <f>n2Data_10Transport</f>
        <v>8 Transport</v>
      </c>
      <c r="I676" s="388" t="str">
        <f>IF('1 General Inputs '!K46="no","hide","display")</f>
        <v>display</v>
      </c>
      <c r="J676" s="92"/>
      <c r="L676" s="92"/>
      <c r="M676" s="92"/>
      <c r="N676" s="92"/>
      <c r="O676" s="92"/>
      <c r="P676" s="92"/>
    </row>
    <row r="677" spans="1:16" s="186" customFormat="1" ht="10.15" customHeight="1" x14ac:dyDescent="0.2">
      <c r="A677" s="95"/>
      <c r="B677" s="204"/>
      <c r="C677" s="10"/>
      <c r="D677" s="10"/>
      <c r="E677" s="10"/>
      <c r="F677" s="10"/>
      <c r="G677" s="10"/>
      <c r="H677" s="217"/>
      <c r="I677" s="388"/>
      <c r="J677" s="92"/>
      <c r="L677" s="92"/>
      <c r="M677" s="92"/>
      <c r="N677" s="92"/>
      <c r="O677" s="92"/>
      <c r="P677" s="92"/>
    </row>
    <row r="678" spans="1:16" s="186" customFormat="1" ht="15" x14ac:dyDescent="0.25">
      <c r="A678" s="95"/>
      <c r="B678" s="204"/>
      <c r="C678" s="24" t="str">
        <f>n2Data_10Transport_2Commuting</f>
        <v>Trajets pendulaires</v>
      </c>
      <c r="D678" s="10"/>
      <c r="E678" s="10"/>
      <c r="F678" s="10"/>
      <c r="G678" s="10"/>
      <c r="H678" s="108"/>
      <c r="I678" s="379"/>
      <c r="J678" s="181" t="s">
        <v>2457</v>
      </c>
      <c r="L678" s="92"/>
      <c r="M678" s="92"/>
      <c r="N678" s="92"/>
      <c r="O678" s="92"/>
      <c r="P678" s="92"/>
    </row>
    <row r="679" spans="1:16" s="186" customFormat="1" ht="15" customHeight="1" x14ac:dyDescent="0.2">
      <c r="A679" s="95"/>
      <c r="B679" s="204"/>
      <c r="C679" s="700" t="str">
        <f>n2Data_10Transport_2Commuting_Text1</f>
        <v>Indiquez les trajets pendulaires des employés entre leur domicile et leur travail.</v>
      </c>
      <c r="D679" s="700"/>
      <c r="E679" s="700"/>
      <c r="F679" s="700"/>
      <c r="G679" s="10"/>
      <c r="H679" s="108"/>
      <c r="I679" s="379"/>
      <c r="J679" s="181" t="s">
        <v>2459</v>
      </c>
      <c r="L679" s="92"/>
      <c r="M679" s="92"/>
      <c r="N679" s="92"/>
      <c r="O679" s="216"/>
      <c r="P679" s="216"/>
    </row>
    <row r="680" spans="1:16" s="186" customFormat="1" ht="10.15" customHeight="1" x14ac:dyDescent="0.2">
      <c r="A680" s="95"/>
      <c r="B680" s="204"/>
      <c r="C680" s="16"/>
      <c r="D680" s="16"/>
      <c r="E680" s="16"/>
      <c r="F680" s="16"/>
      <c r="G680" s="16"/>
      <c r="H680" s="108"/>
      <c r="I680" s="379"/>
      <c r="J680" s="92"/>
      <c r="L680" s="92"/>
      <c r="M680" s="92"/>
      <c r="N680" s="92"/>
      <c r="O680" s="216"/>
      <c r="P680" s="216"/>
    </row>
    <row r="681" spans="1:16" s="186" customFormat="1" ht="45" customHeight="1" x14ac:dyDescent="0.2">
      <c r="A681" s="95"/>
      <c r="B681" s="204"/>
      <c r="C681" s="700" t="str">
        <f>n2Data_10Transport_2Commuting_Text2</f>
        <v>Saisie simplifiée : Indiquez le nombre d’employés en équivalents temps plein (FTE). Des moyennes suisses sont utilisées.
Saisie plus précise : Indiquez le nombre de passagers-kilomètres parcourus (pkm) par mode de transport (cumulé sur l’année du bilan).</v>
      </c>
      <c r="D681" s="700"/>
      <c r="E681" s="700"/>
      <c r="F681" s="700"/>
      <c r="G681" s="10"/>
      <c r="H681" s="108"/>
      <c r="I681" s="379"/>
      <c r="J681" s="181" t="s">
        <v>2460</v>
      </c>
      <c r="L681" s="92"/>
      <c r="M681" s="92"/>
      <c r="N681" s="92"/>
      <c r="O681" s="92"/>
      <c r="P681" s="92"/>
    </row>
    <row r="682" spans="1:16" s="186" customFormat="1" ht="10.15" customHeight="1" x14ac:dyDescent="0.2">
      <c r="A682" s="95"/>
      <c r="B682" s="204"/>
      <c r="C682" s="16"/>
      <c r="D682" s="16"/>
      <c r="E682" s="16"/>
      <c r="F682" s="16"/>
      <c r="G682" s="16"/>
      <c r="H682" s="108"/>
      <c r="I682" s="379"/>
      <c r="J682" s="92"/>
      <c r="L682" s="92"/>
      <c r="M682" s="92"/>
      <c r="N682" s="92"/>
      <c r="O682" s="92"/>
      <c r="P682" s="92"/>
    </row>
    <row r="683" spans="1:16" s="186" customFormat="1" ht="15" customHeight="1" x14ac:dyDescent="0.2">
      <c r="A683" s="95"/>
      <c r="B683" s="204"/>
      <c r="C683" s="207" t="str">
        <f>n2Data_0General_Text1 &amp; I683</f>
        <v>Pour plus d’informations, voir le User Manual, chapitre 4.8</v>
      </c>
      <c r="D683" s="16"/>
      <c r="E683" s="16"/>
      <c r="F683" s="16"/>
      <c r="G683" s="16"/>
      <c r="H683" s="108"/>
      <c r="I683" s="379" t="str">
        <f>" 4.8"</f>
        <v xml:space="preserve"> 4.8</v>
      </c>
      <c r="J683" s="95" t="s">
        <v>2203</v>
      </c>
      <c r="L683" s="92"/>
      <c r="M683" s="92"/>
      <c r="N683" s="92"/>
      <c r="O683" s="92"/>
      <c r="P683" s="92"/>
    </row>
    <row r="684" spans="1:16" ht="10.15" customHeight="1" x14ac:dyDescent="0.2">
      <c r="B684" s="204"/>
      <c r="C684" s="16"/>
      <c r="D684" s="16"/>
      <c r="E684" s="16"/>
      <c r="F684" s="16"/>
      <c r="G684" s="16"/>
      <c r="H684" s="108"/>
      <c r="I684" s="379"/>
      <c r="J684" s="95"/>
    </row>
    <row r="685" spans="1:16" ht="21.75" customHeight="1" x14ac:dyDescent="0.2">
      <c r="B685" s="204"/>
      <c r="C685" s="728" t="str">
        <f>n2Data_0General_Text2</f>
        <v>Cochez la case une fois le tableau terminé.</v>
      </c>
      <c r="D685" s="728"/>
      <c r="E685" s="728"/>
      <c r="F685" s="728"/>
      <c r="G685" s="16"/>
      <c r="H685" s="108"/>
      <c r="I685" s="386" t="b">
        <v>0</v>
      </c>
      <c r="J685" s="95" t="s">
        <v>2204</v>
      </c>
    </row>
    <row r="686" spans="1:16" ht="15" customHeight="1" x14ac:dyDescent="0.2">
      <c r="B686" s="204"/>
      <c r="C686" s="10"/>
      <c r="D686" s="10"/>
      <c r="E686" s="10"/>
      <c r="F686" s="10"/>
      <c r="G686" s="16"/>
      <c r="H686" s="108"/>
      <c r="I686" s="387">
        <f>IF(OR(I676="hide",I685=TRUE),100%,0%)</f>
        <v>0</v>
      </c>
      <c r="J686" s="95"/>
    </row>
    <row r="687" spans="1:16" ht="15" customHeight="1" x14ac:dyDescent="0.2">
      <c r="B687" s="204"/>
      <c r="C687" s="207" t="str">
        <f>n2Data_0General_Text3</f>
        <v>Notes :</v>
      </c>
      <c r="D687" s="21"/>
      <c r="E687" s="21"/>
      <c r="F687" s="21"/>
      <c r="G687" s="16"/>
      <c r="H687" s="108"/>
      <c r="I687" s="379"/>
      <c r="J687" s="95" t="s">
        <v>2207</v>
      </c>
    </row>
    <row r="688" spans="1:16" x14ac:dyDescent="0.2">
      <c r="B688" s="204"/>
      <c r="C688" s="729"/>
      <c r="D688" s="730"/>
      <c r="E688" s="730"/>
      <c r="F688" s="731"/>
      <c r="G688" s="21"/>
      <c r="H688" s="108"/>
      <c r="I688" s="379"/>
      <c r="O688" s="208"/>
      <c r="P688" s="208"/>
    </row>
    <row r="689" spans="1:16" x14ac:dyDescent="0.2">
      <c r="B689" s="204"/>
      <c r="C689" s="732"/>
      <c r="D689" s="733"/>
      <c r="E689" s="733"/>
      <c r="F689" s="734"/>
      <c r="G689" s="21"/>
      <c r="H689" s="108"/>
      <c r="I689" s="379"/>
      <c r="O689" s="209"/>
      <c r="P689" s="209"/>
    </row>
    <row r="690" spans="1:16" ht="15" customHeight="1" x14ac:dyDescent="0.2">
      <c r="B690" s="204"/>
      <c r="C690" s="224"/>
      <c r="D690" s="10"/>
      <c r="E690" s="10"/>
      <c r="F690" s="10"/>
      <c r="G690" s="10"/>
      <c r="H690" s="108"/>
      <c r="I690" s="379"/>
    </row>
    <row r="691" spans="1:16" ht="15" customHeight="1" x14ac:dyDescent="0.25">
      <c r="B691" s="204"/>
      <c r="C691" s="210" t="str">
        <f>n2Data_10Transport_2Commuting_Text3</f>
        <v>Employés</v>
      </c>
      <c r="D691" s="210" t="str">
        <f>n2Data_0General_Text5_Unit</f>
        <v>Unité</v>
      </c>
      <c r="E691" s="213" t="s">
        <v>27135</v>
      </c>
      <c r="F691" s="210" t="str">
        <f>n2Data_0General_Text4_Input</f>
        <v>Saisie</v>
      </c>
      <c r="G691" s="10"/>
      <c r="H691" s="108"/>
      <c r="I691" s="379"/>
      <c r="J691" s="181" t="s">
        <v>2461</v>
      </c>
      <c r="K691" s="95" t="s">
        <v>2214</v>
      </c>
      <c r="L691" s="186" t="s">
        <v>2211</v>
      </c>
    </row>
    <row r="692" spans="1:16" ht="15" hidden="1" customHeight="1" x14ac:dyDescent="0.25">
      <c r="B692" s="204"/>
      <c r="C692" s="210" t="s">
        <v>27171</v>
      </c>
      <c r="D692" s="210" t="s">
        <v>276</v>
      </c>
      <c r="E692" s="213" t="s">
        <v>27135</v>
      </c>
      <c r="F692" s="210" t="s">
        <v>27170</v>
      </c>
      <c r="G692" s="10"/>
      <c r="H692" s="108"/>
      <c r="I692" s="379"/>
      <c r="K692" s="92"/>
    </row>
    <row r="693" spans="1:16" ht="15" customHeight="1" x14ac:dyDescent="0.2">
      <c r="B693" s="204"/>
      <c r="C693" s="92" t="str">
        <f>n2Data_10Transport_2Commuting_Text4a</f>
        <v>Proportion d’employés</v>
      </c>
      <c r="D693" s="92" t="str">
        <f>n2Data_10Transport_2Commuting_Text4b</f>
        <v>Équivalents à temps plein</v>
      </c>
      <c r="F693" s="410"/>
      <c r="G693" s="10"/>
      <c r="H693" s="108"/>
      <c r="I693" s="379"/>
      <c r="J693" s="181" t="s">
        <v>2465</v>
      </c>
      <c r="K693" s="182" t="s">
        <v>2467</v>
      </c>
    </row>
    <row r="694" spans="1:16" ht="7.15" customHeight="1" x14ac:dyDescent="0.2">
      <c r="B694" s="204"/>
      <c r="C694" s="225"/>
      <c r="D694" s="225"/>
      <c r="E694" s="225"/>
      <c r="F694" s="226"/>
      <c r="G694" s="10"/>
      <c r="H694" s="108"/>
      <c r="I694" s="379"/>
    </row>
    <row r="695" spans="1:16" ht="15" customHeight="1" x14ac:dyDescent="0.2">
      <c r="B695" s="204"/>
      <c r="C695" s="10"/>
      <c r="D695" s="10"/>
      <c r="E695" s="10"/>
      <c r="F695" s="10"/>
      <c r="G695" s="10"/>
      <c r="H695" s="108"/>
      <c r="I695" s="379"/>
    </row>
    <row r="696" spans="1:16" ht="15" customHeight="1" x14ac:dyDescent="0.25">
      <c r="B696" s="204"/>
      <c r="C696" s="210" t="str">
        <f>n2Data_10Transport_2Commuting_Text5</f>
        <v>Transport</v>
      </c>
      <c r="D696" s="210" t="str">
        <f>n2Data_0General_Text5_Unit</f>
        <v>Unité</v>
      </c>
      <c r="E696" s="210"/>
      <c r="F696" s="210" t="str">
        <f>n2Data_0General_Text4_Input</f>
        <v>Saisie</v>
      </c>
      <c r="G696" s="10"/>
      <c r="H696" s="108"/>
      <c r="I696" s="388" t="str">
        <f>IF(OR(GenInp_B1_Scope3="no",GenInp_D3_S3.7="no"),"hide","display")</f>
        <v>display</v>
      </c>
      <c r="J696" s="181" t="s">
        <v>2471</v>
      </c>
      <c r="K696" s="95" t="s">
        <v>2214</v>
      </c>
      <c r="L696" s="186" t="s">
        <v>2211</v>
      </c>
    </row>
    <row r="697" spans="1:16" ht="15" customHeight="1" x14ac:dyDescent="0.2">
      <c r="B697" s="204"/>
      <c r="C697" s="308" t="str">
        <f>n2Data_10Transport_2Commuting_Text6</f>
        <v>Voiture particulière</v>
      </c>
      <c r="D697" s="308" t="s">
        <v>17280</v>
      </c>
      <c r="E697" s="308"/>
      <c r="F697" s="394"/>
      <c r="G697" s="10"/>
      <c r="H697" s="108"/>
      <c r="I697" s="379"/>
      <c r="J697" s="181" t="s">
        <v>2472</v>
      </c>
    </row>
    <row r="698" spans="1:16" ht="15" customHeight="1" x14ac:dyDescent="0.2">
      <c r="B698" s="204"/>
      <c r="C698" s="308" t="str">
        <f>n2Data_10Transport_2Commuting_Text7</f>
        <v>Train</v>
      </c>
      <c r="D698" s="308" t="s">
        <v>17280</v>
      </c>
      <c r="E698" s="308"/>
      <c r="F698" s="396"/>
      <c r="G698" s="10"/>
      <c r="H698" s="108"/>
      <c r="I698" s="379"/>
      <c r="J698" s="181" t="s">
        <v>2473</v>
      </c>
    </row>
    <row r="699" spans="1:16" ht="15" customHeight="1" x14ac:dyDescent="0.2">
      <c r="B699" s="204"/>
      <c r="C699" s="308" t="str">
        <f>n2Data_10Transport_2Commuting_Text8</f>
        <v>Bus</v>
      </c>
      <c r="D699" s="308" t="s">
        <v>17280</v>
      </c>
      <c r="E699" s="308"/>
      <c r="F699" s="396"/>
      <c r="G699" s="10"/>
      <c r="H699" s="108"/>
      <c r="I699" s="379"/>
      <c r="J699" s="181" t="s">
        <v>2474</v>
      </c>
      <c r="O699" s="216"/>
      <c r="P699" s="216"/>
    </row>
    <row r="700" spans="1:16" ht="15" customHeight="1" x14ac:dyDescent="0.2">
      <c r="B700" s="204"/>
      <c r="C700" s="308" t="str">
        <f>n2Data_10Transport_2Commuting_Text9</f>
        <v>Vélo</v>
      </c>
      <c r="D700" s="308" t="s">
        <v>17280</v>
      </c>
      <c r="E700" s="308"/>
      <c r="F700" s="396"/>
      <c r="G700" s="10"/>
      <c r="H700" s="108"/>
      <c r="I700" s="379"/>
      <c r="J700" s="181" t="s">
        <v>2475</v>
      </c>
    </row>
    <row r="701" spans="1:16" s="186" customFormat="1" ht="15" customHeight="1" x14ac:dyDescent="0.2">
      <c r="A701" s="95"/>
      <c r="B701" s="204"/>
      <c r="C701" s="308" t="str">
        <f>n2Data_10Transport_2Commuting_Text10</f>
        <v>Vélo électrique</v>
      </c>
      <c r="D701" s="308" t="s">
        <v>17280</v>
      </c>
      <c r="E701" s="308"/>
      <c r="F701" s="396"/>
      <c r="G701" s="10"/>
      <c r="H701" s="108"/>
      <c r="I701" s="379"/>
      <c r="J701" s="181" t="s">
        <v>2479</v>
      </c>
      <c r="L701" s="92"/>
      <c r="M701" s="92"/>
      <c r="N701" s="92"/>
      <c r="O701" s="92"/>
      <c r="P701" s="92"/>
    </row>
    <row r="702" spans="1:16" s="186" customFormat="1" ht="15" customHeight="1" x14ac:dyDescent="0.2">
      <c r="A702" s="95"/>
      <c r="B702" s="204"/>
      <c r="C702" s="308" t="str">
        <f>n2Data_10Transport_2Commuting_Text11</f>
        <v>Moto</v>
      </c>
      <c r="D702" s="308" t="s">
        <v>17280</v>
      </c>
      <c r="E702" s="308"/>
      <c r="F702" s="398"/>
      <c r="G702" s="10"/>
      <c r="H702" s="108"/>
      <c r="I702" s="379"/>
      <c r="J702" s="181" t="s">
        <v>2483</v>
      </c>
      <c r="L702" s="92"/>
      <c r="M702" s="92"/>
      <c r="N702" s="92"/>
      <c r="O702" s="92"/>
      <c r="P702" s="92"/>
    </row>
    <row r="703" spans="1:16" s="186" customFormat="1" ht="7.15" customHeight="1" x14ac:dyDescent="0.2">
      <c r="A703" s="95"/>
      <c r="B703" s="204"/>
      <c r="C703" s="225"/>
      <c r="D703" s="225"/>
      <c r="E703" s="225"/>
      <c r="F703" s="226"/>
      <c r="G703" s="10"/>
      <c r="H703" s="108"/>
      <c r="I703" s="379"/>
      <c r="J703" s="92"/>
      <c r="L703" s="92"/>
      <c r="M703" s="92"/>
      <c r="N703" s="92"/>
      <c r="O703" s="92"/>
      <c r="P703" s="92"/>
    </row>
    <row r="704" spans="1:16" s="186" customFormat="1" ht="15" customHeight="1" x14ac:dyDescent="0.2">
      <c r="A704" s="95"/>
      <c r="B704" s="171"/>
      <c r="C704" s="172"/>
      <c r="D704" s="172"/>
      <c r="E704" s="172"/>
      <c r="F704" s="172"/>
      <c r="G704" s="172"/>
      <c r="H704" s="120"/>
      <c r="I704" s="379"/>
      <c r="J704" s="92"/>
      <c r="L704" s="92"/>
      <c r="M704" s="92"/>
      <c r="N704" s="92"/>
      <c r="O704" s="92"/>
      <c r="P704" s="92"/>
    </row>
    <row r="705" spans="1:16" s="186" customFormat="1" ht="15" customHeight="1" x14ac:dyDescent="0.2">
      <c r="A705" s="95"/>
      <c r="B705" s="92"/>
      <c r="C705" s="92"/>
      <c r="D705" s="92"/>
      <c r="E705" s="92"/>
      <c r="F705" s="92"/>
      <c r="G705" s="92"/>
      <c r="H705" s="92"/>
      <c r="I705" s="379"/>
      <c r="J705" s="92"/>
      <c r="L705" s="92"/>
      <c r="M705" s="92"/>
      <c r="N705" s="92"/>
      <c r="O705" s="92"/>
      <c r="P705" s="92"/>
    </row>
    <row r="706" spans="1:16" s="186" customFormat="1" ht="15" customHeight="1" x14ac:dyDescent="0.2">
      <c r="A706" s="95"/>
      <c r="B706" s="200"/>
      <c r="C706" s="129"/>
      <c r="D706" s="129"/>
      <c r="E706" s="129"/>
      <c r="F706" s="129"/>
      <c r="G706" s="129"/>
      <c r="H706" s="215" t="str">
        <f>n2Data_10Transport</f>
        <v>8 Transport</v>
      </c>
      <c r="I706" s="388" t="str">
        <f>IF(GenInp_B1_Scope3="no","hide","display")</f>
        <v>display</v>
      </c>
      <c r="J706" s="92"/>
      <c r="L706" s="92"/>
      <c r="M706" s="92"/>
      <c r="N706" s="92"/>
      <c r="O706" s="92"/>
      <c r="P706" s="92"/>
    </row>
    <row r="707" spans="1:16" s="186" customFormat="1" ht="10.15" customHeight="1" x14ac:dyDescent="0.2">
      <c r="A707" s="95"/>
      <c r="B707" s="204"/>
      <c r="C707" s="10"/>
      <c r="D707" s="10"/>
      <c r="E707" s="10"/>
      <c r="F707" s="10"/>
      <c r="G707" s="10"/>
      <c r="H707" s="217"/>
      <c r="I707" s="388"/>
      <c r="J707" s="92"/>
      <c r="L707" s="92"/>
      <c r="M707" s="92"/>
      <c r="N707" s="92"/>
      <c r="O707" s="92"/>
      <c r="P707" s="92"/>
    </row>
    <row r="708" spans="1:16" s="186" customFormat="1" ht="15" x14ac:dyDescent="0.25">
      <c r="A708" s="95"/>
      <c r="B708" s="204"/>
      <c r="C708" s="24" t="str">
        <f>n2Data_10Transport_3Upstream</f>
        <v>Transport en amont</v>
      </c>
      <c r="D708" s="10"/>
      <c r="E708" s="10"/>
      <c r="F708" s="10"/>
      <c r="G708" s="10"/>
      <c r="H708" s="108"/>
      <c r="I708" s="379"/>
      <c r="J708" s="181" t="s">
        <v>2486</v>
      </c>
      <c r="L708" s="92"/>
      <c r="M708" s="92"/>
      <c r="N708" s="92"/>
      <c r="O708" s="92"/>
      <c r="P708" s="92"/>
    </row>
    <row r="709" spans="1:16" s="186" customFormat="1" ht="15" customHeight="1" x14ac:dyDescent="0.2">
      <c r="A709" s="95"/>
      <c r="B709" s="204"/>
      <c r="C709" s="700" t="str">
        <f>n2Data_10Transport_3Upstream_Text1</f>
        <v>Indiquez toutes les activités de transport entre les fournisseurs et votre entreprise.</v>
      </c>
      <c r="D709" s="700"/>
      <c r="E709" s="700"/>
      <c r="F709" s="700"/>
      <c r="G709" s="10"/>
      <c r="H709" s="108"/>
      <c r="I709" s="379"/>
      <c r="J709" s="181" t="s">
        <v>2490</v>
      </c>
      <c r="L709" s="92"/>
      <c r="M709" s="92"/>
      <c r="N709" s="92"/>
      <c r="O709" s="216"/>
      <c r="P709" s="216"/>
    </row>
    <row r="710" spans="1:16" s="186" customFormat="1" ht="10.15" customHeight="1" x14ac:dyDescent="0.2">
      <c r="A710" s="95"/>
      <c r="B710" s="204"/>
      <c r="C710" s="16"/>
      <c r="D710" s="16"/>
      <c r="E710" s="16"/>
      <c r="F710" s="16"/>
      <c r="G710" s="10"/>
      <c r="H710" s="108"/>
      <c r="I710" s="379"/>
      <c r="J710" s="92"/>
      <c r="L710" s="92"/>
      <c r="M710" s="92"/>
      <c r="N710" s="92"/>
      <c r="O710" s="216"/>
      <c r="P710" s="216"/>
    </row>
    <row r="711" spans="1:16" s="186" customFormat="1" ht="15" customHeight="1" x14ac:dyDescent="0.2">
      <c r="A711" s="95"/>
      <c r="B711" s="204"/>
      <c r="C711" s="700" t="str" cm="1">
        <f t="array" ref="C711">n2Data_10Transport_3Upstream_Text101</f>
        <v>Indiquez le serrvice de transport en tonnes-kilomètres (tkm).</v>
      </c>
      <c r="D711" s="700"/>
      <c r="E711" s="700"/>
      <c r="F711" s="700"/>
      <c r="G711" s="10"/>
      <c r="H711" s="108"/>
      <c r="I711" s="379"/>
      <c r="J711" s="181" t="s">
        <v>27173</v>
      </c>
      <c r="L711" s="92"/>
      <c r="M711" s="92"/>
      <c r="N711" s="92"/>
      <c r="O711" s="92"/>
      <c r="P711" s="92"/>
    </row>
    <row r="712" spans="1:16" s="186" customFormat="1" ht="10.15" customHeight="1" x14ac:dyDescent="0.2">
      <c r="A712" s="95"/>
      <c r="B712" s="204"/>
      <c r="C712" s="16"/>
      <c r="D712" s="16"/>
      <c r="E712" s="16"/>
      <c r="F712" s="16"/>
      <c r="G712" s="10"/>
      <c r="H712" s="108"/>
      <c r="I712" s="379"/>
      <c r="J712" s="92"/>
      <c r="L712" s="92"/>
      <c r="M712" s="92"/>
      <c r="N712" s="92"/>
      <c r="O712" s="92"/>
      <c r="P712" s="92"/>
    </row>
    <row r="713" spans="1:16" s="186" customFormat="1" ht="15" customHeight="1" x14ac:dyDescent="0.2">
      <c r="A713" s="95"/>
      <c r="B713" s="204"/>
      <c r="C713" s="207" t="str">
        <f>n2Data_0General_Text1 &amp; I713</f>
        <v>Pour plus d’informations, voir le User Manual, chapitre 4.8</v>
      </c>
      <c r="D713" s="16"/>
      <c r="E713" s="16"/>
      <c r="F713" s="16"/>
      <c r="G713" s="10"/>
      <c r="H713" s="108"/>
      <c r="I713" s="379" t="str">
        <f>" 4.8"</f>
        <v xml:space="preserve"> 4.8</v>
      </c>
      <c r="J713" s="95" t="s">
        <v>2203</v>
      </c>
      <c r="L713" s="92"/>
      <c r="M713" s="92"/>
      <c r="N713" s="92"/>
      <c r="O713" s="92"/>
      <c r="P713" s="92"/>
    </row>
    <row r="714" spans="1:16" s="186" customFormat="1" ht="10.15" customHeight="1" x14ac:dyDescent="0.2">
      <c r="A714" s="95"/>
      <c r="B714" s="204"/>
      <c r="C714" s="16"/>
      <c r="D714" s="16"/>
      <c r="E714" s="16"/>
      <c r="F714" s="16"/>
      <c r="G714" s="10"/>
      <c r="H714" s="108"/>
      <c r="I714" s="379"/>
      <c r="J714" s="95"/>
      <c r="L714" s="92"/>
      <c r="M714" s="92"/>
      <c r="N714" s="92"/>
      <c r="O714" s="92"/>
      <c r="P714" s="92"/>
    </row>
    <row r="715" spans="1:16" s="186" customFormat="1" ht="21.75" customHeight="1" x14ac:dyDescent="0.2">
      <c r="A715" s="95"/>
      <c r="B715" s="204"/>
      <c r="C715" s="728" t="str">
        <f>n2Data_0General_Text2</f>
        <v>Cochez la case une fois le tableau terminé.</v>
      </c>
      <c r="D715" s="728"/>
      <c r="E715" s="728"/>
      <c r="F715" s="728"/>
      <c r="G715" s="10"/>
      <c r="H715" s="108"/>
      <c r="I715" s="386" t="b">
        <v>0</v>
      </c>
      <c r="J715" s="95" t="s">
        <v>2204</v>
      </c>
      <c r="L715" s="92"/>
      <c r="M715" s="92"/>
      <c r="N715" s="92"/>
      <c r="O715" s="92"/>
      <c r="P715" s="92"/>
    </row>
    <row r="716" spans="1:16" s="186" customFormat="1" ht="10.15" customHeight="1" x14ac:dyDescent="0.2">
      <c r="A716" s="95"/>
      <c r="B716" s="204"/>
      <c r="C716" s="10"/>
      <c r="D716" s="10"/>
      <c r="E716" s="10"/>
      <c r="F716" s="10"/>
      <c r="G716" s="10"/>
      <c r="H716" s="108"/>
      <c r="I716" s="387">
        <f>IF(OR(I706="hide",I715=TRUE),100%,0%)</f>
        <v>0</v>
      </c>
      <c r="J716" s="95"/>
      <c r="L716" s="92"/>
      <c r="M716" s="92"/>
      <c r="N716" s="92"/>
      <c r="O716" s="92"/>
      <c r="P716" s="92"/>
    </row>
    <row r="717" spans="1:16" ht="15" customHeight="1" x14ac:dyDescent="0.2">
      <c r="B717" s="204"/>
      <c r="C717" s="207" t="str">
        <f>n2Data_0General_Text3</f>
        <v>Notes :</v>
      </c>
      <c r="D717" s="21"/>
      <c r="E717" s="21"/>
      <c r="F717" s="21"/>
      <c r="G717" s="10"/>
      <c r="H717" s="108"/>
      <c r="I717" s="379"/>
      <c r="J717" s="95" t="s">
        <v>2207</v>
      </c>
    </row>
    <row r="718" spans="1:16" x14ac:dyDescent="0.2">
      <c r="B718" s="204"/>
      <c r="C718" s="729"/>
      <c r="D718" s="730"/>
      <c r="E718" s="730"/>
      <c r="F718" s="731"/>
      <c r="G718" s="10"/>
      <c r="H718" s="108"/>
      <c r="I718" s="379"/>
      <c r="O718" s="208"/>
      <c r="P718" s="208"/>
    </row>
    <row r="719" spans="1:16" x14ac:dyDescent="0.2">
      <c r="B719" s="204"/>
      <c r="C719" s="732"/>
      <c r="D719" s="733"/>
      <c r="E719" s="733"/>
      <c r="F719" s="734"/>
      <c r="G719" s="10"/>
      <c r="H719" s="108"/>
      <c r="I719" s="379"/>
      <c r="O719" s="209"/>
      <c r="P719" s="209"/>
    </row>
    <row r="720" spans="1:16" ht="15" customHeight="1" x14ac:dyDescent="0.25">
      <c r="B720" s="204"/>
      <c r="C720" s="224"/>
      <c r="D720" s="10"/>
      <c r="E720" s="10"/>
      <c r="F720" s="10"/>
      <c r="G720" s="10"/>
      <c r="H720" s="108"/>
      <c r="I720" s="379"/>
      <c r="J720" s="91"/>
    </row>
    <row r="721" spans="2:16" ht="15" customHeight="1" x14ac:dyDescent="0.25">
      <c r="B721" s="204"/>
      <c r="C721" s="210" t="str">
        <f>n2Data_10Transport_3Upstream_Text2</f>
        <v>Moyens de transport</v>
      </c>
      <c r="D721" s="213" t="s">
        <v>27135</v>
      </c>
      <c r="E721" s="213" t="s">
        <v>27137</v>
      </c>
      <c r="F721" s="210" t="s">
        <v>397</v>
      </c>
      <c r="G721" s="10"/>
      <c r="H721" s="108"/>
      <c r="I721" s="379"/>
      <c r="J721" s="181" t="s">
        <v>2491</v>
      </c>
    </row>
    <row r="722" spans="2:16" ht="15" hidden="1" customHeight="1" x14ac:dyDescent="0.25">
      <c r="B722" s="204"/>
      <c r="C722" s="210" t="s">
        <v>27172</v>
      </c>
      <c r="D722" s="213" t="s">
        <v>27135</v>
      </c>
      <c r="E722" s="213" t="s">
        <v>27137</v>
      </c>
      <c r="F722" s="210" t="s">
        <v>397</v>
      </c>
      <c r="G722" s="10"/>
      <c r="H722" s="108"/>
      <c r="I722" s="379"/>
    </row>
    <row r="723" spans="2:16" ht="15" customHeight="1" x14ac:dyDescent="0.2">
      <c r="B723" s="204"/>
      <c r="C723" s="308" t="str">
        <f>n2Data_10Transport_3Upstream_Text3</f>
        <v>Camion</v>
      </c>
      <c r="D723" s="308"/>
      <c r="E723" s="308"/>
      <c r="F723" s="394"/>
      <c r="G723" s="10"/>
      <c r="H723" s="108"/>
      <c r="I723" s="379"/>
      <c r="J723" s="181" t="s">
        <v>2495</v>
      </c>
    </row>
    <row r="724" spans="2:16" ht="15" customHeight="1" x14ac:dyDescent="0.2">
      <c r="B724" s="204"/>
      <c r="C724" s="308" t="str">
        <f>n2Data_10Transport_3Upstream_Text4</f>
        <v>Bateau</v>
      </c>
      <c r="D724" s="308"/>
      <c r="E724" s="308"/>
      <c r="F724" s="396"/>
      <c r="G724" s="10"/>
      <c r="H724" s="108"/>
      <c r="I724" s="379"/>
      <c r="J724" s="181" t="s">
        <v>2498</v>
      </c>
    </row>
    <row r="725" spans="2:16" ht="15" customHeight="1" x14ac:dyDescent="0.2">
      <c r="B725" s="204"/>
      <c r="C725" s="308" t="str">
        <f>n2Data_10Transport_3Upstream_Text5</f>
        <v>Train</v>
      </c>
      <c r="D725" s="308"/>
      <c r="E725" s="308"/>
      <c r="F725" s="396"/>
      <c r="G725" s="10"/>
      <c r="H725" s="108"/>
      <c r="I725" s="379"/>
      <c r="J725" s="181" t="s">
        <v>2501</v>
      </c>
    </row>
    <row r="726" spans="2:16" ht="15" customHeight="1" x14ac:dyDescent="0.2">
      <c r="B726" s="204"/>
      <c r="C726" s="308" t="str">
        <f>n2Data_10Transport_3Upstream_Text6</f>
        <v>Avion</v>
      </c>
      <c r="D726" s="308"/>
      <c r="E726" s="308"/>
      <c r="F726" s="398"/>
      <c r="G726" s="10"/>
      <c r="H726" s="108"/>
      <c r="I726" s="379"/>
      <c r="J726" s="181" t="s">
        <v>2502</v>
      </c>
    </row>
    <row r="727" spans="2:16" ht="7.15" customHeight="1" x14ac:dyDescent="0.2">
      <c r="B727" s="204"/>
      <c r="C727" s="225"/>
      <c r="D727" s="225"/>
      <c r="E727" s="225"/>
      <c r="F727" s="226"/>
      <c r="G727" s="10"/>
      <c r="H727" s="108"/>
      <c r="I727" s="379"/>
    </row>
    <row r="728" spans="2:16" ht="15" customHeight="1" x14ac:dyDescent="0.2">
      <c r="B728" s="171"/>
      <c r="C728" s="172"/>
      <c r="D728" s="172"/>
      <c r="E728" s="172"/>
      <c r="F728" s="172"/>
      <c r="G728" s="172"/>
      <c r="H728" s="120"/>
      <c r="I728" s="379"/>
    </row>
    <row r="729" spans="2:16" ht="15" customHeight="1" x14ac:dyDescent="0.2">
      <c r="I729" s="379"/>
    </row>
    <row r="730" spans="2:16" ht="15" customHeight="1" x14ac:dyDescent="0.2">
      <c r="B730" s="200"/>
      <c r="C730" s="129"/>
      <c r="D730" s="129"/>
      <c r="E730" s="129"/>
      <c r="F730" s="129"/>
      <c r="G730" s="129"/>
      <c r="H730" s="215" t="str">
        <f>n2Data_10Transport</f>
        <v>8 Transport</v>
      </c>
      <c r="I730" s="388" t="str">
        <f>IF(OR(GenInp_B1_Scope3="no",GenInp_D4_SoldP="no"),"hide","display")</f>
        <v>display</v>
      </c>
    </row>
    <row r="731" spans="2:16" ht="10.15" customHeight="1" x14ac:dyDescent="0.2">
      <c r="B731" s="204"/>
      <c r="C731" s="10"/>
      <c r="D731" s="10"/>
      <c r="E731" s="10"/>
      <c r="F731" s="10"/>
      <c r="G731" s="10"/>
      <c r="H731" s="217"/>
      <c r="I731" s="388"/>
    </row>
    <row r="732" spans="2:16" ht="15" customHeight="1" x14ac:dyDescent="0.25">
      <c r="B732" s="204"/>
      <c r="C732" s="24" t="str">
        <f>n2Data_10Transport_4Downstream</f>
        <v>Transport en aval</v>
      </c>
      <c r="D732" s="10"/>
      <c r="E732" s="10"/>
      <c r="F732" s="10"/>
      <c r="G732" s="10"/>
      <c r="H732" s="108"/>
      <c r="I732" s="379"/>
      <c r="J732" s="181" t="s">
        <v>2506</v>
      </c>
    </row>
    <row r="733" spans="2:16" ht="15" customHeight="1" x14ac:dyDescent="0.2">
      <c r="B733" s="204"/>
      <c r="C733" s="700" t="str">
        <f>n2Data_10Transport_4Downstream_Text1</f>
        <v>Indiquez toutes les activités de transport entre votre entreprise et les clients à qui les produits sont vendus.</v>
      </c>
      <c r="D733" s="700"/>
      <c r="E733" s="700"/>
      <c r="F733" s="700"/>
      <c r="G733" s="10"/>
      <c r="H733" s="108"/>
      <c r="I733" s="379"/>
      <c r="J733" s="181" t="s">
        <v>2510</v>
      </c>
      <c r="O733" s="216"/>
      <c r="P733" s="216"/>
    </row>
    <row r="734" spans="2:16" ht="10.15" customHeight="1" x14ac:dyDescent="0.2">
      <c r="B734" s="204"/>
      <c r="C734" s="16"/>
      <c r="D734" s="16"/>
      <c r="E734" s="16"/>
      <c r="F734" s="16"/>
      <c r="G734" s="10"/>
      <c r="H734" s="108"/>
      <c r="I734" s="379"/>
      <c r="O734" s="216"/>
      <c r="P734" s="216"/>
    </row>
    <row r="735" spans="2:16" ht="15" customHeight="1" x14ac:dyDescent="0.2">
      <c r="B735" s="204"/>
      <c r="C735" s="700" t="str">
        <f>n2Data_10Transport_4Downstream_Text101</f>
        <v>Indiquez le serrvice de transport en tonnes-kilomètres (tkm).</v>
      </c>
      <c r="D735" s="700"/>
      <c r="E735" s="700"/>
      <c r="F735" s="700"/>
      <c r="G735" s="10"/>
      <c r="H735" s="108"/>
      <c r="I735" s="379"/>
      <c r="J735" s="181" t="s">
        <v>27174</v>
      </c>
    </row>
    <row r="736" spans="2:16" ht="10.15" customHeight="1" x14ac:dyDescent="0.2">
      <c r="B736" s="204"/>
      <c r="C736" s="16"/>
      <c r="D736" s="16"/>
      <c r="E736" s="16"/>
      <c r="F736" s="16"/>
      <c r="G736" s="10"/>
      <c r="H736" s="108"/>
      <c r="I736" s="379"/>
    </row>
    <row r="737" spans="2:16" ht="15" customHeight="1" x14ac:dyDescent="0.2">
      <c r="B737" s="204"/>
      <c r="C737" s="207" t="str">
        <f>n2Data_0General_Text1 &amp; I737</f>
        <v>Pour plus d’informations, voir le User Manual, chapitre 4.8</v>
      </c>
      <c r="D737" s="207"/>
      <c r="E737" s="207"/>
      <c r="F737" s="207"/>
      <c r="G737" s="10"/>
      <c r="H737" s="108"/>
      <c r="I737" s="379" t="str">
        <f>" 4.8"</f>
        <v xml:space="preserve"> 4.8</v>
      </c>
      <c r="J737" s="95" t="s">
        <v>2203</v>
      </c>
    </row>
    <row r="738" spans="2:16" ht="10.15" customHeight="1" x14ac:dyDescent="0.2">
      <c r="B738" s="204"/>
      <c r="C738" s="16"/>
      <c r="D738" s="16"/>
      <c r="E738" s="16"/>
      <c r="F738" s="16"/>
      <c r="G738" s="10"/>
      <c r="H738" s="108"/>
      <c r="I738" s="379"/>
      <c r="J738" s="95"/>
    </row>
    <row r="739" spans="2:16" ht="21.75" customHeight="1" x14ac:dyDescent="0.2">
      <c r="B739" s="204"/>
      <c r="C739" s="728" t="str">
        <f>n2Data_0General_Text2</f>
        <v>Cochez la case une fois le tableau terminé.</v>
      </c>
      <c r="D739" s="728"/>
      <c r="E739" s="728"/>
      <c r="F739" s="728"/>
      <c r="G739" s="10"/>
      <c r="H739" s="108"/>
      <c r="I739" s="386" t="b">
        <v>0</v>
      </c>
      <c r="J739" s="95" t="s">
        <v>2204</v>
      </c>
    </row>
    <row r="740" spans="2:16" ht="10.15" customHeight="1" x14ac:dyDescent="0.2">
      <c r="B740" s="204"/>
      <c r="C740" s="10"/>
      <c r="D740" s="10"/>
      <c r="E740" s="10"/>
      <c r="F740" s="10"/>
      <c r="G740" s="10"/>
      <c r="H740" s="108"/>
      <c r="I740" s="387">
        <f>IF(OR(I730="hide",I739=TRUE),100%,0%)</f>
        <v>0</v>
      </c>
      <c r="J740" s="95"/>
    </row>
    <row r="741" spans="2:16" ht="15" customHeight="1" x14ac:dyDescent="0.2">
      <c r="B741" s="204"/>
      <c r="C741" s="207" t="str">
        <f>n2Data_0General_Text3</f>
        <v>Notes :</v>
      </c>
      <c r="D741" s="21"/>
      <c r="E741" s="21"/>
      <c r="F741" s="21"/>
      <c r="G741" s="10"/>
      <c r="H741" s="108"/>
      <c r="I741" s="379"/>
      <c r="J741" s="95" t="s">
        <v>2207</v>
      </c>
    </row>
    <row r="742" spans="2:16" x14ac:dyDescent="0.2">
      <c r="B742" s="204"/>
      <c r="C742" s="729"/>
      <c r="D742" s="730"/>
      <c r="E742" s="730"/>
      <c r="F742" s="731"/>
      <c r="G742" s="10"/>
      <c r="H742" s="108"/>
      <c r="I742" s="379"/>
      <c r="O742" s="208"/>
      <c r="P742" s="208"/>
    </row>
    <row r="743" spans="2:16" x14ac:dyDescent="0.2">
      <c r="B743" s="204"/>
      <c r="C743" s="732"/>
      <c r="D743" s="733"/>
      <c r="E743" s="733"/>
      <c r="F743" s="734"/>
      <c r="G743" s="10"/>
      <c r="H743" s="108"/>
      <c r="I743" s="379"/>
      <c r="O743" s="209"/>
      <c r="P743" s="209"/>
    </row>
    <row r="744" spans="2:16" ht="15" customHeight="1" x14ac:dyDescent="0.2">
      <c r="B744" s="204"/>
      <c r="C744" s="224"/>
      <c r="D744" s="10"/>
      <c r="E744" s="10"/>
      <c r="F744" s="10"/>
      <c r="G744" s="10"/>
      <c r="H744" s="108"/>
      <c r="I744" s="379"/>
    </row>
    <row r="745" spans="2:16" ht="15" customHeight="1" x14ac:dyDescent="0.25">
      <c r="B745" s="204"/>
      <c r="C745" s="210" t="str">
        <f>n2Data_10Transport_4Downstream_Text2</f>
        <v>Moyens de transport</v>
      </c>
      <c r="D745" s="213" t="s">
        <v>27135</v>
      </c>
      <c r="E745" s="213" t="s">
        <v>27137</v>
      </c>
      <c r="F745" s="210" t="s">
        <v>397</v>
      </c>
      <c r="G745" s="10"/>
      <c r="H745" s="108"/>
      <c r="I745" s="379"/>
      <c r="J745" s="181" t="s">
        <v>2511</v>
      </c>
    </row>
    <row r="746" spans="2:16" ht="15" hidden="1" customHeight="1" x14ac:dyDescent="0.25">
      <c r="B746" s="204"/>
      <c r="C746" s="210" t="s">
        <v>27172</v>
      </c>
      <c r="D746" s="213" t="s">
        <v>27135</v>
      </c>
      <c r="E746" s="213" t="s">
        <v>27137</v>
      </c>
      <c r="F746" s="210" t="s">
        <v>397</v>
      </c>
      <c r="G746" s="10"/>
      <c r="H746" s="108"/>
      <c r="I746" s="379"/>
    </row>
    <row r="747" spans="2:16" ht="15" customHeight="1" x14ac:dyDescent="0.2">
      <c r="B747" s="204"/>
      <c r="C747" s="308" t="str">
        <f>n2Data_10Transport_4Downstream_Text3</f>
        <v>Camion</v>
      </c>
      <c r="D747" s="308"/>
      <c r="E747" s="308"/>
      <c r="F747" s="394"/>
      <c r="G747" s="10"/>
      <c r="H747" s="108"/>
      <c r="I747" s="379"/>
      <c r="J747" s="181" t="s">
        <v>2512</v>
      </c>
    </row>
    <row r="748" spans="2:16" ht="15" customHeight="1" x14ac:dyDescent="0.2">
      <c r="B748" s="204"/>
      <c r="C748" s="308" t="str">
        <f>n2Data_10Transport_4Downstream_Text4</f>
        <v>Bateau</v>
      </c>
      <c r="D748" s="308"/>
      <c r="E748" s="308"/>
      <c r="F748" s="396"/>
      <c r="G748" s="10"/>
      <c r="H748" s="108"/>
      <c r="I748" s="379"/>
      <c r="J748" s="181" t="s">
        <v>2513</v>
      </c>
      <c r="M748" s="98"/>
      <c r="N748" s="98"/>
    </row>
    <row r="749" spans="2:16" ht="15" customHeight="1" x14ac:dyDescent="0.2">
      <c r="B749" s="204"/>
      <c r="C749" s="308" t="str">
        <f>n2Data_10Transport_4Downstream_Text5</f>
        <v>Train</v>
      </c>
      <c r="D749" s="308"/>
      <c r="E749" s="308"/>
      <c r="F749" s="396"/>
      <c r="G749" s="10"/>
      <c r="H749" s="108"/>
      <c r="I749" s="379"/>
      <c r="J749" s="181" t="s">
        <v>2514</v>
      </c>
    </row>
    <row r="750" spans="2:16" ht="15" customHeight="1" x14ac:dyDescent="0.2">
      <c r="B750" s="204"/>
      <c r="C750" s="308" t="str">
        <f>n2Data_10Transport_4Downstream_Text6</f>
        <v>Avion</v>
      </c>
      <c r="D750" s="308"/>
      <c r="E750" s="308"/>
      <c r="F750" s="398"/>
      <c r="G750" s="10"/>
      <c r="H750" s="108"/>
      <c r="I750" s="379"/>
      <c r="J750" s="181" t="s">
        <v>2515</v>
      </c>
    </row>
    <row r="751" spans="2:16" ht="7.15" customHeight="1" x14ac:dyDescent="0.2">
      <c r="B751" s="204"/>
      <c r="C751" s="225"/>
      <c r="D751" s="225"/>
      <c r="E751" s="225"/>
      <c r="F751" s="226"/>
      <c r="G751" s="10"/>
      <c r="H751" s="108"/>
      <c r="I751" s="379"/>
      <c r="J751" s="235"/>
    </row>
    <row r="752" spans="2:16" ht="15" customHeight="1" x14ac:dyDescent="0.2">
      <c r="B752" s="171"/>
      <c r="C752" s="172"/>
      <c r="D752" s="172"/>
      <c r="E752" s="172"/>
      <c r="F752" s="172"/>
      <c r="G752" s="172"/>
      <c r="H752" s="120"/>
      <c r="I752" s="379"/>
    </row>
    <row r="753" spans="1:16" ht="15" customHeight="1" x14ac:dyDescent="0.2">
      <c r="I753" s="379"/>
    </row>
    <row r="754" spans="1:16" ht="15" customHeight="1" x14ac:dyDescent="0.2">
      <c r="I754" s="379"/>
    </row>
    <row r="755" spans="1:16" s="98" customFormat="1" ht="30" customHeight="1" x14ac:dyDescent="0.2">
      <c r="A755" s="198"/>
      <c r="B755" s="199" t="str">
        <f>n2Data_11Waste</f>
        <v>9 Déchets d'exploitation</v>
      </c>
      <c r="I755" s="383"/>
      <c r="J755" s="181" t="s">
        <v>2516</v>
      </c>
      <c r="K755" s="186"/>
      <c r="M755" s="92"/>
      <c r="N755" s="92"/>
      <c r="O755" s="92"/>
      <c r="P755" s="92"/>
    </row>
    <row r="756" spans="1:16" ht="15" customHeight="1" x14ac:dyDescent="0.2">
      <c r="B756" s="200"/>
      <c r="C756" s="129"/>
      <c r="D756" s="129"/>
      <c r="E756" s="129"/>
      <c r="F756" s="129"/>
      <c r="G756" s="129"/>
      <c r="H756" s="215" t="str">
        <f>n2Data_11Waste</f>
        <v>9 Déchets d'exploitation</v>
      </c>
      <c r="I756" s="388" t="str">
        <f>IF(GenInp_B1_Scope3="no","hide","display")</f>
        <v>display</v>
      </c>
    </row>
    <row r="757" spans="1:16" ht="10.15" customHeight="1" x14ac:dyDescent="0.2">
      <c r="B757" s="204"/>
      <c r="C757" s="10"/>
      <c r="D757" s="10"/>
      <c r="E757" s="10"/>
      <c r="F757" s="10"/>
      <c r="G757" s="10"/>
      <c r="H757" s="108"/>
      <c r="I757" s="379"/>
    </row>
    <row r="758" spans="1:16" ht="15" customHeight="1" x14ac:dyDescent="0.2">
      <c r="B758" s="204"/>
      <c r="C758" s="700" t="str">
        <f>n2Data_11Waste_Text1</f>
        <v>Enregistrez tous les volumes de déchets opérationnellement pertinents qui sont éliminés ou traités à l’extérieur.</v>
      </c>
      <c r="D758" s="700"/>
      <c r="E758" s="700"/>
      <c r="F758" s="700"/>
      <c r="G758" s="10"/>
      <c r="H758" s="108"/>
      <c r="I758" s="379"/>
      <c r="J758" s="181" t="s">
        <v>2517</v>
      </c>
      <c r="O758" s="98"/>
      <c r="P758" s="98"/>
    </row>
    <row r="759" spans="1:16" ht="10.15" customHeight="1" x14ac:dyDescent="0.2">
      <c r="B759" s="204"/>
      <c r="C759" s="16"/>
      <c r="D759" s="16"/>
      <c r="E759" s="16"/>
      <c r="F759" s="16"/>
      <c r="G759" s="10"/>
      <c r="H759" s="108"/>
      <c r="I759" s="379"/>
      <c r="O759" s="216"/>
      <c r="P759" s="216"/>
    </row>
    <row r="760" spans="1:16" ht="30" customHeight="1" x14ac:dyDescent="0.2">
      <c r="B760" s="204"/>
      <c r="C760" s="700" t="str">
        <f>n2Data_11Waste_Text101</f>
        <v>Attribuez tous les déchets à un type de déchet et à un type d’élimination correspondant.
Sous « kg », saisissez les quantités éliminées en kilogrammes.</v>
      </c>
      <c r="D760" s="700"/>
      <c r="E760" s="700"/>
      <c r="F760" s="700"/>
      <c r="G760" s="10"/>
      <c r="H760" s="108"/>
      <c r="I760" s="379"/>
      <c r="J760" s="181" t="s">
        <v>27176</v>
      </c>
    </row>
    <row r="761" spans="1:16" ht="10.15" customHeight="1" x14ac:dyDescent="0.2">
      <c r="B761" s="204"/>
      <c r="C761" s="16"/>
      <c r="D761" s="16"/>
      <c r="E761" s="16"/>
      <c r="F761" s="16"/>
      <c r="G761" s="10"/>
      <c r="H761" s="108"/>
      <c r="I761" s="379"/>
    </row>
    <row r="762" spans="1:16" ht="15" customHeight="1" x14ac:dyDescent="0.2">
      <c r="B762" s="204"/>
      <c r="C762" s="207" t="str">
        <f>n2Data_0General_Text1 &amp; I762</f>
        <v>Pour plus d’informations, voir le User Manual, chapitre 4.9</v>
      </c>
      <c r="D762" s="207"/>
      <c r="E762" s="207"/>
      <c r="F762" s="207"/>
      <c r="G762" s="10"/>
      <c r="H762" s="108"/>
      <c r="I762" s="379" t="str">
        <f>" 4.9"</f>
        <v xml:space="preserve"> 4.9</v>
      </c>
      <c r="J762" s="95" t="s">
        <v>2203</v>
      </c>
    </row>
    <row r="763" spans="1:16" ht="10.15" customHeight="1" x14ac:dyDescent="0.2">
      <c r="B763" s="204"/>
      <c r="C763" s="16"/>
      <c r="D763" s="16"/>
      <c r="E763" s="16"/>
      <c r="F763" s="16"/>
      <c r="G763" s="10"/>
      <c r="H763" s="108"/>
      <c r="I763" s="379"/>
      <c r="J763" s="95"/>
    </row>
    <row r="764" spans="1:16" ht="21.75" customHeight="1" x14ac:dyDescent="0.2">
      <c r="B764" s="204"/>
      <c r="C764" s="728" t="str">
        <f>n2Data_0General_Text2</f>
        <v>Cochez la case une fois le tableau terminé.</v>
      </c>
      <c r="D764" s="728"/>
      <c r="E764" s="728"/>
      <c r="F764" s="728"/>
      <c r="G764" s="10"/>
      <c r="H764" s="108"/>
      <c r="I764" s="386" t="b">
        <v>0</v>
      </c>
      <c r="J764" s="95" t="s">
        <v>2204</v>
      </c>
    </row>
    <row r="765" spans="1:16" ht="10.15" customHeight="1" x14ac:dyDescent="0.2">
      <c r="B765" s="204"/>
      <c r="C765" s="10"/>
      <c r="D765" s="10"/>
      <c r="E765" s="10"/>
      <c r="F765" s="10"/>
      <c r="G765" s="10"/>
      <c r="H765" s="108"/>
      <c r="I765" s="387">
        <f>IF(OR(I756="hide",I764=TRUE),100%,0%)</f>
        <v>0</v>
      </c>
      <c r="J765" s="95"/>
    </row>
    <row r="766" spans="1:16" ht="15" customHeight="1" x14ac:dyDescent="0.2">
      <c r="B766" s="204"/>
      <c r="C766" s="207" t="str">
        <f>n2Data_0General_Text3</f>
        <v>Notes :</v>
      </c>
      <c r="D766" s="21"/>
      <c r="E766" s="21"/>
      <c r="F766" s="21"/>
      <c r="G766" s="10"/>
      <c r="H766" s="108"/>
      <c r="I766" s="379"/>
      <c r="J766" s="95" t="s">
        <v>2207</v>
      </c>
    </row>
    <row r="767" spans="1:16" x14ac:dyDescent="0.2">
      <c r="B767" s="204"/>
      <c r="C767" s="729"/>
      <c r="D767" s="730"/>
      <c r="E767" s="730"/>
      <c r="F767" s="731"/>
      <c r="G767" s="10"/>
      <c r="H767" s="108"/>
      <c r="I767" s="379"/>
    </row>
    <row r="768" spans="1:16" x14ac:dyDescent="0.2">
      <c r="B768" s="204"/>
      <c r="C768" s="732"/>
      <c r="D768" s="733"/>
      <c r="E768" s="733"/>
      <c r="F768" s="734"/>
      <c r="G768" s="10"/>
      <c r="H768" s="108"/>
      <c r="I768" s="379"/>
      <c r="O768" s="209"/>
      <c r="P768" s="209"/>
    </row>
    <row r="769" spans="2:14" ht="15" customHeight="1" x14ac:dyDescent="0.2">
      <c r="B769" s="204"/>
      <c r="C769" s="224"/>
      <c r="D769" s="10"/>
      <c r="E769" s="10"/>
      <c r="F769" s="10"/>
      <c r="G769" s="10"/>
      <c r="H769" s="108"/>
      <c r="I769" s="379"/>
    </row>
    <row r="770" spans="2:14" ht="15" customHeight="1" x14ac:dyDescent="0.25">
      <c r="B770" s="204"/>
      <c r="C770" s="210" t="str">
        <f>n2Data_11Waste_Text2</f>
        <v>Type de déchets</v>
      </c>
      <c r="D770" s="213" t="s">
        <v>27135</v>
      </c>
      <c r="E770" s="213" t="s">
        <v>27137</v>
      </c>
      <c r="F770" s="210" t="s">
        <v>88</v>
      </c>
      <c r="G770" s="10"/>
      <c r="H770" s="108"/>
      <c r="I770" s="379"/>
      <c r="J770" s="181" t="s">
        <v>2518</v>
      </c>
    </row>
    <row r="771" spans="2:14" ht="15" hidden="1" customHeight="1" x14ac:dyDescent="0.25">
      <c r="B771" s="204"/>
      <c r="C771" s="210" t="s">
        <v>27177</v>
      </c>
      <c r="D771" s="213" t="s">
        <v>27135</v>
      </c>
      <c r="E771" s="213" t="s">
        <v>27137</v>
      </c>
      <c r="F771" s="210" t="s">
        <v>88</v>
      </c>
      <c r="G771" s="10"/>
      <c r="H771" s="108"/>
      <c r="I771" s="379"/>
    </row>
    <row r="772" spans="2:14" ht="15" customHeight="1" x14ac:dyDescent="0.2">
      <c r="B772" s="204"/>
      <c r="C772" s="308" t="str">
        <f>n2Data_11Waste_Text3</f>
        <v>Déchets ménagers / industriels mixtes, incinération</v>
      </c>
      <c r="D772" s="308"/>
      <c r="E772" s="308"/>
      <c r="F772" s="394"/>
      <c r="G772" s="10"/>
      <c r="H772" s="108"/>
      <c r="I772" s="379"/>
      <c r="J772" s="181" t="s">
        <v>2522</v>
      </c>
    </row>
    <row r="773" spans="2:14" ht="15" customHeight="1" x14ac:dyDescent="0.2">
      <c r="B773" s="204"/>
      <c r="C773" s="308" t="str">
        <f>n2Data_11Waste_Text4</f>
        <v>Déchets dangereux, incinération</v>
      </c>
      <c r="D773" s="308"/>
      <c r="E773" s="308"/>
      <c r="F773" s="396"/>
      <c r="G773" s="10"/>
      <c r="H773" s="108"/>
      <c r="I773" s="379"/>
      <c r="J773" s="181" t="s">
        <v>2523</v>
      </c>
    </row>
    <row r="774" spans="2:14" ht="15" customHeight="1" x14ac:dyDescent="0.2">
      <c r="B774" s="204"/>
      <c r="C774" s="308" t="str">
        <f>n2Data_11Waste_Text5</f>
        <v>Déchets dangereux, décharge</v>
      </c>
      <c r="D774" s="308"/>
      <c r="E774" s="308"/>
      <c r="F774" s="396"/>
      <c r="G774" s="10"/>
      <c r="H774" s="108"/>
      <c r="I774" s="379"/>
      <c r="J774" s="181" t="s">
        <v>2524</v>
      </c>
    </row>
    <row r="775" spans="2:14" ht="15" customHeight="1" x14ac:dyDescent="0.2">
      <c r="B775" s="204"/>
      <c r="C775" s="308" t="str">
        <f>n2Data_11Waste_Text6</f>
        <v>Plastique, incinération</v>
      </c>
      <c r="D775" s="308"/>
      <c r="E775" s="308"/>
      <c r="F775" s="396"/>
      <c r="G775" s="10"/>
      <c r="H775" s="108"/>
      <c r="I775" s="379"/>
      <c r="J775" s="181" t="s">
        <v>2525</v>
      </c>
    </row>
    <row r="776" spans="2:14" ht="15" customHeight="1" x14ac:dyDescent="0.2">
      <c r="B776" s="204"/>
      <c r="C776" s="308" t="str">
        <f>n2Data_11Waste_Text7</f>
        <v>Plastique, recyclage</v>
      </c>
      <c r="D776" s="308"/>
      <c r="E776" s="308"/>
      <c r="F776" s="396"/>
      <c r="G776" s="10"/>
      <c r="H776" s="108"/>
      <c r="I776" s="379"/>
      <c r="J776" s="181" t="s">
        <v>2526</v>
      </c>
    </row>
    <row r="777" spans="2:14" ht="15" customHeight="1" x14ac:dyDescent="0.2">
      <c r="B777" s="204"/>
      <c r="C777" s="308" t="str">
        <f>n2Data_11Waste_Text8</f>
        <v>Métaux, recyclage</v>
      </c>
      <c r="D777" s="308"/>
      <c r="E777" s="308"/>
      <c r="F777" s="396"/>
      <c r="G777" s="10"/>
      <c r="H777" s="108"/>
      <c r="I777" s="379"/>
      <c r="J777" s="181" t="s">
        <v>2527</v>
      </c>
      <c r="M777" s="199"/>
      <c r="N777" s="199"/>
    </row>
    <row r="778" spans="2:14" ht="15" customHeight="1" x14ac:dyDescent="0.2">
      <c r="B778" s="204"/>
      <c r="C778" s="308" t="str">
        <f>n2Data_11Waste_Text9</f>
        <v>Déchets électroniques, recyclage</v>
      </c>
      <c r="D778" s="308"/>
      <c r="E778" s="308"/>
      <c r="F778" s="396"/>
      <c r="G778" s="10"/>
      <c r="H778" s="108"/>
      <c r="I778" s="379"/>
      <c r="J778" s="181" t="s">
        <v>2528</v>
      </c>
    </row>
    <row r="779" spans="2:14" ht="15" customHeight="1" x14ac:dyDescent="0.2">
      <c r="B779" s="204"/>
      <c r="C779" s="308" t="str">
        <f>n2Data_11Waste_Text10</f>
        <v>Biodéchets, incinération</v>
      </c>
      <c r="D779" s="308"/>
      <c r="E779" s="308"/>
      <c r="F779" s="396"/>
      <c r="G779" s="10"/>
      <c r="H779" s="108"/>
      <c r="I779" s="379"/>
      <c r="J779" s="181" t="s">
        <v>2529</v>
      </c>
    </row>
    <row r="780" spans="2:14" ht="15" customHeight="1" x14ac:dyDescent="0.2">
      <c r="B780" s="204"/>
      <c r="C780" s="308" t="str">
        <f>n2Data_11Waste_Text11</f>
        <v>Biodéchets, production de biogaz</v>
      </c>
      <c r="D780" s="308"/>
      <c r="E780" s="308"/>
      <c r="F780" s="396"/>
      <c r="G780" s="10"/>
      <c r="H780" s="108"/>
      <c r="I780" s="379"/>
      <c r="J780" s="181" t="s">
        <v>2530</v>
      </c>
    </row>
    <row r="781" spans="2:14" ht="15" customHeight="1" x14ac:dyDescent="0.2">
      <c r="B781" s="204"/>
      <c r="C781" s="308" t="str">
        <f>n2Data_11Waste_Text12</f>
        <v>Matériaux inertes / déchets de construction, décharge</v>
      </c>
      <c r="D781" s="308"/>
      <c r="E781" s="308"/>
      <c r="F781" s="396"/>
      <c r="G781" s="10"/>
      <c r="H781" s="108"/>
      <c r="I781" s="379"/>
      <c r="J781" s="181" t="s">
        <v>2531</v>
      </c>
    </row>
    <row r="782" spans="2:14" ht="15" customHeight="1" x14ac:dyDescent="0.2">
      <c r="B782" s="204"/>
      <c r="C782" s="308" t="str">
        <f>n2Data_11Waste_Text13</f>
        <v>Matériaux inertes / déchets de construction, recyclage</v>
      </c>
      <c r="D782" s="308"/>
      <c r="E782" s="308"/>
      <c r="F782" s="396"/>
      <c r="G782" s="10"/>
      <c r="H782" s="108"/>
      <c r="I782" s="379"/>
      <c r="J782" s="181" t="s">
        <v>2532</v>
      </c>
    </row>
    <row r="783" spans="2:14" ht="15" customHeight="1" x14ac:dyDescent="0.2">
      <c r="B783" s="204"/>
      <c r="C783" s="308" t="str">
        <f>n2Data_11Waste_Text14</f>
        <v>Eaux usées</v>
      </c>
      <c r="D783" s="308"/>
      <c r="E783" s="308"/>
      <c r="F783" s="398"/>
      <c r="G783" s="10"/>
      <c r="H783" s="108"/>
      <c r="I783" s="379"/>
      <c r="J783" s="181" t="s">
        <v>27175</v>
      </c>
    </row>
    <row r="784" spans="2:14" ht="7.15" customHeight="1" x14ac:dyDescent="0.2">
      <c r="B784" s="204"/>
      <c r="C784" s="211"/>
      <c r="D784" s="211"/>
      <c r="E784" s="211"/>
      <c r="F784" s="212"/>
      <c r="G784" s="10"/>
      <c r="H784" s="108"/>
      <c r="I784" s="379"/>
    </row>
    <row r="785" spans="1:16" ht="15" customHeight="1" x14ac:dyDescent="0.2">
      <c r="B785" s="171"/>
      <c r="C785" s="172"/>
      <c r="D785" s="172"/>
      <c r="E785" s="172"/>
      <c r="F785" s="172"/>
      <c r="G785" s="172"/>
      <c r="H785" s="120"/>
      <c r="I785" s="379"/>
    </row>
    <row r="786" spans="1:16" ht="15" customHeight="1" x14ac:dyDescent="0.2">
      <c r="I786" s="379"/>
    </row>
    <row r="787" spans="1:16" ht="15" customHeight="1" x14ac:dyDescent="0.2">
      <c r="I787" s="379"/>
      <c r="L787" s="199"/>
    </row>
    <row r="788" spans="1:16" s="199" customFormat="1" ht="30" customHeight="1" x14ac:dyDescent="0.2">
      <c r="A788" s="236"/>
      <c r="B788" s="199" t="str">
        <f>n2Data_12SoldProducts</f>
        <v>10 Produits vendus</v>
      </c>
      <c r="I788" s="392"/>
      <c r="J788" s="181" t="s">
        <v>2533</v>
      </c>
      <c r="K788" s="186"/>
      <c r="L788" s="92"/>
      <c r="M788" s="92"/>
      <c r="N788" s="92"/>
      <c r="O788" s="92"/>
      <c r="P788" s="92"/>
    </row>
    <row r="789" spans="1:16" ht="15" customHeight="1" x14ac:dyDescent="0.2">
      <c r="B789" s="200"/>
      <c r="C789" s="129"/>
      <c r="D789" s="129"/>
      <c r="E789" s="129"/>
      <c r="F789" s="129"/>
      <c r="G789" s="129"/>
      <c r="H789" s="215" t="str">
        <f>n2Data_12SoldProducts</f>
        <v>10 Produits vendus</v>
      </c>
      <c r="I789" s="388" t="str">
        <f>IF(OR(GenInp_B1_Scope3="no",GenInp_D5_SoldP_Processing="no"),"hide","display")</f>
        <v>display</v>
      </c>
      <c r="J789" s="181"/>
    </row>
    <row r="790" spans="1:16" ht="10.15" customHeight="1" x14ac:dyDescent="0.2">
      <c r="B790" s="204"/>
      <c r="C790" s="10"/>
      <c r="D790" s="10"/>
      <c r="E790" s="10"/>
      <c r="F790" s="10"/>
      <c r="G790" s="10"/>
      <c r="H790" s="217"/>
      <c r="I790" s="388"/>
    </row>
    <row r="791" spans="1:16" ht="15" customHeight="1" x14ac:dyDescent="0.25">
      <c r="B791" s="204"/>
      <c r="C791" s="24" t="str">
        <f>n2Data_12SoldProducts_1Processing</f>
        <v>Transformation des produits vendus</v>
      </c>
      <c r="D791" s="10"/>
      <c r="E791" s="10"/>
      <c r="F791" s="10"/>
      <c r="G791" s="10"/>
      <c r="H791" s="108"/>
      <c r="I791" s="379"/>
      <c r="J791" s="181" t="s">
        <v>2534</v>
      </c>
      <c r="O791" s="199"/>
      <c r="P791" s="199"/>
    </row>
    <row r="792" spans="1:16" ht="30" customHeight="1" x14ac:dyDescent="0.2">
      <c r="B792" s="204"/>
      <c r="C792" s="700" t="str">
        <f>n2Data_12SoldProducts_1Processing_Text1</f>
        <v>Indiquez la consommation de carburant, de combustible et d'électricité chez le client, qui est nécessaire pour la transformation ultérieure des produits que vous avez vendus.
Cela s’applique, par exemple, à l’utilisation de l’énergie dans le traitement ultérieur de produits intermédiaires tels que les granulés plastiques dans le moulage par injection.</v>
      </c>
      <c r="D792" s="700"/>
      <c r="E792" s="700"/>
      <c r="F792" s="700"/>
      <c r="G792" s="10"/>
      <c r="H792" s="108"/>
      <c r="I792" s="379"/>
      <c r="J792" s="181" t="s">
        <v>2538</v>
      </c>
      <c r="O792" s="216"/>
      <c r="P792" s="216"/>
    </row>
    <row r="793" spans="1:16" ht="10.15" customHeight="1" x14ac:dyDescent="0.2">
      <c r="B793" s="204"/>
      <c r="C793" s="16"/>
      <c r="D793" s="16"/>
      <c r="E793" s="16"/>
      <c r="F793" s="16"/>
      <c r="G793" s="10"/>
      <c r="H793" s="108"/>
      <c r="I793" s="379"/>
      <c r="O793" s="216"/>
      <c r="P793" s="216"/>
    </row>
    <row r="794" spans="1:16" ht="30" customHeight="1" x14ac:dyDescent="0.2">
      <c r="B794" s="204"/>
      <c r="C794" s="700" t="str" cm="1">
        <f t="array" ref="C794">n2Data_12SoldProducts_1Processing_Text101</f>
        <v>Indiquez la consommation d’électricité estimée en kilowattheures (kWh). Sélectionnez les carburants concernés (menu déroulant). Sous « Saisie », saisissez les quantités estimées dans l’unité correspondante ou la consommation d’énergie directement en mégajoules (MJ).</v>
      </c>
      <c r="D794" s="700"/>
      <c r="E794" s="700"/>
      <c r="F794" s="700"/>
      <c r="G794" s="10"/>
      <c r="H794" s="108"/>
      <c r="I794" s="379"/>
      <c r="J794" s="181" t="s">
        <v>27178</v>
      </c>
    </row>
    <row r="795" spans="1:16" ht="10.15" customHeight="1" x14ac:dyDescent="0.2">
      <c r="B795" s="204"/>
      <c r="C795" s="16"/>
      <c r="D795" s="16"/>
      <c r="E795" s="16"/>
      <c r="F795" s="16"/>
      <c r="G795" s="10"/>
      <c r="H795" s="108"/>
      <c r="I795" s="379"/>
    </row>
    <row r="796" spans="1:16" ht="15" customHeight="1" x14ac:dyDescent="0.2">
      <c r="B796" s="204"/>
      <c r="C796" s="207" t="str">
        <f>n2Data_0General_Text1 &amp; I796</f>
        <v>Pour plus d’informations, voir le User Manual, chapitre 4.10</v>
      </c>
      <c r="D796" s="16"/>
      <c r="E796" s="16"/>
      <c r="F796" s="16"/>
      <c r="G796" s="10"/>
      <c r="H796" s="108"/>
      <c r="I796" s="379" t="str">
        <f>" 4.10"</f>
        <v xml:space="preserve"> 4.10</v>
      </c>
      <c r="J796" s="95" t="s">
        <v>2203</v>
      </c>
      <c r="M796" s="181"/>
    </row>
    <row r="797" spans="1:16" ht="10.15" customHeight="1" x14ac:dyDescent="0.2">
      <c r="B797" s="204"/>
      <c r="C797" s="16"/>
      <c r="D797" s="16"/>
      <c r="E797" s="16"/>
      <c r="F797" s="16"/>
      <c r="G797" s="10"/>
      <c r="H797" s="108"/>
      <c r="I797" s="379"/>
      <c r="J797" s="95"/>
    </row>
    <row r="798" spans="1:16" ht="21.75" customHeight="1" x14ac:dyDescent="0.2">
      <c r="B798" s="204"/>
      <c r="C798" s="728" t="str">
        <f>n2Data_0General_Text2</f>
        <v>Cochez la case une fois le tableau terminé.</v>
      </c>
      <c r="D798" s="728"/>
      <c r="E798" s="728"/>
      <c r="F798" s="728"/>
      <c r="G798" s="10"/>
      <c r="H798" s="108"/>
      <c r="I798" s="386" t="b">
        <v>0</v>
      </c>
      <c r="J798" s="95" t="s">
        <v>2204</v>
      </c>
    </row>
    <row r="799" spans="1:16" ht="10.15" customHeight="1" x14ac:dyDescent="0.2">
      <c r="B799" s="204"/>
      <c r="C799" s="10"/>
      <c r="D799" s="10"/>
      <c r="E799" s="10"/>
      <c r="F799" s="10"/>
      <c r="G799" s="10"/>
      <c r="H799" s="108"/>
      <c r="I799" s="387">
        <f>IF(OR(I789="hide",I798=TRUE),100%,0%)</f>
        <v>0</v>
      </c>
      <c r="J799" s="95"/>
    </row>
    <row r="800" spans="1:16" ht="15" customHeight="1" x14ac:dyDescent="0.2">
      <c r="B800" s="204"/>
      <c r="C800" s="207" t="str">
        <f>n2Data_0General_Text3</f>
        <v>Notes :</v>
      </c>
      <c r="D800" s="21"/>
      <c r="E800" s="21"/>
      <c r="F800" s="21"/>
      <c r="G800" s="10"/>
      <c r="H800" s="108"/>
      <c r="I800" s="379"/>
      <c r="J800" s="95" t="s">
        <v>2207</v>
      </c>
    </row>
    <row r="801" spans="2:16" x14ac:dyDescent="0.2">
      <c r="B801" s="204"/>
      <c r="C801" s="729"/>
      <c r="D801" s="730"/>
      <c r="E801" s="730"/>
      <c r="F801" s="731"/>
      <c r="G801" s="10"/>
      <c r="H801" s="108"/>
      <c r="I801" s="379"/>
    </row>
    <row r="802" spans="2:16" x14ac:dyDescent="0.2">
      <c r="B802" s="204"/>
      <c r="C802" s="732"/>
      <c r="D802" s="733"/>
      <c r="E802" s="733"/>
      <c r="F802" s="734"/>
      <c r="G802" s="10"/>
      <c r="H802" s="108"/>
      <c r="I802" s="379"/>
      <c r="O802" s="209"/>
      <c r="P802" s="209"/>
    </row>
    <row r="803" spans="2:16" ht="15" customHeight="1" x14ac:dyDescent="0.2">
      <c r="B803" s="204"/>
      <c r="C803" s="224"/>
      <c r="D803" s="10"/>
      <c r="E803" s="10"/>
      <c r="F803" s="10"/>
      <c r="G803" s="10"/>
      <c r="H803" s="108"/>
      <c r="I803" s="379"/>
    </row>
    <row r="804" spans="2:16" ht="15" customHeight="1" x14ac:dyDescent="0.25">
      <c r="B804" s="204"/>
      <c r="C804" s="210" t="str">
        <f>n2Data_12SoldProducts_1Processing_Text2</f>
        <v>Consommation d’énergie</v>
      </c>
      <c r="D804" s="213" t="s">
        <v>27135</v>
      </c>
      <c r="E804" s="213" t="s">
        <v>27137</v>
      </c>
      <c r="F804" s="210" t="s">
        <v>224</v>
      </c>
      <c r="G804" s="10"/>
      <c r="H804" s="108"/>
      <c r="I804" s="379"/>
      <c r="J804" s="181" t="s">
        <v>2539</v>
      </c>
    </row>
    <row r="805" spans="2:16" ht="15" hidden="1" customHeight="1" x14ac:dyDescent="0.25">
      <c r="B805" s="204"/>
      <c r="C805" s="210" t="s">
        <v>2803</v>
      </c>
      <c r="D805" s="213" t="s">
        <v>27135</v>
      </c>
      <c r="E805" s="213" t="s">
        <v>27137</v>
      </c>
      <c r="F805" s="210" t="s">
        <v>224</v>
      </c>
      <c r="G805" s="10"/>
      <c r="H805" s="108"/>
      <c r="I805" s="379"/>
    </row>
    <row r="806" spans="2:16" ht="15" customHeight="1" x14ac:dyDescent="0.2">
      <c r="B806" s="204"/>
      <c r="C806" s="308" t="str">
        <f>n2Data_12SoldProducts_1Processing_Text3</f>
        <v>Électricité, réseau, basse tension</v>
      </c>
      <c r="D806" s="308"/>
      <c r="E806" s="308"/>
      <c r="F806" s="394"/>
      <c r="G806" s="10"/>
      <c r="H806" s="108"/>
      <c r="I806" s="379"/>
      <c r="J806" s="181" t="s">
        <v>2543</v>
      </c>
    </row>
    <row r="807" spans="2:16" ht="15" customHeight="1" x14ac:dyDescent="0.2">
      <c r="B807" s="204"/>
      <c r="C807" s="308" t="str">
        <f>n2Data_12SoldProducts_1Processing_Text4</f>
        <v>Électricité, réseau, moyenne tension</v>
      </c>
      <c r="D807" s="308"/>
      <c r="E807" s="308"/>
      <c r="F807" s="398"/>
      <c r="G807" s="10"/>
      <c r="H807" s="108"/>
      <c r="I807" s="379"/>
      <c r="J807" s="181" t="s">
        <v>2547</v>
      </c>
    </row>
    <row r="808" spans="2:16" ht="7.15" customHeight="1" x14ac:dyDescent="0.2">
      <c r="B808" s="204"/>
      <c r="C808" s="225"/>
      <c r="D808" s="225"/>
      <c r="E808" s="225"/>
      <c r="F808" s="226"/>
      <c r="G808" s="10"/>
      <c r="H808" s="108"/>
      <c r="I808" s="379"/>
    </row>
    <row r="809" spans="2:16" ht="15" customHeight="1" x14ac:dyDescent="0.2">
      <c r="B809" s="204"/>
      <c r="C809" s="10"/>
      <c r="D809" s="10"/>
      <c r="E809" s="10"/>
      <c r="F809" s="10"/>
      <c r="G809" s="10"/>
      <c r="H809" s="108"/>
      <c r="I809" s="379"/>
    </row>
    <row r="810" spans="2:16" ht="15" customHeight="1" x14ac:dyDescent="0.25">
      <c r="B810" s="204"/>
      <c r="C810" s="210" t="str">
        <f>n2Data_12SoldProducts_1Processing_Text5</f>
        <v>Carburants et combustibles</v>
      </c>
      <c r="D810" s="210" t="str">
        <f>n2Data_0General_Text4_Input</f>
        <v>Saisie</v>
      </c>
      <c r="E810" s="210" t="str">
        <f>n2Data_0General_Text5_Unit</f>
        <v>Unité</v>
      </c>
      <c r="F810" s="210" t="s">
        <v>73</v>
      </c>
      <c r="G810" s="237"/>
      <c r="H810" s="108"/>
      <c r="I810" s="379"/>
      <c r="J810" s="181" t="s">
        <v>2551</v>
      </c>
      <c r="K810" s="186" t="s">
        <v>2211</v>
      </c>
      <c r="L810" s="95" t="s">
        <v>2214</v>
      </c>
    </row>
    <row r="811" spans="2:16" ht="15" hidden="1" customHeight="1" x14ac:dyDescent="0.25">
      <c r="B811" s="204"/>
      <c r="C811" s="210" t="s">
        <v>27179</v>
      </c>
      <c r="D811" s="210" t="s">
        <v>27170</v>
      </c>
      <c r="E811" s="210" t="s">
        <v>276</v>
      </c>
      <c r="F811" s="210" t="s">
        <v>73</v>
      </c>
      <c r="G811" s="10"/>
      <c r="H811" s="108"/>
      <c r="I811" s="379"/>
      <c r="K811" s="92"/>
    </row>
    <row r="812" spans="2:16" ht="15" customHeight="1" x14ac:dyDescent="0.2">
      <c r="B812" s="204"/>
      <c r="C812" s="394"/>
      <c r="D812" s="394"/>
      <c r="E812" s="308" t="str" cm="1">
        <f t="array" ref="E812">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2" s="394" cm="1">
        <f t="array" ref="F812">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2" s="10"/>
      <c r="H812" s="108"/>
      <c r="I812" s="379"/>
      <c r="J812" s="181"/>
    </row>
    <row r="813" spans="2:16" ht="15" customHeight="1" x14ac:dyDescent="0.25">
      <c r="B813" s="204"/>
      <c r="C813" s="396"/>
      <c r="D813" s="396"/>
      <c r="E813" s="308" t="str" cm="1">
        <f t="array" ref="E813">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3" s="396" cm="1">
        <f t="array" ref="F813">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3" s="10"/>
      <c r="H813" s="108"/>
      <c r="I813" s="379"/>
      <c r="J813" s="91"/>
    </row>
    <row r="814" spans="2:16" ht="15" customHeight="1" x14ac:dyDescent="0.25">
      <c r="B814" s="204"/>
      <c r="C814" s="396"/>
      <c r="D814" s="396"/>
      <c r="E814" s="308" t="str" cm="1">
        <f t="array" ref="E814">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4" s="396" cm="1">
        <f t="array" ref="F814">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4" s="10"/>
      <c r="H814" s="108"/>
      <c r="I814" s="379"/>
      <c r="J814" s="91"/>
    </row>
    <row r="815" spans="2:16" ht="15" customHeight="1" x14ac:dyDescent="0.25">
      <c r="B815" s="204"/>
      <c r="C815" s="396"/>
      <c r="D815" s="396"/>
      <c r="E815" s="308" t="str" cm="1">
        <f t="array" ref="E815">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5" s="396" cm="1">
        <f t="array" ref="F815">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5" s="10"/>
      <c r="H815" s="108"/>
      <c r="I815" s="379"/>
      <c r="J815" s="91"/>
    </row>
    <row r="816" spans="2:16" ht="15" customHeight="1" x14ac:dyDescent="0.25">
      <c r="B816" s="204"/>
      <c r="C816" s="396"/>
      <c r="D816" s="396"/>
      <c r="E816" s="308" t="str" cm="1">
        <f t="array" ref="E816">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6" s="396" cm="1">
        <f t="array" ref="F816">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6" s="10"/>
      <c r="H816" s="108"/>
      <c r="I816" s="379"/>
      <c r="J816" s="91"/>
    </row>
    <row r="817" spans="1:16" s="186" customFormat="1" ht="15" customHeight="1" x14ac:dyDescent="0.2">
      <c r="A817" s="95"/>
      <c r="B817" s="204"/>
      <c r="C817" s="396"/>
      <c r="D817" s="396"/>
      <c r="E817" s="308" t="str" cm="1">
        <f t="array" ref="E817">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7" s="396" cm="1">
        <f t="array" ref="F817">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7" s="10"/>
      <c r="H817" s="108"/>
      <c r="I817" s="379"/>
      <c r="J817" s="92"/>
      <c r="L817" s="92"/>
      <c r="M817" s="92"/>
      <c r="N817" s="92"/>
      <c r="O817" s="92"/>
      <c r="P817" s="92"/>
    </row>
    <row r="818" spans="1:16" s="186" customFormat="1" ht="15" customHeight="1" x14ac:dyDescent="0.2">
      <c r="A818" s="95"/>
      <c r="B818" s="204"/>
      <c r="C818" s="396"/>
      <c r="D818" s="396"/>
      <c r="E818" s="308" t="str" cm="1">
        <f t="array" ref="E818">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8" s="396" cm="1">
        <f t="array" ref="F818">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8" s="10"/>
      <c r="H818" s="108"/>
      <c r="I818" s="379"/>
      <c r="J818" s="92"/>
      <c r="L818" s="92"/>
      <c r="M818" s="92"/>
      <c r="N818" s="92"/>
      <c r="O818" s="92"/>
      <c r="P818" s="92"/>
    </row>
    <row r="819" spans="1:16" s="186" customFormat="1" ht="15" customHeight="1" x14ac:dyDescent="0.2">
      <c r="A819" s="95"/>
      <c r="B819" s="204"/>
      <c r="C819" s="396"/>
      <c r="D819" s="396"/>
      <c r="E819" s="308" t="str" cm="1">
        <f t="array" ref="E819">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9" s="396" cm="1">
        <f t="array" ref="F819">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19" s="10"/>
      <c r="H819" s="108"/>
      <c r="I819" s="379"/>
      <c r="J819" s="92"/>
      <c r="L819" s="92"/>
      <c r="M819" s="92"/>
      <c r="N819" s="92"/>
      <c r="O819" s="92"/>
      <c r="P819" s="92"/>
    </row>
    <row r="820" spans="1:16" s="186" customFormat="1" ht="15" customHeight="1" x14ac:dyDescent="0.2">
      <c r="A820" s="95"/>
      <c r="B820" s="204"/>
      <c r="C820" s="396"/>
      <c r="D820" s="396"/>
      <c r="E820" s="308" t="str" cm="1">
        <f t="array" ref="E820">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20" s="396" cm="1">
        <f t="array" ref="F820">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20" s="10"/>
      <c r="H820" s="108"/>
      <c r="I820" s="379"/>
      <c r="J820" s="92"/>
      <c r="L820" s="92"/>
      <c r="M820" s="92"/>
      <c r="N820" s="92"/>
      <c r="O820" s="92"/>
      <c r="P820" s="92"/>
    </row>
    <row r="821" spans="1:16" s="186" customFormat="1" ht="15" customHeight="1" x14ac:dyDescent="0.2">
      <c r="A821" s="95"/>
      <c r="B821" s="204"/>
      <c r="C821" s="398"/>
      <c r="D821" s="398"/>
      <c r="E821" s="308" t="str" cm="1">
        <f t="array" ref="E821">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21" s="398" cm="1">
        <f t="array" ref="F821">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21" s="10"/>
      <c r="H821" s="108"/>
      <c r="I821" s="379"/>
      <c r="J821" s="92"/>
      <c r="L821" s="92"/>
      <c r="M821" s="92"/>
      <c r="N821" s="92"/>
      <c r="O821" s="92"/>
      <c r="P821" s="92"/>
    </row>
    <row r="822" spans="1:16" s="186" customFormat="1" ht="7.15" customHeight="1" x14ac:dyDescent="0.2">
      <c r="A822" s="95"/>
      <c r="B822" s="204"/>
      <c r="C822" s="225"/>
      <c r="D822" s="226"/>
      <c r="E822" s="225" t="str">
        <f>_xlfn.XLOOKUP(D_SoldP_Processing_Combustion[[#This Row],[Fuel]],Lists_S1_StationaryComb[Current Language Name],Lists_S1_StationaryComb[Input Unit],"")</f>
        <v/>
      </c>
      <c r="F822" s="239" cm="1">
        <f t="array" ref="F822">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22" s="10"/>
      <c r="H822" s="108"/>
      <c r="I822" s="379"/>
      <c r="J822" s="92"/>
      <c r="L822" s="92"/>
      <c r="M822" s="92"/>
      <c r="N822" s="92"/>
      <c r="O822" s="92"/>
      <c r="P822" s="92"/>
    </row>
    <row r="823" spans="1:16" s="186" customFormat="1" ht="15" customHeight="1" x14ac:dyDescent="0.2">
      <c r="A823" s="95"/>
      <c r="B823" s="171"/>
      <c r="C823" s="172"/>
      <c r="D823" s="172"/>
      <c r="E823" s="172"/>
      <c r="F823" s="172"/>
      <c r="G823" s="172"/>
      <c r="H823" s="120"/>
      <c r="I823" s="379"/>
      <c r="J823" s="92"/>
      <c r="L823" s="92"/>
      <c r="M823" s="92"/>
      <c r="N823" s="92"/>
      <c r="O823" s="92"/>
      <c r="P823" s="92"/>
    </row>
    <row r="824" spans="1:16" s="186" customFormat="1" ht="15" customHeight="1" x14ac:dyDescent="0.2">
      <c r="A824" s="95"/>
      <c r="B824" s="92"/>
      <c r="C824" s="92"/>
      <c r="D824" s="92"/>
      <c r="E824" s="92"/>
      <c r="F824" s="92"/>
      <c r="G824" s="92"/>
      <c r="H824" s="92"/>
      <c r="I824" s="379"/>
      <c r="J824" s="92"/>
      <c r="L824" s="92"/>
      <c r="M824" s="92"/>
      <c r="N824" s="92"/>
      <c r="O824" s="92"/>
      <c r="P824" s="92"/>
    </row>
    <row r="825" spans="1:16" s="186" customFormat="1" ht="15" customHeight="1" x14ac:dyDescent="0.2">
      <c r="A825" s="95"/>
      <c r="B825" s="200"/>
      <c r="C825" s="129"/>
      <c r="D825" s="129"/>
      <c r="E825" s="129"/>
      <c r="F825" s="129"/>
      <c r="G825" s="129"/>
      <c r="H825" s="215" t="str">
        <f>n2Data_12SoldProducts</f>
        <v>10 Produits vendus</v>
      </c>
      <c r="I825" s="388" t="str">
        <f>IF(OR(GenInp_B1_Scope3="no",GenInp_D6_SoldP_Use="no"),"hide","display")</f>
        <v>display</v>
      </c>
      <c r="J825" s="92"/>
      <c r="L825" s="92"/>
      <c r="M825" s="92"/>
      <c r="N825" s="92"/>
      <c r="O825" s="92"/>
      <c r="P825" s="92"/>
    </row>
    <row r="826" spans="1:16" s="186" customFormat="1" ht="10.15" customHeight="1" x14ac:dyDescent="0.2">
      <c r="A826" s="95"/>
      <c r="B826" s="204"/>
      <c r="C826" s="10"/>
      <c r="D826" s="10"/>
      <c r="E826" s="10"/>
      <c r="F826" s="10"/>
      <c r="G826" s="10"/>
      <c r="H826" s="217"/>
      <c r="I826" s="388"/>
      <c r="J826" s="92"/>
      <c r="L826" s="92"/>
      <c r="M826" s="92"/>
      <c r="N826" s="92"/>
      <c r="O826" s="92"/>
      <c r="P826" s="92"/>
    </row>
    <row r="827" spans="1:16" s="186" customFormat="1" ht="15" x14ac:dyDescent="0.25">
      <c r="A827" s="95"/>
      <c r="B827" s="204"/>
      <c r="C827" s="24" t="str">
        <f>n2Data_12SoldProducts_2Use</f>
        <v>Utilisation des produits vendus</v>
      </c>
      <c r="D827" s="10"/>
      <c r="E827" s="10"/>
      <c r="F827" s="10"/>
      <c r="G827" s="10"/>
      <c r="H827" s="108"/>
      <c r="I827" s="379"/>
      <c r="J827" s="181" t="s">
        <v>2553</v>
      </c>
      <c r="L827" s="92"/>
      <c r="M827" s="92"/>
      <c r="N827" s="92"/>
      <c r="O827" s="92"/>
      <c r="P827" s="92"/>
    </row>
    <row r="828" spans="1:16" s="186" customFormat="1" ht="30" customHeight="1" x14ac:dyDescent="0.2">
      <c r="A828" s="95"/>
      <c r="B828" s="204"/>
      <c r="C828" s="700" t="str">
        <f>n2Data_12SoldProducts_2Use_Text1</f>
        <v>Indiquez la consommation de carburant, de combustible et d'électricité chez le client pendant la phase d'utilisation des produits que vous avez vendus.
Cela s’applique, par exemple, aux besoins énergétiques des appareils électroniques ou à la consommation de carburant des véhicules.</v>
      </c>
      <c r="D828" s="700"/>
      <c r="E828" s="700"/>
      <c r="F828" s="700"/>
      <c r="G828" s="10"/>
      <c r="H828" s="108"/>
      <c r="I828" s="379"/>
      <c r="J828" s="181" t="s">
        <v>2557</v>
      </c>
      <c r="L828" s="92"/>
      <c r="M828" s="92"/>
      <c r="N828" s="92"/>
      <c r="O828" s="216"/>
      <c r="P828" s="216"/>
    </row>
    <row r="829" spans="1:16" s="186" customFormat="1" ht="10.15" customHeight="1" x14ac:dyDescent="0.2">
      <c r="A829" s="95"/>
      <c r="B829" s="204"/>
      <c r="C829" s="16"/>
      <c r="D829" s="16"/>
      <c r="E829" s="16"/>
      <c r="F829" s="16"/>
      <c r="G829" s="10"/>
      <c r="H829" s="108"/>
      <c r="I829" s="379"/>
      <c r="J829" s="92"/>
      <c r="L829" s="92"/>
      <c r="M829" s="92"/>
      <c r="N829" s="92"/>
      <c r="O829" s="216"/>
      <c r="P829" s="216"/>
    </row>
    <row r="830" spans="1:16" s="186" customFormat="1" ht="31.15" customHeight="1" x14ac:dyDescent="0.2">
      <c r="A830" s="95"/>
      <c r="B830" s="204"/>
      <c r="C830" s="700" t="str">
        <f>n2Data_12SoldProducts_1Processing_Text101</f>
        <v>Indiquez la consommation d’électricité estimée en kilowattheures (kWh). Sélectionnez les carburants concernés (menu déroulant). Sous « Saisie », saisissez les quantités estimées dans l’unité correspondante ou la consommation d’énergie directement en mégajoules (MJ).</v>
      </c>
      <c r="D830" s="700"/>
      <c r="E830" s="700"/>
      <c r="F830" s="700"/>
      <c r="G830" s="10"/>
      <c r="H830" s="108"/>
      <c r="I830" s="379"/>
      <c r="J830" s="95" t="s">
        <v>27178</v>
      </c>
      <c r="L830" s="92"/>
      <c r="M830" s="92"/>
      <c r="N830" s="92"/>
      <c r="O830" s="92"/>
      <c r="P830" s="92"/>
    </row>
    <row r="831" spans="1:16" s="186" customFormat="1" ht="10.15" customHeight="1" x14ac:dyDescent="0.2">
      <c r="A831" s="95"/>
      <c r="B831" s="204"/>
      <c r="C831" s="16"/>
      <c r="D831" s="16"/>
      <c r="E831" s="16"/>
      <c r="F831" s="16"/>
      <c r="G831" s="10"/>
      <c r="H831" s="108"/>
      <c r="I831" s="379"/>
      <c r="J831" s="92"/>
      <c r="L831" s="92"/>
      <c r="M831" s="92"/>
      <c r="N831" s="92"/>
      <c r="O831" s="92"/>
      <c r="P831" s="92"/>
    </row>
    <row r="832" spans="1:16" s="186" customFormat="1" ht="15" customHeight="1" x14ac:dyDescent="0.2">
      <c r="A832" s="95"/>
      <c r="B832" s="204"/>
      <c r="C832" s="207" t="str">
        <f>n2Data_0General_Text1 &amp; I832</f>
        <v>Pour plus d’informations, voir le User Manual, chapitre 4.10</v>
      </c>
      <c r="D832" s="16"/>
      <c r="E832" s="16"/>
      <c r="F832" s="16"/>
      <c r="G832" s="10"/>
      <c r="H832" s="108"/>
      <c r="I832" s="379" t="str">
        <f>" 4.10"</f>
        <v xml:space="preserve"> 4.10</v>
      </c>
      <c r="J832" s="95" t="s">
        <v>2203</v>
      </c>
      <c r="L832" s="92"/>
      <c r="M832" s="92"/>
      <c r="N832" s="92"/>
      <c r="O832" s="92"/>
      <c r="P832" s="92"/>
    </row>
    <row r="833" spans="2:16" ht="10.15" customHeight="1" x14ac:dyDescent="0.2">
      <c r="B833" s="204"/>
      <c r="C833" s="16"/>
      <c r="D833" s="16"/>
      <c r="E833" s="16"/>
      <c r="F833" s="16"/>
      <c r="G833" s="10"/>
      <c r="H833" s="108"/>
      <c r="I833" s="379"/>
      <c r="J833" s="95"/>
    </row>
    <row r="834" spans="2:16" ht="21.75" customHeight="1" x14ac:dyDescent="0.2">
      <c r="B834" s="204"/>
      <c r="C834" s="728" t="str">
        <f>n2Data_0General_Text2</f>
        <v>Cochez la case une fois le tableau terminé.</v>
      </c>
      <c r="D834" s="728"/>
      <c r="E834" s="728"/>
      <c r="F834" s="728"/>
      <c r="G834" s="10"/>
      <c r="H834" s="108"/>
      <c r="I834" s="386" t="b">
        <v>0</v>
      </c>
      <c r="J834" s="95" t="s">
        <v>2204</v>
      </c>
    </row>
    <row r="835" spans="2:16" ht="10.15" customHeight="1" x14ac:dyDescent="0.2">
      <c r="B835" s="204"/>
      <c r="C835" s="10"/>
      <c r="D835" s="10"/>
      <c r="E835" s="10"/>
      <c r="F835" s="10"/>
      <c r="G835" s="10"/>
      <c r="H835" s="108"/>
      <c r="I835" s="387">
        <f>IF(OR(I825="hide",I834=TRUE),100%,0%)</f>
        <v>0</v>
      </c>
      <c r="J835" s="95"/>
    </row>
    <row r="836" spans="2:16" ht="15" customHeight="1" x14ac:dyDescent="0.2">
      <c r="B836" s="204"/>
      <c r="C836" s="207" t="str">
        <f>n2Data_0General_Text3</f>
        <v>Notes :</v>
      </c>
      <c r="D836" s="21"/>
      <c r="E836" s="21"/>
      <c r="F836" s="21"/>
      <c r="G836" s="10"/>
      <c r="H836" s="108"/>
      <c r="I836" s="379"/>
      <c r="J836" s="95" t="s">
        <v>2207</v>
      </c>
    </row>
    <row r="837" spans="2:16" x14ac:dyDescent="0.2">
      <c r="B837" s="204"/>
      <c r="C837" s="729"/>
      <c r="D837" s="730"/>
      <c r="E837" s="730"/>
      <c r="F837" s="731"/>
      <c r="G837" s="10"/>
      <c r="H837" s="108"/>
      <c r="I837" s="379"/>
    </row>
    <row r="838" spans="2:16" x14ac:dyDescent="0.2">
      <c r="B838" s="204"/>
      <c r="C838" s="732"/>
      <c r="D838" s="733"/>
      <c r="E838" s="733"/>
      <c r="F838" s="734"/>
      <c r="G838" s="10"/>
      <c r="H838" s="108"/>
      <c r="I838" s="379"/>
      <c r="O838" s="209"/>
      <c r="P838" s="209"/>
    </row>
    <row r="839" spans="2:16" ht="15" customHeight="1" x14ac:dyDescent="0.2">
      <c r="B839" s="204"/>
      <c r="C839" s="224"/>
      <c r="D839" s="10"/>
      <c r="E839" s="10"/>
      <c r="F839" s="10"/>
      <c r="G839" s="10"/>
      <c r="H839" s="108"/>
      <c r="I839" s="379"/>
    </row>
    <row r="840" spans="2:16" ht="15" customHeight="1" x14ac:dyDescent="0.25">
      <c r="B840" s="204"/>
      <c r="C840" s="210" t="str">
        <f>n2Data_12SoldProducts_2Use_Text2</f>
        <v>Consommation d’énergie</v>
      </c>
      <c r="D840" s="213" t="s">
        <v>27135</v>
      </c>
      <c r="E840" s="213" t="s">
        <v>27137</v>
      </c>
      <c r="F840" s="210" t="s">
        <v>224</v>
      </c>
      <c r="G840" s="10"/>
      <c r="H840" s="108"/>
      <c r="I840" s="379"/>
      <c r="J840" s="181" t="s">
        <v>2558</v>
      </c>
    </row>
    <row r="841" spans="2:16" ht="15" hidden="1" customHeight="1" x14ac:dyDescent="0.25">
      <c r="B841" s="204"/>
      <c r="C841" s="210" t="s">
        <v>2803</v>
      </c>
      <c r="D841" s="213" t="s">
        <v>27135</v>
      </c>
      <c r="E841" s="213" t="s">
        <v>27137</v>
      </c>
      <c r="F841" s="210" t="s">
        <v>224</v>
      </c>
      <c r="G841" s="10"/>
      <c r="H841" s="108"/>
      <c r="I841" s="379"/>
    </row>
    <row r="842" spans="2:16" ht="15" customHeight="1" x14ac:dyDescent="0.2">
      <c r="B842" s="204"/>
      <c r="C842" s="308" t="str">
        <f>n2Data_12SoldProducts_2Use_Text3</f>
        <v>Électricité, réseau, basse tension</v>
      </c>
      <c r="D842" s="308"/>
      <c r="E842" s="308"/>
      <c r="F842" s="399"/>
      <c r="G842" s="10"/>
      <c r="H842" s="108"/>
      <c r="I842" s="379"/>
      <c r="J842" s="181" t="s">
        <v>2559</v>
      </c>
    </row>
    <row r="843" spans="2:16" ht="15" customHeight="1" x14ac:dyDescent="0.2">
      <c r="B843" s="204"/>
      <c r="C843" s="308" t="str">
        <f>n2Data_12SoldProducts_2Use_Text4</f>
        <v>Électricité, réseau, moyenne tension</v>
      </c>
      <c r="D843" s="308"/>
      <c r="E843" s="308"/>
      <c r="F843" s="397"/>
      <c r="G843" s="10"/>
      <c r="H843" s="108"/>
      <c r="I843" s="379"/>
      <c r="J843" s="181" t="s">
        <v>2560</v>
      </c>
    </row>
    <row r="844" spans="2:16" ht="7.15" customHeight="1" x14ac:dyDescent="0.2">
      <c r="B844" s="204"/>
      <c r="C844" s="225"/>
      <c r="D844" s="225"/>
      <c r="E844" s="225"/>
      <c r="F844" s="226"/>
      <c r="G844" s="10"/>
      <c r="H844" s="108"/>
      <c r="I844" s="379"/>
    </row>
    <row r="845" spans="2:16" ht="15" customHeight="1" x14ac:dyDescent="0.2">
      <c r="B845" s="204"/>
      <c r="C845" s="10"/>
      <c r="D845" s="10"/>
      <c r="E845" s="10"/>
      <c r="F845" s="10"/>
      <c r="G845" s="237"/>
      <c r="H845" s="108"/>
      <c r="I845" s="379"/>
    </row>
    <row r="846" spans="2:16" ht="15" customHeight="1" x14ac:dyDescent="0.25">
      <c r="B846" s="204"/>
      <c r="C846" s="210" t="str">
        <f>n2Data_12SoldProducts_2Use_Text5</f>
        <v>Carburants et combustibles</v>
      </c>
      <c r="D846" s="210" t="str">
        <f>n2Data_0General_Text4_Input</f>
        <v>Saisie</v>
      </c>
      <c r="E846" s="210" t="str">
        <f>n2Data_0General_Text5_Unit</f>
        <v>Unité</v>
      </c>
      <c r="F846" s="210" t="s">
        <v>73</v>
      </c>
      <c r="G846" s="237"/>
      <c r="H846" s="108"/>
      <c r="I846" s="379"/>
      <c r="J846" s="181" t="s">
        <v>2561</v>
      </c>
      <c r="K846" s="186" t="s">
        <v>2211</v>
      </c>
      <c r="L846" s="95" t="s">
        <v>2214</v>
      </c>
    </row>
    <row r="847" spans="2:16" ht="15" hidden="1" customHeight="1" x14ac:dyDescent="0.25">
      <c r="B847" s="204"/>
      <c r="C847" s="210" t="s">
        <v>27179</v>
      </c>
      <c r="D847" s="210" t="s">
        <v>27170</v>
      </c>
      <c r="E847" s="210" t="s">
        <v>276</v>
      </c>
      <c r="F847" s="210" t="s">
        <v>73</v>
      </c>
      <c r="G847" s="10"/>
      <c r="H847" s="108"/>
      <c r="I847" s="379"/>
      <c r="K847" s="92"/>
    </row>
    <row r="848" spans="2:16" ht="15" customHeight="1" x14ac:dyDescent="0.2">
      <c r="B848" s="204"/>
      <c r="C848" s="394"/>
      <c r="D848" s="394"/>
      <c r="E848" s="308" t="str" cm="1">
        <f t="array" ref="E848">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48" s="394" cm="1">
        <f t="array" ref="F848">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48" s="10"/>
      <c r="H848" s="108"/>
      <c r="I848" s="379"/>
    </row>
    <row r="849" spans="1:16" ht="15" customHeight="1" x14ac:dyDescent="0.2">
      <c r="B849" s="204"/>
      <c r="C849" s="396"/>
      <c r="D849" s="396"/>
      <c r="E849" s="308" t="str" cm="1">
        <f t="array" ref="E849">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49" s="396" cm="1">
        <f t="array" ref="F849">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49" s="10"/>
      <c r="H849" s="108"/>
      <c r="I849" s="379"/>
    </row>
    <row r="850" spans="1:16" ht="15" customHeight="1" x14ac:dyDescent="0.2">
      <c r="B850" s="204"/>
      <c r="C850" s="396"/>
      <c r="D850" s="396"/>
      <c r="E850" s="308" t="str" cm="1">
        <f t="array" ref="E850">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0" s="396" cm="1">
        <f t="array" ref="F850">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0" s="10"/>
      <c r="H850" s="108"/>
      <c r="I850" s="379"/>
    </row>
    <row r="851" spans="1:16" s="186" customFormat="1" ht="15" customHeight="1" x14ac:dyDescent="0.25">
      <c r="A851" s="95"/>
      <c r="B851" s="204"/>
      <c r="C851" s="396"/>
      <c r="D851" s="396"/>
      <c r="E851" s="308" t="str" cm="1">
        <f t="array" ref="E851">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1" s="396" cm="1">
        <f t="array" ref="F851">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1" s="10"/>
      <c r="H851" s="108"/>
      <c r="I851" s="379"/>
      <c r="J851" s="91"/>
      <c r="L851" s="92"/>
      <c r="M851" s="92"/>
      <c r="N851" s="92"/>
      <c r="O851" s="92"/>
      <c r="P851" s="92"/>
    </row>
    <row r="852" spans="1:16" s="186" customFormat="1" ht="15" customHeight="1" x14ac:dyDescent="0.2">
      <c r="A852" s="95"/>
      <c r="B852" s="204"/>
      <c r="C852" s="396"/>
      <c r="D852" s="396"/>
      <c r="E852" s="308" t="str" cm="1">
        <f t="array" ref="E852">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2" s="396" cm="1">
        <f t="array" ref="F852">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2" s="10"/>
      <c r="H852" s="108"/>
      <c r="I852" s="379"/>
      <c r="J852" s="92"/>
      <c r="L852" s="92"/>
      <c r="M852" s="92"/>
      <c r="N852" s="92"/>
      <c r="O852" s="92"/>
      <c r="P852" s="92"/>
    </row>
    <row r="853" spans="1:16" s="186" customFormat="1" ht="15" customHeight="1" x14ac:dyDescent="0.2">
      <c r="A853" s="95"/>
      <c r="B853" s="204"/>
      <c r="C853" s="396"/>
      <c r="D853" s="396"/>
      <c r="E853" s="308" t="str" cm="1">
        <f t="array" ref="E853">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3" s="396" cm="1">
        <f t="array" ref="F853">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3" s="10"/>
      <c r="H853" s="108"/>
      <c r="I853" s="379"/>
      <c r="J853" s="92"/>
      <c r="L853" s="92"/>
      <c r="M853" s="92"/>
      <c r="N853" s="92"/>
      <c r="O853" s="92"/>
      <c r="P853" s="92"/>
    </row>
    <row r="854" spans="1:16" s="186" customFormat="1" ht="15" customHeight="1" x14ac:dyDescent="0.2">
      <c r="A854" s="95"/>
      <c r="B854" s="204"/>
      <c r="C854" s="396"/>
      <c r="D854" s="396"/>
      <c r="E854" s="308" t="str" cm="1">
        <f t="array" ref="E854">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4" s="396" cm="1">
        <f t="array" ref="F854">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4" s="10"/>
      <c r="H854" s="108"/>
      <c r="I854" s="379"/>
      <c r="J854" s="92"/>
      <c r="L854" s="92"/>
      <c r="M854" s="92"/>
      <c r="N854" s="92"/>
      <c r="O854" s="92"/>
      <c r="P854" s="92"/>
    </row>
    <row r="855" spans="1:16" s="186" customFormat="1" ht="15" customHeight="1" x14ac:dyDescent="0.2">
      <c r="A855" s="95"/>
      <c r="B855" s="204"/>
      <c r="C855" s="396"/>
      <c r="D855" s="396"/>
      <c r="E855" s="308" t="str" cm="1">
        <f t="array" ref="E855">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5" s="396" cm="1">
        <f t="array" ref="F855">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5" s="10"/>
      <c r="H855" s="108"/>
      <c r="I855" s="379"/>
      <c r="J855" s="92"/>
      <c r="L855" s="92"/>
      <c r="M855" s="92"/>
      <c r="N855" s="92"/>
      <c r="O855" s="92"/>
      <c r="P855" s="92"/>
    </row>
    <row r="856" spans="1:16" s="186" customFormat="1" ht="15" customHeight="1" x14ac:dyDescent="0.2">
      <c r="A856" s="95"/>
      <c r="B856" s="204"/>
      <c r="C856" s="396"/>
      <c r="D856" s="396"/>
      <c r="E856" s="308" t="str" cm="1">
        <f t="array" ref="E856">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6" s="396" cm="1">
        <f t="array" ref="F856">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6" s="10"/>
      <c r="H856" s="108"/>
      <c r="I856" s="379"/>
      <c r="J856" s="92"/>
      <c r="L856" s="92"/>
      <c r="M856" s="92"/>
      <c r="N856" s="92"/>
      <c r="O856" s="92"/>
      <c r="P856" s="92"/>
    </row>
    <row r="857" spans="1:16" s="186" customFormat="1" ht="15" customHeight="1" x14ac:dyDescent="0.2">
      <c r="A857" s="95"/>
      <c r="B857" s="204"/>
      <c r="C857" s="398"/>
      <c r="D857" s="398"/>
      <c r="E857" s="308" t="str" cm="1">
        <f t="array" ref="E857">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7" s="398" cm="1">
        <f t="array" ref="F857">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7" s="10"/>
      <c r="H857" s="108"/>
      <c r="I857" s="379"/>
      <c r="J857" s="92"/>
      <c r="L857" s="92"/>
      <c r="M857" s="92"/>
      <c r="N857" s="92"/>
      <c r="O857" s="92"/>
      <c r="P857" s="92"/>
    </row>
    <row r="858" spans="1:16" s="186" customFormat="1" ht="7.15" customHeight="1" x14ac:dyDescent="0.2">
      <c r="A858" s="95"/>
      <c r="B858" s="204"/>
      <c r="C858" s="225"/>
      <c r="D858" s="226"/>
      <c r="E858" s="225" t="str">
        <f>_xlfn.XLOOKUP(D_SoldP_Use_Combustion[[#This Row],[Fuel]],Lists_S1_StationaryComb[Current Language Name],Lists_S1_StationaryComb[Input Unit],"")</f>
        <v/>
      </c>
      <c r="F858" s="239" cm="1">
        <f t="array" ref="F858">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_xlfn.TOCOL(_xlfn.HSTACK(Lists_S1_StationaryComb[Net calorific value (MJ/Input Unit)],Lists_S1_StationaryComb[Net calorific value (MJ/Input Unit)],Lists_S1_StationaryComb[Net calorific value (MJ/Input Unit)]),1),
""))</f>
        <v>0</v>
      </c>
      <c r="G858" s="10"/>
      <c r="H858" s="108"/>
      <c r="I858" s="379"/>
      <c r="J858" s="92"/>
      <c r="L858" s="92"/>
      <c r="M858" s="92"/>
      <c r="N858" s="92"/>
      <c r="O858" s="92"/>
      <c r="P858" s="92"/>
    </row>
    <row r="859" spans="1:16" s="186" customFormat="1" ht="15" customHeight="1" x14ac:dyDescent="0.2">
      <c r="A859" s="95"/>
      <c r="B859" s="171"/>
      <c r="C859" s="172"/>
      <c r="D859" s="172"/>
      <c r="E859" s="172"/>
      <c r="F859" s="172"/>
      <c r="G859" s="172"/>
      <c r="H859" s="120"/>
      <c r="I859" s="379"/>
      <c r="J859" s="92"/>
      <c r="L859" s="92"/>
      <c r="M859" s="92"/>
      <c r="N859" s="92"/>
      <c r="O859" s="92"/>
      <c r="P859" s="92"/>
    </row>
    <row r="860" spans="1:16" s="186" customFormat="1" ht="15" customHeight="1" x14ac:dyDescent="0.2">
      <c r="A860" s="95"/>
      <c r="B860" s="92"/>
      <c r="C860" s="92"/>
      <c r="D860" s="92"/>
      <c r="E860" s="92"/>
      <c r="F860" s="92"/>
      <c r="G860" s="92"/>
      <c r="H860" s="92"/>
      <c r="I860" s="379"/>
      <c r="J860" s="92"/>
      <c r="L860" s="92"/>
      <c r="M860" s="92"/>
      <c r="N860" s="92"/>
      <c r="O860" s="92"/>
      <c r="P860" s="92"/>
    </row>
    <row r="861" spans="1:16" s="186" customFormat="1" ht="15" customHeight="1" x14ac:dyDescent="0.2">
      <c r="A861" s="95"/>
      <c r="B861" s="200"/>
      <c r="C861" s="129"/>
      <c r="D861" s="129"/>
      <c r="E861" s="129"/>
      <c r="F861" s="129"/>
      <c r="G861" s="129"/>
      <c r="H861" s="215" t="str">
        <f>n2Data_12SoldProducts</f>
        <v>10 Produits vendus</v>
      </c>
      <c r="I861" s="388" t="str">
        <f>IF(OR(GenInp_B1_Scope3="no",GenInp_D4_SoldP="no"),"hide","display")</f>
        <v>display</v>
      </c>
      <c r="J861" s="92"/>
      <c r="L861" s="92"/>
      <c r="M861" s="92"/>
      <c r="N861" s="92"/>
      <c r="O861" s="92"/>
      <c r="P861" s="92"/>
    </row>
    <row r="862" spans="1:16" s="186" customFormat="1" ht="10.15" customHeight="1" x14ac:dyDescent="0.2">
      <c r="A862" s="95"/>
      <c r="B862" s="204"/>
      <c r="C862" s="10"/>
      <c r="D862" s="10"/>
      <c r="E862" s="10"/>
      <c r="F862" s="10"/>
      <c r="G862" s="10"/>
      <c r="H862" s="217"/>
      <c r="I862" s="388"/>
      <c r="J862" s="92"/>
      <c r="L862" s="92"/>
      <c r="M862" s="92"/>
      <c r="N862" s="92"/>
      <c r="O862" s="92"/>
      <c r="P862" s="92"/>
    </row>
    <row r="863" spans="1:16" s="186" customFormat="1" ht="15" customHeight="1" x14ac:dyDescent="0.25">
      <c r="A863" s="95"/>
      <c r="B863" s="204"/>
      <c r="C863" s="24" t="str">
        <f>n2Data_12SoldProducts_3EndOfLife</f>
        <v>Élimination des produits vendus</v>
      </c>
      <c r="D863" s="10"/>
      <c r="E863" s="10"/>
      <c r="F863" s="10"/>
      <c r="G863" s="10"/>
      <c r="H863" s="108"/>
      <c r="I863" s="379"/>
      <c r="J863" s="181" t="s">
        <v>2563</v>
      </c>
      <c r="L863" s="92"/>
      <c r="M863" s="92"/>
      <c r="N863" s="92"/>
      <c r="O863" s="92"/>
      <c r="P863" s="92"/>
    </row>
    <row r="864" spans="1:16" s="186" customFormat="1" ht="30" customHeight="1" x14ac:dyDescent="0.2">
      <c r="A864" s="95"/>
      <c r="B864" s="204"/>
      <c r="C864" s="700" t="str">
        <f>n2Data_12SoldProducts_3EndOfLife_Text1</f>
        <v>Indiquez la quantité totale de produits vendus au cours de l’année du bilan, en lien avec la fin de leur vie (élimination / recyclage).
Par exemple, un aspirateur est principalement en plastique et est incinéré, tandis qu’un produit métallique est susceptible d’être recyclé.</v>
      </c>
      <c r="D864" s="700"/>
      <c r="E864" s="700"/>
      <c r="F864" s="700"/>
      <c r="G864" s="10"/>
      <c r="H864" s="108"/>
      <c r="I864" s="379"/>
      <c r="J864" s="181" t="s">
        <v>2567</v>
      </c>
      <c r="L864" s="92"/>
      <c r="M864" s="92"/>
      <c r="N864" s="92"/>
      <c r="O864" s="216"/>
      <c r="P864" s="216"/>
    </row>
    <row r="865" spans="1:16" s="186" customFormat="1" ht="10.15" customHeight="1" x14ac:dyDescent="0.2">
      <c r="A865" s="95"/>
      <c r="B865" s="204"/>
      <c r="C865" s="16"/>
      <c r="D865" s="16"/>
      <c r="E865" s="16"/>
      <c r="F865" s="16"/>
      <c r="G865" s="10"/>
      <c r="H865" s="108"/>
      <c r="I865" s="379"/>
      <c r="J865" s="92"/>
      <c r="L865" s="92"/>
      <c r="M865" s="92"/>
      <c r="N865" s="92"/>
      <c r="O865" s="216"/>
      <c r="P865" s="216"/>
    </row>
    <row r="866" spans="1:16" s="186" customFormat="1" x14ac:dyDescent="0.2">
      <c r="A866" s="95"/>
      <c r="B866" s="204"/>
      <c r="C866" s="700" t="str">
        <f>n2Data_12SoldProducts_3EndOfLife_Text101</f>
        <v>Classez tous les produits vendus selon les types de déchets et le mode d'élimination prévu. Sous « kg », entrez les quantités en kilogrammes.</v>
      </c>
      <c r="D866" s="700"/>
      <c r="E866" s="700"/>
      <c r="F866" s="700"/>
      <c r="G866" s="10"/>
      <c r="H866" s="108"/>
      <c r="I866" s="379"/>
      <c r="J866" s="181" t="s">
        <v>27180</v>
      </c>
      <c r="L866" s="92"/>
      <c r="M866" s="92"/>
      <c r="N866" s="92"/>
      <c r="O866" s="92"/>
      <c r="P866" s="92"/>
    </row>
    <row r="867" spans="1:16" s="186" customFormat="1" ht="10.15" customHeight="1" x14ac:dyDescent="0.2">
      <c r="A867" s="95"/>
      <c r="B867" s="204"/>
      <c r="C867" s="16"/>
      <c r="D867" s="16"/>
      <c r="E867" s="16"/>
      <c r="F867" s="16"/>
      <c r="G867" s="10"/>
      <c r="H867" s="108"/>
      <c r="I867" s="379"/>
      <c r="J867" s="92"/>
      <c r="L867" s="92"/>
      <c r="M867" s="92"/>
      <c r="N867" s="92"/>
      <c r="O867" s="92"/>
      <c r="P867" s="92"/>
    </row>
    <row r="868" spans="1:16" s="186" customFormat="1" ht="15" customHeight="1" x14ac:dyDescent="0.2">
      <c r="A868" s="95"/>
      <c r="B868" s="204"/>
      <c r="C868" s="207" t="str">
        <f>n2Data_0General_Text1 &amp; I868</f>
        <v>Pour plus d’informations, voir le User Manual, chapitre 4.10</v>
      </c>
      <c r="D868" s="16"/>
      <c r="E868" s="16"/>
      <c r="F868" s="16"/>
      <c r="G868" s="10"/>
      <c r="H868" s="108"/>
      <c r="I868" s="379" t="str">
        <f>" 4.10"</f>
        <v xml:space="preserve"> 4.10</v>
      </c>
      <c r="J868" s="95" t="s">
        <v>2203</v>
      </c>
      <c r="L868" s="92"/>
      <c r="M868" s="92"/>
      <c r="N868" s="92"/>
      <c r="O868" s="92"/>
      <c r="P868" s="92"/>
    </row>
    <row r="869" spans="1:16" s="186" customFormat="1" ht="10.15" customHeight="1" x14ac:dyDescent="0.2">
      <c r="A869" s="95"/>
      <c r="B869" s="204"/>
      <c r="C869" s="16"/>
      <c r="D869" s="16"/>
      <c r="E869" s="16"/>
      <c r="F869" s="16"/>
      <c r="G869" s="10"/>
      <c r="H869" s="108"/>
      <c r="I869" s="379"/>
      <c r="J869" s="95"/>
      <c r="L869" s="92"/>
      <c r="M869" s="92"/>
      <c r="N869" s="92"/>
      <c r="O869" s="92"/>
      <c r="P869" s="92"/>
    </row>
    <row r="870" spans="1:16" s="186" customFormat="1" ht="21.75" customHeight="1" x14ac:dyDescent="0.2">
      <c r="A870" s="95"/>
      <c r="B870" s="204"/>
      <c r="C870" s="728" t="str">
        <f>n2Data_0General_Text2</f>
        <v>Cochez la case une fois le tableau terminé.</v>
      </c>
      <c r="D870" s="728"/>
      <c r="E870" s="728"/>
      <c r="F870" s="728"/>
      <c r="G870" s="10"/>
      <c r="H870" s="108"/>
      <c r="I870" s="386" t="b">
        <v>0</v>
      </c>
      <c r="J870" s="95" t="s">
        <v>2204</v>
      </c>
      <c r="L870" s="92"/>
      <c r="M870" s="92"/>
      <c r="N870" s="92"/>
      <c r="O870" s="92"/>
      <c r="P870" s="92"/>
    </row>
    <row r="871" spans="1:16" s="186" customFormat="1" ht="10.15" customHeight="1" x14ac:dyDescent="0.2">
      <c r="A871" s="95"/>
      <c r="B871" s="204"/>
      <c r="C871" s="10"/>
      <c r="D871" s="10"/>
      <c r="E871" s="10"/>
      <c r="F871" s="10"/>
      <c r="G871" s="10"/>
      <c r="H871" s="108"/>
      <c r="I871" s="387">
        <f>IF(OR(I861="hide",I870=TRUE),100%,0%)</f>
        <v>0</v>
      </c>
      <c r="J871" s="95"/>
      <c r="L871" s="92"/>
      <c r="M871" s="92"/>
      <c r="N871" s="92"/>
      <c r="O871" s="92"/>
      <c r="P871" s="92"/>
    </row>
    <row r="872" spans="1:16" s="186" customFormat="1" ht="15" customHeight="1" x14ac:dyDescent="0.2">
      <c r="A872" s="95"/>
      <c r="B872" s="204"/>
      <c r="C872" s="207" t="str">
        <f>n2Data_0General_Text3</f>
        <v>Notes :</v>
      </c>
      <c r="D872" s="21"/>
      <c r="E872" s="21"/>
      <c r="F872" s="21"/>
      <c r="G872" s="10"/>
      <c r="H872" s="108"/>
      <c r="I872" s="379"/>
      <c r="J872" s="95" t="s">
        <v>2207</v>
      </c>
      <c r="L872" s="92"/>
      <c r="M872" s="92"/>
      <c r="N872" s="92"/>
      <c r="O872" s="92"/>
      <c r="P872" s="92"/>
    </row>
    <row r="873" spans="1:16" s="186" customFormat="1" ht="18.75" x14ac:dyDescent="0.2">
      <c r="A873" s="95"/>
      <c r="B873" s="204"/>
      <c r="C873" s="729"/>
      <c r="D873" s="730"/>
      <c r="E873" s="730"/>
      <c r="F873" s="731"/>
      <c r="G873" s="10"/>
      <c r="H873" s="108"/>
      <c r="I873" s="379"/>
      <c r="J873" s="92"/>
      <c r="L873" s="92"/>
      <c r="M873" s="98"/>
      <c r="N873" s="98"/>
      <c r="O873" s="92"/>
      <c r="P873" s="92"/>
    </row>
    <row r="874" spans="1:16" s="186" customFormat="1" x14ac:dyDescent="0.2">
      <c r="A874" s="95"/>
      <c r="B874" s="204"/>
      <c r="C874" s="732"/>
      <c r="D874" s="733"/>
      <c r="E874" s="733"/>
      <c r="F874" s="734"/>
      <c r="G874" s="10"/>
      <c r="H874" s="108"/>
      <c r="I874" s="379"/>
      <c r="J874" s="92"/>
      <c r="L874" s="92"/>
      <c r="M874" s="92"/>
      <c r="N874" s="92"/>
      <c r="O874" s="209"/>
      <c r="P874" s="209"/>
    </row>
    <row r="875" spans="1:16" s="186" customFormat="1" ht="15" customHeight="1" x14ac:dyDescent="0.2">
      <c r="A875" s="95"/>
      <c r="B875" s="204"/>
      <c r="C875" s="224"/>
      <c r="D875" s="10"/>
      <c r="E875" s="10"/>
      <c r="F875" s="10"/>
      <c r="G875" s="10"/>
      <c r="H875" s="108"/>
      <c r="I875" s="379"/>
      <c r="J875" s="92"/>
      <c r="L875" s="92"/>
      <c r="M875" s="92"/>
      <c r="N875" s="92"/>
      <c r="O875" s="92"/>
      <c r="P875" s="92"/>
    </row>
    <row r="876" spans="1:16" s="186" customFormat="1" ht="15" customHeight="1" x14ac:dyDescent="0.25">
      <c r="A876" s="95"/>
      <c r="B876" s="204"/>
      <c r="C876" s="210" t="str">
        <f>n2Data_12SoldProducts_3EndOfLife_Text2</f>
        <v>Type de déchets</v>
      </c>
      <c r="D876" s="213" t="s">
        <v>27135</v>
      </c>
      <c r="E876" s="213" t="s">
        <v>27137</v>
      </c>
      <c r="F876" s="210" t="s">
        <v>88</v>
      </c>
      <c r="G876" s="10"/>
      <c r="H876" s="108"/>
      <c r="I876" s="379"/>
      <c r="J876" s="181" t="s">
        <v>2568</v>
      </c>
      <c r="L876" s="92"/>
      <c r="M876" s="92"/>
      <c r="N876" s="92"/>
      <c r="O876" s="92"/>
      <c r="P876" s="92"/>
    </row>
    <row r="877" spans="1:16" s="186" customFormat="1" ht="15" hidden="1" customHeight="1" x14ac:dyDescent="0.25">
      <c r="A877" s="95"/>
      <c r="B877" s="204"/>
      <c r="C877" s="210" t="s">
        <v>27177</v>
      </c>
      <c r="D877" s="213" t="s">
        <v>27135</v>
      </c>
      <c r="E877" s="213" t="s">
        <v>27137</v>
      </c>
      <c r="F877" s="210" t="s">
        <v>88</v>
      </c>
      <c r="G877" s="10"/>
      <c r="H877" s="108"/>
      <c r="I877" s="379"/>
      <c r="L877" s="92"/>
      <c r="M877" s="92"/>
      <c r="N877" s="92"/>
      <c r="O877" s="92"/>
      <c r="P877" s="92"/>
    </row>
    <row r="878" spans="1:16" s="186" customFormat="1" ht="15" customHeight="1" x14ac:dyDescent="0.2">
      <c r="A878" s="95"/>
      <c r="B878" s="204"/>
      <c r="C878" s="308" t="str">
        <f>n2Data_12SoldProducts_3EndOfLife_Text3</f>
        <v>Déchets ménagers / industriels mixtes, incinération</v>
      </c>
      <c r="D878" s="308"/>
      <c r="E878" s="308"/>
      <c r="F878" s="396"/>
      <c r="G878" s="10"/>
      <c r="H878" s="108"/>
      <c r="I878" s="379"/>
      <c r="J878" s="181" t="s">
        <v>2569</v>
      </c>
      <c r="L878" s="92"/>
      <c r="M878" s="92"/>
      <c r="N878" s="92"/>
      <c r="O878" s="92"/>
      <c r="P878" s="92"/>
    </row>
    <row r="879" spans="1:16" s="186" customFormat="1" ht="15" customHeight="1" x14ac:dyDescent="0.2">
      <c r="A879" s="95"/>
      <c r="B879" s="204"/>
      <c r="C879" s="308" t="str">
        <f>n2Data_12SoldProducts_3EndOfLife_Text4</f>
        <v>Déchets dangereux, incinération</v>
      </c>
      <c r="D879" s="308"/>
      <c r="E879" s="308"/>
      <c r="F879" s="396"/>
      <c r="G879" s="10"/>
      <c r="H879" s="108"/>
      <c r="I879" s="379"/>
      <c r="J879" s="181" t="s">
        <v>2570</v>
      </c>
      <c r="L879" s="92"/>
      <c r="M879" s="92"/>
      <c r="N879" s="92"/>
      <c r="O879" s="92"/>
      <c r="P879" s="92"/>
    </row>
    <row r="880" spans="1:16" s="186" customFormat="1" ht="15" customHeight="1" x14ac:dyDescent="0.2">
      <c r="A880" s="95"/>
      <c r="B880" s="204"/>
      <c r="C880" s="308" t="str">
        <f>n2Data_12SoldProducts_3EndOfLife_Text5</f>
        <v>Déchets dangereux, décharge</v>
      </c>
      <c r="D880" s="308"/>
      <c r="E880" s="308"/>
      <c r="F880" s="396"/>
      <c r="G880" s="10"/>
      <c r="H880" s="108"/>
      <c r="I880" s="379"/>
      <c r="J880" s="181" t="s">
        <v>2571</v>
      </c>
      <c r="L880" s="92"/>
      <c r="M880" s="92"/>
      <c r="N880" s="92"/>
      <c r="O880" s="92"/>
      <c r="P880" s="92"/>
    </row>
    <row r="881" spans="1:16" s="186" customFormat="1" ht="15" customHeight="1" x14ac:dyDescent="0.2">
      <c r="A881" s="95"/>
      <c r="B881" s="204"/>
      <c r="C881" s="308" t="str">
        <f>n2Data_12SoldProducts_3EndOfLife_Text6</f>
        <v>Plastique, incinération</v>
      </c>
      <c r="D881" s="308"/>
      <c r="E881" s="308"/>
      <c r="F881" s="396"/>
      <c r="G881" s="10"/>
      <c r="H881" s="108"/>
      <c r="I881" s="379"/>
      <c r="J881" s="181" t="s">
        <v>2572</v>
      </c>
      <c r="L881" s="92"/>
      <c r="M881" s="92"/>
      <c r="N881" s="92"/>
      <c r="O881" s="92"/>
      <c r="P881" s="92"/>
    </row>
    <row r="882" spans="1:16" s="186" customFormat="1" ht="15" customHeight="1" x14ac:dyDescent="0.2">
      <c r="A882" s="95"/>
      <c r="B882" s="204"/>
      <c r="C882" s="308" t="str">
        <f>n2Data_12SoldProducts_3EndOfLife_Text7</f>
        <v>Plastique, recyclage</v>
      </c>
      <c r="D882" s="308"/>
      <c r="E882" s="308"/>
      <c r="F882" s="396"/>
      <c r="G882" s="10"/>
      <c r="H882" s="108"/>
      <c r="I882" s="379"/>
      <c r="J882" s="181" t="s">
        <v>2573</v>
      </c>
      <c r="L882" s="92"/>
      <c r="M882" s="92"/>
      <c r="N882" s="92"/>
      <c r="O882" s="92"/>
      <c r="P882" s="92"/>
    </row>
    <row r="883" spans="1:16" s="186" customFormat="1" ht="15" customHeight="1" x14ac:dyDescent="0.2">
      <c r="A883" s="95"/>
      <c r="B883" s="204"/>
      <c r="C883" s="308" t="str">
        <f>n2Data_12SoldProducts_3EndOfLife_Text8</f>
        <v>Métaux, recyclage</v>
      </c>
      <c r="D883" s="308"/>
      <c r="E883" s="308"/>
      <c r="F883" s="396"/>
      <c r="G883" s="10"/>
      <c r="H883" s="108"/>
      <c r="I883" s="379"/>
      <c r="J883" s="181" t="s">
        <v>2574</v>
      </c>
      <c r="L883" s="92"/>
      <c r="M883" s="92"/>
      <c r="N883" s="92"/>
      <c r="O883" s="92"/>
      <c r="P883" s="92"/>
    </row>
    <row r="884" spans="1:16" ht="15" customHeight="1" x14ac:dyDescent="0.2">
      <c r="B884" s="204"/>
      <c r="C884" s="308" t="str">
        <f>n2Data_12SoldProducts_3EndOfLife_Text9</f>
        <v>Déchets électroniques, recyclage</v>
      </c>
      <c r="D884" s="308"/>
      <c r="E884" s="308"/>
      <c r="F884" s="396"/>
      <c r="G884" s="10"/>
      <c r="H884" s="108"/>
      <c r="I884" s="379"/>
      <c r="J884" s="181" t="s">
        <v>2575</v>
      </c>
    </row>
    <row r="885" spans="1:16" ht="15" customHeight="1" x14ac:dyDescent="0.2">
      <c r="B885" s="204"/>
      <c r="C885" s="308" t="str">
        <f>n2Data_12SoldProducts_3EndOfLife_Text10</f>
        <v>Biodéchets, incinération</v>
      </c>
      <c r="D885" s="308"/>
      <c r="E885" s="308"/>
      <c r="F885" s="396"/>
      <c r="G885" s="10"/>
      <c r="H885" s="108"/>
      <c r="I885" s="379"/>
      <c r="J885" s="181" t="s">
        <v>2576</v>
      </c>
    </row>
    <row r="886" spans="1:16" ht="15" customHeight="1" x14ac:dyDescent="0.2">
      <c r="B886" s="204"/>
      <c r="C886" s="308" t="str">
        <f>n2Data_12SoldProducts_3EndOfLife_Text11</f>
        <v>Biodéchets, production de biogaz</v>
      </c>
      <c r="D886" s="308"/>
      <c r="E886" s="308"/>
      <c r="F886" s="396"/>
      <c r="G886" s="10"/>
      <c r="H886" s="108"/>
      <c r="I886" s="379"/>
      <c r="J886" s="181" t="s">
        <v>2577</v>
      </c>
    </row>
    <row r="887" spans="1:16" ht="15" customHeight="1" x14ac:dyDescent="0.2">
      <c r="B887" s="204"/>
      <c r="C887" s="308" t="str">
        <f>n2Data_12SoldProducts_3EndOfLife_Text12</f>
        <v>Matériaux inertes / déchets de construction, décharge</v>
      </c>
      <c r="D887" s="308"/>
      <c r="E887" s="308"/>
      <c r="F887" s="396"/>
      <c r="G887" s="10"/>
      <c r="H887" s="108"/>
      <c r="I887" s="379"/>
      <c r="J887" s="181" t="s">
        <v>2578</v>
      </c>
    </row>
    <row r="888" spans="1:16" ht="15" customHeight="1" x14ac:dyDescent="0.2">
      <c r="B888" s="204"/>
      <c r="C888" s="308" t="str">
        <f>n2Data_12SoldProducts_3EndOfLife_Text13</f>
        <v>Matériaux inertes / déchets de construction, recyclage</v>
      </c>
      <c r="D888" s="308"/>
      <c r="E888" s="308"/>
      <c r="F888" s="396"/>
      <c r="G888" s="10"/>
      <c r="H888" s="108"/>
      <c r="I888" s="379"/>
      <c r="J888" s="181" t="s">
        <v>2579</v>
      </c>
    </row>
    <row r="889" spans="1:16" ht="15" customHeight="1" x14ac:dyDescent="0.2">
      <c r="B889" s="204"/>
      <c r="C889" s="308" t="str">
        <f>n2Data_12SoldProducts_3EndOfLife_Text14</f>
        <v>Eaux usées</v>
      </c>
      <c r="D889" s="308"/>
      <c r="E889" s="308"/>
      <c r="F889" s="396"/>
      <c r="G889" s="10"/>
      <c r="H889" s="108"/>
      <c r="I889" s="379"/>
      <c r="J889" s="181" t="s">
        <v>2580</v>
      </c>
    </row>
    <row r="890" spans="1:16" ht="7.15" customHeight="1" x14ac:dyDescent="0.2">
      <c r="B890" s="204"/>
      <c r="C890" s="211"/>
      <c r="D890" s="211"/>
      <c r="E890" s="211"/>
      <c r="F890" s="212"/>
      <c r="G890" s="10"/>
      <c r="H890" s="108"/>
      <c r="I890" s="379"/>
    </row>
    <row r="891" spans="1:16" ht="15" customHeight="1" x14ac:dyDescent="0.2">
      <c r="B891" s="171"/>
      <c r="C891" s="172"/>
      <c r="D891" s="172"/>
      <c r="E891" s="172"/>
      <c r="F891" s="172"/>
      <c r="G891" s="172"/>
      <c r="H891" s="120"/>
      <c r="I891" s="379"/>
    </row>
    <row r="892" spans="1:16" x14ac:dyDescent="0.2">
      <c r="I892" s="379"/>
    </row>
    <row r="893" spans="1:16" ht="13.9" customHeight="1" x14ac:dyDescent="0.2">
      <c r="I893" s="379"/>
      <c r="M893" s="98"/>
      <c r="N893" s="98"/>
    </row>
    <row r="894" spans="1:16" s="98" customFormat="1" ht="30" customHeight="1" x14ac:dyDescent="0.2">
      <c r="A894" s="198"/>
      <c r="B894" s="199" t="str">
        <f>n2Data_13Franchise</f>
        <v>11 Entreprises franchisées</v>
      </c>
      <c r="I894" s="383"/>
      <c r="J894" s="181" t="s">
        <v>2584</v>
      </c>
      <c r="K894" s="186"/>
      <c r="M894" s="92"/>
      <c r="N894" s="92"/>
      <c r="O894" s="92"/>
      <c r="P894" s="92"/>
    </row>
    <row r="895" spans="1:16" ht="15" customHeight="1" x14ac:dyDescent="0.2">
      <c r="B895" s="200"/>
      <c r="C895" s="129"/>
      <c r="D895" s="129"/>
      <c r="E895" s="129"/>
      <c r="F895" s="129"/>
      <c r="G895" s="129"/>
      <c r="H895" s="215" t="str">
        <f>n2Data_13Franchise</f>
        <v>11 Entreprises franchisées</v>
      </c>
      <c r="I895" s="388" t="str">
        <f>IF(OR(GenInp_B1_Scope3="no",GenInp_D7_Franchise="no"),"hide","display")</f>
        <v>display</v>
      </c>
    </row>
    <row r="896" spans="1:16" ht="10.15" customHeight="1" x14ac:dyDescent="0.2">
      <c r="B896" s="204"/>
      <c r="C896" s="10"/>
      <c r="D896" s="10"/>
      <c r="E896" s="10"/>
      <c r="F896" s="10"/>
      <c r="G896" s="10"/>
      <c r="H896" s="217"/>
      <c r="I896" s="388"/>
    </row>
    <row r="897" spans="1:16" ht="15" customHeight="1" x14ac:dyDescent="0.2">
      <c r="B897" s="204"/>
      <c r="C897" s="700" t="str">
        <f>n2Data_13Franchise_Text1</f>
        <v>Indiquez la consommation de carburants, de combustibles et d’électricité des entreprises franchisées opérant sous votre marque.</v>
      </c>
      <c r="D897" s="700"/>
      <c r="E897" s="700"/>
      <c r="F897" s="700"/>
      <c r="G897" s="10"/>
      <c r="H897" s="108"/>
      <c r="I897" s="379"/>
      <c r="J897" s="181" t="s">
        <v>2585</v>
      </c>
      <c r="O897" s="98"/>
      <c r="P897" s="98"/>
    </row>
    <row r="898" spans="1:16" ht="10.15" customHeight="1" x14ac:dyDescent="0.2">
      <c r="B898" s="204"/>
      <c r="C898" s="16"/>
      <c r="D898" s="16"/>
      <c r="E898" s="16"/>
      <c r="F898" s="16"/>
      <c r="G898" s="10"/>
      <c r="H898" s="108"/>
      <c r="I898" s="379"/>
      <c r="O898" s="216"/>
      <c r="P898" s="216"/>
    </row>
    <row r="899" spans="1:16" ht="30" customHeight="1" x14ac:dyDescent="0.2">
      <c r="B899" s="204"/>
      <c r="C899" s="700" t="str">
        <f>n2Data_13Franchise_Text101</f>
        <v>Indiquez les données d’émissions calculées des scopes 1 et 2 en kilogrammes d’équivalents CO2.
À cet effet, l’entreprise franchisée peut remplir sa propre version du Corporate Footprint Calculator (limitée aux Scopes 1 et 2).</v>
      </c>
      <c r="D899" s="700"/>
      <c r="E899" s="700"/>
      <c r="F899" s="700"/>
      <c r="G899" s="10"/>
      <c r="H899" s="108"/>
      <c r="I899" s="379"/>
      <c r="J899" s="181" t="s">
        <v>27181</v>
      </c>
      <c r="O899" s="216"/>
      <c r="P899" s="216"/>
    </row>
    <row r="900" spans="1:16" s="186" customFormat="1" ht="10.15" customHeight="1" x14ac:dyDescent="0.2">
      <c r="A900" s="95"/>
      <c r="B900" s="204"/>
      <c r="C900" s="16"/>
      <c r="D900" s="16"/>
      <c r="E900" s="16"/>
      <c r="F900" s="16"/>
      <c r="G900" s="10"/>
      <c r="H900" s="108"/>
      <c r="I900" s="379"/>
      <c r="J900" s="92"/>
      <c r="L900" s="92"/>
      <c r="M900" s="92"/>
      <c r="N900" s="92"/>
      <c r="O900" s="92"/>
      <c r="P900" s="92"/>
    </row>
    <row r="901" spans="1:16" s="186" customFormat="1" ht="15" customHeight="1" x14ac:dyDescent="0.2">
      <c r="A901" s="95"/>
      <c r="B901" s="204"/>
      <c r="C901" s="207" t="str">
        <f>n2Data_0General_Text1 &amp; I901</f>
        <v>Pour plus d’informations, voir le User Manual, chapitre 4.11</v>
      </c>
      <c r="D901" s="16"/>
      <c r="E901" s="16"/>
      <c r="F901" s="16"/>
      <c r="G901" s="10"/>
      <c r="H901" s="108"/>
      <c r="I901" s="379" t="str">
        <f>" 4.11"</f>
        <v xml:space="preserve"> 4.11</v>
      </c>
      <c r="J901" s="95" t="s">
        <v>2203</v>
      </c>
      <c r="L901" s="92"/>
      <c r="M901" s="92"/>
      <c r="N901" s="92"/>
      <c r="O901" s="92"/>
      <c r="P901" s="92"/>
    </row>
    <row r="902" spans="1:16" s="186" customFormat="1" ht="10.15" customHeight="1" x14ac:dyDescent="0.2">
      <c r="A902" s="95"/>
      <c r="B902" s="204"/>
      <c r="C902" s="16"/>
      <c r="D902" s="16"/>
      <c r="E902" s="16"/>
      <c r="F902" s="16"/>
      <c r="G902" s="10"/>
      <c r="H902" s="108"/>
      <c r="I902" s="379"/>
      <c r="J902" s="95"/>
      <c r="L902" s="92"/>
      <c r="M902" s="92"/>
      <c r="N902" s="92"/>
      <c r="O902" s="92"/>
      <c r="P902" s="92"/>
    </row>
    <row r="903" spans="1:16" s="186" customFormat="1" ht="21.75" customHeight="1" x14ac:dyDescent="0.2">
      <c r="A903" s="95"/>
      <c r="B903" s="204"/>
      <c r="C903" s="728" t="str">
        <f>n2Data_0General_Text2</f>
        <v>Cochez la case une fois le tableau terminé.</v>
      </c>
      <c r="D903" s="728"/>
      <c r="E903" s="728"/>
      <c r="F903" s="728"/>
      <c r="G903" s="10"/>
      <c r="H903" s="108"/>
      <c r="I903" s="386" t="b">
        <v>0</v>
      </c>
      <c r="J903" s="95" t="s">
        <v>2204</v>
      </c>
      <c r="L903" s="92"/>
      <c r="M903" s="92"/>
      <c r="N903" s="92"/>
      <c r="O903" s="92"/>
      <c r="P903" s="92"/>
    </row>
    <row r="904" spans="1:16" s="186" customFormat="1" ht="10.15" customHeight="1" x14ac:dyDescent="0.2">
      <c r="A904" s="95"/>
      <c r="B904" s="204"/>
      <c r="C904" s="178"/>
      <c r="D904" s="10"/>
      <c r="E904" s="10"/>
      <c r="F904" s="10"/>
      <c r="G904" s="10"/>
      <c r="H904" s="108"/>
      <c r="I904" s="387">
        <f>IF(OR(I895="hide",I903=TRUE),100%,0%)</f>
        <v>0</v>
      </c>
      <c r="J904" s="95"/>
      <c r="L904" s="92"/>
      <c r="M904" s="92"/>
      <c r="N904" s="92"/>
      <c r="O904" s="92"/>
      <c r="P904" s="92"/>
    </row>
    <row r="905" spans="1:16" s="186" customFormat="1" ht="15" customHeight="1" x14ac:dyDescent="0.2">
      <c r="A905" s="95"/>
      <c r="B905" s="204"/>
      <c r="C905" s="207" t="str">
        <f>n2Data_0General_Text3</f>
        <v>Notes :</v>
      </c>
      <c r="D905" s="21"/>
      <c r="E905" s="21"/>
      <c r="F905" s="21"/>
      <c r="G905" s="10"/>
      <c r="H905" s="108"/>
      <c r="I905" s="379"/>
      <c r="J905" s="95" t="s">
        <v>2207</v>
      </c>
      <c r="L905" s="92"/>
      <c r="M905" s="92"/>
      <c r="N905" s="92"/>
      <c r="O905" s="209"/>
      <c r="P905" s="209"/>
    </row>
    <row r="906" spans="1:16" s="186" customFormat="1" ht="15" x14ac:dyDescent="0.25">
      <c r="A906" s="95"/>
      <c r="B906" s="204"/>
      <c r="C906" s="729"/>
      <c r="D906" s="730"/>
      <c r="E906" s="730"/>
      <c r="F906" s="731"/>
      <c r="G906" s="10"/>
      <c r="H906" s="108"/>
      <c r="I906" s="379"/>
      <c r="J906" s="91"/>
      <c r="L906" s="92"/>
      <c r="M906" s="92"/>
      <c r="N906" s="92"/>
      <c r="O906" s="92"/>
      <c r="P906" s="92"/>
    </row>
    <row r="907" spans="1:16" s="186" customFormat="1" x14ac:dyDescent="0.2">
      <c r="A907" s="95"/>
      <c r="B907" s="204"/>
      <c r="C907" s="732"/>
      <c r="D907" s="733"/>
      <c r="E907" s="733"/>
      <c r="F907" s="734"/>
      <c r="G907" s="10"/>
      <c r="H907" s="108"/>
      <c r="I907" s="379"/>
      <c r="J907" s="92"/>
      <c r="L907" s="92"/>
      <c r="M907" s="92"/>
      <c r="N907" s="92"/>
      <c r="O907" s="92"/>
      <c r="P907" s="92"/>
    </row>
    <row r="908" spans="1:16" s="186" customFormat="1" ht="15" customHeight="1" x14ac:dyDescent="0.2">
      <c r="A908" s="95"/>
      <c r="B908" s="204"/>
      <c r="C908" s="224"/>
      <c r="D908" s="10"/>
      <c r="E908" s="10"/>
      <c r="F908" s="10"/>
      <c r="G908" s="10"/>
      <c r="H908" s="108"/>
      <c r="I908" s="379"/>
      <c r="J908" s="181"/>
      <c r="L908" s="92"/>
      <c r="M908" s="92"/>
      <c r="N908" s="92"/>
      <c r="O908" s="92"/>
      <c r="P908" s="92"/>
    </row>
    <row r="909" spans="1:16" s="186" customFormat="1" ht="15" customHeight="1" x14ac:dyDescent="0.25">
      <c r="A909" s="95"/>
      <c r="B909" s="204"/>
      <c r="C909" s="210" t="str">
        <f>n2Data_13Franchise_Text2</f>
        <v>Émissions de gaz à effet de serre</v>
      </c>
      <c r="D909" s="213" t="s">
        <v>27135</v>
      </c>
      <c r="E909" s="213" t="s">
        <v>27137</v>
      </c>
      <c r="F909" s="210" t="s">
        <v>27157</v>
      </c>
      <c r="G909" s="10"/>
      <c r="H909" s="108"/>
      <c r="I909" s="379"/>
      <c r="J909" s="181" t="s">
        <v>2586</v>
      </c>
      <c r="L909" s="92"/>
      <c r="M909" s="92"/>
      <c r="N909" s="92"/>
      <c r="O909" s="92"/>
      <c r="P909" s="92"/>
    </row>
    <row r="910" spans="1:16" s="186" customFormat="1" ht="15" hidden="1" customHeight="1" x14ac:dyDescent="0.25">
      <c r="A910" s="95"/>
      <c r="B910" s="204"/>
      <c r="C910" s="210" t="s">
        <v>27182</v>
      </c>
      <c r="D910" s="213" t="s">
        <v>27135</v>
      </c>
      <c r="E910" s="213" t="s">
        <v>27137</v>
      </c>
      <c r="F910" s="210" t="s">
        <v>27157</v>
      </c>
      <c r="G910" s="10"/>
      <c r="H910" s="108"/>
      <c r="I910" s="379"/>
      <c r="L910" s="92"/>
      <c r="M910" s="92"/>
      <c r="N910" s="92"/>
      <c r="O910" s="92"/>
      <c r="P910" s="92"/>
    </row>
    <row r="911" spans="1:16" s="186" customFormat="1" ht="15" customHeight="1" x14ac:dyDescent="0.2">
      <c r="A911" s="95"/>
      <c r="B911" s="204"/>
      <c r="C911" s="308" t="s">
        <v>27158</v>
      </c>
      <c r="D911" s="308"/>
      <c r="E911" s="308"/>
      <c r="F911" s="394"/>
      <c r="G911" s="10"/>
      <c r="H911" s="108"/>
      <c r="I911" s="379"/>
      <c r="J911" s="92"/>
      <c r="L911" s="92"/>
      <c r="M911" s="92"/>
      <c r="N911" s="92"/>
      <c r="O911" s="92"/>
      <c r="P911" s="92"/>
    </row>
    <row r="912" spans="1:16" s="186" customFormat="1" ht="15" customHeight="1" x14ac:dyDescent="0.2">
      <c r="A912" s="95"/>
      <c r="B912" s="204"/>
      <c r="C912" s="308" t="s">
        <v>27159</v>
      </c>
      <c r="D912" s="308"/>
      <c r="E912" s="308"/>
      <c r="F912" s="398"/>
      <c r="G912" s="10"/>
      <c r="H912" s="108"/>
      <c r="I912" s="379"/>
      <c r="J912" s="92"/>
      <c r="L912" s="92"/>
      <c r="M912" s="92"/>
      <c r="N912" s="92"/>
      <c r="O912" s="92"/>
      <c r="P912" s="92"/>
    </row>
    <row r="913" spans="1:16" s="186" customFormat="1" ht="7.15" customHeight="1" x14ac:dyDescent="0.2">
      <c r="A913" s="95"/>
      <c r="B913" s="204"/>
      <c r="C913" s="225"/>
      <c r="D913" s="225"/>
      <c r="E913" s="225"/>
      <c r="F913" s="226"/>
      <c r="G913" s="10"/>
      <c r="H913" s="108"/>
      <c r="I913" s="379"/>
      <c r="J913" s="92"/>
      <c r="L913" s="92"/>
      <c r="M913" s="92"/>
      <c r="N913" s="92"/>
      <c r="O913" s="92"/>
      <c r="P913" s="92"/>
    </row>
    <row r="914" spans="1:16" s="186" customFormat="1" ht="15" customHeight="1" x14ac:dyDescent="0.2">
      <c r="A914" s="95"/>
      <c r="B914" s="171"/>
      <c r="C914" s="172"/>
      <c r="D914" s="172"/>
      <c r="E914" s="172"/>
      <c r="F914" s="172"/>
      <c r="G914" s="172"/>
      <c r="H914" s="120"/>
      <c r="I914" s="379"/>
      <c r="J914" s="92"/>
      <c r="L914" s="92"/>
      <c r="M914" s="92"/>
      <c r="N914" s="92"/>
      <c r="O914" s="92"/>
      <c r="P914" s="92"/>
    </row>
    <row r="915" spans="1:16" s="186" customFormat="1" x14ac:dyDescent="0.2">
      <c r="A915" s="95"/>
      <c r="B915" s="92"/>
      <c r="C915" s="92"/>
      <c r="D915" s="92"/>
      <c r="E915" s="92"/>
      <c r="F915" s="92"/>
      <c r="G915" s="92"/>
      <c r="H915" s="92"/>
      <c r="I915" s="379"/>
      <c r="J915" s="92"/>
      <c r="K915" s="92"/>
      <c r="L915" s="92"/>
      <c r="M915" s="92"/>
      <c r="N915" s="92"/>
      <c r="O915" s="92"/>
      <c r="P915" s="92"/>
    </row>
    <row r="916" spans="1:16" s="186" customFormat="1" x14ac:dyDescent="0.2">
      <c r="A916" s="95"/>
      <c r="B916" s="92"/>
      <c r="C916" s="92"/>
      <c r="D916" s="92"/>
      <c r="E916" s="92"/>
      <c r="F916" s="92"/>
      <c r="G916" s="92"/>
      <c r="H916" s="92"/>
      <c r="I916" s="379"/>
      <c r="J916" s="92"/>
      <c r="K916" s="92"/>
      <c r="L916" s="92"/>
      <c r="M916" s="92"/>
      <c r="N916" s="92"/>
      <c r="O916" s="92"/>
      <c r="P916" s="92"/>
    </row>
    <row r="917" spans="1:16" s="98" customFormat="1" ht="30" customHeight="1" x14ac:dyDescent="0.2">
      <c r="A917" s="198"/>
      <c r="B917" s="199" t="str">
        <f>n2Data_14Investments</f>
        <v>12 Investissements</v>
      </c>
      <c r="I917" s="383"/>
      <c r="J917" s="181" t="s">
        <v>2589</v>
      </c>
      <c r="K917" s="186"/>
      <c r="M917" s="92"/>
      <c r="N917" s="92"/>
      <c r="O917" s="92"/>
      <c r="P917" s="92"/>
    </row>
    <row r="918" spans="1:16" ht="15" customHeight="1" x14ac:dyDescent="0.2">
      <c r="B918" s="200"/>
      <c r="C918" s="129"/>
      <c r="D918" s="129"/>
      <c r="E918" s="129"/>
      <c r="F918" s="129"/>
      <c r="G918" s="129"/>
      <c r="H918" s="215" t="str">
        <f>n2Data_14Investments</f>
        <v>12 Investissements</v>
      </c>
      <c r="I918" s="388" t="str">
        <f>IF(OR(GenInp_B1_Scope3="no",GenInp_D8_Investments="no"),"hide","display")</f>
        <v>display</v>
      </c>
    </row>
    <row r="919" spans="1:16" ht="10.15" customHeight="1" x14ac:dyDescent="0.2">
      <c r="B919" s="204"/>
      <c r="C919" s="10"/>
      <c r="D919" s="10"/>
      <c r="E919" s="10"/>
      <c r="F919" s="10"/>
      <c r="G919" s="10"/>
      <c r="H919" s="217"/>
      <c r="I919" s="388"/>
    </row>
    <row r="920" spans="1:16" ht="30" customHeight="1" x14ac:dyDescent="0.2">
      <c r="B920" s="204"/>
      <c r="C920" s="700" t="str">
        <f>n2Data_14Investments_Text1</f>
        <v>Indiquez les émissions liées aux investissements imputables proportionnellement à votre entreprise.
Il s’agit notamment de participations dans des entreprises, des fonds, des projets immobiliers ou d’infrastructure.</v>
      </c>
      <c r="D920" s="700"/>
      <c r="E920" s="700"/>
      <c r="F920" s="700"/>
      <c r="G920" s="10"/>
      <c r="H920" s="108"/>
      <c r="I920" s="379"/>
      <c r="J920" s="181" t="s">
        <v>2590</v>
      </c>
      <c r="O920" s="98"/>
      <c r="P920" s="98"/>
    </row>
    <row r="921" spans="1:16" ht="10.15" customHeight="1" x14ac:dyDescent="0.2">
      <c r="B921" s="204"/>
      <c r="C921" s="16"/>
      <c r="D921" s="16"/>
      <c r="E921" s="16"/>
      <c r="F921" s="16"/>
      <c r="G921" s="10"/>
      <c r="H921" s="108"/>
      <c r="I921" s="379"/>
      <c r="K921" s="92"/>
      <c r="O921" s="216"/>
      <c r="P921" s="216"/>
    </row>
    <row r="922" spans="1:16" ht="30" customHeight="1" x14ac:dyDescent="0.2">
      <c r="B922" s="204"/>
      <c r="C922" s="700" t="str">
        <f>n2Data_14Investments_Text101</f>
        <v>Option 1 : Reprenez les émissions calculées des scopes 1 et 2 des entreprises investies et pondérez-les selon la part de capital correspondante.
Option 2 : Estimez les émissions sur la base du secteur, du chiffre d’affaires (CHF) et de la part de capital (%). Cette option couvre les scopes 1 à 3.</v>
      </c>
      <c r="D922" s="700"/>
      <c r="E922" s="700"/>
      <c r="F922" s="700"/>
      <c r="G922" s="10"/>
      <c r="H922" s="108"/>
      <c r="I922" s="379"/>
      <c r="J922" s="181" t="s">
        <v>27183</v>
      </c>
      <c r="K922" s="92"/>
      <c r="O922" s="216"/>
      <c r="P922" s="216"/>
    </row>
    <row r="923" spans="1:16" ht="10.15" customHeight="1" x14ac:dyDescent="0.2">
      <c r="B923" s="204"/>
      <c r="C923" s="16"/>
      <c r="D923" s="16"/>
      <c r="E923" s="16"/>
      <c r="F923" s="16"/>
      <c r="G923" s="10"/>
      <c r="H923" s="108"/>
      <c r="I923" s="379"/>
      <c r="K923" s="92"/>
    </row>
    <row r="924" spans="1:16" ht="15" customHeight="1" x14ac:dyDescent="0.2">
      <c r="B924" s="204"/>
      <c r="C924" s="207" t="str">
        <f>n2Data_0General_Text1 &amp; I924</f>
        <v>Pour plus d’informations, voir le User Manual, chapitre 4.12</v>
      </c>
      <c r="D924" s="16"/>
      <c r="E924" s="16"/>
      <c r="F924" s="16"/>
      <c r="G924" s="10"/>
      <c r="H924" s="108"/>
      <c r="I924" s="379" t="str">
        <f>" 4.12"</f>
        <v xml:space="preserve"> 4.12</v>
      </c>
      <c r="J924" s="95" t="s">
        <v>2203</v>
      </c>
    </row>
    <row r="925" spans="1:16" ht="10.15" customHeight="1" x14ac:dyDescent="0.2">
      <c r="B925" s="204"/>
      <c r="C925" s="16"/>
      <c r="D925" s="16"/>
      <c r="E925" s="16"/>
      <c r="F925" s="16"/>
      <c r="G925" s="10"/>
      <c r="H925" s="108"/>
      <c r="I925" s="379"/>
      <c r="J925" s="95"/>
    </row>
    <row r="926" spans="1:16" ht="21.75" customHeight="1" x14ac:dyDescent="0.2">
      <c r="B926" s="204"/>
      <c r="C926" s="728" t="str">
        <f>n2Data_0General_Text2</f>
        <v>Cochez la case une fois le tableau terminé.</v>
      </c>
      <c r="D926" s="728"/>
      <c r="E926" s="728"/>
      <c r="F926" s="728"/>
      <c r="G926" s="10"/>
      <c r="H926" s="108"/>
      <c r="I926" s="386" t="b">
        <v>0</v>
      </c>
      <c r="J926" s="95" t="s">
        <v>2204</v>
      </c>
    </row>
    <row r="927" spans="1:16" ht="10.15" customHeight="1" x14ac:dyDescent="0.2">
      <c r="B927" s="204"/>
      <c r="C927" s="10"/>
      <c r="D927" s="10"/>
      <c r="E927" s="10"/>
      <c r="F927" s="10"/>
      <c r="G927" s="10"/>
      <c r="H927" s="108"/>
      <c r="I927" s="387">
        <f>IF(OR(I918="hide",I926=TRUE),100%,0%)</f>
        <v>0</v>
      </c>
      <c r="J927" s="95"/>
    </row>
    <row r="928" spans="1:16" ht="15" customHeight="1" x14ac:dyDescent="0.2">
      <c r="B928" s="204"/>
      <c r="C928" s="207" t="str">
        <f>n2Data_0General_Text3</f>
        <v>Notes :</v>
      </c>
      <c r="D928" s="21"/>
      <c r="E928" s="21"/>
      <c r="F928" s="21"/>
      <c r="G928" s="10"/>
      <c r="H928" s="108"/>
      <c r="I928" s="379"/>
      <c r="J928" s="95" t="s">
        <v>2207</v>
      </c>
    </row>
    <row r="929" spans="1:16" x14ac:dyDescent="0.2">
      <c r="B929" s="204"/>
      <c r="C929" s="729"/>
      <c r="D929" s="730"/>
      <c r="E929" s="730"/>
      <c r="F929" s="731"/>
      <c r="G929" s="10"/>
      <c r="H929" s="108"/>
      <c r="I929" s="379"/>
    </row>
    <row r="930" spans="1:16" x14ac:dyDescent="0.2">
      <c r="B930" s="204"/>
      <c r="C930" s="732"/>
      <c r="D930" s="733"/>
      <c r="E930" s="733"/>
      <c r="F930" s="734"/>
      <c r="G930" s="10"/>
      <c r="H930" s="108"/>
      <c r="I930" s="379"/>
      <c r="O930" s="209"/>
      <c r="P930" s="209"/>
    </row>
    <row r="931" spans="1:16" ht="15" customHeight="1" x14ac:dyDescent="0.2">
      <c r="B931" s="204"/>
      <c r="C931" s="224"/>
      <c r="D931" s="10"/>
      <c r="E931" s="10"/>
      <c r="F931" s="10"/>
      <c r="G931" s="10"/>
      <c r="H931" s="108"/>
      <c r="I931" s="379"/>
    </row>
    <row r="932" spans="1:16" ht="15" customHeight="1" x14ac:dyDescent="0.25">
      <c r="B932" s="204"/>
      <c r="C932" s="210" t="str">
        <f>n2Data_14Investments_Text2</f>
        <v>Émissions de gaz à effet de serre</v>
      </c>
      <c r="D932" s="213" t="s">
        <v>27135</v>
      </c>
      <c r="E932" s="213" t="s">
        <v>27137</v>
      </c>
      <c r="F932" s="210" t="s">
        <v>27157</v>
      </c>
      <c r="G932" s="10"/>
      <c r="H932" s="108"/>
      <c r="I932" s="379"/>
      <c r="J932" s="181" t="s">
        <v>2591</v>
      </c>
    </row>
    <row r="933" spans="1:16" ht="15" hidden="1" customHeight="1" x14ac:dyDescent="0.25">
      <c r="B933" s="204"/>
      <c r="C933" s="210" t="s">
        <v>27182</v>
      </c>
      <c r="D933" s="213" t="s">
        <v>27135</v>
      </c>
      <c r="E933" s="213" t="s">
        <v>27137</v>
      </c>
      <c r="F933" s="210" t="s">
        <v>27157</v>
      </c>
      <c r="G933" s="10"/>
      <c r="H933" s="108"/>
      <c r="I933" s="379"/>
    </row>
    <row r="934" spans="1:16" ht="15" customHeight="1" x14ac:dyDescent="0.2">
      <c r="B934" s="204"/>
      <c r="C934" s="92" t="str">
        <f>n2Data_14Investments_Text3</f>
        <v>(Émissions des scopes 1 et 2) x part de capital</v>
      </c>
      <c r="F934" s="410"/>
      <c r="G934" s="10"/>
      <c r="H934" s="108"/>
      <c r="I934" s="379"/>
      <c r="J934" s="181" t="s">
        <v>2592</v>
      </c>
    </row>
    <row r="935" spans="1:16" ht="7.15" customHeight="1" x14ac:dyDescent="0.2">
      <c r="B935" s="204"/>
      <c r="C935" s="225"/>
      <c r="D935" s="225"/>
      <c r="E935" s="225"/>
      <c r="F935" s="226"/>
      <c r="G935" s="10"/>
      <c r="H935" s="108"/>
      <c r="I935" s="379"/>
    </row>
    <row r="936" spans="1:16" ht="15" customHeight="1" x14ac:dyDescent="0.2">
      <c r="B936" s="204"/>
      <c r="C936" s="10"/>
      <c r="D936" s="10"/>
      <c r="E936" s="10"/>
      <c r="F936" s="10"/>
      <c r="G936" s="10"/>
      <c r="H936" s="108"/>
      <c r="I936" s="379"/>
    </row>
    <row r="937" spans="1:16" s="658" customFormat="1" ht="30" customHeight="1" x14ac:dyDescent="0.25">
      <c r="A937" s="652"/>
      <c r="B937" s="653"/>
      <c r="C937" s="654" t="str">
        <f>n2Data_14Investments_Text4a</f>
        <v>Secteur d'activité</v>
      </c>
      <c r="D937" s="655" t="s">
        <v>27135</v>
      </c>
      <c r="E937" s="654" t="str">
        <f>n2Data_14nvestments_Text4b</f>
        <v>Part de capital [%]</v>
      </c>
      <c r="F937" s="654" t="str">
        <f>n2Data_14Investments_Text4c</f>
        <v>Chiffre total [CHF]</v>
      </c>
      <c r="G937" s="656"/>
      <c r="H937" s="485"/>
      <c r="I937" s="657"/>
      <c r="J937" s="652" t="s">
        <v>2594</v>
      </c>
      <c r="K937" s="652" t="s">
        <v>2595</v>
      </c>
      <c r="L937" s="652" t="s">
        <v>2598</v>
      </c>
    </row>
    <row r="938" spans="1:16" ht="15" hidden="1" customHeight="1" x14ac:dyDescent="0.25">
      <c r="B938" s="204"/>
      <c r="C938" s="210" t="s">
        <v>27161</v>
      </c>
      <c r="D938" s="213" t="s">
        <v>27135</v>
      </c>
      <c r="E938" s="210" t="s">
        <v>27184</v>
      </c>
      <c r="F938" s="210" t="s">
        <v>27185</v>
      </c>
      <c r="G938" s="10"/>
      <c r="H938" s="108"/>
      <c r="I938" s="379"/>
      <c r="K938" s="92"/>
    </row>
    <row r="939" spans="1:16" ht="15" customHeight="1" x14ac:dyDescent="0.25">
      <c r="B939" s="204"/>
      <c r="C939" s="399"/>
      <c r="D939" s="308"/>
      <c r="E939" s="426"/>
      <c r="F939" s="394"/>
      <c r="G939" s="10"/>
      <c r="H939" s="108"/>
      <c r="I939" s="379"/>
      <c r="J939" s="91"/>
    </row>
    <row r="940" spans="1:16" ht="15" customHeight="1" x14ac:dyDescent="0.25">
      <c r="B940" s="204"/>
      <c r="C940" s="395"/>
      <c r="D940" s="308"/>
      <c r="E940" s="427"/>
      <c r="F940" s="396"/>
      <c r="G940" s="10"/>
      <c r="H940" s="108"/>
      <c r="I940" s="379"/>
      <c r="J940" s="91"/>
    </row>
    <row r="941" spans="1:16" ht="15" customHeight="1" x14ac:dyDescent="0.25">
      <c r="B941" s="204"/>
      <c r="C941" s="395"/>
      <c r="D941" s="308"/>
      <c r="E941" s="427"/>
      <c r="F941" s="396"/>
      <c r="G941" s="10"/>
      <c r="H941" s="108"/>
      <c r="I941" s="379"/>
      <c r="J941" s="91"/>
    </row>
    <row r="942" spans="1:16" ht="15" customHeight="1" x14ac:dyDescent="0.25">
      <c r="B942" s="204"/>
      <c r="C942" s="395"/>
      <c r="D942" s="308"/>
      <c r="E942" s="427"/>
      <c r="F942" s="396"/>
      <c r="G942" s="10"/>
      <c r="H942" s="108"/>
      <c r="I942" s="379"/>
      <c r="J942" s="91"/>
    </row>
    <row r="943" spans="1:16" ht="15" customHeight="1" x14ac:dyDescent="0.2">
      <c r="B943" s="204"/>
      <c r="C943" s="395"/>
      <c r="D943" s="308"/>
      <c r="E943" s="427"/>
      <c r="F943" s="396"/>
      <c r="G943" s="10"/>
      <c r="H943" s="108"/>
      <c r="I943" s="379"/>
    </row>
    <row r="944" spans="1:16" ht="15" customHeight="1" x14ac:dyDescent="0.2">
      <c r="B944" s="204"/>
      <c r="C944" s="395"/>
      <c r="D944" s="308"/>
      <c r="E944" s="427"/>
      <c r="F944" s="396"/>
      <c r="G944" s="10"/>
      <c r="H944" s="108"/>
      <c r="I944" s="379"/>
    </row>
    <row r="945" spans="1:16" ht="15" customHeight="1" x14ac:dyDescent="0.2">
      <c r="B945" s="204"/>
      <c r="C945" s="395"/>
      <c r="D945" s="308"/>
      <c r="E945" s="427"/>
      <c r="F945" s="396"/>
      <c r="G945" s="10"/>
      <c r="H945" s="108"/>
      <c r="I945" s="379"/>
    </row>
    <row r="946" spans="1:16" ht="15" customHeight="1" x14ac:dyDescent="0.2">
      <c r="B946" s="204"/>
      <c r="C946" s="395"/>
      <c r="D946" s="308"/>
      <c r="E946" s="427"/>
      <c r="F946" s="396"/>
      <c r="G946" s="10"/>
      <c r="H946" s="108"/>
      <c r="I946" s="379"/>
    </row>
    <row r="947" spans="1:16" ht="15" customHeight="1" x14ac:dyDescent="0.2">
      <c r="B947" s="204"/>
      <c r="C947" s="395"/>
      <c r="D947" s="308"/>
      <c r="E947" s="427"/>
      <c r="F947" s="396"/>
      <c r="G947" s="10"/>
      <c r="H947" s="108"/>
      <c r="I947" s="379"/>
    </row>
    <row r="948" spans="1:16" ht="15" customHeight="1" x14ac:dyDescent="0.2">
      <c r="B948" s="204"/>
      <c r="C948" s="395"/>
      <c r="D948" s="308"/>
      <c r="E948" s="427"/>
      <c r="F948" s="396"/>
      <c r="G948" s="10"/>
      <c r="H948" s="108"/>
      <c r="I948" s="379"/>
    </row>
    <row r="949" spans="1:16" ht="15" customHeight="1" x14ac:dyDescent="0.2">
      <c r="B949" s="204"/>
      <c r="C949" s="395"/>
      <c r="D949" s="308"/>
      <c r="E949" s="427"/>
      <c r="F949" s="396"/>
      <c r="G949" s="10"/>
      <c r="H949" s="108"/>
      <c r="I949" s="379"/>
    </row>
    <row r="950" spans="1:16" s="186" customFormat="1" ht="15" customHeight="1" x14ac:dyDescent="0.2">
      <c r="A950" s="95"/>
      <c r="B950" s="204"/>
      <c r="C950" s="395"/>
      <c r="D950" s="308"/>
      <c r="E950" s="427"/>
      <c r="F950" s="396"/>
      <c r="G950" s="10"/>
      <c r="H950" s="108"/>
      <c r="I950" s="379"/>
      <c r="J950" s="92"/>
      <c r="L950" s="92"/>
      <c r="M950" s="92"/>
      <c r="N950" s="92"/>
      <c r="O950" s="92"/>
      <c r="P950" s="92"/>
    </row>
    <row r="951" spans="1:16" s="186" customFormat="1" ht="15" customHeight="1" x14ac:dyDescent="0.2">
      <c r="A951" s="95"/>
      <c r="B951" s="204"/>
      <c r="C951" s="395"/>
      <c r="D951" s="308"/>
      <c r="E951" s="427"/>
      <c r="F951" s="396"/>
      <c r="G951" s="10"/>
      <c r="H951" s="108"/>
      <c r="I951" s="379"/>
      <c r="J951" s="230"/>
      <c r="L951" s="92"/>
      <c r="M951" s="92"/>
      <c r="N951" s="92"/>
      <c r="O951" s="92"/>
      <c r="P951" s="92"/>
    </row>
    <row r="952" spans="1:16" s="186" customFormat="1" ht="15" customHeight="1" x14ac:dyDescent="0.2">
      <c r="A952" s="95"/>
      <c r="B952" s="204"/>
      <c r="C952" s="395"/>
      <c r="D952" s="308"/>
      <c r="E952" s="427"/>
      <c r="F952" s="396"/>
      <c r="G952" s="10"/>
      <c r="H952" s="108"/>
      <c r="I952" s="379"/>
      <c r="J952" s="92"/>
      <c r="L952" s="92"/>
      <c r="M952" s="92"/>
      <c r="N952" s="92"/>
      <c r="O952" s="92"/>
      <c r="P952" s="92"/>
    </row>
    <row r="953" spans="1:16" s="186" customFormat="1" ht="15" customHeight="1" x14ac:dyDescent="0.2">
      <c r="A953" s="95"/>
      <c r="B953" s="204"/>
      <c r="C953" s="395"/>
      <c r="D953" s="308"/>
      <c r="E953" s="427"/>
      <c r="F953" s="396"/>
      <c r="G953" s="10"/>
      <c r="H953" s="108"/>
      <c r="I953" s="379"/>
      <c r="J953" s="92"/>
      <c r="L953" s="92"/>
      <c r="M953" s="92"/>
      <c r="N953" s="92"/>
      <c r="O953" s="92"/>
      <c r="P953" s="92"/>
    </row>
    <row r="954" spans="1:16" s="186" customFormat="1" ht="15" customHeight="1" x14ac:dyDescent="0.2">
      <c r="A954" s="95"/>
      <c r="B954" s="204"/>
      <c r="C954" s="395"/>
      <c r="D954" s="308"/>
      <c r="E954" s="427"/>
      <c r="F954" s="396"/>
      <c r="G954" s="10"/>
      <c r="H954" s="108"/>
      <c r="I954" s="379"/>
      <c r="J954" s="92"/>
      <c r="L954" s="92"/>
      <c r="M954" s="92"/>
      <c r="N954" s="92"/>
      <c r="O954" s="92"/>
      <c r="P954" s="92"/>
    </row>
    <row r="955" spans="1:16" s="186" customFormat="1" ht="15" customHeight="1" x14ac:dyDescent="0.2">
      <c r="A955" s="95"/>
      <c r="B955" s="204"/>
      <c r="C955" s="395"/>
      <c r="D955" s="308"/>
      <c r="E955" s="427"/>
      <c r="F955" s="396"/>
      <c r="G955" s="10"/>
      <c r="H955" s="108"/>
      <c r="I955" s="379"/>
      <c r="J955" s="92"/>
      <c r="L955" s="92"/>
      <c r="M955" s="92"/>
      <c r="N955" s="92"/>
      <c r="O955" s="92"/>
      <c r="P955" s="92"/>
    </row>
    <row r="956" spans="1:16" s="186" customFormat="1" ht="15" customHeight="1" x14ac:dyDescent="0.2">
      <c r="A956" s="95"/>
      <c r="B956" s="204"/>
      <c r="C956" s="395"/>
      <c r="D956" s="308"/>
      <c r="E956" s="427"/>
      <c r="F956" s="396"/>
      <c r="G956" s="10"/>
      <c r="H956" s="108"/>
      <c r="I956" s="379"/>
      <c r="J956" s="92"/>
      <c r="L956" s="92"/>
      <c r="M956" s="92"/>
      <c r="N956" s="92"/>
      <c r="O956" s="92"/>
      <c r="P956" s="92"/>
    </row>
    <row r="957" spans="1:16" s="186" customFormat="1" ht="15" customHeight="1" x14ac:dyDescent="0.2">
      <c r="A957" s="95"/>
      <c r="B957" s="204"/>
      <c r="C957" s="395"/>
      <c r="D957" s="308"/>
      <c r="E957" s="427"/>
      <c r="F957" s="396"/>
      <c r="G957" s="10"/>
      <c r="H957" s="108"/>
      <c r="I957" s="379"/>
      <c r="J957" s="92"/>
      <c r="L957" s="92"/>
      <c r="M957" s="92"/>
      <c r="N957" s="92"/>
      <c r="O957" s="92"/>
      <c r="P957" s="92"/>
    </row>
    <row r="958" spans="1:16" s="186" customFormat="1" ht="15" customHeight="1" x14ac:dyDescent="0.2">
      <c r="A958" s="95"/>
      <c r="B958" s="204"/>
      <c r="C958" s="397"/>
      <c r="D958" s="308"/>
      <c r="E958" s="428"/>
      <c r="F958" s="398"/>
      <c r="G958" s="10"/>
      <c r="H958" s="108"/>
      <c r="I958" s="379"/>
      <c r="J958" s="92"/>
      <c r="L958" s="92"/>
      <c r="M958" s="92"/>
      <c r="N958" s="92"/>
      <c r="O958" s="92"/>
      <c r="P958" s="92"/>
    </row>
    <row r="959" spans="1:16" s="186" customFormat="1" ht="7.15" customHeight="1" x14ac:dyDescent="0.2">
      <c r="A959" s="95"/>
      <c r="B959" s="204"/>
      <c r="C959" s="211"/>
      <c r="D959" s="211"/>
      <c r="E959" s="238"/>
      <c r="F959" s="212"/>
      <c r="G959" s="10"/>
      <c r="H959" s="108"/>
      <c r="I959" s="379"/>
      <c r="J959" s="92"/>
      <c r="L959" s="92"/>
      <c r="M959" s="92"/>
      <c r="N959" s="92"/>
      <c r="O959" s="92"/>
      <c r="P959" s="92"/>
    </row>
    <row r="960" spans="1:16" s="186" customFormat="1" ht="15" customHeight="1" x14ac:dyDescent="0.2">
      <c r="A960" s="95"/>
      <c r="B960" s="171"/>
      <c r="C960" s="172"/>
      <c r="D960" s="172"/>
      <c r="E960" s="172"/>
      <c r="F960" s="172"/>
      <c r="G960" s="172"/>
      <c r="H960" s="120"/>
      <c r="I960" s="379"/>
      <c r="J960" s="92"/>
      <c r="L960" s="92"/>
      <c r="M960" s="92"/>
      <c r="N960" s="92"/>
      <c r="O960" s="92"/>
      <c r="P960" s="92"/>
    </row>
  </sheetData>
  <sheetProtection sheet="1" selectLockedCells="1"/>
  <mergeCells count="130">
    <mergeCell ref="C920:F920"/>
    <mergeCell ref="C922:F922"/>
    <mergeCell ref="C926:F926"/>
    <mergeCell ref="C929:F930"/>
    <mergeCell ref="C870:F870"/>
    <mergeCell ref="C873:F874"/>
    <mergeCell ref="C897:F897"/>
    <mergeCell ref="C899:F899"/>
    <mergeCell ref="C903:F903"/>
    <mergeCell ref="C906:F907"/>
    <mergeCell ref="C828:F828"/>
    <mergeCell ref="C830:F830"/>
    <mergeCell ref="C834:F834"/>
    <mergeCell ref="C837:F838"/>
    <mergeCell ref="C864:F864"/>
    <mergeCell ref="C866:F866"/>
    <mergeCell ref="C764:F764"/>
    <mergeCell ref="C767:F768"/>
    <mergeCell ref="C792:F792"/>
    <mergeCell ref="C794:F794"/>
    <mergeCell ref="C798:F798"/>
    <mergeCell ref="C801:F802"/>
    <mergeCell ref="C733:F733"/>
    <mergeCell ref="C735:F735"/>
    <mergeCell ref="C739:F739"/>
    <mergeCell ref="C742:F743"/>
    <mergeCell ref="C758:F758"/>
    <mergeCell ref="C760:F760"/>
    <mergeCell ref="C685:F685"/>
    <mergeCell ref="C688:F689"/>
    <mergeCell ref="C709:F709"/>
    <mergeCell ref="C711:F711"/>
    <mergeCell ref="C715:F715"/>
    <mergeCell ref="C718:F719"/>
    <mergeCell ref="C650:F650"/>
    <mergeCell ref="C652:F652"/>
    <mergeCell ref="C656:F656"/>
    <mergeCell ref="C659:F660"/>
    <mergeCell ref="C679:F679"/>
    <mergeCell ref="C681:F681"/>
    <mergeCell ref="C574:G575"/>
    <mergeCell ref="C606:F606"/>
    <mergeCell ref="C608:F608"/>
    <mergeCell ref="C610:F610"/>
    <mergeCell ref="C614:F614"/>
    <mergeCell ref="C617:G618"/>
    <mergeCell ref="C527:F527"/>
    <mergeCell ref="C531:F531"/>
    <mergeCell ref="C534:F535"/>
    <mergeCell ref="C565:F565"/>
    <mergeCell ref="C567:F567"/>
    <mergeCell ref="C571:F571"/>
    <mergeCell ref="C489:F489"/>
    <mergeCell ref="C491:F491"/>
    <mergeCell ref="C493:F493"/>
    <mergeCell ref="C497:F497"/>
    <mergeCell ref="C500:F501"/>
    <mergeCell ref="C525:F525"/>
    <mergeCell ref="C432:F433"/>
    <mergeCell ref="C455:F455"/>
    <mergeCell ref="C457:F457"/>
    <mergeCell ref="C459:F459"/>
    <mergeCell ref="C463:F463"/>
    <mergeCell ref="C466:F467"/>
    <mergeCell ref="C388:F388"/>
    <mergeCell ref="C391:F392"/>
    <mergeCell ref="C421:F421"/>
    <mergeCell ref="C423:F423"/>
    <mergeCell ref="C425:F425"/>
    <mergeCell ref="C429:F429"/>
    <mergeCell ref="C344:F344"/>
    <mergeCell ref="C346:F346"/>
    <mergeCell ref="C350:F350"/>
    <mergeCell ref="C353:F354"/>
    <mergeCell ref="C382:F382"/>
    <mergeCell ref="C384:F384"/>
    <mergeCell ref="C281:F281"/>
    <mergeCell ref="C284:F285"/>
    <mergeCell ref="C307:F307"/>
    <mergeCell ref="C309:F309"/>
    <mergeCell ref="C313:F313"/>
    <mergeCell ref="C316:F317"/>
    <mergeCell ref="C234:F234"/>
    <mergeCell ref="C235:F236"/>
    <mergeCell ref="C258:F258"/>
    <mergeCell ref="C275:F275"/>
    <mergeCell ref="C277:F277"/>
    <mergeCell ref="C279:F279"/>
    <mergeCell ref="C202:F202"/>
    <mergeCell ref="C203:F204"/>
    <mergeCell ref="C226:F226"/>
    <mergeCell ref="C228:F228"/>
    <mergeCell ref="C230:F230"/>
    <mergeCell ref="C232:F232"/>
    <mergeCell ref="C173:F173"/>
    <mergeCell ref="C174:F175"/>
    <mergeCell ref="C194:F194"/>
    <mergeCell ref="C196:F196"/>
    <mergeCell ref="C198:F198"/>
    <mergeCell ref="C200:F200"/>
    <mergeCell ref="C142:F143"/>
    <mergeCell ref="C163:F163"/>
    <mergeCell ref="C165:F165"/>
    <mergeCell ref="C167:F167"/>
    <mergeCell ref="C169:F169"/>
    <mergeCell ref="C171:F171"/>
    <mergeCell ref="C113:F114"/>
    <mergeCell ref="C133:F133"/>
    <mergeCell ref="C135:F135"/>
    <mergeCell ref="C137:F137"/>
    <mergeCell ref="C139:F139"/>
    <mergeCell ref="C141:F141"/>
    <mergeCell ref="C102:F102"/>
    <mergeCell ref="C104:F104"/>
    <mergeCell ref="C106:F106"/>
    <mergeCell ref="C108:F108"/>
    <mergeCell ref="C110:F110"/>
    <mergeCell ref="C112:F112"/>
    <mergeCell ref="G2:H2"/>
    <mergeCell ref="C49:F49"/>
    <mergeCell ref="C52:F53"/>
    <mergeCell ref="C72:F72"/>
    <mergeCell ref="C74:F74"/>
    <mergeCell ref="C78:F78"/>
    <mergeCell ref="C81:F82"/>
    <mergeCell ref="B8:H8"/>
    <mergeCell ref="B11:H11"/>
    <mergeCell ref="C41:F41"/>
    <mergeCell ref="C43:F43"/>
    <mergeCell ref="C45:F45"/>
  </mergeCells>
  <phoneticPr fontId="64" type="noConversion"/>
  <conditionalFormatting sqref="B23:B34">
    <cfRule type="expression" dxfId="179" priority="251">
      <formula>I23=100%</formula>
    </cfRule>
  </conditionalFormatting>
  <conditionalFormatting sqref="B28:B34">
    <cfRule type="expression" dxfId="178" priority="250">
      <formula>$I$35="No S3"</formula>
    </cfRule>
  </conditionalFormatting>
  <conditionalFormatting sqref="B38:H97">
    <cfRule type="expression" dxfId="177" priority="450">
      <formula>$I$38="hide"</formula>
    </cfRule>
  </conditionalFormatting>
  <conditionalFormatting sqref="B99:H158">
    <cfRule type="expression" dxfId="176" priority="452">
      <formula>$I$99="hide"</formula>
    </cfRule>
  </conditionalFormatting>
  <conditionalFormatting sqref="B160:H219">
    <cfRule type="expression" dxfId="175" priority="454">
      <formula>$I$160="hide"</formula>
    </cfRule>
  </conditionalFormatting>
  <conditionalFormatting sqref="B223:H268">
    <cfRule type="expression" dxfId="174" priority="456">
      <formula>$I$223="hide"</formula>
    </cfRule>
  </conditionalFormatting>
  <conditionalFormatting sqref="B272:H300">
    <cfRule type="expression" dxfId="173" priority="458">
      <formula>$I$272="hide"</formula>
    </cfRule>
  </conditionalFormatting>
  <conditionalFormatting sqref="B304:H339">
    <cfRule type="expression" dxfId="172" priority="460">
      <formula>$I$304="hide"</formula>
    </cfRule>
  </conditionalFormatting>
  <conditionalFormatting sqref="B341:H377">
    <cfRule type="expression" dxfId="171" priority="462">
      <formula>$I$341="hide"</formula>
    </cfRule>
  </conditionalFormatting>
  <conditionalFormatting sqref="B379:H414">
    <cfRule type="expression" dxfId="170" priority="464">
      <formula>$I$379="hide"</formula>
    </cfRule>
  </conditionalFormatting>
  <conditionalFormatting sqref="B418:H450">
    <cfRule type="expression" dxfId="169" priority="466">
      <formula>$I$418="hide"</formula>
    </cfRule>
  </conditionalFormatting>
  <conditionalFormatting sqref="B452:H484">
    <cfRule type="expression" dxfId="168" priority="468">
      <formula>$I$452="hide"</formula>
    </cfRule>
  </conditionalFormatting>
  <conditionalFormatting sqref="B486:H497">
    <cfRule type="expression" dxfId="167" priority="4">
      <formula>$I$486="hide"</formula>
    </cfRule>
  </conditionalFormatting>
  <conditionalFormatting sqref="B498:H518">
    <cfRule type="expression" dxfId="166" priority="470">
      <formula>$I$486="hide"</formula>
    </cfRule>
  </conditionalFormatting>
  <conditionalFormatting sqref="B522:H560 H562">
    <cfRule type="expression" dxfId="165" priority="433">
      <formula>$I$522="hide"</formula>
    </cfRule>
  </conditionalFormatting>
  <conditionalFormatting sqref="B562:H600">
    <cfRule type="expression" dxfId="164" priority="474">
      <formula>$I$562="hide"</formula>
    </cfRule>
  </conditionalFormatting>
  <conditionalFormatting sqref="B604:H643">
    <cfRule type="expression" dxfId="163" priority="476">
      <formula>$I$604="hide"</formula>
    </cfRule>
  </conditionalFormatting>
  <conditionalFormatting sqref="B647:H674">
    <cfRule type="expression" dxfId="162" priority="478">
      <formula>$I$647="hide"</formula>
    </cfRule>
  </conditionalFormatting>
  <conditionalFormatting sqref="B676:H704">
    <cfRule type="expression" dxfId="161" priority="480">
      <formula>$I$676="hide"</formula>
    </cfRule>
  </conditionalFormatting>
  <conditionalFormatting sqref="B706:H728">
    <cfRule type="expression" dxfId="160" priority="438">
      <formula>$I$706="hide"</formula>
    </cfRule>
  </conditionalFormatting>
  <conditionalFormatting sqref="B730:H752">
    <cfRule type="expression" dxfId="159" priority="439">
      <formula>$I$730="hide"</formula>
    </cfRule>
  </conditionalFormatting>
  <conditionalFormatting sqref="B756:H785">
    <cfRule type="expression" dxfId="158" priority="441">
      <formula>$I$756="hide"</formula>
    </cfRule>
  </conditionalFormatting>
  <conditionalFormatting sqref="B789:H823">
    <cfRule type="expression" dxfId="157" priority="488">
      <formula>$I$789="hide"</formula>
    </cfRule>
  </conditionalFormatting>
  <conditionalFormatting sqref="B825:H859">
    <cfRule type="expression" dxfId="156" priority="490">
      <formula>$I$825="hide"</formula>
    </cfRule>
  </conditionalFormatting>
  <conditionalFormatting sqref="B861:H891">
    <cfRule type="expression" dxfId="155" priority="492">
      <formula>$I$861="hide"</formula>
    </cfRule>
  </conditionalFormatting>
  <conditionalFormatting sqref="B895:H914">
    <cfRule type="expression" dxfId="154" priority="494">
      <formula>$I$895="hide"</formula>
    </cfRule>
  </conditionalFormatting>
  <conditionalFormatting sqref="B918:H960">
    <cfRule type="expression" dxfId="153" priority="496">
      <formula>$I$918="hide"</formula>
    </cfRule>
  </conditionalFormatting>
  <conditionalFormatting sqref="C49 C57:D67 F57:F67">
    <cfRule type="expression" dxfId="152" priority="215">
      <formula>$I$49=TRUE</formula>
    </cfRule>
  </conditionalFormatting>
  <conditionalFormatting sqref="C49 C55:F68 C78 C84:F96">
    <cfRule type="expression" dxfId="151" priority="43">
      <formula>$I$38="hide"</formula>
    </cfRule>
  </conditionalFormatting>
  <conditionalFormatting sqref="C57:C67">
    <cfRule type="expression" dxfId="150" priority="218">
      <formula>ISBLANK(C57)</formula>
    </cfRule>
  </conditionalFormatting>
  <conditionalFormatting sqref="C78 C86:C95 F86:F95">
    <cfRule type="expression" dxfId="149" priority="217">
      <formula>$I$78=TRUE</formula>
    </cfRule>
  </conditionalFormatting>
  <conditionalFormatting sqref="C86:C95">
    <cfRule type="expression" dxfId="148" priority="397">
      <formula>ISBLANK(C86)</formula>
    </cfRule>
  </conditionalFormatting>
  <conditionalFormatting sqref="C110 C118:D128 F118:F128">
    <cfRule type="expression" dxfId="147" priority="335">
      <formula>$I$110=TRUE</formula>
    </cfRule>
  </conditionalFormatting>
  <conditionalFormatting sqref="C110 C116:F129 C139 C145:F157">
    <cfRule type="expression" dxfId="146" priority="44">
      <formula>$I$99="hide"</formula>
    </cfRule>
  </conditionalFormatting>
  <conditionalFormatting sqref="C118:C128">
    <cfRule type="expression" dxfId="145" priority="389">
      <formula>ISBLANK(C118)</formula>
    </cfRule>
  </conditionalFormatting>
  <conditionalFormatting sqref="C139 C147:C156 F147:F156">
    <cfRule type="expression" dxfId="144" priority="395">
      <formula>$I$139=TRUE</formula>
    </cfRule>
  </conditionalFormatting>
  <conditionalFormatting sqref="C147:C156">
    <cfRule type="expression" dxfId="143" priority="422">
      <formula>ISBLANK(C147)</formula>
    </cfRule>
  </conditionalFormatting>
  <conditionalFormatting sqref="C171 C179:D189 F179:F189">
    <cfRule type="expression" dxfId="142" priority="345">
      <formula>$I$171=TRUE</formula>
    </cfRule>
  </conditionalFormatting>
  <conditionalFormatting sqref="C171 C177:F190 C200 C206:F218">
    <cfRule type="expression" dxfId="141" priority="332">
      <formula>$I$160="hide"</formula>
    </cfRule>
  </conditionalFormatting>
  <conditionalFormatting sqref="C179:C189">
    <cfRule type="expression" dxfId="140" priority="391">
      <formula>ISBLANK(C179)</formula>
    </cfRule>
  </conditionalFormatting>
  <conditionalFormatting sqref="C200 C208:C217 F208:F217">
    <cfRule type="expression" dxfId="139" priority="400">
      <formula>$I$200=TRUE</formula>
    </cfRule>
  </conditionalFormatting>
  <conditionalFormatting sqref="C208:C217">
    <cfRule type="expression" dxfId="138" priority="401">
      <formula>ISBLANK(C208)</formula>
    </cfRule>
  </conditionalFormatting>
  <conditionalFormatting sqref="C232 C238:F248 C260:F267">
    <cfRule type="expression" dxfId="137" priority="331">
      <formula>$I$223="hide"</formula>
    </cfRule>
  </conditionalFormatting>
  <conditionalFormatting sqref="C232 F240 F242:F247 C262:C266 F262:F266">
    <cfRule type="expression" dxfId="136" priority="413">
      <formula>$I$232=TRUE</formula>
    </cfRule>
  </conditionalFormatting>
  <conditionalFormatting sqref="C258">
    <cfRule type="expression" dxfId="135" priority="267">
      <formula>$I$260="hide"</formula>
    </cfRule>
  </conditionalFormatting>
  <conditionalFormatting sqref="C262:C266">
    <cfRule type="expression" dxfId="134" priority="415">
      <formula>ISBLANK(C262)</formula>
    </cfRule>
  </conditionalFormatting>
  <conditionalFormatting sqref="C281 C289:C298 F289:F298">
    <cfRule type="expression" dxfId="133" priority="412">
      <formula>$I$281=TRUE</formula>
    </cfRule>
  </conditionalFormatting>
  <conditionalFormatting sqref="C281 C287:F299">
    <cfRule type="expression" dxfId="132" priority="326">
      <formula>$I$272="hide"</formula>
    </cfRule>
  </conditionalFormatting>
  <conditionalFormatting sqref="C289:C298">
    <cfRule type="expression" dxfId="131" priority="414">
      <formula>ISBLANK(C289)</formula>
    </cfRule>
  </conditionalFormatting>
  <conditionalFormatting sqref="C313 C319:F324 C326:G338">
    <cfRule type="expression" dxfId="130" priority="32">
      <formula>$I$304="hide"</formula>
    </cfRule>
  </conditionalFormatting>
  <conditionalFormatting sqref="C313 F321:F323 C328:D337 F328:F337">
    <cfRule type="expression" dxfId="129" priority="214">
      <formula>$I$313=TRUE</formula>
    </cfRule>
  </conditionalFormatting>
  <conditionalFormatting sqref="C328:C337">
    <cfRule type="expression" dxfId="128" priority="324">
      <formula>ISBLANK(C328)</formula>
    </cfRule>
  </conditionalFormatting>
  <conditionalFormatting sqref="C350 C357:F362 C364:G376">
    <cfRule type="expression" dxfId="127" priority="31">
      <formula>$I$341="hide"</formula>
    </cfRule>
  </conditionalFormatting>
  <conditionalFormatting sqref="C350 F359:F361 C366:D375 F366:F375">
    <cfRule type="expression" dxfId="126" priority="322">
      <formula>$I$350=TRUE</formula>
    </cfRule>
  </conditionalFormatting>
  <conditionalFormatting sqref="C366:C375">
    <cfRule type="expression" dxfId="125" priority="323">
      <formula>ISBLANK(C366)</formula>
    </cfRule>
  </conditionalFormatting>
  <conditionalFormatting sqref="C388 C394:F399 C401:G413">
    <cfRule type="expression" dxfId="124" priority="30">
      <formula>$I$379="hide"</formula>
    </cfRule>
  </conditionalFormatting>
  <conditionalFormatting sqref="C388 F396:F398 C403:D412 F403:F412">
    <cfRule type="expression" dxfId="123" priority="319">
      <formula>$I$388=TRUE</formula>
    </cfRule>
  </conditionalFormatting>
  <conditionalFormatting sqref="C403:C412">
    <cfRule type="expression" dxfId="122" priority="320">
      <formula>ISBLANK(C403)</formula>
    </cfRule>
  </conditionalFormatting>
  <conditionalFormatting sqref="C429 C435:F449">
    <cfRule type="expression" dxfId="121" priority="42">
      <formula>$I$418="hide"</formula>
    </cfRule>
  </conditionalFormatting>
  <conditionalFormatting sqref="C429 E437:F437 C439:F448">
    <cfRule type="expression" dxfId="120" priority="317">
      <formula>$I$429=TRUE</formula>
    </cfRule>
  </conditionalFormatting>
  <conditionalFormatting sqref="C439:C448">
    <cfRule type="expression" dxfId="119" priority="384">
      <formula>ISBLANK(C439)</formula>
    </cfRule>
  </conditionalFormatting>
  <conditionalFormatting sqref="C463 C469:F483">
    <cfRule type="expression" dxfId="118" priority="257">
      <formula>$I$452="hide"</formula>
    </cfRule>
  </conditionalFormatting>
  <conditionalFormatting sqref="C463 E471:F471 C473:F482">
    <cfRule type="expression" dxfId="117" priority="315">
      <formula>$I$463=TRUE</formula>
    </cfRule>
  </conditionalFormatting>
  <conditionalFormatting sqref="C473:C482">
    <cfRule type="expression" dxfId="116" priority="382">
      <formula>ISBLANK(C473)</formula>
    </cfRule>
  </conditionalFormatting>
  <conditionalFormatting sqref="C497">
    <cfRule type="expression" dxfId="115" priority="2">
      <formula>$I$486="hide"</formula>
    </cfRule>
    <cfRule type="expression" dxfId="114" priority="3">
      <formula>$I$497=TRUE</formula>
    </cfRule>
  </conditionalFormatting>
  <conditionalFormatting sqref="C507:C516">
    <cfRule type="expression" dxfId="113" priority="378">
      <formula>ISBLANK(C507)</formula>
    </cfRule>
  </conditionalFormatting>
  <conditionalFormatting sqref="C531 C539:C558 F539:F558">
    <cfRule type="expression" dxfId="112" priority="310">
      <formula>$I$531=TRUE</formula>
    </cfRule>
  </conditionalFormatting>
  <conditionalFormatting sqref="C531 C537:F559">
    <cfRule type="expression" dxfId="111" priority="307">
      <formula>$I$522="hide"</formula>
    </cfRule>
  </conditionalFormatting>
  <conditionalFormatting sqref="C539:C558">
    <cfRule type="expression" dxfId="110" priority="376">
      <formula>ISBLANK(C539)</formula>
    </cfRule>
  </conditionalFormatting>
  <conditionalFormatting sqref="C571 C579:F598">
    <cfRule type="expression" dxfId="109" priority="373">
      <formula>$I$571=TRUE</formula>
    </cfRule>
  </conditionalFormatting>
  <conditionalFormatting sqref="C571 C577:G599">
    <cfRule type="expression" dxfId="108" priority="308">
      <formula>$I$562="hide"</formula>
    </cfRule>
  </conditionalFormatting>
  <conditionalFormatting sqref="C579:C598">
    <cfRule type="expression" dxfId="107" priority="374">
      <formula>ISBLANK(C579)</formula>
    </cfRule>
  </conditionalFormatting>
  <conditionalFormatting sqref="C614 C622:D641 F622:F641">
    <cfRule type="expression" dxfId="106" priority="370">
      <formula>$I$614=TRUE</formula>
    </cfRule>
  </conditionalFormatting>
  <conditionalFormatting sqref="C614 C620:G642">
    <cfRule type="expression" dxfId="105" priority="305">
      <formula>$I$604="hide"</formula>
    </cfRule>
  </conditionalFormatting>
  <conditionalFormatting sqref="C622:C641">
    <cfRule type="expression" dxfId="104" priority="371">
      <formula>ISBLANK(C622)</formula>
    </cfRule>
  </conditionalFormatting>
  <conditionalFormatting sqref="C656 C662:F673">
    <cfRule type="expression" dxfId="103" priority="300">
      <formula>$I$647="hide"</formula>
    </cfRule>
  </conditionalFormatting>
  <conditionalFormatting sqref="C656 F664:F672">
    <cfRule type="expression" dxfId="102" priority="367">
      <formula>$I$656=TRUE</formula>
    </cfRule>
  </conditionalFormatting>
  <conditionalFormatting sqref="C685 C691:F694">
    <cfRule type="expression" dxfId="101" priority="1">
      <formula>$I$676="hide"</formula>
    </cfRule>
  </conditionalFormatting>
  <conditionalFormatting sqref="C715 C721:F727">
    <cfRule type="expression" dxfId="100" priority="6">
      <formula>$I$706="hide"</formula>
    </cfRule>
  </conditionalFormatting>
  <conditionalFormatting sqref="C715 F723:F726">
    <cfRule type="expression" dxfId="99" priority="297">
      <formula>$I$715=TRUE</formula>
    </cfRule>
  </conditionalFormatting>
  <conditionalFormatting sqref="C739 C745:F751">
    <cfRule type="expression" dxfId="98" priority="7">
      <formula>$I$730="hide"</formula>
    </cfRule>
  </conditionalFormatting>
  <conditionalFormatting sqref="C739 F747:F750">
    <cfRule type="expression" dxfId="97" priority="295">
      <formula>$I$739=TRUE</formula>
    </cfRule>
  </conditionalFormatting>
  <conditionalFormatting sqref="C764 C770:F784">
    <cfRule type="expression" dxfId="96" priority="293">
      <formula>$I$756="hide"</formula>
    </cfRule>
  </conditionalFormatting>
  <conditionalFormatting sqref="C764 F772:F783">
    <cfRule type="expression" dxfId="95" priority="294">
      <formula>$I$764=TRUE</formula>
    </cfRule>
  </conditionalFormatting>
  <conditionalFormatting sqref="C798 C804:F808 C810:F822">
    <cfRule type="expression" dxfId="94" priority="24">
      <formula>$I$789="hide"</formula>
    </cfRule>
  </conditionalFormatting>
  <conditionalFormatting sqref="C798 F806:F807 C812:D821 F812:F821">
    <cfRule type="expression" dxfId="93" priority="291">
      <formula>$I$798=TRUE</formula>
    </cfRule>
  </conditionalFormatting>
  <conditionalFormatting sqref="C812:C821">
    <cfRule type="expression" dxfId="92" priority="360">
      <formula>ISBLANK(C812)</formula>
    </cfRule>
  </conditionalFormatting>
  <conditionalFormatting sqref="C834 C840:F844 C846:F858">
    <cfRule type="expression" dxfId="91" priority="23">
      <formula>$I$825="hide"</formula>
    </cfRule>
  </conditionalFormatting>
  <conditionalFormatting sqref="C834 F842:F843 C848:D857 F848:F857">
    <cfRule type="expression" dxfId="90" priority="290">
      <formula>$I$834=TRUE</formula>
    </cfRule>
  </conditionalFormatting>
  <conditionalFormatting sqref="C848:C857">
    <cfRule type="expression" dxfId="89" priority="355">
      <formula>ISBLANK(C848)</formula>
    </cfRule>
  </conditionalFormatting>
  <conditionalFormatting sqref="C870 C876:F890">
    <cfRule type="expression" dxfId="88" priority="285">
      <formula>$I$861="hide"</formula>
    </cfRule>
  </conditionalFormatting>
  <conditionalFormatting sqref="C870 F878:F889">
    <cfRule type="expression" dxfId="87" priority="353">
      <formula>$I$870=TRUE</formula>
    </cfRule>
  </conditionalFormatting>
  <conditionalFormatting sqref="C903 C909:F913">
    <cfRule type="expression" dxfId="86" priority="283">
      <formula>$I$895="hide"</formula>
    </cfRule>
  </conditionalFormatting>
  <conditionalFormatting sqref="C926 C932:F935 C937:F959">
    <cfRule type="expression" dxfId="85" priority="281">
      <formula>$I$918="hide"</formula>
    </cfRule>
  </conditionalFormatting>
  <conditionalFormatting sqref="C926 F934 C939:C958 E939:F958">
    <cfRule type="expression" dxfId="84" priority="347">
      <formula>$I$926=TRUE</formula>
    </cfRule>
  </conditionalFormatting>
  <conditionalFormatting sqref="C939:C958">
    <cfRule type="expression" dxfId="83" priority="348">
      <formula>ISBLANK(C939)</formula>
    </cfRule>
  </conditionalFormatting>
  <conditionalFormatting sqref="C1520">
    <cfRule type="expression" dxfId="82" priority="394">
      <formula>ISBLANK(C1521)</formula>
    </cfRule>
  </conditionalFormatting>
  <conditionalFormatting sqref="C84:F84">
    <cfRule type="expression" dxfId="81" priority="278" stopIfTrue="1">
      <formula>$I$38="hide"</formula>
    </cfRule>
  </conditionalFormatting>
  <conditionalFormatting sqref="C503:F517">
    <cfRule type="expression" dxfId="80" priority="8">
      <formula>$I$418="hide"</formula>
    </cfRule>
  </conditionalFormatting>
  <conditionalFormatting sqref="C696:F703">
    <cfRule type="expression" dxfId="79" priority="28">
      <formula>$I$696="hide"</formula>
    </cfRule>
  </conditionalFormatting>
  <conditionalFormatting sqref="D57:D67">
    <cfRule type="expression" dxfId="78" priority="280">
      <formula>F57=0</formula>
    </cfRule>
  </conditionalFormatting>
  <conditionalFormatting sqref="D118:D128">
    <cfRule type="expression" dxfId="77" priority="392">
      <formula>$F118=0</formula>
    </cfRule>
  </conditionalFormatting>
  <conditionalFormatting sqref="D179:D189">
    <cfRule type="expression" dxfId="76" priority="399">
      <formula>$F179=0</formula>
    </cfRule>
  </conditionalFormatting>
  <conditionalFormatting sqref="D328:D337">
    <cfRule type="expression" dxfId="75" priority="387">
      <formula>$F328=0</formula>
    </cfRule>
  </conditionalFormatting>
  <conditionalFormatting sqref="D366:D375">
    <cfRule type="expression" dxfId="74" priority="428">
      <formula>$F366=0</formula>
    </cfRule>
  </conditionalFormatting>
  <conditionalFormatting sqref="D403:D412">
    <cfRule type="expression" dxfId="73" priority="417">
      <formula>$F403=0</formula>
    </cfRule>
  </conditionalFormatting>
  <conditionalFormatting sqref="D439:D448">
    <cfRule type="expression" dxfId="72" priority="385">
      <formula>D439=""</formula>
    </cfRule>
  </conditionalFormatting>
  <conditionalFormatting sqref="D473:D482">
    <cfRule type="expression" dxfId="71" priority="383">
      <formula>D473=""</formula>
    </cfRule>
  </conditionalFormatting>
  <conditionalFormatting sqref="D507:D516">
    <cfRule type="expression" dxfId="70" priority="380">
      <formula>D507=""</formula>
    </cfRule>
  </conditionalFormatting>
  <conditionalFormatting sqref="D579:D598">
    <cfRule type="expression" dxfId="69" priority="375">
      <formula>ISBLANK(D579)</formula>
    </cfRule>
  </conditionalFormatting>
  <conditionalFormatting sqref="D622:D641">
    <cfRule type="expression" dxfId="68" priority="372">
      <formula>ISBLANK(D622)</formula>
    </cfRule>
  </conditionalFormatting>
  <conditionalFormatting sqref="D812:D821">
    <cfRule type="expression" dxfId="67" priority="442">
      <formula>$F812=0</formula>
    </cfRule>
  </conditionalFormatting>
  <conditionalFormatting sqref="D848:D857">
    <cfRule type="expression" dxfId="66" priority="356">
      <formula>$F848=0</formula>
    </cfRule>
  </conditionalFormatting>
  <conditionalFormatting sqref="E437 E439:E448">
    <cfRule type="expression" dxfId="65" priority="407">
      <formula>E437=""</formula>
    </cfRule>
  </conditionalFormatting>
  <conditionalFormatting sqref="E471 E473:E482">
    <cfRule type="expression" dxfId="64" priority="406">
      <formula>E471=""</formula>
    </cfRule>
  </conditionalFormatting>
  <conditionalFormatting sqref="E505 E507:E516">
    <cfRule type="expression" dxfId="63" priority="405">
      <formula>E505=""</formula>
    </cfRule>
  </conditionalFormatting>
  <conditionalFormatting sqref="E579:E598">
    <cfRule type="expression" dxfId="62" priority="403">
      <formula>ISBLANK(E579)</formula>
    </cfRule>
  </conditionalFormatting>
  <conditionalFormatting sqref="E505:F505 C507:F516">
    <cfRule type="expression" dxfId="61" priority="313">
      <formula>$I$497=TRUE</formula>
    </cfRule>
  </conditionalFormatting>
  <conditionalFormatting sqref="E939:F958">
    <cfRule type="expression" dxfId="60" priority="448">
      <formula>ISBLANK(E939)</formula>
    </cfRule>
  </conditionalFormatting>
  <conditionalFormatting sqref="F57:F67">
    <cfRule type="expression" dxfId="59" priority="336">
      <formula>F57=0</formula>
    </cfRule>
  </conditionalFormatting>
  <conditionalFormatting sqref="F86:F95">
    <cfRule type="expression" dxfId="58" priority="421">
      <formula>ISBLANK(F86)</formula>
    </cfRule>
  </conditionalFormatting>
  <conditionalFormatting sqref="F118:F128">
    <cfRule type="expression" dxfId="57" priority="393">
      <formula>$F118=0</formula>
    </cfRule>
  </conditionalFormatting>
  <conditionalFormatting sqref="F147:F156">
    <cfRule type="expression" dxfId="56" priority="396">
      <formula>ISBLANK(F147)</formula>
    </cfRule>
  </conditionalFormatting>
  <conditionalFormatting sqref="F179:F189">
    <cfRule type="expression" dxfId="55" priority="423">
      <formula>$F179=0</formula>
    </cfRule>
  </conditionalFormatting>
  <conditionalFormatting sqref="F208:F217">
    <cfRule type="expression" dxfId="54" priority="424">
      <formula>ISBLANK(F208)</formula>
    </cfRule>
  </conditionalFormatting>
  <conditionalFormatting sqref="F240 F242:F247">
    <cfRule type="expression" dxfId="53" priority="425">
      <formula>ISBLANK(F240)</formula>
    </cfRule>
  </conditionalFormatting>
  <conditionalFormatting sqref="F262:F266">
    <cfRule type="expression" dxfId="52" priority="449">
      <formula>ISBLANK(F262)</formula>
    </cfRule>
  </conditionalFormatting>
  <conditionalFormatting sqref="F289:F298">
    <cfRule type="expression" dxfId="51" priority="426">
      <formula>ISBLANK(F289)</formula>
    </cfRule>
  </conditionalFormatting>
  <conditionalFormatting sqref="F321:F323">
    <cfRule type="expression" dxfId="50" priority="398">
      <formula>ISBLANK(F321)</formula>
    </cfRule>
  </conditionalFormatting>
  <conditionalFormatting sqref="F328:F337">
    <cfRule type="expression" dxfId="49" priority="409">
      <formula>$F328=0</formula>
    </cfRule>
  </conditionalFormatting>
  <conditionalFormatting sqref="F359:F361">
    <cfRule type="expression" dxfId="48" priority="338">
      <formula>ISBLANK(F359)</formula>
    </cfRule>
  </conditionalFormatting>
  <conditionalFormatting sqref="F366:F375">
    <cfRule type="expression" dxfId="47" priority="411">
      <formula>F366=0</formula>
    </cfRule>
  </conditionalFormatting>
  <conditionalFormatting sqref="F396:F398">
    <cfRule type="expression" dxfId="46" priority="416">
      <formula>ISBLANK(F396)</formula>
    </cfRule>
  </conditionalFormatting>
  <conditionalFormatting sqref="F403:F412">
    <cfRule type="expression" dxfId="45" priority="429">
      <formula>$F403=0</formula>
    </cfRule>
  </conditionalFormatting>
  <conditionalFormatting sqref="F437 F439:F448">
    <cfRule type="expression" dxfId="44" priority="430">
      <formula>ISBLANK(F437)</formula>
    </cfRule>
  </conditionalFormatting>
  <conditionalFormatting sqref="F471 F473:F482">
    <cfRule type="expression" dxfId="43" priority="431">
      <formula>ISBLANK(F471)</formula>
    </cfRule>
  </conditionalFormatting>
  <conditionalFormatting sqref="F505 F507:F516">
    <cfRule type="expression" dxfId="42" priority="432">
      <formula>ISBLANK(F505)</formula>
    </cfRule>
  </conditionalFormatting>
  <conditionalFormatting sqref="F539:F558">
    <cfRule type="expression" dxfId="41" priority="404">
      <formula>ISBLANK(F539)</formula>
    </cfRule>
  </conditionalFormatting>
  <conditionalFormatting sqref="F579:F598">
    <cfRule type="expression" dxfId="40" priority="434">
      <formula>ISBLANK(F579)</formula>
    </cfRule>
  </conditionalFormatting>
  <conditionalFormatting sqref="F622:F641">
    <cfRule type="expression" dxfId="39" priority="435">
      <formula>ISBLANK(F622)</formula>
    </cfRule>
  </conditionalFormatting>
  <conditionalFormatting sqref="F664:F672">
    <cfRule type="expression" dxfId="38" priority="369">
      <formula>ISBLANK(F664)</formula>
    </cfRule>
  </conditionalFormatting>
  <conditionalFormatting sqref="F693 F697:F702">
    <cfRule type="expression" dxfId="37" priority="436">
      <formula>ISBLANK(F693)</formula>
    </cfRule>
  </conditionalFormatting>
  <conditionalFormatting sqref="F697:F702 C685 F693">
    <cfRule type="expression" dxfId="36" priority="299">
      <formula>$I$685=TRUE</formula>
    </cfRule>
  </conditionalFormatting>
  <conditionalFormatting sqref="F723:F726">
    <cfRule type="expression" dxfId="35" priority="366">
      <formula>ISBLANK(F723)</formula>
    </cfRule>
  </conditionalFormatting>
  <conditionalFormatting sqref="F747:F750">
    <cfRule type="expression" dxfId="34" priority="365">
      <formula>ISBLANK(F747)</formula>
    </cfRule>
  </conditionalFormatting>
  <conditionalFormatting sqref="F772:F783">
    <cfRule type="expression" dxfId="33" priority="364">
      <formula>ISBLANK(F772)</formula>
    </cfRule>
  </conditionalFormatting>
  <conditionalFormatting sqref="F806:F807">
    <cfRule type="expression" dxfId="32" priority="292">
      <formula>ISBLANK(H799)</formula>
    </cfRule>
  </conditionalFormatting>
  <conditionalFormatting sqref="F812:F821">
    <cfRule type="expression" dxfId="31" priority="361">
      <formula>F812=0</formula>
    </cfRule>
  </conditionalFormatting>
  <conditionalFormatting sqref="F842:F843">
    <cfRule type="expression" dxfId="30" priority="357">
      <formula>ISBLANK(F842)</formula>
    </cfRule>
  </conditionalFormatting>
  <conditionalFormatting sqref="F848:F857">
    <cfRule type="expression" dxfId="29" priority="443">
      <formula>F848=0</formula>
    </cfRule>
  </conditionalFormatting>
  <conditionalFormatting sqref="F878:F889">
    <cfRule type="expression" dxfId="28" priority="444">
      <formula>ISBLANK(F878)</formula>
    </cfRule>
  </conditionalFormatting>
  <conditionalFormatting sqref="F911:F912 C903">
    <cfRule type="expression" dxfId="27" priority="446">
      <formula>$I$903=TRUE</formula>
    </cfRule>
  </conditionalFormatting>
  <conditionalFormatting sqref="F911:F912">
    <cfRule type="expression" dxfId="26" priority="351">
      <formula>ISBLANK(F911)</formula>
    </cfRule>
  </conditionalFormatting>
  <conditionalFormatting sqref="F934">
    <cfRule type="expression" dxfId="25" priority="349">
      <formula>ISBLANK(F934)</formula>
    </cfRule>
  </conditionalFormatting>
  <conditionalFormatting sqref="I230">
    <cfRule type="expression" dxfId="24" priority="247" stopIfTrue="1">
      <formula>$I$38="hide"</formula>
    </cfRule>
  </conditionalFormatting>
  <conditionalFormatting sqref="I279">
    <cfRule type="expression" dxfId="23" priority="246" stopIfTrue="1">
      <formula>$I$38="hide"</formula>
    </cfRule>
  </conditionalFormatting>
  <conditionalFormatting sqref="I311">
    <cfRule type="expression" dxfId="22" priority="245" stopIfTrue="1">
      <formula>$I$38="hide"</formula>
    </cfRule>
  </conditionalFormatting>
  <conditionalFormatting sqref="I348">
    <cfRule type="expression" dxfId="21" priority="243" stopIfTrue="1">
      <formula>$I$38="hide"</formula>
    </cfRule>
  </conditionalFormatting>
  <conditionalFormatting sqref="I386">
    <cfRule type="expression" dxfId="20" priority="242" stopIfTrue="1">
      <formula>$I$38="hide"</formula>
    </cfRule>
  </conditionalFormatting>
  <conditionalFormatting sqref="I427">
    <cfRule type="expression" dxfId="19" priority="241" stopIfTrue="1">
      <formula>$I$38="hide"</formula>
    </cfRule>
  </conditionalFormatting>
  <conditionalFormatting sqref="I461">
    <cfRule type="expression" dxfId="18" priority="240" stopIfTrue="1">
      <formula>$I$38="hide"</formula>
    </cfRule>
  </conditionalFormatting>
  <conditionalFormatting sqref="I495">
    <cfRule type="expression" dxfId="17" priority="239" stopIfTrue="1">
      <formula>$I$38="hide"</formula>
    </cfRule>
  </conditionalFormatting>
  <conditionalFormatting sqref="I529">
    <cfRule type="expression" dxfId="16" priority="238" stopIfTrue="1">
      <formula>$I$38="hide"</formula>
    </cfRule>
  </conditionalFormatting>
  <conditionalFormatting sqref="I569">
    <cfRule type="expression" dxfId="15" priority="235" stopIfTrue="1">
      <formula>$I$38="hide"</formula>
    </cfRule>
  </conditionalFormatting>
  <conditionalFormatting sqref="I612">
    <cfRule type="expression" dxfId="14" priority="236" stopIfTrue="1">
      <formula>$I$38="hide"</formula>
    </cfRule>
  </conditionalFormatting>
  <conditionalFormatting sqref="I654">
    <cfRule type="expression" dxfId="13" priority="234" stopIfTrue="1">
      <formula>$I$38="hide"</formula>
    </cfRule>
  </conditionalFormatting>
  <conditionalFormatting sqref="I683">
    <cfRule type="expression" dxfId="12" priority="233" stopIfTrue="1">
      <formula>$I$38="hide"</formula>
    </cfRule>
  </conditionalFormatting>
  <conditionalFormatting sqref="I713">
    <cfRule type="expression" dxfId="11" priority="232" stopIfTrue="1">
      <formula>$I$38="hide"</formula>
    </cfRule>
  </conditionalFormatting>
  <conditionalFormatting sqref="I737">
    <cfRule type="expression" dxfId="10" priority="231" stopIfTrue="1">
      <formula>$I$38="hide"</formula>
    </cfRule>
  </conditionalFormatting>
  <conditionalFormatting sqref="I762">
    <cfRule type="expression" dxfId="9" priority="230" stopIfTrue="1">
      <formula>$I$38="hide"</formula>
    </cfRule>
  </conditionalFormatting>
  <conditionalFormatting sqref="I796">
    <cfRule type="expression" dxfId="8" priority="229" stopIfTrue="1">
      <formula>$I$38="hide"</formula>
    </cfRule>
  </conditionalFormatting>
  <conditionalFormatting sqref="I832">
    <cfRule type="expression" dxfId="7" priority="228" stopIfTrue="1">
      <formula>$I$38="hide"</formula>
    </cfRule>
  </conditionalFormatting>
  <conditionalFormatting sqref="I868">
    <cfRule type="expression" dxfId="6" priority="227" stopIfTrue="1">
      <formula>$I$38="hide"</formula>
    </cfRule>
  </conditionalFormatting>
  <conditionalFormatting sqref="I901">
    <cfRule type="expression" dxfId="5" priority="226" stopIfTrue="1">
      <formula>$I$38="hide"</formula>
    </cfRule>
  </conditionalFormatting>
  <conditionalFormatting sqref="I924">
    <cfRule type="expression" dxfId="4" priority="225" stopIfTrue="1">
      <formula>$I$38="hide"</formula>
    </cfRule>
  </conditionalFormatting>
  <dataValidations count="2">
    <dataValidation type="decimal" allowBlank="1" showInputMessage="1" showErrorMessage="1" sqref="D57:D68 F86:F95 F878:F890 D118:D129 F147:F157 D179:D190 F118:F129 F208:F218 F240 F242:F248 F262:F267 F289:F299 F321:F324 F179:F190 D328:D338 F359:F362 D366:D376 F939:F959 F396:F399 F403:F413 D403:D413 F437 F664:F673 F471 F473:F483 F505 F507:F517 F539:F559 F579:F599 F622:F642 F439:F449 F693 F697:F703 F723:F727 F747:F751 F772:F784 F806:F808 F812:F822 D812:D822 F842:F844 D848:D858 F366:F376 F848:F858 F911:F913 F934:F935 F328:F338" xr:uid="{7B12DEF9-4D5B-474B-A4F9-7048F1327C15}">
      <formula1>0</formula1>
      <formula2>1000000000</formula2>
    </dataValidation>
    <dataValidation type="decimal" allowBlank="1" showInputMessage="1" showErrorMessage="1" sqref="E939:E959" xr:uid="{035F63FA-CF18-4F9C-8F3B-73D0EF21D331}">
      <formula1>0</formula1>
      <formula2>100</formula2>
    </dataValidation>
  </dataValidations>
  <hyperlinks>
    <hyperlink ref="C23" location="DatInp_Hyperlink_3Stationary" display="DatInp_Hyperlink_3Stationary" xr:uid="{903AEFD1-9F5F-43D5-B558-02308B02B347}"/>
    <hyperlink ref="C24" location="DatInp_Hyperlink_4Process" display="DatInp_Hyperlink_4Process" xr:uid="{2E8DF248-A3DF-446B-B238-5003E2DBFE71}"/>
    <hyperlink ref="C25" location="DatInp_Hyperlink_5Fugitive" display="DatInp_Hyperlink_5Fugitive" xr:uid="{28CE5F4F-D403-4D97-8533-DD5F2A41E2C1}"/>
    <hyperlink ref="C26" location="DatInp_Hyperlink_6Fleet" display="DatInp_Hyperlink_6Fleet" xr:uid="{B5F88C9E-C79D-403C-B646-731D1E642C14}"/>
    <hyperlink ref="C27" location="DatInp_Hyperlink_7Electricity" display="DatInp_Hyperlink_7Electricity" xr:uid="{37C5EAEE-4B0A-415F-8788-DD39AEAEDBC4}"/>
    <hyperlink ref="C29" location="DatInp_Hyperlink_9CapitalGoods" display="DatInp_Hyperlink_9CapitalGoods" xr:uid="{B8E3319B-0638-45A2-9CE4-03339799A184}"/>
    <hyperlink ref="C28" location="DatInp_Hyperlink_8PurchasedGoods" display="DatInp_Hyperlink_8PurchasedGoods" xr:uid="{EB8A3DF2-41D7-4034-8933-0209CD2C2C95}"/>
    <hyperlink ref="C30" location="DatInp_Hyperlink_10Transport" display="DatInp_Hyperlink_10Transport" xr:uid="{FA42737C-4E08-4F68-AA17-D7A041B8C4AA}"/>
    <hyperlink ref="C31" location="DatInp_Hyperlink_11Waste" display="DatInp_Hyperlink_11Waste" xr:uid="{B6C5315E-F7F5-4582-96C1-A7603B5654A2}"/>
    <hyperlink ref="C32" location="DatInp_Hyperlink_12SoldProducts" display="DatInp_Hyperlink_12SoldProducts" xr:uid="{102BD902-9C5A-4EC9-B5C1-75393D4A8BCF}"/>
    <hyperlink ref="C33" location="DatInp_Hyperlink_13Franchise" display="DatInp_Hyperlink_13Franchise" xr:uid="{A37E53F4-4D87-44F0-BC27-55E2B4457A93}"/>
    <hyperlink ref="C34" location="DatInp_Hyperlink_14Investments" display="DatInp_Hyperlink_14Investments" xr:uid="{C672B253-396B-482D-97AC-056FC981E56E}"/>
    <hyperlink ref="G2:H2" location="'2 Data Inputs'!A6" display="▲ Back to top" xr:uid="{910BB052-AA77-4FEE-A172-80CA5188A53A}"/>
  </hyperlinks>
  <pageMargins left="0.7" right="0.7" top="0.78740157499999996" bottom="0.78740157499999996" header="0.3" footer="0.3"/>
  <pageSetup paperSize="9" orientation="portrait" horizontalDpi="4294967293" verticalDpi="4294967293" r:id="rId1"/>
  <ignoredErrors>
    <ignoredError sqref="F179:F189 C23:C34 E449 F57:F67 F328:F337 F403:F412 E483 F366:F375 F118:F128 F812:F821 F848:F857 E437 E471 E505" unlockedFormula="1"/>
    <ignoredError sqref="D439:D449 F338 D473:D483 D507:D516 E439:E448 E473:E482 E507:E516" unlockedFormula="1" listDataValidation="1"/>
    <ignoredError sqref="D413" listDataValidation="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19050</xdr:colOff>
                    <xdr:row>230</xdr:row>
                    <xdr:rowOff>495300</xdr:rowOff>
                  </from>
                  <to>
                    <xdr:col>2</xdr:col>
                    <xdr:colOff>476250</xdr:colOff>
                    <xdr:row>232</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285750</xdr:colOff>
                    <xdr:row>279</xdr:row>
                    <xdr:rowOff>171450</xdr:rowOff>
                  </from>
                  <to>
                    <xdr:col>2</xdr:col>
                    <xdr:colOff>438150</xdr:colOff>
                    <xdr:row>281</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19050</xdr:colOff>
                    <xdr:row>169</xdr:row>
                    <xdr:rowOff>495300</xdr:rowOff>
                  </from>
                  <to>
                    <xdr:col>2</xdr:col>
                    <xdr:colOff>476250</xdr:colOff>
                    <xdr:row>171</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28575</xdr:colOff>
                    <xdr:row>48</xdr:row>
                    <xdr:rowOff>28575</xdr:rowOff>
                  </from>
                  <to>
                    <xdr:col>2</xdr:col>
                    <xdr:colOff>485775</xdr:colOff>
                    <xdr:row>48</xdr:row>
                    <xdr:rowOff>257175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0</xdr:colOff>
                    <xdr:row>108</xdr:row>
                    <xdr:rowOff>171450</xdr:rowOff>
                  </from>
                  <to>
                    <xdr:col>2</xdr:col>
                    <xdr:colOff>447675</xdr:colOff>
                    <xdr:row>110</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19050</xdr:colOff>
                    <xdr:row>76</xdr:row>
                    <xdr:rowOff>180975</xdr:rowOff>
                  </from>
                  <to>
                    <xdr:col>2</xdr:col>
                    <xdr:colOff>476250</xdr:colOff>
                    <xdr:row>78</xdr:row>
                    <xdr:rowOff>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0</xdr:colOff>
                    <xdr:row>312</xdr:row>
                    <xdr:rowOff>38100</xdr:rowOff>
                  </from>
                  <to>
                    <xdr:col>2</xdr:col>
                    <xdr:colOff>476250</xdr:colOff>
                    <xdr:row>313</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285750</xdr:colOff>
                    <xdr:row>349</xdr:row>
                    <xdr:rowOff>19050</xdr:rowOff>
                  </from>
                  <to>
                    <xdr:col>2</xdr:col>
                    <xdr:colOff>476250</xdr:colOff>
                    <xdr:row>350</xdr:row>
                    <xdr:rowOff>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19050</xdr:colOff>
                    <xdr:row>386</xdr:row>
                    <xdr:rowOff>171450</xdr:rowOff>
                  </from>
                  <to>
                    <xdr:col>2</xdr:col>
                    <xdr:colOff>485775</xdr:colOff>
                    <xdr:row>388</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19050</xdr:colOff>
                    <xdr:row>138</xdr:row>
                    <xdr:rowOff>0</xdr:rowOff>
                  </from>
                  <to>
                    <xdr:col>2</xdr:col>
                    <xdr:colOff>476250</xdr:colOff>
                    <xdr:row>139</xdr:row>
                    <xdr:rowOff>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xdr:col>
                    <xdr:colOff>19050</xdr:colOff>
                    <xdr:row>199</xdr:row>
                    <xdr:rowOff>0</xdr:rowOff>
                  </from>
                  <to>
                    <xdr:col>2</xdr:col>
                    <xdr:colOff>476250</xdr:colOff>
                    <xdr:row>200</xdr:row>
                    <xdr:rowOff>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xdr:col>
                    <xdr:colOff>0</xdr:colOff>
                    <xdr:row>427</xdr:row>
                    <xdr:rowOff>171450</xdr:rowOff>
                  </from>
                  <to>
                    <xdr:col>2</xdr:col>
                    <xdr:colOff>476250</xdr:colOff>
                    <xdr:row>429</xdr:row>
                    <xdr:rowOff>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0</xdr:colOff>
                    <xdr:row>461</xdr:row>
                    <xdr:rowOff>171450</xdr:rowOff>
                  </from>
                  <to>
                    <xdr:col>2</xdr:col>
                    <xdr:colOff>447675</xdr:colOff>
                    <xdr:row>463</xdr:row>
                    <xdr:rowOff>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2</xdr:col>
                    <xdr:colOff>0</xdr:colOff>
                    <xdr:row>496</xdr:row>
                    <xdr:rowOff>19050</xdr:rowOff>
                  </from>
                  <to>
                    <xdr:col>2</xdr:col>
                    <xdr:colOff>476250</xdr:colOff>
                    <xdr:row>497</xdr:row>
                    <xdr:rowOff>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xdr:col>
                    <xdr:colOff>0</xdr:colOff>
                    <xdr:row>530</xdr:row>
                    <xdr:rowOff>19050</xdr:rowOff>
                  </from>
                  <to>
                    <xdr:col>2</xdr:col>
                    <xdr:colOff>476250</xdr:colOff>
                    <xdr:row>531</xdr:row>
                    <xdr:rowOff>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0</xdr:colOff>
                    <xdr:row>570</xdr:row>
                    <xdr:rowOff>19050</xdr:rowOff>
                  </from>
                  <to>
                    <xdr:col>2</xdr:col>
                    <xdr:colOff>476250</xdr:colOff>
                    <xdr:row>571</xdr:row>
                    <xdr:rowOff>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2</xdr:col>
                    <xdr:colOff>19050</xdr:colOff>
                    <xdr:row>613</xdr:row>
                    <xdr:rowOff>0</xdr:rowOff>
                  </from>
                  <to>
                    <xdr:col>2</xdr:col>
                    <xdr:colOff>476250</xdr:colOff>
                    <xdr:row>614</xdr:row>
                    <xdr:rowOff>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2</xdr:col>
                    <xdr:colOff>19050</xdr:colOff>
                    <xdr:row>683</xdr:row>
                    <xdr:rowOff>180975</xdr:rowOff>
                  </from>
                  <to>
                    <xdr:col>2</xdr:col>
                    <xdr:colOff>476250</xdr:colOff>
                    <xdr:row>685</xdr:row>
                    <xdr:rowOff>9525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2</xdr:col>
                    <xdr:colOff>19050</xdr:colOff>
                    <xdr:row>654</xdr:row>
                    <xdr:rowOff>171450</xdr:rowOff>
                  </from>
                  <to>
                    <xdr:col>2</xdr:col>
                    <xdr:colOff>514350</xdr:colOff>
                    <xdr:row>656</xdr:row>
                    <xdr:rowOff>19050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2</xdr:col>
                    <xdr:colOff>0</xdr:colOff>
                    <xdr:row>713</xdr:row>
                    <xdr:rowOff>180975</xdr:rowOff>
                  </from>
                  <to>
                    <xdr:col>2</xdr:col>
                    <xdr:colOff>447675</xdr:colOff>
                    <xdr:row>715</xdr:row>
                    <xdr:rowOff>9525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2</xdr:col>
                    <xdr:colOff>19050</xdr:colOff>
                    <xdr:row>737</xdr:row>
                    <xdr:rowOff>171450</xdr:rowOff>
                  </from>
                  <to>
                    <xdr:col>2</xdr:col>
                    <xdr:colOff>495300</xdr:colOff>
                    <xdr:row>739</xdr:row>
                    <xdr:rowOff>19050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2</xdr:col>
                    <xdr:colOff>19050</xdr:colOff>
                    <xdr:row>762</xdr:row>
                    <xdr:rowOff>171450</xdr:rowOff>
                  </from>
                  <to>
                    <xdr:col>2</xdr:col>
                    <xdr:colOff>476250</xdr:colOff>
                    <xdr:row>764</xdr:row>
                    <xdr:rowOff>19050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2</xdr:col>
                    <xdr:colOff>19050</xdr:colOff>
                    <xdr:row>796</xdr:row>
                    <xdr:rowOff>180975</xdr:rowOff>
                  </from>
                  <to>
                    <xdr:col>2</xdr:col>
                    <xdr:colOff>476250</xdr:colOff>
                    <xdr:row>798</xdr:row>
                    <xdr:rowOff>9525</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2</xdr:col>
                    <xdr:colOff>28575</xdr:colOff>
                    <xdr:row>833</xdr:row>
                    <xdr:rowOff>28575</xdr:rowOff>
                  </from>
                  <to>
                    <xdr:col>2</xdr:col>
                    <xdr:colOff>219075</xdr:colOff>
                    <xdr:row>834</xdr:row>
                    <xdr:rowOff>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2</xdr:col>
                    <xdr:colOff>0</xdr:colOff>
                    <xdr:row>868</xdr:row>
                    <xdr:rowOff>180975</xdr:rowOff>
                  </from>
                  <to>
                    <xdr:col>2</xdr:col>
                    <xdr:colOff>447675</xdr:colOff>
                    <xdr:row>870</xdr:row>
                    <xdr:rowOff>9525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2</xdr:col>
                    <xdr:colOff>0</xdr:colOff>
                    <xdr:row>902</xdr:row>
                    <xdr:rowOff>19050</xdr:rowOff>
                  </from>
                  <to>
                    <xdr:col>2</xdr:col>
                    <xdr:colOff>447675</xdr:colOff>
                    <xdr:row>903</xdr:row>
                    <xdr:rowOff>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2</xdr:col>
                    <xdr:colOff>19050</xdr:colOff>
                    <xdr:row>925</xdr:row>
                    <xdr:rowOff>0</xdr:rowOff>
                  </from>
                  <to>
                    <xdr:col>2</xdr:col>
                    <xdr:colOff>485775</xdr:colOff>
                    <xdr:row>926</xdr:row>
                    <xdr:rowOff>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xdr:col>
                    <xdr:colOff>38100</xdr:colOff>
                    <xdr:row>16</xdr:row>
                    <xdr:rowOff>28575</xdr:rowOff>
                  </from>
                  <to>
                    <xdr:col>1</xdr:col>
                    <xdr:colOff>285750</xdr:colOff>
                    <xdr:row>18</xdr:row>
                    <xdr:rowOff>38100</xdr:rowOff>
                  </to>
                </anchor>
              </controlPr>
            </control>
          </mc:Choice>
        </mc:AlternateContent>
      </controls>
    </mc:Choice>
  </mc:AlternateContent>
  <tableParts count="35">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s>
  <extLst>
    <ext xmlns:x14="http://schemas.microsoft.com/office/spreadsheetml/2009/9/main" uri="{CCE6A557-97BC-4b89-ADB6-D9C93CAAB3DF}">
      <x14:dataValidations xmlns:xm="http://schemas.microsoft.com/office/excel/2006/main" count="70">
        <x14:dataValidation type="list" allowBlank="1" showInputMessage="1" showErrorMessage="1" xr:uid="{581FACFA-3AA3-4835-9A60-CAB4E6EFD132}">
          <x14:formula1>
            <xm:f>Lists!$B$30:$B$44</xm:f>
          </x14:formula1>
          <xm:sqref>C86:C95 C147:C156 C208:C217</xm:sqref>
        </x14:dataValidation>
        <x14:dataValidation type="list" allowBlank="1" showInputMessage="1" showErrorMessage="1" xr:uid="{6520B017-6AF5-44C7-A918-D9F4AA0ABF95}">
          <x14:formula1>
            <xm:f>Lists!$B$245:$B$310</xm:f>
          </x14:formula1>
          <xm:sqref>C262:C266</xm:sqref>
        </x14:dataValidation>
        <x14:dataValidation type="list" allowBlank="1" showInputMessage="1" showErrorMessage="1" xr:uid="{96361363-80B4-4D82-BE30-E99BE34C917E}">
          <x14:formula1>
            <xm:f>Lists!$B$85:$B$124</xm:f>
          </x14:formula1>
          <xm:sqref>C289:C298</xm:sqref>
        </x14:dataValidation>
        <x14:dataValidation type="list" allowBlank="1" showInputMessage="1" showErrorMessage="1" xr:uid="{DCD5A5F8-7781-41DA-AF9D-46B69A3263E9}">
          <x14:formula1>
            <xm:f>Lists!$B$127:$B$153</xm:f>
          </x14:formula1>
          <xm:sqref>C328:C337 C403:C412 C366:C375</xm:sqref>
        </x14:dataValidation>
        <x14:dataValidation type="list" allowBlank="1" showInputMessage="1" showErrorMessage="1" xr:uid="{B4BBBC92-C5AD-4B28-873C-AD797D44661E}">
          <x14:formula1>
            <xm:f>Lists!$B$47:$B$82</xm:f>
          </x14:formula1>
          <xm:sqref>C439:C448 C473:C482 C507:C516</xm:sqref>
        </x14:dataValidation>
        <x14:dataValidation type="list" allowBlank="1" showInputMessage="1" showErrorMessage="1" xr:uid="{02493E7B-A1A6-4514-BDED-CFE1E4BC658E}">
          <x14:formula1>
            <xm:f>Lists!$I$47:$I$82</xm:f>
          </x14:formula1>
          <xm:sqref>D507:D516 D473:D483 D439:D449</xm:sqref>
        </x14:dataValidation>
        <x14:dataValidation type="list" allowBlank="1" showInputMessage="1" showErrorMessage="1" xr:uid="{52440A89-91ED-46C1-A6C4-3741BEB04E67}">
          <x14:formula1>
            <xm:f>Lists!$H$47:$H$82</xm:f>
          </x14:formula1>
          <xm:sqref>E507:E516 E437 E471 E439:E448 E473:E482 E505</xm:sqref>
        </x14:dataValidation>
        <x14:dataValidation type="list" allowBlank="1" showInputMessage="1" showErrorMessage="1" xr:uid="{A9FFB7E7-9969-4222-A434-CA8F3871BF27}">
          <x14:formula1>
            <xm:f>Lists!$B$156:$B$204</xm:f>
          </x14:formula1>
          <xm:sqref>C939:C958 C539:C558</xm:sqref>
        </x14:dataValidation>
        <x14:dataValidation type="list" allowBlank="1" showInputMessage="1" showErrorMessage="1" xr:uid="{AE913F97-0FB2-40D5-BA06-7E87275922B9}">
          <x14:formula1>
            <xm:f>'Lists 3.1 Product Based'!$I$6:$I$21</xm:f>
          </x14:formula1>
          <xm:sqref>C579:C598</xm:sqref>
        </x14:dataValidation>
        <x14:dataValidation type="list" allowBlank="1" showInputMessage="1" showErrorMessage="1" xr:uid="{BD7B7CEE-5CA0-4E08-8FC5-75F739873838}">
          <x14:formula1>
            <xm:f>'Lists 3.1 Product Based'!$J$7:$J$82</xm:f>
          </x14:formula1>
          <xm:sqref>D579 D585</xm:sqref>
        </x14:dataValidation>
        <x14:dataValidation type="list" allowBlank="1" showInputMessage="1" showErrorMessage="1" xr:uid="{0520A97F-252D-4328-9B69-D18C65340655}">
          <x14:formula1>
            <xm:f>'Lists 3.1 Product Based'!$K$8:$K$82</xm:f>
          </x14:formula1>
          <xm:sqref>E579</xm:sqref>
        </x14:dataValidation>
        <x14:dataValidation type="list" allowBlank="1" showInputMessage="1" showErrorMessage="1" xr:uid="{E79EC3B6-7852-4E6E-B73D-C2F8E8E31339}">
          <x14:formula1>
            <xm:f>'Lists 3.1 Product Based'!$L$7:$L$82</xm:f>
          </x14:formula1>
          <xm:sqref>D580</xm:sqref>
        </x14:dataValidation>
        <x14:dataValidation type="list" allowBlank="1" showInputMessage="1" showErrorMessage="1" xr:uid="{B1D54D33-A381-499B-BDDF-C2115CC86422}">
          <x14:formula1>
            <xm:f>'Lists 3.1 Product Based'!$N$7:$N$82</xm:f>
          </x14:formula1>
          <xm:sqref>D581</xm:sqref>
        </x14:dataValidation>
        <x14:dataValidation type="list" allowBlank="1" showInputMessage="1" showErrorMessage="1" xr:uid="{A1AD1F19-CED2-40BC-BDE3-D0053C85067F}">
          <x14:formula1>
            <xm:f>'Lists 3.1 Product Based'!$O$8:$O$82</xm:f>
          </x14:formula1>
          <xm:sqref>E581</xm:sqref>
        </x14:dataValidation>
        <x14:dataValidation type="list" allowBlank="1" showInputMessage="1" showErrorMessage="1" xr:uid="{3A78F5B9-A904-42B1-A9A4-31A2EF4DD69B}">
          <x14:formula1>
            <xm:f>'Lists 3.1 Product Based'!$P$7:$P$82</xm:f>
          </x14:formula1>
          <xm:sqref>D582</xm:sqref>
        </x14:dataValidation>
        <x14:dataValidation type="list" allowBlank="1" showInputMessage="1" showErrorMessage="1" xr:uid="{F626022F-1864-4722-A041-D7BEF19297BA}">
          <x14:formula1>
            <xm:f>'Lists 3.1 Product Based'!$Q$8:$Q$82</xm:f>
          </x14:formula1>
          <xm:sqref>E582</xm:sqref>
        </x14:dataValidation>
        <x14:dataValidation type="list" allowBlank="1" showInputMessage="1" showErrorMessage="1" xr:uid="{D4A65C33-B76C-41EA-9A43-4C59B22462D6}">
          <x14:formula1>
            <xm:f>'Lists 3.1 Product Based'!$R$7:$R$82</xm:f>
          </x14:formula1>
          <xm:sqref>D583</xm:sqref>
        </x14:dataValidation>
        <x14:dataValidation type="list" allowBlank="1" showInputMessage="1" showErrorMessage="1" xr:uid="{78B0CC91-E52B-4556-A5EC-F211F5792D14}">
          <x14:formula1>
            <xm:f>'Lists 3.1 Product Based'!$S$8:$S$82</xm:f>
          </x14:formula1>
          <xm:sqref>E583</xm:sqref>
        </x14:dataValidation>
        <x14:dataValidation type="list" allowBlank="1" showInputMessage="1" showErrorMessage="1" xr:uid="{A67AEEF9-604F-4658-8779-C6516E971F85}">
          <x14:formula1>
            <xm:f>'Lists 3.1 Product Based'!$T$7:$T$82</xm:f>
          </x14:formula1>
          <xm:sqref>D584</xm:sqref>
        </x14:dataValidation>
        <x14:dataValidation type="list" allowBlank="1" showInputMessage="1" showErrorMessage="1" xr:uid="{5FF5A6BB-AA31-42E4-9B2B-ADD596691C84}">
          <x14:formula1>
            <xm:f>'Lists 3.1 Product Based'!$U$8:$U$82</xm:f>
          </x14:formula1>
          <xm:sqref>E584</xm:sqref>
        </x14:dataValidation>
        <x14:dataValidation type="list" allowBlank="1" showInputMessage="1" showErrorMessage="1" xr:uid="{8B3AE70F-721D-465C-B1C0-9D07A8A41942}">
          <x14:formula1>
            <xm:f>'Lists 3.1 Product Based'!$W$8:$W$82</xm:f>
          </x14:formula1>
          <xm:sqref>E585</xm:sqref>
        </x14:dataValidation>
        <x14:dataValidation type="list" allowBlank="1" showInputMessage="1" showErrorMessage="1" xr:uid="{FFCB1857-9957-43CD-BC68-CF46BE6E9EB1}">
          <x14:formula1>
            <xm:f>'Lists 3.1 Product Based'!$X$7:$X$82</xm:f>
          </x14:formula1>
          <xm:sqref>D586</xm:sqref>
        </x14:dataValidation>
        <x14:dataValidation type="list" allowBlank="1" showInputMessage="1" showErrorMessage="1" xr:uid="{7FBACD5F-4DB9-418B-8208-45B8231C87AF}">
          <x14:formula1>
            <xm:f>'Lists 3.1 Product Based'!$Y$8:$Y$82</xm:f>
          </x14:formula1>
          <xm:sqref>E586</xm:sqref>
        </x14:dataValidation>
        <x14:dataValidation type="list" allowBlank="1" showInputMessage="1" showErrorMessage="1" xr:uid="{D3026E5D-58C4-436B-ACB3-256FA27720E0}">
          <x14:formula1>
            <xm:f>'Lists 3.1 Product Based'!$Z$7:$Z$82</xm:f>
          </x14:formula1>
          <xm:sqref>D587</xm:sqref>
        </x14:dataValidation>
        <x14:dataValidation type="list" allowBlank="1" showInputMessage="1" showErrorMessage="1" xr:uid="{79BA2063-44CA-40A7-B205-7C4AAE5A5474}">
          <x14:formula1>
            <xm:f>'Lists 3.1 Product Based'!$AA$8:$AA$82</xm:f>
          </x14:formula1>
          <xm:sqref>E587</xm:sqref>
        </x14:dataValidation>
        <x14:dataValidation type="list" allowBlank="1" showInputMessage="1" showErrorMessage="1" xr:uid="{70DAED14-02B7-4EEE-88D7-DA3ED2593701}">
          <x14:formula1>
            <xm:f>'Lists 3.1 Product Based'!$AB$7:$AB$82</xm:f>
          </x14:formula1>
          <xm:sqref>D588</xm:sqref>
        </x14:dataValidation>
        <x14:dataValidation type="list" allowBlank="1" showInputMessage="1" showErrorMessage="1" xr:uid="{59CFEFCE-7470-475C-9BEB-036854BB0E9C}">
          <x14:formula1>
            <xm:f>'Lists 3.1 Product Based'!$AC$8:$AC$82</xm:f>
          </x14:formula1>
          <xm:sqref>E588</xm:sqref>
        </x14:dataValidation>
        <x14:dataValidation type="list" allowBlank="1" showInputMessage="1" showErrorMessage="1" xr:uid="{23B11353-F033-4829-BA9B-1C4D58C44535}">
          <x14:formula1>
            <xm:f>'Lists 3.1 Product Based'!$AD$7:$AD$82</xm:f>
          </x14:formula1>
          <xm:sqref>D589</xm:sqref>
        </x14:dataValidation>
        <x14:dataValidation type="list" allowBlank="1" showInputMessage="1" showErrorMessage="1" xr:uid="{2A034B41-8D56-4D9F-A14B-33D50ECB783F}">
          <x14:formula1>
            <xm:f>'Lists 3.1 Product Based'!$AE$8:$AE$82</xm:f>
          </x14:formula1>
          <xm:sqref>E589</xm:sqref>
        </x14:dataValidation>
        <x14:dataValidation type="list" allowBlank="1" showInputMessage="1" showErrorMessage="1" xr:uid="{D8E31767-1D1B-455B-9E87-762BEF20EFDC}">
          <x14:formula1>
            <xm:f>'Lists 3.1 Product Based'!$AF$7:$AF$82</xm:f>
          </x14:formula1>
          <xm:sqref>D590</xm:sqref>
        </x14:dataValidation>
        <x14:dataValidation type="list" allowBlank="1" showInputMessage="1" showErrorMessage="1" xr:uid="{69EF16F2-4401-49BB-BBA6-C3D82A3D19FE}">
          <x14:formula1>
            <xm:f>'Lists 3.1 Product Based'!$AG$8:$AG$82</xm:f>
          </x14:formula1>
          <xm:sqref>E590</xm:sqref>
        </x14:dataValidation>
        <x14:dataValidation type="list" allowBlank="1" showInputMessage="1" showErrorMessage="1" xr:uid="{7B5B1F8A-630A-43C2-A37C-4EB800B22185}">
          <x14:formula1>
            <xm:f>'Lists 3.1 Product Based'!$AI$8:$AI$82</xm:f>
          </x14:formula1>
          <xm:sqref>E591</xm:sqref>
        </x14:dataValidation>
        <x14:dataValidation type="list" allowBlank="1" showInputMessage="1" showErrorMessage="1" xr:uid="{ED2538E1-279D-4751-8B57-818F339530B4}">
          <x14:formula1>
            <xm:f>'Lists 3.1 Product Based'!$AH$7:$AH$82</xm:f>
          </x14:formula1>
          <xm:sqref>D591</xm:sqref>
        </x14:dataValidation>
        <x14:dataValidation type="list" allowBlank="1" showInputMessage="1" showErrorMessage="1" xr:uid="{616D3C36-C2AF-4F6B-BF8C-C697101DBB3B}">
          <x14:formula1>
            <xm:f>'Lists 3.1 Product Based'!$AJ$7:$AJ$82</xm:f>
          </x14:formula1>
          <xm:sqref>D592</xm:sqref>
        </x14:dataValidation>
        <x14:dataValidation type="list" allowBlank="1" showInputMessage="1" showErrorMessage="1" xr:uid="{A1989337-9405-478B-94D4-7F34482532A9}">
          <x14:formula1>
            <xm:f>'Lists 3.1 Product Based'!$AK$8:$AK$82</xm:f>
          </x14:formula1>
          <xm:sqref>E592</xm:sqref>
        </x14:dataValidation>
        <x14:dataValidation type="list" allowBlank="1" showInputMessage="1" showErrorMessage="1" xr:uid="{38E76CF3-6B6E-4616-B1FC-C70F2CB7146A}">
          <x14:formula1>
            <xm:f>'Lists 3.1 Product Based'!$AL$7:$AL$82</xm:f>
          </x14:formula1>
          <xm:sqref>D593</xm:sqref>
        </x14:dataValidation>
        <x14:dataValidation type="list" allowBlank="1" showInputMessage="1" showErrorMessage="1" xr:uid="{E27B3ACE-6C0D-4EAE-BBF3-B44AA4417958}">
          <x14:formula1>
            <xm:f>'Lists 3.1 Product Based'!$AM$8:$AM$82</xm:f>
          </x14:formula1>
          <xm:sqref>E593</xm:sqref>
        </x14:dataValidation>
        <x14:dataValidation type="list" allowBlank="1" showInputMessage="1" showErrorMessage="1" xr:uid="{E6203F67-00F5-44AA-8F46-1977B3799C0A}">
          <x14:formula1>
            <xm:f>'Lists 3.1 Product Based'!$AN$7:$AN$82</xm:f>
          </x14:formula1>
          <xm:sqref>D594</xm:sqref>
        </x14:dataValidation>
        <x14:dataValidation type="list" allowBlank="1" showInputMessage="1" showErrorMessage="1" xr:uid="{992FFAF2-0F01-4655-9516-C0E428837184}">
          <x14:formula1>
            <xm:f>'Lists 3.1 Product Based'!$AO$8:$AO$82</xm:f>
          </x14:formula1>
          <xm:sqref>E594</xm:sqref>
        </x14:dataValidation>
        <x14:dataValidation type="list" allowBlank="1" showInputMessage="1" showErrorMessage="1" xr:uid="{5D64F92E-8AFC-4173-BC1A-E70547EB86F2}">
          <x14:formula1>
            <xm:f>'Lists 3.1 Product Based'!$AP$7:$AP$82</xm:f>
          </x14:formula1>
          <xm:sqref>D595</xm:sqref>
        </x14:dataValidation>
        <x14:dataValidation type="list" allowBlank="1" showInputMessage="1" showErrorMessage="1" xr:uid="{A4DB6F6E-FCB6-467B-B793-4C1BBDB0998F}">
          <x14:formula1>
            <xm:f>'Lists 3.1 Product Based'!$AQ$8:$AQ$82</xm:f>
          </x14:formula1>
          <xm:sqref>E595</xm:sqref>
        </x14:dataValidation>
        <x14:dataValidation type="list" allowBlank="1" showInputMessage="1" showErrorMessage="1" xr:uid="{6C01BB1F-98E6-43EF-B9A2-4732AE7A0D4B}">
          <x14:formula1>
            <xm:f>'Lists 3.1 Product Based'!$AR$7:$AR$82</xm:f>
          </x14:formula1>
          <xm:sqref>D596</xm:sqref>
        </x14:dataValidation>
        <x14:dataValidation type="list" allowBlank="1" showInputMessage="1" showErrorMessage="1" xr:uid="{FED468D4-7737-42C5-B4AB-44C0E9A0A5BF}">
          <x14:formula1>
            <xm:f>'Lists 3.1 Product Based'!$AS$8:$AS$82</xm:f>
          </x14:formula1>
          <xm:sqref>E596</xm:sqref>
        </x14:dataValidation>
        <x14:dataValidation type="list" allowBlank="1" showInputMessage="1" showErrorMessage="1" xr:uid="{79738946-C8C7-41CD-A5C6-95E45176A22C}">
          <x14:formula1>
            <xm:f>'Lists 3.1 Product Based'!$AT$7:$AT$82</xm:f>
          </x14:formula1>
          <xm:sqref>D597</xm:sqref>
        </x14:dataValidation>
        <x14:dataValidation type="list" allowBlank="1" showInputMessage="1" showErrorMessage="1" xr:uid="{33CF4736-6B3E-4EF1-94B1-E492341BD734}">
          <x14:formula1>
            <xm:f>'Lists 3.1 Product Based'!$AU$8:$AU$82</xm:f>
          </x14:formula1>
          <xm:sqref>E597</xm:sqref>
        </x14:dataValidation>
        <x14:dataValidation type="list" allowBlank="1" showInputMessage="1" showErrorMessage="1" xr:uid="{616CD614-24F5-4566-9580-056B0D9DB743}">
          <x14:formula1>
            <xm:f>'Lists 3.1 Product Based'!$AV$7:$AV$82</xm:f>
          </x14:formula1>
          <xm:sqref>D598</xm:sqref>
        </x14:dataValidation>
        <x14:dataValidation type="list" allowBlank="1" showInputMessage="1" showErrorMessage="1" xr:uid="{1140F7F4-8D15-4C6C-9188-C4C633E8717A}">
          <x14:formula1>
            <xm:f>'Lists 3.1 Product Based'!$AW$8:$AW$82</xm:f>
          </x14:formula1>
          <xm:sqref>E598</xm:sqref>
        </x14:dataValidation>
        <x14:dataValidation type="list" allowBlank="1" showInputMessage="1" showErrorMessage="1" xr:uid="{8F7D9200-B34D-4E46-82A9-995E453DB4B8}">
          <x14:formula1>
            <xm:f>'Lists 3.2 Capital Goods'!$M$5:$M$36</xm:f>
          </x14:formula1>
          <xm:sqref>C622:C641</xm:sqref>
        </x14:dataValidation>
        <x14:dataValidation type="list" allowBlank="1" showInputMessage="1" showErrorMessage="1" xr:uid="{1C0ED8EF-1CA2-4370-8D6F-A1DB2C32F3E3}">
          <x14:formula1>
            <xm:f>'Lists 3.2 Capital Goods'!$N$5:$N$36</xm:f>
          </x14:formula1>
          <xm:sqref>D622</xm:sqref>
        </x14:dataValidation>
        <x14:dataValidation type="list" allowBlank="1" showInputMessage="1" showErrorMessage="1" xr:uid="{4C7775DA-7E9A-4636-B9A9-37ABD129BF74}">
          <x14:formula1>
            <xm:f>'Lists 3.2 Capital Goods'!$O$5:$O$36</xm:f>
          </x14:formula1>
          <xm:sqref>D623</xm:sqref>
        </x14:dataValidation>
        <x14:dataValidation type="list" allowBlank="1" showInputMessage="1" showErrorMessage="1" xr:uid="{7674F888-0330-4093-A6C0-7201D8BEE234}">
          <x14:formula1>
            <xm:f>'Lists 3.2 Capital Goods'!$P$5:$P$36</xm:f>
          </x14:formula1>
          <xm:sqref>D624</xm:sqref>
        </x14:dataValidation>
        <x14:dataValidation type="list" allowBlank="1" showInputMessage="1" showErrorMessage="1" xr:uid="{B701B979-0060-487B-821B-46F6252DF531}">
          <x14:formula1>
            <xm:f>'Lists 3.2 Capital Goods'!$Q$5:$Q$36</xm:f>
          </x14:formula1>
          <xm:sqref>D625</xm:sqref>
        </x14:dataValidation>
        <x14:dataValidation type="list" allowBlank="1" showInputMessage="1" showErrorMessage="1" xr:uid="{49160057-F41C-4541-9DB5-D5F74E0C590E}">
          <x14:formula1>
            <xm:f>'Lists 3.2 Capital Goods'!$R$5:$R$36</xm:f>
          </x14:formula1>
          <xm:sqref>D626</xm:sqref>
        </x14:dataValidation>
        <x14:dataValidation type="list" allowBlank="1" showInputMessage="1" showErrorMessage="1" xr:uid="{67F72FB9-D2CE-43B2-A9D0-87EADC905DF4}">
          <x14:formula1>
            <xm:f>'Lists 3.2 Capital Goods'!$S$5:$S$37</xm:f>
          </x14:formula1>
          <xm:sqref>D627</xm:sqref>
        </x14:dataValidation>
        <x14:dataValidation type="list" allowBlank="1" showInputMessage="1" showErrorMessage="1" xr:uid="{07611DB9-D19B-45A6-B0BA-1F268296F571}">
          <x14:formula1>
            <xm:f>'Lists 3.2 Capital Goods'!$T$5:$T$36</xm:f>
          </x14:formula1>
          <xm:sqref>D628</xm:sqref>
        </x14:dataValidation>
        <x14:dataValidation type="list" allowBlank="1" showInputMessage="1" showErrorMessage="1" xr:uid="{3706D6D3-1A28-41CE-B38E-FE566A34F5F8}">
          <x14:formula1>
            <xm:f>'Lists 3.2 Capital Goods'!$U$5:$U$39</xm:f>
          </x14:formula1>
          <xm:sqref>D629</xm:sqref>
        </x14:dataValidation>
        <x14:dataValidation type="list" allowBlank="1" showInputMessage="1" showErrorMessage="1" xr:uid="{7AB64F87-128A-490B-9C9F-B896EAF58CBD}">
          <x14:formula1>
            <xm:f>'Lists 3.2 Capital Goods'!$V$5:$V$38</xm:f>
          </x14:formula1>
          <xm:sqref>D630</xm:sqref>
        </x14:dataValidation>
        <x14:dataValidation type="list" allowBlank="1" showInputMessage="1" showErrorMessage="1" xr:uid="{6A2ACAD3-CDA3-4EC8-99B7-9C2A3DD47774}">
          <x14:formula1>
            <xm:f>'Lists 3.2 Capital Goods'!$W$5:$W$37</xm:f>
          </x14:formula1>
          <xm:sqref>D631</xm:sqref>
        </x14:dataValidation>
        <x14:dataValidation type="list" allowBlank="1" showInputMessage="1" showErrorMessage="1" xr:uid="{65A45F19-627B-4217-896C-748217A9A097}">
          <x14:formula1>
            <xm:f>'Lists 3.2 Capital Goods'!$X$5:$X$38</xm:f>
          </x14:formula1>
          <xm:sqref>D632</xm:sqref>
        </x14:dataValidation>
        <x14:dataValidation type="list" allowBlank="1" showInputMessage="1" showErrorMessage="1" xr:uid="{3535F79A-15AC-4052-AA25-9710CE04E500}">
          <x14:formula1>
            <xm:f>'Lists 3.2 Capital Goods'!$Y$5:$Y$28</xm:f>
          </x14:formula1>
          <xm:sqref>D633</xm:sqref>
        </x14:dataValidation>
        <x14:dataValidation type="list" allowBlank="1" showInputMessage="1" showErrorMessage="1" xr:uid="{A97D09C7-2BBB-4F86-A32B-0D63EF87F46D}">
          <x14:formula1>
            <xm:f>'Lists 3.2 Capital Goods'!$Z$5:$Z$28</xm:f>
          </x14:formula1>
          <xm:sqref>D634</xm:sqref>
        </x14:dataValidation>
        <x14:dataValidation type="list" allowBlank="1" showInputMessage="1" showErrorMessage="1" xr:uid="{CA5978DF-EA13-4FED-B99D-0BC6B6035CED}">
          <x14:formula1>
            <xm:f>'Lists 3.2 Capital Goods'!$AA$5:$AA$28</xm:f>
          </x14:formula1>
          <xm:sqref>D635</xm:sqref>
        </x14:dataValidation>
        <x14:dataValidation type="list" allowBlank="1" showInputMessage="1" showErrorMessage="1" xr:uid="{6569DB19-0314-4D9B-A6B8-0482BA54CC2F}">
          <x14:formula1>
            <xm:f>'Lists 3.2 Capital Goods'!$AB$5:$AB$28</xm:f>
          </x14:formula1>
          <xm:sqref>D636</xm:sqref>
        </x14:dataValidation>
        <x14:dataValidation type="list" allowBlank="1" showInputMessage="1" showErrorMessage="1" xr:uid="{52039DB5-E382-489C-9688-0A04E04F03A7}">
          <x14:formula1>
            <xm:f>'Lists 3.2 Capital Goods'!$AC$5:$AC$28</xm:f>
          </x14:formula1>
          <xm:sqref>D637</xm:sqref>
        </x14:dataValidation>
        <x14:dataValidation type="list" allowBlank="1" showInputMessage="1" showErrorMessage="1" xr:uid="{77B0E69B-104B-4B0D-B00C-F63BFF46C2A6}">
          <x14:formula1>
            <xm:f>'Lists 3.2 Capital Goods'!$AD$5:$AD$28</xm:f>
          </x14:formula1>
          <xm:sqref>D638</xm:sqref>
        </x14:dataValidation>
        <x14:dataValidation type="list" allowBlank="1" showInputMessage="1" showErrorMessage="1" xr:uid="{6D456E79-ED16-436D-8966-0D010FAACFAA}">
          <x14:formula1>
            <xm:f>'Lists 3.2 Capital Goods'!$AE$5:$AE$28</xm:f>
          </x14:formula1>
          <xm:sqref>D639</xm:sqref>
        </x14:dataValidation>
        <x14:dataValidation type="list" allowBlank="1" showInputMessage="1" showErrorMessage="1" xr:uid="{CF761635-B784-4F1F-8240-2CA9866550DD}">
          <x14:formula1>
            <xm:f>'Lists 3.2 Capital Goods'!$AF$5:$AF$28</xm:f>
          </x14:formula1>
          <xm:sqref>D640</xm:sqref>
        </x14:dataValidation>
        <x14:dataValidation type="list" allowBlank="1" showInputMessage="1" showErrorMessage="1" xr:uid="{255B92F7-3891-4E29-AA93-1150AFF274F5}">
          <x14:formula1>
            <xm:f>'Lists 3.2 Capital Goods'!$AG$5:$AG$28</xm:f>
          </x14:formula1>
          <xm:sqref>D641</xm:sqref>
        </x14:dataValidation>
        <x14:dataValidation type="list" allowBlank="1" showInputMessage="1" showErrorMessage="1" xr:uid="{81B7B469-2937-4053-9C9D-6E2B78316A1F}">
          <x14:formula1>
            <xm:f>'Lists 3.1 Product Based'!$M$8:$M$80</xm:f>
          </x14:formula1>
          <xm:sqref>E580</xm:sqref>
        </x14:dataValidation>
        <x14:dataValidation type="list" allowBlank="1" showInputMessage="1" showErrorMessage="1" xr:uid="{72FA7188-77F5-4121-A99C-9DF4DC2E4AEE}">
          <x14:formula1>
            <xm:f>Lists!$B$3:$B$27</xm:f>
          </x14:formula1>
          <xm:sqref>C118:C128 C848:C857 C812:C821 C179:C189 C57:C67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4B40-A37E-4364-91A0-17F42B965417}">
  <sheetPr codeName="Sheet5">
    <tabColor rgb="FFFFD5D5"/>
  </sheetPr>
  <dimension ref="A1:T989"/>
  <sheetViews>
    <sheetView zoomScaleNormal="100" workbookViewId="0">
      <pane ySplit="4" topLeftCell="A5" activePane="bottomLeft" state="frozen"/>
      <selection activeCell="B35" sqref="B35:E35"/>
      <selection pane="bottomLeft" activeCell="A6" sqref="A6"/>
    </sheetView>
  </sheetViews>
  <sheetFormatPr defaultColWidth="11.42578125" defaultRowHeight="14.25" x14ac:dyDescent="0.2"/>
  <cols>
    <col min="1" max="1" width="5.7109375" style="244" customWidth="1"/>
    <col min="2" max="2" width="4.42578125" style="244" customWidth="1"/>
    <col min="3" max="3" width="87" style="524" customWidth="1"/>
    <col min="4" max="7" width="14.7109375" style="525" customWidth="1"/>
    <col min="8" max="8" width="14.7109375" style="574" customWidth="1"/>
    <col min="9" max="9" width="70.140625" style="524" bestFit="1" customWidth="1"/>
    <col min="10" max="10" width="18.5703125" style="524" customWidth="1"/>
    <col min="11" max="11" width="4.42578125" style="244" customWidth="1"/>
    <col min="12" max="12" width="11.42578125" style="244"/>
    <col min="13" max="13" width="35" style="299" hidden="1" customWidth="1"/>
    <col min="14" max="18" width="35" style="299" customWidth="1"/>
    <col min="19" max="16384" width="11.42578125" style="244"/>
  </cols>
  <sheetData>
    <row r="1" spans="2:18" s="1" customFormat="1" ht="5.0999999999999996" customHeight="1" x14ac:dyDescent="0.2">
      <c r="C1" s="516"/>
      <c r="D1" s="512"/>
      <c r="E1" s="512"/>
      <c r="F1" s="512"/>
      <c r="G1" s="512"/>
      <c r="H1" s="569"/>
      <c r="I1" s="516"/>
      <c r="J1" s="516"/>
    </row>
    <row r="2" spans="2:18" s="1" customFormat="1" ht="20.100000000000001" customHeight="1" x14ac:dyDescent="0.2">
      <c r="C2" s="516"/>
      <c r="D2" s="517"/>
      <c r="E2" s="518"/>
      <c r="F2" s="512"/>
      <c r="G2" s="737" t="s">
        <v>28812</v>
      </c>
      <c r="H2" s="738"/>
      <c r="I2" s="516"/>
      <c r="J2" s="519"/>
      <c r="M2" s="59" t="s">
        <v>27405</v>
      </c>
      <c r="N2" s="59"/>
      <c r="O2" s="59"/>
      <c r="P2" s="59"/>
      <c r="Q2" s="59"/>
      <c r="R2" s="59"/>
    </row>
    <row r="3" spans="2:18" s="1" customFormat="1" ht="5.0999999999999996" customHeight="1" x14ac:dyDescent="0.2">
      <c r="C3" s="516"/>
      <c r="D3" s="512"/>
      <c r="E3" s="512"/>
      <c r="F3" s="512"/>
      <c r="G3" s="512"/>
      <c r="H3" s="569"/>
      <c r="I3" s="516"/>
      <c r="J3" s="516"/>
      <c r="M3" s="59"/>
      <c r="N3" s="59"/>
      <c r="O3" s="59"/>
      <c r="P3" s="59"/>
      <c r="Q3" s="59"/>
      <c r="R3" s="59"/>
    </row>
    <row r="4" spans="2:18" s="64" customFormat="1" ht="5.0999999999999996" customHeight="1" x14ac:dyDescent="0.2">
      <c r="C4" s="520"/>
      <c r="D4" s="513"/>
      <c r="E4" s="513"/>
      <c r="F4" s="513"/>
      <c r="G4" s="513"/>
      <c r="H4" s="570"/>
      <c r="I4" s="520"/>
      <c r="J4" s="520"/>
      <c r="M4" s="67"/>
      <c r="N4" s="67"/>
      <c r="O4" s="67"/>
      <c r="P4" s="67"/>
      <c r="Q4" s="67"/>
      <c r="R4" s="67"/>
    </row>
    <row r="5" spans="2:18" s="240" customFormat="1" ht="9.9499999999999993" customHeight="1" x14ac:dyDescent="0.2">
      <c r="C5" s="511"/>
      <c r="D5" s="510"/>
      <c r="E5" s="510"/>
      <c r="F5" s="510"/>
      <c r="G5" s="510"/>
      <c r="H5" s="571"/>
      <c r="I5" s="511"/>
      <c r="J5" s="511"/>
      <c r="M5" s="274"/>
      <c r="N5" s="274"/>
      <c r="O5" s="274"/>
      <c r="P5" s="274"/>
      <c r="Q5" s="274"/>
      <c r="R5" s="274"/>
    </row>
    <row r="6" spans="2:18" s="240" customFormat="1" ht="30" x14ac:dyDescent="0.4">
      <c r="B6" s="14" t="str">
        <f>n3Calculation</f>
        <v>Calculs</v>
      </c>
      <c r="C6" s="511"/>
      <c r="D6" s="510"/>
      <c r="E6" s="510"/>
      <c r="F6" s="510"/>
      <c r="G6" s="510"/>
      <c r="H6" s="571"/>
      <c r="I6" s="511"/>
      <c r="J6" s="511"/>
      <c r="M6" s="274" t="s">
        <v>2602</v>
      </c>
      <c r="N6" s="274"/>
      <c r="O6" s="274"/>
      <c r="P6" s="274"/>
      <c r="Q6" s="274"/>
      <c r="R6" s="274"/>
    </row>
    <row r="7" spans="2:18" s="240" customFormat="1" ht="116.45" customHeight="1" x14ac:dyDescent="0.2">
      <c r="B7" s="743" t="str">
        <f>n3Calculation_Text1</f>
        <v>Ici, les émissions sont calculées. Pour ce faire, vos données issues de la feuille de calcul précédente sont comparées aux facteurs d'émission de la base de données de référence.
Le calcul est structuré selon les Scopes définis par le GHG Protocol.
Les émissions des bâtiments, installations et véhicules loués sont calculées séparément et attribuées aux Scopes conformément aux données que vous avez saisies dans les feuilles précédentes.
Les abbrévitations utilisées dans cette feuille sont les suivantes:
FU - Unité fonctionnelle
EF - Facteur d'émissions</v>
      </c>
      <c r="C7" s="743"/>
      <c r="D7" s="743"/>
      <c r="E7" s="743"/>
      <c r="F7" s="743"/>
      <c r="G7" s="743"/>
      <c r="H7" s="743"/>
      <c r="I7" s="511"/>
      <c r="J7" s="511"/>
      <c r="M7" s="274" t="s">
        <v>2603</v>
      </c>
      <c r="N7" s="274"/>
      <c r="O7" s="274"/>
      <c r="P7" s="274"/>
      <c r="Q7" s="274"/>
      <c r="R7" s="274"/>
    </row>
    <row r="8" spans="2:18" s="240" customFormat="1" ht="9.9499999999999993" customHeight="1" x14ac:dyDescent="0.2">
      <c r="C8" s="511"/>
      <c r="D8" s="510"/>
      <c r="E8" s="510"/>
      <c r="F8" s="510"/>
      <c r="G8" s="510"/>
      <c r="H8" s="571"/>
      <c r="I8" s="511"/>
      <c r="J8" s="511"/>
      <c r="M8" s="274"/>
      <c r="N8" s="274"/>
      <c r="O8" s="274"/>
      <c r="P8" s="274"/>
      <c r="Q8" s="274"/>
      <c r="R8" s="274"/>
    </row>
    <row r="9" spans="2:18" s="242" customFormat="1" ht="19.5" x14ac:dyDescent="0.3">
      <c r="B9" s="241" t="str">
        <f>n3Calculation_1Instruction</f>
        <v>Instructions</v>
      </c>
      <c r="C9" s="521"/>
      <c r="D9" s="522"/>
      <c r="E9" s="522"/>
      <c r="F9" s="522"/>
      <c r="G9" s="522"/>
      <c r="H9" s="572"/>
      <c r="I9" s="521"/>
      <c r="J9" s="521"/>
      <c r="M9" s="274" t="s">
        <v>2604</v>
      </c>
      <c r="N9" s="274"/>
      <c r="O9" s="274"/>
      <c r="P9" s="274"/>
      <c r="Q9" s="274"/>
      <c r="R9" s="274"/>
    </row>
    <row r="10" spans="2:18" s="240" customFormat="1" ht="15" customHeight="1" x14ac:dyDescent="0.2">
      <c r="B10" s="743" t="str">
        <f>n3Calculation_1Instruction_Text1</f>
        <v xml:space="preserve">Vous n'avez rien à faire dans cette feuille, elle sert uniquement à garantir la transparence des calculs et des données de base utilisées.
</v>
      </c>
      <c r="C10" s="743"/>
      <c r="D10" s="743"/>
      <c r="E10" s="743"/>
      <c r="F10" s="743"/>
      <c r="G10" s="743"/>
      <c r="H10" s="743"/>
      <c r="I10" s="509"/>
      <c r="J10" s="509"/>
      <c r="K10" s="243"/>
      <c r="M10" s="274" t="s">
        <v>2605</v>
      </c>
      <c r="N10" s="274"/>
      <c r="O10" s="274"/>
      <c r="P10" s="274"/>
      <c r="Q10" s="274"/>
      <c r="R10" s="274"/>
    </row>
    <row r="11" spans="2:18" s="240" customFormat="1" ht="9.9499999999999993" customHeight="1" x14ac:dyDescent="0.2">
      <c r="B11" s="243"/>
      <c r="C11" s="509"/>
      <c r="D11" s="509"/>
      <c r="E11" s="509"/>
      <c r="F11" s="509"/>
      <c r="G11" s="509"/>
      <c r="H11" s="573"/>
      <c r="I11" s="509"/>
      <c r="J11" s="509"/>
      <c r="K11" s="243"/>
      <c r="M11" s="274"/>
      <c r="N11" s="274"/>
      <c r="O11" s="274"/>
      <c r="P11" s="274"/>
      <c r="Q11" s="274"/>
      <c r="R11" s="274"/>
    </row>
    <row r="12" spans="2:18" s="240" customFormat="1" ht="30" customHeight="1" x14ac:dyDescent="0.2">
      <c r="B12" s="18" t="str">
        <f>n3Calculation_2Index</f>
        <v>Table des matières</v>
      </c>
      <c r="C12" s="511"/>
      <c r="D12" s="510"/>
      <c r="E12" s="510"/>
      <c r="F12" s="510"/>
      <c r="G12" s="510"/>
      <c r="H12" s="571"/>
      <c r="I12" s="511"/>
      <c r="J12" s="511"/>
      <c r="M12" s="274" t="s">
        <v>2606</v>
      </c>
      <c r="N12" s="274"/>
      <c r="O12" s="274"/>
      <c r="P12" s="274"/>
      <c r="Q12" s="274"/>
      <c r="R12" s="274"/>
    </row>
    <row r="13" spans="2:18" s="240" customFormat="1" ht="15" customHeight="1" x14ac:dyDescent="0.2">
      <c r="B13" s="742" t="s">
        <v>27158</v>
      </c>
      <c r="C13" s="742"/>
      <c r="D13" s="510"/>
      <c r="E13" s="744"/>
      <c r="F13" s="744"/>
      <c r="G13" s="510"/>
      <c r="H13" s="571"/>
      <c r="I13" s="511"/>
      <c r="J13" s="511"/>
      <c r="M13" s="274"/>
      <c r="N13" s="274"/>
      <c r="O13" s="274"/>
      <c r="P13" s="274"/>
      <c r="Q13" s="274"/>
      <c r="R13" s="274"/>
    </row>
    <row r="14" spans="2:18" s="240" customFormat="1" ht="15" customHeight="1" x14ac:dyDescent="0.2">
      <c r="B14" s="742" t="s">
        <v>27159</v>
      </c>
      <c r="C14" s="742"/>
      <c r="D14" s="510"/>
      <c r="E14" s="744"/>
      <c r="F14" s="744"/>
      <c r="G14" s="510"/>
      <c r="H14" s="571"/>
      <c r="I14" s="511"/>
      <c r="J14" s="511"/>
      <c r="M14" s="274"/>
      <c r="N14" s="274"/>
      <c r="O14" s="274"/>
      <c r="P14" s="274"/>
      <c r="Q14" s="274"/>
      <c r="R14" s="274"/>
    </row>
    <row r="15" spans="2:18" s="240" customFormat="1" ht="15" customHeight="1" x14ac:dyDescent="0.2">
      <c r="B15" s="742" t="s">
        <v>2059</v>
      </c>
      <c r="C15" s="742"/>
      <c r="D15" s="510"/>
      <c r="E15" s="744"/>
      <c r="F15" s="744"/>
      <c r="G15" s="510"/>
      <c r="H15" s="571"/>
      <c r="I15" s="511"/>
      <c r="J15" s="511"/>
      <c r="M15" s="274"/>
      <c r="N15" s="274"/>
      <c r="O15" s="274"/>
      <c r="P15" s="274"/>
      <c r="Q15" s="274"/>
      <c r="R15" s="274"/>
    </row>
    <row r="16" spans="2:18" s="240" customFormat="1" ht="15" customHeight="1" x14ac:dyDescent="0.2">
      <c r="B16" s="742" t="s">
        <v>28845</v>
      </c>
      <c r="C16" s="742"/>
      <c r="D16" s="510"/>
      <c r="E16" s="744"/>
      <c r="F16" s="744"/>
      <c r="G16" s="510"/>
      <c r="H16" s="571"/>
      <c r="I16" s="511"/>
      <c r="J16" s="511"/>
      <c r="M16" s="274"/>
      <c r="N16" s="274"/>
      <c r="O16" s="274"/>
      <c r="P16" s="274"/>
      <c r="Q16" s="274"/>
      <c r="R16" s="274"/>
    </row>
    <row r="17" spans="1:18" s="240" customFormat="1" ht="15" customHeight="1" x14ac:dyDescent="0.2">
      <c r="B17" s="742" t="s">
        <v>28846</v>
      </c>
      <c r="C17" s="742"/>
      <c r="D17" s="510"/>
      <c r="E17" s="744"/>
      <c r="F17" s="744"/>
      <c r="G17" s="510"/>
      <c r="H17" s="571"/>
      <c r="I17" s="511"/>
      <c r="J17" s="511"/>
      <c r="M17" s="274"/>
      <c r="N17" s="274"/>
      <c r="O17" s="274"/>
      <c r="P17" s="274"/>
      <c r="Q17" s="274"/>
      <c r="R17" s="274"/>
    </row>
    <row r="18" spans="1:18" s="240" customFormat="1" ht="15" customHeight="1" x14ac:dyDescent="0.2">
      <c r="B18" s="260"/>
      <c r="C18" s="511"/>
      <c r="D18" s="510"/>
      <c r="E18" s="523"/>
      <c r="F18" s="523"/>
      <c r="G18" s="510"/>
      <c r="H18" s="571"/>
      <c r="I18" s="511"/>
      <c r="J18" s="511"/>
      <c r="M18" s="274"/>
      <c r="N18" s="274"/>
      <c r="O18" s="274"/>
      <c r="P18" s="274"/>
      <c r="Q18" s="274"/>
      <c r="R18" s="274"/>
    </row>
    <row r="19" spans="1:18" x14ac:dyDescent="0.2">
      <c r="B19" s="245"/>
      <c r="E19" s="526"/>
      <c r="F19" s="526"/>
    </row>
    <row r="20" spans="1:18" x14ac:dyDescent="0.2">
      <c r="B20" s="245"/>
      <c r="E20" s="526"/>
      <c r="F20" s="526"/>
    </row>
    <row r="21" spans="1:18" s="98" customFormat="1" ht="30" customHeight="1" x14ac:dyDescent="0.25">
      <c r="A21" s="198"/>
      <c r="B21" s="199" t="s">
        <v>27158</v>
      </c>
      <c r="C21" s="515"/>
      <c r="D21" s="514"/>
      <c r="E21" s="514"/>
      <c r="F21" s="514"/>
      <c r="G21" s="514"/>
      <c r="H21" s="575"/>
      <c r="I21" s="515"/>
      <c r="J21" s="515"/>
      <c r="K21" s="181"/>
      <c r="M21" s="198"/>
      <c r="N21" s="198"/>
      <c r="O21" s="198"/>
      <c r="P21" s="198"/>
      <c r="Q21" s="198"/>
      <c r="R21" s="198"/>
    </row>
    <row r="22" spans="1:18" x14ac:dyDescent="0.2">
      <c r="B22" s="246"/>
      <c r="C22" s="527"/>
      <c r="D22" s="528"/>
      <c r="E22" s="528"/>
      <c r="F22" s="528"/>
      <c r="G22" s="529"/>
      <c r="H22" s="576"/>
      <c r="I22" s="530"/>
      <c r="J22" s="530"/>
      <c r="K22" s="247" t="str">
        <f>Calc_Hyperlink_S1</f>
        <v>Scope 1</v>
      </c>
    </row>
    <row r="23" spans="1:18" s="92" customFormat="1" ht="15" x14ac:dyDescent="0.25">
      <c r="A23" s="244"/>
      <c r="B23" s="204"/>
      <c r="C23" s="531" t="str">
        <f>n3Calculation_3S1_StationaryCombustion</f>
        <v>Combustion stationnaire</v>
      </c>
      <c r="D23" s="510"/>
      <c r="E23" s="510"/>
      <c r="F23" s="510"/>
      <c r="G23" s="510"/>
      <c r="H23" s="571"/>
      <c r="I23" s="511"/>
      <c r="J23" s="511"/>
      <c r="K23" s="248"/>
      <c r="M23" s="181" t="s">
        <v>28290</v>
      </c>
      <c r="N23" s="181"/>
      <c r="O23" s="181"/>
      <c r="P23" s="181"/>
      <c r="Q23" s="181"/>
      <c r="R23" s="181"/>
    </row>
    <row r="24" spans="1:18" x14ac:dyDescent="0.2">
      <c r="B24" s="249"/>
      <c r="C24" s="740"/>
      <c r="D24" s="740"/>
      <c r="E24" s="740"/>
      <c r="F24" s="740"/>
      <c r="G24" s="510"/>
      <c r="H24" s="571"/>
      <c r="I24" s="511"/>
      <c r="J24" s="511"/>
      <c r="K24" s="248"/>
    </row>
    <row r="25" spans="1:18" s="688" customFormat="1" ht="33" x14ac:dyDescent="0.25">
      <c r="B25" s="689"/>
      <c r="C25" s="682" t="s">
        <v>27179</v>
      </c>
      <c r="D25" s="683" t="s">
        <v>28534</v>
      </c>
      <c r="E25" s="683" t="s">
        <v>27208</v>
      </c>
      <c r="F25" s="683" t="s">
        <v>27588</v>
      </c>
      <c r="G25" s="683" t="s">
        <v>27589</v>
      </c>
      <c r="H25" s="683" t="s">
        <v>27209</v>
      </c>
      <c r="I25" s="682" t="s">
        <v>27210</v>
      </c>
      <c r="J25" s="682" t="s">
        <v>27211</v>
      </c>
      <c r="K25" s="690"/>
      <c r="M25" s="691"/>
      <c r="N25" s="691"/>
      <c r="O25" s="691"/>
      <c r="P25" s="691"/>
      <c r="Q25" s="691"/>
      <c r="R25" s="691"/>
    </row>
    <row r="26" spans="1:18" x14ac:dyDescent="0.2">
      <c r="B26" s="249"/>
      <c r="C26" s="498">
        <f>'2 Data Inputs'!C57</f>
        <v>0</v>
      </c>
      <c r="D26" s="499">
        <f>'2 Data Inputs'!F57</f>
        <v>0</v>
      </c>
      <c r="E26" s="499">
        <f>_xlfn.XLOOKUP($I26,BG_Data[Product],BG_Data[GHG emissions (IPCC 2021) '[kg CO2 eq']],0)</f>
        <v>0</v>
      </c>
      <c r="F26" s="499">
        <f>$D26*$E26</f>
        <v>0</v>
      </c>
      <c r="G26" s="499">
        <f>$D26*_xlfn.XLOOKUP($I26,BG_Data[Product],BG_Data[Biogenic CO2 emissions '[kg CO2']],0)</f>
        <v>0</v>
      </c>
      <c r="H26" s="577">
        <f>$D26*_xlfn.XLOOKUP($I26,BG_Data[Product],BG_Data[Total env. impact (Ecological Scarcity 2021) '[UBP']],0)</f>
        <v>0</v>
      </c>
      <c r="I26" s="498" cm="1">
        <f t="array" ref="I26">_xlfn.XLOOKUP(
     C26,
     _xlfn.TOCOL(_xlfn.HSTACK(Lists_S1_StationaryComb[DE Name],Lists_S1_StationaryComb[FR Name],Lists_S1_StationaryComb[IT Name]),1),
     _xlfn.TOCOL(_xlfn.HSTACK(Lists_S1_StationaryComb[BG Data],Lists_S1_StationaryComb[BG Data],Lists_S1_StationaryComb[BG Data]),1) &amp;" Direct",
     0
)</f>
        <v>0</v>
      </c>
      <c r="J26" s="500" t="s">
        <v>27212</v>
      </c>
      <c r="K26" s="248"/>
    </row>
    <row r="27" spans="1:18" x14ac:dyDescent="0.2">
      <c r="B27" s="249"/>
      <c r="C27" s="501">
        <f>'2 Data Inputs'!C58</f>
        <v>0</v>
      </c>
      <c r="D27" s="502">
        <f>'2 Data Inputs'!F58</f>
        <v>0</v>
      </c>
      <c r="E27" s="502">
        <f>_xlfn.XLOOKUP($I27,BG_Data[Product],BG_Data[GHG emissions (IPCC 2021) '[kg CO2 eq']],0)</f>
        <v>0</v>
      </c>
      <c r="F27" s="502">
        <f t="shared" ref="F27:F36" si="0">$D27*$E27</f>
        <v>0</v>
      </c>
      <c r="G27" s="502">
        <f>$D27*_xlfn.XLOOKUP($I27,BG_Data[Product],BG_Data[Biogenic CO2 emissions '[kg CO2']],0)</f>
        <v>0</v>
      </c>
      <c r="H27" s="578">
        <f>$D27*_xlfn.XLOOKUP($I27,BG_Data[Product],BG_Data[Total env. impact (Ecological Scarcity 2021) '[UBP']],0)</f>
        <v>0</v>
      </c>
      <c r="I27" s="501" cm="1">
        <f t="array" ref="I27">_xlfn.XLOOKUP(
     C27,
     _xlfn.TOCOL(_xlfn.HSTACK(Lists_S1_StationaryComb[DE Name],Lists_S1_StationaryComb[FR Name],Lists_S1_StationaryComb[IT Name]),1),
     _xlfn.TOCOL(_xlfn.HSTACK(Lists_S1_StationaryComb[BG Data],Lists_S1_StationaryComb[BG Data],Lists_S1_StationaryComb[BG Data]),1) &amp;" Direct",
     0
)</f>
        <v>0</v>
      </c>
      <c r="J27" s="503" t="s">
        <v>27212</v>
      </c>
      <c r="K27" s="248"/>
    </row>
    <row r="28" spans="1:18" x14ac:dyDescent="0.2">
      <c r="B28" s="249"/>
      <c r="C28" s="501">
        <f>'2 Data Inputs'!C59</f>
        <v>0</v>
      </c>
      <c r="D28" s="502">
        <f>'2 Data Inputs'!F59</f>
        <v>0</v>
      </c>
      <c r="E28" s="502">
        <f>_xlfn.XLOOKUP($I28,BG_Data[Product],BG_Data[GHG emissions (IPCC 2021) '[kg CO2 eq']],0)</f>
        <v>0</v>
      </c>
      <c r="F28" s="502">
        <f t="shared" si="0"/>
        <v>0</v>
      </c>
      <c r="G28" s="502">
        <f>$D28*_xlfn.XLOOKUP($I28,BG_Data[Product],BG_Data[Biogenic CO2 emissions '[kg CO2']],0)</f>
        <v>0</v>
      </c>
      <c r="H28" s="578">
        <f>$D28*_xlfn.XLOOKUP($I28,BG_Data[Product],BG_Data[Total env. impact (Ecological Scarcity 2021) '[UBP']],0)</f>
        <v>0</v>
      </c>
      <c r="I28" s="501" cm="1">
        <f t="array" ref="I28">_xlfn.XLOOKUP(
     C28,
     _xlfn.TOCOL(_xlfn.HSTACK(Lists_S1_StationaryComb[DE Name],Lists_S1_StationaryComb[FR Name],Lists_S1_StationaryComb[IT Name]),1),
     _xlfn.TOCOL(_xlfn.HSTACK(Lists_S1_StationaryComb[BG Data],Lists_S1_StationaryComb[BG Data],Lists_S1_StationaryComb[BG Data]),1) &amp;" Direct",
     0
)</f>
        <v>0</v>
      </c>
      <c r="J28" s="503" t="s">
        <v>27212</v>
      </c>
      <c r="K28" s="248"/>
    </row>
    <row r="29" spans="1:18" x14ac:dyDescent="0.2">
      <c r="B29" s="249"/>
      <c r="C29" s="501">
        <f>'2 Data Inputs'!C60</f>
        <v>0</v>
      </c>
      <c r="D29" s="502">
        <f>'2 Data Inputs'!F60</f>
        <v>0</v>
      </c>
      <c r="E29" s="502">
        <f>_xlfn.XLOOKUP($I29,BG_Data[Product],BG_Data[GHG emissions (IPCC 2021) '[kg CO2 eq']],0)</f>
        <v>0</v>
      </c>
      <c r="F29" s="502">
        <f t="shared" si="0"/>
        <v>0</v>
      </c>
      <c r="G29" s="502">
        <f>$D29*_xlfn.XLOOKUP($I29,BG_Data[Product],BG_Data[Biogenic CO2 emissions '[kg CO2']],0)</f>
        <v>0</v>
      </c>
      <c r="H29" s="578">
        <f>$D29*_xlfn.XLOOKUP($I29,BG_Data[Product],BG_Data[Total env. impact (Ecological Scarcity 2021) '[UBP']],0)</f>
        <v>0</v>
      </c>
      <c r="I29" s="501" cm="1">
        <f t="array" ref="I29">_xlfn.XLOOKUP(
     C29,
     _xlfn.TOCOL(_xlfn.HSTACK(Lists_S1_StationaryComb[DE Name],Lists_S1_StationaryComb[FR Name],Lists_S1_StationaryComb[IT Name]),1),
     _xlfn.TOCOL(_xlfn.HSTACK(Lists_S1_StationaryComb[BG Data],Lists_S1_StationaryComb[BG Data],Lists_S1_StationaryComb[BG Data]),1) &amp;" Direct",
     0
)</f>
        <v>0</v>
      </c>
      <c r="J29" s="503" t="s">
        <v>27212</v>
      </c>
      <c r="K29" s="248"/>
    </row>
    <row r="30" spans="1:18" x14ac:dyDescent="0.2">
      <c r="B30" s="249"/>
      <c r="C30" s="501">
        <f>'2 Data Inputs'!C61</f>
        <v>0</v>
      </c>
      <c r="D30" s="502">
        <f>'2 Data Inputs'!F61</f>
        <v>0</v>
      </c>
      <c r="E30" s="502">
        <f>_xlfn.XLOOKUP($I30,BG_Data[Product],BG_Data[GHG emissions (IPCC 2021) '[kg CO2 eq']],0)</f>
        <v>0</v>
      </c>
      <c r="F30" s="502">
        <f t="shared" si="0"/>
        <v>0</v>
      </c>
      <c r="G30" s="502">
        <f>$D30*_xlfn.XLOOKUP($I30,BG_Data[Product],BG_Data[Biogenic CO2 emissions '[kg CO2']],0)</f>
        <v>0</v>
      </c>
      <c r="H30" s="578">
        <f>$D30*_xlfn.XLOOKUP($I30,BG_Data[Product],BG_Data[Total env. impact (Ecological Scarcity 2021) '[UBP']],0)</f>
        <v>0</v>
      </c>
      <c r="I30" s="501" cm="1">
        <f t="array" ref="I30">_xlfn.XLOOKUP(
     C30,
     _xlfn.TOCOL(_xlfn.HSTACK(Lists_S1_StationaryComb[DE Name],Lists_S1_StationaryComb[FR Name],Lists_S1_StationaryComb[IT Name]),1),
     _xlfn.TOCOL(_xlfn.HSTACK(Lists_S1_StationaryComb[BG Data],Lists_S1_StationaryComb[BG Data],Lists_S1_StationaryComb[BG Data]),1) &amp;" Direct",
     0
)</f>
        <v>0</v>
      </c>
      <c r="J30" s="503" t="s">
        <v>27212</v>
      </c>
      <c r="K30" s="248"/>
    </row>
    <row r="31" spans="1:18" x14ac:dyDescent="0.2">
      <c r="B31" s="249"/>
      <c r="C31" s="501">
        <f>'2 Data Inputs'!C62</f>
        <v>0</v>
      </c>
      <c r="D31" s="502">
        <f>'2 Data Inputs'!F62</f>
        <v>0</v>
      </c>
      <c r="E31" s="502">
        <f>_xlfn.XLOOKUP($I31,BG_Data[Product],BG_Data[GHG emissions (IPCC 2021) '[kg CO2 eq']],0)</f>
        <v>0</v>
      </c>
      <c r="F31" s="502">
        <f t="shared" si="0"/>
        <v>0</v>
      </c>
      <c r="G31" s="502">
        <f>$D31*_xlfn.XLOOKUP($I31,BG_Data[Product],BG_Data[Biogenic CO2 emissions '[kg CO2']],0)</f>
        <v>0</v>
      </c>
      <c r="H31" s="578">
        <f>$D31*_xlfn.XLOOKUP($I31,BG_Data[Product],BG_Data[Total env. impact (Ecological Scarcity 2021) '[UBP']],0)</f>
        <v>0</v>
      </c>
      <c r="I31" s="501" cm="1">
        <f t="array" ref="I31">_xlfn.XLOOKUP(
     C31,
     _xlfn.TOCOL(_xlfn.HSTACK(Lists_S1_StationaryComb[DE Name],Lists_S1_StationaryComb[FR Name],Lists_S1_StationaryComb[IT Name]),1),
     _xlfn.TOCOL(_xlfn.HSTACK(Lists_S1_StationaryComb[BG Data],Lists_S1_StationaryComb[BG Data],Lists_S1_StationaryComb[BG Data]),1) &amp;" Direct",
     0
)</f>
        <v>0</v>
      </c>
      <c r="J31" s="503" t="s">
        <v>27212</v>
      </c>
      <c r="K31" s="248"/>
    </row>
    <row r="32" spans="1:18" x14ac:dyDescent="0.2">
      <c r="B32" s="249"/>
      <c r="C32" s="501">
        <f>'2 Data Inputs'!C63</f>
        <v>0</v>
      </c>
      <c r="D32" s="502">
        <f>'2 Data Inputs'!F63</f>
        <v>0</v>
      </c>
      <c r="E32" s="502">
        <f>_xlfn.XLOOKUP($I32,BG_Data[Product],BG_Data[GHG emissions (IPCC 2021) '[kg CO2 eq']],0)</f>
        <v>0</v>
      </c>
      <c r="F32" s="502">
        <f t="shared" si="0"/>
        <v>0</v>
      </c>
      <c r="G32" s="502">
        <f>$D32*_xlfn.XLOOKUP($I32,BG_Data[Product],BG_Data[Biogenic CO2 emissions '[kg CO2']],0)</f>
        <v>0</v>
      </c>
      <c r="H32" s="578">
        <f>$D32*_xlfn.XLOOKUP($I32,BG_Data[Product],BG_Data[Total env. impact (Ecological Scarcity 2021) '[UBP']],0)</f>
        <v>0</v>
      </c>
      <c r="I32" s="501" cm="1">
        <f t="array" ref="I32">_xlfn.XLOOKUP(
     C32,
     _xlfn.TOCOL(_xlfn.HSTACK(Lists_S1_StationaryComb[DE Name],Lists_S1_StationaryComb[FR Name],Lists_S1_StationaryComb[IT Name]),1),
     _xlfn.TOCOL(_xlfn.HSTACK(Lists_S1_StationaryComb[BG Data],Lists_S1_StationaryComb[BG Data],Lists_S1_StationaryComb[BG Data]),1) &amp;" Direct",
     0
)</f>
        <v>0</v>
      </c>
      <c r="J32" s="503" t="s">
        <v>27212</v>
      </c>
      <c r="K32" s="248"/>
    </row>
    <row r="33" spans="2:18" x14ac:dyDescent="0.2">
      <c r="B33" s="249"/>
      <c r="C33" s="501">
        <f>'2 Data Inputs'!C64</f>
        <v>0</v>
      </c>
      <c r="D33" s="502">
        <f>'2 Data Inputs'!F64</f>
        <v>0</v>
      </c>
      <c r="E33" s="502">
        <f>_xlfn.XLOOKUP($I33,BG_Data[Product],BG_Data[GHG emissions (IPCC 2021) '[kg CO2 eq']],0)</f>
        <v>0</v>
      </c>
      <c r="F33" s="502">
        <f t="shared" si="0"/>
        <v>0</v>
      </c>
      <c r="G33" s="502">
        <f>$D33*_xlfn.XLOOKUP($I33,BG_Data[Product],BG_Data[Biogenic CO2 emissions '[kg CO2']],0)</f>
        <v>0</v>
      </c>
      <c r="H33" s="578">
        <f>$D33*_xlfn.XLOOKUP($I33,BG_Data[Product],BG_Data[Total env. impact (Ecological Scarcity 2021) '[UBP']],0)</f>
        <v>0</v>
      </c>
      <c r="I33" s="501" cm="1">
        <f t="array" ref="I33">_xlfn.XLOOKUP(
     C33,
     _xlfn.TOCOL(_xlfn.HSTACK(Lists_S1_StationaryComb[DE Name],Lists_S1_StationaryComb[FR Name],Lists_S1_StationaryComb[IT Name]),1),
     _xlfn.TOCOL(_xlfn.HSTACK(Lists_S1_StationaryComb[BG Data],Lists_S1_StationaryComb[BG Data],Lists_S1_StationaryComb[BG Data]),1) &amp;" Direct",
     0
)</f>
        <v>0</v>
      </c>
      <c r="J33" s="503" t="s">
        <v>27212</v>
      </c>
      <c r="K33" s="248"/>
    </row>
    <row r="34" spans="2:18" x14ac:dyDescent="0.2">
      <c r="B34" s="249"/>
      <c r="C34" s="501">
        <f>'2 Data Inputs'!C65</f>
        <v>0</v>
      </c>
      <c r="D34" s="502">
        <f>'2 Data Inputs'!F65</f>
        <v>0</v>
      </c>
      <c r="E34" s="502">
        <f>_xlfn.XLOOKUP($I34,BG_Data[Product],BG_Data[GHG emissions (IPCC 2021) '[kg CO2 eq']],0)</f>
        <v>0</v>
      </c>
      <c r="F34" s="502">
        <f t="shared" si="0"/>
        <v>0</v>
      </c>
      <c r="G34" s="502">
        <f>$D34*_xlfn.XLOOKUP($I34,BG_Data[Product],BG_Data[Biogenic CO2 emissions '[kg CO2']],0)</f>
        <v>0</v>
      </c>
      <c r="H34" s="578">
        <f>$D34*_xlfn.XLOOKUP($I34,BG_Data[Product],BG_Data[Total env. impact (Ecological Scarcity 2021) '[UBP']],0)</f>
        <v>0</v>
      </c>
      <c r="I34" s="501" cm="1">
        <f t="array" ref="I34">_xlfn.XLOOKUP(
     C34,
     _xlfn.TOCOL(_xlfn.HSTACK(Lists_S1_StationaryComb[DE Name],Lists_S1_StationaryComb[FR Name],Lists_S1_StationaryComb[IT Name]),1),
     _xlfn.TOCOL(_xlfn.HSTACK(Lists_S1_StationaryComb[BG Data],Lists_S1_StationaryComb[BG Data],Lists_S1_StationaryComb[BG Data]),1) &amp;" Direct",
     0
)</f>
        <v>0</v>
      </c>
      <c r="J34" s="503" t="s">
        <v>27212</v>
      </c>
      <c r="K34" s="248"/>
    </row>
    <row r="35" spans="2:18" x14ac:dyDescent="0.2">
      <c r="B35" s="249"/>
      <c r="C35" s="501">
        <f>'2 Data Inputs'!C66</f>
        <v>0</v>
      </c>
      <c r="D35" s="502">
        <f>'2 Data Inputs'!F66</f>
        <v>0</v>
      </c>
      <c r="E35" s="502">
        <f>_xlfn.XLOOKUP($I35,BG_Data[Product],BG_Data[GHG emissions (IPCC 2021) '[kg CO2 eq']],0)</f>
        <v>0</v>
      </c>
      <c r="F35" s="502">
        <f t="shared" si="0"/>
        <v>0</v>
      </c>
      <c r="G35" s="502">
        <f>$D35*_xlfn.XLOOKUP($I35,BG_Data[Product],BG_Data[Biogenic CO2 emissions '[kg CO2']],0)</f>
        <v>0</v>
      </c>
      <c r="H35" s="578">
        <f>$D35*_xlfn.XLOOKUP($I35,BG_Data[Product],BG_Data[Total env. impact (Ecological Scarcity 2021) '[UBP']],0)</f>
        <v>0</v>
      </c>
      <c r="I35" s="501" cm="1">
        <f t="array" ref="I35">_xlfn.XLOOKUP(
     C35,
     _xlfn.TOCOL(_xlfn.HSTACK(Lists_S1_StationaryComb[DE Name],Lists_S1_StationaryComb[FR Name],Lists_S1_StationaryComb[IT Name]),1),
     _xlfn.TOCOL(_xlfn.HSTACK(Lists_S1_StationaryComb[BG Data],Lists_S1_StationaryComb[BG Data],Lists_S1_StationaryComb[BG Data]),1) &amp;" Direct",
     0
)</f>
        <v>0</v>
      </c>
      <c r="J35" s="503" t="s">
        <v>27212</v>
      </c>
      <c r="K35" s="248"/>
    </row>
    <row r="36" spans="2:18" x14ac:dyDescent="0.2">
      <c r="B36" s="249"/>
      <c r="C36" s="504">
        <f>'2 Data Inputs'!C67</f>
        <v>0</v>
      </c>
      <c r="D36" s="505">
        <f>'2 Data Inputs'!F67</f>
        <v>0</v>
      </c>
      <c r="E36" s="505">
        <f>_xlfn.XLOOKUP($I36,BG_Data[Product],BG_Data[GHG emissions (IPCC 2021) '[kg CO2 eq']],0)</f>
        <v>0</v>
      </c>
      <c r="F36" s="505">
        <f t="shared" si="0"/>
        <v>0</v>
      </c>
      <c r="G36" s="505">
        <f>$D36*_xlfn.XLOOKUP($I36,BG_Data[Product],BG_Data[Biogenic CO2 emissions '[kg CO2']],0)</f>
        <v>0</v>
      </c>
      <c r="H36" s="579">
        <f>$D36*_xlfn.XLOOKUP($I36,BG_Data[Product],BG_Data[Total env. impact (Ecological Scarcity 2021) '[UBP']],0)</f>
        <v>0</v>
      </c>
      <c r="I36" s="504" cm="1">
        <f t="array" ref="I36">_xlfn.XLOOKUP(
     C36,
     _xlfn.TOCOL(_xlfn.HSTACK(Lists_S1_StationaryComb[DE Name],Lists_S1_StationaryComb[FR Name],Lists_S1_StationaryComb[IT Name]),1),
     _xlfn.TOCOL(_xlfn.HSTACK(Lists_S1_StationaryComb[BG Data],Lists_S1_StationaryComb[BG Data],Lists_S1_StationaryComb[BG Data]),1) &amp;" Direct",
     0
)</f>
        <v>0</v>
      </c>
      <c r="J36" s="506" t="s">
        <v>27212</v>
      </c>
      <c r="K36" s="248"/>
    </row>
    <row r="37" spans="2:18" ht="15" x14ac:dyDescent="0.25">
      <c r="B37" s="249"/>
      <c r="C37" s="507" t="s">
        <v>2616</v>
      </c>
      <c r="D37" s="508">
        <f>SUM(D26:D36)</f>
        <v>0</v>
      </c>
      <c r="E37" s="508"/>
      <c r="F37" s="508">
        <f>SUM(F26:F36)</f>
        <v>0</v>
      </c>
      <c r="G37" s="508">
        <f>SUM(G26:G36)</f>
        <v>0</v>
      </c>
      <c r="H37" s="580">
        <f>SUM(H26:H36)</f>
        <v>0</v>
      </c>
      <c r="I37" s="507"/>
      <c r="J37" s="507"/>
      <c r="K37" s="248"/>
    </row>
    <row r="38" spans="2:18" x14ac:dyDescent="0.2">
      <c r="B38" s="249"/>
      <c r="C38" s="511"/>
      <c r="D38" s="510"/>
      <c r="E38" s="510"/>
      <c r="F38" s="510"/>
      <c r="G38" s="510"/>
      <c r="H38" s="571"/>
      <c r="I38" s="511"/>
      <c r="J38" s="511"/>
      <c r="K38" s="248"/>
    </row>
    <row r="39" spans="2:18" x14ac:dyDescent="0.2">
      <c r="B39" s="250"/>
      <c r="C39" s="506"/>
      <c r="D39" s="532"/>
      <c r="E39" s="532"/>
      <c r="F39" s="532"/>
      <c r="G39" s="532"/>
      <c r="H39" s="581"/>
      <c r="I39" s="506"/>
      <c r="J39" s="506"/>
      <c r="K39" s="250"/>
    </row>
    <row r="40" spans="2:18" x14ac:dyDescent="0.2">
      <c r="B40" s="246"/>
      <c r="C40" s="527"/>
      <c r="D40" s="528"/>
      <c r="E40" s="528"/>
      <c r="F40" s="528"/>
      <c r="G40" s="529"/>
      <c r="H40" s="576"/>
      <c r="I40" s="530"/>
      <c r="J40" s="530"/>
      <c r="K40" s="247" t="str">
        <f>Calc_Hyperlink_S1</f>
        <v>Scope 1</v>
      </c>
    </row>
    <row r="41" spans="2:18" ht="15" x14ac:dyDescent="0.25">
      <c r="B41" s="249"/>
      <c r="C41" s="531" t="str">
        <f>n3Calculation_4S1_FugitiveEmissions</f>
        <v>Émissions fugitives</v>
      </c>
      <c r="D41" s="510"/>
      <c r="E41" s="510"/>
      <c r="F41" s="510"/>
      <c r="G41" s="523"/>
      <c r="H41" s="582"/>
      <c r="I41" s="533"/>
      <c r="J41" s="533"/>
      <c r="K41" s="248"/>
      <c r="M41" s="181" t="s">
        <v>28291</v>
      </c>
      <c r="N41" s="181"/>
      <c r="O41" s="181"/>
      <c r="P41" s="181"/>
      <c r="Q41" s="181"/>
      <c r="R41" s="181"/>
    </row>
    <row r="42" spans="2:18" x14ac:dyDescent="0.2">
      <c r="B42" s="249"/>
      <c r="C42" s="740"/>
      <c r="D42" s="740"/>
      <c r="E42" s="740"/>
      <c r="F42" s="740"/>
      <c r="G42" s="523"/>
      <c r="H42" s="582"/>
      <c r="I42" s="533"/>
      <c r="J42" s="533"/>
      <c r="K42" s="248"/>
    </row>
    <row r="43" spans="2:18" s="686" customFormat="1" ht="33" x14ac:dyDescent="0.25">
      <c r="B43" s="681"/>
      <c r="C43" s="682" t="s">
        <v>27269</v>
      </c>
      <c r="D43" s="683" t="s">
        <v>28535</v>
      </c>
      <c r="E43" s="683" t="s">
        <v>27208</v>
      </c>
      <c r="F43" s="683" t="s">
        <v>27588</v>
      </c>
      <c r="G43" s="683" t="s">
        <v>27589</v>
      </c>
      <c r="H43" s="683" t="s">
        <v>27209</v>
      </c>
      <c r="I43" s="682" t="s">
        <v>27210</v>
      </c>
      <c r="J43" s="682" t="s">
        <v>27211</v>
      </c>
      <c r="K43" s="685"/>
      <c r="M43" s="687"/>
      <c r="N43" s="687"/>
      <c r="O43" s="687"/>
      <c r="P43" s="687"/>
      <c r="Q43" s="687"/>
      <c r="R43" s="687"/>
    </row>
    <row r="44" spans="2:18" x14ac:dyDescent="0.2">
      <c r="B44" s="249"/>
      <c r="C44" s="534">
        <f>'2 Data Inputs'!C289</f>
        <v>0</v>
      </c>
      <c r="D44" s="535">
        <f>'2 Data Inputs'!F289</f>
        <v>0</v>
      </c>
      <c r="E44" s="535">
        <f>_xlfn.XLOOKUP($I44,BG_Data[Product],BG_Data[GHG emissions (IPCC 2021) '[kg CO2 eq']],0)</f>
        <v>0</v>
      </c>
      <c r="F44" s="535">
        <f t="shared" ref="F44:F53" si="1">$D44*$E44</f>
        <v>0</v>
      </c>
      <c r="G44" s="535">
        <f>$D44*_xlfn.XLOOKUP($I44,BG_Data[Product],BG_Data[Biogenic CO2 emissions '[kg CO2']],0)</f>
        <v>0</v>
      </c>
      <c r="H44" s="583">
        <f>$D44*_xlfn.XLOOKUP($I44,BG_Data[Product],BG_Data[Total env. impact (Ecological Scarcity 2021) '[UBP']],0)</f>
        <v>0</v>
      </c>
      <c r="I44" s="500" cm="1">
        <f t="array" ref="I44">_xlfn.XLOOKUP(
     C44,
     _xlfn.TOCOL(_xlfn.HSTACK(Lists_S1_Fugitive[DE Name],Lists_S1_Fugitive[FR Name],Lists_S1_Fugitive[IT Name]),1),
     _xlfn.TOCOL(_xlfn.HSTACK(Lists_S1_Fugitive[BG Data],Lists_S1_Fugitive[BG Data],Lists_S1_Fugitive[BG Data]),1),
     0)</f>
        <v>0</v>
      </c>
      <c r="J44" s="500" t="s">
        <v>27212</v>
      </c>
      <c r="K44" s="248"/>
    </row>
    <row r="45" spans="2:18" x14ac:dyDescent="0.2">
      <c r="B45" s="249"/>
      <c r="C45" s="536">
        <f>'2 Data Inputs'!C290</f>
        <v>0</v>
      </c>
      <c r="D45" s="537">
        <f>'2 Data Inputs'!F290</f>
        <v>0</v>
      </c>
      <c r="E45" s="537">
        <f>_xlfn.XLOOKUP($I45,BG_Data[Product],BG_Data[GHG emissions (IPCC 2021) '[kg CO2 eq']],0)</f>
        <v>0</v>
      </c>
      <c r="F45" s="537">
        <f t="shared" si="1"/>
        <v>0</v>
      </c>
      <c r="G45" s="537">
        <f>$D45*_xlfn.XLOOKUP($I45,BG_Data[Product],BG_Data[Biogenic CO2 emissions '[kg CO2']],0)</f>
        <v>0</v>
      </c>
      <c r="H45" s="584">
        <f>$D45*_xlfn.XLOOKUP($I45,BG_Data[Product],BG_Data[Total env. impact (Ecological Scarcity 2021) '[UBP']],0)</f>
        <v>0</v>
      </c>
      <c r="I45" s="503" cm="1">
        <f t="array" ref="I45">_xlfn.XLOOKUP(
     C45,
     _xlfn.TOCOL(_xlfn.HSTACK(Lists_S1_Fugitive[DE Name],Lists_S1_Fugitive[FR Name],Lists_S1_Fugitive[IT Name]),1),
     _xlfn.TOCOL(_xlfn.HSTACK(Lists_S1_Fugitive[BG Data],Lists_S1_Fugitive[BG Data],Lists_S1_Fugitive[BG Data]),1),
     0)</f>
        <v>0</v>
      </c>
      <c r="J45" s="503" t="s">
        <v>27212</v>
      </c>
      <c r="K45" s="248"/>
    </row>
    <row r="46" spans="2:18" x14ac:dyDescent="0.2">
      <c r="B46" s="249"/>
      <c r="C46" s="536">
        <f>'2 Data Inputs'!C291</f>
        <v>0</v>
      </c>
      <c r="D46" s="537">
        <f>'2 Data Inputs'!F291</f>
        <v>0</v>
      </c>
      <c r="E46" s="537">
        <f>_xlfn.XLOOKUP($I46,BG_Data[Product],BG_Data[GHG emissions (IPCC 2021) '[kg CO2 eq']],0)</f>
        <v>0</v>
      </c>
      <c r="F46" s="537">
        <f t="shared" si="1"/>
        <v>0</v>
      </c>
      <c r="G46" s="537">
        <f>$D46*_xlfn.XLOOKUP($I46,BG_Data[Product],BG_Data[Biogenic CO2 emissions '[kg CO2']],0)</f>
        <v>0</v>
      </c>
      <c r="H46" s="584">
        <f>$D46*_xlfn.XLOOKUP($I46,BG_Data[Product],BG_Data[Total env. impact (Ecological Scarcity 2021) '[UBP']],0)</f>
        <v>0</v>
      </c>
      <c r="I46" s="503" cm="1">
        <f t="array" ref="I46">_xlfn.XLOOKUP(
     C46,
     _xlfn.TOCOL(_xlfn.HSTACK(Lists_S1_Fugitive[DE Name],Lists_S1_Fugitive[FR Name],Lists_S1_Fugitive[IT Name]),1),
     _xlfn.TOCOL(_xlfn.HSTACK(Lists_S1_Fugitive[BG Data],Lists_S1_Fugitive[BG Data],Lists_S1_Fugitive[BG Data]),1),
     0)</f>
        <v>0</v>
      </c>
      <c r="J46" s="503" t="s">
        <v>27212</v>
      </c>
      <c r="K46" s="248"/>
    </row>
    <row r="47" spans="2:18" x14ac:dyDescent="0.2">
      <c r="B47" s="249"/>
      <c r="C47" s="536">
        <f>'2 Data Inputs'!C292</f>
        <v>0</v>
      </c>
      <c r="D47" s="537">
        <f>'2 Data Inputs'!F292</f>
        <v>0</v>
      </c>
      <c r="E47" s="537">
        <f>_xlfn.XLOOKUP($I47,BG_Data[Product],BG_Data[GHG emissions (IPCC 2021) '[kg CO2 eq']],0)</f>
        <v>0</v>
      </c>
      <c r="F47" s="537">
        <f t="shared" si="1"/>
        <v>0</v>
      </c>
      <c r="G47" s="537">
        <f>$D47*_xlfn.XLOOKUP($I47,BG_Data[Product],BG_Data[Biogenic CO2 emissions '[kg CO2']],0)</f>
        <v>0</v>
      </c>
      <c r="H47" s="584">
        <f>$D47*_xlfn.XLOOKUP($I47,BG_Data[Product],BG_Data[Total env. impact (Ecological Scarcity 2021) '[UBP']],0)</f>
        <v>0</v>
      </c>
      <c r="I47" s="503" cm="1">
        <f t="array" ref="I47">_xlfn.XLOOKUP(
     C47,
     _xlfn.TOCOL(_xlfn.HSTACK(Lists_S1_Fugitive[DE Name],Lists_S1_Fugitive[FR Name],Lists_S1_Fugitive[IT Name]),1),
     _xlfn.TOCOL(_xlfn.HSTACK(Lists_S1_Fugitive[BG Data],Lists_S1_Fugitive[BG Data],Lists_S1_Fugitive[BG Data]),1),
     0)</f>
        <v>0</v>
      </c>
      <c r="J47" s="503" t="s">
        <v>27212</v>
      </c>
      <c r="K47" s="248"/>
    </row>
    <row r="48" spans="2:18" x14ac:dyDescent="0.2">
      <c r="B48" s="249"/>
      <c r="C48" s="536">
        <f>'2 Data Inputs'!C293</f>
        <v>0</v>
      </c>
      <c r="D48" s="537">
        <f>'2 Data Inputs'!F293</f>
        <v>0</v>
      </c>
      <c r="E48" s="537">
        <f>_xlfn.XLOOKUP($I48,BG_Data[Product],BG_Data[GHG emissions (IPCC 2021) '[kg CO2 eq']],0)</f>
        <v>0</v>
      </c>
      <c r="F48" s="537">
        <f t="shared" si="1"/>
        <v>0</v>
      </c>
      <c r="G48" s="537">
        <f>$D48*_xlfn.XLOOKUP($I48,BG_Data[Product],BG_Data[Biogenic CO2 emissions '[kg CO2']],0)</f>
        <v>0</v>
      </c>
      <c r="H48" s="584">
        <f>$D48*_xlfn.XLOOKUP($I48,BG_Data[Product],BG_Data[Total env. impact (Ecological Scarcity 2021) '[UBP']],0)</f>
        <v>0</v>
      </c>
      <c r="I48" s="503" cm="1">
        <f t="array" ref="I48">_xlfn.XLOOKUP(
     C48,
     _xlfn.TOCOL(_xlfn.HSTACK(Lists_S1_Fugitive[DE Name],Lists_S1_Fugitive[FR Name],Lists_S1_Fugitive[IT Name]),1),
     _xlfn.TOCOL(_xlfn.HSTACK(Lists_S1_Fugitive[BG Data],Lists_S1_Fugitive[BG Data],Lists_S1_Fugitive[BG Data]),1),
     0)</f>
        <v>0</v>
      </c>
      <c r="J48" s="503" t="s">
        <v>27212</v>
      </c>
      <c r="K48" s="248"/>
    </row>
    <row r="49" spans="1:18" x14ac:dyDescent="0.2">
      <c r="B49" s="249"/>
      <c r="C49" s="536">
        <f>'2 Data Inputs'!C294</f>
        <v>0</v>
      </c>
      <c r="D49" s="537">
        <f>'2 Data Inputs'!F294</f>
        <v>0</v>
      </c>
      <c r="E49" s="537">
        <f>_xlfn.XLOOKUP($I49,BG_Data[Product],BG_Data[GHG emissions (IPCC 2021) '[kg CO2 eq']],0)</f>
        <v>0</v>
      </c>
      <c r="F49" s="537">
        <f t="shared" si="1"/>
        <v>0</v>
      </c>
      <c r="G49" s="537">
        <f>$D49*_xlfn.XLOOKUP($I49,BG_Data[Product],BG_Data[Biogenic CO2 emissions '[kg CO2']],0)</f>
        <v>0</v>
      </c>
      <c r="H49" s="584">
        <f>$D49*_xlfn.XLOOKUP($I49,BG_Data[Product],BG_Data[Total env. impact (Ecological Scarcity 2021) '[UBP']],0)</f>
        <v>0</v>
      </c>
      <c r="I49" s="503" cm="1">
        <f t="array" ref="I49">_xlfn.XLOOKUP(
     C49,
     _xlfn.TOCOL(_xlfn.HSTACK(Lists_S1_Fugitive[DE Name],Lists_S1_Fugitive[FR Name],Lists_S1_Fugitive[IT Name]),1),
     _xlfn.TOCOL(_xlfn.HSTACK(Lists_S1_Fugitive[BG Data],Lists_S1_Fugitive[BG Data],Lists_S1_Fugitive[BG Data]),1),
     0)</f>
        <v>0</v>
      </c>
      <c r="J49" s="503" t="s">
        <v>27212</v>
      </c>
      <c r="K49" s="248"/>
    </row>
    <row r="50" spans="1:18" x14ac:dyDescent="0.2">
      <c r="B50" s="249"/>
      <c r="C50" s="536">
        <f>'2 Data Inputs'!C295</f>
        <v>0</v>
      </c>
      <c r="D50" s="537">
        <f>'2 Data Inputs'!F295</f>
        <v>0</v>
      </c>
      <c r="E50" s="537">
        <f>_xlfn.XLOOKUP($I50,BG_Data[Product],BG_Data[GHG emissions (IPCC 2021) '[kg CO2 eq']],0)</f>
        <v>0</v>
      </c>
      <c r="F50" s="537">
        <f t="shared" si="1"/>
        <v>0</v>
      </c>
      <c r="G50" s="537">
        <f>$D50*_xlfn.XLOOKUP($I50,BG_Data[Product],BG_Data[Biogenic CO2 emissions '[kg CO2']],0)</f>
        <v>0</v>
      </c>
      <c r="H50" s="584">
        <f>$D50*_xlfn.XLOOKUP($I50,BG_Data[Product],BG_Data[Total env. impact (Ecological Scarcity 2021) '[UBP']],0)</f>
        <v>0</v>
      </c>
      <c r="I50" s="503" cm="1">
        <f t="array" ref="I50">_xlfn.XLOOKUP(
     C50,
     _xlfn.TOCOL(_xlfn.HSTACK(Lists_S1_Fugitive[DE Name],Lists_S1_Fugitive[FR Name],Lists_S1_Fugitive[IT Name]),1),
     _xlfn.TOCOL(_xlfn.HSTACK(Lists_S1_Fugitive[BG Data],Lists_S1_Fugitive[BG Data],Lists_S1_Fugitive[BG Data]),1),
     0)</f>
        <v>0</v>
      </c>
      <c r="J50" s="503" t="s">
        <v>27212</v>
      </c>
      <c r="K50" s="248"/>
    </row>
    <row r="51" spans="1:18" x14ac:dyDescent="0.2">
      <c r="B51" s="249"/>
      <c r="C51" s="536">
        <f>'2 Data Inputs'!C296</f>
        <v>0</v>
      </c>
      <c r="D51" s="537">
        <f>'2 Data Inputs'!F296</f>
        <v>0</v>
      </c>
      <c r="E51" s="537">
        <f>_xlfn.XLOOKUP($I51,BG_Data[Product],BG_Data[GHG emissions (IPCC 2021) '[kg CO2 eq']],0)</f>
        <v>0</v>
      </c>
      <c r="F51" s="537">
        <f t="shared" si="1"/>
        <v>0</v>
      </c>
      <c r="G51" s="537">
        <f>$D51*_xlfn.XLOOKUP($I51,BG_Data[Product],BG_Data[Biogenic CO2 emissions '[kg CO2']],0)</f>
        <v>0</v>
      </c>
      <c r="H51" s="584">
        <f>$D51*_xlfn.XLOOKUP($I51,BG_Data[Product],BG_Data[Total env. impact (Ecological Scarcity 2021) '[UBP']],0)</f>
        <v>0</v>
      </c>
      <c r="I51" s="503" cm="1">
        <f t="array" ref="I51">_xlfn.XLOOKUP(
     C51,
     _xlfn.TOCOL(_xlfn.HSTACK(Lists_S1_Fugitive[DE Name],Lists_S1_Fugitive[FR Name],Lists_S1_Fugitive[IT Name]),1),
     _xlfn.TOCOL(_xlfn.HSTACK(Lists_S1_Fugitive[BG Data],Lists_S1_Fugitive[BG Data],Lists_S1_Fugitive[BG Data]),1),
     0)</f>
        <v>0</v>
      </c>
      <c r="J51" s="503" t="s">
        <v>27212</v>
      </c>
      <c r="K51" s="248"/>
    </row>
    <row r="52" spans="1:18" x14ac:dyDescent="0.2">
      <c r="B52" s="249"/>
      <c r="C52" s="536">
        <f>'2 Data Inputs'!C297</f>
        <v>0</v>
      </c>
      <c r="D52" s="537">
        <f>'2 Data Inputs'!F297</f>
        <v>0</v>
      </c>
      <c r="E52" s="537">
        <f>_xlfn.XLOOKUP($I52,BG_Data[Product],BG_Data[GHG emissions (IPCC 2021) '[kg CO2 eq']],0)</f>
        <v>0</v>
      </c>
      <c r="F52" s="537">
        <f t="shared" si="1"/>
        <v>0</v>
      </c>
      <c r="G52" s="537">
        <f>$D52*_xlfn.XLOOKUP($I52,BG_Data[Product],BG_Data[Biogenic CO2 emissions '[kg CO2']],0)</f>
        <v>0</v>
      </c>
      <c r="H52" s="584">
        <f>$D52*_xlfn.XLOOKUP($I52,BG_Data[Product],BG_Data[Total env. impact (Ecological Scarcity 2021) '[UBP']],0)</f>
        <v>0</v>
      </c>
      <c r="I52" s="503" cm="1">
        <f t="array" ref="I52">_xlfn.XLOOKUP(
     C52,
     _xlfn.TOCOL(_xlfn.HSTACK(Lists_S1_Fugitive[DE Name],Lists_S1_Fugitive[FR Name],Lists_S1_Fugitive[IT Name]),1),
     _xlfn.TOCOL(_xlfn.HSTACK(Lists_S1_Fugitive[BG Data],Lists_S1_Fugitive[BG Data],Lists_S1_Fugitive[BG Data]),1),
     0)</f>
        <v>0</v>
      </c>
      <c r="J52" s="503" t="s">
        <v>27212</v>
      </c>
      <c r="K52" s="248"/>
    </row>
    <row r="53" spans="1:18" x14ac:dyDescent="0.2">
      <c r="B53" s="249"/>
      <c r="C53" s="538">
        <f>'2 Data Inputs'!C298</f>
        <v>0</v>
      </c>
      <c r="D53" s="532">
        <f>'2 Data Inputs'!F298</f>
        <v>0</v>
      </c>
      <c r="E53" s="532">
        <f>_xlfn.XLOOKUP($I53,BG_Data[Product],BG_Data[GHG emissions (IPCC 2021) '[kg CO2 eq']],0)</f>
        <v>0</v>
      </c>
      <c r="F53" s="532">
        <f t="shared" si="1"/>
        <v>0</v>
      </c>
      <c r="G53" s="532">
        <f>$D53*_xlfn.XLOOKUP($I53,BG_Data[Product],BG_Data[Biogenic CO2 emissions '[kg CO2']],0)</f>
        <v>0</v>
      </c>
      <c r="H53" s="581">
        <f>$D53*_xlfn.XLOOKUP($I53,BG_Data[Product],BG_Data[Total env. impact (Ecological Scarcity 2021) '[UBP']],0)</f>
        <v>0</v>
      </c>
      <c r="I53" s="506" cm="1">
        <f t="array" ref="I53">_xlfn.XLOOKUP(
     C53,
     _xlfn.TOCOL(_xlfn.HSTACK(Lists_S1_Fugitive[DE Name],Lists_S1_Fugitive[FR Name],Lists_S1_Fugitive[IT Name]),1),
     _xlfn.TOCOL(_xlfn.HSTACK(Lists_S1_Fugitive[BG Data],Lists_S1_Fugitive[BG Data],Lists_S1_Fugitive[BG Data]),1),
     0)</f>
        <v>0</v>
      </c>
      <c r="J53" s="506" t="s">
        <v>27212</v>
      </c>
      <c r="K53" s="248"/>
    </row>
    <row r="54" spans="1:18" s="258" customFormat="1" ht="15" x14ac:dyDescent="0.25">
      <c r="B54" s="559"/>
      <c r="C54" s="507" t="s">
        <v>2616</v>
      </c>
      <c r="D54" s="508">
        <f>SUM(D44:D53)</f>
        <v>0</v>
      </c>
      <c r="E54" s="508"/>
      <c r="F54" s="508">
        <f>SUM(F44:F53)</f>
        <v>0</v>
      </c>
      <c r="G54" s="508">
        <f>SUM(G44:G53)</f>
        <v>0</v>
      </c>
      <c r="H54" s="580">
        <f>SUM(H44:H53)</f>
        <v>0</v>
      </c>
      <c r="I54" s="560"/>
      <c r="J54" s="560"/>
      <c r="K54" s="561"/>
      <c r="M54" s="562"/>
      <c r="N54" s="562"/>
      <c r="O54" s="562"/>
      <c r="P54" s="562"/>
      <c r="Q54" s="562"/>
      <c r="R54" s="562"/>
    </row>
    <row r="55" spans="1:18" x14ac:dyDescent="0.2">
      <c r="B55" s="249"/>
      <c r="C55" s="511"/>
      <c r="D55" s="510"/>
      <c r="E55" s="510"/>
      <c r="F55" s="510"/>
      <c r="G55" s="510"/>
      <c r="H55" s="571"/>
      <c r="I55" s="511"/>
      <c r="J55" s="511"/>
      <c r="K55" s="248"/>
    </row>
    <row r="56" spans="1:18" x14ac:dyDescent="0.2">
      <c r="B56" s="250"/>
      <c r="C56" s="506"/>
      <c r="D56" s="532"/>
      <c r="E56" s="532"/>
      <c r="F56" s="532"/>
      <c r="G56" s="532"/>
      <c r="H56" s="581"/>
      <c r="I56" s="506"/>
      <c r="J56" s="506"/>
      <c r="K56" s="250"/>
    </row>
    <row r="57" spans="1:18" x14ac:dyDescent="0.2">
      <c r="B57" s="246"/>
      <c r="C57" s="527"/>
      <c r="D57" s="528"/>
      <c r="E57" s="528"/>
      <c r="F57" s="528"/>
      <c r="G57" s="529"/>
      <c r="H57" s="576"/>
      <c r="I57" s="530"/>
      <c r="J57" s="530"/>
      <c r="K57" s="247" t="str">
        <f>Calc_Hyperlink_S1</f>
        <v>Scope 1</v>
      </c>
    </row>
    <row r="58" spans="1:18" ht="15" x14ac:dyDescent="0.25">
      <c r="B58" s="249"/>
      <c r="C58" s="531" t="str">
        <f>n3Calculation_5S1_MobileCombustion</f>
        <v>Combustion mobile (flotte)</v>
      </c>
      <c r="D58" s="510"/>
      <c r="E58" s="510"/>
      <c r="F58" s="510"/>
      <c r="G58" s="523"/>
      <c r="H58" s="582"/>
      <c r="I58" s="533"/>
      <c r="J58" s="533"/>
      <c r="K58" s="248"/>
      <c r="M58" s="181" t="s">
        <v>28292</v>
      </c>
      <c r="N58" s="181"/>
      <c r="O58" s="181"/>
      <c r="P58" s="181"/>
      <c r="Q58" s="181"/>
      <c r="R58" s="181"/>
    </row>
    <row r="59" spans="1:18" x14ac:dyDescent="0.2">
      <c r="B59" s="249"/>
      <c r="C59" s="511"/>
      <c r="D59" s="510"/>
      <c r="E59" s="510"/>
      <c r="F59" s="510"/>
      <c r="G59" s="523"/>
      <c r="H59" s="582"/>
      <c r="I59" s="533"/>
      <c r="J59" s="533"/>
      <c r="K59" s="248"/>
    </row>
    <row r="60" spans="1:18" s="686" customFormat="1" ht="33" x14ac:dyDescent="0.25">
      <c r="B60" s="681"/>
      <c r="C60" s="682" t="s">
        <v>27194</v>
      </c>
      <c r="D60" s="683" t="s">
        <v>28536</v>
      </c>
      <c r="E60" s="683" t="s">
        <v>27208</v>
      </c>
      <c r="F60" s="683" t="s">
        <v>27588</v>
      </c>
      <c r="G60" s="683" t="s">
        <v>27589</v>
      </c>
      <c r="H60" s="683" t="s">
        <v>27209</v>
      </c>
      <c r="I60" s="682" t="s">
        <v>27210</v>
      </c>
      <c r="J60" s="682" t="s">
        <v>27211</v>
      </c>
      <c r="K60" s="685"/>
      <c r="M60" s="687"/>
      <c r="N60" s="687"/>
      <c r="O60" s="687"/>
      <c r="P60" s="687"/>
      <c r="Q60" s="687"/>
      <c r="R60" s="687"/>
    </row>
    <row r="61" spans="1:18" x14ac:dyDescent="0.2">
      <c r="A61" s="741"/>
      <c r="B61" s="249"/>
      <c r="C61" s="500" t="str">
        <f>'2 Data Inputs'!C321</f>
        <v>Diesel</v>
      </c>
      <c r="D61" s="535">
        <f>'2 Data Inputs'!F321</f>
        <v>0</v>
      </c>
      <c r="E61" s="564">
        <f>_xlfn.XLOOKUP($I61,BG_Data[Product],BG_Data[GHG emissions (IPCC 2021) '[kg CO2 eq']],0)</f>
        <v>2.7414393951548237</v>
      </c>
      <c r="F61" s="535">
        <f t="shared" ref="F61:F62" si="2">$D61*$E61</f>
        <v>0</v>
      </c>
      <c r="G61" s="535">
        <f>$D61*_xlfn.XLOOKUP($I61,BG_Data[Product],BG_Data[Biogenic CO2 emissions '[kg CO2']],0)</f>
        <v>0</v>
      </c>
      <c r="H61" s="583">
        <f>$D61*_xlfn.XLOOKUP($I61,BG_Data[Product],BG_Data[Total env. impact (Ecological Scarcity 2021) '[UBP']],0)</f>
        <v>0</v>
      </c>
      <c r="I61" s="500" t="s">
        <v>27274</v>
      </c>
      <c r="J61" s="500" t="s">
        <v>27213</v>
      </c>
      <c r="K61" s="248"/>
    </row>
    <row r="62" spans="1:18" x14ac:dyDescent="0.2">
      <c r="A62" s="741"/>
      <c r="B62" s="249"/>
      <c r="C62" s="506" t="str">
        <f>'2 Data Inputs'!C322</f>
        <v>Essence</v>
      </c>
      <c r="D62" s="532">
        <f>'2 Data Inputs'!F322</f>
        <v>0</v>
      </c>
      <c r="E62" s="532">
        <f>_xlfn.XLOOKUP($I62,BG_Data[Product],BG_Data[GHG emissions (IPCC 2021) '[kg CO2 eq']],0)</f>
        <v>2.3997895709136201</v>
      </c>
      <c r="F62" s="532">
        <f t="shared" si="2"/>
        <v>0</v>
      </c>
      <c r="G62" s="532">
        <f>$D62*_xlfn.XLOOKUP($I62,BG_Data[Product],BG_Data[Biogenic CO2 emissions '[kg CO2']],0)</f>
        <v>0</v>
      </c>
      <c r="H62" s="581">
        <f>$D62*_xlfn.XLOOKUP($I62,BG_Data[Product],BG_Data[Total env. impact (Ecological Scarcity 2021) '[UBP']],0)</f>
        <v>0</v>
      </c>
      <c r="I62" s="506" t="s">
        <v>27275</v>
      </c>
      <c r="J62" s="506" t="s">
        <v>27213</v>
      </c>
      <c r="K62" s="248"/>
    </row>
    <row r="63" spans="1:18" ht="15" x14ac:dyDescent="0.25">
      <c r="A63" s="253"/>
      <c r="B63" s="249"/>
      <c r="C63" s="507" t="s">
        <v>2616</v>
      </c>
      <c r="D63" s="508">
        <f>SUM(D61:D62)</f>
        <v>0</v>
      </c>
      <c r="E63" s="508"/>
      <c r="F63" s="508">
        <f>SUM(F61:F62)</f>
        <v>0</v>
      </c>
      <c r="G63" s="508">
        <f>SUM(G61:G62)</f>
        <v>0</v>
      </c>
      <c r="H63" s="580">
        <f>SUM(H61:H62)</f>
        <v>0</v>
      </c>
      <c r="I63" s="507"/>
      <c r="J63" s="507"/>
      <c r="K63" s="248"/>
    </row>
    <row r="64" spans="1:18" x14ac:dyDescent="0.2">
      <c r="B64" s="249"/>
      <c r="C64" s="509"/>
      <c r="D64" s="509"/>
      <c r="E64" s="509"/>
      <c r="F64" s="509"/>
      <c r="G64" s="523"/>
      <c r="H64" s="582"/>
      <c r="I64" s="533"/>
      <c r="J64" s="533"/>
      <c r="K64" s="248"/>
    </row>
    <row r="65" spans="2:18" s="686" customFormat="1" ht="33" x14ac:dyDescent="0.25">
      <c r="B65" s="681"/>
      <c r="C65" s="682" t="s">
        <v>28598</v>
      </c>
      <c r="D65" s="683" t="s">
        <v>28536</v>
      </c>
      <c r="E65" s="683" t="s">
        <v>27208</v>
      </c>
      <c r="F65" s="683" t="s">
        <v>27588</v>
      </c>
      <c r="G65" s="683" t="s">
        <v>27589</v>
      </c>
      <c r="H65" s="683" t="s">
        <v>27209</v>
      </c>
      <c r="I65" s="682" t="s">
        <v>27210</v>
      </c>
      <c r="J65" s="682" t="s">
        <v>27211</v>
      </c>
      <c r="K65" s="685"/>
      <c r="M65" s="687"/>
      <c r="N65" s="687"/>
      <c r="O65" s="687"/>
      <c r="P65" s="687"/>
      <c r="Q65" s="687"/>
      <c r="R65" s="687"/>
    </row>
    <row r="66" spans="2:18" x14ac:dyDescent="0.2">
      <c r="B66" s="249"/>
      <c r="C66" s="500">
        <f>IF('2 Data Inputs'!G328="l",'2 Data Inputs'!C328,0)</f>
        <v>0</v>
      </c>
      <c r="D66" s="535">
        <f>IF('2 Data Inputs'!G328="l",'2 Data Inputs'!F328,0)</f>
        <v>0</v>
      </c>
      <c r="E66" s="535">
        <f>_xlfn.XLOOKUP($I66,BG_Data[Product],BG_Data[GHG emissions (IPCC 2021) '[kg CO2 eq']],0)</f>
        <v>0</v>
      </c>
      <c r="F66" s="535">
        <f t="shared" ref="F66:F75" si="3">$D66*$E66</f>
        <v>0</v>
      </c>
      <c r="G66" s="535">
        <f>$D66*_xlfn.XLOOKUP($I66,BG_Data[Product],BG_Data[Biogenic CO2 emissions '[kg CO2']],0)</f>
        <v>0</v>
      </c>
      <c r="H66" s="583">
        <f>$D66*_xlfn.XLOOKUP($I66,BG_Data[Product],BG_Data[Total env. impact (Ecological Scarcity 2021) '[UBP']],0)</f>
        <v>0</v>
      </c>
      <c r="I66" s="500" cm="1">
        <f t="array" ref="I66">_xlfn.XLOOKUP(
     C66,
     _xlfn.TOCOL(_xlfn.HSTACK(Lists_S1_Fleet_direct[DE Name],Lists_S1_Fleet_direct[FR Name],Lists_S1_Fleet_direct[IT Name]),1),
     _xlfn.TOCOL(_xlfn.HSTACK(Lists_S1_Fleet_direct[BG Data],Lists_S1_Fleet_direct[BG Data],Lists_S1_Fleet_direct[BG Data]) &amp; " Direct",1),
     0)</f>
        <v>0</v>
      </c>
      <c r="J66" s="500" t="s">
        <v>27212</v>
      </c>
      <c r="K66" s="248"/>
    </row>
    <row r="67" spans="2:18" x14ac:dyDescent="0.2">
      <c r="B67" s="249"/>
      <c r="C67" s="503">
        <f>IF('2 Data Inputs'!G329="l",'2 Data Inputs'!C329,0)</f>
        <v>0</v>
      </c>
      <c r="D67" s="537">
        <f>IF('2 Data Inputs'!G329="l",'2 Data Inputs'!F329,0)</f>
        <v>0</v>
      </c>
      <c r="E67" s="537">
        <f>_xlfn.XLOOKUP($I67,BG_Data[Product],BG_Data[GHG emissions (IPCC 2021) '[kg CO2 eq']],0)</f>
        <v>0</v>
      </c>
      <c r="F67" s="537">
        <f t="shared" si="3"/>
        <v>0</v>
      </c>
      <c r="G67" s="537">
        <f>$D67*_xlfn.XLOOKUP($I67,BG_Data[Product],BG_Data[Biogenic CO2 emissions '[kg CO2']],0)</f>
        <v>0</v>
      </c>
      <c r="H67" s="584">
        <f>$D67*_xlfn.XLOOKUP($I67,BG_Data[Product],BG_Data[Total env. impact (Ecological Scarcity 2021) '[UBP']],0)</f>
        <v>0</v>
      </c>
      <c r="I67" s="503" cm="1">
        <f t="array" ref="I67">_xlfn.XLOOKUP(
     C67,
     _xlfn.TOCOL(_xlfn.HSTACK(Lists_S1_Fleet_direct[DE Name],Lists_S1_Fleet_direct[FR Name],Lists_S1_Fleet_direct[IT Name]),1),
     _xlfn.TOCOL(_xlfn.HSTACK(Lists_S1_Fleet_direct[BG Data],Lists_S1_Fleet_direct[BG Data],Lists_S1_Fleet_direct[BG Data]) &amp; " Direct",1),
     0)</f>
        <v>0</v>
      </c>
      <c r="J67" s="503" t="s">
        <v>27212</v>
      </c>
      <c r="K67" s="248"/>
    </row>
    <row r="68" spans="2:18" x14ac:dyDescent="0.2">
      <c r="B68" s="249"/>
      <c r="C68" s="503">
        <f>IF('2 Data Inputs'!G330="l",'2 Data Inputs'!C330,0)</f>
        <v>0</v>
      </c>
      <c r="D68" s="537">
        <f>IF('2 Data Inputs'!G330="l",'2 Data Inputs'!F330,0)</f>
        <v>0</v>
      </c>
      <c r="E68" s="537">
        <f>_xlfn.XLOOKUP($I68,BG_Data[Product],BG_Data[GHG emissions (IPCC 2021) '[kg CO2 eq']],0)</f>
        <v>0</v>
      </c>
      <c r="F68" s="537">
        <f t="shared" si="3"/>
        <v>0</v>
      </c>
      <c r="G68" s="537">
        <f>$D68*_xlfn.XLOOKUP($I68,BG_Data[Product],BG_Data[Biogenic CO2 emissions '[kg CO2']],0)</f>
        <v>0</v>
      </c>
      <c r="H68" s="584">
        <f>$D68*_xlfn.XLOOKUP($I68,BG_Data[Product],BG_Data[Total env. impact (Ecological Scarcity 2021) '[UBP']],0)</f>
        <v>0</v>
      </c>
      <c r="I68" s="503" cm="1">
        <f t="array" ref="I68">_xlfn.XLOOKUP(
     C68,
     _xlfn.TOCOL(_xlfn.HSTACK(Lists_S1_Fleet_direct[DE Name],Lists_S1_Fleet_direct[FR Name],Lists_S1_Fleet_direct[IT Name]),1),
     _xlfn.TOCOL(_xlfn.HSTACK(Lists_S1_Fleet_direct[BG Data],Lists_S1_Fleet_direct[BG Data],Lists_S1_Fleet_direct[BG Data]) &amp; " Direct",1),
     0)</f>
        <v>0</v>
      </c>
      <c r="J68" s="503" t="s">
        <v>27212</v>
      </c>
      <c r="K68" s="248"/>
    </row>
    <row r="69" spans="2:18" x14ac:dyDescent="0.2">
      <c r="B69" s="249"/>
      <c r="C69" s="503">
        <f>IF('2 Data Inputs'!G331="l",'2 Data Inputs'!C331,0)</f>
        <v>0</v>
      </c>
      <c r="D69" s="537">
        <f>IF('2 Data Inputs'!G331="l",'2 Data Inputs'!F331,0)</f>
        <v>0</v>
      </c>
      <c r="E69" s="537">
        <f>_xlfn.XLOOKUP($I69,BG_Data[Product],BG_Data[GHG emissions (IPCC 2021) '[kg CO2 eq']],0)</f>
        <v>0</v>
      </c>
      <c r="F69" s="537">
        <f t="shared" si="3"/>
        <v>0</v>
      </c>
      <c r="G69" s="537">
        <f>$D69*_xlfn.XLOOKUP($I69,BG_Data[Product],BG_Data[Biogenic CO2 emissions '[kg CO2']],0)</f>
        <v>0</v>
      </c>
      <c r="H69" s="584">
        <f>$D69*_xlfn.XLOOKUP($I69,BG_Data[Product],BG_Data[Total env. impact (Ecological Scarcity 2021) '[UBP']],0)</f>
        <v>0</v>
      </c>
      <c r="I69" s="503" cm="1">
        <f t="array" ref="I69">_xlfn.XLOOKUP(
     C69,
     _xlfn.TOCOL(_xlfn.HSTACK(Lists_S1_Fleet_direct[DE Name],Lists_S1_Fleet_direct[FR Name],Lists_S1_Fleet_direct[IT Name]),1),
     _xlfn.TOCOL(_xlfn.HSTACK(Lists_S1_Fleet_direct[BG Data],Lists_S1_Fleet_direct[BG Data],Lists_S1_Fleet_direct[BG Data]) &amp; " Direct",1),
     0)</f>
        <v>0</v>
      </c>
      <c r="J69" s="503" t="s">
        <v>27212</v>
      </c>
      <c r="K69" s="248"/>
    </row>
    <row r="70" spans="2:18" x14ac:dyDescent="0.2">
      <c r="B70" s="249"/>
      <c r="C70" s="503">
        <f>IF('2 Data Inputs'!G332="l",'2 Data Inputs'!C332,0)</f>
        <v>0</v>
      </c>
      <c r="D70" s="537">
        <f>IF('2 Data Inputs'!G332="l",'2 Data Inputs'!F332,0)</f>
        <v>0</v>
      </c>
      <c r="E70" s="537">
        <f>_xlfn.XLOOKUP($I70,BG_Data[Product],BG_Data[GHG emissions (IPCC 2021) '[kg CO2 eq']],0)</f>
        <v>0</v>
      </c>
      <c r="F70" s="537">
        <f t="shared" si="3"/>
        <v>0</v>
      </c>
      <c r="G70" s="537">
        <f>$D70*_xlfn.XLOOKUP($I70,BG_Data[Product],BG_Data[Biogenic CO2 emissions '[kg CO2']],0)</f>
        <v>0</v>
      </c>
      <c r="H70" s="584">
        <f>$D70*_xlfn.XLOOKUP($I70,BG_Data[Product],BG_Data[Total env. impact (Ecological Scarcity 2021) '[UBP']],0)</f>
        <v>0</v>
      </c>
      <c r="I70" s="503" cm="1">
        <f t="array" ref="I70">_xlfn.XLOOKUP(
     C70,
     _xlfn.TOCOL(_xlfn.HSTACK(Lists_S1_Fleet_direct[DE Name],Lists_S1_Fleet_direct[FR Name],Lists_S1_Fleet_direct[IT Name]),1),
     _xlfn.TOCOL(_xlfn.HSTACK(Lists_S1_Fleet_direct[BG Data],Lists_S1_Fleet_direct[BG Data],Lists_S1_Fleet_direct[BG Data]) &amp; " Direct",1),
     0)</f>
        <v>0</v>
      </c>
      <c r="J70" s="503" t="s">
        <v>27212</v>
      </c>
      <c r="K70" s="248"/>
    </row>
    <row r="71" spans="2:18" x14ac:dyDescent="0.2">
      <c r="B71" s="249"/>
      <c r="C71" s="503">
        <f>IF('2 Data Inputs'!G333="l",'2 Data Inputs'!C333,0)</f>
        <v>0</v>
      </c>
      <c r="D71" s="537">
        <f>IF('2 Data Inputs'!G333="l",'2 Data Inputs'!F333,0)</f>
        <v>0</v>
      </c>
      <c r="E71" s="537">
        <f>_xlfn.XLOOKUP($I71,BG_Data[Product],BG_Data[GHG emissions (IPCC 2021) '[kg CO2 eq']],0)</f>
        <v>0</v>
      </c>
      <c r="F71" s="537">
        <f t="shared" si="3"/>
        <v>0</v>
      </c>
      <c r="G71" s="537">
        <f>$D71*_xlfn.XLOOKUP($I71,BG_Data[Product],BG_Data[Biogenic CO2 emissions '[kg CO2']],0)</f>
        <v>0</v>
      </c>
      <c r="H71" s="584">
        <f>$D71*_xlfn.XLOOKUP($I71,BG_Data[Product],BG_Data[Total env. impact (Ecological Scarcity 2021) '[UBP']],0)</f>
        <v>0</v>
      </c>
      <c r="I71" s="503" cm="1">
        <f t="array" ref="I71">_xlfn.XLOOKUP(
     C71,
     _xlfn.TOCOL(_xlfn.HSTACK(Lists_S1_Fleet_direct[DE Name],Lists_S1_Fleet_direct[FR Name],Lists_S1_Fleet_direct[IT Name]),1),
     _xlfn.TOCOL(_xlfn.HSTACK(Lists_S1_Fleet_direct[BG Data],Lists_S1_Fleet_direct[BG Data],Lists_S1_Fleet_direct[BG Data]) &amp; " Direct",1),
     0)</f>
        <v>0</v>
      </c>
      <c r="J71" s="503" t="s">
        <v>27212</v>
      </c>
      <c r="K71" s="248"/>
    </row>
    <row r="72" spans="2:18" x14ac:dyDescent="0.2">
      <c r="B72" s="249"/>
      <c r="C72" s="503">
        <f>IF('2 Data Inputs'!G334="l",'2 Data Inputs'!C334,0)</f>
        <v>0</v>
      </c>
      <c r="D72" s="537">
        <f>IF('2 Data Inputs'!G334="l",'2 Data Inputs'!F334,0)</f>
        <v>0</v>
      </c>
      <c r="E72" s="537">
        <f>_xlfn.XLOOKUP($I72,BG_Data[Product],BG_Data[GHG emissions (IPCC 2021) '[kg CO2 eq']],0)</f>
        <v>0</v>
      </c>
      <c r="F72" s="537">
        <f t="shared" si="3"/>
        <v>0</v>
      </c>
      <c r="G72" s="537">
        <f>$D72*_xlfn.XLOOKUP($I72,BG_Data[Product],BG_Data[Biogenic CO2 emissions '[kg CO2']],0)</f>
        <v>0</v>
      </c>
      <c r="H72" s="584">
        <f>$D72*_xlfn.XLOOKUP($I72,BG_Data[Product],BG_Data[Total env. impact (Ecological Scarcity 2021) '[UBP']],0)</f>
        <v>0</v>
      </c>
      <c r="I72" s="503" cm="1">
        <f t="array" ref="I72">_xlfn.XLOOKUP(
     C72,
     _xlfn.TOCOL(_xlfn.HSTACK(Lists_S1_Fleet_direct[DE Name],Lists_S1_Fleet_direct[FR Name],Lists_S1_Fleet_direct[IT Name]),1),
     _xlfn.TOCOL(_xlfn.HSTACK(Lists_S1_Fleet_direct[BG Data],Lists_S1_Fleet_direct[BG Data],Lists_S1_Fleet_direct[BG Data]) &amp; " Direct",1),
     0)</f>
        <v>0</v>
      </c>
      <c r="J72" s="503" t="s">
        <v>27212</v>
      </c>
      <c r="K72" s="248"/>
    </row>
    <row r="73" spans="2:18" x14ac:dyDescent="0.2">
      <c r="B73" s="249"/>
      <c r="C73" s="503">
        <f>IF('2 Data Inputs'!G335="l",'2 Data Inputs'!C335,0)</f>
        <v>0</v>
      </c>
      <c r="D73" s="537">
        <f>IF('2 Data Inputs'!G335="l",'2 Data Inputs'!F335,0)</f>
        <v>0</v>
      </c>
      <c r="E73" s="537">
        <f>_xlfn.XLOOKUP($I73,BG_Data[Product],BG_Data[GHG emissions (IPCC 2021) '[kg CO2 eq']],0)</f>
        <v>0</v>
      </c>
      <c r="F73" s="537">
        <f t="shared" si="3"/>
        <v>0</v>
      </c>
      <c r="G73" s="537">
        <f>$D73*_xlfn.XLOOKUP($I73,BG_Data[Product],BG_Data[Biogenic CO2 emissions '[kg CO2']],0)</f>
        <v>0</v>
      </c>
      <c r="H73" s="584">
        <f>$D73*_xlfn.XLOOKUP($I73,BG_Data[Product],BG_Data[Total env. impact (Ecological Scarcity 2021) '[UBP']],0)</f>
        <v>0</v>
      </c>
      <c r="I73" s="503" cm="1">
        <f t="array" ref="I73">_xlfn.XLOOKUP(
     C73,
     _xlfn.TOCOL(_xlfn.HSTACK(Lists_S1_Fleet_direct[DE Name],Lists_S1_Fleet_direct[FR Name],Lists_S1_Fleet_direct[IT Name]),1),
     _xlfn.TOCOL(_xlfn.HSTACK(Lists_S1_Fleet_direct[BG Data],Lists_S1_Fleet_direct[BG Data],Lists_S1_Fleet_direct[BG Data]) &amp; " Direct",1),
     0)</f>
        <v>0</v>
      </c>
      <c r="J73" s="503" t="s">
        <v>27212</v>
      </c>
      <c r="K73" s="248"/>
    </row>
    <row r="74" spans="2:18" x14ac:dyDescent="0.2">
      <c r="B74" s="249"/>
      <c r="C74" s="503">
        <f>IF('2 Data Inputs'!G336="l",'2 Data Inputs'!C336,0)</f>
        <v>0</v>
      </c>
      <c r="D74" s="537">
        <f>IF('2 Data Inputs'!G336="l",'2 Data Inputs'!F336,0)</f>
        <v>0</v>
      </c>
      <c r="E74" s="537">
        <f>_xlfn.XLOOKUP($I74,BG_Data[Product],BG_Data[GHG emissions (IPCC 2021) '[kg CO2 eq']],0)</f>
        <v>0</v>
      </c>
      <c r="F74" s="537">
        <f t="shared" si="3"/>
        <v>0</v>
      </c>
      <c r="G74" s="537">
        <f>$D74*_xlfn.XLOOKUP($I74,BG_Data[Product],BG_Data[Biogenic CO2 emissions '[kg CO2']],0)</f>
        <v>0</v>
      </c>
      <c r="H74" s="584">
        <f>$D74*_xlfn.XLOOKUP($I74,BG_Data[Product],BG_Data[Total env. impact (Ecological Scarcity 2021) '[UBP']],0)</f>
        <v>0</v>
      </c>
      <c r="I74" s="503" cm="1">
        <f t="array" ref="I74">_xlfn.XLOOKUP(
     C74,
     _xlfn.TOCOL(_xlfn.HSTACK(Lists_S1_Fleet_direct[DE Name],Lists_S1_Fleet_direct[FR Name],Lists_S1_Fleet_direct[IT Name]),1),
     _xlfn.TOCOL(_xlfn.HSTACK(Lists_S1_Fleet_direct[BG Data],Lists_S1_Fleet_direct[BG Data],Lists_S1_Fleet_direct[BG Data]) &amp; " Direct",1),
     0)</f>
        <v>0</v>
      </c>
      <c r="J74" s="503" t="s">
        <v>27212</v>
      </c>
      <c r="K74" s="248"/>
    </row>
    <row r="75" spans="2:18" x14ac:dyDescent="0.2">
      <c r="B75" s="249"/>
      <c r="C75" s="506">
        <f>IF('2 Data Inputs'!G337="l",'2 Data Inputs'!C337,0)</f>
        <v>0</v>
      </c>
      <c r="D75" s="532">
        <f>IF('2 Data Inputs'!G337="l",'2 Data Inputs'!F337,0)</f>
        <v>0</v>
      </c>
      <c r="E75" s="532">
        <f>_xlfn.XLOOKUP($I75,BG_Data[Product],BG_Data[GHG emissions (IPCC 2021) '[kg CO2 eq']],0)</f>
        <v>0</v>
      </c>
      <c r="F75" s="532">
        <f t="shared" si="3"/>
        <v>0</v>
      </c>
      <c r="G75" s="532">
        <f>$D75*_xlfn.XLOOKUP($I75,BG_Data[Product],BG_Data[Biogenic CO2 emissions '[kg CO2']],0)</f>
        <v>0</v>
      </c>
      <c r="H75" s="581">
        <f>$D75*_xlfn.XLOOKUP($I75,BG_Data[Product],BG_Data[Total env. impact (Ecological Scarcity 2021) '[UBP']],0)</f>
        <v>0</v>
      </c>
      <c r="I75" s="506" cm="1">
        <f t="array" ref="I75">_xlfn.XLOOKUP(
     C75,
     _xlfn.TOCOL(_xlfn.HSTACK(Lists_S1_Fleet_direct[DE Name],Lists_S1_Fleet_direct[FR Name],Lists_S1_Fleet_direct[IT Name]),1),
     _xlfn.TOCOL(_xlfn.HSTACK(Lists_S1_Fleet_direct[BG Data],Lists_S1_Fleet_direct[BG Data],Lists_S1_Fleet_direct[BG Data]) &amp; " Direct",1),
     0)</f>
        <v>0</v>
      </c>
      <c r="J75" s="506" t="s">
        <v>27212</v>
      </c>
      <c r="K75" s="248"/>
    </row>
    <row r="76" spans="2:18" ht="15" x14ac:dyDescent="0.25">
      <c r="B76" s="249"/>
      <c r="C76" s="507" t="s">
        <v>2616</v>
      </c>
      <c r="D76" s="508">
        <f>SUM(D66:D75)</f>
        <v>0</v>
      </c>
      <c r="E76" s="508"/>
      <c r="F76" s="508">
        <f>SUM(F66:F75)</f>
        <v>0</v>
      </c>
      <c r="G76" s="508">
        <f>SUM(G66:G75)</f>
        <v>0</v>
      </c>
      <c r="H76" s="580">
        <f>SUM(H66:H75)</f>
        <v>0</v>
      </c>
      <c r="I76" s="507"/>
      <c r="J76" s="507"/>
      <c r="K76" s="248"/>
    </row>
    <row r="77" spans="2:18" x14ac:dyDescent="0.2">
      <c r="B77" s="249"/>
      <c r="C77" s="511"/>
      <c r="D77" s="510"/>
      <c r="E77" s="510"/>
      <c r="F77" s="510"/>
      <c r="G77" s="523"/>
      <c r="H77" s="582"/>
      <c r="I77" s="533"/>
      <c r="J77" s="533"/>
      <c r="K77" s="248"/>
    </row>
    <row r="78" spans="2:18" x14ac:dyDescent="0.2">
      <c r="B78" s="250"/>
      <c r="C78" s="506"/>
      <c r="D78" s="532"/>
      <c r="E78" s="532"/>
      <c r="F78" s="532"/>
      <c r="G78" s="532"/>
      <c r="H78" s="581"/>
      <c r="I78" s="506"/>
      <c r="J78" s="506"/>
      <c r="K78" s="250"/>
    </row>
    <row r="79" spans="2:18" x14ac:dyDescent="0.2">
      <c r="B79" s="246"/>
      <c r="C79" s="527"/>
      <c r="D79" s="528"/>
      <c r="E79" s="528"/>
      <c r="F79" s="528"/>
      <c r="G79" s="529"/>
      <c r="H79" s="576"/>
      <c r="I79" s="530"/>
      <c r="J79" s="530"/>
      <c r="K79" s="247" t="str">
        <f>Calc_Hyperlink_S1</f>
        <v>Scope 1</v>
      </c>
    </row>
    <row r="80" spans="2:18" ht="15" x14ac:dyDescent="0.25">
      <c r="B80" s="249"/>
      <c r="C80" s="531" t="str">
        <f>n3Calculation_6S1_ProcessEmissions</f>
        <v>Émissions des processus</v>
      </c>
      <c r="D80" s="510"/>
      <c r="E80" s="510"/>
      <c r="F80" s="510"/>
      <c r="G80" s="523"/>
      <c r="H80" s="582"/>
      <c r="I80" s="533"/>
      <c r="J80" s="533"/>
      <c r="K80" s="248"/>
      <c r="M80" s="181" t="s">
        <v>28293</v>
      </c>
      <c r="N80" s="181"/>
      <c r="O80" s="181"/>
      <c r="P80" s="181"/>
      <c r="Q80" s="181"/>
      <c r="R80" s="181"/>
    </row>
    <row r="81" spans="2:18" x14ac:dyDescent="0.2">
      <c r="B81" s="249"/>
      <c r="C81" s="740"/>
      <c r="D81" s="740"/>
      <c r="E81" s="740"/>
      <c r="F81" s="740"/>
      <c r="G81" s="523"/>
      <c r="H81" s="582"/>
      <c r="I81" s="533"/>
      <c r="J81" s="533"/>
      <c r="K81" s="248"/>
    </row>
    <row r="82" spans="2:18" s="686" customFormat="1" ht="33" x14ac:dyDescent="0.25">
      <c r="B82" s="681"/>
      <c r="C82" s="682" t="s">
        <v>28844</v>
      </c>
      <c r="D82" s="683" t="s">
        <v>28535</v>
      </c>
      <c r="E82" s="684" t="s">
        <v>27208</v>
      </c>
      <c r="F82" s="683" t="s">
        <v>27588</v>
      </c>
      <c r="G82" s="683" t="s">
        <v>27589</v>
      </c>
      <c r="H82" s="683" t="s">
        <v>27209</v>
      </c>
      <c r="I82" s="682" t="s">
        <v>27210</v>
      </c>
      <c r="J82" s="682" t="s">
        <v>27211</v>
      </c>
      <c r="K82" s="685"/>
      <c r="M82" s="687"/>
      <c r="N82" s="687"/>
      <c r="O82" s="687"/>
      <c r="P82" s="687"/>
      <c r="Q82" s="687"/>
      <c r="R82" s="687"/>
    </row>
    <row r="83" spans="2:18" x14ac:dyDescent="0.2">
      <c r="B83" s="249"/>
      <c r="C83" s="524" t="str">
        <f>'2 Data Inputs'!C240</f>
        <v>Équivalents CO2 (lorsque les chiffres des émissions sont combinés)</v>
      </c>
      <c r="D83" s="525">
        <f>DatInp_Hyperlink_4Process</f>
        <v>0</v>
      </c>
      <c r="E83" s="525">
        <f>_xlfn.XLOOKUP($I83,BG_Data[Product],BG_Data[GHG emissions (IPCC 2021) '[kg CO2 eq']],0)</f>
        <v>1</v>
      </c>
      <c r="F83" s="525">
        <f>$D83*$E83</f>
        <v>0</v>
      </c>
      <c r="G83" s="525">
        <f>$D83*_xlfn.XLOOKUP($I83,BG_Data[Product],BG_Data[Biogenic CO2 emissions '[kg CO2']],0)</f>
        <v>0</v>
      </c>
      <c r="H83" s="574">
        <f>$D83*_xlfn.XLOOKUP($I83,BG_Data[Product],BG_Data[Total env. impact (Ecological Scarcity 2021) '[UBP']],0)</f>
        <v>0</v>
      </c>
      <c r="I83" s="524" t="s">
        <v>28983</v>
      </c>
      <c r="J83" s="524" t="s">
        <v>27213</v>
      </c>
      <c r="K83" s="248"/>
    </row>
    <row r="84" spans="2:18" x14ac:dyDescent="0.2">
      <c r="B84" s="249"/>
      <c r="C84" s="511"/>
      <c r="D84" s="510"/>
      <c r="E84" s="510"/>
      <c r="F84" s="510"/>
      <c r="G84" s="510"/>
      <c r="H84" s="571"/>
      <c r="I84" s="511"/>
      <c r="J84" s="511"/>
      <c r="K84" s="248"/>
    </row>
    <row r="85" spans="2:18" s="686" customFormat="1" ht="33" x14ac:dyDescent="0.25">
      <c r="B85" s="681"/>
      <c r="C85" s="682" t="s">
        <v>28844</v>
      </c>
      <c r="D85" s="683" t="s">
        <v>28535</v>
      </c>
      <c r="E85" s="683" t="s">
        <v>27208</v>
      </c>
      <c r="F85" s="683" t="s">
        <v>27588</v>
      </c>
      <c r="G85" s="683" t="s">
        <v>27589</v>
      </c>
      <c r="H85" s="683" t="s">
        <v>27209</v>
      </c>
      <c r="I85" s="682" t="s">
        <v>27210</v>
      </c>
      <c r="J85" s="682" t="s">
        <v>27211</v>
      </c>
      <c r="K85" s="685"/>
      <c r="M85" s="687"/>
      <c r="N85" s="687"/>
      <c r="O85" s="687"/>
      <c r="P85" s="687"/>
      <c r="Q85" s="687"/>
      <c r="R85" s="687"/>
    </row>
    <row r="86" spans="2:18" x14ac:dyDescent="0.2">
      <c r="B86" s="249"/>
      <c r="C86" s="500" t="str">
        <f>Lists!B85</f>
        <v>Dioxyde de carbone (CO2)</v>
      </c>
      <c r="D86" s="535">
        <f>'2 Data Inputs'!F242</f>
        <v>0</v>
      </c>
      <c r="E86" s="535">
        <f>_xlfn.XLOOKUP($I86,BG_Data[Product],BG_Data[GHG emissions (IPCC 2021) '[kg CO2 eq']],0)</f>
        <v>1</v>
      </c>
      <c r="F86" s="535">
        <f t="shared" ref="F86:F91" si="4">$D86*$E86</f>
        <v>0</v>
      </c>
      <c r="G86" s="535">
        <f>$D86*_xlfn.XLOOKUP($I86,BG_Data[Product],BG_Data[Biogenic CO2 emissions '[kg CO2']],0)</f>
        <v>0</v>
      </c>
      <c r="H86" s="583">
        <f>$D86*_xlfn.XLOOKUP($I86,BG_Data[Product],BG_Data[Total env. impact (Ecological Scarcity 2021) '[UBP']],0)</f>
        <v>0</v>
      </c>
      <c r="I86" s="500" t="str" cm="1">
        <f t="array" ref="I86">_xlfn.XLOOKUP(
C86,
_xlfn.TOCOL(_xlfn.HSTACK(Lists_S1_Fugitive[DE Name],
                  Lists_S1_Fugitive[FR Name],
                  Lists_S1_Fugitive[IT Name]),1),
_xlfn.TOCOL(_xlfn.HSTACK(Lists_S1_Fugitive[BG Data],
                  Lists_S1_Fugitive[BG Data],
                  Lists_S1_Fugitive[BG Data]),1)
)</f>
        <v>Carbon dioxide, gas, direct emission</v>
      </c>
      <c r="J86" s="500" t="s">
        <v>27212</v>
      </c>
      <c r="K86" s="248"/>
    </row>
    <row r="87" spans="2:18" x14ac:dyDescent="0.2">
      <c r="B87" s="249"/>
      <c r="C87" s="503" t="str">
        <f>Lists!B87</f>
        <v>Méthane, fossile  (CH4)</v>
      </c>
      <c r="D87" s="537">
        <f>'2 Data Inputs'!F243</f>
        <v>0</v>
      </c>
      <c r="E87" s="537">
        <f>_xlfn.XLOOKUP($I87,BG_Data[Product],BG_Data[GHG emissions (IPCC 2021) '[kg CO2 eq']],0)</f>
        <v>30</v>
      </c>
      <c r="F87" s="537">
        <f t="shared" si="4"/>
        <v>0</v>
      </c>
      <c r="G87" s="537">
        <f>$D87*_xlfn.XLOOKUP($I87,BG_Data[Product],BG_Data[Biogenic CO2 emissions '[kg CO2']],0)</f>
        <v>0</v>
      </c>
      <c r="H87" s="584">
        <f>$D87*_xlfn.XLOOKUP($I87,BG_Data[Product],BG_Data[Total env. impact (Ecological Scarcity 2021) '[UBP']],0)</f>
        <v>0</v>
      </c>
      <c r="I87" s="503" t="str" cm="1">
        <f t="array" ref="I87">_xlfn.XLOOKUP(
C87,
_xlfn.TOCOL(_xlfn.HSTACK(Lists_S1_Fugitive[DE Name],
                  Lists_S1_Fugitive[FR Name],
                  Lists_S1_Fugitive[IT Name]),1),
_xlfn.TOCOL(_xlfn.HSTACK(Lists_S1_Fugitive[BG Data],
                  Lists_S1_Fugitive[BG Data],
                  Lists_S1_Fugitive[BG Data]),1)
)</f>
        <v>Methane fossil, gas, direct emission</v>
      </c>
      <c r="J87" s="503" t="s">
        <v>27212</v>
      </c>
      <c r="K87" s="248"/>
    </row>
    <row r="88" spans="2:18" x14ac:dyDescent="0.2">
      <c r="B88" s="249"/>
      <c r="C88" s="503" t="str">
        <f>Lists!B86</f>
        <v>Méthane, non fossile (CH4)</v>
      </c>
      <c r="D88" s="537">
        <f>'2 Data Inputs'!F244</f>
        <v>0</v>
      </c>
      <c r="E88" s="537">
        <f>_xlfn.XLOOKUP($I88,BG_Data[Product],BG_Data[GHG emissions (IPCC 2021) '[kg CO2 eq']],0)</f>
        <v>28</v>
      </c>
      <c r="F88" s="537">
        <f t="shared" si="4"/>
        <v>0</v>
      </c>
      <c r="G88" s="537">
        <f>$D88*_xlfn.XLOOKUP($I88,BG_Data[Product],BG_Data[Biogenic CO2 emissions '[kg CO2']],0)</f>
        <v>0</v>
      </c>
      <c r="H88" s="584">
        <f>$D88*_xlfn.XLOOKUP($I88,BG_Data[Product],BG_Data[Total env. impact (Ecological Scarcity 2021) '[UBP']],0)</f>
        <v>0</v>
      </c>
      <c r="I88" s="503" t="str" cm="1">
        <f t="array" ref="I88">_xlfn.XLOOKUP(
C88,
_xlfn.TOCOL(_xlfn.HSTACK(Lists_S1_Fugitive[DE Name],
                  Lists_S1_Fugitive[FR Name],
                  Lists_S1_Fugitive[IT Name]),1),
_xlfn.TOCOL(_xlfn.HSTACK(Lists_S1_Fugitive[BG Data],
                  Lists_S1_Fugitive[BG Data],
                  Lists_S1_Fugitive[BG Data]),1)
)</f>
        <v>Methane non-fossil, gas, direct emission</v>
      </c>
      <c r="J88" s="503" t="s">
        <v>27212</v>
      </c>
      <c r="K88" s="248"/>
    </row>
    <row r="89" spans="2:18" x14ac:dyDescent="0.2">
      <c r="B89" s="249"/>
      <c r="C89" s="503" t="str">
        <f>Lists!B88</f>
        <v>Protoxyde d’azote (N2O)</v>
      </c>
      <c r="D89" s="537">
        <f>'2 Data Inputs'!F245</f>
        <v>0</v>
      </c>
      <c r="E89" s="537">
        <f>_xlfn.XLOOKUP($I89,BG_Data[Product],BG_Data[GHG emissions (IPCC 2021) '[kg CO2 eq']],0)</f>
        <v>265</v>
      </c>
      <c r="F89" s="537">
        <f t="shared" si="4"/>
        <v>0</v>
      </c>
      <c r="G89" s="537">
        <f>$D89*_xlfn.XLOOKUP($I89,BG_Data[Product],BG_Data[Biogenic CO2 emissions '[kg CO2']],0)</f>
        <v>0</v>
      </c>
      <c r="H89" s="584">
        <f>$D89*_xlfn.XLOOKUP($I89,BG_Data[Product],BG_Data[Total env. impact (Ecological Scarcity 2021) '[UBP']],0)</f>
        <v>0</v>
      </c>
      <c r="I89" s="503" t="str" cm="1">
        <f t="array" ref="I89">_xlfn.XLOOKUP(
C89,
_xlfn.TOCOL(_xlfn.HSTACK(Lists_S1_Fugitive[DE Name],
                  Lists_S1_Fugitive[FR Name],
                  Lists_S1_Fugitive[IT Name]),1),
_xlfn.TOCOL(_xlfn.HSTACK(Lists_S1_Fugitive[BG Data],
                  Lists_S1_Fugitive[BG Data],
                  Lists_S1_Fugitive[BG Data]),1)
)</f>
        <v>Nitrous oxide, gas, direct emission</v>
      </c>
      <c r="J89" s="503" t="s">
        <v>27212</v>
      </c>
      <c r="K89" s="248"/>
    </row>
    <row r="90" spans="2:18" x14ac:dyDescent="0.2">
      <c r="B90" s="249"/>
      <c r="C90" s="503" t="str">
        <f>Lists!B89</f>
        <v>Trifluorure d’azote (NF3)</v>
      </c>
      <c r="D90" s="537">
        <f>'2 Data Inputs'!F246</f>
        <v>0</v>
      </c>
      <c r="E90" s="537">
        <f>_xlfn.XLOOKUP($I90,BG_Data[Product],BG_Data[GHG emissions (IPCC 2021) '[kg CO2 eq']],0)</f>
        <v>16100</v>
      </c>
      <c r="F90" s="537">
        <f t="shared" si="4"/>
        <v>0</v>
      </c>
      <c r="G90" s="537">
        <f>$D90*_xlfn.XLOOKUP($I90,BG_Data[Product],BG_Data[Biogenic CO2 emissions '[kg CO2']],0)</f>
        <v>0</v>
      </c>
      <c r="H90" s="584">
        <f>$D90*_xlfn.XLOOKUP($I90,BG_Data[Product],BG_Data[Total env. impact (Ecological Scarcity 2021) '[UBP']],0)</f>
        <v>0</v>
      </c>
      <c r="I90" s="503" t="str" cm="1">
        <f t="array" ref="I90">_xlfn.XLOOKUP(
C90,
_xlfn.TOCOL(_xlfn.HSTACK(Lists_S1_Fugitive[DE Name],
                  Lists_S1_Fugitive[FR Name],
                  Lists_S1_Fugitive[IT Name]),1),
_xlfn.TOCOL(_xlfn.HSTACK(Lists_S1_Fugitive[BG Data],
                  Lists_S1_Fugitive[BG Data],
                  Lists_S1_Fugitive[BG Data]),1)
)</f>
        <v>Nitrogen trifluoride, gas, direct emission</v>
      </c>
      <c r="J90" s="503" t="s">
        <v>27212</v>
      </c>
      <c r="K90" s="248"/>
    </row>
    <row r="91" spans="2:18" x14ac:dyDescent="0.2">
      <c r="B91" s="249"/>
      <c r="C91" s="506" t="str">
        <f>Lists!B90</f>
        <v>Hexafluorure de soufre (SF6)</v>
      </c>
      <c r="D91" s="532">
        <f>'2 Data Inputs'!F247</f>
        <v>0</v>
      </c>
      <c r="E91" s="532">
        <f>_xlfn.XLOOKUP($I91,BG_Data[Product],BG_Data[GHG emissions (IPCC 2021) '[kg CO2 eq']],0)</f>
        <v>23500</v>
      </c>
      <c r="F91" s="532">
        <f t="shared" si="4"/>
        <v>0</v>
      </c>
      <c r="G91" s="532">
        <f>$D91*_xlfn.XLOOKUP($I91,BG_Data[Product],BG_Data[Biogenic CO2 emissions '[kg CO2']],0)</f>
        <v>0</v>
      </c>
      <c r="H91" s="581">
        <f>$D91*_xlfn.XLOOKUP($I91,BG_Data[Product],BG_Data[Total env. impact (Ecological Scarcity 2021) '[UBP']],0)</f>
        <v>0</v>
      </c>
      <c r="I91" s="506" t="str" cm="1">
        <f t="array" ref="I91">_xlfn.XLOOKUP(
C91,
_xlfn.TOCOL(_xlfn.HSTACK(Lists_S1_Fugitive[DE Name],
                  Lists_S1_Fugitive[FR Name],
                  Lists_S1_Fugitive[IT Name]),1),
_xlfn.TOCOL(_xlfn.HSTACK(Lists_S1_Fugitive[BG Data],
                  Lists_S1_Fugitive[BG Data],
                  Lists_S1_Fugitive[BG Data]),1)
)</f>
        <v>Sulfur hexafluoride, gas, direct emission</v>
      </c>
      <c r="J91" s="506" t="s">
        <v>27212</v>
      </c>
      <c r="K91" s="248"/>
    </row>
    <row r="92" spans="2:18" ht="15" x14ac:dyDescent="0.25">
      <c r="B92" s="249"/>
      <c r="C92" s="507" t="s">
        <v>2616</v>
      </c>
      <c r="D92" s="508">
        <f>SUM(D86:D91)</f>
        <v>0</v>
      </c>
      <c r="E92" s="508"/>
      <c r="F92" s="508">
        <f>SUM(F86:F91)</f>
        <v>0</v>
      </c>
      <c r="G92" s="508">
        <f>SUM(G86:G91)</f>
        <v>0</v>
      </c>
      <c r="H92" s="580">
        <f>SUM(H86:H91)</f>
        <v>0</v>
      </c>
      <c r="I92" s="507"/>
      <c r="J92" s="507"/>
      <c r="K92" s="248"/>
    </row>
    <row r="93" spans="2:18" ht="15" x14ac:dyDescent="0.25">
      <c r="B93" s="249"/>
      <c r="C93" s="531"/>
      <c r="D93" s="510"/>
      <c r="E93" s="510"/>
      <c r="F93" s="510"/>
      <c r="G93" s="510"/>
      <c r="H93" s="571"/>
      <c r="I93" s="533"/>
      <c r="J93" s="533"/>
      <c r="K93" s="248"/>
    </row>
    <row r="94" spans="2:18" s="686" customFormat="1" ht="33" x14ac:dyDescent="0.25">
      <c r="B94" s="681"/>
      <c r="C94" s="682" t="s">
        <v>28843</v>
      </c>
      <c r="D94" s="683" t="s">
        <v>28535</v>
      </c>
      <c r="E94" s="683" t="s">
        <v>27208</v>
      </c>
      <c r="F94" s="683" t="s">
        <v>27588</v>
      </c>
      <c r="G94" s="683" t="s">
        <v>27589</v>
      </c>
      <c r="H94" s="683" t="s">
        <v>27209</v>
      </c>
      <c r="I94" s="682" t="s">
        <v>27210</v>
      </c>
      <c r="J94" s="682" t="s">
        <v>27211</v>
      </c>
      <c r="K94" s="685"/>
      <c r="M94" s="687"/>
      <c r="N94" s="687"/>
      <c r="O94" s="687"/>
      <c r="P94" s="687"/>
      <c r="Q94" s="687"/>
      <c r="R94" s="687"/>
    </row>
    <row r="95" spans="2:18" x14ac:dyDescent="0.2">
      <c r="B95" s="249"/>
      <c r="C95" s="500">
        <f>'2 Data Inputs'!C262</f>
        <v>0</v>
      </c>
      <c r="D95" s="535">
        <f>'2 Data Inputs'!F262</f>
        <v>0</v>
      </c>
      <c r="E95" s="535">
        <f>_xlfn.XLOOKUP($I95,BG_Data[Product],BG_Data[GHG emissions (IPCC 2021) '[kg CO2 eq']],0)</f>
        <v>0</v>
      </c>
      <c r="F95" s="535">
        <f t="shared" ref="F95:F99" si="5">$D95*$E95</f>
        <v>0</v>
      </c>
      <c r="G95" s="535">
        <f>$D95*_xlfn.XLOOKUP($I95,BG_Data[Product],BG_Data[Biogenic CO2 emissions '[kg CO2']],0)</f>
        <v>0</v>
      </c>
      <c r="H95" s="583">
        <f>$D95*_xlfn.XLOOKUP($I95,BG_Data[Product],BG_Data[Total env. impact (Ecological Scarcity 2021) '[UBP']],0)</f>
        <v>0</v>
      </c>
      <c r="I95" s="500" cm="1">
        <f t="array" ref="I95">_xlfn.XLOOKUP(
C95,
_xlfn.TOCOL(_xlfn.HSTACK(Lists_S3.5_NonGHG[DE Name],Lists_S3.5_NonGHG[FR Name],Lists_S3.5_NonGHG[IT Name]),1),
_xlfn.TOCOL(_xlfn.HSTACK(Lists_S3.5_NonGHG[BG Data],Lists_S3.5_NonGHG[BG Data],Lists_S3.5_NonGHG[BG Data]),1),0
)</f>
        <v>0</v>
      </c>
      <c r="J95" s="500" t="s">
        <v>27212</v>
      </c>
      <c r="K95" s="248"/>
    </row>
    <row r="96" spans="2:18" x14ac:dyDescent="0.2">
      <c r="B96" s="249"/>
      <c r="C96" s="503">
        <f>'2 Data Inputs'!C263</f>
        <v>0</v>
      </c>
      <c r="D96" s="537">
        <f>'2 Data Inputs'!F263</f>
        <v>0</v>
      </c>
      <c r="E96" s="537">
        <f>_xlfn.XLOOKUP($I96,BG_Data[Product],BG_Data[GHG emissions (IPCC 2021) '[kg CO2 eq']],0)</f>
        <v>0</v>
      </c>
      <c r="F96" s="537">
        <f t="shared" si="5"/>
        <v>0</v>
      </c>
      <c r="G96" s="537">
        <f>$D96*_xlfn.XLOOKUP($I96,BG_Data[Product],BG_Data[Biogenic CO2 emissions '[kg CO2']],0)</f>
        <v>0</v>
      </c>
      <c r="H96" s="584">
        <f>$D96*_xlfn.XLOOKUP($I96,BG_Data[Product],BG_Data[Total env. impact (Ecological Scarcity 2021) '[UBP']],0)</f>
        <v>0</v>
      </c>
      <c r="I96" s="503" cm="1">
        <f t="array" ref="I96">_xlfn.XLOOKUP(
C96,
_xlfn.TOCOL(_xlfn.HSTACK(Lists_S3.5_NonGHG[DE Name],Lists_S3.5_NonGHG[FR Name],Lists_S3.5_NonGHG[IT Name]),1),
_xlfn.TOCOL(_xlfn.HSTACK(Lists_S3.5_NonGHG[BG Data],Lists_S3.5_NonGHG[BG Data],Lists_S3.5_NonGHG[BG Data]),1),0
)</f>
        <v>0</v>
      </c>
      <c r="J96" s="503" t="s">
        <v>27212</v>
      </c>
      <c r="K96" s="248"/>
    </row>
    <row r="97" spans="1:20" x14ac:dyDescent="0.2">
      <c r="B97" s="249"/>
      <c r="C97" s="503">
        <f>'2 Data Inputs'!C264</f>
        <v>0</v>
      </c>
      <c r="D97" s="537">
        <f>'2 Data Inputs'!F264</f>
        <v>0</v>
      </c>
      <c r="E97" s="537">
        <f>_xlfn.XLOOKUP($I97,BG_Data[Product],BG_Data[GHG emissions (IPCC 2021) '[kg CO2 eq']],0)</f>
        <v>0</v>
      </c>
      <c r="F97" s="537">
        <f t="shared" si="5"/>
        <v>0</v>
      </c>
      <c r="G97" s="537">
        <f>$D97*_xlfn.XLOOKUP($I97,BG_Data[Product],BG_Data[Biogenic CO2 emissions '[kg CO2']],0)</f>
        <v>0</v>
      </c>
      <c r="H97" s="584">
        <f>$D97*_xlfn.XLOOKUP($I97,BG_Data[Product],BG_Data[Total env. impact (Ecological Scarcity 2021) '[UBP']],0)</f>
        <v>0</v>
      </c>
      <c r="I97" s="503" cm="1">
        <f t="array" ref="I97">_xlfn.XLOOKUP(
C97,
_xlfn.TOCOL(_xlfn.HSTACK(Lists_S3.5_NonGHG[DE Name],Lists_S3.5_NonGHG[FR Name],Lists_S3.5_NonGHG[IT Name]),1),
_xlfn.TOCOL(_xlfn.HSTACK(Lists_S3.5_NonGHG[BG Data],Lists_S3.5_NonGHG[BG Data],Lists_S3.5_NonGHG[BG Data]),1),0
)</f>
        <v>0</v>
      </c>
      <c r="J97" s="503" t="s">
        <v>27212</v>
      </c>
      <c r="K97" s="248"/>
    </row>
    <row r="98" spans="1:20" x14ac:dyDescent="0.2">
      <c r="B98" s="249"/>
      <c r="C98" s="503">
        <f>'2 Data Inputs'!C265</f>
        <v>0</v>
      </c>
      <c r="D98" s="537">
        <f>'2 Data Inputs'!F265</f>
        <v>0</v>
      </c>
      <c r="E98" s="537">
        <f>_xlfn.XLOOKUP($I98,BG_Data[Product],BG_Data[GHG emissions (IPCC 2021) '[kg CO2 eq']],0)</f>
        <v>0</v>
      </c>
      <c r="F98" s="537">
        <f t="shared" si="5"/>
        <v>0</v>
      </c>
      <c r="G98" s="537">
        <f>$D98*_xlfn.XLOOKUP($I98,BG_Data[Product],BG_Data[Biogenic CO2 emissions '[kg CO2']],0)</f>
        <v>0</v>
      </c>
      <c r="H98" s="584">
        <f>$D98*_xlfn.XLOOKUP($I98,BG_Data[Product],BG_Data[Total env. impact (Ecological Scarcity 2021) '[UBP']],0)</f>
        <v>0</v>
      </c>
      <c r="I98" s="503" cm="1">
        <f t="array" ref="I98">_xlfn.XLOOKUP(
C98,
_xlfn.TOCOL(_xlfn.HSTACK(Lists_S3.5_NonGHG[DE Name],Lists_S3.5_NonGHG[FR Name],Lists_S3.5_NonGHG[IT Name]),1),
_xlfn.TOCOL(_xlfn.HSTACK(Lists_S3.5_NonGHG[BG Data],Lists_S3.5_NonGHG[BG Data],Lists_S3.5_NonGHG[BG Data]),1),0
)</f>
        <v>0</v>
      </c>
      <c r="J98" s="503" t="s">
        <v>27212</v>
      </c>
      <c r="K98" s="248"/>
    </row>
    <row r="99" spans="1:20" x14ac:dyDescent="0.2">
      <c r="B99" s="249"/>
      <c r="C99" s="506">
        <f>'2 Data Inputs'!C266</f>
        <v>0</v>
      </c>
      <c r="D99" s="532">
        <f>'2 Data Inputs'!F266</f>
        <v>0</v>
      </c>
      <c r="E99" s="532">
        <f>_xlfn.XLOOKUP($I99,BG_Data[Product],BG_Data[GHG emissions (IPCC 2021) '[kg CO2 eq']],0)</f>
        <v>0</v>
      </c>
      <c r="F99" s="532">
        <f t="shared" si="5"/>
        <v>0</v>
      </c>
      <c r="G99" s="532">
        <f>$D99*_xlfn.XLOOKUP($I99,BG_Data[Product],BG_Data[Biogenic CO2 emissions '[kg CO2']],0)</f>
        <v>0</v>
      </c>
      <c r="H99" s="581">
        <f>$D99*_xlfn.XLOOKUP($I99,BG_Data[Product],BG_Data[Total env. impact (Ecological Scarcity 2021) '[UBP']],0)</f>
        <v>0</v>
      </c>
      <c r="I99" s="506" cm="1">
        <f t="array" ref="I99">_xlfn.XLOOKUP(
C99,
_xlfn.TOCOL(_xlfn.HSTACK(Lists_S3.5_NonGHG[DE Name],Lists_S3.5_NonGHG[FR Name],Lists_S3.5_NonGHG[IT Name]),1),
_xlfn.TOCOL(_xlfn.HSTACK(Lists_S3.5_NonGHG[BG Data],Lists_S3.5_NonGHG[BG Data],Lists_S3.5_NonGHG[BG Data]),1),0
)</f>
        <v>0</v>
      </c>
      <c r="J99" s="506" t="s">
        <v>27212</v>
      </c>
      <c r="K99" s="248"/>
    </row>
    <row r="100" spans="1:20" ht="15" x14ac:dyDescent="0.25">
      <c r="B100" s="249"/>
      <c r="C100" s="507" t="s">
        <v>2616</v>
      </c>
      <c r="D100" s="508">
        <f>SUM(D95:D99)</f>
        <v>0</v>
      </c>
      <c r="E100" s="508"/>
      <c r="F100" s="508">
        <f>SUM(F95:F99)</f>
        <v>0</v>
      </c>
      <c r="G100" s="508">
        <f>SUM(G95:G99)</f>
        <v>0</v>
      </c>
      <c r="H100" s="580">
        <f>SUM(H95:H99)</f>
        <v>0</v>
      </c>
      <c r="I100" s="507"/>
      <c r="J100" s="507"/>
      <c r="K100" s="248"/>
    </row>
    <row r="101" spans="1:20" x14ac:dyDescent="0.2">
      <c r="B101" s="254"/>
      <c r="C101" s="539"/>
      <c r="D101" s="540"/>
      <c r="E101" s="540"/>
      <c r="F101" s="540"/>
      <c r="G101" s="541"/>
      <c r="H101" s="585"/>
      <c r="I101" s="542"/>
      <c r="J101" s="542"/>
      <c r="K101" s="255"/>
    </row>
    <row r="102" spans="1:20" x14ac:dyDescent="0.2">
      <c r="B102" s="250"/>
      <c r="C102" s="506"/>
      <c r="D102" s="532"/>
      <c r="E102" s="532"/>
      <c r="F102" s="532"/>
      <c r="G102" s="532"/>
      <c r="H102" s="581"/>
      <c r="I102" s="506"/>
      <c r="J102" s="506"/>
      <c r="K102" s="250"/>
    </row>
    <row r="103" spans="1:20" x14ac:dyDescent="0.2">
      <c r="B103" s="252"/>
      <c r="C103" s="543"/>
      <c r="D103" s="544"/>
      <c r="E103" s="544"/>
      <c r="F103" s="544"/>
      <c r="G103" s="544"/>
      <c r="H103" s="586"/>
      <c r="I103" s="543"/>
      <c r="J103" s="543"/>
      <c r="K103" s="252"/>
    </row>
    <row r="104" spans="1:20" s="98" customFormat="1" ht="30" customHeight="1" x14ac:dyDescent="0.2">
      <c r="A104" s="244"/>
      <c r="B104" s="199" t="s">
        <v>27159</v>
      </c>
      <c r="C104" s="500"/>
      <c r="D104" s="535"/>
      <c r="E104" s="535"/>
      <c r="F104" s="535"/>
      <c r="G104" s="535"/>
      <c r="H104" s="583"/>
      <c r="I104" s="500"/>
      <c r="J104" s="500"/>
      <c r="K104" s="251"/>
      <c r="L104" s="244"/>
      <c r="M104" s="299"/>
      <c r="N104" s="299"/>
      <c r="O104" s="299"/>
      <c r="P104" s="299"/>
      <c r="Q104" s="299"/>
      <c r="R104" s="299"/>
      <c r="T104" s="244"/>
    </row>
    <row r="105" spans="1:20" x14ac:dyDescent="0.2">
      <c r="B105" s="246"/>
      <c r="C105" s="527"/>
      <c r="D105" s="528"/>
      <c r="E105" s="528"/>
      <c r="F105" s="528"/>
      <c r="G105" s="529"/>
      <c r="H105" s="576"/>
      <c r="I105" s="530"/>
      <c r="J105" s="530"/>
      <c r="K105" s="247" t="str">
        <f>Calc_Hyperlink_S2</f>
        <v>Scope 2</v>
      </c>
    </row>
    <row r="106" spans="1:20" ht="15" x14ac:dyDescent="0.25">
      <c r="B106" s="249"/>
      <c r="C106" s="531" t="str">
        <f>n3Calculation_7.1_S2_ElectricityMarket</f>
        <v>Électricité - Basé sur le marché</v>
      </c>
      <c r="D106" s="510"/>
      <c r="E106" s="510"/>
      <c r="F106" s="510"/>
      <c r="G106" s="510"/>
      <c r="H106" s="571"/>
      <c r="I106" s="511"/>
      <c r="J106" s="511"/>
      <c r="K106" s="248"/>
      <c r="M106" s="181" t="s">
        <v>28296</v>
      </c>
      <c r="N106" s="181"/>
      <c r="O106" s="181"/>
      <c r="P106" s="181"/>
      <c r="Q106" s="181"/>
      <c r="R106" s="181"/>
    </row>
    <row r="107" spans="1:20" x14ac:dyDescent="0.2">
      <c r="B107" s="249"/>
      <c r="C107" s="511"/>
      <c r="D107" s="510"/>
      <c r="E107" s="510"/>
      <c r="F107" s="510"/>
      <c r="G107" s="510"/>
      <c r="H107" s="571"/>
      <c r="I107" s="511"/>
      <c r="J107" s="511"/>
      <c r="K107" s="248"/>
    </row>
    <row r="108" spans="1:20" s="686" customFormat="1" ht="33" x14ac:dyDescent="0.25">
      <c r="A108" s="692"/>
      <c r="B108" s="681"/>
      <c r="C108" s="682" t="s">
        <v>27265</v>
      </c>
      <c r="D108" s="683" t="s">
        <v>28537</v>
      </c>
      <c r="E108" s="683" t="s">
        <v>27208</v>
      </c>
      <c r="F108" s="683" t="s">
        <v>27588</v>
      </c>
      <c r="G108" s="683" t="s">
        <v>27589</v>
      </c>
      <c r="H108" s="683" t="s">
        <v>27209</v>
      </c>
      <c r="I108" s="682" t="s">
        <v>27210</v>
      </c>
      <c r="J108" s="682" t="s">
        <v>27211</v>
      </c>
      <c r="K108" s="685"/>
      <c r="M108" s="687"/>
      <c r="N108" s="687"/>
      <c r="O108" s="687"/>
      <c r="P108" s="687"/>
      <c r="Q108" s="687"/>
      <c r="R108" s="687"/>
    </row>
    <row r="109" spans="1:20" x14ac:dyDescent="0.2">
      <c r="B109" s="249"/>
      <c r="C109" s="524" t="str">
        <f>'2 Data Inputs'!C437</f>
        <v>Électricité achetée sans garantie d'origine</v>
      </c>
      <c r="D109" s="525">
        <f>'2 Data Inputs'!F437</f>
        <v>0</v>
      </c>
      <c r="E109" s="525">
        <f>_xlfn.XLOOKUP($I109,BG_Data[Product],BG_Data[GHG emissions (IPCC 2021) '[kg CO2 eq']],0)</f>
        <v>5.625548261860136E-2</v>
      </c>
      <c r="F109" s="525">
        <f>$D109*$E109</f>
        <v>0</v>
      </c>
      <c r="G109" s="525">
        <f>$D109*_xlfn.XLOOKUP($I109,BG_Data[Product],BG_Data[Biogenic CO2 emissions '[kg CO2']],0)</f>
        <v>0</v>
      </c>
      <c r="H109" s="574">
        <f>$D109*_xlfn.XLOOKUP($I109,BG_Data[Product],BG_Data[Total env. impact (Ecological Scarcity 2021) '[UBP']],0)</f>
        <v>0</v>
      </c>
      <c r="I109" s="524" t="str">
        <f>IF('2 Data Inputs'!J437="Niederspannung","Electricity, low voltage, at grid {CH} kWh Direct","Electricity, medium voltage, at grid {CH} kWh Direct")</f>
        <v>Electricity, low voltage, at grid {CH} kWh Direct</v>
      </c>
      <c r="J109" s="524" t="s">
        <v>27213</v>
      </c>
      <c r="K109" s="248"/>
    </row>
    <row r="110" spans="1:20" x14ac:dyDescent="0.2">
      <c r="A110" s="741"/>
      <c r="B110" s="249"/>
      <c r="C110" s="740"/>
      <c r="D110" s="740"/>
      <c r="E110" s="740"/>
      <c r="F110" s="740"/>
      <c r="G110" s="510"/>
      <c r="H110" s="571"/>
      <c r="I110" s="511"/>
      <c r="J110" s="511"/>
      <c r="K110" s="248"/>
    </row>
    <row r="111" spans="1:20" s="686" customFormat="1" ht="33" x14ac:dyDescent="0.25">
      <c r="A111" s="741"/>
      <c r="B111" s="681"/>
      <c r="C111" s="682" t="s">
        <v>2607</v>
      </c>
      <c r="D111" s="683" t="s">
        <v>28537</v>
      </c>
      <c r="E111" s="683" t="s">
        <v>27208</v>
      </c>
      <c r="F111" s="683" t="s">
        <v>27588</v>
      </c>
      <c r="G111" s="683" t="s">
        <v>27589</v>
      </c>
      <c r="H111" s="683" t="s">
        <v>27214</v>
      </c>
      <c r="I111" s="682" t="s">
        <v>27210</v>
      </c>
      <c r="J111" s="682" t="s">
        <v>27211</v>
      </c>
      <c r="K111" s="685"/>
      <c r="M111" s="687"/>
      <c r="N111" s="687"/>
      <c r="O111" s="687"/>
      <c r="P111" s="687"/>
      <c r="Q111" s="687"/>
      <c r="R111" s="687"/>
    </row>
    <row r="112" spans="1:20" x14ac:dyDescent="0.2">
      <c r="B112" s="249"/>
      <c r="C112" s="500">
        <f>'2 Data Inputs'!C439</f>
        <v>0</v>
      </c>
      <c r="D112" s="535">
        <f>'2 Data Inputs'!F439</f>
        <v>0</v>
      </c>
      <c r="E112" s="535">
        <f>_xlfn.XLOOKUP($I112,BG_Data[Product],BG_Data[GHG emissions (IPCC 2021) '[kg CO2 eq']],0)</f>
        <v>0</v>
      </c>
      <c r="F112" s="535">
        <f t="shared" ref="F112:F121" si="6">$D112*$E112</f>
        <v>0</v>
      </c>
      <c r="G112" s="535">
        <f>$D112*_xlfn.XLOOKUP($I112,BG_Data[Product],BG_Data[Biogenic CO2 emissions '[kg CO2']],0)</f>
        <v>0</v>
      </c>
      <c r="H112" s="583">
        <f>$D112*_xlfn.XLOOKUP($I112,BG_Data[Product],BG_Data[Total env. impact (Ecological Scarcity 2021) '[UBP']],0)</f>
        <v>0</v>
      </c>
      <c r="I112" s="535" cm="1">
        <f t="array" ref="I112">IF(Calc_S2_Electricity2[[#This Row],[Source]]=0,0,
_xlfn.XLOOKUP('2 Data Inputs'!I439,
_xlfn.TOCOL(_xlfn.HSTACK(Lists_S2_Electricity[Category DE],Lists_S2_Electricity[Category FR],Lists_S2_Electricity[Category IT]),1),
_xlfn.TOCOL(_xlfn.HSTACK(Lists_S2_Electricity[BG Data],Lists_S2_Electricity[BG Data],Lists_S2_Electricity[BG Data]),1),
"") &amp; " Direct"
)</f>
        <v>0</v>
      </c>
      <c r="J112" s="535" t="s">
        <v>27212</v>
      </c>
      <c r="K112" s="248"/>
    </row>
    <row r="113" spans="2:18" x14ac:dyDescent="0.2">
      <c r="B113" s="249"/>
      <c r="C113" s="503">
        <f>'2 Data Inputs'!C440</f>
        <v>0</v>
      </c>
      <c r="D113" s="537">
        <f>'2 Data Inputs'!F440</f>
        <v>0</v>
      </c>
      <c r="E113" s="537">
        <f>_xlfn.XLOOKUP($I113,BG_Data[Product],BG_Data[GHG emissions (IPCC 2021) '[kg CO2 eq']],0)</f>
        <v>0</v>
      </c>
      <c r="F113" s="537">
        <f t="shared" si="6"/>
        <v>0</v>
      </c>
      <c r="G113" s="537">
        <f>$D113*_xlfn.XLOOKUP($I113,BG_Data[Product],BG_Data[Biogenic CO2 emissions '[kg CO2']],0)</f>
        <v>0</v>
      </c>
      <c r="H113" s="584">
        <f>$D113*_xlfn.XLOOKUP($I113,BG_Data[Product],BG_Data[Total env. impact (Ecological Scarcity 2021) '[UBP']],0)</f>
        <v>0</v>
      </c>
      <c r="I113" s="537" cm="1">
        <f t="array" ref="I113">IF(Calc_S2_Electricity2[[#This Row],[Source]]=0,0,
_xlfn.XLOOKUP('2 Data Inputs'!I440,
_xlfn.TOCOL(_xlfn.HSTACK(Lists_S2_Electricity[Category DE],Lists_S2_Electricity[Category FR],Lists_S2_Electricity[Category IT]),1),
_xlfn.TOCOL(_xlfn.HSTACK(Lists_S2_Electricity[BG Data],Lists_S2_Electricity[BG Data],Lists_S2_Electricity[BG Data]),1),
"") &amp; " Direct"
)</f>
        <v>0</v>
      </c>
      <c r="J113" s="537" t="s">
        <v>27212</v>
      </c>
      <c r="K113" s="248"/>
    </row>
    <row r="114" spans="2:18" x14ac:dyDescent="0.2">
      <c r="B114" s="249"/>
      <c r="C114" s="503">
        <f>'2 Data Inputs'!C441</f>
        <v>0</v>
      </c>
      <c r="D114" s="537">
        <f>'2 Data Inputs'!F441</f>
        <v>0</v>
      </c>
      <c r="E114" s="537">
        <f>_xlfn.XLOOKUP($I114,BG_Data[Product],BG_Data[GHG emissions (IPCC 2021) '[kg CO2 eq']],0)</f>
        <v>0</v>
      </c>
      <c r="F114" s="537">
        <f t="shared" si="6"/>
        <v>0</v>
      </c>
      <c r="G114" s="537">
        <f>$D114*_xlfn.XLOOKUP($I114,BG_Data[Product],BG_Data[Biogenic CO2 emissions '[kg CO2']],0)</f>
        <v>0</v>
      </c>
      <c r="H114" s="584">
        <f>$D114*_xlfn.XLOOKUP($I114,BG_Data[Product],BG_Data[Total env. impact (Ecological Scarcity 2021) '[UBP']],0)</f>
        <v>0</v>
      </c>
      <c r="I114" s="537" cm="1">
        <f t="array" ref="I114">IF(Calc_S2_Electricity2[[#This Row],[Source]]=0,0,
_xlfn.XLOOKUP('2 Data Inputs'!I441,
_xlfn.TOCOL(_xlfn.HSTACK(Lists_S2_Electricity[Category DE],Lists_S2_Electricity[Category FR],Lists_S2_Electricity[Category IT]),1),
_xlfn.TOCOL(_xlfn.HSTACK(Lists_S2_Electricity[BG Data],Lists_S2_Electricity[BG Data],Lists_S2_Electricity[BG Data]),1),
"") &amp; " Direct"
)</f>
        <v>0</v>
      </c>
      <c r="J114" s="537" t="s">
        <v>27212</v>
      </c>
      <c r="K114" s="248"/>
    </row>
    <row r="115" spans="2:18" x14ac:dyDescent="0.2">
      <c r="B115" s="249"/>
      <c r="C115" s="503">
        <f>'2 Data Inputs'!C442</f>
        <v>0</v>
      </c>
      <c r="D115" s="537">
        <f>'2 Data Inputs'!F442</f>
        <v>0</v>
      </c>
      <c r="E115" s="537">
        <f>_xlfn.XLOOKUP($I115,BG_Data[Product],BG_Data[GHG emissions (IPCC 2021) '[kg CO2 eq']],0)</f>
        <v>0</v>
      </c>
      <c r="F115" s="537">
        <f t="shared" si="6"/>
        <v>0</v>
      </c>
      <c r="G115" s="537">
        <f>$D115*_xlfn.XLOOKUP($I115,BG_Data[Product],BG_Data[Biogenic CO2 emissions '[kg CO2']],0)</f>
        <v>0</v>
      </c>
      <c r="H115" s="584">
        <f>$D115*_xlfn.XLOOKUP($I115,BG_Data[Product],BG_Data[Total env. impact (Ecological Scarcity 2021) '[UBP']],0)</f>
        <v>0</v>
      </c>
      <c r="I115" s="537" cm="1">
        <f t="array" ref="I115">IF(Calc_S2_Electricity2[[#This Row],[Source]]=0,0,
_xlfn.XLOOKUP('2 Data Inputs'!I442,
_xlfn.TOCOL(_xlfn.HSTACK(Lists_S2_Electricity[Category DE],Lists_S2_Electricity[Category FR],Lists_S2_Electricity[Category IT]),1),
_xlfn.TOCOL(_xlfn.HSTACK(Lists_S2_Electricity[BG Data],Lists_S2_Electricity[BG Data],Lists_S2_Electricity[BG Data]),1),
"") &amp; " Direct"
)</f>
        <v>0</v>
      </c>
      <c r="J115" s="537" t="s">
        <v>27212</v>
      </c>
      <c r="K115" s="248"/>
    </row>
    <row r="116" spans="2:18" x14ac:dyDescent="0.2">
      <c r="B116" s="249"/>
      <c r="C116" s="503">
        <f>'2 Data Inputs'!C443</f>
        <v>0</v>
      </c>
      <c r="D116" s="537">
        <f>'2 Data Inputs'!F443</f>
        <v>0</v>
      </c>
      <c r="E116" s="537">
        <f>_xlfn.XLOOKUP($I116,BG_Data[Product],BG_Data[GHG emissions (IPCC 2021) '[kg CO2 eq']],0)</f>
        <v>0</v>
      </c>
      <c r="F116" s="537">
        <f t="shared" si="6"/>
        <v>0</v>
      </c>
      <c r="G116" s="537">
        <f>$D116*_xlfn.XLOOKUP($I116,BG_Data[Product],BG_Data[Biogenic CO2 emissions '[kg CO2']],0)</f>
        <v>0</v>
      </c>
      <c r="H116" s="584">
        <f>$D116*_xlfn.XLOOKUP($I116,BG_Data[Product],BG_Data[Total env. impact (Ecological Scarcity 2021) '[UBP']],0)</f>
        <v>0</v>
      </c>
      <c r="I116" s="537" cm="1">
        <f t="array" ref="I116">IF(Calc_S2_Electricity2[[#This Row],[Source]]=0,0,
_xlfn.XLOOKUP('2 Data Inputs'!I443,
_xlfn.TOCOL(_xlfn.HSTACK(Lists_S2_Electricity[Category DE],Lists_S2_Electricity[Category FR],Lists_S2_Electricity[Category IT]),1),
_xlfn.TOCOL(_xlfn.HSTACK(Lists_S2_Electricity[BG Data],Lists_S2_Electricity[BG Data],Lists_S2_Electricity[BG Data]),1),
"") &amp; " Direct"
)</f>
        <v>0</v>
      </c>
      <c r="J116" s="537" t="s">
        <v>27212</v>
      </c>
      <c r="K116" s="248"/>
    </row>
    <row r="117" spans="2:18" x14ac:dyDescent="0.2">
      <c r="B117" s="249"/>
      <c r="C117" s="503">
        <f>'2 Data Inputs'!C444</f>
        <v>0</v>
      </c>
      <c r="D117" s="537">
        <f>'2 Data Inputs'!F444</f>
        <v>0</v>
      </c>
      <c r="E117" s="537">
        <f>_xlfn.XLOOKUP($I117,BG_Data[Product],BG_Data[GHG emissions (IPCC 2021) '[kg CO2 eq']],0)</f>
        <v>0</v>
      </c>
      <c r="F117" s="537">
        <f t="shared" si="6"/>
        <v>0</v>
      </c>
      <c r="G117" s="537">
        <f>$D117*_xlfn.XLOOKUP($I117,BG_Data[Product],BG_Data[Biogenic CO2 emissions '[kg CO2']],0)</f>
        <v>0</v>
      </c>
      <c r="H117" s="584">
        <f>$D117*_xlfn.XLOOKUP($I117,BG_Data[Product],BG_Data[Total env. impact (Ecological Scarcity 2021) '[UBP']],0)</f>
        <v>0</v>
      </c>
      <c r="I117" s="537" cm="1">
        <f t="array" ref="I117">IF(Calc_S2_Electricity2[[#This Row],[Source]]=0,0,
_xlfn.XLOOKUP('2 Data Inputs'!I444,
_xlfn.TOCOL(_xlfn.HSTACK(Lists_S2_Electricity[Category DE],Lists_S2_Electricity[Category FR],Lists_S2_Electricity[Category IT]),1),
_xlfn.TOCOL(_xlfn.HSTACK(Lists_S2_Electricity[BG Data],Lists_S2_Electricity[BG Data],Lists_S2_Electricity[BG Data]),1),
"") &amp; " Direct"
)</f>
        <v>0</v>
      </c>
      <c r="J117" s="537" t="s">
        <v>27212</v>
      </c>
      <c r="K117" s="248"/>
    </row>
    <row r="118" spans="2:18" x14ac:dyDescent="0.2">
      <c r="B118" s="249"/>
      <c r="C118" s="503">
        <f>'2 Data Inputs'!C445</f>
        <v>0</v>
      </c>
      <c r="D118" s="537">
        <f>'2 Data Inputs'!F445</f>
        <v>0</v>
      </c>
      <c r="E118" s="537">
        <f>_xlfn.XLOOKUP($I118,BG_Data[Product],BG_Data[GHG emissions (IPCC 2021) '[kg CO2 eq']],0)</f>
        <v>0</v>
      </c>
      <c r="F118" s="537">
        <f t="shared" si="6"/>
        <v>0</v>
      </c>
      <c r="G118" s="537">
        <f>$D118*_xlfn.XLOOKUP($I118,BG_Data[Product],BG_Data[Biogenic CO2 emissions '[kg CO2']],0)</f>
        <v>0</v>
      </c>
      <c r="H118" s="584">
        <f>$D118*_xlfn.XLOOKUP($I118,BG_Data[Product],BG_Data[Total env. impact (Ecological Scarcity 2021) '[UBP']],0)</f>
        <v>0</v>
      </c>
      <c r="I118" s="537" cm="1">
        <f t="array" ref="I118">IF(Calc_S2_Electricity2[[#This Row],[Source]]=0,0,
_xlfn.XLOOKUP('2 Data Inputs'!I445,
_xlfn.TOCOL(_xlfn.HSTACK(Lists_S2_Electricity[Category DE],Lists_S2_Electricity[Category FR],Lists_S2_Electricity[Category IT]),1),
_xlfn.TOCOL(_xlfn.HSTACK(Lists_S2_Electricity[BG Data],Lists_S2_Electricity[BG Data],Lists_S2_Electricity[BG Data]),1),
"") &amp; " Direct"
)</f>
        <v>0</v>
      </c>
      <c r="J118" s="537" t="s">
        <v>27212</v>
      </c>
      <c r="K118" s="248"/>
    </row>
    <row r="119" spans="2:18" x14ac:dyDescent="0.2">
      <c r="B119" s="249"/>
      <c r="C119" s="503">
        <f>'2 Data Inputs'!C446</f>
        <v>0</v>
      </c>
      <c r="D119" s="537">
        <f>'2 Data Inputs'!F446</f>
        <v>0</v>
      </c>
      <c r="E119" s="537">
        <f>_xlfn.XLOOKUP($I119,BG_Data[Product],BG_Data[GHG emissions (IPCC 2021) '[kg CO2 eq']],0)</f>
        <v>0</v>
      </c>
      <c r="F119" s="537">
        <f t="shared" si="6"/>
        <v>0</v>
      </c>
      <c r="G119" s="537">
        <f>$D119*_xlfn.XLOOKUP($I119,BG_Data[Product],BG_Data[Biogenic CO2 emissions '[kg CO2']],0)</f>
        <v>0</v>
      </c>
      <c r="H119" s="584">
        <f>$D119*_xlfn.XLOOKUP($I119,BG_Data[Product],BG_Data[Total env. impact (Ecological Scarcity 2021) '[UBP']],0)</f>
        <v>0</v>
      </c>
      <c r="I119" s="537" cm="1">
        <f t="array" ref="I119">IF(Calc_S2_Electricity2[[#This Row],[Source]]=0,0,
_xlfn.XLOOKUP('2 Data Inputs'!I446,
_xlfn.TOCOL(_xlfn.HSTACK(Lists_S2_Electricity[Category DE],Lists_S2_Electricity[Category FR],Lists_S2_Electricity[Category IT]),1),
_xlfn.TOCOL(_xlfn.HSTACK(Lists_S2_Electricity[BG Data],Lists_S2_Electricity[BG Data],Lists_S2_Electricity[BG Data]),1),
"") &amp; " Direct"
)</f>
        <v>0</v>
      </c>
      <c r="J119" s="537" t="s">
        <v>27212</v>
      </c>
      <c r="K119" s="248"/>
    </row>
    <row r="120" spans="2:18" x14ac:dyDescent="0.2">
      <c r="B120" s="249"/>
      <c r="C120" s="503">
        <f>'2 Data Inputs'!C447</f>
        <v>0</v>
      </c>
      <c r="D120" s="537">
        <f>'2 Data Inputs'!F447</f>
        <v>0</v>
      </c>
      <c r="E120" s="537">
        <f>_xlfn.XLOOKUP($I120,BG_Data[Product],BG_Data[GHG emissions (IPCC 2021) '[kg CO2 eq']],0)</f>
        <v>0</v>
      </c>
      <c r="F120" s="537">
        <f t="shared" si="6"/>
        <v>0</v>
      </c>
      <c r="G120" s="537">
        <f>$D120*_xlfn.XLOOKUP($I120,BG_Data[Product],BG_Data[Biogenic CO2 emissions '[kg CO2']],0)</f>
        <v>0</v>
      </c>
      <c r="H120" s="584">
        <f>$D120*_xlfn.XLOOKUP($I120,BG_Data[Product],BG_Data[Total env. impact (Ecological Scarcity 2021) '[UBP']],0)</f>
        <v>0</v>
      </c>
      <c r="I120" s="537" cm="1">
        <f t="array" ref="I120">IF(Calc_S2_Electricity2[[#This Row],[Source]]=0,0,
_xlfn.XLOOKUP('2 Data Inputs'!I447,
_xlfn.TOCOL(_xlfn.HSTACK(Lists_S2_Electricity[Category DE],Lists_S2_Electricity[Category FR],Lists_S2_Electricity[Category IT]),1),
_xlfn.TOCOL(_xlfn.HSTACK(Lists_S2_Electricity[BG Data],Lists_S2_Electricity[BG Data],Lists_S2_Electricity[BG Data]),1),
"") &amp; " Direct"
)</f>
        <v>0</v>
      </c>
      <c r="J120" s="537" t="s">
        <v>27212</v>
      </c>
      <c r="K120" s="248"/>
    </row>
    <row r="121" spans="2:18" x14ac:dyDescent="0.2">
      <c r="B121" s="249"/>
      <c r="C121" s="506">
        <f>'2 Data Inputs'!C448</f>
        <v>0</v>
      </c>
      <c r="D121" s="532">
        <f>'2 Data Inputs'!F448</f>
        <v>0</v>
      </c>
      <c r="E121" s="532">
        <f>_xlfn.XLOOKUP($I121,BG_Data[Product],BG_Data[GHG emissions (IPCC 2021) '[kg CO2 eq']],0)</f>
        <v>0</v>
      </c>
      <c r="F121" s="532">
        <f t="shared" si="6"/>
        <v>0</v>
      </c>
      <c r="G121" s="532">
        <f>$D121*_xlfn.XLOOKUP($I121,BG_Data[Product],BG_Data[Biogenic CO2 emissions '[kg CO2']],0)</f>
        <v>0</v>
      </c>
      <c r="H121" s="581">
        <f>$D121*_xlfn.XLOOKUP($I121,BG_Data[Product],BG_Data[Total env. impact (Ecological Scarcity 2021) '[UBP']],0)</f>
        <v>0</v>
      </c>
      <c r="I121" s="532" cm="1">
        <f t="array" ref="I121">IF(Calc_S2_Electricity2[[#This Row],[Source]]=0,0,
_xlfn.XLOOKUP('2 Data Inputs'!I448,
_xlfn.TOCOL(_xlfn.HSTACK(Lists_S2_Electricity[Category DE],Lists_S2_Electricity[Category FR],Lists_S2_Electricity[Category IT]),1),
_xlfn.TOCOL(_xlfn.HSTACK(Lists_S2_Electricity[BG Data],Lists_S2_Electricity[BG Data],Lists_S2_Electricity[BG Data]),1),
"") &amp; " Direct"
)</f>
        <v>0</v>
      </c>
      <c r="J121" s="532" t="s">
        <v>27212</v>
      </c>
      <c r="K121" s="248"/>
    </row>
    <row r="122" spans="2:18" ht="15" x14ac:dyDescent="0.25">
      <c r="B122" s="249"/>
      <c r="C122" s="507" t="s">
        <v>2616</v>
      </c>
      <c r="D122" s="508">
        <f>SUM(D112:D121)</f>
        <v>0</v>
      </c>
      <c r="E122" s="508"/>
      <c r="F122" s="508">
        <f>SUM(F112:F121)</f>
        <v>0</v>
      </c>
      <c r="G122" s="508">
        <f>SUM(G112:G121)</f>
        <v>0</v>
      </c>
      <c r="H122" s="580">
        <f>SUM(H112:H121)</f>
        <v>0</v>
      </c>
      <c r="I122" s="507"/>
      <c r="J122" s="507"/>
      <c r="K122" s="248"/>
    </row>
    <row r="123" spans="2:18" x14ac:dyDescent="0.2">
      <c r="B123" s="249"/>
      <c r="C123" s="545"/>
      <c r="D123" s="546"/>
      <c r="E123" s="546"/>
      <c r="F123" s="546"/>
      <c r="G123" s="546"/>
      <c r="H123" s="587"/>
      <c r="I123" s="545"/>
      <c r="J123" s="545"/>
      <c r="K123" s="248"/>
    </row>
    <row r="124" spans="2:18" ht="15" x14ac:dyDescent="0.25">
      <c r="B124" s="249"/>
      <c r="C124" s="531" t="str">
        <f>n3Calculation_7.2_S2_ElectricityLocation</f>
        <v>Électricité - Basé sur la localisation</v>
      </c>
      <c r="D124" s="546"/>
      <c r="E124" s="546"/>
      <c r="F124" s="546"/>
      <c r="G124" s="546"/>
      <c r="H124" s="587"/>
      <c r="I124" s="545"/>
      <c r="J124" s="545"/>
      <c r="K124" s="248"/>
      <c r="M124" s="181" t="s">
        <v>28295</v>
      </c>
      <c r="N124" s="181"/>
      <c r="O124" s="181"/>
      <c r="P124" s="181"/>
      <c r="Q124" s="181"/>
      <c r="R124" s="181"/>
    </row>
    <row r="125" spans="2:18" ht="15" x14ac:dyDescent="0.25">
      <c r="B125" s="249"/>
      <c r="C125" s="531"/>
      <c r="D125" s="546"/>
      <c r="E125" s="546"/>
      <c r="F125" s="546"/>
      <c r="G125" s="546"/>
      <c r="H125" s="587"/>
      <c r="I125" s="545"/>
      <c r="J125" s="545"/>
      <c r="K125" s="248"/>
    </row>
    <row r="126" spans="2:18" s="686" customFormat="1" ht="33" x14ac:dyDescent="0.25">
      <c r="B126" s="681"/>
      <c r="C126" s="682" t="s">
        <v>27888</v>
      </c>
      <c r="D126" s="683" t="s">
        <v>28537</v>
      </c>
      <c r="E126" s="683" t="s">
        <v>27208</v>
      </c>
      <c r="F126" s="683" t="s">
        <v>27588</v>
      </c>
      <c r="G126" s="683" t="s">
        <v>27589</v>
      </c>
      <c r="H126" s="683" t="s">
        <v>27214</v>
      </c>
      <c r="I126" s="682" t="s">
        <v>27210</v>
      </c>
      <c r="J126" s="682" t="s">
        <v>27211</v>
      </c>
      <c r="K126" s="685"/>
      <c r="M126" s="687"/>
      <c r="N126" s="687"/>
      <c r="O126" s="687"/>
      <c r="P126" s="687"/>
      <c r="Q126" s="687"/>
      <c r="R126" s="687"/>
    </row>
    <row r="127" spans="2:18" x14ac:dyDescent="0.2">
      <c r="B127" s="249"/>
      <c r="C127" s="500" t="s">
        <v>27877</v>
      </c>
      <c r="D127" s="535">
        <f>SUMIF('2 Data Inputs'!$J$437:$J$448,"Niederspannung",'2 Data Inputs'!$F$437:$F$448)</f>
        <v>0</v>
      </c>
      <c r="E127" s="535">
        <f>_xlfn.XLOOKUP($I127,BG_Data[Product],BG_Data[GHG emissions (IPCC 2021) '[kg CO2 eq']],0)</f>
        <v>5.625548261860136E-2</v>
      </c>
      <c r="F127" s="535">
        <f t="shared" ref="F127:F128" si="7">$D127*$E127</f>
        <v>0</v>
      </c>
      <c r="G127" s="535">
        <f>$D127*_xlfn.XLOOKUP($I127,BG_Data[Product],BG_Data[Biogenic CO2 emissions '[kg CO2']],0)</f>
        <v>0</v>
      </c>
      <c r="H127" s="583">
        <f>$D127*_xlfn.XLOOKUP($I127,BG_Data[Product],BG_Data[Total env. impact (Ecological Scarcity 2021) '[UBP']],0)</f>
        <v>0</v>
      </c>
      <c r="I127" s="535" t="s">
        <v>2804</v>
      </c>
      <c r="J127" s="500" t="s">
        <v>27213</v>
      </c>
      <c r="K127" s="248"/>
    </row>
    <row r="128" spans="2:18" x14ac:dyDescent="0.2">
      <c r="B128" s="249"/>
      <c r="C128" s="506" t="s">
        <v>27877</v>
      </c>
      <c r="D128" s="532">
        <f>SUMIF('2 Data Inputs'!$J$437:$J$448,"Mittelspannung",'2 Data Inputs'!$F$437:$F$448)</f>
        <v>0</v>
      </c>
      <c r="E128" s="532">
        <f>_xlfn.XLOOKUP($I128,BG_Data[Product],BG_Data[GHG emissions (IPCC 2021) '[kg CO2 eq']],0)</f>
        <v>5.625548261860136E-2</v>
      </c>
      <c r="F128" s="532">
        <f t="shared" si="7"/>
        <v>0</v>
      </c>
      <c r="G128" s="532">
        <f>$D128*_xlfn.XLOOKUP($I128,BG_Data[Product],BG_Data[Biogenic CO2 emissions '[kg CO2']],0)</f>
        <v>0</v>
      </c>
      <c r="H128" s="581">
        <f>$D128*_xlfn.XLOOKUP($I128,BG_Data[Product],BG_Data[Total env. impact (Ecological Scarcity 2021) '[UBP']],0)</f>
        <v>0</v>
      </c>
      <c r="I128" s="532" t="s">
        <v>2807</v>
      </c>
      <c r="J128" s="506" t="s">
        <v>27213</v>
      </c>
      <c r="K128" s="248"/>
    </row>
    <row r="129" spans="2:18" ht="15" x14ac:dyDescent="0.25">
      <c r="B129" s="249"/>
      <c r="C129" s="507" t="s">
        <v>2616</v>
      </c>
      <c r="D129" s="508">
        <f>SUM(D127:D128)</f>
        <v>0</v>
      </c>
      <c r="E129" s="508"/>
      <c r="F129" s="508">
        <f>SUM(F127:F128)</f>
        <v>0</v>
      </c>
      <c r="G129" s="508">
        <f>SUM(G127:G128)</f>
        <v>0</v>
      </c>
      <c r="H129" s="580">
        <f>SUM(H127:H128)</f>
        <v>0</v>
      </c>
      <c r="I129" s="507"/>
      <c r="J129" s="507"/>
      <c r="K129" s="248"/>
    </row>
    <row r="130" spans="2:18" x14ac:dyDescent="0.2">
      <c r="B130" s="254"/>
      <c r="C130" s="539"/>
      <c r="D130" s="540"/>
      <c r="E130" s="540"/>
      <c r="F130" s="540"/>
      <c r="G130" s="540"/>
      <c r="H130" s="588"/>
      <c r="I130" s="539"/>
      <c r="J130" s="539"/>
      <c r="K130" s="256"/>
    </row>
    <row r="131" spans="2:18" x14ac:dyDescent="0.2">
      <c r="B131" s="252"/>
      <c r="C131" s="543"/>
      <c r="D131" s="544"/>
      <c r="E131" s="544"/>
      <c r="F131" s="544"/>
      <c r="G131" s="544"/>
      <c r="H131" s="586"/>
      <c r="I131" s="543"/>
      <c r="J131" s="543"/>
      <c r="K131" s="252"/>
    </row>
    <row r="132" spans="2:18" x14ac:dyDescent="0.2">
      <c r="B132" s="246"/>
      <c r="C132" s="527"/>
      <c r="D132" s="528"/>
      <c r="E132" s="528"/>
      <c r="F132" s="528"/>
      <c r="G132" s="547"/>
      <c r="H132" s="589"/>
      <c r="I132" s="548"/>
      <c r="J132" s="548"/>
      <c r="K132" s="247" t="str">
        <f>Calc_Hyperlink_S2</f>
        <v>Scope 2</v>
      </c>
    </row>
    <row r="133" spans="2:18" ht="15" x14ac:dyDescent="0.25">
      <c r="B133" s="249"/>
      <c r="C133" s="531" t="str">
        <f>n3Calculation_8S2_District</f>
        <v>Chauffage et vapeur du district</v>
      </c>
      <c r="D133" s="510"/>
      <c r="E133" s="510"/>
      <c r="F133" s="510"/>
      <c r="G133" s="510"/>
      <c r="H133" s="571"/>
      <c r="I133" s="511"/>
      <c r="J133" s="511"/>
      <c r="K133" s="248"/>
      <c r="M133" s="181" t="s">
        <v>28294</v>
      </c>
      <c r="N133" s="181"/>
      <c r="O133" s="181"/>
      <c r="P133" s="181"/>
      <c r="Q133" s="181"/>
      <c r="R133" s="181"/>
    </row>
    <row r="134" spans="2:18" x14ac:dyDescent="0.2">
      <c r="B134" s="249"/>
      <c r="C134" s="740"/>
      <c r="D134" s="740"/>
      <c r="E134" s="740"/>
      <c r="F134" s="740"/>
      <c r="G134" s="510"/>
      <c r="H134" s="571"/>
      <c r="I134" s="511"/>
      <c r="J134" s="511"/>
      <c r="K134" s="248"/>
    </row>
    <row r="135" spans="2:18" s="686" customFormat="1" ht="33" x14ac:dyDescent="0.25">
      <c r="B135" s="681"/>
      <c r="C135" s="682" t="s">
        <v>28599</v>
      </c>
      <c r="D135" s="683" t="s">
        <v>28534</v>
      </c>
      <c r="E135" s="683" t="s">
        <v>27208</v>
      </c>
      <c r="F135" s="683" t="s">
        <v>27588</v>
      </c>
      <c r="G135" s="683" t="s">
        <v>27589</v>
      </c>
      <c r="H135" s="683" t="s">
        <v>27209</v>
      </c>
      <c r="I135" s="682" t="s">
        <v>27210</v>
      </c>
      <c r="J135" s="682" t="s">
        <v>27211</v>
      </c>
      <c r="K135" s="685"/>
      <c r="M135" s="687"/>
      <c r="N135" s="687"/>
      <c r="O135" s="687"/>
      <c r="P135" s="687"/>
      <c r="Q135" s="687"/>
      <c r="R135" s="687"/>
    </row>
    <row r="136" spans="2:18" x14ac:dyDescent="0.2">
      <c r="B136" s="249"/>
      <c r="C136" s="500">
        <f>'2 Data Inputs'!C86</f>
        <v>0</v>
      </c>
      <c r="D136" s="535">
        <f>'2 Data Inputs'!F86</f>
        <v>0</v>
      </c>
      <c r="E136" s="535">
        <f>_xlfn.XLOOKUP($I136,BG_Data[Product],BG_Data[GHG emissions (IPCC 2021) '[kg CO2 eq']],0)</f>
        <v>0</v>
      </c>
      <c r="F136" s="535">
        <f t="shared" ref="F136:F145" si="8">$D136*$E136</f>
        <v>0</v>
      </c>
      <c r="G136" s="535">
        <f>$D136*_xlfn.XLOOKUP($I136,BG_Data[Product],BG_Data[Biogenic CO2 emissions '[kg CO2']],0)</f>
        <v>0</v>
      </c>
      <c r="H136" s="583">
        <f>$D136*_xlfn.XLOOKUP($I136,BG_Data[Product],BG_Data[Total env. impact (Ecological Scarcity 2021) '[UBP']],0)</f>
        <v>0</v>
      </c>
      <c r="I136" s="500" cm="1">
        <f t="array" ref="I136">_xlfn.XLOOKUP(
     C136,
     _xlfn.TOCOL(_xlfn.HSTACK(Lists_S2_DistrictHeat[DE Name],Lists_S2_DistrictHeat[FR Name],Lists_S2_DistrictHeat[IT Name]),1),
     _xlfn.TOCOL(_xlfn.HSTACK(Lists_S2_DistrictHeat[BG Data],Lists_S2_DistrictHeat[BG Data],Lists_S2_DistrictHeat[BG Data]),1) &amp; " Direct",
     0)</f>
        <v>0</v>
      </c>
      <c r="J136" s="500" t="s">
        <v>27212</v>
      </c>
      <c r="K136" s="248"/>
    </row>
    <row r="137" spans="2:18" x14ac:dyDescent="0.2">
      <c r="B137" s="249"/>
      <c r="C137" s="503">
        <f>'2 Data Inputs'!C87</f>
        <v>0</v>
      </c>
      <c r="D137" s="537">
        <f>'2 Data Inputs'!F87</f>
        <v>0</v>
      </c>
      <c r="E137" s="537">
        <f>_xlfn.XLOOKUP($I137,BG_Data[Product],BG_Data[GHG emissions (IPCC 2021) '[kg CO2 eq']],0)</f>
        <v>0</v>
      </c>
      <c r="F137" s="537">
        <f t="shared" si="8"/>
        <v>0</v>
      </c>
      <c r="G137" s="537">
        <f>$D137*_xlfn.XLOOKUP($I137,BG_Data[Product],BG_Data[Biogenic CO2 emissions '[kg CO2']],0)</f>
        <v>0</v>
      </c>
      <c r="H137" s="584">
        <f>$D137*_xlfn.XLOOKUP($I137,BG_Data[Product],BG_Data[Total env. impact (Ecological Scarcity 2021) '[UBP']],0)</f>
        <v>0</v>
      </c>
      <c r="I137" s="503" cm="1">
        <f t="array" ref="I137">_xlfn.XLOOKUP(
     C137,
     _xlfn.TOCOL(_xlfn.HSTACK(Lists_S2_DistrictHeat[DE Name],Lists_S2_DistrictHeat[FR Name],Lists_S2_DistrictHeat[IT Name]),1),
     _xlfn.TOCOL(_xlfn.HSTACK(Lists_S2_DistrictHeat[BG Data],Lists_S2_DistrictHeat[BG Data],Lists_S2_DistrictHeat[BG Data]),1) &amp; " Direct",
     0)</f>
        <v>0</v>
      </c>
      <c r="J137" s="503" t="s">
        <v>27212</v>
      </c>
      <c r="K137" s="248"/>
    </row>
    <row r="138" spans="2:18" x14ac:dyDescent="0.2">
      <c r="B138" s="249"/>
      <c r="C138" s="503">
        <f>'2 Data Inputs'!C88</f>
        <v>0</v>
      </c>
      <c r="D138" s="537">
        <f>'2 Data Inputs'!F88</f>
        <v>0</v>
      </c>
      <c r="E138" s="537">
        <f>_xlfn.XLOOKUP($I138,BG_Data[Product],BG_Data[GHG emissions (IPCC 2021) '[kg CO2 eq']],0)</f>
        <v>0</v>
      </c>
      <c r="F138" s="537">
        <f t="shared" si="8"/>
        <v>0</v>
      </c>
      <c r="G138" s="537">
        <f>$D138*_xlfn.XLOOKUP($I138,BG_Data[Product],BG_Data[Biogenic CO2 emissions '[kg CO2']],0)</f>
        <v>0</v>
      </c>
      <c r="H138" s="584">
        <f>$D138*_xlfn.XLOOKUP($I138,BG_Data[Product],BG_Data[Total env. impact (Ecological Scarcity 2021) '[UBP']],0)</f>
        <v>0</v>
      </c>
      <c r="I138" s="503" cm="1">
        <f t="array" ref="I138">_xlfn.XLOOKUP(
     C138,
     _xlfn.TOCOL(_xlfn.HSTACK(Lists_S2_DistrictHeat[DE Name],Lists_S2_DistrictHeat[FR Name],Lists_S2_DistrictHeat[IT Name]),1),
     _xlfn.TOCOL(_xlfn.HSTACK(Lists_S2_DistrictHeat[BG Data],Lists_S2_DistrictHeat[BG Data],Lists_S2_DistrictHeat[BG Data]),1) &amp; " Direct",
     0)</f>
        <v>0</v>
      </c>
      <c r="J138" s="503" t="s">
        <v>27212</v>
      </c>
      <c r="K138" s="248"/>
    </row>
    <row r="139" spans="2:18" x14ac:dyDescent="0.2">
      <c r="B139" s="249"/>
      <c r="C139" s="503">
        <f>'2 Data Inputs'!C89</f>
        <v>0</v>
      </c>
      <c r="D139" s="537">
        <f>'2 Data Inputs'!F89</f>
        <v>0</v>
      </c>
      <c r="E139" s="537">
        <f>_xlfn.XLOOKUP($I139,BG_Data[Product],BG_Data[GHG emissions (IPCC 2021) '[kg CO2 eq']],0)</f>
        <v>0</v>
      </c>
      <c r="F139" s="537">
        <f t="shared" si="8"/>
        <v>0</v>
      </c>
      <c r="G139" s="537">
        <f>$D139*_xlfn.XLOOKUP($I139,BG_Data[Product],BG_Data[Biogenic CO2 emissions '[kg CO2']],0)</f>
        <v>0</v>
      </c>
      <c r="H139" s="584">
        <f>$D139*_xlfn.XLOOKUP($I139,BG_Data[Product],BG_Data[Total env. impact (Ecological Scarcity 2021) '[UBP']],0)</f>
        <v>0</v>
      </c>
      <c r="I139" s="503" cm="1">
        <f t="array" ref="I139">_xlfn.XLOOKUP(
     C139,
     _xlfn.TOCOL(_xlfn.HSTACK(Lists_S2_DistrictHeat[DE Name],Lists_S2_DistrictHeat[FR Name],Lists_S2_DistrictHeat[IT Name]),1),
     _xlfn.TOCOL(_xlfn.HSTACK(Lists_S2_DistrictHeat[BG Data],Lists_S2_DistrictHeat[BG Data],Lists_S2_DistrictHeat[BG Data]),1) &amp; " Direct",
     0)</f>
        <v>0</v>
      </c>
      <c r="J139" s="503" t="s">
        <v>27212</v>
      </c>
      <c r="K139" s="248"/>
    </row>
    <row r="140" spans="2:18" x14ac:dyDescent="0.2">
      <c r="B140" s="249"/>
      <c r="C140" s="503">
        <f>'2 Data Inputs'!C90</f>
        <v>0</v>
      </c>
      <c r="D140" s="537">
        <f>'2 Data Inputs'!F90</f>
        <v>0</v>
      </c>
      <c r="E140" s="537">
        <f>_xlfn.XLOOKUP($I140,BG_Data[Product],BG_Data[GHG emissions (IPCC 2021) '[kg CO2 eq']],0)</f>
        <v>0</v>
      </c>
      <c r="F140" s="537">
        <f t="shared" si="8"/>
        <v>0</v>
      </c>
      <c r="G140" s="537">
        <f>$D140*_xlfn.XLOOKUP($I140,BG_Data[Product],BG_Data[Biogenic CO2 emissions '[kg CO2']],0)</f>
        <v>0</v>
      </c>
      <c r="H140" s="584">
        <f>$D140*_xlfn.XLOOKUP($I140,BG_Data[Product],BG_Data[Total env. impact (Ecological Scarcity 2021) '[UBP']],0)</f>
        <v>0</v>
      </c>
      <c r="I140" s="503" cm="1">
        <f t="array" ref="I140">_xlfn.XLOOKUP(
     C140,
     _xlfn.TOCOL(_xlfn.HSTACK(Lists_S2_DistrictHeat[DE Name],Lists_S2_DistrictHeat[FR Name],Lists_S2_DistrictHeat[IT Name]),1),
     _xlfn.TOCOL(_xlfn.HSTACK(Lists_S2_DistrictHeat[BG Data],Lists_S2_DistrictHeat[BG Data],Lists_S2_DistrictHeat[BG Data]),1) &amp; " Direct",
     0)</f>
        <v>0</v>
      </c>
      <c r="J140" s="503" t="s">
        <v>27212</v>
      </c>
      <c r="K140" s="248"/>
    </row>
    <row r="141" spans="2:18" x14ac:dyDescent="0.2">
      <c r="B141" s="249"/>
      <c r="C141" s="503">
        <f>'2 Data Inputs'!C91</f>
        <v>0</v>
      </c>
      <c r="D141" s="537">
        <f>'2 Data Inputs'!F91</f>
        <v>0</v>
      </c>
      <c r="E141" s="537">
        <f>_xlfn.XLOOKUP($I141,BG_Data[Product],BG_Data[GHG emissions (IPCC 2021) '[kg CO2 eq']],0)</f>
        <v>0</v>
      </c>
      <c r="F141" s="537">
        <f t="shared" si="8"/>
        <v>0</v>
      </c>
      <c r="G141" s="537">
        <f>$D141*_xlfn.XLOOKUP($I141,BG_Data[Product],BG_Data[Biogenic CO2 emissions '[kg CO2']],0)</f>
        <v>0</v>
      </c>
      <c r="H141" s="584">
        <f>$D141*_xlfn.XLOOKUP($I141,BG_Data[Product],BG_Data[Total env. impact (Ecological Scarcity 2021) '[UBP']],0)</f>
        <v>0</v>
      </c>
      <c r="I141" s="503" cm="1">
        <f t="array" ref="I141">_xlfn.XLOOKUP(
     C141,
     _xlfn.TOCOL(_xlfn.HSTACK(Lists_S2_DistrictHeat[DE Name],Lists_S2_DistrictHeat[FR Name],Lists_S2_DistrictHeat[IT Name]),1),
     _xlfn.TOCOL(_xlfn.HSTACK(Lists_S2_DistrictHeat[BG Data],Lists_S2_DistrictHeat[BG Data],Lists_S2_DistrictHeat[BG Data]),1) &amp; " Direct",
     0)</f>
        <v>0</v>
      </c>
      <c r="J141" s="503" t="s">
        <v>27212</v>
      </c>
      <c r="K141" s="248"/>
    </row>
    <row r="142" spans="2:18" x14ac:dyDescent="0.2">
      <c r="B142" s="249"/>
      <c r="C142" s="503">
        <f>'2 Data Inputs'!C92</f>
        <v>0</v>
      </c>
      <c r="D142" s="537">
        <f>'2 Data Inputs'!F92</f>
        <v>0</v>
      </c>
      <c r="E142" s="537">
        <f>_xlfn.XLOOKUP($I142,BG_Data[Product],BG_Data[GHG emissions (IPCC 2021) '[kg CO2 eq']],0)</f>
        <v>0</v>
      </c>
      <c r="F142" s="537">
        <f t="shared" si="8"/>
        <v>0</v>
      </c>
      <c r="G142" s="537">
        <f>$D142*_xlfn.XLOOKUP($I142,BG_Data[Product],BG_Data[Biogenic CO2 emissions '[kg CO2']],0)</f>
        <v>0</v>
      </c>
      <c r="H142" s="584">
        <f>$D142*_xlfn.XLOOKUP($I142,BG_Data[Product],BG_Data[Total env. impact (Ecological Scarcity 2021) '[UBP']],0)</f>
        <v>0</v>
      </c>
      <c r="I142" s="503" cm="1">
        <f t="array" ref="I142">_xlfn.XLOOKUP(
     C142,
     _xlfn.TOCOL(_xlfn.HSTACK(Lists_S2_DistrictHeat[DE Name],Lists_S2_DistrictHeat[FR Name],Lists_S2_DistrictHeat[IT Name]),1),
     _xlfn.TOCOL(_xlfn.HSTACK(Lists_S2_DistrictHeat[BG Data],Lists_S2_DistrictHeat[BG Data],Lists_S2_DistrictHeat[BG Data]),1) &amp; " Direct",
     0)</f>
        <v>0</v>
      </c>
      <c r="J142" s="503" t="s">
        <v>27212</v>
      </c>
      <c r="K142" s="248"/>
    </row>
    <row r="143" spans="2:18" x14ac:dyDescent="0.2">
      <c r="B143" s="249"/>
      <c r="C143" s="503">
        <f>'2 Data Inputs'!C93</f>
        <v>0</v>
      </c>
      <c r="D143" s="537">
        <f>'2 Data Inputs'!F93</f>
        <v>0</v>
      </c>
      <c r="E143" s="537">
        <f>_xlfn.XLOOKUP($I143,BG_Data[Product],BG_Data[GHG emissions (IPCC 2021) '[kg CO2 eq']],0)</f>
        <v>0</v>
      </c>
      <c r="F143" s="537">
        <f t="shared" si="8"/>
        <v>0</v>
      </c>
      <c r="G143" s="537">
        <f>$D143*_xlfn.XLOOKUP($I143,BG_Data[Product],BG_Data[Biogenic CO2 emissions '[kg CO2']],0)</f>
        <v>0</v>
      </c>
      <c r="H143" s="584">
        <f>$D143*_xlfn.XLOOKUP($I143,BG_Data[Product],BG_Data[Total env. impact (Ecological Scarcity 2021) '[UBP']],0)</f>
        <v>0</v>
      </c>
      <c r="I143" s="503" cm="1">
        <f t="array" ref="I143">_xlfn.XLOOKUP(
     C143,
     _xlfn.TOCOL(_xlfn.HSTACK(Lists_S2_DistrictHeat[DE Name],Lists_S2_DistrictHeat[FR Name],Lists_S2_DistrictHeat[IT Name]),1),
     _xlfn.TOCOL(_xlfn.HSTACK(Lists_S2_DistrictHeat[BG Data],Lists_S2_DistrictHeat[BG Data],Lists_S2_DistrictHeat[BG Data]),1) &amp; " Direct",
     0)</f>
        <v>0</v>
      </c>
      <c r="J143" s="503" t="s">
        <v>27212</v>
      </c>
      <c r="K143" s="248"/>
    </row>
    <row r="144" spans="2:18" x14ac:dyDescent="0.2">
      <c r="B144" s="249"/>
      <c r="C144" s="503">
        <f>'2 Data Inputs'!C94</f>
        <v>0</v>
      </c>
      <c r="D144" s="537">
        <f>'2 Data Inputs'!F94</f>
        <v>0</v>
      </c>
      <c r="E144" s="537">
        <f>_xlfn.XLOOKUP($I144,BG_Data[Product],BG_Data[GHG emissions (IPCC 2021) '[kg CO2 eq']],0)</f>
        <v>0</v>
      </c>
      <c r="F144" s="537">
        <f t="shared" si="8"/>
        <v>0</v>
      </c>
      <c r="G144" s="537">
        <f>$D144*_xlfn.XLOOKUP($I144,BG_Data[Product],BG_Data[Biogenic CO2 emissions '[kg CO2']],0)</f>
        <v>0</v>
      </c>
      <c r="H144" s="584">
        <f>$D144*_xlfn.XLOOKUP($I144,BG_Data[Product],BG_Data[Total env. impact (Ecological Scarcity 2021) '[UBP']],0)</f>
        <v>0</v>
      </c>
      <c r="I144" s="503" cm="1">
        <f t="array" ref="I144">_xlfn.XLOOKUP(
     C144,
     _xlfn.TOCOL(_xlfn.HSTACK(Lists_S2_DistrictHeat[DE Name],Lists_S2_DistrictHeat[FR Name],Lists_S2_DistrictHeat[IT Name]),1),
     _xlfn.TOCOL(_xlfn.HSTACK(Lists_S2_DistrictHeat[BG Data],Lists_S2_DistrictHeat[BG Data],Lists_S2_DistrictHeat[BG Data]),1) &amp; " Direct",
     0)</f>
        <v>0</v>
      </c>
      <c r="J144" s="503" t="s">
        <v>27212</v>
      </c>
      <c r="K144" s="248"/>
    </row>
    <row r="145" spans="1:18" x14ac:dyDescent="0.2">
      <c r="B145" s="249"/>
      <c r="C145" s="506">
        <f>'2 Data Inputs'!C95</f>
        <v>0</v>
      </c>
      <c r="D145" s="532">
        <f>'2 Data Inputs'!F95</f>
        <v>0</v>
      </c>
      <c r="E145" s="532">
        <f>_xlfn.XLOOKUP($I145,BG_Data[Product],BG_Data[GHG emissions (IPCC 2021) '[kg CO2 eq']],0)</f>
        <v>0</v>
      </c>
      <c r="F145" s="532">
        <f t="shared" si="8"/>
        <v>0</v>
      </c>
      <c r="G145" s="532">
        <f>$D145*_xlfn.XLOOKUP($I145,BG_Data[Product],BG_Data[Biogenic CO2 emissions '[kg CO2']],0)</f>
        <v>0</v>
      </c>
      <c r="H145" s="581">
        <f>$D145*_xlfn.XLOOKUP($I145,BG_Data[Product],BG_Data[Total env. impact (Ecological Scarcity 2021) '[UBP']],0)</f>
        <v>0</v>
      </c>
      <c r="I145" s="506" cm="1">
        <f t="array" ref="I145">_xlfn.XLOOKUP(
     C145,
     _xlfn.TOCOL(_xlfn.HSTACK(Lists_S2_DistrictHeat[DE Name],Lists_S2_DistrictHeat[FR Name],Lists_S2_DistrictHeat[IT Name]),1),
     _xlfn.TOCOL(_xlfn.HSTACK(Lists_S2_DistrictHeat[BG Data],Lists_S2_DistrictHeat[BG Data],Lists_S2_DistrictHeat[BG Data]),1) &amp; " Direct",
     0)</f>
        <v>0</v>
      </c>
      <c r="J145" s="506" t="s">
        <v>27212</v>
      </c>
      <c r="K145" s="248"/>
    </row>
    <row r="146" spans="1:18" ht="15" x14ac:dyDescent="0.25">
      <c r="B146" s="249"/>
      <c r="C146" s="507" t="s">
        <v>2616</v>
      </c>
      <c r="D146" s="508">
        <f>SUM(D136:D145)</f>
        <v>0</v>
      </c>
      <c r="E146" s="508"/>
      <c r="F146" s="508">
        <f>SUM(F136:F145)</f>
        <v>0</v>
      </c>
      <c r="G146" s="508">
        <f>SUM(G136:G145)</f>
        <v>0</v>
      </c>
      <c r="H146" s="580">
        <f>SUM(H136:H145)</f>
        <v>0</v>
      </c>
      <c r="I146" s="507"/>
      <c r="J146" s="507"/>
      <c r="K146" s="248"/>
    </row>
    <row r="147" spans="1:18" x14ac:dyDescent="0.2">
      <c r="B147" s="254"/>
      <c r="C147" s="539"/>
      <c r="D147" s="540"/>
      <c r="E147" s="540"/>
      <c r="F147" s="540"/>
      <c r="G147" s="540"/>
      <c r="H147" s="588"/>
      <c r="I147" s="539"/>
      <c r="J147" s="539"/>
      <c r="K147" s="256"/>
    </row>
    <row r="148" spans="1:18" x14ac:dyDescent="0.2">
      <c r="B148" s="250"/>
      <c r="C148" s="506"/>
      <c r="D148" s="532"/>
      <c r="E148" s="532"/>
      <c r="F148" s="532"/>
      <c r="G148" s="532"/>
      <c r="H148" s="581"/>
      <c r="I148" s="506"/>
      <c r="J148" s="506"/>
      <c r="K148" s="250"/>
    </row>
    <row r="149" spans="1:18" x14ac:dyDescent="0.2">
      <c r="B149" s="246"/>
      <c r="C149" s="527"/>
      <c r="D149" s="528"/>
      <c r="E149" s="528"/>
      <c r="F149" s="528"/>
      <c r="G149" s="547"/>
      <c r="H149" s="589"/>
      <c r="I149" s="548"/>
      <c r="J149" s="548"/>
      <c r="K149" s="247" t="str">
        <f>Calc_Hyperlink_S2</f>
        <v>Scope 2</v>
      </c>
    </row>
    <row r="150" spans="1:18" ht="15" x14ac:dyDescent="0.25">
      <c r="A150" s="257"/>
      <c r="B150" s="249"/>
      <c r="C150" s="531" t="str">
        <f>n3Calculation_9.1_S2_FleetMarket</f>
        <v>Flotte électrique - Basé sur le marché</v>
      </c>
      <c r="D150" s="510"/>
      <c r="E150" s="510"/>
      <c r="F150" s="510"/>
      <c r="G150" s="510"/>
      <c r="H150" s="571"/>
      <c r="I150" s="511"/>
      <c r="J150" s="511"/>
      <c r="K150" s="248"/>
      <c r="M150" s="181" t="s">
        <v>28297</v>
      </c>
      <c r="N150" s="181"/>
      <c r="O150" s="181"/>
      <c r="P150" s="181"/>
      <c r="Q150" s="181"/>
      <c r="R150" s="181"/>
    </row>
    <row r="151" spans="1:18" ht="15" customHeight="1" x14ac:dyDescent="0.2">
      <c r="A151" s="257"/>
      <c r="B151" s="249"/>
      <c r="C151" s="740"/>
      <c r="D151" s="740"/>
      <c r="E151" s="740"/>
      <c r="F151" s="740"/>
      <c r="G151" s="510"/>
      <c r="H151" s="571"/>
      <c r="I151" s="511"/>
      <c r="J151" s="511"/>
      <c r="K151" s="248"/>
    </row>
    <row r="152" spans="1:18" s="686" customFormat="1" ht="33" x14ac:dyDescent="0.25">
      <c r="A152" s="693"/>
      <c r="B152" s="681"/>
      <c r="C152" s="682" t="s">
        <v>28598</v>
      </c>
      <c r="D152" s="683" t="s">
        <v>28537</v>
      </c>
      <c r="E152" s="683" t="s">
        <v>27208</v>
      </c>
      <c r="F152" s="683" t="s">
        <v>27588</v>
      </c>
      <c r="G152" s="683" t="s">
        <v>27589</v>
      </c>
      <c r="H152" s="683" t="s">
        <v>27209</v>
      </c>
      <c r="I152" s="682" t="s">
        <v>27210</v>
      </c>
      <c r="J152" s="682" t="s">
        <v>27211</v>
      </c>
      <c r="K152" s="685"/>
      <c r="M152" s="687"/>
      <c r="N152" s="687"/>
      <c r="O152" s="687"/>
      <c r="P152" s="687"/>
      <c r="Q152" s="687"/>
      <c r="R152" s="687"/>
    </row>
    <row r="153" spans="1:18" x14ac:dyDescent="0.2">
      <c r="A153" s="257"/>
      <c r="B153" s="249"/>
      <c r="C153" s="500" t="s">
        <v>28550</v>
      </c>
      <c r="D153" s="535">
        <f>'2 Data Inputs'!F323</f>
        <v>0</v>
      </c>
      <c r="E153" s="535">
        <f>_xlfn.XLOOKUP($I153,BG_Data[Product],BG_Data[GHG emissions (IPCC 2021) '[kg CO2 eq']],0)</f>
        <v>5.625548261860136E-2</v>
      </c>
      <c r="F153" s="535">
        <f t="shared" ref="F153:F163" si="9">$D153*$E153</f>
        <v>0</v>
      </c>
      <c r="G153" s="535">
        <f>$D153*_xlfn.XLOOKUP($I153,BG_Data[Product],BG_Data[Biogenic CO2 emissions '[kg CO2']],0)</f>
        <v>0</v>
      </c>
      <c r="H153" s="583">
        <f>$D153*_xlfn.XLOOKUP($I153,BG_Data[Product],BG_Data[Total env. impact (Ecological Scarcity 2021) '[UBP']],0)</f>
        <v>0</v>
      </c>
      <c r="I153" s="500" t="s">
        <v>2804</v>
      </c>
      <c r="J153" s="500" t="s">
        <v>27213</v>
      </c>
      <c r="K153" s="248"/>
    </row>
    <row r="154" spans="1:18" ht="15" customHeight="1" x14ac:dyDescent="0.2">
      <c r="A154" s="257"/>
      <c r="B154" s="249"/>
      <c r="C154" s="500">
        <f>IF('2 Data Inputs'!G328="kWh",'2 Data Inputs'!C328,0)</f>
        <v>0</v>
      </c>
      <c r="D154" s="535">
        <f>IF('2 Data Inputs'!G328="kWh",'2 Data Inputs'!F328,0)</f>
        <v>0</v>
      </c>
      <c r="E154" s="535">
        <f>_xlfn.XLOOKUP($I154,BG_Data[Product],BG_Data[GHG emissions (IPCC 2021) '[kg CO2 eq']],0)</f>
        <v>5.625548261860136E-2</v>
      </c>
      <c r="F154" s="535">
        <f t="shared" si="9"/>
        <v>0</v>
      </c>
      <c r="G154" s="535">
        <f>$D154*_xlfn.XLOOKUP($I154,BG_Data[Product],BG_Data[Biogenic CO2 emissions '[kg CO2']],0)</f>
        <v>0</v>
      </c>
      <c r="H154" s="583">
        <f>$D154*_xlfn.XLOOKUP($I154,BG_Data[Product],BG_Data[Total env. impact (Ecological Scarcity 2021) '[UBP']],0)</f>
        <v>0</v>
      </c>
      <c r="I154" s="500" t="s">
        <v>2804</v>
      </c>
      <c r="J154" s="500" t="s">
        <v>27213</v>
      </c>
      <c r="K154" s="248"/>
    </row>
    <row r="155" spans="1:18" x14ac:dyDescent="0.2">
      <c r="A155" s="257"/>
      <c r="B155" s="249"/>
      <c r="C155" s="503">
        <f>IF('2 Data Inputs'!G329="kWh",'2 Data Inputs'!C329,0)</f>
        <v>0</v>
      </c>
      <c r="D155" s="537">
        <f>IF('2 Data Inputs'!G329="kWh",'2 Data Inputs'!F329,0)</f>
        <v>0</v>
      </c>
      <c r="E155" s="537">
        <f>_xlfn.XLOOKUP($I155,BG_Data[Product],BG_Data[GHG emissions (IPCC 2021) '[kg CO2 eq']],0)</f>
        <v>5.625548261860136E-2</v>
      </c>
      <c r="F155" s="537">
        <f t="shared" si="9"/>
        <v>0</v>
      </c>
      <c r="G155" s="537">
        <f>$D155*_xlfn.XLOOKUP($I155,BG_Data[Product],BG_Data[Biogenic CO2 emissions '[kg CO2']],0)</f>
        <v>0</v>
      </c>
      <c r="H155" s="584">
        <f>$D155*_xlfn.XLOOKUP($I155,BG_Data[Product],BG_Data[Total env. impact (Ecological Scarcity 2021) '[UBP']],0)</f>
        <v>0</v>
      </c>
      <c r="I155" s="503" t="s">
        <v>2804</v>
      </c>
      <c r="J155" s="503" t="s">
        <v>27213</v>
      </c>
      <c r="K155" s="248"/>
    </row>
    <row r="156" spans="1:18" x14ac:dyDescent="0.2">
      <c r="A156" s="257"/>
      <c r="B156" s="249"/>
      <c r="C156" s="503">
        <f>IF('2 Data Inputs'!G330="kWh",'2 Data Inputs'!C330,0)</f>
        <v>0</v>
      </c>
      <c r="D156" s="537">
        <f>IF('2 Data Inputs'!G330="kWh",'2 Data Inputs'!F330,0)</f>
        <v>0</v>
      </c>
      <c r="E156" s="537">
        <f>_xlfn.XLOOKUP($I156,BG_Data[Product],BG_Data[GHG emissions (IPCC 2021) '[kg CO2 eq']],0)</f>
        <v>5.625548261860136E-2</v>
      </c>
      <c r="F156" s="537">
        <f t="shared" si="9"/>
        <v>0</v>
      </c>
      <c r="G156" s="537">
        <f>$D156*_xlfn.XLOOKUP($I156,BG_Data[Product],BG_Data[Biogenic CO2 emissions '[kg CO2']],0)</f>
        <v>0</v>
      </c>
      <c r="H156" s="584">
        <f>$D156*_xlfn.XLOOKUP($I156,BG_Data[Product],BG_Data[Total env. impact (Ecological Scarcity 2021) '[UBP']],0)</f>
        <v>0</v>
      </c>
      <c r="I156" s="503" t="s">
        <v>2804</v>
      </c>
      <c r="J156" s="503" t="s">
        <v>27213</v>
      </c>
      <c r="K156" s="248"/>
    </row>
    <row r="157" spans="1:18" x14ac:dyDescent="0.2">
      <c r="A157" s="257"/>
      <c r="B157" s="249"/>
      <c r="C157" s="503">
        <f>IF('2 Data Inputs'!G331="kWh",'2 Data Inputs'!C331,0)</f>
        <v>0</v>
      </c>
      <c r="D157" s="537">
        <f>IF('2 Data Inputs'!G331="kWh",'2 Data Inputs'!F331,0)</f>
        <v>0</v>
      </c>
      <c r="E157" s="537">
        <f>_xlfn.XLOOKUP($I157,BG_Data[Product],BG_Data[GHG emissions (IPCC 2021) '[kg CO2 eq']],0)</f>
        <v>5.625548261860136E-2</v>
      </c>
      <c r="F157" s="537">
        <f t="shared" si="9"/>
        <v>0</v>
      </c>
      <c r="G157" s="537">
        <f>$D157*_xlfn.XLOOKUP($I157,BG_Data[Product],BG_Data[Biogenic CO2 emissions '[kg CO2']],0)</f>
        <v>0</v>
      </c>
      <c r="H157" s="584">
        <f>$D157*_xlfn.XLOOKUP($I157,BG_Data[Product],BG_Data[Total env. impact (Ecological Scarcity 2021) '[UBP']],0)</f>
        <v>0</v>
      </c>
      <c r="I157" s="503" t="s">
        <v>2804</v>
      </c>
      <c r="J157" s="503" t="s">
        <v>27213</v>
      </c>
      <c r="K157" s="248"/>
    </row>
    <row r="158" spans="1:18" x14ac:dyDescent="0.2">
      <c r="A158" s="257"/>
      <c r="B158" s="249"/>
      <c r="C158" s="503">
        <f>IF('2 Data Inputs'!G332="kWh",'2 Data Inputs'!C332,0)</f>
        <v>0</v>
      </c>
      <c r="D158" s="537">
        <f>IF('2 Data Inputs'!G332="kWh",'2 Data Inputs'!F332,0)</f>
        <v>0</v>
      </c>
      <c r="E158" s="537">
        <f>_xlfn.XLOOKUP($I158,BG_Data[Product],BG_Data[GHG emissions (IPCC 2021) '[kg CO2 eq']],0)</f>
        <v>5.625548261860136E-2</v>
      </c>
      <c r="F158" s="537">
        <f t="shared" si="9"/>
        <v>0</v>
      </c>
      <c r="G158" s="537">
        <f>$D158*_xlfn.XLOOKUP($I158,BG_Data[Product],BG_Data[Biogenic CO2 emissions '[kg CO2']],0)</f>
        <v>0</v>
      </c>
      <c r="H158" s="584">
        <f>$D158*_xlfn.XLOOKUP($I158,BG_Data[Product],BG_Data[Total env. impact (Ecological Scarcity 2021) '[UBP']],0)</f>
        <v>0</v>
      </c>
      <c r="I158" s="503" t="s">
        <v>2804</v>
      </c>
      <c r="J158" s="503" t="s">
        <v>27213</v>
      </c>
      <c r="K158" s="248"/>
    </row>
    <row r="159" spans="1:18" x14ac:dyDescent="0.2">
      <c r="A159" s="257"/>
      <c r="B159" s="249"/>
      <c r="C159" s="503">
        <f>IF('2 Data Inputs'!G333="kWh",'2 Data Inputs'!C333,0)</f>
        <v>0</v>
      </c>
      <c r="D159" s="537">
        <f>IF('2 Data Inputs'!G333="kWh",'2 Data Inputs'!F333,0)</f>
        <v>0</v>
      </c>
      <c r="E159" s="537">
        <f>_xlfn.XLOOKUP($I159,BG_Data[Product],BG_Data[GHG emissions (IPCC 2021) '[kg CO2 eq']],0)</f>
        <v>5.625548261860136E-2</v>
      </c>
      <c r="F159" s="537">
        <f t="shared" si="9"/>
        <v>0</v>
      </c>
      <c r="G159" s="537">
        <f>$D159*_xlfn.XLOOKUP($I159,BG_Data[Product],BG_Data[Biogenic CO2 emissions '[kg CO2']],0)</f>
        <v>0</v>
      </c>
      <c r="H159" s="584">
        <f>$D159*_xlfn.XLOOKUP($I159,BG_Data[Product],BG_Data[Total env. impact (Ecological Scarcity 2021) '[UBP']],0)</f>
        <v>0</v>
      </c>
      <c r="I159" s="503" t="s">
        <v>2804</v>
      </c>
      <c r="J159" s="503" t="s">
        <v>27213</v>
      </c>
      <c r="K159" s="248"/>
    </row>
    <row r="160" spans="1:18" x14ac:dyDescent="0.2">
      <c r="A160" s="257"/>
      <c r="B160" s="249"/>
      <c r="C160" s="503">
        <f>IF('2 Data Inputs'!G334="kWh",'2 Data Inputs'!C334,0)</f>
        <v>0</v>
      </c>
      <c r="D160" s="537">
        <f>IF('2 Data Inputs'!G334="kWh",'2 Data Inputs'!F334,0)</f>
        <v>0</v>
      </c>
      <c r="E160" s="537">
        <f>_xlfn.XLOOKUP($I160,BG_Data[Product],BG_Data[GHG emissions (IPCC 2021) '[kg CO2 eq']],0)</f>
        <v>5.625548261860136E-2</v>
      </c>
      <c r="F160" s="537">
        <f t="shared" si="9"/>
        <v>0</v>
      </c>
      <c r="G160" s="537">
        <f>$D160*_xlfn.XLOOKUP($I160,BG_Data[Product],BG_Data[Biogenic CO2 emissions '[kg CO2']],0)</f>
        <v>0</v>
      </c>
      <c r="H160" s="584">
        <f>$D160*_xlfn.XLOOKUP($I160,BG_Data[Product],BG_Data[Total env. impact (Ecological Scarcity 2021) '[UBP']],0)</f>
        <v>0</v>
      </c>
      <c r="I160" s="503" t="s">
        <v>2804</v>
      </c>
      <c r="J160" s="503" t="s">
        <v>27213</v>
      </c>
      <c r="K160" s="248"/>
    </row>
    <row r="161" spans="1:20" x14ac:dyDescent="0.2">
      <c r="A161" s="257"/>
      <c r="B161" s="249"/>
      <c r="C161" s="503">
        <f>IF('2 Data Inputs'!G335="kWh",'2 Data Inputs'!C335,0)</f>
        <v>0</v>
      </c>
      <c r="D161" s="537">
        <f>IF('2 Data Inputs'!G335="kWh",'2 Data Inputs'!F335,0)</f>
        <v>0</v>
      </c>
      <c r="E161" s="537">
        <f>_xlfn.XLOOKUP($I161,BG_Data[Product],BG_Data[GHG emissions (IPCC 2021) '[kg CO2 eq']],0)</f>
        <v>5.625548261860136E-2</v>
      </c>
      <c r="F161" s="537">
        <f t="shared" si="9"/>
        <v>0</v>
      </c>
      <c r="G161" s="537">
        <f>$D161*_xlfn.XLOOKUP($I161,BG_Data[Product],BG_Data[Biogenic CO2 emissions '[kg CO2']],0)</f>
        <v>0</v>
      </c>
      <c r="H161" s="584">
        <f>$D161*_xlfn.XLOOKUP($I161,BG_Data[Product],BG_Data[Total env. impact (Ecological Scarcity 2021) '[UBP']],0)</f>
        <v>0</v>
      </c>
      <c r="I161" s="503" t="s">
        <v>2804</v>
      </c>
      <c r="J161" s="503" t="s">
        <v>27213</v>
      </c>
      <c r="K161" s="248"/>
    </row>
    <row r="162" spans="1:20" x14ac:dyDescent="0.2">
      <c r="A162" s="257"/>
      <c r="B162" s="249"/>
      <c r="C162" s="503">
        <f>IF('2 Data Inputs'!G336="kWh",'2 Data Inputs'!C336,0)</f>
        <v>0</v>
      </c>
      <c r="D162" s="537">
        <f>IF('2 Data Inputs'!G336="kWh",'2 Data Inputs'!F336,0)</f>
        <v>0</v>
      </c>
      <c r="E162" s="537">
        <f>_xlfn.XLOOKUP($I162,BG_Data[Product],BG_Data[GHG emissions (IPCC 2021) '[kg CO2 eq']],0)</f>
        <v>5.625548261860136E-2</v>
      </c>
      <c r="F162" s="537">
        <f t="shared" si="9"/>
        <v>0</v>
      </c>
      <c r="G162" s="537">
        <f>$D162*_xlfn.XLOOKUP($I162,BG_Data[Product],BG_Data[Biogenic CO2 emissions '[kg CO2']],0)</f>
        <v>0</v>
      </c>
      <c r="H162" s="584">
        <f>$D162*_xlfn.XLOOKUP($I162,BG_Data[Product],BG_Data[Total env. impact (Ecological Scarcity 2021) '[UBP']],0)</f>
        <v>0</v>
      </c>
      <c r="I162" s="503" t="s">
        <v>2804</v>
      </c>
      <c r="J162" s="503" t="s">
        <v>27213</v>
      </c>
      <c r="K162" s="248"/>
    </row>
    <row r="163" spans="1:20" x14ac:dyDescent="0.2">
      <c r="A163" s="257"/>
      <c r="B163" s="249"/>
      <c r="C163" s="506">
        <f>IF('2 Data Inputs'!G337="kWh",'2 Data Inputs'!C337,0)</f>
        <v>0</v>
      </c>
      <c r="D163" s="532">
        <f>IF('2 Data Inputs'!G337="kWh",'2 Data Inputs'!F337,0)</f>
        <v>0</v>
      </c>
      <c r="E163" s="532">
        <f>_xlfn.XLOOKUP($I163,BG_Data[Product],BG_Data[GHG emissions (IPCC 2021) '[kg CO2 eq']],0)</f>
        <v>5.625548261860136E-2</v>
      </c>
      <c r="F163" s="532">
        <f t="shared" si="9"/>
        <v>0</v>
      </c>
      <c r="G163" s="532">
        <f>$D163*_xlfn.XLOOKUP($I163,BG_Data[Product],BG_Data[Biogenic CO2 emissions '[kg CO2']],0)</f>
        <v>0</v>
      </c>
      <c r="H163" s="581">
        <f>$D163*_xlfn.XLOOKUP($I163,BG_Data[Product],BG_Data[Total env. impact (Ecological Scarcity 2021) '[UBP']],0)</f>
        <v>0</v>
      </c>
      <c r="I163" s="506" t="s">
        <v>2804</v>
      </c>
      <c r="J163" s="506" t="s">
        <v>27213</v>
      </c>
      <c r="K163" s="248"/>
    </row>
    <row r="164" spans="1:20" ht="15" x14ac:dyDescent="0.25">
      <c r="A164" s="257"/>
      <c r="B164" s="249"/>
      <c r="C164" s="507" t="s">
        <v>2616</v>
      </c>
      <c r="D164" s="508">
        <f>SUM(D153:D163)</f>
        <v>0</v>
      </c>
      <c r="E164" s="508"/>
      <c r="F164" s="508">
        <f>SUM(F153:F163)</f>
        <v>0</v>
      </c>
      <c r="G164" s="508">
        <f>SUM(G153:G163)</f>
        <v>0</v>
      </c>
      <c r="H164" s="580">
        <f>SUM(H153:H163)</f>
        <v>0</v>
      </c>
      <c r="I164" s="507"/>
      <c r="J164" s="507"/>
      <c r="K164" s="248"/>
    </row>
    <row r="165" spans="1:20" x14ac:dyDescent="0.2">
      <c r="B165" s="249"/>
      <c r="C165" s="511"/>
      <c r="D165" s="510"/>
      <c r="E165" s="510"/>
      <c r="F165" s="510"/>
      <c r="G165" s="510"/>
      <c r="H165" s="571"/>
      <c r="I165" s="511"/>
      <c r="J165" s="511"/>
      <c r="K165" s="248"/>
    </row>
    <row r="166" spans="1:20" ht="15" x14ac:dyDescent="0.25">
      <c r="B166" s="249"/>
      <c r="C166" s="531" t="str">
        <f>n3Calculation_9.2_S2_FleetLocation</f>
        <v>Flotte électrique - Basé sur la localisation</v>
      </c>
      <c r="D166" s="546"/>
      <c r="E166" s="546"/>
      <c r="F166" s="546"/>
      <c r="G166" s="546"/>
      <c r="H166" s="587"/>
      <c r="I166" s="545"/>
      <c r="J166" s="545"/>
      <c r="K166" s="248"/>
      <c r="M166" s="181" t="s">
        <v>28298</v>
      </c>
      <c r="N166" s="181"/>
      <c r="O166" s="181"/>
      <c r="P166" s="181"/>
      <c r="Q166" s="181"/>
      <c r="R166" s="181"/>
    </row>
    <row r="167" spans="1:20" ht="15" x14ac:dyDescent="0.25">
      <c r="B167" s="249"/>
      <c r="C167" s="531"/>
      <c r="D167" s="546"/>
      <c r="E167" s="546"/>
      <c r="F167" s="546"/>
      <c r="G167" s="546"/>
      <c r="H167" s="587"/>
      <c r="I167" s="545"/>
      <c r="J167" s="545"/>
      <c r="K167" s="248"/>
    </row>
    <row r="168" spans="1:20" s="686" customFormat="1" ht="33" x14ac:dyDescent="0.25">
      <c r="B168" s="681"/>
      <c r="C168" s="682" t="s">
        <v>27888</v>
      </c>
      <c r="D168" s="683" t="s">
        <v>28537</v>
      </c>
      <c r="E168" s="683" t="s">
        <v>27208</v>
      </c>
      <c r="F168" s="683" t="s">
        <v>27588</v>
      </c>
      <c r="G168" s="683" t="s">
        <v>27589</v>
      </c>
      <c r="H168" s="683" t="s">
        <v>27214</v>
      </c>
      <c r="I168" s="682" t="s">
        <v>27210</v>
      </c>
      <c r="J168" s="682" t="s">
        <v>27211</v>
      </c>
      <c r="K168" s="685"/>
      <c r="M168" s="687"/>
      <c r="N168" s="687"/>
      <c r="O168" s="687"/>
      <c r="P168" s="687"/>
      <c r="Q168" s="687"/>
      <c r="R168" s="687"/>
    </row>
    <row r="169" spans="1:20" x14ac:dyDescent="0.2">
      <c r="B169" s="249"/>
      <c r="C169" s="543" t="s">
        <v>27877</v>
      </c>
      <c r="D169" s="544">
        <f>SUM(SUMIF('2 Data Inputs'!G328:G337,"kWh",'2 Data Inputs'!F328:F337),'2 Data Inputs'!F323)</f>
        <v>0</v>
      </c>
      <c r="E169" s="544">
        <f>_xlfn.XLOOKUP($I169,BG_Data[Product],BG_Data[GHG emissions (IPCC 2021) '[kg CO2 eq']],0)</f>
        <v>5.625548261860136E-2</v>
      </c>
      <c r="F169" s="544">
        <f t="shared" ref="F169" si="10">$D169*$E169</f>
        <v>0</v>
      </c>
      <c r="G169" s="544">
        <f>$D169*_xlfn.XLOOKUP($I169,BG_Data[Product],BG_Data[Biogenic CO2 emissions '[kg CO2']],0)</f>
        <v>0</v>
      </c>
      <c r="H169" s="586">
        <f>$D169*_xlfn.XLOOKUP($I169,BG_Data[Product],BG_Data[Total env. impact (Ecological Scarcity 2021) '[UBP']],0)</f>
        <v>0</v>
      </c>
      <c r="I169" s="544" t="s">
        <v>2804</v>
      </c>
      <c r="J169" s="544" t="s">
        <v>27213</v>
      </c>
      <c r="K169" s="248"/>
    </row>
    <row r="170" spans="1:20" x14ac:dyDescent="0.2">
      <c r="B170" s="254"/>
      <c r="C170" s="549"/>
      <c r="D170" s="540"/>
      <c r="E170" s="540"/>
      <c r="F170" s="540"/>
      <c r="G170" s="540"/>
      <c r="H170" s="588"/>
      <c r="I170" s="539"/>
      <c r="J170" s="539"/>
      <c r="K170" s="256"/>
    </row>
    <row r="171" spans="1:20" x14ac:dyDescent="0.2">
      <c r="B171" s="250"/>
      <c r="C171" s="506"/>
      <c r="D171" s="532"/>
      <c r="E171" s="532"/>
      <c r="F171" s="532"/>
      <c r="G171" s="532"/>
      <c r="H171" s="581"/>
      <c r="I171" s="506"/>
      <c r="J171" s="506"/>
      <c r="K171" s="250"/>
    </row>
    <row r="172" spans="1:20" x14ac:dyDescent="0.2">
      <c r="B172" s="252"/>
      <c r="C172" s="543"/>
      <c r="D172" s="544"/>
      <c r="E172" s="544"/>
      <c r="F172" s="544"/>
      <c r="G172" s="544"/>
      <c r="H172" s="586"/>
      <c r="I172" s="543"/>
      <c r="J172" s="543"/>
      <c r="K172" s="252"/>
    </row>
    <row r="173" spans="1:20" s="98" customFormat="1" ht="30" customHeight="1" x14ac:dyDescent="0.2">
      <c r="A173" s="244"/>
      <c r="B173" s="199" t="s">
        <v>2059</v>
      </c>
      <c r="C173" s="543"/>
      <c r="D173" s="544"/>
      <c r="E173" s="544"/>
      <c r="F173" s="544"/>
      <c r="G173" s="544"/>
      <c r="H173" s="586"/>
      <c r="I173" s="543"/>
      <c r="J173" s="543"/>
      <c r="K173" s="252"/>
      <c r="L173" s="252"/>
      <c r="M173" s="300"/>
      <c r="N173" s="300"/>
      <c r="O173" s="300"/>
      <c r="P173" s="300"/>
      <c r="Q173" s="300"/>
      <c r="R173" s="300"/>
      <c r="T173" s="244"/>
    </row>
    <row r="174" spans="1:20" ht="15" x14ac:dyDescent="0.25">
      <c r="B174" s="259" t="s">
        <v>27216</v>
      </c>
      <c r="C174" s="500"/>
      <c r="D174" s="535"/>
      <c r="E174" s="535"/>
      <c r="F174" s="535"/>
      <c r="G174" s="535"/>
      <c r="H174" s="583"/>
      <c r="I174" s="500"/>
      <c r="J174" s="500"/>
      <c r="K174" s="251"/>
    </row>
    <row r="175" spans="1:20" x14ac:dyDescent="0.2">
      <c r="B175" s="246"/>
      <c r="C175" s="527"/>
      <c r="D175" s="528"/>
      <c r="E175" s="528"/>
      <c r="F175" s="528"/>
      <c r="G175" s="547"/>
      <c r="H175" s="589"/>
      <c r="I175" s="548"/>
      <c r="J175" s="548"/>
      <c r="K175" s="247" t="str">
        <f>Calc_Hyperlink_S3</f>
        <v>Scope 3</v>
      </c>
    </row>
    <row r="176" spans="1:20" ht="15" x14ac:dyDescent="0.25">
      <c r="B176" s="249"/>
      <c r="C176" s="531" t="str">
        <f>n3Calculation_10_S3.1_SpendBased</f>
        <v>Biens et services achetés - Basé sur les dépenses</v>
      </c>
      <c r="D176" s="510"/>
      <c r="E176" s="510"/>
      <c r="F176" s="510"/>
      <c r="G176" s="510"/>
      <c r="H176" s="571"/>
      <c r="I176" s="511"/>
      <c r="J176" s="511"/>
      <c r="K176" s="248"/>
      <c r="M176" s="181" t="s">
        <v>28299</v>
      </c>
      <c r="N176" s="181"/>
      <c r="O176" s="181"/>
      <c r="P176" s="181"/>
      <c r="Q176" s="181"/>
      <c r="R176" s="181"/>
    </row>
    <row r="177" spans="2:18" x14ac:dyDescent="0.2">
      <c r="B177" s="249"/>
      <c r="C177" s="740"/>
      <c r="D177" s="740"/>
      <c r="E177" s="740"/>
      <c r="F177" s="740"/>
      <c r="G177" s="510"/>
      <c r="H177" s="571"/>
      <c r="I177" s="511"/>
      <c r="J177" s="511"/>
      <c r="K177" s="248"/>
    </row>
    <row r="178" spans="2:18" s="686" customFormat="1" ht="33" x14ac:dyDescent="0.25">
      <c r="B178" s="681"/>
      <c r="C178" s="682" t="s">
        <v>27161</v>
      </c>
      <c r="D178" s="683" t="s">
        <v>28538</v>
      </c>
      <c r="E178" s="683" t="s">
        <v>27208</v>
      </c>
      <c r="F178" s="683" t="s">
        <v>27588</v>
      </c>
      <c r="G178" s="683" t="s">
        <v>27589</v>
      </c>
      <c r="H178" s="683" t="s">
        <v>27209</v>
      </c>
      <c r="I178" s="682" t="s">
        <v>27210</v>
      </c>
      <c r="J178" s="682" t="s">
        <v>27211</v>
      </c>
      <c r="K178" s="685"/>
      <c r="M178" s="687"/>
      <c r="N178" s="687"/>
      <c r="O178" s="687"/>
      <c r="P178" s="687"/>
      <c r="Q178" s="687"/>
      <c r="R178" s="687"/>
    </row>
    <row r="179" spans="2:18" x14ac:dyDescent="0.2">
      <c r="B179" s="249"/>
      <c r="C179" s="500">
        <f>'2 Data Inputs'!C539</f>
        <v>0</v>
      </c>
      <c r="D179" s="535">
        <f>'2 Data Inputs'!F539</f>
        <v>0</v>
      </c>
      <c r="E179" s="535">
        <f>_xlfn.XLOOKUP($I179,BG_Data[Product],BG_Data[GHG emissions (IPCC 2021) '[kg CO2 eq']],0)</f>
        <v>0</v>
      </c>
      <c r="F179" s="535">
        <f t="shared" ref="F179:F198" si="11">$D179*$E179</f>
        <v>0</v>
      </c>
      <c r="G179" s="550">
        <f>$D179*_xlfn.XLOOKUP($I179,BG_Data[Product],BG_Data[Biogenic CO2 emissions '[kg CO2']],0)</f>
        <v>0</v>
      </c>
      <c r="H179" s="583">
        <f>$D179*_xlfn.XLOOKUP($I179,BG_Data[Product],BG_Data[Total env. impact (Ecological Scarcity 2021) '[UBP']],0)</f>
        <v>0</v>
      </c>
      <c r="I179" s="535" cm="1">
        <f t="array" ref="I179">_xlfn.XLOOKUP(C179,
   _xlfn.TOCOL(_xlfn.HSTACK(Lists_S3.1_SpendB[DE Name],Lists_S3.1_SpendB[FR Name],Lists_S3.1_SpendB[IT Name]),1),
   _xlfn.TOCOL(_xlfn.HSTACK(Lists_S3.1_SpendB[BG Data],Lists_S3.1_SpendB[BG Data],Lists_S3.1_SpendB[BG Data]),1),
   0)</f>
        <v>0</v>
      </c>
      <c r="J179" s="535" t="s">
        <v>27212</v>
      </c>
      <c r="K179" s="248"/>
    </row>
    <row r="180" spans="2:18" x14ac:dyDescent="0.2">
      <c r="B180" s="249"/>
      <c r="C180" s="503">
        <f>'2 Data Inputs'!C540</f>
        <v>0</v>
      </c>
      <c r="D180" s="537">
        <f>'2 Data Inputs'!F540</f>
        <v>0</v>
      </c>
      <c r="E180" s="537">
        <f>_xlfn.XLOOKUP($I180,BG_Data[Product],BG_Data[GHG emissions (IPCC 2021) '[kg CO2 eq']],0)</f>
        <v>0</v>
      </c>
      <c r="F180" s="537">
        <f t="shared" si="11"/>
        <v>0</v>
      </c>
      <c r="G180" s="551">
        <f>$D180*_xlfn.XLOOKUP($I180,BG_Data[Product],BG_Data[Biogenic CO2 emissions '[kg CO2']],0)</f>
        <v>0</v>
      </c>
      <c r="H180" s="584">
        <f>$D180*_xlfn.XLOOKUP($I180,BG_Data[Product],BG_Data[Total env. impact (Ecological Scarcity 2021) '[UBP']],0)</f>
        <v>0</v>
      </c>
      <c r="I180" s="537" cm="1">
        <f t="array" ref="I180">_xlfn.XLOOKUP(C180,
   _xlfn.TOCOL(_xlfn.HSTACK(Lists_S3.1_SpendB[DE Name],Lists_S3.1_SpendB[FR Name],Lists_S3.1_SpendB[IT Name]),1),
   _xlfn.TOCOL(_xlfn.HSTACK(Lists_S3.1_SpendB[BG Data],Lists_S3.1_SpendB[BG Data],Lists_S3.1_SpendB[BG Data]),1),
   0)</f>
        <v>0</v>
      </c>
      <c r="J180" s="537" t="s">
        <v>27212</v>
      </c>
      <c r="K180" s="248"/>
    </row>
    <row r="181" spans="2:18" x14ac:dyDescent="0.2">
      <c r="B181" s="249"/>
      <c r="C181" s="503">
        <f>'2 Data Inputs'!C541</f>
        <v>0</v>
      </c>
      <c r="D181" s="537">
        <f>'2 Data Inputs'!F541</f>
        <v>0</v>
      </c>
      <c r="E181" s="537">
        <f>_xlfn.XLOOKUP($I181,BG_Data[Product],BG_Data[GHG emissions (IPCC 2021) '[kg CO2 eq']],0)</f>
        <v>0</v>
      </c>
      <c r="F181" s="537">
        <f t="shared" si="11"/>
        <v>0</v>
      </c>
      <c r="G181" s="551">
        <f>$D181*_xlfn.XLOOKUP($I181,BG_Data[Product],BG_Data[Biogenic CO2 emissions '[kg CO2']],0)</f>
        <v>0</v>
      </c>
      <c r="H181" s="584">
        <f>$D181*_xlfn.XLOOKUP($I181,BG_Data[Product],BG_Data[Total env. impact (Ecological Scarcity 2021) '[UBP']],0)</f>
        <v>0</v>
      </c>
      <c r="I181" s="537" cm="1">
        <f t="array" ref="I181">_xlfn.XLOOKUP(C181,
   _xlfn.TOCOL(_xlfn.HSTACK(Lists_S3.1_SpendB[DE Name],Lists_S3.1_SpendB[FR Name],Lists_S3.1_SpendB[IT Name]),1),
   _xlfn.TOCOL(_xlfn.HSTACK(Lists_S3.1_SpendB[BG Data],Lists_S3.1_SpendB[BG Data],Lists_S3.1_SpendB[BG Data]),1),
   0)</f>
        <v>0</v>
      </c>
      <c r="J181" s="537" t="s">
        <v>27212</v>
      </c>
      <c r="K181" s="248"/>
    </row>
    <row r="182" spans="2:18" x14ac:dyDescent="0.2">
      <c r="B182" s="249"/>
      <c r="C182" s="503">
        <f>'2 Data Inputs'!C542</f>
        <v>0</v>
      </c>
      <c r="D182" s="537">
        <f>'2 Data Inputs'!F542</f>
        <v>0</v>
      </c>
      <c r="E182" s="537">
        <f>_xlfn.XLOOKUP($I182,BG_Data[Product],BG_Data[GHG emissions (IPCC 2021) '[kg CO2 eq']],0)</f>
        <v>0</v>
      </c>
      <c r="F182" s="537">
        <f t="shared" si="11"/>
        <v>0</v>
      </c>
      <c r="G182" s="551">
        <f>$D182*_xlfn.XLOOKUP($I182,BG_Data[Product],BG_Data[Biogenic CO2 emissions '[kg CO2']],0)</f>
        <v>0</v>
      </c>
      <c r="H182" s="584">
        <f>$D182*_xlfn.XLOOKUP($I182,BG_Data[Product],BG_Data[Total env. impact (Ecological Scarcity 2021) '[UBP']],0)</f>
        <v>0</v>
      </c>
      <c r="I182" s="537" cm="1">
        <f t="array" ref="I182">_xlfn.XLOOKUP(C182,
   _xlfn.TOCOL(_xlfn.HSTACK(Lists_S3.1_SpendB[DE Name],Lists_S3.1_SpendB[FR Name],Lists_S3.1_SpendB[IT Name]),1),
   _xlfn.TOCOL(_xlfn.HSTACK(Lists_S3.1_SpendB[BG Data],Lists_S3.1_SpendB[BG Data],Lists_S3.1_SpendB[BG Data]),1),
   0)</f>
        <v>0</v>
      </c>
      <c r="J182" s="537" t="s">
        <v>27212</v>
      </c>
      <c r="K182" s="248"/>
    </row>
    <row r="183" spans="2:18" x14ac:dyDescent="0.2">
      <c r="B183" s="249"/>
      <c r="C183" s="503">
        <f>'2 Data Inputs'!C543</f>
        <v>0</v>
      </c>
      <c r="D183" s="537">
        <f>'2 Data Inputs'!F543</f>
        <v>0</v>
      </c>
      <c r="E183" s="537">
        <f>_xlfn.XLOOKUP($I183,BG_Data[Product],BG_Data[GHG emissions (IPCC 2021) '[kg CO2 eq']],0)</f>
        <v>0</v>
      </c>
      <c r="F183" s="537">
        <f t="shared" si="11"/>
        <v>0</v>
      </c>
      <c r="G183" s="551">
        <f>$D183*_xlfn.XLOOKUP($I183,BG_Data[Product],BG_Data[Biogenic CO2 emissions '[kg CO2']],0)</f>
        <v>0</v>
      </c>
      <c r="H183" s="584">
        <f>$D183*_xlfn.XLOOKUP($I183,BG_Data[Product],BG_Data[Total env. impact (Ecological Scarcity 2021) '[UBP']],0)</f>
        <v>0</v>
      </c>
      <c r="I183" s="537" cm="1">
        <f t="array" ref="I183">_xlfn.XLOOKUP(C183,
   _xlfn.TOCOL(_xlfn.HSTACK(Lists_S3.1_SpendB[DE Name],Lists_S3.1_SpendB[FR Name],Lists_S3.1_SpendB[IT Name]),1),
   _xlfn.TOCOL(_xlfn.HSTACK(Lists_S3.1_SpendB[BG Data],Lists_S3.1_SpendB[BG Data],Lists_S3.1_SpendB[BG Data]),1),
   0)</f>
        <v>0</v>
      </c>
      <c r="J183" s="537" t="s">
        <v>27212</v>
      </c>
      <c r="K183" s="248"/>
    </row>
    <row r="184" spans="2:18" x14ac:dyDescent="0.2">
      <c r="B184" s="249"/>
      <c r="C184" s="503">
        <f>'2 Data Inputs'!C544</f>
        <v>0</v>
      </c>
      <c r="D184" s="537">
        <f>'2 Data Inputs'!F544</f>
        <v>0</v>
      </c>
      <c r="E184" s="537">
        <f>_xlfn.XLOOKUP($I184,BG_Data[Product],BG_Data[GHG emissions (IPCC 2021) '[kg CO2 eq']],0)</f>
        <v>0</v>
      </c>
      <c r="F184" s="537">
        <f t="shared" si="11"/>
        <v>0</v>
      </c>
      <c r="G184" s="551">
        <f>$D184*_xlfn.XLOOKUP($I184,BG_Data[Product],BG_Data[Biogenic CO2 emissions '[kg CO2']],0)</f>
        <v>0</v>
      </c>
      <c r="H184" s="584">
        <f>$D184*_xlfn.XLOOKUP($I184,BG_Data[Product],BG_Data[Total env. impact (Ecological Scarcity 2021) '[UBP']],0)</f>
        <v>0</v>
      </c>
      <c r="I184" s="537" cm="1">
        <f t="array" ref="I184">_xlfn.XLOOKUP(C184,
   _xlfn.TOCOL(_xlfn.HSTACK(Lists_S3.1_SpendB[DE Name],Lists_S3.1_SpendB[FR Name],Lists_S3.1_SpendB[IT Name]),1),
   _xlfn.TOCOL(_xlfn.HSTACK(Lists_S3.1_SpendB[BG Data],Lists_S3.1_SpendB[BG Data],Lists_S3.1_SpendB[BG Data]),1),
   0)</f>
        <v>0</v>
      </c>
      <c r="J184" s="537" t="s">
        <v>27212</v>
      </c>
      <c r="K184" s="248"/>
    </row>
    <row r="185" spans="2:18" x14ac:dyDescent="0.2">
      <c r="B185" s="249"/>
      <c r="C185" s="503">
        <f>'2 Data Inputs'!C545</f>
        <v>0</v>
      </c>
      <c r="D185" s="537">
        <f>'2 Data Inputs'!F545</f>
        <v>0</v>
      </c>
      <c r="E185" s="537">
        <f>_xlfn.XLOOKUP($I185,BG_Data[Product],BG_Data[GHG emissions (IPCC 2021) '[kg CO2 eq']],0)</f>
        <v>0</v>
      </c>
      <c r="F185" s="537">
        <f t="shared" si="11"/>
        <v>0</v>
      </c>
      <c r="G185" s="551">
        <f>$D185*_xlfn.XLOOKUP($I185,BG_Data[Product],BG_Data[Biogenic CO2 emissions '[kg CO2']],0)</f>
        <v>0</v>
      </c>
      <c r="H185" s="584">
        <f>$D185*_xlfn.XLOOKUP($I185,BG_Data[Product],BG_Data[Total env. impact (Ecological Scarcity 2021) '[UBP']],0)</f>
        <v>0</v>
      </c>
      <c r="I185" s="537" cm="1">
        <f t="array" ref="I185">_xlfn.XLOOKUP(C185,
   _xlfn.TOCOL(_xlfn.HSTACK(Lists_S3.1_SpendB[DE Name],Lists_S3.1_SpendB[FR Name],Lists_S3.1_SpendB[IT Name]),1),
   _xlfn.TOCOL(_xlfn.HSTACK(Lists_S3.1_SpendB[BG Data],Lists_S3.1_SpendB[BG Data],Lists_S3.1_SpendB[BG Data]),1),
   0)</f>
        <v>0</v>
      </c>
      <c r="J185" s="537" t="s">
        <v>27212</v>
      </c>
      <c r="K185" s="248"/>
    </row>
    <row r="186" spans="2:18" x14ac:dyDescent="0.2">
      <c r="B186" s="249"/>
      <c r="C186" s="503">
        <f>'2 Data Inputs'!C546</f>
        <v>0</v>
      </c>
      <c r="D186" s="537">
        <f>'2 Data Inputs'!F546</f>
        <v>0</v>
      </c>
      <c r="E186" s="537">
        <f>_xlfn.XLOOKUP($I186,BG_Data[Product],BG_Data[GHG emissions (IPCC 2021) '[kg CO2 eq']],0)</f>
        <v>0</v>
      </c>
      <c r="F186" s="537">
        <f t="shared" si="11"/>
        <v>0</v>
      </c>
      <c r="G186" s="551">
        <f>$D186*_xlfn.XLOOKUP($I186,BG_Data[Product],BG_Data[Biogenic CO2 emissions '[kg CO2']],0)</f>
        <v>0</v>
      </c>
      <c r="H186" s="584">
        <f>$D186*_xlfn.XLOOKUP($I186,BG_Data[Product],BG_Data[Total env. impact (Ecological Scarcity 2021) '[UBP']],0)</f>
        <v>0</v>
      </c>
      <c r="I186" s="537" cm="1">
        <f t="array" ref="I186">_xlfn.XLOOKUP(C186,
   _xlfn.TOCOL(_xlfn.HSTACK(Lists_S3.1_SpendB[DE Name],Lists_S3.1_SpendB[FR Name],Lists_S3.1_SpendB[IT Name]),1),
   _xlfn.TOCOL(_xlfn.HSTACK(Lists_S3.1_SpendB[BG Data],Lists_S3.1_SpendB[BG Data],Lists_S3.1_SpendB[BG Data]),1),
   0)</f>
        <v>0</v>
      </c>
      <c r="J186" s="537" t="s">
        <v>27212</v>
      </c>
      <c r="K186" s="248"/>
    </row>
    <row r="187" spans="2:18" x14ac:dyDescent="0.2">
      <c r="B187" s="249"/>
      <c r="C187" s="503">
        <f>'2 Data Inputs'!C547</f>
        <v>0</v>
      </c>
      <c r="D187" s="537">
        <f>'2 Data Inputs'!F547</f>
        <v>0</v>
      </c>
      <c r="E187" s="537">
        <f>_xlfn.XLOOKUP($I187,BG_Data[Product],BG_Data[GHG emissions (IPCC 2021) '[kg CO2 eq']],0)</f>
        <v>0</v>
      </c>
      <c r="F187" s="537">
        <f t="shared" si="11"/>
        <v>0</v>
      </c>
      <c r="G187" s="551">
        <f>$D187*_xlfn.XLOOKUP($I187,BG_Data[Product],BG_Data[Biogenic CO2 emissions '[kg CO2']],0)</f>
        <v>0</v>
      </c>
      <c r="H187" s="584">
        <f>$D187*_xlfn.XLOOKUP($I187,BG_Data[Product],BG_Data[Total env. impact (Ecological Scarcity 2021) '[UBP']],0)</f>
        <v>0</v>
      </c>
      <c r="I187" s="537" cm="1">
        <f t="array" ref="I187">_xlfn.XLOOKUP(C187,
   _xlfn.TOCOL(_xlfn.HSTACK(Lists_S3.1_SpendB[DE Name],Lists_S3.1_SpendB[FR Name],Lists_S3.1_SpendB[IT Name]),1),
   _xlfn.TOCOL(_xlfn.HSTACK(Lists_S3.1_SpendB[BG Data],Lists_S3.1_SpendB[BG Data],Lists_S3.1_SpendB[BG Data]),1),
   0)</f>
        <v>0</v>
      </c>
      <c r="J187" s="537" t="s">
        <v>27212</v>
      </c>
      <c r="K187" s="248"/>
    </row>
    <row r="188" spans="2:18" x14ac:dyDescent="0.2">
      <c r="B188" s="249"/>
      <c r="C188" s="503">
        <f>'2 Data Inputs'!C548</f>
        <v>0</v>
      </c>
      <c r="D188" s="537">
        <f>'2 Data Inputs'!F548</f>
        <v>0</v>
      </c>
      <c r="E188" s="537">
        <f>_xlfn.XLOOKUP($I188,BG_Data[Product],BG_Data[GHG emissions (IPCC 2021) '[kg CO2 eq']],0)</f>
        <v>0</v>
      </c>
      <c r="F188" s="537">
        <f t="shared" si="11"/>
        <v>0</v>
      </c>
      <c r="G188" s="551">
        <f>$D188*_xlfn.XLOOKUP($I188,BG_Data[Product],BG_Data[Biogenic CO2 emissions '[kg CO2']],0)</f>
        <v>0</v>
      </c>
      <c r="H188" s="584">
        <f>$D188*_xlfn.XLOOKUP($I188,BG_Data[Product],BG_Data[Total env. impact (Ecological Scarcity 2021) '[UBP']],0)</f>
        <v>0</v>
      </c>
      <c r="I188" s="537" cm="1">
        <f t="array" ref="I188">_xlfn.XLOOKUP(C188,
   _xlfn.TOCOL(_xlfn.HSTACK(Lists_S3.1_SpendB[DE Name],Lists_S3.1_SpendB[FR Name],Lists_S3.1_SpendB[IT Name]),1),
   _xlfn.TOCOL(_xlfn.HSTACK(Lists_S3.1_SpendB[BG Data],Lists_S3.1_SpendB[BG Data],Lists_S3.1_SpendB[BG Data]),1),
   0)</f>
        <v>0</v>
      </c>
      <c r="J188" s="537" t="s">
        <v>27212</v>
      </c>
      <c r="K188" s="248"/>
    </row>
    <row r="189" spans="2:18" x14ac:dyDescent="0.2">
      <c r="B189" s="249"/>
      <c r="C189" s="503">
        <f>'2 Data Inputs'!C549</f>
        <v>0</v>
      </c>
      <c r="D189" s="537">
        <f>'2 Data Inputs'!F549</f>
        <v>0</v>
      </c>
      <c r="E189" s="537">
        <f>_xlfn.XLOOKUP($I189,BG_Data[Product],BG_Data[GHG emissions (IPCC 2021) '[kg CO2 eq']],0)</f>
        <v>0</v>
      </c>
      <c r="F189" s="537">
        <f t="shared" si="11"/>
        <v>0</v>
      </c>
      <c r="G189" s="551">
        <f>$D189*_xlfn.XLOOKUP($I189,BG_Data[Product],BG_Data[Biogenic CO2 emissions '[kg CO2']],0)</f>
        <v>0</v>
      </c>
      <c r="H189" s="584">
        <f>$D189*_xlfn.XLOOKUP($I189,BG_Data[Product],BG_Data[Total env. impact (Ecological Scarcity 2021) '[UBP']],0)</f>
        <v>0</v>
      </c>
      <c r="I189" s="537" cm="1">
        <f t="array" ref="I189">_xlfn.XLOOKUP(C189,
   _xlfn.TOCOL(_xlfn.HSTACK(Lists_S3.1_SpendB[DE Name],Lists_S3.1_SpendB[FR Name],Lists_S3.1_SpendB[IT Name]),1),
   _xlfn.TOCOL(_xlfn.HSTACK(Lists_S3.1_SpendB[BG Data],Lists_S3.1_SpendB[BG Data],Lists_S3.1_SpendB[BG Data]),1),
   0)</f>
        <v>0</v>
      </c>
      <c r="J189" s="537" t="s">
        <v>27212</v>
      </c>
      <c r="K189" s="248"/>
    </row>
    <row r="190" spans="2:18" x14ac:dyDescent="0.2">
      <c r="B190" s="249"/>
      <c r="C190" s="503">
        <f>'2 Data Inputs'!C550</f>
        <v>0</v>
      </c>
      <c r="D190" s="537">
        <f>'2 Data Inputs'!F550</f>
        <v>0</v>
      </c>
      <c r="E190" s="537">
        <f>_xlfn.XLOOKUP($I190,BG_Data[Product],BG_Data[GHG emissions (IPCC 2021) '[kg CO2 eq']],0)</f>
        <v>0</v>
      </c>
      <c r="F190" s="537">
        <f t="shared" si="11"/>
        <v>0</v>
      </c>
      <c r="G190" s="551">
        <f>$D190*_xlfn.XLOOKUP($I190,BG_Data[Product],BG_Data[Biogenic CO2 emissions '[kg CO2']],0)</f>
        <v>0</v>
      </c>
      <c r="H190" s="584">
        <f>$D190*_xlfn.XLOOKUP($I190,BG_Data[Product],BG_Data[Total env. impact (Ecological Scarcity 2021) '[UBP']],0)</f>
        <v>0</v>
      </c>
      <c r="I190" s="537" cm="1">
        <f t="array" ref="I190">_xlfn.XLOOKUP(C190,
   _xlfn.TOCOL(_xlfn.HSTACK(Lists_S3.1_SpendB[DE Name],Lists_S3.1_SpendB[FR Name],Lists_S3.1_SpendB[IT Name]),1),
   _xlfn.TOCOL(_xlfn.HSTACK(Lists_S3.1_SpendB[BG Data],Lists_S3.1_SpendB[BG Data],Lists_S3.1_SpendB[BG Data]),1),
   0)</f>
        <v>0</v>
      </c>
      <c r="J190" s="537" t="s">
        <v>27212</v>
      </c>
      <c r="K190" s="248"/>
    </row>
    <row r="191" spans="2:18" x14ac:dyDescent="0.2">
      <c r="B191" s="249"/>
      <c r="C191" s="503">
        <f>'2 Data Inputs'!C551</f>
        <v>0</v>
      </c>
      <c r="D191" s="537">
        <f>'2 Data Inputs'!F551</f>
        <v>0</v>
      </c>
      <c r="E191" s="537">
        <f>_xlfn.XLOOKUP($I191,BG_Data[Product],BG_Data[GHG emissions (IPCC 2021) '[kg CO2 eq']],0)</f>
        <v>0</v>
      </c>
      <c r="F191" s="537">
        <f t="shared" si="11"/>
        <v>0</v>
      </c>
      <c r="G191" s="551">
        <f>$D191*_xlfn.XLOOKUP($I191,BG_Data[Product],BG_Data[Biogenic CO2 emissions '[kg CO2']],0)</f>
        <v>0</v>
      </c>
      <c r="H191" s="584">
        <f>$D191*_xlfn.XLOOKUP($I191,BG_Data[Product],BG_Data[Total env. impact (Ecological Scarcity 2021) '[UBP']],0)</f>
        <v>0</v>
      </c>
      <c r="I191" s="537" cm="1">
        <f t="array" ref="I191">_xlfn.XLOOKUP(C191,
   _xlfn.TOCOL(_xlfn.HSTACK(Lists_S3.1_SpendB[DE Name],Lists_S3.1_SpendB[FR Name],Lists_S3.1_SpendB[IT Name]),1),
   _xlfn.TOCOL(_xlfn.HSTACK(Lists_S3.1_SpendB[BG Data],Lists_S3.1_SpendB[BG Data],Lists_S3.1_SpendB[BG Data]),1),
   0)</f>
        <v>0</v>
      </c>
      <c r="J191" s="537" t="s">
        <v>27212</v>
      </c>
      <c r="K191" s="248"/>
    </row>
    <row r="192" spans="2:18" x14ac:dyDescent="0.2">
      <c r="B192" s="249"/>
      <c r="C192" s="503">
        <f>'2 Data Inputs'!C552</f>
        <v>0</v>
      </c>
      <c r="D192" s="537">
        <f>'2 Data Inputs'!F552</f>
        <v>0</v>
      </c>
      <c r="E192" s="537">
        <f>_xlfn.XLOOKUP($I192,BG_Data[Product],BG_Data[GHG emissions (IPCC 2021) '[kg CO2 eq']],0)</f>
        <v>0</v>
      </c>
      <c r="F192" s="537">
        <f t="shared" si="11"/>
        <v>0</v>
      </c>
      <c r="G192" s="551">
        <f>$D192*_xlfn.XLOOKUP($I192,BG_Data[Product],BG_Data[Biogenic CO2 emissions '[kg CO2']],0)</f>
        <v>0</v>
      </c>
      <c r="H192" s="584">
        <f>$D192*_xlfn.XLOOKUP($I192,BG_Data[Product],BG_Data[Total env. impact (Ecological Scarcity 2021) '[UBP']],0)</f>
        <v>0</v>
      </c>
      <c r="I192" s="537" cm="1">
        <f t="array" ref="I192">_xlfn.XLOOKUP(C192,
   _xlfn.TOCOL(_xlfn.HSTACK(Lists_S3.1_SpendB[DE Name],Lists_S3.1_SpendB[FR Name],Lists_S3.1_SpendB[IT Name]),1),
   _xlfn.TOCOL(_xlfn.HSTACK(Lists_S3.1_SpendB[BG Data],Lists_S3.1_SpendB[BG Data],Lists_S3.1_SpendB[BG Data]),1),
   0)</f>
        <v>0</v>
      </c>
      <c r="J192" s="537" t="s">
        <v>27212</v>
      </c>
      <c r="K192" s="248"/>
    </row>
    <row r="193" spans="2:18" x14ac:dyDescent="0.2">
      <c r="B193" s="249"/>
      <c r="C193" s="503">
        <f>'2 Data Inputs'!C553</f>
        <v>0</v>
      </c>
      <c r="D193" s="537">
        <f>'2 Data Inputs'!F553</f>
        <v>0</v>
      </c>
      <c r="E193" s="537">
        <f>_xlfn.XLOOKUP($I193,BG_Data[Product],BG_Data[GHG emissions (IPCC 2021) '[kg CO2 eq']],0)</f>
        <v>0</v>
      </c>
      <c r="F193" s="537">
        <f t="shared" si="11"/>
        <v>0</v>
      </c>
      <c r="G193" s="551">
        <f>$D193*_xlfn.XLOOKUP($I193,BG_Data[Product],BG_Data[Biogenic CO2 emissions '[kg CO2']],0)</f>
        <v>0</v>
      </c>
      <c r="H193" s="584">
        <f>$D193*_xlfn.XLOOKUP($I193,BG_Data[Product],BG_Data[Total env. impact (Ecological Scarcity 2021) '[UBP']],0)</f>
        <v>0</v>
      </c>
      <c r="I193" s="537" cm="1">
        <f t="array" ref="I193">_xlfn.XLOOKUP(C193,
   _xlfn.TOCOL(_xlfn.HSTACK(Lists_S3.1_SpendB[DE Name],Lists_S3.1_SpendB[FR Name],Lists_S3.1_SpendB[IT Name]),1),
   _xlfn.TOCOL(_xlfn.HSTACK(Lists_S3.1_SpendB[BG Data],Lists_S3.1_SpendB[BG Data],Lists_S3.1_SpendB[BG Data]),1),
   0)</f>
        <v>0</v>
      </c>
      <c r="J193" s="537" t="s">
        <v>27212</v>
      </c>
      <c r="K193" s="248"/>
    </row>
    <row r="194" spans="2:18" x14ac:dyDescent="0.2">
      <c r="B194" s="249"/>
      <c r="C194" s="503">
        <f>'2 Data Inputs'!C554</f>
        <v>0</v>
      </c>
      <c r="D194" s="537">
        <f>'2 Data Inputs'!F554</f>
        <v>0</v>
      </c>
      <c r="E194" s="537">
        <f>_xlfn.XLOOKUP($I194,BG_Data[Product],BG_Data[GHG emissions (IPCC 2021) '[kg CO2 eq']],0)</f>
        <v>0</v>
      </c>
      <c r="F194" s="537">
        <f t="shared" si="11"/>
        <v>0</v>
      </c>
      <c r="G194" s="551">
        <f>$D194*_xlfn.XLOOKUP($I194,BG_Data[Product],BG_Data[Biogenic CO2 emissions '[kg CO2']],0)</f>
        <v>0</v>
      </c>
      <c r="H194" s="584">
        <f>$D194*_xlfn.XLOOKUP($I194,BG_Data[Product],BG_Data[Total env. impact (Ecological Scarcity 2021) '[UBP']],0)</f>
        <v>0</v>
      </c>
      <c r="I194" s="537" cm="1">
        <f t="array" ref="I194">_xlfn.XLOOKUP(C194,
   _xlfn.TOCOL(_xlfn.HSTACK(Lists_S3.1_SpendB[DE Name],Lists_S3.1_SpendB[FR Name],Lists_S3.1_SpendB[IT Name]),1),
   _xlfn.TOCOL(_xlfn.HSTACK(Lists_S3.1_SpendB[BG Data],Lists_S3.1_SpendB[BG Data],Lists_S3.1_SpendB[BG Data]),1),
   0)</f>
        <v>0</v>
      </c>
      <c r="J194" s="537" t="s">
        <v>27212</v>
      </c>
      <c r="K194" s="248"/>
    </row>
    <row r="195" spans="2:18" x14ac:dyDescent="0.2">
      <c r="B195" s="249"/>
      <c r="C195" s="503">
        <f>'2 Data Inputs'!C555</f>
        <v>0</v>
      </c>
      <c r="D195" s="537">
        <f>'2 Data Inputs'!F555</f>
        <v>0</v>
      </c>
      <c r="E195" s="537">
        <f>_xlfn.XLOOKUP($I195,BG_Data[Product],BG_Data[GHG emissions (IPCC 2021) '[kg CO2 eq']],0)</f>
        <v>0</v>
      </c>
      <c r="F195" s="537">
        <f t="shared" si="11"/>
        <v>0</v>
      </c>
      <c r="G195" s="551">
        <f>$D195*_xlfn.XLOOKUP($I195,BG_Data[Product],BG_Data[Biogenic CO2 emissions '[kg CO2']],0)</f>
        <v>0</v>
      </c>
      <c r="H195" s="584">
        <f>$D195*_xlfn.XLOOKUP($I195,BG_Data[Product],BG_Data[Total env. impact (Ecological Scarcity 2021) '[UBP']],0)</f>
        <v>0</v>
      </c>
      <c r="I195" s="537" cm="1">
        <f t="array" ref="I195">_xlfn.XLOOKUP(C195,
   _xlfn.TOCOL(_xlfn.HSTACK(Lists_S3.1_SpendB[DE Name],Lists_S3.1_SpendB[FR Name],Lists_S3.1_SpendB[IT Name]),1),
   _xlfn.TOCOL(_xlfn.HSTACK(Lists_S3.1_SpendB[BG Data],Lists_S3.1_SpendB[BG Data],Lists_S3.1_SpendB[BG Data]),1),
   0)</f>
        <v>0</v>
      </c>
      <c r="J195" s="537" t="s">
        <v>27212</v>
      </c>
      <c r="K195" s="248"/>
    </row>
    <row r="196" spans="2:18" x14ac:dyDescent="0.2">
      <c r="B196" s="249"/>
      <c r="C196" s="503">
        <f>'2 Data Inputs'!C556</f>
        <v>0</v>
      </c>
      <c r="D196" s="537">
        <f>'2 Data Inputs'!F556</f>
        <v>0</v>
      </c>
      <c r="E196" s="537">
        <f>_xlfn.XLOOKUP($I196,BG_Data[Product],BG_Data[GHG emissions (IPCC 2021) '[kg CO2 eq']],0)</f>
        <v>0</v>
      </c>
      <c r="F196" s="537">
        <f t="shared" si="11"/>
        <v>0</v>
      </c>
      <c r="G196" s="551">
        <f>$D196*_xlfn.XLOOKUP($I196,BG_Data[Product],BG_Data[Biogenic CO2 emissions '[kg CO2']],0)</f>
        <v>0</v>
      </c>
      <c r="H196" s="584">
        <f>$D196*_xlfn.XLOOKUP($I196,BG_Data[Product],BG_Data[Total env. impact (Ecological Scarcity 2021) '[UBP']],0)</f>
        <v>0</v>
      </c>
      <c r="I196" s="537" cm="1">
        <f t="array" ref="I196">_xlfn.XLOOKUP(C196,
   _xlfn.TOCOL(_xlfn.HSTACK(Lists_S3.1_SpendB[DE Name],Lists_S3.1_SpendB[FR Name],Lists_S3.1_SpendB[IT Name]),1),
   _xlfn.TOCOL(_xlfn.HSTACK(Lists_S3.1_SpendB[BG Data],Lists_S3.1_SpendB[BG Data],Lists_S3.1_SpendB[BG Data]),1),
   0)</f>
        <v>0</v>
      </c>
      <c r="J196" s="537" t="s">
        <v>27212</v>
      </c>
      <c r="K196" s="248"/>
    </row>
    <row r="197" spans="2:18" x14ac:dyDescent="0.2">
      <c r="B197" s="249"/>
      <c r="C197" s="503">
        <f>'2 Data Inputs'!C557</f>
        <v>0</v>
      </c>
      <c r="D197" s="537">
        <f>'2 Data Inputs'!F557</f>
        <v>0</v>
      </c>
      <c r="E197" s="537">
        <f>_xlfn.XLOOKUP($I197,BG_Data[Product],BG_Data[GHG emissions (IPCC 2021) '[kg CO2 eq']],0)</f>
        <v>0</v>
      </c>
      <c r="F197" s="537">
        <f t="shared" si="11"/>
        <v>0</v>
      </c>
      <c r="G197" s="551">
        <f>$D197*_xlfn.XLOOKUP($I197,BG_Data[Product],BG_Data[Biogenic CO2 emissions '[kg CO2']],0)</f>
        <v>0</v>
      </c>
      <c r="H197" s="584">
        <f>$D197*_xlfn.XLOOKUP($I197,BG_Data[Product],BG_Data[Total env. impact (Ecological Scarcity 2021) '[UBP']],0)</f>
        <v>0</v>
      </c>
      <c r="I197" s="537" cm="1">
        <f t="array" ref="I197">_xlfn.XLOOKUP(C197,
   _xlfn.TOCOL(_xlfn.HSTACK(Lists_S3.1_SpendB[DE Name],Lists_S3.1_SpendB[FR Name],Lists_S3.1_SpendB[IT Name]),1),
   _xlfn.TOCOL(_xlfn.HSTACK(Lists_S3.1_SpendB[BG Data],Lists_S3.1_SpendB[BG Data],Lists_S3.1_SpendB[BG Data]),1),
   0)</f>
        <v>0</v>
      </c>
      <c r="J197" s="537" t="s">
        <v>27212</v>
      </c>
      <c r="K197" s="248"/>
    </row>
    <row r="198" spans="2:18" x14ac:dyDescent="0.2">
      <c r="B198" s="249"/>
      <c r="C198" s="506">
        <f>'2 Data Inputs'!C558</f>
        <v>0</v>
      </c>
      <c r="D198" s="532">
        <f>'2 Data Inputs'!F558</f>
        <v>0</v>
      </c>
      <c r="E198" s="532">
        <f>_xlfn.XLOOKUP($I198,BG_Data[Product],BG_Data[GHG emissions (IPCC 2021) '[kg CO2 eq']],0)</f>
        <v>0</v>
      </c>
      <c r="F198" s="532">
        <f t="shared" si="11"/>
        <v>0</v>
      </c>
      <c r="G198" s="552">
        <f>$D198*_xlfn.XLOOKUP($I198,BG_Data[Product],BG_Data[Biogenic CO2 emissions '[kg CO2']],0)</f>
        <v>0</v>
      </c>
      <c r="H198" s="581">
        <f>$D198*_xlfn.XLOOKUP($I198,BG_Data[Product],BG_Data[Total env. impact (Ecological Scarcity 2021) '[UBP']],0)</f>
        <v>0</v>
      </c>
      <c r="I198" s="532" cm="1">
        <f t="array" ref="I198">_xlfn.XLOOKUP(C198,
   _xlfn.TOCOL(_xlfn.HSTACK(Lists_S3.1_SpendB[DE Name],Lists_S3.1_SpendB[FR Name],Lists_S3.1_SpendB[IT Name]),1),
   _xlfn.TOCOL(_xlfn.HSTACK(Lists_S3.1_SpendB[BG Data],Lists_S3.1_SpendB[BG Data],Lists_S3.1_SpendB[BG Data]),1),
   0)</f>
        <v>0</v>
      </c>
      <c r="J198" s="532" t="s">
        <v>27212</v>
      </c>
      <c r="K198" s="248"/>
    </row>
    <row r="199" spans="2:18" ht="15" x14ac:dyDescent="0.25">
      <c r="B199" s="249"/>
      <c r="C199" s="507" t="s">
        <v>2616</v>
      </c>
      <c r="D199" s="508">
        <f>SUM(D179:D198)</f>
        <v>0</v>
      </c>
      <c r="E199" s="508"/>
      <c r="F199" s="508">
        <f>SUM(F179:F198)</f>
        <v>0</v>
      </c>
      <c r="G199" s="508">
        <f>SUM(G179:G198)</f>
        <v>0</v>
      </c>
      <c r="H199" s="580">
        <f>SUM(H179:H198)</f>
        <v>0</v>
      </c>
      <c r="I199" s="507"/>
      <c r="J199" s="507"/>
      <c r="K199" s="248"/>
    </row>
    <row r="200" spans="2:18" x14ac:dyDescent="0.2">
      <c r="B200" s="254"/>
      <c r="C200" s="539"/>
      <c r="D200" s="540"/>
      <c r="E200" s="540"/>
      <c r="F200" s="540"/>
      <c r="G200" s="540"/>
      <c r="H200" s="588"/>
      <c r="I200" s="539"/>
      <c r="J200" s="539"/>
      <c r="K200" s="256"/>
    </row>
    <row r="201" spans="2:18" x14ac:dyDescent="0.2">
      <c r="B201" s="250"/>
      <c r="C201" s="506"/>
      <c r="D201" s="532"/>
      <c r="E201" s="532"/>
      <c r="F201" s="532"/>
      <c r="G201" s="532"/>
      <c r="H201" s="581"/>
      <c r="I201" s="506"/>
      <c r="J201" s="506"/>
      <c r="K201" s="250"/>
    </row>
    <row r="202" spans="2:18" x14ac:dyDescent="0.2">
      <c r="B202" s="246"/>
      <c r="C202" s="527"/>
      <c r="D202" s="528"/>
      <c r="E202" s="528"/>
      <c r="F202" s="528"/>
      <c r="G202" s="547"/>
      <c r="H202" s="589"/>
      <c r="I202" s="548"/>
      <c r="J202" s="548"/>
      <c r="K202" s="247" t="str">
        <f>Calc_Hyperlink_S3</f>
        <v>Scope 3</v>
      </c>
    </row>
    <row r="203" spans="2:18" ht="15" x14ac:dyDescent="0.25">
      <c r="B203" s="249"/>
      <c r="C203" s="531" t="str">
        <f>n3Calculation_11_S3.1_ProductBased</f>
        <v>Biens et services achetés - Basé sur les produits</v>
      </c>
      <c r="D203" s="510"/>
      <c r="E203" s="510"/>
      <c r="F203" s="510"/>
      <c r="G203" s="510"/>
      <c r="H203" s="571"/>
      <c r="I203" s="511"/>
      <c r="J203" s="511"/>
      <c r="K203" s="248"/>
      <c r="M203" s="299" t="s">
        <v>28300</v>
      </c>
    </row>
    <row r="204" spans="2:18" x14ac:dyDescent="0.2">
      <c r="B204" s="249"/>
      <c r="C204" s="740"/>
      <c r="D204" s="740"/>
      <c r="E204" s="740"/>
      <c r="F204" s="740"/>
      <c r="G204" s="510"/>
      <c r="H204" s="571"/>
      <c r="I204" s="511"/>
      <c r="J204" s="511"/>
      <c r="K204" s="248"/>
    </row>
    <row r="205" spans="2:18" s="686" customFormat="1" ht="33" x14ac:dyDescent="0.25">
      <c r="B205" s="681"/>
      <c r="C205" s="682" t="s">
        <v>2627</v>
      </c>
      <c r="D205" s="683" t="s">
        <v>28909</v>
      </c>
      <c r="E205" s="683" t="s">
        <v>27208</v>
      </c>
      <c r="F205" s="683" t="s">
        <v>27588</v>
      </c>
      <c r="G205" s="683" t="s">
        <v>27589</v>
      </c>
      <c r="H205" s="683" t="s">
        <v>27209</v>
      </c>
      <c r="I205" s="682" t="s">
        <v>27210</v>
      </c>
      <c r="J205" s="682" t="s">
        <v>27211</v>
      </c>
      <c r="K205" s="685"/>
      <c r="M205" s="687"/>
      <c r="N205" s="687"/>
      <c r="O205" s="687"/>
      <c r="P205" s="687"/>
      <c r="Q205" s="687"/>
      <c r="R205" s="687"/>
    </row>
    <row r="206" spans="2:18" x14ac:dyDescent="0.2">
      <c r="B206" s="249"/>
      <c r="C206" s="500">
        <f>IF('2 Data Inputs'!E579=0,'2 Data Inputs'!D579,'2 Data Inputs'!E579)</f>
        <v>0</v>
      </c>
      <c r="D206" s="535">
        <f>'2 Data Inputs'!F579</f>
        <v>0</v>
      </c>
      <c r="E206" s="535">
        <f>_xlfn.XLOOKUP($I206,BG_Data[Product],BG_Data[GHG emissions (IPCC 2021) '[kg CO2 eq']],0)</f>
        <v>0</v>
      </c>
      <c r="F206" s="535">
        <f t="shared" ref="F206:F225" si="12">$D206*$E206</f>
        <v>0</v>
      </c>
      <c r="G206" s="535">
        <f>$D206*_xlfn.XLOOKUP($I206,BG_Data[Product],BG_Data[Biogenic CO2 emissions '[kg CO2']],0)</f>
        <v>0</v>
      </c>
      <c r="H206" s="583">
        <f>$D206*_xlfn.XLOOKUP($I206,BG_Data[Product],BG_Data[Total env. impact (Ecological Scarcity 2021) '[UBP']],0)</f>
        <v>0</v>
      </c>
      <c r="I206" s="535">
        <f>IF(Calc_S3.1_QuantityBased[[#This Row],[Material]]=0,0,IF('2 Data Inputs'!E579=0,
   _xlfn.XLOOKUP(Calc_S3.1_QuantityBased[[#This Row],[Material]],Lists3.1_Longlist[Mat. Cat. 2],Lists3.1_Longlist[Dataset]),
   _xlfn.XLOOKUP(Calc_S3.1_QuantityBased[[#This Row],[Material]],Lists3.1_Longlist[Mat. Cat. 3],Lists3.1_Longlist[Dataset])))</f>
        <v>0</v>
      </c>
      <c r="J206" s="535" t="s">
        <v>27212</v>
      </c>
      <c r="K206" s="248"/>
    </row>
    <row r="207" spans="2:18" x14ac:dyDescent="0.2">
      <c r="B207" s="249"/>
      <c r="C207" s="503">
        <f>IF('2 Data Inputs'!E580=0,'2 Data Inputs'!D580,'2 Data Inputs'!E580)</f>
        <v>0</v>
      </c>
      <c r="D207" s="537">
        <f>'2 Data Inputs'!F580</f>
        <v>0</v>
      </c>
      <c r="E207" s="537">
        <f>_xlfn.XLOOKUP($I207,BG_Data[Product],BG_Data[GHG emissions (IPCC 2021) '[kg CO2 eq']],0)</f>
        <v>0</v>
      </c>
      <c r="F207" s="537">
        <f t="shared" si="12"/>
        <v>0</v>
      </c>
      <c r="G207" s="537">
        <f>$D207*_xlfn.XLOOKUP($I207,BG_Data[Product],BG_Data[Biogenic CO2 emissions '[kg CO2']],0)</f>
        <v>0</v>
      </c>
      <c r="H207" s="584">
        <f>$D207*_xlfn.XLOOKUP($I207,BG_Data[Product],BG_Data[Total env. impact (Ecological Scarcity 2021) '[UBP']],0)</f>
        <v>0</v>
      </c>
      <c r="I207" s="537">
        <f>IF(Calc_S3.1_QuantityBased[[#This Row],[Material]]=0,0,IF('2 Data Inputs'!E580=0,
   _xlfn.XLOOKUP(Calc_S3.1_QuantityBased[[#This Row],[Material]],Lists3.1_Longlist[Mat. Cat. 2],Lists3.1_Longlist[Dataset]),
   _xlfn.XLOOKUP(Calc_S3.1_QuantityBased[[#This Row],[Material]],Lists3.1_Longlist[Mat. Cat. 3],Lists3.1_Longlist[Dataset])))</f>
        <v>0</v>
      </c>
      <c r="J207" s="537" t="s">
        <v>27212</v>
      </c>
      <c r="K207" s="248"/>
    </row>
    <row r="208" spans="2:18" x14ac:dyDescent="0.2">
      <c r="B208" s="249"/>
      <c r="C208" s="503">
        <f>IF('2 Data Inputs'!E581=0,'2 Data Inputs'!D581,'2 Data Inputs'!E581)</f>
        <v>0</v>
      </c>
      <c r="D208" s="537">
        <f>'2 Data Inputs'!F581</f>
        <v>0</v>
      </c>
      <c r="E208" s="537">
        <f>_xlfn.XLOOKUP($I208,BG_Data[Product],BG_Data[GHG emissions (IPCC 2021) '[kg CO2 eq']],0)</f>
        <v>0</v>
      </c>
      <c r="F208" s="537">
        <f t="shared" si="12"/>
        <v>0</v>
      </c>
      <c r="G208" s="537">
        <f>$D208*_xlfn.XLOOKUP($I208,BG_Data[Product],BG_Data[Biogenic CO2 emissions '[kg CO2']],0)</f>
        <v>0</v>
      </c>
      <c r="H208" s="584">
        <f>$D208*_xlfn.XLOOKUP($I208,BG_Data[Product],BG_Data[Total env. impact (Ecological Scarcity 2021) '[UBP']],0)</f>
        <v>0</v>
      </c>
      <c r="I208" s="537">
        <f>IF(Calc_S3.1_QuantityBased[[#This Row],[Material]]=0,0,IF('2 Data Inputs'!E581=0,
   _xlfn.XLOOKUP(Calc_S3.1_QuantityBased[[#This Row],[Material]],Lists3.1_Longlist[Mat. Cat. 2],Lists3.1_Longlist[Dataset]),
   _xlfn.XLOOKUP(Calc_S3.1_QuantityBased[[#This Row],[Material]],Lists3.1_Longlist[Mat. Cat. 3],Lists3.1_Longlist[Dataset])))</f>
        <v>0</v>
      </c>
      <c r="J208" s="537" t="s">
        <v>27212</v>
      </c>
      <c r="K208" s="248"/>
    </row>
    <row r="209" spans="2:11" x14ac:dyDescent="0.2">
      <c r="B209" s="249"/>
      <c r="C209" s="503">
        <f>IF('2 Data Inputs'!E582=0,'2 Data Inputs'!D582,'2 Data Inputs'!E582)</f>
        <v>0</v>
      </c>
      <c r="D209" s="537">
        <f>'2 Data Inputs'!F582</f>
        <v>0</v>
      </c>
      <c r="E209" s="537">
        <f>_xlfn.XLOOKUP($I209,BG_Data[Product],BG_Data[GHG emissions (IPCC 2021) '[kg CO2 eq']],0)</f>
        <v>0</v>
      </c>
      <c r="F209" s="537">
        <f t="shared" si="12"/>
        <v>0</v>
      </c>
      <c r="G209" s="537">
        <f>$D209*_xlfn.XLOOKUP($I209,BG_Data[Product],BG_Data[Biogenic CO2 emissions '[kg CO2']],0)</f>
        <v>0</v>
      </c>
      <c r="H209" s="584">
        <f>$D209*_xlfn.XLOOKUP($I209,BG_Data[Product],BG_Data[Total env. impact (Ecological Scarcity 2021) '[UBP']],0)</f>
        <v>0</v>
      </c>
      <c r="I209" s="537">
        <f>IF(Calc_S3.1_QuantityBased[[#This Row],[Material]]=0,0,IF('2 Data Inputs'!E582=0,
   _xlfn.XLOOKUP(Calc_S3.1_QuantityBased[[#This Row],[Material]],Lists3.1_Longlist[Mat. Cat. 2],Lists3.1_Longlist[Dataset]),
   _xlfn.XLOOKUP(Calc_S3.1_QuantityBased[[#This Row],[Material]],Lists3.1_Longlist[Mat. Cat. 3],Lists3.1_Longlist[Dataset])))</f>
        <v>0</v>
      </c>
      <c r="J209" s="537" t="s">
        <v>27212</v>
      </c>
      <c r="K209" s="248"/>
    </row>
    <row r="210" spans="2:11" x14ac:dyDescent="0.2">
      <c r="B210" s="249"/>
      <c r="C210" s="503">
        <f>IF('2 Data Inputs'!E583=0,'2 Data Inputs'!D583,'2 Data Inputs'!E583)</f>
        <v>0</v>
      </c>
      <c r="D210" s="537">
        <f>'2 Data Inputs'!F583</f>
        <v>0</v>
      </c>
      <c r="E210" s="537">
        <f>_xlfn.XLOOKUP($I210,BG_Data[Product],BG_Data[GHG emissions (IPCC 2021) '[kg CO2 eq']],0)</f>
        <v>0</v>
      </c>
      <c r="F210" s="537">
        <f t="shared" si="12"/>
        <v>0</v>
      </c>
      <c r="G210" s="537">
        <f>$D210*_xlfn.XLOOKUP($I210,BG_Data[Product],BG_Data[Biogenic CO2 emissions '[kg CO2']],0)</f>
        <v>0</v>
      </c>
      <c r="H210" s="584">
        <f>$D210*_xlfn.XLOOKUP($I210,BG_Data[Product],BG_Data[Total env. impact (Ecological Scarcity 2021) '[UBP']],0)</f>
        <v>0</v>
      </c>
      <c r="I210" s="537">
        <f>IF(Calc_S3.1_QuantityBased[[#This Row],[Material]]=0,0,IF('2 Data Inputs'!E583=0,
   _xlfn.XLOOKUP(Calc_S3.1_QuantityBased[[#This Row],[Material]],Lists3.1_Longlist[Mat. Cat. 2],Lists3.1_Longlist[Dataset]),
   _xlfn.XLOOKUP(Calc_S3.1_QuantityBased[[#This Row],[Material]],Lists3.1_Longlist[Mat. Cat. 3],Lists3.1_Longlist[Dataset])))</f>
        <v>0</v>
      </c>
      <c r="J210" s="537" t="s">
        <v>27212</v>
      </c>
      <c r="K210" s="248"/>
    </row>
    <row r="211" spans="2:11" x14ac:dyDescent="0.2">
      <c r="B211" s="249"/>
      <c r="C211" s="503">
        <f>IF('2 Data Inputs'!E584=0,'2 Data Inputs'!D584,'2 Data Inputs'!E584)</f>
        <v>0</v>
      </c>
      <c r="D211" s="537">
        <f>'2 Data Inputs'!F584</f>
        <v>0</v>
      </c>
      <c r="E211" s="537">
        <f>_xlfn.XLOOKUP($I211,BG_Data[Product],BG_Data[GHG emissions (IPCC 2021) '[kg CO2 eq']],0)</f>
        <v>0</v>
      </c>
      <c r="F211" s="537">
        <f t="shared" si="12"/>
        <v>0</v>
      </c>
      <c r="G211" s="537">
        <f>$D211*_xlfn.XLOOKUP($I211,BG_Data[Product],BG_Data[Biogenic CO2 emissions '[kg CO2']],0)</f>
        <v>0</v>
      </c>
      <c r="H211" s="584">
        <f>$D211*_xlfn.XLOOKUP($I211,BG_Data[Product],BG_Data[Total env. impact (Ecological Scarcity 2021) '[UBP']],0)</f>
        <v>0</v>
      </c>
      <c r="I211" s="537">
        <f>IF(Calc_S3.1_QuantityBased[[#This Row],[Material]]=0,0,IF('2 Data Inputs'!E584=0,
   _xlfn.XLOOKUP(Calc_S3.1_QuantityBased[[#This Row],[Material]],Lists3.1_Longlist[Mat. Cat. 2],Lists3.1_Longlist[Dataset]),
   _xlfn.XLOOKUP(Calc_S3.1_QuantityBased[[#This Row],[Material]],Lists3.1_Longlist[Mat. Cat. 3],Lists3.1_Longlist[Dataset])))</f>
        <v>0</v>
      </c>
      <c r="J211" s="537" t="s">
        <v>27212</v>
      </c>
      <c r="K211" s="248"/>
    </row>
    <row r="212" spans="2:11" x14ac:dyDescent="0.2">
      <c r="B212" s="249"/>
      <c r="C212" s="503">
        <f>IF('2 Data Inputs'!E585=0,'2 Data Inputs'!D585,'2 Data Inputs'!E585)</f>
        <v>0</v>
      </c>
      <c r="D212" s="537">
        <f>'2 Data Inputs'!F585</f>
        <v>0</v>
      </c>
      <c r="E212" s="537">
        <f>_xlfn.XLOOKUP($I212,BG_Data[Product],BG_Data[GHG emissions (IPCC 2021) '[kg CO2 eq']],0)</f>
        <v>0</v>
      </c>
      <c r="F212" s="537">
        <f t="shared" si="12"/>
        <v>0</v>
      </c>
      <c r="G212" s="537">
        <f>$D212*_xlfn.XLOOKUP($I212,BG_Data[Product],BG_Data[Biogenic CO2 emissions '[kg CO2']],0)</f>
        <v>0</v>
      </c>
      <c r="H212" s="584">
        <f>$D212*_xlfn.XLOOKUP($I212,BG_Data[Product],BG_Data[Total env. impact (Ecological Scarcity 2021) '[UBP']],0)</f>
        <v>0</v>
      </c>
      <c r="I212" s="537">
        <f>IF(Calc_S3.1_QuantityBased[[#This Row],[Material]]=0,0,IF('2 Data Inputs'!E585=0,
   _xlfn.XLOOKUP(Calc_S3.1_QuantityBased[[#This Row],[Material]],Lists3.1_Longlist[Mat. Cat. 2],Lists3.1_Longlist[Dataset]),
   _xlfn.XLOOKUP(Calc_S3.1_QuantityBased[[#This Row],[Material]],Lists3.1_Longlist[Mat. Cat. 3],Lists3.1_Longlist[Dataset])))</f>
        <v>0</v>
      </c>
      <c r="J212" s="537" t="s">
        <v>27212</v>
      </c>
      <c r="K212" s="248"/>
    </row>
    <row r="213" spans="2:11" x14ac:dyDescent="0.2">
      <c r="B213" s="249"/>
      <c r="C213" s="503">
        <f>IF('2 Data Inputs'!E586=0,'2 Data Inputs'!D586,'2 Data Inputs'!E586)</f>
        <v>0</v>
      </c>
      <c r="D213" s="537">
        <f>'2 Data Inputs'!F586</f>
        <v>0</v>
      </c>
      <c r="E213" s="537">
        <f>_xlfn.XLOOKUP($I213,BG_Data[Product],BG_Data[GHG emissions (IPCC 2021) '[kg CO2 eq']],0)</f>
        <v>0</v>
      </c>
      <c r="F213" s="537">
        <f t="shared" si="12"/>
        <v>0</v>
      </c>
      <c r="G213" s="537">
        <f>$D213*_xlfn.XLOOKUP($I213,BG_Data[Product],BG_Data[Biogenic CO2 emissions '[kg CO2']],0)</f>
        <v>0</v>
      </c>
      <c r="H213" s="584">
        <f>$D213*_xlfn.XLOOKUP($I213,BG_Data[Product],BG_Data[Total env. impact (Ecological Scarcity 2021) '[UBP']],0)</f>
        <v>0</v>
      </c>
      <c r="I213" s="537">
        <f>IF(Calc_S3.1_QuantityBased[[#This Row],[Material]]=0,0,IF('2 Data Inputs'!E586=0,
   _xlfn.XLOOKUP(Calc_S3.1_QuantityBased[[#This Row],[Material]],Lists3.1_Longlist[Mat. Cat. 2],Lists3.1_Longlist[Dataset]),
   _xlfn.XLOOKUP(Calc_S3.1_QuantityBased[[#This Row],[Material]],Lists3.1_Longlist[Mat. Cat. 3],Lists3.1_Longlist[Dataset])))</f>
        <v>0</v>
      </c>
      <c r="J213" s="537" t="s">
        <v>27212</v>
      </c>
      <c r="K213" s="248"/>
    </row>
    <row r="214" spans="2:11" x14ac:dyDescent="0.2">
      <c r="B214" s="249"/>
      <c r="C214" s="503">
        <f>IF('2 Data Inputs'!E587=0,'2 Data Inputs'!D587,'2 Data Inputs'!E587)</f>
        <v>0</v>
      </c>
      <c r="D214" s="537">
        <f>'2 Data Inputs'!F587</f>
        <v>0</v>
      </c>
      <c r="E214" s="537">
        <f>_xlfn.XLOOKUP($I214,BG_Data[Product],BG_Data[GHG emissions (IPCC 2021) '[kg CO2 eq']],0)</f>
        <v>0</v>
      </c>
      <c r="F214" s="537">
        <f t="shared" si="12"/>
        <v>0</v>
      </c>
      <c r="G214" s="537">
        <f>$D214*_xlfn.XLOOKUP($I214,BG_Data[Product],BG_Data[Biogenic CO2 emissions '[kg CO2']],0)</f>
        <v>0</v>
      </c>
      <c r="H214" s="584">
        <f>$D214*_xlfn.XLOOKUP($I214,BG_Data[Product],BG_Data[Total env. impact (Ecological Scarcity 2021) '[UBP']],0)</f>
        <v>0</v>
      </c>
      <c r="I214" s="537">
        <f>IF(Calc_S3.1_QuantityBased[[#This Row],[Material]]=0,0,IF('2 Data Inputs'!E587=0,
   _xlfn.XLOOKUP(Calc_S3.1_QuantityBased[[#This Row],[Material]],Lists3.1_Longlist[Mat. Cat. 2],Lists3.1_Longlist[Dataset]),
   _xlfn.XLOOKUP(Calc_S3.1_QuantityBased[[#This Row],[Material]],Lists3.1_Longlist[Mat. Cat. 3],Lists3.1_Longlist[Dataset])))</f>
        <v>0</v>
      </c>
      <c r="J214" s="537" t="s">
        <v>27212</v>
      </c>
      <c r="K214" s="248"/>
    </row>
    <row r="215" spans="2:11" x14ac:dyDescent="0.2">
      <c r="B215" s="249"/>
      <c r="C215" s="503">
        <f>IF('2 Data Inputs'!E588=0,'2 Data Inputs'!D588,'2 Data Inputs'!E588)</f>
        <v>0</v>
      </c>
      <c r="D215" s="537">
        <f>'2 Data Inputs'!F588</f>
        <v>0</v>
      </c>
      <c r="E215" s="537">
        <f>_xlfn.XLOOKUP($I215,BG_Data[Product],BG_Data[GHG emissions (IPCC 2021) '[kg CO2 eq']],0)</f>
        <v>0</v>
      </c>
      <c r="F215" s="537">
        <f t="shared" si="12"/>
        <v>0</v>
      </c>
      <c r="G215" s="537">
        <f>$D215*_xlfn.XLOOKUP($I215,BG_Data[Product],BG_Data[Biogenic CO2 emissions '[kg CO2']],0)</f>
        <v>0</v>
      </c>
      <c r="H215" s="584">
        <f>$D215*_xlfn.XLOOKUP($I215,BG_Data[Product],BG_Data[Total env. impact (Ecological Scarcity 2021) '[UBP']],0)</f>
        <v>0</v>
      </c>
      <c r="I215" s="537">
        <f>IF(Calc_S3.1_QuantityBased[[#This Row],[Material]]=0,0,IF('2 Data Inputs'!E588=0,
   _xlfn.XLOOKUP(Calc_S3.1_QuantityBased[[#This Row],[Material]],Lists3.1_Longlist[Mat. Cat. 2],Lists3.1_Longlist[Dataset]),
   _xlfn.XLOOKUP(Calc_S3.1_QuantityBased[[#This Row],[Material]],Lists3.1_Longlist[Mat. Cat. 3],Lists3.1_Longlist[Dataset])))</f>
        <v>0</v>
      </c>
      <c r="J215" s="537" t="s">
        <v>27212</v>
      </c>
      <c r="K215" s="248"/>
    </row>
    <row r="216" spans="2:11" x14ac:dyDescent="0.2">
      <c r="B216" s="249"/>
      <c r="C216" s="503">
        <f>IF('2 Data Inputs'!E589=0,'2 Data Inputs'!D589,'2 Data Inputs'!E589)</f>
        <v>0</v>
      </c>
      <c r="D216" s="537">
        <f>'2 Data Inputs'!F589</f>
        <v>0</v>
      </c>
      <c r="E216" s="537">
        <f>_xlfn.XLOOKUP($I216,BG_Data[Product],BG_Data[GHG emissions (IPCC 2021) '[kg CO2 eq']],0)</f>
        <v>0</v>
      </c>
      <c r="F216" s="537">
        <f t="shared" si="12"/>
        <v>0</v>
      </c>
      <c r="G216" s="537">
        <f>$D216*_xlfn.XLOOKUP($I216,BG_Data[Product],BG_Data[Biogenic CO2 emissions '[kg CO2']],0)</f>
        <v>0</v>
      </c>
      <c r="H216" s="584">
        <f>$D216*_xlfn.XLOOKUP($I216,BG_Data[Product],BG_Data[Total env. impact (Ecological Scarcity 2021) '[UBP']],0)</f>
        <v>0</v>
      </c>
      <c r="I216" s="537">
        <f>IF(Calc_S3.1_QuantityBased[[#This Row],[Material]]=0,0,IF('2 Data Inputs'!E589=0,
   _xlfn.XLOOKUP(Calc_S3.1_QuantityBased[[#This Row],[Material]],Lists3.1_Longlist[Mat. Cat. 2],Lists3.1_Longlist[Dataset]),
   _xlfn.XLOOKUP(Calc_S3.1_QuantityBased[[#This Row],[Material]],Lists3.1_Longlist[Mat. Cat. 3],Lists3.1_Longlist[Dataset])))</f>
        <v>0</v>
      </c>
      <c r="J216" s="537" t="s">
        <v>27212</v>
      </c>
      <c r="K216" s="248"/>
    </row>
    <row r="217" spans="2:11" x14ac:dyDescent="0.2">
      <c r="B217" s="249"/>
      <c r="C217" s="503">
        <f>IF('2 Data Inputs'!E590=0,'2 Data Inputs'!D590,'2 Data Inputs'!E590)</f>
        <v>0</v>
      </c>
      <c r="D217" s="537">
        <f>'2 Data Inputs'!F590</f>
        <v>0</v>
      </c>
      <c r="E217" s="537">
        <f>_xlfn.XLOOKUP($I217,BG_Data[Product],BG_Data[GHG emissions (IPCC 2021) '[kg CO2 eq']],0)</f>
        <v>0</v>
      </c>
      <c r="F217" s="537">
        <f t="shared" si="12"/>
        <v>0</v>
      </c>
      <c r="G217" s="537">
        <f>$D217*_xlfn.XLOOKUP($I217,BG_Data[Product],BG_Data[Biogenic CO2 emissions '[kg CO2']],0)</f>
        <v>0</v>
      </c>
      <c r="H217" s="584">
        <f>$D217*_xlfn.XLOOKUP($I217,BG_Data[Product],BG_Data[Total env. impact (Ecological Scarcity 2021) '[UBP']],0)</f>
        <v>0</v>
      </c>
      <c r="I217" s="537">
        <f>IF(Calc_S3.1_QuantityBased[[#This Row],[Material]]=0,0,IF('2 Data Inputs'!E590=0,
   _xlfn.XLOOKUP(Calc_S3.1_QuantityBased[[#This Row],[Material]],Lists3.1_Longlist[Mat. Cat. 2],Lists3.1_Longlist[Dataset]),
   _xlfn.XLOOKUP(Calc_S3.1_QuantityBased[[#This Row],[Material]],Lists3.1_Longlist[Mat. Cat. 3],Lists3.1_Longlist[Dataset])))</f>
        <v>0</v>
      </c>
      <c r="J217" s="537" t="s">
        <v>27212</v>
      </c>
      <c r="K217" s="248"/>
    </row>
    <row r="218" spans="2:11" x14ac:dyDescent="0.2">
      <c r="B218" s="249"/>
      <c r="C218" s="503">
        <f>IF('2 Data Inputs'!E591=0,'2 Data Inputs'!D591,'2 Data Inputs'!E591)</f>
        <v>0</v>
      </c>
      <c r="D218" s="537">
        <f>'2 Data Inputs'!F591</f>
        <v>0</v>
      </c>
      <c r="E218" s="537">
        <f>_xlfn.XLOOKUP($I218,BG_Data[Product],BG_Data[GHG emissions (IPCC 2021) '[kg CO2 eq']],0)</f>
        <v>0</v>
      </c>
      <c r="F218" s="537">
        <f t="shared" si="12"/>
        <v>0</v>
      </c>
      <c r="G218" s="537">
        <f>$D218*_xlfn.XLOOKUP($I218,BG_Data[Product],BG_Data[Biogenic CO2 emissions '[kg CO2']],0)</f>
        <v>0</v>
      </c>
      <c r="H218" s="584">
        <f>$D218*_xlfn.XLOOKUP($I218,BG_Data[Product],BG_Data[Total env. impact (Ecological Scarcity 2021) '[UBP']],0)</f>
        <v>0</v>
      </c>
      <c r="I218" s="537">
        <f>IF(Calc_S3.1_QuantityBased[[#This Row],[Material]]=0,0,IF('2 Data Inputs'!E591=0,
   _xlfn.XLOOKUP(Calc_S3.1_QuantityBased[[#This Row],[Material]],Lists3.1_Longlist[Mat. Cat. 2],Lists3.1_Longlist[Dataset]),
   _xlfn.XLOOKUP(Calc_S3.1_QuantityBased[[#This Row],[Material]],Lists3.1_Longlist[Mat. Cat. 3],Lists3.1_Longlist[Dataset])))</f>
        <v>0</v>
      </c>
      <c r="J218" s="537" t="s">
        <v>27212</v>
      </c>
      <c r="K218" s="248"/>
    </row>
    <row r="219" spans="2:11" x14ac:dyDescent="0.2">
      <c r="B219" s="249"/>
      <c r="C219" s="503">
        <f>IF('2 Data Inputs'!E592=0,'2 Data Inputs'!D592,'2 Data Inputs'!E592)</f>
        <v>0</v>
      </c>
      <c r="D219" s="537">
        <f>'2 Data Inputs'!F592</f>
        <v>0</v>
      </c>
      <c r="E219" s="537">
        <f>_xlfn.XLOOKUP($I219,BG_Data[Product],BG_Data[GHG emissions (IPCC 2021) '[kg CO2 eq']],0)</f>
        <v>0</v>
      </c>
      <c r="F219" s="537">
        <f t="shared" si="12"/>
        <v>0</v>
      </c>
      <c r="G219" s="537">
        <f>$D219*_xlfn.XLOOKUP($I219,BG_Data[Product],BG_Data[Biogenic CO2 emissions '[kg CO2']],0)</f>
        <v>0</v>
      </c>
      <c r="H219" s="584">
        <f>$D219*_xlfn.XLOOKUP($I219,BG_Data[Product],BG_Data[Total env. impact (Ecological Scarcity 2021) '[UBP']],0)</f>
        <v>0</v>
      </c>
      <c r="I219" s="537">
        <f>IF(Calc_S3.1_QuantityBased[[#This Row],[Material]]=0,0,IF('2 Data Inputs'!E592=0,
   _xlfn.XLOOKUP(Calc_S3.1_QuantityBased[[#This Row],[Material]],Lists3.1_Longlist[Mat. Cat. 2],Lists3.1_Longlist[Dataset]),
   _xlfn.XLOOKUP(Calc_S3.1_QuantityBased[[#This Row],[Material]],Lists3.1_Longlist[Mat. Cat. 3],Lists3.1_Longlist[Dataset])))</f>
        <v>0</v>
      </c>
      <c r="J219" s="537" t="s">
        <v>27212</v>
      </c>
      <c r="K219" s="248"/>
    </row>
    <row r="220" spans="2:11" x14ac:dyDescent="0.2">
      <c r="B220" s="249"/>
      <c r="C220" s="503">
        <f>IF('2 Data Inputs'!E593=0,'2 Data Inputs'!D593,'2 Data Inputs'!E593)</f>
        <v>0</v>
      </c>
      <c r="D220" s="537">
        <f>'2 Data Inputs'!F593</f>
        <v>0</v>
      </c>
      <c r="E220" s="537">
        <f>_xlfn.XLOOKUP($I220,BG_Data[Product],BG_Data[GHG emissions (IPCC 2021) '[kg CO2 eq']],0)</f>
        <v>0</v>
      </c>
      <c r="F220" s="537">
        <f t="shared" si="12"/>
        <v>0</v>
      </c>
      <c r="G220" s="537">
        <f>$D220*_xlfn.XLOOKUP($I220,BG_Data[Product],BG_Data[Biogenic CO2 emissions '[kg CO2']],0)</f>
        <v>0</v>
      </c>
      <c r="H220" s="584">
        <f>$D220*_xlfn.XLOOKUP($I220,BG_Data[Product],BG_Data[Total env. impact (Ecological Scarcity 2021) '[UBP']],0)</f>
        <v>0</v>
      </c>
      <c r="I220" s="537">
        <f>IF(Calc_S3.1_QuantityBased[[#This Row],[Material]]=0,0,IF('2 Data Inputs'!E593=0,
   _xlfn.XLOOKUP(Calc_S3.1_QuantityBased[[#This Row],[Material]],Lists3.1_Longlist[Mat. Cat. 2],Lists3.1_Longlist[Dataset]),
   _xlfn.XLOOKUP(Calc_S3.1_QuantityBased[[#This Row],[Material]],Lists3.1_Longlist[Mat. Cat. 3],Lists3.1_Longlist[Dataset])))</f>
        <v>0</v>
      </c>
      <c r="J220" s="537" t="s">
        <v>27212</v>
      </c>
      <c r="K220" s="248"/>
    </row>
    <row r="221" spans="2:11" x14ac:dyDescent="0.2">
      <c r="B221" s="249"/>
      <c r="C221" s="503">
        <f>IF('2 Data Inputs'!E594=0,'2 Data Inputs'!D594,'2 Data Inputs'!E594)</f>
        <v>0</v>
      </c>
      <c r="D221" s="537">
        <f>'2 Data Inputs'!F594</f>
        <v>0</v>
      </c>
      <c r="E221" s="537">
        <f>_xlfn.XLOOKUP($I221,BG_Data[Product],BG_Data[GHG emissions (IPCC 2021) '[kg CO2 eq']],0)</f>
        <v>0</v>
      </c>
      <c r="F221" s="537">
        <f t="shared" si="12"/>
        <v>0</v>
      </c>
      <c r="G221" s="537">
        <f>$D221*_xlfn.XLOOKUP($I221,BG_Data[Product],BG_Data[Biogenic CO2 emissions '[kg CO2']],0)</f>
        <v>0</v>
      </c>
      <c r="H221" s="584">
        <f>$D221*_xlfn.XLOOKUP($I221,BG_Data[Product],BG_Data[Total env. impact (Ecological Scarcity 2021) '[UBP']],0)</f>
        <v>0</v>
      </c>
      <c r="I221" s="537">
        <f>IF(Calc_S3.1_QuantityBased[[#This Row],[Material]]=0,0,IF('2 Data Inputs'!E594=0,
   _xlfn.XLOOKUP(Calc_S3.1_QuantityBased[[#This Row],[Material]],Lists3.1_Longlist[Mat. Cat. 2],Lists3.1_Longlist[Dataset]),
   _xlfn.XLOOKUP(Calc_S3.1_QuantityBased[[#This Row],[Material]],Lists3.1_Longlist[Mat. Cat. 3],Lists3.1_Longlist[Dataset])))</f>
        <v>0</v>
      </c>
      <c r="J221" s="537" t="s">
        <v>27212</v>
      </c>
      <c r="K221" s="248"/>
    </row>
    <row r="222" spans="2:11" x14ac:dyDescent="0.2">
      <c r="B222" s="249"/>
      <c r="C222" s="503">
        <f>IF('2 Data Inputs'!E595=0,'2 Data Inputs'!D595,'2 Data Inputs'!E595)</f>
        <v>0</v>
      </c>
      <c r="D222" s="537">
        <f>'2 Data Inputs'!F595</f>
        <v>0</v>
      </c>
      <c r="E222" s="537">
        <f>_xlfn.XLOOKUP($I222,BG_Data[Product],BG_Data[GHG emissions (IPCC 2021) '[kg CO2 eq']],0)</f>
        <v>0</v>
      </c>
      <c r="F222" s="537">
        <f t="shared" si="12"/>
        <v>0</v>
      </c>
      <c r="G222" s="537">
        <f>$D222*_xlfn.XLOOKUP($I222,BG_Data[Product],BG_Data[Biogenic CO2 emissions '[kg CO2']],0)</f>
        <v>0</v>
      </c>
      <c r="H222" s="584">
        <f>$D222*_xlfn.XLOOKUP($I222,BG_Data[Product],BG_Data[Total env. impact (Ecological Scarcity 2021) '[UBP']],0)</f>
        <v>0</v>
      </c>
      <c r="I222" s="537">
        <f>IF(Calc_S3.1_QuantityBased[[#This Row],[Material]]=0,0,IF('2 Data Inputs'!E595=0,
   _xlfn.XLOOKUP(Calc_S3.1_QuantityBased[[#This Row],[Material]],Lists3.1_Longlist[Mat. Cat. 2],Lists3.1_Longlist[Dataset]),
   _xlfn.XLOOKUP(Calc_S3.1_QuantityBased[[#This Row],[Material]],Lists3.1_Longlist[Mat. Cat. 3],Lists3.1_Longlist[Dataset])))</f>
        <v>0</v>
      </c>
      <c r="J222" s="537" t="s">
        <v>27212</v>
      </c>
      <c r="K222" s="248"/>
    </row>
    <row r="223" spans="2:11" x14ac:dyDescent="0.2">
      <c r="B223" s="249"/>
      <c r="C223" s="503">
        <f>IF('2 Data Inputs'!E596=0,'2 Data Inputs'!D596,'2 Data Inputs'!E596)</f>
        <v>0</v>
      </c>
      <c r="D223" s="537">
        <f>'2 Data Inputs'!F596</f>
        <v>0</v>
      </c>
      <c r="E223" s="537">
        <f>_xlfn.XLOOKUP($I223,BG_Data[Product],BG_Data[GHG emissions (IPCC 2021) '[kg CO2 eq']],0)</f>
        <v>0</v>
      </c>
      <c r="F223" s="537">
        <f t="shared" si="12"/>
        <v>0</v>
      </c>
      <c r="G223" s="537">
        <f>$D223*_xlfn.XLOOKUP($I223,BG_Data[Product],BG_Data[Biogenic CO2 emissions '[kg CO2']],0)</f>
        <v>0</v>
      </c>
      <c r="H223" s="584">
        <f>$D223*_xlfn.XLOOKUP($I223,BG_Data[Product],BG_Data[Total env. impact (Ecological Scarcity 2021) '[UBP']],0)</f>
        <v>0</v>
      </c>
      <c r="I223" s="537">
        <f>IF(Calc_S3.1_QuantityBased[[#This Row],[Material]]=0,0,IF('2 Data Inputs'!E596=0,
   _xlfn.XLOOKUP(Calc_S3.1_QuantityBased[[#This Row],[Material]],Lists3.1_Longlist[Mat. Cat. 2],Lists3.1_Longlist[Dataset]),
   _xlfn.XLOOKUP(Calc_S3.1_QuantityBased[[#This Row],[Material]],Lists3.1_Longlist[Mat. Cat. 3],Lists3.1_Longlist[Dataset])))</f>
        <v>0</v>
      </c>
      <c r="J223" s="537" t="s">
        <v>27212</v>
      </c>
      <c r="K223" s="248"/>
    </row>
    <row r="224" spans="2:11" x14ac:dyDescent="0.2">
      <c r="B224" s="249"/>
      <c r="C224" s="503">
        <f>IF('2 Data Inputs'!E597=0,'2 Data Inputs'!D597,'2 Data Inputs'!E597)</f>
        <v>0</v>
      </c>
      <c r="D224" s="537">
        <f>'2 Data Inputs'!F597</f>
        <v>0</v>
      </c>
      <c r="E224" s="537">
        <f>_xlfn.XLOOKUP($I224,BG_Data[Product],BG_Data[GHG emissions (IPCC 2021) '[kg CO2 eq']],0)</f>
        <v>0</v>
      </c>
      <c r="F224" s="537">
        <f t="shared" si="12"/>
        <v>0</v>
      </c>
      <c r="G224" s="537">
        <f>$D224*_xlfn.XLOOKUP($I224,BG_Data[Product],BG_Data[Biogenic CO2 emissions '[kg CO2']],0)</f>
        <v>0</v>
      </c>
      <c r="H224" s="584">
        <f>$D224*_xlfn.XLOOKUP($I224,BG_Data[Product],BG_Data[Total env. impact (Ecological Scarcity 2021) '[UBP']],0)</f>
        <v>0</v>
      </c>
      <c r="I224" s="537">
        <f>IF(Calc_S3.1_QuantityBased[[#This Row],[Material]]=0,0,IF('2 Data Inputs'!E597=0,
   _xlfn.XLOOKUP(Calc_S3.1_QuantityBased[[#This Row],[Material]],Lists3.1_Longlist[Mat. Cat. 2],Lists3.1_Longlist[Dataset]),
   _xlfn.XLOOKUP(Calc_S3.1_QuantityBased[[#This Row],[Material]],Lists3.1_Longlist[Mat. Cat. 3],Lists3.1_Longlist[Dataset])))</f>
        <v>0</v>
      </c>
      <c r="J224" s="537" t="s">
        <v>27212</v>
      </c>
      <c r="K224" s="248"/>
    </row>
    <row r="225" spans="2:18" x14ac:dyDescent="0.2">
      <c r="B225" s="249"/>
      <c r="C225" s="506">
        <f>IF('2 Data Inputs'!E598=0,'2 Data Inputs'!D598,'2 Data Inputs'!E598)</f>
        <v>0</v>
      </c>
      <c r="D225" s="532">
        <f>'2 Data Inputs'!F598</f>
        <v>0</v>
      </c>
      <c r="E225" s="532">
        <f>_xlfn.XLOOKUP($I225,BG_Data[Product],BG_Data[GHG emissions (IPCC 2021) '[kg CO2 eq']],0)</f>
        <v>0</v>
      </c>
      <c r="F225" s="532">
        <f t="shared" si="12"/>
        <v>0</v>
      </c>
      <c r="G225" s="532">
        <f>$D225*_xlfn.XLOOKUP($I225,BG_Data[Product],BG_Data[Biogenic CO2 emissions '[kg CO2']],0)</f>
        <v>0</v>
      </c>
      <c r="H225" s="581">
        <f>$D225*_xlfn.XLOOKUP($I225,BG_Data[Product],BG_Data[Total env. impact (Ecological Scarcity 2021) '[UBP']],0)</f>
        <v>0</v>
      </c>
      <c r="I225" s="532">
        <f>IF(Calc_S3.1_QuantityBased[[#This Row],[Material]]=0,0,IF('2 Data Inputs'!E598=0,
   _xlfn.XLOOKUP(Calc_S3.1_QuantityBased[[#This Row],[Material]],Lists3.1_Longlist[Mat. Cat. 2],Lists3.1_Longlist[Dataset]),
   _xlfn.XLOOKUP(Calc_S3.1_QuantityBased[[#This Row],[Material]],Lists3.1_Longlist[Mat. Cat. 3],Lists3.1_Longlist[Dataset])))</f>
        <v>0</v>
      </c>
      <c r="J225" s="532" t="s">
        <v>27212</v>
      </c>
      <c r="K225" s="248"/>
    </row>
    <row r="226" spans="2:18" ht="15" x14ac:dyDescent="0.25">
      <c r="B226" s="249"/>
      <c r="C226" s="507" t="s">
        <v>2616</v>
      </c>
      <c r="D226" s="508"/>
      <c r="E226" s="508"/>
      <c r="F226" s="508">
        <f>SUM(F206:F225)</f>
        <v>0</v>
      </c>
      <c r="G226" s="508">
        <f>SUM(G206:G225)</f>
        <v>0</v>
      </c>
      <c r="H226" s="580">
        <f>SUM(H206:H225)</f>
        <v>0</v>
      </c>
      <c r="I226" s="507"/>
      <c r="J226" s="507"/>
      <c r="K226" s="248"/>
    </row>
    <row r="227" spans="2:18" x14ac:dyDescent="0.2">
      <c r="B227" s="254"/>
      <c r="C227" s="539"/>
      <c r="D227" s="540"/>
      <c r="E227" s="540"/>
      <c r="F227" s="540"/>
      <c r="G227" s="540"/>
      <c r="H227" s="588"/>
      <c r="I227" s="539"/>
      <c r="J227" s="539"/>
      <c r="K227" s="256"/>
    </row>
    <row r="228" spans="2:18" x14ac:dyDescent="0.2">
      <c r="B228" s="250"/>
      <c r="C228" s="506"/>
      <c r="D228" s="532"/>
      <c r="E228" s="532"/>
      <c r="F228" s="532"/>
      <c r="G228" s="532"/>
      <c r="H228" s="581"/>
      <c r="I228" s="506"/>
      <c r="J228" s="506"/>
      <c r="K228" s="250"/>
    </row>
    <row r="229" spans="2:18" ht="15" x14ac:dyDescent="0.25">
      <c r="B229" s="259" t="s">
        <v>27217</v>
      </c>
      <c r="C229" s="500"/>
      <c r="D229" s="535"/>
      <c r="E229" s="535"/>
      <c r="F229" s="535"/>
      <c r="G229" s="535"/>
      <c r="H229" s="583"/>
      <c r="I229" s="500"/>
      <c r="J229" s="500"/>
      <c r="K229" s="251"/>
    </row>
    <row r="230" spans="2:18" x14ac:dyDescent="0.2">
      <c r="B230" s="246"/>
      <c r="C230" s="527"/>
      <c r="D230" s="528"/>
      <c r="E230" s="528"/>
      <c r="F230" s="528"/>
      <c r="G230" s="547"/>
      <c r="H230" s="589"/>
      <c r="I230" s="548"/>
      <c r="J230" s="548"/>
      <c r="K230" s="247" t="str">
        <f>Calc_Hyperlink_S3</f>
        <v>Scope 3</v>
      </c>
    </row>
    <row r="231" spans="2:18" ht="15" x14ac:dyDescent="0.25">
      <c r="B231" s="249"/>
      <c r="C231" s="531" t="str">
        <f>n3Calculation_12_S3.2_CapitalGoods</f>
        <v>Biens d’équipement</v>
      </c>
      <c r="D231" s="510"/>
      <c r="E231" s="510"/>
      <c r="F231" s="510"/>
      <c r="G231" s="510"/>
      <c r="H231" s="571"/>
      <c r="I231" s="511"/>
      <c r="J231" s="511"/>
      <c r="K231" s="248"/>
      <c r="M231" s="299" t="s">
        <v>28301</v>
      </c>
    </row>
    <row r="232" spans="2:18" x14ac:dyDescent="0.2">
      <c r="B232" s="249"/>
      <c r="C232" s="740"/>
      <c r="D232" s="740"/>
      <c r="E232" s="740"/>
      <c r="F232" s="740"/>
      <c r="G232" s="510"/>
      <c r="H232" s="571"/>
      <c r="I232" s="511"/>
      <c r="J232" s="511"/>
      <c r="K232" s="248"/>
    </row>
    <row r="233" spans="2:18" s="686" customFormat="1" ht="33" x14ac:dyDescent="0.25">
      <c r="B233" s="681"/>
      <c r="C233" s="682" t="s">
        <v>2627</v>
      </c>
      <c r="D233" s="683" t="s">
        <v>28909</v>
      </c>
      <c r="E233" s="683" t="s">
        <v>27208</v>
      </c>
      <c r="F233" s="683" t="s">
        <v>27588</v>
      </c>
      <c r="G233" s="683" t="s">
        <v>27589</v>
      </c>
      <c r="H233" s="683" t="s">
        <v>27209</v>
      </c>
      <c r="I233" s="682" t="s">
        <v>27210</v>
      </c>
      <c r="J233" s="682" t="s">
        <v>27211</v>
      </c>
      <c r="K233" s="685"/>
      <c r="M233" s="687"/>
      <c r="N233" s="687"/>
      <c r="O233" s="687"/>
      <c r="P233" s="687"/>
      <c r="Q233" s="687"/>
      <c r="R233" s="687"/>
    </row>
    <row r="234" spans="2:18" x14ac:dyDescent="0.2">
      <c r="B234" s="249"/>
      <c r="C234" s="500">
        <f>'2 Data Inputs'!D622</f>
        <v>0</v>
      </c>
      <c r="D234" s="535">
        <f>'2 Data Inputs'!F622</f>
        <v>0</v>
      </c>
      <c r="E234" s="535">
        <f>_xlfn.XLOOKUP($I234,BG_Data[Product],BG_Data[GHG emissions (IPCC 2021) '[kg CO2 eq']],0)</f>
        <v>0</v>
      </c>
      <c r="F234" s="535">
        <f t="shared" ref="F234:F244" si="13">$D234*$E234</f>
        <v>0</v>
      </c>
      <c r="G234" s="535">
        <f>$D234*_xlfn.XLOOKUP($I234,BG_Data[Product],BG_Data[Biogenic CO2 emissions '[kg CO2']],0)</f>
        <v>0</v>
      </c>
      <c r="H234" s="583">
        <f>$D234*_xlfn.XLOOKUP($I234,BG_Data[Product],BG_Data[Total env. impact (Ecological Scarcity 2021) '[UBP']],0)</f>
        <v>0</v>
      </c>
      <c r="I234" s="500" cm="1">
        <f t="array" ref="I234">_xlfn.XLOOKUP(C234,
   _xlfn.TOCOL(_xlfn.HSTACK(Lists_S3.2_CapitalGoods[DE Name],Lists_S3.2_CapitalGoods[FR Name],Lists_S3.2_CapitalGoods[IT Name]),1),
   _xlfn.TOCOL(_xlfn.HSTACK(Lists_S3.2_CapitalGoods[BG Data],Lists_S3.2_CapitalGoods[BG Data],Lists_S3.2_CapitalGoods[BG Data]),1),
   0)</f>
        <v>0</v>
      </c>
      <c r="J234" s="500" t="s">
        <v>27212</v>
      </c>
      <c r="K234" s="248"/>
    </row>
    <row r="235" spans="2:18" x14ac:dyDescent="0.2">
      <c r="B235" s="249"/>
      <c r="C235" s="503">
        <f>'2 Data Inputs'!D623</f>
        <v>0</v>
      </c>
      <c r="D235" s="537">
        <f>'2 Data Inputs'!F623</f>
        <v>0</v>
      </c>
      <c r="E235" s="537">
        <f>_xlfn.XLOOKUP($I235,BG_Data[Product],BG_Data[GHG emissions (IPCC 2021) '[kg CO2 eq']],0)</f>
        <v>0</v>
      </c>
      <c r="F235" s="537">
        <f t="shared" si="13"/>
        <v>0</v>
      </c>
      <c r="G235" s="537">
        <f>$D235*_xlfn.XLOOKUP($I235,BG_Data[Product],BG_Data[Biogenic CO2 emissions '[kg CO2']],0)</f>
        <v>0</v>
      </c>
      <c r="H235" s="584">
        <f>$D235*_xlfn.XLOOKUP($I235,BG_Data[Product],BG_Data[Total env. impact (Ecological Scarcity 2021) '[UBP']],0)</f>
        <v>0</v>
      </c>
      <c r="I235" s="503" cm="1">
        <f t="array" ref="I235">_xlfn.XLOOKUP(C235,
   _xlfn.TOCOL(_xlfn.HSTACK(Lists_S3.2_CapitalGoods[DE Name],Lists_S3.2_CapitalGoods[FR Name],Lists_S3.2_CapitalGoods[IT Name]),1),
   _xlfn.TOCOL(_xlfn.HSTACK(Lists_S3.2_CapitalGoods[BG Data],Lists_S3.2_CapitalGoods[BG Data],Lists_S3.2_CapitalGoods[BG Data]),1),
   0)</f>
        <v>0</v>
      </c>
      <c r="J235" s="503" t="s">
        <v>27212</v>
      </c>
      <c r="K235" s="248"/>
    </row>
    <row r="236" spans="2:18" x14ac:dyDescent="0.2">
      <c r="B236" s="249"/>
      <c r="C236" s="503">
        <f>'2 Data Inputs'!D624</f>
        <v>0</v>
      </c>
      <c r="D236" s="537">
        <f>'2 Data Inputs'!F624</f>
        <v>0</v>
      </c>
      <c r="E236" s="537">
        <f>_xlfn.XLOOKUP($I236,BG_Data[Product],BG_Data[GHG emissions (IPCC 2021) '[kg CO2 eq']],0)</f>
        <v>0</v>
      </c>
      <c r="F236" s="537">
        <f t="shared" si="13"/>
        <v>0</v>
      </c>
      <c r="G236" s="537">
        <f>$D236*_xlfn.XLOOKUP($I236,BG_Data[Product],BG_Data[Biogenic CO2 emissions '[kg CO2']],0)</f>
        <v>0</v>
      </c>
      <c r="H236" s="584">
        <f>$D236*_xlfn.XLOOKUP($I236,BG_Data[Product],BG_Data[Total env. impact (Ecological Scarcity 2021) '[UBP']],0)</f>
        <v>0</v>
      </c>
      <c r="I236" s="503" cm="1">
        <f t="array" ref="I236">_xlfn.XLOOKUP(C236,
   _xlfn.TOCOL(_xlfn.HSTACK(Lists_S3.2_CapitalGoods[DE Name],Lists_S3.2_CapitalGoods[FR Name],Lists_S3.2_CapitalGoods[IT Name]),1),
   _xlfn.TOCOL(_xlfn.HSTACK(Lists_S3.2_CapitalGoods[BG Data],Lists_S3.2_CapitalGoods[BG Data],Lists_S3.2_CapitalGoods[BG Data]),1),
   0)</f>
        <v>0</v>
      </c>
      <c r="J236" s="503" t="s">
        <v>27212</v>
      </c>
      <c r="K236" s="248"/>
    </row>
    <row r="237" spans="2:18" x14ac:dyDescent="0.2">
      <c r="B237" s="249"/>
      <c r="C237" s="503">
        <f>'2 Data Inputs'!D625</f>
        <v>0</v>
      </c>
      <c r="D237" s="537">
        <f>'2 Data Inputs'!F625</f>
        <v>0</v>
      </c>
      <c r="E237" s="537">
        <f>_xlfn.XLOOKUP($I237,BG_Data[Product],BG_Data[GHG emissions (IPCC 2021) '[kg CO2 eq']],0)</f>
        <v>0</v>
      </c>
      <c r="F237" s="537">
        <f t="shared" si="13"/>
        <v>0</v>
      </c>
      <c r="G237" s="537">
        <f>$D237*_xlfn.XLOOKUP($I237,BG_Data[Product],BG_Data[Biogenic CO2 emissions '[kg CO2']],0)</f>
        <v>0</v>
      </c>
      <c r="H237" s="584">
        <f>$D237*_xlfn.XLOOKUP($I237,BG_Data[Product],BG_Data[Total env. impact (Ecological Scarcity 2021) '[UBP']],0)</f>
        <v>0</v>
      </c>
      <c r="I237" s="503" cm="1">
        <f t="array" ref="I237">_xlfn.XLOOKUP(C237,
   _xlfn.TOCOL(_xlfn.HSTACK(Lists_S3.2_CapitalGoods[DE Name],Lists_S3.2_CapitalGoods[FR Name],Lists_S3.2_CapitalGoods[IT Name]),1),
   _xlfn.TOCOL(_xlfn.HSTACK(Lists_S3.2_CapitalGoods[BG Data],Lists_S3.2_CapitalGoods[BG Data],Lists_S3.2_CapitalGoods[BG Data]),1),
   0)</f>
        <v>0</v>
      </c>
      <c r="J237" s="503" t="s">
        <v>27212</v>
      </c>
      <c r="K237" s="248"/>
    </row>
    <row r="238" spans="2:18" x14ac:dyDescent="0.2">
      <c r="B238" s="249"/>
      <c r="C238" s="503">
        <f>'2 Data Inputs'!D626</f>
        <v>0</v>
      </c>
      <c r="D238" s="537">
        <f>'2 Data Inputs'!F626</f>
        <v>0</v>
      </c>
      <c r="E238" s="537">
        <f>_xlfn.XLOOKUP($I238,BG_Data[Product],BG_Data[GHG emissions (IPCC 2021) '[kg CO2 eq']],0)</f>
        <v>0</v>
      </c>
      <c r="F238" s="537">
        <f t="shared" si="13"/>
        <v>0</v>
      </c>
      <c r="G238" s="537">
        <f>$D238*_xlfn.XLOOKUP($I238,BG_Data[Product],BG_Data[Biogenic CO2 emissions '[kg CO2']],0)</f>
        <v>0</v>
      </c>
      <c r="H238" s="584">
        <f>$D238*_xlfn.XLOOKUP($I238,BG_Data[Product],BG_Data[Total env. impact (Ecological Scarcity 2021) '[UBP']],0)</f>
        <v>0</v>
      </c>
      <c r="I238" s="503" cm="1">
        <f t="array" ref="I238">_xlfn.XLOOKUP(C238,
   _xlfn.TOCOL(_xlfn.HSTACK(Lists_S3.2_CapitalGoods[DE Name],Lists_S3.2_CapitalGoods[FR Name],Lists_S3.2_CapitalGoods[IT Name]),1),
   _xlfn.TOCOL(_xlfn.HSTACK(Lists_S3.2_CapitalGoods[BG Data],Lists_S3.2_CapitalGoods[BG Data],Lists_S3.2_CapitalGoods[BG Data]),1),
   0)</f>
        <v>0</v>
      </c>
      <c r="J238" s="503" t="s">
        <v>27212</v>
      </c>
      <c r="K238" s="248"/>
    </row>
    <row r="239" spans="2:18" x14ac:dyDescent="0.2">
      <c r="B239" s="249"/>
      <c r="C239" s="503">
        <f>'2 Data Inputs'!D627</f>
        <v>0</v>
      </c>
      <c r="D239" s="537">
        <f>'2 Data Inputs'!F627</f>
        <v>0</v>
      </c>
      <c r="E239" s="537">
        <f>_xlfn.XLOOKUP($I239,BG_Data[Product],BG_Data[GHG emissions (IPCC 2021) '[kg CO2 eq']],0)</f>
        <v>0</v>
      </c>
      <c r="F239" s="537">
        <f t="shared" si="13"/>
        <v>0</v>
      </c>
      <c r="G239" s="537">
        <f>$D239*_xlfn.XLOOKUP($I239,BG_Data[Product],BG_Data[Biogenic CO2 emissions '[kg CO2']],0)</f>
        <v>0</v>
      </c>
      <c r="H239" s="584">
        <f>$D239*_xlfn.XLOOKUP($I239,BG_Data[Product],BG_Data[Total env. impact (Ecological Scarcity 2021) '[UBP']],0)</f>
        <v>0</v>
      </c>
      <c r="I239" s="503" cm="1">
        <f t="array" ref="I239">_xlfn.XLOOKUP(C239,
   _xlfn.TOCOL(_xlfn.HSTACK(Lists_S3.2_CapitalGoods[DE Name],Lists_S3.2_CapitalGoods[FR Name],Lists_S3.2_CapitalGoods[IT Name]),1),
   _xlfn.TOCOL(_xlfn.HSTACK(Lists_S3.2_CapitalGoods[BG Data],Lists_S3.2_CapitalGoods[BG Data],Lists_S3.2_CapitalGoods[BG Data]),1),
   0)</f>
        <v>0</v>
      </c>
      <c r="J239" s="503" t="s">
        <v>27212</v>
      </c>
      <c r="K239" s="248"/>
    </row>
    <row r="240" spans="2:18" x14ac:dyDescent="0.2">
      <c r="B240" s="249"/>
      <c r="C240" s="503">
        <f>'2 Data Inputs'!D628</f>
        <v>0</v>
      </c>
      <c r="D240" s="537">
        <f>'2 Data Inputs'!F628</f>
        <v>0</v>
      </c>
      <c r="E240" s="537">
        <f>_xlfn.XLOOKUP($I240,BG_Data[Product],BG_Data[GHG emissions (IPCC 2021) '[kg CO2 eq']],0)</f>
        <v>0</v>
      </c>
      <c r="F240" s="537">
        <f t="shared" si="13"/>
        <v>0</v>
      </c>
      <c r="G240" s="537">
        <f>$D240*_xlfn.XLOOKUP($I240,BG_Data[Product],BG_Data[Biogenic CO2 emissions '[kg CO2']],0)</f>
        <v>0</v>
      </c>
      <c r="H240" s="584">
        <f>$D240*_xlfn.XLOOKUP($I240,BG_Data[Product],BG_Data[Total env. impact (Ecological Scarcity 2021) '[UBP']],0)</f>
        <v>0</v>
      </c>
      <c r="I240" s="503" cm="1">
        <f t="array" ref="I240">_xlfn.XLOOKUP(C240,
   _xlfn.TOCOL(_xlfn.HSTACK(Lists_S3.2_CapitalGoods[DE Name],Lists_S3.2_CapitalGoods[FR Name],Lists_S3.2_CapitalGoods[IT Name]),1),
   _xlfn.TOCOL(_xlfn.HSTACK(Lists_S3.2_CapitalGoods[BG Data],Lists_S3.2_CapitalGoods[BG Data],Lists_S3.2_CapitalGoods[BG Data]),1),
   0)</f>
        <v>0</v>
      </c>
      <c r="J240" s="503" t="s">
        <v>27212</v>
      </c>
      <c r="K240" s="248"/>
    </row>
    <row r="241" spans="2:18" x14ac:dyDescent="0.2">
      <c r="B241" s="249"/>
      <c r="C241" s="503">
        <f>'2 Data Inputs'!D629</f>
        <v>0</v>
      </c>
      <c r="D241" s="537">
        <f>'2 Data Inputs'!F629</f>
        <v>0</v>
      </c>
      <c r="E241" s="537">
        <f>_xlfn.XLOOKUP($I241,BG_Data[Product],BG_Data[GHG emissions (IPCC 2021) '[kg CO2 eq']],0)</f>
        <v>0</v>
      </c>
      <c r="F241" s="537">
        <f t="shared" si="13"/>
        <v>0</v>
      </c>
      <c r="G241" s="537">
        <f>$D241*_xlfn.XLOOKUP($I241,BG_Data[Product],BG_Data[Biogenic CO2 emissions '[kg CO2']],0)</f>
        <v>0</v>
      </c>
      <c r="H241" s="584">
        <f>$D241*_xlfn.XLOOKUP($I241,BG_Data[Product],BG_Data[Total env. impact (Ecological Scarcity 2021) '[UBP']],0)</f>
        <v>0</v>
      </c>
      <c r="I241" s="503" cm="1">
        <f t="array" ref="I241">_xlfn.XLOOKUP(C241,
   _xlfn.TOCOL(_xlfn.HSTACK(Lists_S3.2_CapitalGoods[DE Name],Lists_S3.2_CapitalGoods[FR Name],Lists_S3.2_CapitalGoods[IT Name]),1),
   _xlfn.TOCOL(_xlfn.HSTACK(Lists_S3.2_CapitalGoods[BG Data],Lists_S3.2_CapitalGoods[BG Data],Lists_S3.2_CapitalGoods[BG Data]),1),
   0)</f>
        <v>0</v>
      </c>
      <c r="J241" s="503" t="s">
        <v>27212</v>
      </c>
      <c r="K241" s="248"/>
    </row>
    <row r="242" spans="2:18" x14ac:dyDescent="0.2">
      <c r="B242" s="249"/>
      <c r="C242" s="503">
        <f>'2 Data Inputs'!D630</f>
        <v>0</v>
      </c>
      <c r="D242" s="537">
        <f>'2 Data Inputs'!F630</f>
        <v>0</v>
      </c>
      <c r="E242" s="537">
        <f>_xlfn.XLOOKUP($I242,BG_Data[Product],BG_Data[GHG emissions (IPCC 2021) '[kg CO2 eq']],0)</f>
        <v>0</v>
      </c>
      <c r="F242" s="537">
        <f t="shared" si="13"/>
        <v>0</v>
      </c>
      <c r="G242" s="537">
        <f>$D242*_xlfn.XLOOKUP($I242,BG_Data[Product],BG_Data[Biogenic CO2 emissions '[kg CO2']],0)</f>
        <v>0</v>
      </c>
      <c r="H242" s="584">
        <f>$D242*_xlfn.XLOOKUP($I242,BG_Data[Product],BG_Data[Total env. impact (Ecological Scarcity 2021) '[UBP']],0)</f>
        <v>0</v>
      </c>
      <c r="I242" s="503" cm="1">
        <f t="array" ref="I242">_xlfn.XLOOKUP(C242,
   _xlfn.TOCOL(_xlfn.HSTACK(Lists_S3.2_CapitalGoods[DE Name],Lists_S3.2_CapitalGoods[FR Name],Lists_S3.2_CapitalGoods[IT Name]),1),
   _xlfn.TOCOL(_xlfn.HSTACK(Lists_S3.2_CapitalGoods[BG Data],Lists_S3.2_CapitalGoods[BG Data],Lists_S3.2_CapitalGoods[BG Data]),1),
   0)</f>
        <v>0</v>
      </c>
      <c r="J242" s="503" t="s">
        <v>27212</v>
      </c>
      <c r="K242" s="248"/>
    </row>
    <row r="243" spans="2:18" x14ac:dyDescent="0.2">
      <c r="B243" s="249"/>
      <c r="C243" s="503">
        <f>'2 Data Inputs'!D631</f>
        <v>0</v>
      </c>
      <c r="D243" s="537">
        <f>'2 Data Inputs'!F631</f>
        <v>0</v>
      </c>
      <c r="E243" s="537">
        <f>_xlfn.XLOOKUP($I243,BG_Data[Product],BG_Data[GHG emissions (IPCC 2021) '[kg CO2 eq']],0)</f>
        <v>0</v>
      </c>
      <c r="F243" s="537">
        <f t="shared" si="13"/>
        <v>0</v>
      </c>
      <c r="G243" s="537">
        <f>$D243*_xlfn.XLOOKUP($I243,BG_Data[Product],BG_Data[Biogenic CO2 emissions '[kg CO2']],0)</f>
        <v>0</v>
      </c>
      <c r="H243" s="584">
        <f>$D243*_xlfn.XLOOKUP($I243,BG_Data[Product],BG_Data[Total env. impact (Ecological Scarcity 2021) '[UBP']],0)</f>
        <v>0</v>
      </c>
      <c r="I243" s="503" cm="1">
        <f t="array" ref="I243">_xlfn.XLOOKUP(C243,
   _xlfn.TOCOL(_xlfn.HSTACK(Lists_S3.2_CapitalGoods[DE Name],Lists_S3.2_CapitalGoods[FR Name],Lists_S3.2_CapitalGoods[IT Name]),1),
   _xlfn.TOCOL(_xlfn.HSTACK(Lists_S3.2_CapitalGoods[BG Data],Lists_S3.2_CapitalGoods[BG Data],Lists_S3.2_CapitalGoods[BG Data]),1),
   0)</f>
        <v>0</v>
      </c>
      <c r="J243" s="503" t="s">
        <v>27212</v>
      </c>
      <c r="K243" s="248"/>
    </row>
    <row r="244" spans="2:18" x14ac:dyDescent="0.2">
      <c r="B244" s="249"/>
      <c r="C244" s="506">
        <f>'2 Data Inputs'!D632</f>
        <v>0</v>
      </c>
      <c r="D244" s="532">
        <f>'2 Data Inputs'!F632</f>
        <v>0</v>
      </c>
      <c r="E244" s="532">
        <f>_xlfn.XLOOKUP($I244,BG_Data[Product],BG_Data[GHG emissions (IPCC 2021) '[kg CO2 eq']],0)</f>
        <v>0</v>
      </c>
      <c r="F244" s="532">
        <f t="shared" si="13"/>
        <v>0</v>
      </c>
      <c r="G244" s="532">
        <f>$D244*_xlfn.XLOOKUP($I244,BG_Data[Product],BG_Data[Biogenic CO2 emissions '[kg CO2']],0)</f>
        <v>0</v>
      </c>
      <c r="H244" s="581">
        <f>$D244*_xlfn.XLOOKUP($I244,BG_Data[Product],BG_Data[Total env. impact (Ecological Scarcity 2021) '[UBP']],0)</f>
        <v>0</v>
      </c>
      <c r="I244" s="506" cm="1">
        <f t="array" ref="I244">_xlfn.XLOOKUP(C244,
   _xlfn.TOCOL(_xlfn.HSTACK(Lists_S3.2_CapitalGoods[DE Name],Lists_S3.2_CapitalGoods[FR Name],Lists_S3.2_CapitalGoods[IT Name]),1),
   _xlfn.TOCOL(_xlfn.HSTACK(Lists_S3.2_CapitalGoods[BG Data],Lists_S3.2_CapitalGoods[BG Data],Lists_S3.2_CapitalGoods[BG Data]),1),
   0)</f>
        <v>0</v>
      </c>
      <c r="J244" s="506" t="s">
        <v>27212</v>
      </c>
      <c r="K244" s="248"/>
    </row>
    <row r="245" spans="2:18" ht="15" x14ac:dyDescent="0.25">
      <c r="B245" s="249"/>
      <c r="C245" s="507" t="s">
        <v>2616</v>
      </c>
      <c r="D245" s="508"/>
      <c r="E245" s="508"/>
      <c r="F245" s="508">
        <f>SUM(F234:F244)</f>
        <v>0</v>
      </c>
      <c r="G245" s="508">
        <f>SUM(G234:G244)</f>
        <v>0</v>
      </c>
      <c r="H245" s="580">
        <f>SUM(H234:H244)</f>
        <v>0</v>
      </c>
      <c r="I245" s="507"/>
      <c r="J245" s="507"/>
      <c r="K245" s="248"/>
    </row>
    <row r="246" spans="2:18" x14ac:dyDescent="0.2">
      <c r="B246" s="254"/>
      <c r="C246" s="539"/>
      <c r="D246" s="540"/>
      <c r="E246" s="540"/>
      <c r="F246" s="540"/>
      <c r="G246" s="540"/>
      <c r="H246" s="588"/>
      <c r="I246" s="539"/>
      <c r="J246" s="539"/>
      <c r="K246" s="256"/>
    </row>
    <row r="247" spans="2:18" x14ac:dyDescent="0.2">
      <c r="B247" s="250"/>
      <c r="C247" s="506"/>
      <c r="D247" s="532"/>
      <c r="E247" s="532"/>
      <c r="F247" s="532"/>
      <c r="G247" s="532"/>
      <c r="H247" s="581"/>
      <c r="I247" s="506"/>
      <c r="J247" s="506"/>
      <c r="K247" s="250"/>
    </row>
    <row r="248" spans="2:18" ht="15" x14ac:dyDescent="0.25">
      <c r="B248" s="259" t="s">
        <v>27264</v>
      </c>
      <c r="C248" s="500"/>
      <c r="D248" s="535"/>
      <c r="E248" s="535"/>
      <c r="F248" s="535"/>
      <c r="G248" s="535"/>
      <c r="H248" s="583"/>
      <c r="I248" s="500"/>
      <c r="J248" s="500"/>
      <c r="K248" s="251"/>
    </row>
    <row r="249" spans="2:18" x14ac:dyDescent="0.2">
      <c r="B249" s="246"/>
      <c r="C249" s="527"/>
      <c r="D249" s="528"/>
      <c r="E249" s="528"/>
      <c r="F249" s="528"/>
      <c r="G249" s="547"/>
      <c r="H249" s="589"/>
      <c r="I249" s="548"/>
      <c r="J249" s="548"/>
      <c r="K249" s="247" t="str">
        <f>Calc_Hyperlink_S3</f>
        <v>Scope 3</v>
      </c>
    </row>
    <row r="250" spans="2:18" ht="15" x14ac:dyDescent="0.25">
      <c r="B250" s="249"/>
      <c r="C250" s="531" t="str">
        <f>n3Calculation_13_S3.3_StationaryCombustion</f>
        <v>Combustion stationnaire</v>
      </c>
      <c r="D250" s="510"/>
      <c r="E250" s="510"/>
      <c r="F250" s="510"/>
      <c r="G250" s="510"/>
      <c r="H250" s="571"/>
      <c r="I250" s="511"/>
      <c r="J250" s="511"/>
      <c r="K250" s="248"/>
      <c r="M250" s="299" t="s">
        <v>28302</v>
      </c>
    </row>
    <row r="251" spans="2:18" x14ac:dyDescent="0.2">
      <c r="B251" s="249"/>
      <c r="C251" s="740"/>
      <c r="D251" s="740"/>
      <c r="E251" s="740"/>
      <c r="F251" s="740"/>
      <c r="G251" s="510"/>
      <c r="H251" s="571"/>
      <c r="I251" s="511"/>
      <c r="J251" s="511"/>
      <c r="K251" s="248"/>
    </row>
    <row r="252" spans="2:18" s="686" customFormat="1" ht="33" x14ac:dyDescent="0.25">
      <c r="B252" s="681"/>
      <c r="C252" s="682" t="s">
        <v>27179</v>
      </c>
      <c r="D252" s="683" t="s">
        <v>28534</v>
      </c>
      <c r="E252" s="683" t="s">
        <v>27208</v>
      </c>
      <c r="F252" s="683" t="s">
        <v>27588</v>
      </c>
      <c r="G252" s="683" t="s">
        <v>27589</v>
      </c>
      <c r="H252" s="683" t="s">
        <v>27209</v>
      </c>
      <c r="I252" s="682" t="s">
        <v>27210</v>
      </c>
      <c r="J252" s="682" t="s">
        <v>27211</v>
      </c>
      <c r="K252" s="685"/>
      <c r="M252" s="687"/>
      <c r="N252" s="687"/>
      <c r="O252" s="687"/>
      <c r="P252" s="687"/>
      <c r="Q252" s="687"/>
      <c r="R252" s="687"/>
    </row>
    <row r="253" spans="2:18" x14ac:dyDescent="0.2">
      <c r="B253" s="249"/>
      <c r="C253" s="500">
        <f>IF('1 General Inputs '!$K$46="No",0,'2 Data Inputs'!C57)</f>
        <v>0</v>
      </c>
      <c r="D253" s="535">
        <f>IF('1 General Inputs '!$K$46="No",0,'2 Data Inputs'!F57)</f>
        <v>0</v>
      </c>
      <c r="E253" s="535">
        <f>_xlfn.XLOOKUP($I253,BG_Data[Product],BG_Data[GHG emissions (IPCC 2021) '[kg CO2 eq']],0)</f>
        <v>0</v>
      </c>
      <c r="F253" s="535">
        <f t="shared" ref="F253:F263" si="14">$D253*$E253</f>
        <v>0</v>
      </c>
      <c r="G253" s="535">
        <f>$D253*_xlfn.XLOOKUP($I253,BG_Data[Product],BG_Data[Biogenic CO2 emissions '[kg CO2']],0)</f>
        <v>0</v>
      </c>
      <c r="H253" s="583">
        <f>$D253*_xlfn.XLOOKUP($I253,BG_Data[Product],BG_Data[Total env. impact (Ecological Scarcity 2021) '[UBP']],0)</f>
        <v>0</v>
      </c>
      <c r="I253" s="500" cm="1">
        <f t="array" ref="I253">_xlfn.XLOOKUP(
     C253,
     _xlfn.TOCOL(_xlfn.HSTACK(Lists_S1_StationaryComb[DE Name],Lists_S1_StationaryComb[FR Name],Lists_S1_StationaryComb[IT Name]),1),
     _xlfn.TOCOL(_xlfn.HSTACK(Lists_S1_StationaryComb[BG Data],Lists_S1_StationaryComb[BG Data],Lists_S1_StationaryComb[BG Data]),1) &amp;" Indirect",
     0)</f>
        <v>0</v>
      </c>
      <c r="J253" s="500" t="s">
        <v>27212</v>
      </c>
      <c r="K253" s="248"/>
    </row>
    <row r="254" spans="2:18" x14ac:dyDescent="0.2">
      <c r="B254" s="249"/>
      <c r="C254" s="503">
        <f>IF('1 General Inputs '!$K$46="No",0,'2 Data Inputs'!C58)</f>
        <v>0</v>
      </c>
      <c r="D254" s="537">
        <f>IF('1 General Inputs '!$K$46="No",0,'2 Data Inputs'!F58)</f>
        <v>0</v>
      </c>
      <c r="E254" s="537">
        <f>_xlfn.XLOOKUP($I254,BG_Data[Product],BG_Data[GHG emissions (IPCC 2021) '[kg CO2 eq']],0)</f>
        <v>0</v>
      </c>
      <c r="F254" s="537">
        <f t="shared" si="14"/>
        <v>0</v>
      </c>
      <c r="G254" s="537">
        <f>$D254*_xlfn.XLOOKUP($I254,BG_Data[Product],BG_Data[Biogenic CO2 emissions '[kg CO2']],0)</f>
        <v>0</v>
      </c>
      <c r="H254" s="584">
        <f>$D254*_xlfn.XLOOKUP($I254,BG_Data[Product],BG_Data[Total env. impact (Ecological Scarcity 2021) '[UBP']],0)</f>
        <v>0</v>
      </c>
      <c r="I254" s="503" cm="1">
        <f t="array" ref="I254">_xlfn.XLOOKUP(
     C254,
     _xlfn.TOCOL(_xlfn.HSTACK(Lists_S1_StationaryComb[DE Name],Lists_S1_StationaryComb[FR Name],Lists_S1_StationaryComb[IT Name]),1),
     _xlfn.TOCOL(_xlfn.HSTACK(Lists_S1_StationaryComb[BG Data],Lists_S1_StationaryComb[BG Data],Lists_S1_StationaryComb[BG Data]),1) &amp;" Indirect",
     0)</f>
        <v>0</v>
      </c>
      <c r="J254" s="503" t="s">
        <v>27212</v>
      </c>
      <c r="K254" s="248"/>
    </row>
    <row r="255" spans="2:18" x14ac:dyDescent="0.2">
      <c r="B255" s="249"/>
      <c r="C255" s="503">
        <f>IF('1 General Inputs '!$K$46="No",0,'2 Data Inputs'!C59)</f>
        <v>0</v>
      </c>
      <c r="D255" s="537">
        <f>IF('1 General Inputs '!$K$46="No",0,'2 Data Inputs'!F59)</f>
        <v>0</v>
      </c>
      <c r="E255" s="537">
        <f>_xlfn.XLOOKUP($I255,BG_Data[Product],BG_Data[GHG emissions (IPCC 2021) '[kg CO2 eq']],0)</f>
        <v>0</v>
      </c>
      <c r="F255" s="537">
        <f t="shared" si="14"/>
        <v>0</v>
      </c>
      <c r="G255" s="537">
        <f>$D255*_xlfn.XLOOKUP($I255,BG_Data[Product],BG_Data[Biogenic CO2 emissions '[kg CO2']],0)</f>
        <v>0</v>
      </c>
      <c r="H255" s="584">
        <f>$D255*_xlfn.XLOOKUP($I255,BG_Data[Product],BG_Data[Total env. impact (Ecological Scarcity 2021) '[UBP']],0)</f>
        <v>0</v>
      </c>
      <c r="I255" s="503" cm="1">
        <f t="array" ref="I255">_xlfn.XLOOKUP(
     C255,
     _xlfn.TOCOL(_xlfn.HSTACK(Lists_S1_StationaryComb[DE Name],Lists_S1_StationaryComb[FR Name],Lists_S1_StationaryComb[IT Name]),1),
     _xlfn.TOCOL(_xlfn.HSTACK(Lists_S1_StationaryComb[BG Data],Lists_S1_StationaryComb[BG Data],Lists_S1_StationaryComb[BG Data]),1) &amp;" Indirect",
     0)</f>
        <v>0</v>
      </c>
      <c r="J255" s="503" t="s">
        <v>27212</v>
      </c>
      <c r="K255" s="248"/>
    </row>
    <row r="256" spans="2:18" x14ac:dyDescent="0.2">
      <c r="B256" s="249"/>
      <c r="C256" s="503">
        <f>IF('1 General Inputs '!$K$46="No",0,'2 Data Inputs'!C60)</f>
        <v>0</v>
      </c>
      <c r="D256" s="537">
        <f>IF('1 General Inputs '!$K$46="No",0,'2 Data Inputs'!F60)</f>
        <v>0</v>
      </c>
      <c r="E256" s="537">
        <f>_xlfn.XLOOKUP($I256,BG_Data[Product],BG_Data[GHG emissions (IPCC 2021) '[kg CO2 eq']],0)</f>
        <v>0</v>
      </c>
      <c r="F256" s="537">
        <f t="shared" si="14"/>
        <v>0</v>
      </c>
      <c r="G256" s="537">
        <f>$D256*_xlfn.XLOOKUP($I256,BG_Data[Product],BG_Data[Biogenic CO2 emissions '[kg CO2']],0)</f>
        <v>0</v>
      </c>
      <c r="H256" s="584">
        <f>$D256*_xlfn.XLOOKUP($I256,BG_Data[Product],BG_Data[Total env. impact (Ecological Scarcity 2021) '[UBP']],0)</f>
        <v>0</v>
      </c>
      <c r="I256" s="503" cm="1">
        <f t="array" ref="I256">_xlfn.XLOOKUP(
     C256,
     _xlfn.TOCOL(_xlfn.HSTACK(Lists_S1_StationaryComb[DE Name],Lists_S1_StationaryComb[FR Name],Lists_S1_StationaryComb[IT Name]),1),
     _xlfn.TOCOL(_xlfn.HSTACK(Lists_S1_StationaryComb[BG Data],Lists_S1_StationaryComb[BG Data],Lists_S1_StationaryComb[BG Data]),1) &amp;" Indirect",
     0)</f>
        <v>0</v>
      </c>
      <c r="J256" s="503" t="s">
        <v>27212</v>
      </c>
      <c r="K256" s="248"/>
    </row>
    <row r="257" spans="2:18" x14ac:dyDescent="0.2">
      <c r="B257" s="249"/>
      <c r="C257" s="503">
        <f>IF('1 General Inputs '!$K$46="No",0,'2 Data Inputs'!C61)</f>
        <v>0</v>
      </c>
      <c r="D257" s="537">
        <f>IF('1 General Inputs '!$K$46="No",0,'2 Data Inputs'!F61)</f>
        <v>0</v>
      </c>
      <c r="E257" s="537">
        <f>_xlfn.XLOOKUP($I257,BG_Data[Product],BG_Data[GHG emissions (IPCC 2021) '[kg CO2 eq']],0)</f>
        <v>0</v>
      </c>
      <c r="F257" s="537">
        <f t="shared" si="14"/>
        <v>0</v>
      </c>
      <c r="G257" s="537">
        <f>$D257*_xlfn.XLOOKUP($I257,BG_Data[Product],BG_Data[Biogenic CO2 emissions '[kg CO2']],0)</f>
        <v>0</v>
      </c>
      <c r="H257" s="584">
        <f>$D257*_xlfn.XLOOKUP($I257,BG_Data[Product],BG_Data[Total env. impact (Ecological Scarcity 2021) '[UBP']],0)</f>
        <v>0</v>
      </c>
      <c r="I257" s="503" cm="1">
        <f t="array" ref="I257">_xlfn.XLOOKUP(
     C257,
     _xlfn.TOCOL(_xlfn.HSTACK(Lists_S1_StationaryComb[DE Name],Lists_S1_StationaryComb[FR Name],Lists_S1_StationaryComb[IT Name]),1),
     _xlfn.TOCOL(_xlfn.HSTACK(Lists_S1_StationaryComb[BG Data],Lists_S1_StationaryComb[BG Data],Lists_S1_StationaryComb[BG Data]),1) &amp;" Indirect",
     0)</f>
        <v>0</v>
      </c>
      <c r="J257" s="503" t="s">
        <v>27212</v>
      </c>
      <c r="K257" s="248"/>
    </row>
    <row r="258" spans="2:18" x14ac:dyDescent="0.2">
      <c r="B258" s="249"/>
      <c r="C258" s="503">
        <f>IF('1 General Inputs '!$K$46="No",0,'2 Data Inputs'!C62)</f>
        <v>0</v>
      </c>
      <c r="D258" s="537">
        <f>IF('1 General Inputs '!$K$46="No",0,'2 Data Inputs'!F62)</f>
        <v>0</v>
      </c>
      <c r="E258" s="537">
        <f>_xlfn.XLOOKUP($I258,BG_Data[Product],BG_Data[GHG emissions (IPCC 2021) '[kg CO2 eq']],0)</f>
        <v>0</v>
      </c>
      <c r="F258" s="537">
        <f t="shared" si="14"/>
        <v>0</v>
      </c>
      <c r="G258" s="537">
        <f>$D258*_xlfn.XLOOKUP($I258,BG_Data[Product],BG_Data[Biogenic CO2 emissions '[kg CO2']],0)</f>
        <v>0</v>
      </c>
      <c r="H258" s="584">
        <f>$D258*_xlfn.XLOOKUP($I258,BG_Data[Product],BG_Data[Total env. impact (Ecological Scarcity 2021) '[UBP']],0)</f>
        <v>0</v>
      </c>
      <c r="I258" s="503" cm="1">
        <f t="array" ref="I258">_xlfn.XLOOKUP(
     C258,
     _xlfn.TOCOL(_xlfn.HSTACK(Lists_S1_StationaryComb[DE Name],Lists_S1_StationaryComb[FR Name],Lists_S1_StationaryComb[IT Name]),1),
     _xlfn.TOCOL(_xlfn.HSTACK(Lists_S1_StationaryComb[BG Data],Lists_S1_StationaryComb[BG Data],Lists_S1_StationaryComb[BG Data]),1) &amp;" Indirect",
     0)</f>
        <v>0</v>
      </c>
      <c r="J258" s="503" t="s">
        <v>27212</v>
      </c>
      <c r="K258" s="248"/>
    </row>
    <row r="259" spans="2:18" x14ac:dyDescent="0.2">
      <c r="B259" s="249"/>
      <c r="C259" s="503">
        <f>IF('1 General Inputs '!$K$46="No",0,'2 Data Inputs'!C63)</f>
        <v>0</v>
      </c>
      <c r="D259" s="537">
        <f>IF('1 General Inputs '!$K$46="No",0,'2 Data Inputs'!F63)</f>
        <v>0</v>
      </c>
      <c r="E259" s="537">
        <f>_xlfn.XLOOKUP($I259,BG_Data[Product],BG_Data[GHG emissions (IPCC 2021) '[kg CO2 eq']],0)</f>
        <v>0</v>
      </c>
      <c r="F259" s="537">
        <f t="shared" si="14"/>
        <v>0</v>
      </c>
      <c r="G259" s="537">
        <f>$D259*_xlfn.XLOOKUP($I259,BG_Data[Product],BG_Data[Biogenic CO2 emissions '[kg CO2']],0)</f>
        <v>0</v>
      </c>
      <c r="H259" s="584">
        <f>$D259*_xlfn.XLOOKUP($I259,BG_Data[Product],BG_Data[Total env. impact (Ecological Scarcity 2021) '[UBP']],0)</f>
        <v>0</v>
      </c>
      <c r="I259" s="503" cm="1">
        <f t="array" ref="I259">_xlfn.XLOOKUP(
     C259,
     _xlfn.TOCOL(_xlfn.HSTACK(Lists_S1_StationaryComb[DE Name],Lists_S1_StationaryComb[FR Name],Lists_S1_StationaryComb[IT Name]),1),
     _xlfn.TOCOL(_xlfn.HSTACK(Lists_S1_StationaryComb[BG Data],Lists_S1_StationaryComb[BG Data],Lists_S1_StationaryComb[BG Data]),1) &amp;" Indirect",
     0)</f>
        <v>0</v>
      </c>
      <c r="J259" s="503" t="s">
        <v>27212</v>
      </c>
      <c r="K259" s="248"/>
    </row>
    <row r="260" spans="2:18" x14ac:dyDescent="0.2">
      <c r="B260" s="249"/>
      <c r="C260" s="503">
        <f>IF('1 General Inputs '!$K$46="No",0,'2 Data Inputs'!C64)</f>
        <v>0</v>
      </c>
      <c r="D260" s="537">
        <f>IF('1 General Inputs '!$K$46="No",0,'2 Data Inputs'!F64)</f>
        <v>0</v>
      </c>
      <c r="E260" s="537">
        <f>_xlfn.XLOOKUP($I260,BG_Data[Product],BG_Data[GHG emissions (IPCC 2021) '[kg CO2 eq']],0)</f>
        <v>0</v>
      </c>
      <c r="F260" s="537">
        <f t="shared" si="14"/>
        <v>0</v>
      </c>
      <c r="G260" s="537">
        <f>$D260*_xlfn.XLOOKUP($I260,BG_Data[Product],BG_Data[Biogenic CO2 emissions '[kg CO2']],0)</f>
        <v>0</v>
      </c>
      <c r="H260" s="584">
        <f>$D260*_xlfn.XLOOKUP($I260,BG_Data[Product],BG_Data[Total env. impact (Ecological Scarcity 2021) '[UBP']],0)</f>
        <v>0</v>
      </c>
      <c r="I260" s="503" cm="1">
        <f t="array" ref="I260">_xlfn.XLOOKUP(
     C260,
     _xlfn.TOCOL(_xlfn.HSTACK(Lists_S1_StationaryComb[DE Name],Lists_S1_StationaryComb[FR Name],Lists_S1_StationaryComb[IT Name]),1),
     _xlfn.TOCOL(_xlfn.HSTACK(Lists_S1_StationaryComb[BG Data],Lists_S1_StationaryComb[BG Data],Lists_S1_StationaryComb[BG Data]),1) &amp;" Indirect",
     0)</f>
        <v>0</v>
      </c>
      <c r="J260" s="503" t="s">
        <v>27212</v>
      </c>
      <c r="K260" s="248"/>
    </row>
    <row r="261" spans="2:18" x14ac:dyDescent="0.2">
      <c r="B261" s="249"/>
      <c r="C261" s="503">
        <f>IF('1 General Inputs '!$K$46="No",0,'2 Data Inputs'!C65)</f>
        <v>0</v>
      </c>
      <c r="D261" s="537">
        <f>IF('1 General Inputs '!$K$46="No",0,'2 Data Inputs'!F65)</f>
        <v>0</v>
      </c>
      <c r="E261" s="537">
        <f>_xlfn.XLOOKUP($I261,BG_Data[Product],BG_Data[GHG emissions (IPCC 2021) '[kg CO2 eq']],0)</f>
        <v>0</v>
      </c>
      <c r="F261" s="537">
        <f t="shared" si="14"/>
        <v>0</v>
      </c>
      <c r="G261" s="537">
        <f>$D261*_xlfn.XLOOKUP($I261,BG_Data[Product],BG_Data[Biogenic CO2 emissions '[kg CO2']],0)</f>
        <v>0</v>
      </c>
      <c r="H261" s="584">
        <f>$D261*_xlfn.XLOOKUP($I261,BG_Data[Product],BG_Data[Total env. impact (Ecological Scarcity 2021) '[UBP']],0)</f>
        <v>0</v>
      </c>
      <c r="I261" s="503" cm="1">
        <f t="array" ref="I261">_xlfn.XLOOKUP(
     C261,
     _xlfn.TOCOL(_xlfn.HSTACK(Lists_S1_StationaryComb[DE Name],Lists_S1_StationaryComb[FR Name],Lists_S1_StationaryComb[IT Name]),1),
     _xlfn.TOCOL(_xlfn.HSTACK(Lists_S1_StationaryComb[BG Data],Lists_S1_StationaryComb[BG Data],Lists_S1_StationaryComb[BG Data]),1) &amp;" Indirect",
     0)</f>
        <v>0</v>
      </c>
      <c r="J261" s="503" t="s">
        <v>27212</v>
      </c>
      <c r="K261" s="248"/>
    </row>
    <row r="262" spans="2:18" x14ac:dyDescent="0.2">
      <c r="B262" s="249"/>
      <c r="C262" s="503">
        <f>IF('1 General Inputs '!$K$46="No",0,'2 Data Inputs'!C66)</f>
        <v>0</v>
      </c>
      <c r="D262" s="537">
        <f>IF('1 General Inputs '!$K$46="No",0,'2 Data Inputs'!F66)</f>
        <v>0</v>
      </c>
      <c r="E262" s="537">
        <f>_xlfn.XLOOKUP($I262,BG_Data[Product],BG_Data[GHG emissions (IPCC 2021) '[kg CO2 eq']],0)</f>
        <v>0</v>
      </c>
      <c r="F262" s="537">
        <f t="shared" si="14"/>
        <v>0</v>
      </c>
      <c r="G262" s="537">
        <f>$D262*_xlfn.XLOOKUP($I262,BG_Data[Product],BG_Data[Biogenic CO2 emissions '[kg CO2']],0)</f>
        <v>0</v>
      </c>
      <c r="H262" s="584">
        <f>$D262*_xlfn.XLOOKUP($I262,BG_Data[Product],BG_Data[Total env. impact (Ecological Scarcity 2021) '[UBP']],0)</f>
        <v>0</v>
      </c>
      <c r="I262" s="503" cm="1">
        <f t="array" ref="I262">_xlfn.XLOOKUP(
     C262,
     _xlfn.TOCOL(_xlfn.HSTACK(Lists_S1_StationaryComb[DE Name],Lists_S1_StationaryComb[FR Name],Lists_S1_StationaryComb[IT Name]),1),
     _xlfn.TOCOL(_xlfn.HSTACK(Lists_S1_StationaryComb[BG Data],Lists_S1_StationaryComb[BG Data],Lists_S1_StationaryComb[BG Data]),1) &amp;" Indirect",
     0)</f>
        <v>0</v>
      </c>
      <c r="J262" s="503" t="s">
        <v>27212</v>
      </c>
      <c r="K262" s="248"/>
    </row>
    <row r="263" spans="2:18" x14ac:dyDescent="0.2">
      <c r="B263" s="249"/>
      <c r="C263" s="506">
        <f>IF('1 General Inputs '!$K$46="No",0,'2 Data Inputs'!C67)</f>
        <v>0</v>
      </c>
      <c r="D263" s="532">
        <f>IF('1 General Inputs '!$K$46="No",0,'2 Data Inputs'!F67)</f>
        <v>0</v>
      </c>
      <c r="E263" s="532">
        <f>_xlfn.XLOOKUP($I263,BG_Data[Product],BG_Data[GHG emissions (IPCC 2021) '[kg CO2 eq']],0)</f>
        <v>0</v>
      </c>
      <c r="F263" s="532">
        <f t="shared" si="14"/>
        <v>0</v>
      </c>
      <c r="G263" s="532">
        <f>$D263*_xlfn.XLOOKUP($I263,BG_Data[Product],BG_Data[Biogenic CO2 emissions '[kg CO2']],0)</f>
        <v>0</v>
      </c>
      <c r="H263" s="581">
        <f>$D263*_xlfn.XLOOKUP($I263,BG_Data[Product],BG_Data[Total env. impact (Ecological Scarcity 2021) '[UBP']],0)</f>
        <v>0</v>
      </c>
      <c r="I263" s="506" cm="1">
        <f t="array" ref="I263">_xlfn.XLOOKUP(
     C263,
     _xlfn.TOCOL(_xlfn.HSTACK(Lists_S1_StationaryComb[DE Name],Lists_S1_StationaryComb[FR Name],Lists_S1_StationaryComb[IT Name]),1),
     _xlfn.TOCOL(_xlfn.HSTACK(Lists_S1_StationaryComb[BG Data],Lists_S1_StationaryComb[BG Data],Lists_S1_StationaryComb[BG Data]),1) &amp;" Indirect",
     0)</f>
        <v>0</v>
      </c>
      <c r="J263" s="506" t="s">
        <v>27212</v>
      </c>
      <c r="K263" s="248"/>
    </row>
    <row r="264" spans="2:18" ht="15" x14ac:dyDescent="0.25">
      <c r="B264" s="249"/>
      <c r="C264" s="507" t="s">
        <v>2616</v>
      </c>
      <c r="D264" s="508">
        <f>SUM(D253:D263)</f>
        <v>0</v>
      </c>
      <c r="E264" s="508"/>
      <c r="F264" s="508">
        <f>SUM(F253:F263)</f>
        <v>0</v>
      </c>
      <c r="G264" s="508">
        <f>SUM(G253:G263)</f>
        <v>0</v>
      </c>
      <c r="H264" s="580">
        <f>SUM(H253:H263)</f>
        <v>0</v>
      </c>
      <c r="I264" s="507"/>
      <c r="J264" s="507"/>
      <c r="K264" s="248"/>
    </row>
    <row r="265" spans="2:18" ht="15" x14ac:dyDescent="0.25">
      <c r="B265" s="249"/>
      <c r="C265" s="531"/>
      <c r="D265" s="510"/>
      <c r="E265" s="510"/>
      <c r="F265" s="510"/>
      <c r="G265" s="510"/>
      <c r="H265" s="571"/>
      <c r="I265" s="511"/>
      <c r="J265" s="511"/>
      <c r="K265" s="248"/>
    </row>
    <row r="266" spans="2:18" ht="15" x14ac:dyDescent="0.25">
      <c r="B266" s="249"/>
      <c r="C266" s="531" t="str">
        <f>n3Calculation_14_S3.3_District</f>
        <v>Chauffage et vapeur du district</v>
      </c>
      <c r="D266" s="510"/>
      <c r="E266" s="510"/>
      <c r="F266" s="510"/>
      <c r="G266" s="510"/>
      <c r="H266" s="571"/>
      <c r="I266" s="511"/>
      <c r="J266" s="511"/>
      <c r="K266" s="248"/>
      <c r="M266" s="299" t="s">
        <v>28303</v>
      </c>
    </row>
    <row r="267" spans="2:18" x14ac:dyDescent="0.2">
      <c r="B267" s="249"/>
      <c r="C267" s="740"/>
      <c r="D267" s="740"/>
      <c r="E267" s="740"/>
      <c r="F267" s="740"/>
      <c r="G267" s="510"/>
      <c r="H267" s="571"/>
      <c r="I267" s="511"/>
      <c r="J267" s="511"/>
      <c r="K267" s="248"/>
    </row>
    <row r="268" spans="2:18" s="686" customFormat="1" ht="33" x14ac:dyDescent="0.25">
      <c r="B268" s="681"/>
      <c r="C268" s="682" t="s">
        <v>28599</v>
      </c>
      <c r="D268" s="683" t="s">
        <v>28534</v>
      </c>
      <c r="E268" s="683" t="s">
        <v>27208</v>
      </c>
      <c r="F268" s="683" t="s">
        <v>27588</v>
      </c>
      <c r="G268" s="683" t="s">
        <v>27589</v>
      </c>
      <c r="H268" s="683" t="s">
        <v>27209</v>
      </c>
      <c r="I268" s="682" t="s">
        <v>27210</v>
      </c>
      <c r="J268" s="682" t="s">
        <v>27211</v>
      </c>
      <c r="K268" s="685"/>
      <c r="M268" s="687"/>
      <c r="N268" s="687"/>
      <c r="O268" s="687"/>
      <c r="P268" s="687"/>
      <c r="Q268" s="687"/>
      <c r="R268" s="687"/>
    </row>
    <row r="269" spans="2:18" x14ac:dyDescent="0.2">
      <c r="B269" s="249"/>
      <c r="C269" s="500">
        <f>IF('1 General Inputs '!$K$46="No",0,'2 Data Inputs'!C86)</f>
        <v>0</v>
      </c>
      <c r="D269" s="535">
        <f>IF('1 General Inputs '!$K$46="No",0,'2 Data Inputs'!F86)</f>
        <v>0</v>
      </c>
      <c r="E269" s="535">
        <f>_xlfn.XLOOKUP($I269,BG_Data[Product],BG_Data[GHG emissions (IPCC 2021) '[kg CO2 eq']],0)</f>
        <v>0</v>
      </c>
      <c r="F269" s="535">
        <f t="shared" ref="F269:F278" si="15">$D269*$E269</f>
        <v>0</v>
      </c>
      <c r="G269" s="535">
        <f>$D269*_xlfn.XLOOKUP($I269,BG_Data[Product],BG_Data[Biogenic CO2 emissions '[kg CO2']],0)</f>
        <v>0</v>
      </c>
      <c r="H269" s="583">
        <f>$D269*_xlfn.XLOOKUP($I269,BG_Data[Product],BG_Data[Total env. impact (Ecological Scarcity 2021) '[UBP']],0)</f>
        <v>0</v>
      </c>
      <c r="I269" s="500" cm="1">
        <f t="array" ref="I269">_xlfn.XLOOKUP(
     C136,
     _xlfn.TOCOL(_xlfn.HSTACK(Lists_S2_DistrictHeat[DE Name],Lists_S2_DistrictHeat[FR Name],Lists_S2_DistrictHeat[IT Name]),1),
     _xlfn.TOCOL(_xlfn.HSTACK(Lists_S2_DistrictHeat[BG Data],Lists_S2_DistrictHeat[BG Data],Lists_S2_DistrictHeat[BG Data]),1) &amp; " Indirect",
     0)</f>
        <v>0</v>
      </c>
      <c r="J269" s="535" t="s">
        <v>27212</v>
      </c>
      <c r="K269" s="248"/>
    </row>
    <row r="270" spans="2:18" x14ac:dyDescent="0.2">
      <c r="B270" s="249"/>
      <c r="C270" s="503">
        <f>IF('1 General Inputs '!$K$46="No",0,'2 Data Inputs'!C87)</f>
        <v>0</v>
      </c>
      <c r="D270" s="537">
        <f>IF('1 General Inputs '!$K$46="No",0,'2 Data Inputs'!F87)</f>
        <v>0</v>
      </c>
      <c r="E270" s="537">
        <f>_xlfn.XLOOKUP($I270,BG_Data[Product],BG_Data[GHG emissions (IPCC 2021) '[kg CO2 eq']],0)</f>
        <v>0</v>
      </c>
      <c r="F270" s="537">
        <f t="shared" si="15"/>
        <v>0</v>
      </c>
      <c r="G270" s="537">
        <f>$D270*_xlfn.XLOOKUP($I270,BG_Data[Product],BG_Data[Biogenic CO2 emissions '[kg CO2']],0)</f>
        <v>0</v>
      </c>
      <c r="H270" s="584">
        <f>$D270*_xlfn.XLOOKUP($I270,BG_Data[Product],BG_Data[Total env. impact (Ecological Scarcity 2021) '[UBP']],0)</f>
        <v>0</v>
      </c>
      <c r="I270" s="503" cm="1">
        <f t="array" ref="I270">_xlfn.XLOOKUP(
     C137,
     _xlfn.TOCOL(_xlfn.HSTACK(Lists_S2_DistrictHeat[DE Name],Lists_S2_DistrictHeat[FR Name],Lists_S2_DistrictHeat[IT Name]),1),
     _xlfn.TOCOL(_xlfn.HSTACK(Lists_S2_DistrictHeat[BG Data],Lists_S2_DistrictHeat[BG Data],Lists_S2_DistrictHeat[BG Data]),1) &amp; " Indirect",
     0)</f>
        <v>0</v>
      </c>
      <c r="J270" s="537" t="s">
        <v>27212</v>
      </c>
      <c r="K270" s="248"/>
    </row>
    <row r="271" spans="2:18" x14ac:dyDescent="0.2">
      <c r="B271" s="249"/>
      <c r="C271" s="503">
        <f>IF('1 General Inputs '!$K$46="No",0,'2 Data Inputs'!C88)</f>
        <v>0</v>
      </c>
      <c r="D271" s="537">
        <f>IF('1 General Inputs '!$K$46="No",0,'2 Data Inputs'!F88)</f>
        <v>0</v>
      </c>
      <c r="E271" s="537">
        <f>_xlfn.XLOOKUP($I271,BG_Data[Product],BG_Data[GHG emissions (IPCC 2021) '[kg CO2 eq']],0)</f>
        <v>0</v>
      </c>
      <c r="F271" s="537">
        <f t="shared" si="15"/>
        <v>0</v>
      </c>
      <c r="G271" s="537">
        <f>$D271*_xlfn.XLOOKUP($I271,BG_Data[Product],BG_Data[Biogenic CO2 emissions '[kg CO2']],0)</f>
        <v>0</v>
      </c>
      <c r="H271" s="584">
        <f>$D271*_xlfn.XLOOKUP($I271,BG_Data[Product],BG_Data[Total env. impact (Ecological Scarcity 2021) '[UBP']],0)</f>
        <v>0</v>
      </c>
      <c r="I271" s="503" cm="1">
        <f t="array" ref="I271">_xlfn.XLOOKUP(
     C138,
     _xlfn.TOCOL(_xlfn.HSTACK(Lists_S2_DistrictHeat[DE Name],Lists_S2_DistrictHeat[FR Name],Lists_S2_DistrictHeat[IT Name]),1),
     _xlfn.TOCOL(_xlfn.HSTACK(Lists_S2_DistrictHeat[BG Data],Lists_S2_DistrictHeat[BG Data],Lists_S2_DistrictHeat[BG Data]),1) &amp; " Indirect",
     0)</f>
        <v>0</v>
      </c>
      <c r="J271" s="537" t="s">
        <v>27212</v>
      </c>
      <c r="K271" s="248"/>
    </row>
    <row r="272" spans="2:18" x14ac:dyDescent="0.2">
      <c r="B272" s="249"/>
      <c r="C272" s="503">
        <f>IF('1 General Inputs '!$K$46="No",0,'2 Data Inputs'!C89)</f>
        <v>0</v>
      </c>
      <c r="D272" s="537">
        <f>IF('1 General Inputs '!$K$46="No",0,'2 Data Inputs'!F89)</f>
        <v>0</v>
      </c>
      <c r="E272" s="537">
        <f>_xlfn.XLOOKUP($I272,BG_Data[Product],BG_Data[GHG emissions (IPCC 2021) '[kg CO2 eq']],0)</f>
        <v>0</v>
      </c>
      <c r="F272" s="537">
        <f t="shared" si="15"/>
        <v>0</v>
      </c>
      <c r="G272" s="537">
        <f>$D272*_xlfn.XLOOKUP($I272,BG_Data[Product],BG_Data[Biogenic CO2 emissions '[kg CO2']],0)</f>
        <v>0</v>
      </c>
      <c r="H272" s="584">
        <f>$D272*_xlfn.XLOOKUP($I272,BG_Data[Product],BG_Data[Total env. impact (Ecological Scarcity 2021) '[UBP']],0)</f>
        <v>0</v>
      </c>
      <c r="I272" s="503" cm="1">
        <f t="array" ref="I272">_xlfn.XLOOKUP(
     C139,
     _xlfn.TOCOL(_xlfn.HSTACK(Lists_S2_DistrictHeat[DE Name],Lists_S2_DistrictHeat[FR Name],Lists_S2_DistrictHeat[IT Name]),1),
     _xlfn.TOCOL(_xlfn.HSTACK(Lists_S2_DistrictHeat[BG Data],Lists_S2_DistrictHeat[BG Data],Lists_S2_DistrictHeat[BG Data]),1) &amp; " Indirect",
     0)</f>
        <v>0</v>
      </c>
      <c r="J272" s="537" t="s">
        <v>27212</v>
      </c>
      <c r="K272" s="248"/>
    </row>
    <row r="273" spans="1:18" x14ac:dyDescent="0.2">
      <c r="B273" s="249"/>
      <c r="C273" s="503">
        <f>IF('1 General Inputs '!$K$46="No",0,'2 Data Inputs'!C90)</f>
        <v>0</v>
      </c>
      <c r="D273" s="537">
        <f>IF('1 General Inputs '!$K$46="No",0,'2 Data Inputs'!F90)</f>
        <v>0</v>
      </c>
      <c r="E273" s="537">
        <f>_xlfn.XLOOKUP($I273,BG_Data[Product],BG_Data[GHG emissions (IPCC 2021) '[kg CO2 eq']],0)</f>
        <v>0</v>
      </c>
      <c r="F273" s="537">
        <f t="shared" si="15"/>
        <v>0</v>
      </c>
      <c r="G273" s="537">
        <f>$D273*_xlfn.XLOOKUP($I273,BG_Data[Product],BG_Data[Biogenic CO2 emissions '[kg CO2']],0)</f>
        <v>0</v>
      </c>
      <c r="H273" s="584">
        <f>$D273*_xlfn.XLOOKUP($I273,BG_Data[Product],BG_Data[Total env. impact (Ecological Scarcity 2021) '[UBP']],0)</f>
        <v>0</v>
      </c>
      <c r="I273" s="503" cm="1">
        <f t="array" ref="I273">_xlfn.XLOOKUP(
     C140,
     _xlfn.TOCOL(_xlfn.HSTACK(Lists_S2_DistrictHeat[DE Name],Lists_S2_DistrictHeat[FR Name],Lists_S2_DistrictHeat[IT Name]),1),
     _xlfn.TOCOL(_xlfn.HSTACK(Lists_S2_DistrictHeat[BG Data],Lists_S2_DistrictHeat[BG Data],Lists_S2_DistrictHeat[BG Data]),1) &amp; " Indirect",
     0)</f>
        <v>0</v>
      </c>
      <c r="J273" s="537" t="s">
        <v>27212</v>
      </c>
      <c r="K273" s="248"/>
    </row>
    <row r="274" spans="1:18" x14ac:dyDescent="0.2">
      <c r="B274" s="249"/>
      <c r="C274" s="503">
        <f>IF('1 General Inputs '!$K$46="No",0,'2 Data Inputs'!C91)</f>
        <v>0</v>
      </c>
      <c r="D274" s="537">
        <f>IF('1 General Inputs '!$K$46="No",0,'2 Data Inputs'!F91)</f>
        <v>0</v>
      </c>
      <c r="E274" s="537">
        <f>_xlfn.XLOOKUP($I274,BG_Data[Product],BG_Data[GHG emissions (IPCC 2021) '[kg CO2 eq']],0)</f>
        <v>0</v>
      </c>
      <c r="F274" s="537">
        <f t="shared" si="15"/>
        <v>0</v>
      </c>
      <c r="G274" s="537">
        <f>$D274*_xlfn.XLOOKUP($I274,BG_Data[Product],BG_Data[Biogenic CO2 emissions '[kg CO2']],0)</f>
        <v>0</v>
      </c>
      <c r="H274" s="584">
        <f>$D274*_xlfn.XLOOKUP($I274,BG_Data[Product],BG_Data[Total env. impact (Ecological Scarcity 2021) '[UBP']],0)</f>
        <v>0</v>
      </c>
      <c r="I274" s="503" cm="1">
        <f t="array" ref="I274">_xlfn.XLOOKUP(
     C141,
     _xlfn.TOCOL(_xlfn.HSTACK(Lists_S2_DistrictHeat[DE Name],Lists_S2_DistrictHeat[FR Name],Lists_S2_DistrictHeat[IT Name]),1),
     _xlfn.TOCOL(_xlfn.HSTACK(Lists_S2_DistrictHeat[BG Data],Lists_S2_DistrictHeat[BG Data],Lists_S2_DistrictHeat[BG Data]),1) &amp; " Indirect",
     0)</f>
        <v>0</v>
      </c>
      <c r="J274" s="537" t="s">
        <v>27212</v>
      </c>
      <c r="K274" s="248"/>
    </row>
    <row r="275" spans="1:18" x14ac:dyDescent="0.2">
      <c r="B275" s="249"/>
      <c r="C275" s="503">
        <f>IF('1 General Inputs '!$K$46="No",0,'2 Data Inputs'!C92)</f>
        <v>0</v>
      </c>
      <c r="D275" s="537">
        <f>IF('1 General Inputs '!$K$46="No",0,'2 Data Inputs'!F92)</f>
        <v>0</v>
      </c>
      <c r="E275" s="537">
        <f>_xlfn.XLOOKUP($I275,BG_Data[Product],BG_Data[GHG emissions (IPCC 2021) '[kg CO2 eq']],0)</f>
        <v>0</v>
      </c>
      <c r="F275" s="537">
        <f t="shared" si="15"/>
        <v>0</v>
      </c>
      <c r="G275" s="537">
        <f>$D275*_xlfn.XLOOKUP($I275,BG_Data[Product],BG_Data[Biogenic CO2 emissions '[kg CO2']],0)</f>
        <v>0</v>
      </c>
      <c r="H275" s="584">
        <f>$D275*_xlfn.XLOOKUP($I275,BG_Data[Product],BG_Data[Total env. impact (Ecological Scarcity 2021) '[UBP']],0)</f>
        <v>0</v>
      </c>
      <c r="I275" s="503" cm="1">
        <f t="array" ref="I275">_xlfn.XLOOKUP(
     C142,
     _xlfn.TOCOL(_xlfn.HSTACK(Lists_S2_DistrictHeat[DE Name],Lists_S2_DistrictHeat[FR Name],Lists_S2_DistrictHeat[IT Name]),1),
     _xlfn.TOCOL(_xlfn.HSTACK(Lists_S2_DistrictHeat[BG Data],Lists_S2_DistrictHeat[BG Data],Lists_S2_DistrictHeat[BG Data]),1) &amp; " Indirect",
     0)</f>
        <v>0</v>
      </c>
      <c r="J275" s="537" t="s">
        <v>27212</v>
      </c>
      <c r="K275" s="248"/>
    </row>
    <row r="276" spans="1:18" x14ac:dyDescent="0.2">
      <c r="B276" s="249"/>
      <c r="C276" s="503">
        <f>IF('1 General Inputs '!$K$46="No",0,'2 Data Inputs'!C93)</f>
        <v>0</v>
      </c>
      <c r="D276" s="537">
        <f>IF('1 General Inputs '!$K$46="No",0,'2 Data Inputs'!F93)</f>
        <v>0</v>
      </c>
      <c r="E276" s="537">
        <f>_xlfn.XLOOKUP($I276,BG_Data[Product],BG_Data[GHG emissions (IPCC 2021) '[kg CO2 eq']],0)</f>
        <v>0</v>
      </c>
      <c r="F276" s="537">
        <f t="shared" si="15"/>
        <v>0</v>
      </c>
      <c r="G276" s="537">
        <f>$D276*_xlfn.XLOOKUP($I276,BG_Data[Product],BG_Data[Biogenic CO2 emissions '[kg CO2']],0)</f>
        <v>0</v>
      </c>
      <c r="H276" s="584">
        <f>$D276*_xlfn.XLOOKUP($I276,BG_Data[Product],BG_Data[Total env. impact (Ecological Scarcity 2021) '[UBP']],0)</f>
        <v>0</v>
      </c>
      <c r="I276" s="503" cm="1">
        <f t="array" ref="I276">_xlfn.XLOOKUP(
     C143,
     _xlfn.TOCOL(_xlfn.HSTACK(Lists_S2_DistrictHeat[DE Name],Lists_S2_DistrictHeat[FR Name],Lists_S2_DistrictHeat[IT Name]),1),
     _xlfn.TOCOL(_xlfn.HSTACK(Lists_S2_DistrictHeat[BG Data],Lists_S2_DistrictHeat[BG Data],Lists_S2_DistrictHeat[BG Data]),1) &amp; " Indirect",
     0)</f>
        <v>0</v>
      </c>
      <c r="J276" s="537" t="s">
        <v>27212</v>
      </c>
      <c r="K276" s="248"/>
    </row>
    <row r="277" spans="1:18" x14ac:dyDescent="0.2">
      <c r="B277" s="249"/>
      <c r="C277" s="503">
        <f>IF('1 General Inputs '!$K$46="No",0,'2 Data Inputs'!C94)</f>
        <v>0</v>
      </c>
      <c r="D277" s="537">
        <f>IF('1 General Inputs '!$K$46="No",0,'2 Data Inputs'!F94)</f>
        <v>0</v>
      </c>
      <c r="E277" s="537">
        <f>_xlfn.XLOOKUP($I277,BG_Data[Product],BG_Data[GHG emissions (IPCC 2021) '[kg CO2 eq']],0)</f>
        <v>0</v>
      </c>
      <c r="F277" s="537">
        <f t="shared" si="15"/>
        <v>0</v>
      </c>
      <c r="G277" s="537">
        <f>$D277*_xlfn.XLOOKUP($I277,BG_Data[Product],BG_Data[Biogenic CO2 emissions '[kg CO2']],0)</f>
        <v>0</v>
      </c>
      <c r="H277" s="584">
        <f>$D277*_xlfn.XLOOKUP($I277,BG_Data[Product],BG_Data[Total env. impact (Ecological Scarcity 2021) '[UBP']],0)</f>
        <v>0</v>
      </c>
      <c r="I277" s="503" cm="1">
        <f t="array" ref="I277">_xlfn.XLOOKUP(
     C144,
     _xlfn.TOCOL(_xlfn.HSTACK(Lists_S2_DistrictHeat[DE Name],Lists_S2_DistrictHeat[FR Name],Lists_S2_DistrictHeat[IT Name]),1),
     _xlfn.TOCOL(_xlfn.HSTACK(Lists_S2_DistrictHeat[BG Data],Lists_S2_DistrictHeat[BG Data],Lists_S2_DistrictHeat[BG Data]),1) &amp; " Indirect",
     0)</f>
        <v>0</v>
      </c>
      <c r="J277" s="537" t="s">
        <v>27212</v>
      </c>
      <c r="K277" s="248"/>
    </row>
    <row r="278" spans="1:18" x14ac:dyDescent="0.2">
      <c r="B278" s="249"/>
      <c r="C278" s="506">
        <f>IF('1 General Inputs '!$K$46="No",0,'2 Data Inputs'!C95)</f>
        <v>0</v>
      </c>
      <c r="D278" s="532">
        <f>IF('1 General Inputs '!$K$46="No",0,'2 Data Inputs'!F95)</f>
        <v>0</v>
      </c>
      <c r="E278" s="532">
        <f>_xlfn.XLOOKUP($I278,BG_Data[Product],BG_Data[GHG emissions (IPCC 2021) '[kg CO2 eq']],0)</f>
        <v>0</v>
      </c>
      <c r="F278" s="532">
        <f t="shared" si="15"/>
        <v>0</v>
      </c>
      <c r="G278" s="532">
        <f>$D278*_xlfn.XLOOKUP($I278,BG_Data[Product],BG_Data[Biogenic CO2 emissions '[kg CO2']],0)</f>
        <v>0</v>
      </c>
      <c r="H278" s="581">
        <f>$D278*_xlfn.XLOOKUP($I278,BG_Data[Product],BG_Data[Total env. impact (Ecological Scarcity 2021) '[UBP']],0)</f>
        <v>0</v>
      </c>
      <c r="I278" s="506" cm="1">
        <f t="array" ref="I278">_xlfn.XLOOKUP(
     C145,
     _xlfn.TOCOL(_xlfn.HSTACK(Lists_S2_DistrictHeat[DE Name],Lists_S2_DistrictHeat[FR Name],Lists_S2_DistrictHeat[IT Name]),1),
     _xlfn.TOCOL(_xlfn.HSTACK(Lists_S2_DistrictHeat[BG Data],Lists_S2_DistrictHeat[BG Data],Lists_S2_DistrictHeat[BG Data]),1) &amp; " Indirect",
     0)</f>
        <v>0</v>
      </c>
      <c r="J278" s="532" t="s">
        <v>27212</v>
      </c>
      <c r="K278" s="248"/>
    </row>
    <row r="279" spans="1:18" ht="15" x14ac:dyDescent="0.25">
      <c r="B279" s="249"/>
      <c r="C279" s="507" t="s">
        <v>2616</v>
      </c>
      <c r="D279" s="508">
        <f>SUM(D269:D278)</f>
        <v>0</v>
      </c>
      <c r="E279" s="508"/>
      <c r="F279" s="508">
        <f>SUM(F269:F278)</f>
        <v>0</v>
      </c>
      <c r="G279" s="508">
        <f>SUM(G269:G278)</f>
        <v>0</v>
      </c>
      <c r="H279" s="580">
        <f>SUM(H269:H278)</f>
        <v>0</v>
      </c>
      <c r="I279" s="507"/>
      <c r="J279" s="507"/>
      <c r="K279" s="248"/>
    </row>
    <row r="280" spans="1:18" x14ac:dyDescent="0.2">
      <c r="B280" s="249"/>
      <c r="C280" s="545"/>
      <c r="D280" s="546"/>
      <c r="E280" s="546"/>
      <c r="F280" s="546"/>
      <c r="G280" s="546"/>
      <c r="H280" s="587"/>
      <c r="I280" s="545"/>
      <c r="J280" s="545"/>
      <c r="K280" s="248"/>
    </row>
    <row r="281" spans="1:18" ht="15" x14ac:dyDescent="0.25">
      <c r="B281" s="249"/>
      <c r="C281" s="531" t="str">
        <f>n3Calculation_15.1_S3.3_ElectricityMarket</f>
        <v>Électricité - Basée sur le marché</v>
      </c>
      <c r="D281" s="510"/>
      <c r="E281" s="510"/>
      <c r="F281" s="510"/>
      <c r="G281" s="510"/>
      <c r="H281" s="571"/>
      <c r="I281" s="511"/>
      <c r="J281" s="511"/>
      <c r="K281" s="248"/>
      <c r="M281" s="299" t="s">
        <v>28304</v>
      </c>
    </row>
    <row r="282" spans="1:18" x14ac:dyDescent="0.2">
      <c r="B282" s="249"/>
      <c r="C282" s="511"/>
      <c r="D282" s="510"/>
      <c r="E282" s="510"/>
      <c r="F282" s="510"/>
      <c r="G282" s="510"/>
      <c r="H282" s="571"/>
      <c r="I282" s="511"/>
      <c r="J282" s="511"/>
      <c r="K282" s="248"/>
    </row>
    <row r="283" spans="1:18" s="686" customFormat="1" ht="33" x14ac:dyDescent="0.25">
      <c r="A283" s="692"/>
      <c r="B283" s="681"/>
      <c r="C283" s="682" t="s">
        <v>27265</v>
      </c>
      <c r="D283" s="683" t="s">
        <v>28537</v>
      </c>
      <c r="E283" s="683" t="s">
        <v>27208</v>
      </c>
      <c r="F283" s="683" t="s">
        <v>27588</v>
      </c>
      <c r="G283" s="683" t="s">
        <v>27589</v>
      </c>
      <c r="H283" s="683" t="s">
        <v>27209</v>
      </c>
      <c r="I283" s="682" t="s">
        <v>27210</v>
      </c>
      <c r="J283" s="682" t="s">
        <v>27211</v>
      </c>
      <c r="K283" s="685"/>
      <c r="M283" s="687"/>
      <c r="N283" s="687"/>
      <c r="O283" s="687"/>
      <c r="P283" s="687"/>
      <c r="Q283" s="687"/>
      <c r="R283" s="687"/>
    </row>
    <row r="284" spans="1:18" x14ac:dyDescent="0.2">
      <c r="B284" s="249"/>
      <c r="C284" s="524" t="str">
        <f>'2 Data Inputs'!C437</f>
        <v>Électricité achetée sans garantie d'origine</v>
      </c>
      <c r="D284" s="525">
        <f>IF('1 General Inputs '!$K$46="No",0,'2 Data Inputs'!F437)</f>
        <v>0</v>
      </c>
      <c r="E284" s="525">
        <f>_xlfn.XLOOKUP($I284,BG_Data[Product],BG_Data[GHG emissions (IPCC 2021) '[kg CO2 eq']],0)</f>
        <v>4.0754008540141134E-2</v>
      </c>
      <c r="F284" s="525">
        <f t="shared" ref="F284" si="16">$D284*$E284</f>
        <v>0</v>
      </c>
      <c r="G284" s="525">
        <f>$D284*_xlfn.XLOOKUP($I284,BG_Data[Product],BG_Data[Biogenic CO2 emissions '[kg CO2']],0)</f>
        <v>0</v>
      </c>
      <c r="H284" s="574">
        <f>$D284*_xlfn.XLOOKUP($I284,BG_Data[Product],BG_Data[Total env. impact (Ecological Scarcity 2021) '[UBP']],0)</f>
        <v>0</v>
      </c>
      <c r="I284" s="524" t="str">
        <f>IF('2 Data Inputs'!J437="Niederspannung","Electricity, low voltage, at grid {CH} kWh Indirect","Electricity, medium voltage, at grid {CH} kWh Indirect")</f>
        <v>Electricity, low voltage, at grid {CH} kWh Indirect</v>
      </c>
      <c r="J284" s="524" t="s">
        <v>27212</v>
      </c>
      <c r="K284" s="248"/>
    </row>
    <row r="285" spans="1:18" x14ac:dyDescent="0.2">
      <c r="A285" s="257"/>
      <c r="B285" s="249"/>
      <c r="C285" s="740"/>
      <c r="D285" s="740"/>
      <c r="E285" s="740"/>
      <c r="F285" s="740"/>
      <c r="G285" s="510"/>
      <c r="H285" s="571"/>
      <c r="I285" s="511"/>
      <c r="J285" s="511"/>
      <c r="K285" s="248"/>
    </row>
    <row r="286" spans="1:18" s="686" customFormat="1" ht="33" x14ac:dyDescent="0.25">
      <c r="A286" s="693"/>
      <c r="B286" s="681"/>
      <c r="C286" s="682" t="s">
        <v>2607</v>
      </c>
      <c r="D286" s="683" t="s">
        <v>28537</v>
      </c>
      <c r="E286" s="683" t="s">
        <v>27208</v>
      </c>
      <c r="F286" s="683" t="s">
        <v>27588</v>
      </c>
      <c r="G286" s="683" t="s">
        <v>27589</v>
      </c>
      <c r="H286" s="683" t="s">
        <v>27209</v>
      </c>
      <c r="I286" s="682" t="s">
        <v>27210</v>
      </c>
      <c r="J286" s="682" t="s">
        <v>27211</v>
      </c>
      <c r="K286" s="685"/>
      <c r="M286" s="687"/>
      <c r="N286" s="687"/>
      <c r="O286" s="687"/>
      <c r="P286" s="687"/>
      <c r="Q286" s="687"/>
      <c r="R286" s="687"/>
    </row>
    <row r="287" spans="1:18" x14ac:dyDescent="0.2">
      <c r="B287" s="249"/>
      <c r="C287" s="500">
        <f>IF('1 General Inputs '!$K$46="No",0,'2 Data Inputs'!C439)</f>
        <v>0</v>
      </c>
      <c r="D287" s="535">
        <f>IF('1 General Inputs '!$K$46="No",0,'2 Data Inputs'!F439)</f>
        <v>0</v>
      </c>
      <c r="E287" s="535">
        <f>_xlfn.XLOOKUP($I287,BG_Data[Product],BG_Data[GHG emissions (IPCC 2021) '[kg CO2 eq']],0)</f>
        <v>0</v>
      </c>
      <c r="F287" s="535">
        <f t="shared" ref="F287:F296" si="17">$D287*$E287</f>
        <v>0</v>
      </c>
      <c r="G287" s="535">
        <f>$D287*_xlfn.XLOOKUP($I287,BG_Data[Product],BG_Data[Biogenic CO2 emissions '[kg CO2']],0)</f>
        <v>0</v>
      </c>
      <c r="H287" s="583">
        <f>$D287*_xlfn.XLOOKUP($I287,BG_Data[Product],BG_Data[Total env. impact (Ecological Scarcity 2021) '[UBP']],0)</f>
        <v>0</v>
      </c>
      <c r="I287" s="535" cm="1">
        <f t="array" ref="I287">IF(Calc_S3.3_Electricity2[[#This Row],[Source]]=0,0,
_xlfn.XLOOKUP('2 Data Inputs'!I439,
_xlfn.TOCOL(_xlfn.HSTACK(Lists_S2_Electricity[Category DE],Lists_S2_Electricity[Category FR],Lists_S2_Electricity[Category IT]),1),
_xlfn.TOCOL(_xlfn.HSTACK(Lists_S2_Electricity[BG Data],Lists_S2_Electricity[BG Data],Lists_S2_Electricity[BG Data]),1),
"") &amp; " Indirect"
)</f>
        <v>0</v>
      </c>
      <c r="J287" s="535" t="s">
        <v>27212</v>
      </c>
      <c r="K287" s="248"/>
    </row>
    <row r="288" spans="1:18" x14ac:dyDescent="0.2">
      <c r="B288" s="249"/>
      <c r="C288" s="503">
        <f>IF('1 General Inputs '!$K$46="No",0,'2 Data Inputs'!C440)</f>
        <v>0</v>
      </c>
      <c r="D288" s="537">
        <f>IF('1 General Inputs '!$K$46="No",0,'2 Data Inputs'!F440)</f>
        <v>0</v>
      </c>
      <c r="E288" s="537">
        <f>_xlfn.XLOOKUP($I288,BG_Data[Product],BG_Data[GHG emissions (IPCC 2021) '[kg CO2 eq']],0)</f>
        <v>0</v>
      </c>
      <c r="F288" s="537">
        <f t="shared" si="17"/>
        <v>0</v>
      </c>
      <c r="G288" s="537">
        <f>$D288*_xlfn.XLOOKUP($I288,BG_Data[Product],BG_Data[Biogenic CO2 emissions '[kg CO2']],0)</f>
        <v>0</v>
      </c>
      <c r="H288" s="584">
        <f>$D288*_xlfn.XLOOKUP($I288,BG_Data[Product],BG_Data[Total env. impact (Ecological Scarcity 2021) '[UBP']],0)</f>
        <v>0</v>
      </c>
      <c r="I288" s="535" cm="1">
        <f t="array" ref="I288">IF(Calc_S3.3_Electricity2[[#This Row],[Source]]=0,0,
_xlfn.XLOOKUP('2 Data Inputs'!I440,
_xlfn.TOCOL(_xlfn.HSTACK(Lists_S2_Electricity[Category DE],Lists_S2_Electricity[Category FR],Lists_S2_Electricity[Category IT]),1),
_xlfn.TOCOL(_xlfn.HSTACK(Lists_S2_Electricity[BG Data],Lists_S2_Electricity[BG Data],Lists_S2_Electricity[BG Data]),1),
"") &amp; " Indirect"
)</f>
        <v>0</v>
      </c>
      <c r="J288" s="537" t="s">
        <v>27212</v>
      </c>
      <c r="K288" s="248"/>
    </row>
    <row r="289" spans="2:18" x14ac:dyDescent="0.2">
      <c r="B289" s="249"/>
      <c r="C289" s="503">
        <f>IF('1 General Inputs '!$K$46="No",0,'2 Data Inputs'!C441)</f>
        <v>0</v>
      </c>
      <c r="D289" s="537">
        <f>IF('1 General Inputs '!$K$46="No",0,'2 Data Inputs'!F441)</f>
        <v>0</v>
      </c>
      <c r="E289" s="537">
        <f>_xlfn.XLOOKUP($I289,BG_Data[Product],BG_Data[GHG emissions (IPCC 2021) '[kg CO2 eq']],0)</f>
        <v>0</v>
      </c>
      <c r="F289" s="537">
        <f t="shared" si="17"/>
        <v>0</v>
      </c>
      <c r="G289" s="537">
        <f>$D289*_xlfn.XLOOKUP($I289,BG_Data[Product],BG_Data[Biogenic CO2 emissions '[kg CO2']],0)</f>
        <v>0</v>
      </c>
      <c r="H289" s="584">
        <f>$D289*_xlfn.XLOOKUP($I289,BG_Data[Product],BG_Data[Total env. impact (Ecological Scarcity 2021) '[UBP']],0)</f>
        <v>0</v>
      </c>
      <c r="I289" s="535" cm="1">
        <f t="array" ref="I289">IF(Calc_S3.3_Electricity2[[#This Row],[Source]]=0,0,
_xlfn.XLOOKUP('2 Data Inputs'!I441,
_xlfn.TOCOL(_xlfn.HSTACK(Lists_S2_Electricity[Category DE],Lists_S2_Electricity[Category FR],Lists_S2_Electricity[Category IT]),1),
_xlfn.TOCOL(_xlfn.HSTACK(Lists_S2_Electricity[BG Data],Lists_S2_Electricity[BG Data],Lists_S2_Electricity[BG Data]),1),
"") &amp; " Indirect"
)</f>
        <v>0</v>
      </c>
      <c r="J289" s="537" t="s">
        <v>27212</v>
      </c>
      <c r="K289" s="248"/>
    </row>
    <row r="290" spans="2:18" x14ac:dyDescent="0.2">
      <c r="B290" s="249"/>
      <c r="C290" s="503">
        <f>IF('1 General Inputs '!$K$46="No",0,'2 Data Inputs'!C442)</f>
        <v>0</v>
      </c>
      <c r="D290" s="537">
        <f>IF('1 General Inputs '!$K$46="No",0,'2 Data Inputs'!F442)</f>
        <v>0</v>
      </c>
      <c r="E290" s="537">
        <f>_xlfn.XLOOKUP($I290,BG_Data[Product],BG_Data[GHG emissions (IPCC 2021) '[kg CO2 eq']],0)</f>
        <v>0</v>
      </c>
      <c r="F290" s="537">
        <f t="shared" si="17"/>
        <v>0</v>
      </c>
      <c r="G290" s="537">
        <f>$D290*_xlfn.XLOOKUP($I290,BG_Data[Product],BG_Data[Biogenic CO2 emissions '[kg CO2']],0)</f>
        <v>0</v>
      </c>
      <c r="H290" s="584">
        <f>$D290*_xlfn.XLOOKUP($I290,BG_Data[Product],BG_Data[Total env. impact (Ecological Scarcity 2021) '[UBP']],0)</f>
        <v>0</v>
      </c>
      <c r="I290" s="535" cm="1">
        <f t="array" ref="I290">IF(Calc_S3.3_Electricity2[[#This Row],[Source]]=0,0,
_xlfn.XLOOKUP('2 Data Inputs'!I442,
_xlfn.TOCOL(_xlfn.HSTACK(Lists_S2_Electricity[Category DE],Lists_S2_Electricity[Category FR],Lists_S2_Electricity[Category IT]),1),
_xlfn.TOCOL(_xlfn.HSTACK(Lists_S2_Electricity[BG Data],Lists_S2_Electricity[BG Data],Lists_S2_Electricity[BG Data]),1),
"") &amp; " Indirect"
)</f>
        <v>0</v>
      </c>
      <c r="J290" s="537" t="s">
        <v>27212</v>
      </c>
      <c r="K290" s="248"/>
    </row>
    <row r="291" spans="2:18" x14ac:dyDescent="0.2">
      <c r="B291" s="249"/>
      <c r="C291" s="503">
        <f>IF('1 General Inputs '!$K$46="No",0,'2 Data Inputs'!C443)</f>
        <v>0</v>
      </c>
      <c r="D291" s="537">
        <f>IF('1 General Inputs '!$K$46="No",0,'2 Data Inputs'!F443)</f>
        <v>0</v>
      </c>
      <c r="E291" s="537">
        <f>_xlfn.XLOOKUP($I291,BG_Data[Product],BG_Data[GHG emissions (IPCC 2021) '[kg CO2 eq']],0)</f>
        <v>0</v>
      </c>
      <c r="F291" s="537">
        <f t="shared" si="17"/>
        <v>0</v>
      </c>
      <c r="G291" s="537">
        <f>$D291*_xlfn.XLOOKUP($I291,BG_Data[Product],BG_Data[Biogenic CO2 emissions '[kg CO2']],0)</f>
        <v>0</v>
      </c>
      <c r="H291" s="584">
        <f>$D291*_xlfn.XLOOKUP($I291,BG_Data[Product],BG_Data[Total env. impact (Ecological Scarcity 2021) '[UBP']],0)</f>
        <v>0</v>
      </c>
      <c r="I291" s="535" cm="1">
        <f t="array" ref="I291">IF(Calc_S3.3_Electricity2[[#This Row],[Source]]=0,0,
_xlfn.XLOOKUP('2 Data Inputs'!I443,
_xlfn.TOCOL(_xlfn.HSTACK(Lists_S2_Electricity[Category DE],Lists_S2_Electricity[Category FR],Lists_S2_Electricity[Category IT]),1),
_xlfn.TOCOL(_xlfn.HSTACK(Lists_S2_Electricity[BG Data],Lists_S2_Electricity[BG Data],Lists_S2_Electricity[BG Data]),1),
"") &amp; " Indirect"
)</f>
        <v>0</v>
      </c>
      <c r="J291" s="537" t="s">
        <v>27212</v>
      </c>
      <c r="K291" s="248"/>
    </row>
    <row r="292" spans="2:18" x14ac:dyDescent="0.2">
      <c r="B292" s="249"/>
      <c r="C292" s="503">
        <f>IF('1 General Inputs '!$K$46="No",0,'2 Data Inputs'!C444)</f>
        <v>0</v>
      </c>
      <c r="D292" s="537">
        <f>IF('1 General Inputs '!$K$46="No",0,'2 Data Inputs'!F444)</f>
        <v>0</v>
      </c>
      <c r="E292" s="537">
        <f>_xlfn.XLOOKUP($I292,BG_Data[Product],BG_Data[GHG emissions (IPCC 2021) '[kg CO2 eq']],0)</f>
        <v>0</v>
      </c>
      <c r="F292" s="537">
        <f t="shared" si="17"/>
        <v>0</v>
      </c>
      <c r="G292" s="537">
        <f>$D292*_xlfn.XLOOKUP($I292,BG_Data[Product],BG_Data[Biogenic CO2 emissions '[kg CO2']],0)</f>
        <v>0</v>
      </c>
      <c r="H292" s="584">
        <f>$D292*_xlfn.XLOOKUP($I292,BG_Data[Product],BG_Data[Total env. impact (Ecological Scarcity 2021) '[UBP']],0)</f>
        <v>0</v>
      </c>
      <c r="I292" s="535" cm="1">
        <f t="array" ref="I292">IF(Calc_S3.3_Electricity2[[#This Row],[Source]]=0,0,
_xlfn.XLOOKUP('2 Data Inputs'!I444,
_xlfn.TOCOL(_xlfn.HSTACK(Lists_S2_Electricity[Category DE],Lists_S2_Electricity[Category FR],Lists_S2_Electricity[Category IT]),1),
_xlfn.TOCOL(_xlfn.HSTACK(Lists_S2_Electricity[BG Data],Lists_S2_Electricity[BG Data],Lists_S2_Electricity[BG Data]),1),
"") &amp; " Indirect"
)</f>
        <v>0</v>
      </c>
      <c r="J292" s="537" t="s">
        <v>27212</v>
      </c>
      <c r="K292" s="248"/>
    </row>
    <row r="293" spans="2:18" x14ac:dyDescent="0.2">
      <c r="B293" s="249"/>
      <c r="C293" s="503">
        <f>IF('1 General Inputs '!$K$46="No",0,'2 Data Inputs'!C445)</f>
        <v>0</v>
      </c>
      <c r="D293" s="537">
        <f>IF('1 General Inputs '!$K$46="No",0,'2 Data Inputs'!F445)</f>
        <v>0</v>
      </c>
      <c r="E293" s="537">
        <f>_xlfn.XLOOKUP($I293,BG_Data[Product],BG_Data[GHG emissions (IPCC 2021) '[kg CO2 eq']],0)</f>
        <v>0</v>
      </c>
      <c r="F293" s="537">
        <f t="shared" si="17"/>
        <v>0</v>
      </c>
      <c r="G293" s="537">
        <f>$D293*_xlfn.XLOOKUP($I293,BG_Data[Product],BG_Data[Biogenic CO2 emissions '[kg CO2']],0)</f>
        <v>0</v>
      </c>
      <c r="H293" s="584">
        <f>$D293*_xlfn.XLOOKUP($I293,BG_Data[Product],BG_Data[Total env. impact (Ecological Scarcity 2021) '[UBP']],0)</f>
        <v>0</v>
      </c>
      <c r="I293" s="535" cm="1">
        <f t="array" ref="I293">IF(Calc_S3.3_Electricity2[[#This Row],[Source]]=0,0,
_xlfn.XLOOKUP('2 Data Inputs'!I445,
_xlfn.TOCOL(_xlfn.HSTACK(Lists_S2_Electricity[Category DE],Lists_S2_Electricity[Category FR],Lists_S2_Electricity[Category IT]),1),
_xlfn.TOCOL(_xlfn.HSTACK(Lists_S2_Electricity[BG Data],Lists_S2_Electricity[BG Data],Lists_S2_Electricity[BG Data]),1),
"") &amp; " Indirect"
)</f>
        <v>0</v>
      </c>
      <c r="J293" s="537" t="s">
        <v>27212</v>
      </c>
      <c r="K293" s="248"/>
    </row>
    <row r="294" spans="2:18" x14ac:dyDescent="0.2">
      <c r="B294" s="249"/>
      <c r="C294" s="503">
        <f>IF('1 General Inputs '!$K$46="No",0,'2 Data Inputs'!C446)</f>
        <v>0</v>
      </c>
      <c r="D294" s="537">
        <f>IF('1 General Inputs '!$K$46="No",0,'2 Data Inputs'!F446)</f>
        <v>0</v>
      </c>
      <c r="E294" s="537">
        <f>_xlfn.XLOOKUP($I294,BG_Data[Product],BG_Data[GHG emissions (IPCC 2021) '[kg CO2 eq']],0)</f>
        <v>0</v>
      </c>
      <c r="F294" s="537">
        <f t="shared" si="17"/>
        <v>0</v>
      </c>
      <c r="G294" s="537">
        <f>$D294*_xlfn.XLOOKUP($I294,BG_Data[Product],BG_Data[Biogenic CO2 emissions '[kg CO2']],0)</f>
        <v>0</v>
      </c>
      <c r="H294" s="584">
        <f>$D294*_xlfn.XLOOKUP($I294,BG_Data[Product],BG_Data[Total env. impact (Ecological Scarcity 2021) '[UBP']],0)</f>
        <v>0</v>
      </c>
      <c r="I294" s="535" cm="1">
        <f t="array" ref="I294">IF(Calc_S3.3_Electricity2[[#This Row],[Source]]=0,0,
_xlfn.XLOOKUP('2 Data Inputs'!I446,
_xlfn.TOCOL(_xlfn.HSTACK(Lists_S2_Electricity[Category DE],Lists_S2_Electricity[Category FR],Lists_S2_Electricity[Category IT]),1),
_xlfn.TOCOL(_xlfn.HSTACK(Lists_S2_Electricity[BG Data],Lists_S2_Electricity[BG Data],Lists_S2_Electricity[BG Data]),1),
"") &amp; " Indirect"
)</f>
        <v>0</v>
      </c>
      <c r="J294" s="537" t="s">
        <v>27212</v>
      </c>
      <c r="K294" s="248"/>
    </row>
    <row r="295" spans="2:18" x14ac:dyDescent="0.2">
      <c r="B295" s="249"/>
      <c r="C295" s="503">
        <f>IF('1 General Inputs '!$K$46="No",0,'2 Data Inputs'!C447)</f>
        <v>0</v>
      </c>
      <c r="D295" s="537">
        <f>IF('1 General Inputs '!$K$46="No",0,'2 Data Inputs'!F447)</f>
        <v>0</v>
      </c>
      <c r="E295" s="537">
        <f>_xlfn.XLOOKUP($I295,BG_Data[Product],BG_Data[GHG emissions (IPCC 2021) '[kg CO2 eq']],0)</f>
        <v>0</v>
      </c>
      <c r="F295" s="537">
        <f t="shared" si="17"/>
        <v>0</v>
      </c>
      <c r="G295" s="537">
        <f>$D295*_xlfn.XLOOKUP($I295,BG_Data[Product],BG_Data[Biogenic CO2 emissions '[kg CO2']],0)</f>
        <v>0</v>
      </c>
      <c r="H295" s="584">
        <f>$D295*_xlfn.XLOOKUP($I295,BG_Data[Product],BG_Data[Total env. impact (Ecological Scarcity 2021) '[UBP']],0)</f>
        <v>0</v>
      </c>
      <c r="I295" s="535" cm="1">
        <f t="array" ref="I295">IF(Calc_S3.3_Electricity2[[#This Row],[Source]]=0,0,
_xlfn.XLOOKUP('2 Data Inputs'!I447,
_xlfn.TOCOL(_xlfn.HSTACK(Lists_S2_Electricity[Category DE],Lists_S2_Electricity[Category FR],Lists_S2_Electricity[Category IT]),1),
_xlfn.TOCOL(_xlfn.HSTACK(Lists_S2_Electricity[BG Data],Lists_S2_Electricity[BG Data],Lists_S2_Electricity[BG Data]),1),
"") &amp; " Indirect"
)</f>
        <v>0</v>
      </c>
      <c r="J295" s="537" t="s">
        <v>27212</v>
      </c>
      <c r="K295" s="248"/>
    </row>
    <row r="296" spans="2:18" x14ac:dyDescent="0.2">
      <c r="B296" s="249"/>
      <c r="C296" s="506">
        <f>IF('1 General Inputs '!$K$46="No",0,'2 Data Inputs'!C448)</f>
        <v>0</v>
      </c>
      <c r="D296" s="532">
        <f>IF('1 General Inputs '!$K$46="No",0,'2 Data Inputs'!F448)</f>
        <v>0</v>
      </c>
      <c r="E296" s="532">
        <f>_xlfn.XLOOKUP($I296,BG_Data[Product],BG_Data[GHG emissions (IPCC 2021) '[kg CO2 eq']],0)</f>
        <v>0</v>
      </c>
      <c r="F296" s="532">
        <f t="shared" si="17"/>
        <v>0</v>
      </c>
      <c r="G296" s="532">
        <f>$D296*_xlfn.XLOOKUP($I296,BG_Data[Product],BG_Data[Biogenic CO2 emissions '[kg CO2']],0)</f>
        <v>0</v>
      </c>
      <c r="H296" s="581">
        <f>$D296*_xlfn.XLOOKUP($I296,BG_Data[Product],BG_Data[Total env. impact (Ecological Scarcity 2021) '[UBP']],0)</f>
        <v>0</v>
      </c>
      <c r="I296" s="544" cm="1">
        <f t="array" ref="I296">IF(Calc_S3.3_Electricity2[[#This Row],[Source]]=0,0,
_xlfn.XLOOKUP('2 Data Inputs'!I448,
_xlfn.TOCOL(_xlfn.HSTACK(Lists_S2_Electricity[Category DE],Lists_S2_Electricity[Category FR],Lists_S2_Electricity[Category IT]),1),
_xlfn.TOCOL(_xlfn.HSTACK(Lists_S2_Electricity[BG Data],Lists_S2_Electricity[BG Data],Lists_S2_Electricity[BG Data]),1),
"") &amp; " Indirect"
)</f>
        <v>0</v>
      </c>
      <c r="J296" s="532" t="s">
        <v>27212</v>
      </c>
      <c r="K296" s="248"/>
    </row>
    <row r="297" spans="2:18" ht="15" x14ac:dyDescent="0.25">
      <c r="B297" s="249"/>
      <c r="C297" s="507" t="s">
        <v>2616</v>
      </c>
      <c r="D297" s="508">
        <f>SUM(D287:D296)</f>
        <v>0</v>
      </c>
      <c r="E297" s="508"/>
      <c r="F297" s="508">
        <f>SUM(F287:F296)</f>
        <v>0</v>
      </c>
      <c r="G297" s="508">
        <f>SUM(G287:G296)</f>
        <v>0</v>
      </c>
      <c r="H297" s="580">
        <f>SUM(H287:H296)</f>
        <v>0</v>
      </c>
      <c r="I297" s="563"/>
      <c r="J297" s="507"/>
      <c r="K297" s="248"/>
    </row>
    <row r="298" spans="2:18" x14ac:dyDescent="0.2">
      <c r="B298" s="249"/>
      <c r="C298" s="511"/>
      <c r="D298" s="510"/>
      <c r="E298" s="510"/>
      <c r="F298" s="510"/>
      <c r="G298" s="510"/>
      <c r="H298" s="571"/>
      <c r="I298" s="511"/>
      <c r="J298" s="511"/>
      <c r="K298" s="248"/>
    </row>
    <row r="299" spans="2:18" ht="15" x14ac:dyDescent="0.25">
      <c r="B299" s="249"/>
      <c r="C299" s="531" t="str">
        <f>n3Calculation_15.2_S3.3_ElectricityLocation</f>
        <v>Électricité - Basée sur la localisation</v>
      </c>
      <c r="D299" s="546"/>
      <c r="E299" s="546"/>
      <c r="F299" s="546"/>
      <c r="G299" s="546"/>
      <c r="H299" s="587"/>
      <c r="I299" s="545"/>
      <c r="J299" s="545"/>
      <c r="K299" s="248"/>
      <c r="M299" s="299" t="s">
        <v>28305</v>
      </c>
      <c r="N299" s="301"/>
      <c r="O299" s="301"/>
      <c r="P299" s="301"/>
      <c r="Q299" s="301"/>
      <c r="R299" s="301"/>
    </row>
    <row r="300" spans="2:18" ht="15" x14ac:dyDescent="0.25">
      <c r="B300" s="249"/>
      <c r="C300" s="531"/>
      <c r="D300" s="546"/>
      <c r="E300" s="546"/>
      <c r="F300" s="546"/>
      <c r="G300" s="546"/>
      <c r="H300" s="587"/>
      <c r="I300" s="545"/>
      <c r="J300" s="545"/>
      <c r="K300" s="248"/>
      <c r="M300" s="359"/>
    </row>
    <row r="301" spans="2:18" s="686" customFormat="1" ht="33" x14ac:dyDescent="0.25">
      <c r="B301" s="681"/>
      <c r="C301" s="682" t="s">
        <v>27888</v>
      </c>
      <c r="D301" s="683" t="s">
        <v>28537</v>
      </c>
      <c r="E301" s="683" t="s">
        <v>27208</v>
      </c>
      <c r="F301" s="683" t="s">
        <v>27588</v>
      </c>
      <c r="G301" s="683" t="s">
        <v>27589</v>
      </c>
      <c r="H301" s="683" t="s">
        <v>27214</v>
      </c>
      <c r="I301" s="682" t="s">
        <v>27210</v>
      </c>
      <c r="J301" s="682" t="s">
        <v>27211</v>
      </c>
      <c r="K301" s="685"/>
      <c r="M301" s="687"/>
      <c r="N301" s="687"/>
      <c r="O301" s="687"/>
      <c r="P301" s="687"/>
      <c r="Q301" s="687"/>
      <c r="R301" s="687"/>
    </row>
    <row r="302" spans="2:18" x14ac:dyDescent="0.2">
      <c r="B302" s="249"/>
      <c r="C302" s="500" t="s">
        <v>27877</v>
      </c>
      <c r="D302" s="535">
        <f>SUMIF('2 Data Inputs'!$J$437:$J$448,"Niederspannung",'2 Data Inputs'!$F$437:$F$448)</f>
        <v>0</v>
      </c>
      <c r="E302" s="535">
        <f>_xlfn.XLOOKUP($I302,BG_Data[Product],BG_Data[GHG emissions (IPCC 2021) '[kg CO2 eq']],0)</f>
        <v>4.0754008540141134E-2</v>
      </c>
      <c r="F302" s="535">
        <f t="shared" ref="F302:F303" si="18">$D302*$E302</f>
        <v>0</v>
      </c>
      <c r="G302" s="535">
        <f>$D302*_xlfn.XLOOKUP($I302,BG_Data[Product],BG_Data[Biogenic CO2 emissions '[kg CO2']],0)</f>
        <v>0</v>
      </c>
      <c r="H302" s="583">
        <f>$D302*_xlfn.XLOOKUP($I302,BG_Data[Product],BG_Data[Total env. impact (Ecological Scarcity 2021) '[UBP']],0)</f>
        <v>0</v>
      </c>
      <c r="I302" s="535" t="s">
        <v>3146</v>
      </c>
      <c r="J302" s="535" t="s">
        <v>27213</v>
      </c>
      <c r="K302" s="248"/>
    </row>
    <row r="303" spans="2:18" x14ac:dyDescent="0.2">
      <c r="B303" s="249"/>
      <c r="C303" s="506" t="s">
        <v>27877</v>
      </c>
      <c r="D303" s="532">
        <f>SUMIF('2 Data Inputs'!$J$437:$J$448,"Mittelspannung",'2 Data Inputs'!$F$437:$F$448)</f>
        <v>0</v>
      </c>
      <c r="E303" s="532">
        <f>_xlfn.XLOOKUP($I303,BG_Data[Product],BG_Data[GHG emissions (IPCC 2021) '[kg CO2 eq']],0)</f>
        <v>3.3270578933333961E-2</v>
      </c>
      <c r="F303" s="532">
        <f t="shared" si="18"/>
        <v>0</v>
      </c>
      <c r="G303" s="532">
        <f>$D303*_xlfn.XLOOKUP($I303,BG_Data[Product],BG_Data[Biogenic CO2 emissions '[kg CO2']],0)</f>
        <v>0</v>
      </c>
      <c r="H303" s="581">
        <f>$D303*_xlfn.XLOOKUP($I303,BG_Data[Product],BG_Data[Total env. impact (Ecological Scarcity 2021) '[UBP']],0)</f>
        <v>0</v>
      </c>
      <c r="I303" s="532" t="s">
        <v>3148</v>
      </c>
      <c r="J303" s="532" t="s">
        <v>27213</v>
      </c>
      <c r="K303" s="248"/>
    </row>
    <row r="304" spans="2:18" ht="15" x14ac:dyDescent="0.25">
      <c r="B304" s="249"/>
      <c r="C304" s="507" t="s">
        <v>2616</v>
      </c>
      <c r="D304" s="508">
        <f>SUM(D302:D303)</f>
        <v>0</v>
      </c>
      <c r="E304" s="508"/>
      <c r="F304" s="508">
        <f>SUM(F302:F303)</f>
        <v>0</v>
      </c>
      <c r="G304" s="508">
        <f>SUM(G302:G303)</f>
        <v>0</v>
      </c>
      <c r="H304" s="580">
        <f>SUM(H302:H303)</f>
        <v>0</v>
      </c>
      <c r="I304" s="507"/>
      <c r="J304" s="507"/>
      <c r="K304" s="248"/>
    </row>
    <row r="305" spans="2:18" x14ac:dyDescent="0.2">
      <c r="B305" s="249"/>
      <c r="C305" s="545"/>
      <c r="D305" s="546"/>
      <c r="E305" s="546"/>
      <c r="F305" s="546"/>
      <c r="G305" s="546"/>
      <c r="H305" s="587"/>
      <c r="I305" s="545"/>
      <c r="J305" s="545"/>
      <c r="K305" s="248"/>
    </row>
    <row r="306" spans="2:18" ht="15" x14ac:dyDescent="0.25">
      <c r="B306" s="249"/>
      <c r="C306" s="531" t="str">
        <f>n3Calculation_16_S3.3_FossilFleet</f>
        <v>Combustion mobile (flotte)</v>
      </c>
      <c r="D306" s="546"/>
      <c r="E306" s="546"/>
      <c r="F306" s="546"/>
      <c r="G306" s="546"/>
      <c r="H306" s="587"/>
      <c r="I306" s="545"/>
      <c r="J306" s="545"/>
      <c r="K306" s="248"/>
      <c r="M306" s="299" t="s">
        <v>28306</v>
      </c>
    </row>
    <row r="307" spans="2:18" ht="15" x14ac:dyDescent="0.25">
      <c r="B307" s="249"/>
      <c r="C307" s="531"/>
      <c r="D307" s="510"/>
      <c r="E307" s="510"/>
      <c r="F307" s="510"/>
      <c r="G307" s="510"/>
      <c r="H307" s="571"/>
      <c r="I307" s="511"/>
      <c r="J307" s="511"/>
      <c r="K307" s="248"/>
    </row>
    <row r="308" spans="2:18" s="686" customFormat="1" ht="33" x14ac:dyDescent="0.25">
      <c r="B308" s="681"/>
      <c r="C308" s="682" t="s">
        <v>27194</v>
      </c>
      <c r="D308" s="683" t="s">
        <v>28536</v>
      </c>
      <c r="E308" s="683" t="s">
        <v>27208</v>
      </c>
      <c r="F308" s="683" t="s">
        <v>27588</v>
      </c>
      <c r="G308" s="683" t="s">
        <v>27589</v>
      </c>
      <c r="H308" s="683" t="s">
        <v>27209</v>
      </c>
      <c r="I308" s="682" t="s">
        <v>27210</v>
      </c>
      <c r="J308" s="682" t="s">
        <v>27211</v>
      </c>
      <c r="K308" s="685"/>
      <c r="M308" s="687"/>
      <c r="N308" s="687"/>
      <c r="O308" s="687"/>
      <c r="P308" s="687"/>
      <c r="Q308" s="687"/>
      <c r="R308" s="687"/>
    </row>
    <row r="309" spans="2:18" x14ac:dyDescent="0.2">
      <c r="B309" s="249"/>
      <c r="C309" s="500" t="str">
        <f>'2 Data Inputs'!C321</f>
        <v>Diesel</v>
      </c>
      <c r="D309" s="535">
        <f>IF('1 General Inputs '!$K$46="No",0,'2 Data Inputs'!F321)</f>
        <v>0</v>
      </c>
      <c r="E309" s="535">
        <f>_xlfn.XLOOKUP($I309,BG_Data[Product],BG_Data[GHG emissions (IPCC 2021) '[kg CO2 eq']],0)</f>
        <v>0.67028987670958395</v>
      </c>
      <c r="F309" s="535">
        <f t="shared" ref="F309:F310" si="19">$D309*$E309</f>
        <v>0</v>
      </c>
      <c r="G309" s="535">
        <f>$D309*_xlfn.XLOOKUP($I309,BG_Data[Product],BG_Data[Biogenic CO2 emissions '[kg CO2']],0)</f>
        <v>0</v>
      </c>
      <c r="H309" s="583">
        <f>$D309*_xlfn.XLOOKUP($I309,BG_Data[Product],BG_Data[Total env. impact (Ecological Scarcity 2021) '[UBP']],0)</f>
        <v>0</v>
      </c>
      <c r="I309" s="500" t="s">
        <v>27348</v>
      </c>
      <c r="J309" s="500" t="s">
        <v>27213</v>
      </c>
      <c r="K309" s="248"/>
    </row>
    <row r="310" spans="2:18" x14ac:dyDescent="0.2">
      <c r="B310" s="249"/>
      <c r="C310" s="506" t="str">
        <f>'2 Data Inputs'!C322</f>
        <v>Essence</v>
      </c>
      <c r="D310" s="532">
        <f>IF('1 General Inputs '!$K$46="No",0,'2 Data Inputs'!F322)</f>
        <v>0</v>
      </c>
      <c r="E310" s="532">
        <f>_xlfn.XLOOKUP($I310,BG_Data[Product],BG_Data[GHG emissions (IPCC 2021) '[kg CO2 eq']],0)</f>
        <v>0.6996802466887404</v>
      </c>
      <c r="F310" s="532">
        <f t="shared" si="19"/>
        <v>0</v>
      </c>
      <c r="G310" s="532">
        <f>$D310*_xlfn.XLOOKUP($I310,BG_Data[Product],BG_Data[Biogenic CO2 emissions '[kg CO2']],0)</f>
        <v>0</v>
      </c>
      <c r="H310" s="581">
        <f>$D310*_xlfn.XLOOKUP($I310,BG_Data[Product],BG_Data[Total env. impact (Ecological Scarcity 2021) '[UBP']],0)</f>
        <v>0</v>
      </c>
      <c r="I310" s="506" t="s">
        <v>27291</v>
      </c>
      <c r="J310" s="506" t="s">
        <v>27213</v>
      </c>
      <c r="K310" s="248"/>
    </row>
    <row r="311" spans="2:18" ht="15" x14ac:dyDescent="0.25">
      <c r="B311" s="249"/>
      <c r="C311" s="507" t="s">
        <v>2616</v>
      </c>
      <c r="D311" s="508">
        <f>SUM(D309:D310)</f>
        <v>0</v>
      </c>
      <c r="E311" s="508"/>
      <c r="F311" s="508">
        <f>SUM(F309:F310)</f>
        <v>0</v>
      </c>
      <c r="G311" s="508">
        <f>SUM(G309:G310)</f>
        <v>0</v>
      </c>
      <c r="H311" s="580">
        <f>SUM(H309:H310)</f>
        <v>0</v>
      </c>
      <c r="I311" s="507"/>
      <c r="J311" s="507"/>
      <c r="K311" s="248"/>
    </row>
    <row r="312" spans="2:18" x14ac:dyDescent="0.2">
      <c r="B312" s="249"/>
      <c r="C312" s="509"/>
      <c r="D312" s="509"/>
      <c r="E312" s="509"/>
      <c r="F312" s="509"/>
      <c r="G312" s="523"/>
      <c r="H312" s="582"/>
      <c r="I312" s="533"/>
      <c r="J312" s="533"/>
      <c r="K312" s="248"/>
    </row>
    <row r="313" spans="2:18" s="686" customFormat="1" ht="33" x14ac:dyDescent="0.25">
      <c r="B313" s="681"/>
      <c r="C313" s="682" t="s">
        <v>28598</v>
      </c>
      <c r="D313" s="683" t="s">
        <v>28536</v>
      </c>
      <c r="E313" s="683" t="s">
        <v>27208</v>
      </c>
      <c r="F313" s="683" t="s">
        <v>27588</v>
      </c>
      <c r="G313" s="683" t="s">
        <v>27589</v>
      </c>
      <c r="H313" s="683" t="s">
        <v>27209</v>
      </c>
      <c r="I313" s="682" t="s">
        <v>27210</v>
      </c>
      <c r="J313" s="682" t="s">
        <v>27211</v>
      </c>
      <c r="K313" s="685"/>
      <c r="M313" s="687"/>
      <c r="N313" s="687"/>
      <c r="O313" s="687"/>
      <c r="P313" s="687"/>
      <c r="Q313" s="687"/>
      <c r="R313" s="687"/>
    </row>
    <row r="314" spans="2:18" x14ac:dyDescent="0.2">
      <c r="B314" s="249"/>
      <c r="C314" s="500">
        <f>IF('2 Data Inputs'!G328="l",'2 Data Inputs'!C328,0)</f>
        <v>0</v>
      </c>
      <c r="D314" s="535">
        <f>IF('2 Data Inputs'!G328="l",'2 Data Inputs'!F328,0)</f>
        <v>0</v>
      </c>
      <c r="E314" s="535">
        <f>_xlfn.XLOOKUP($I314,BG_Data[Product],BG_Data[GHG emissions (IPCC 2021) '[kg CO2 eq']],0)</f>
        <v>0</v>
      </c>
      <c r="F314" s="535">
        <f t="shared" ref="F314:F326" si="20">$D314*$E314</f>
        <v>0</v>
      </c>
      <c r="G314" s="535">
        <f>$D314*_xlfn.XLOOKUP($I314,BG_Data[Product],BG_Data[Biogenic CO2 emissions '[kg CO2']],0)</f>
        <v>0</v>
      </c>
      <c r="H314" s="583">
        <f>$D314*_xlfn.XLOOKUP($I314,BG_Data[Product],BG_Data[Total env. impact (Ecological Scarcity 2021) '[UBP']],0)</f>
        <v>0</v>
      </c>
      <c r="I314" s="500" cm="1">
        <f t="array" ref="I314">_xlfn.XLOOKUP(
     C314,
     _xlfn.TOCOL(_xlfn.HSTACK(Lists_S1_Fleet_direct[DE Name],Lists_S1_Fleet_direct[FR Name],Lists_S1_Fleet_direct[IT Name]),1),
     _xlfn.TOCOL(_xlfn.HSTACK(Lists_S1_Fleet_direct[BG Data],Lists_S1_Fleet_direct[BG Data],Lists_S1_Fleet_direct[BG Data]),1) &amp; " Indirect",
     0)</f>
        <v>0</v>
      </c>
      <c r="J314" s="500" t="s">
        <v>27212</v>
      </c>
      <c r="K314" s="248"/>
    </row>
    <row r="315" spans="2:18" x14ac:dyDescent="0.2">
      <c r="B315" s="249"/>
      <c r="C315" s="503">
        <f>IF('2 Data Inputs'!G329="l",'2 Data Inputs'!C329,0)</f>
        <v>0</v>
      </c>
      <c r="D315" s="537">
        <f>IF('2 Data Inputs'!G329="l",'2 Data Inputs'!F329,0)</f>
        <v>0</v>
      </c>
      <c r="E315" s="537">
        <f>_xlfn.XLOOKUP($I315,BG_Data[Product],BG_Data[GHG emissions (IPCC 2021) '[kg CO2 eq']],0)</f>
        <v>0</v>
      </c>
      <c r="F315" s="537">
        <f t="shared" si="20"/>
        <v>0</v>
      </c>
      <c r="G315" s="537">
        <f>$D315*_xlfn.XLOOKUP($I315,BG_Data[Product],BG_Data[Biogenic CO2 emissions '[kg CO2']],0)</f>
        <v>0</v>
      </c>
      <c r="H315" s="584">
        <f>$D315*_xlfn.XLOOKUP($I315,BG_Data[Product],BG_Data[Total env. impact (Ecological Scarcity 2021) '[UBP']],0)</f>
        <v>0</v>
      </c>
      <c r="I315" s="503" cm="1">
        <f t="array" ref="I315">_xlfn.XLOOKUP(
     C315,
     _xlfn.TOCOL(_xlfn.HSTACK(Lists_S1_Fleet_direct[DE Name],Lists_S1_Fleet_direct[FR Name],Lists_S1_Fleet_direct[IT Name]),1),
     _xlfn.TOCOL(_xlfn.HSTACK(Lists_S1_Fleet_direct[BG Data],Lists_S1_Fleet_direct[BG Data],Lists_S1_Fleet_direct[BG Data]),1) &amp; " Indirect",
     0)</f>
        <v>0</v>
      </c>
      <c r="J315" s="503" t="s">
        <v>27212</v>
      </c>
      <c r="K315" s="248"/>
    </row>
    <row r="316" spans="2:18" x14ac:dyDescent="0.2">
      <c r="B316" s="249"/>
      <c r="C316" s="503">
        <f>IF('2 Data Inputs'!G330="l",'2 Data Inputs'!C330,0)</f>
        <v>0</v>
      </c>
      <c r="D316" s="537">
        <f>IF('2 Data Inputs'!G330="l",'2 Data Inputs'!F330,0)</f>
        <v>0</v>
      </c>
      <c r="E316" s="537">
        <f>_xlfn.XLOOKUP($I316,BG_Data[Product],BG_Data[GHG emissions (IPCC 2021) '[kg CO2 eq']],0)</f>
        <v>0</v>
      </c>
      <c r="F316" s="537">
        <f t="shared" si="20"/>
        <v>0</v>
      </c>
      <c r="G316" s="537">
        <f>$D316*_xlfn.XLOOKUP($I316,BG_Data[Product],BG_Data[Biogenic CO2 emissions '[kg CO2']],0)</f>
        <v>0</v>
      </c>
      <c r="H316" s="584">
        <f>$D316*_xlfn.XLOOKUP($I316,BG_Data[Product],BG_Data[Total env. impact (Ecological Scarcity 2021) '[UBP']],0)</f>
        <v>0</v>
      </c>
      <c r="I316" s="503" cm="1">
        <f t="array" ref="I316">_xlfn.XLOOKUP(
     C316,
     _xlfn.TOCOL(_xlfn.HSTACK(Lists_S1_Fleet_direct[DE Name],Lists_S1_Fleet_direct[FR Name],Lists_S1_Fleet_direct[IT Name]),1),
     _xlfn.TOCOL(_xlfn.HSTACK(Lists_S1_Fleet_direct[BG Data],Lists_S1_Fleet_direct[BG Data],Lists_S1_Fleet_direct[BG Data]),1) &amp; " Indirect",
     0)</f>
        <v>0</v>
      </c>
      <c r="J316" s="503" t="s">
        <v>27212</v>
      </c>
      <c r="K316" s="248"/>
    </row>
    <row r="317" spans="2:18" x14ac:dyDescent="0.2">
      <c r="B317" s="249"/>
      <c r="C317" s="503">
        <f>IF('2 Data Inputs'!G331="l",'2 Data Inputs'!C331,0)</f>
        <v>0</v>
      </c>
      <c r="D317" s="537">
        <f>IF('2 Data Inputs'!G331="l",'2 Data Inputs'!F331,0)</f>
        <v>0</v>
      </c>
      <c r="E317" s="537">
        <f>_xlfn.XLOOKUP($I317,BG_Data[Product],BG_Data[GHG emissions (IPCC 2021) '[kg CO2 eq']],0)</f>
        <v>0</v>
      </c>
      <c r="F317" s="537">
        <f t="shared" si="20"/>
        <v>0</v>
      </c>
      <c r="G317" s="537">
        <f>$D317*_xlfn.XLOOKUP($I317,BG_Data[Product],BG_Data[Biogenic CO2 emissions '[kg CO2']],0)</f>
        <v>0</v>
      </c>
      <c r="H317" s="584">
        <f>$D317*_xlfn.XLOOKUP($I317,BG_Data[Product],BG_Data[Total env. impact (Ecological Scarcity 2021) '[UBP']],0)</f>
        <v>0</v>
      </c>
      <c r="I317" s="503" cm="1">
        <f t="array" ref="I317">_xlfn.XLOOKUP(
     C317,
     _xlfn.TOCOL(_xlfn.HSTACK(Lists_S1_Fleet_direct[DE Name],Lists_S1_Fleet_direct[FR Name],Lists_S1_Fleet_direct[IT Name]),1),
     _xlfn.TOCOL(_xlfn.HSTACK(Lists_S1_Fleet_direct[BG Data],Lists_S1_Fleet_direct[BG Data],Lists_S1_Fleet_direct[BG Data]),1) &amp; " Indirect",
     0)</f>
        <v>0</v>
      </c>
      <c r="J317" s="503" t="s">
        <v>27212</v>
      </c>
      <c r="K317" s="248"/>
    </row>
    <row r="318" spans="2:18" x14ac:dyDescent="0.2">
      <c r="B318" s="249"/>
      <c r="C318" s="503">
        <f>IF('2 Data Inputs'!G332="l",'2 Data Inputs'!C332,0)</f>
        <v>0</v>
      </c>
      <c r="D318" s="537">
        <f>IF('2 Data Inputs'!G332="l",'2 Data Inputs'!F332,0)</f>
        <v>0</v>
      </c>
      <c r="E318" s="537">
        <f>_xlfn.XLOOKUP($I318,BG_Data[Product],BG_Data[GHG emissions (IPCC 2021) '[kg CO2 eq']],0)</f>
        <v>0</v>
      </c>
      <c r="F318" s="537">
        <f t="shared" si="20"/>
        <v>0</v>
      </c>
      <c r="G318" s="537">
        <f>$D318*_xlfn.XLOOKUP($I318,BG_Data[Product],BG_Data[Biogenic CO2 emissions '[kg CO2']],0)</f>
        <v>0</v>
      </c>
      <c r="H318" s="584">
        <f>$D318*_xlfn.XLOOKUP($I318,BG_Data[Product],BG_Data[Total env. impact (Ecological Scarcity 2021) '[UBP']],0)</f>
        <v>0</v>
      </c>
      <c r="I318" s="503" cm="1">
        <f t="array" ref="I318">_xlfn.XLOOKUP(
     C318,
     _xlfn.TOCOL(_xlfn.HSTACK(Lists_S1_Fleet_direct[DE Name],Lists_S1_Fleet_direct[FR Name],Lists_S1_Fleet_direct[IT Name]),1),
     _xlfn.TOCOL(_xlfn.HSTACK(Lists_S1_Fleet_direct[BG Data],Lists_S1_Fleet_direct[BG Data],Lists_S1_Fleet_direct[BG Data]),1) &amp; " Indirect",
     0)</f>
        <v>0</v>
      </c>
      <c r="J318" s="503" t="s">
        <v>27212</v>
      </c>
      <c r="K318" s="248"/>
    </row>
    <row r="319" spans="2:18" x14ac:dyDescent="0.2">
      <c r="B319" s="249"/>
      <c r="C319" s="503">
        <f>IF('2 Data Inputs'!G333="l",'2 Data Inputs'!C333,0)</f>
        <v>0</v>
      </c>
      <c r="D319" s="537">
        <f>IF('2 Data Inputs'!G333="l",'2 Data Inputs'!F333,0)</f>
        <v>0</v>
      </c>
      <c r="E319" s="537">
        <f>_xlfn.XLOOKUP($I319,BG_Data[Product],BG_Data[GHG emissions (IPCC 2021) '[kg CO2 eq']],0)</f>
        <v>0</v>
      </c>
      <c r="F319" s="537">
        <f t="shared" si="20"/>
        <v>0</v>
      </c>
      <c r="G319" s="537">
        <f>$D319*_xlfn.XLOOKUP($I319,BG_Data[Product],BG_Data[Biogenic CO2 emissions '[kg CO2']],0)</f>
        <v>0</v>
      </c>
      <c r="H319" s="584">
        <f>$D319*_xlfn.XLOOKUP($I319,BG_Data[Product],BG_Data[Total env. impact (Ecological Scarcity 2021) '[UBP']],0)</f>
        <v>0</v>
      </c>
      <c r="I319" s="503" cm="1">
        <f t="array" ref="I319">_xlfn.XLOOKUP(
     C319,
     _xlfn.TOCOL(_xlfn.HSTACK(Lists_S1_Fleet_direct[DE Name],Lists_S1_Fleet_direct[FR Name],Lists_S1_Fleet_direct[IT Name]),1),
     _xlfn.TOCOL(_xlfn.HSTACK(Lists_S1_Fleet_direct[BG Data],Lists_S1_Fleet_direct[BG Data],Lists_S1_Fleet_direct[BG Data]),1) &amp; " Indirect",
     0)</f>
        <v>0</v>
      </c>
      <c r="J319" s="503" t="s">
        <v>27212</v>
      </c>
      <c r="K319" s="248"/>
    </row>
    <row r="320" spans="2:18" x14ac:dyDescent="0.2">
      <c r="B320" s="249"/>
      <c r="C320" s="503">
        <f>IF('2 Data Inputs'!G334="l",'2 Data Inputs'!C334,0)</f>
        <v>0</v>
      </c>
      <c r="D320" s="537">
        <f>IF('2 Data Inputs'!G334="l",'2 Data Inputs'!F334,0)</f>
        <v>0</v>
      </c>
      <c r="E320" s="537">
        <f>_xlfn.XLOOKUP($I320,BG_Data[Product],BG_Data[GHG emissions (IPCC 2021) '[kg CO2 eq']],0)</f>
        <v>0</v>
      </c>
      <c r="F320" s="537">
        <f t="shared" si="20"/>
        <v>0</v>
      </c>
      <c r="G320" s="537">
        <f>$D320*_xlfn.XLOOKUP($I320,BG_Data[Product],BG_Data[Biogenic CO2 emissions '[kg CO2']],0)</f>
        <v>0</v>
      </c>
      <c r="H320" s="584">
        <f>$D320*_xlfn.XLOOKUP($I320,BG_Data[Product],BG_Data[Total env. impact (Ecological Scarcity 2021) '[UBP']],0)</f>
        <v>0</v>
      </c>
      <c r="I320" s="503" cm="1">
        <f t="array" ref="I320">_xlfn.XLOOKUP(
     C320,
     _xlfn.TOCOL(_xlfn.HSTACK(Lists_S1_Fleet_direct[DE Name],Lists_S1_Fleet_direct[FR Name],Lists_S1_Fleet_direct[IT Name]),1),
     _xlfn.TOCOL(_xlfn.HSTACK(Lists_S1_Fleet_direct[BG Data],Lists_S1_Fleet_direct[BG Data],Lists_S1_Fleet_direct[BG Data]),1) &amp; " Indirect",
     0)</f>
        <v>0</v>
      </c>
      <c r="J320" s="503" t="s">
        <v>27212</v>
      </c>
      <c r="K320" s="248"/>
    </row>
    <row r="321" spans="1:18" x14ac:dyDescent="0.2">
      <c r="B321" s="249"/>
      <c r="C321" s="503">
        <f>IF('2 Data Inputs'!G335="l",'2 Data Inputs'!C335,0)</f>
        <v>0</v>
      </c>
      <c r="D321" s="537">
        <f>IF('2 Data Inputs'!G335="l",'2 Data Inputs'!F335,0)</f>
        <v>0</v>
      </c>
      <c r="E321" s="537">
        <f>_xlfn.XLOOKUP($I321,BG_Data[Product],BG_Data[GHG emissions (IPCC 2021) '[kg CO2 eq']],0)</f>
        <v>0</v>
      </c>
      <c r="F321" s="537">
        <f t="shared" si="20"/>
        <v>0</v>
      </c>
      <c r="G321" s="537">
        <f>$D321*_xlfn.XLOOKUP($I321,BG_Data[Product],BG_Data[Biogenic CO2 emissions '[kg CO2']],0)</f>
        <v>0</v>
      </c>
      <c r="H321" s="584">
        <f>$D321*_xlfn.XLOOKUP($I321,BG_Data[Product],BG_Data[Total env. impact (Ecological Scarcity 2021) '[UBP']],0)</f>
        <v>0</v>
      </c>
      <c r="I321" s="503" cm="1">
        <f t="array" ref="I321">_xlfn.XLOOKUP(
     C321,
     _xlfn.TOCOL(_xlfn.HSTACK(Lists_S1_Fleet_direct[DE Name],Lists_S1_Fleet_direct[FR Name],Lists_S1_Fleet_direct[IT Name]),1),
     _xlfn.TOCOL(_xlfn.HSTACK(Lists_S1_Fleet_direct[BG Data],Lists_S1_Fleet_direct[BG Data],Lists_S1_Fleet_direct[BG Data]),1) &amp; " Indirect",
     0)</f>
        <v>0</v>
      </c>
      <c r="J321" s="503" t="s">
        <v>27212</v>
      </c>
      <c r="K321" s="248"/>
    </row>
    <row r="322" spans="1:18" x14ac:dyDescent="0.2">
      <c r="B322" s="249"/>
      <c r="C322" s="503">
        <f>IF('2 Data Inputs'!G336="l",'2 Data Inputs'!C336,0)</f>
        <v>0</v>
      </c>
      <c r="D322" s="537">
        <f>IF('2 Data Inputs'!G336="l",'2 Data Inputs'!F336,0)</f>
        <v>0</v>
      </c>
      <c r="E322" s="537">
        <f>_xlfn.XLOOKUP($I322,BG_Data[Product],BG_Data[GHG emissions (IPCC 2021) '[kg CO2 eq']],0)</f>
        <v>0</v>
      </c>
      <c r="F322" s="537">
        <f t="shared" si="20"/>
        <v>0</v>
      </c>
      <c r="G322" s="537">
        <f>$D322*_xlfn.XLOOKUP($I322,BG_Data[Product],BG_Data[Biogenic CO2 emissions '[kg CO2']],0)</f>
        <v>0</v>
      </c>
      <c r="H322" s="584">
        <f>$D322*_xlfn.XLOOKUP($I322,BG_Data[Product],BG_Data[Total env. impact (Ecological Scarcity 2021) '[UBP']],0)</f>
        <v>0</v>
      </c>
      <c r="I322" s="503" cm="1">
        <f t="array" ref="I322">_xlfn.XLOOKUP(
     C322,
     _xlfn.TOCOL(_xlfn.HSTACK(Lists_S1_Fleet_direct[DE Name],Lists_S1_Fleet_direct[FR Name],Lists_S1_Fleet_direct[IT Name]),1),
     _xlfn.TOCOL(_xlfn.HSTACK(Lists_S1_Fleet_direct[BG Data],Lists_S1_Fleet_direct[BG Data],Lists_S1_Fleet_direct[BG Data]),1) &amp; " Indirect",
     0)</f>
        <v>0</v>
      </c>
      <c r="J322" s="503" t="s">
        <v>27212</v>
      </c>
      <c r="K322" s="248"/>
    </row>
    <row r="323" spans="1:18" x14ac:dyDescent="0.2">
      <c r="B323" s="249"/>
      <c r="C323" s="503">
        <f>IF('2 Data Inputs'!G337="l",'2 Data Inputs'!C337,0)</f>
        <v>0</v>
      </c>
      <c r="D323" s="537">
        <f>IF('2 Data Inputs'!G337="l",'2 Data Inputs'!F337,0)</f>
        <v>0</v>
      </c>
      <c r="E323" s="537">
        <f>_xlfn.XLOOKUP($I323,BG_Data[Product],BG_Data[GHG emissions (IPCC 2021) '[kg CO2 eq']],0)</f>
        <v>0</v>
      </c>
      <c r="F323" s="537">
        <f t="shared" si="20"/>
        <v>0</v>
      </c>
      <c r="G323" s="537">
        <f>$D323*_xlfn.XLOOKUP($I323,BG_Data[Product],BG_Data[Biogenic CO2 emissions '[kg CO2']],0)</f>
        <v>0</v>
      </c>
      <c r="H323" s="584">
        <f>$D323*_xlfn.XLOOKUP($I323,BG_Data[Product],BG_Data[Total env. impact (Ecological Scarcity 2021) '[UBP']],0)</f>
        <v>0</v>
      </c>
      <c r="I323" s="503" cm="1">
        <f t="array" ref="I323">_xlfn.XLOOKUP(
     C323,
     _xlfn.TOCOL(_xlfn.HSTACK(Lists_S1_Fleet_direct[DE Name],Lists_S1_Fleet_direct[FR Name],Lists_S1_Fleet_direct[IT Name]),1),
     _xlfn.TOCOL(_xlfn.HSTACK(Lists_S1_Fleet_direct[BG Data],Lists_S1_Fleet_direct[BG Data],Lists_S1_Fleet_direct[BG Data]),1) &amp; " Indirect",
     0)</f>
        <v>0</v>
      </c>
      <c r="J323" s="503" t="s">
        <v>27212</v>
      </c>
      <c r="K323" s="248"/>
    </row>
    <row r="324" spans="1:18" x14ac:dyDescent="0.2">
      <c r="B324" s="249"/>
      <c r="C324" s="503">
        <f>IF('2 Data Inputs'!G338="l",'2 Data Inputs'!C338,0)</f>
        <v>0</v>
      </c>
      <c r="D324" s="537">
        <f>IF('2 Data Inputs'!G338="l",'2 Data Inputs'!F338,0)</f>
        <v>0</v>
      </c>
      <c r="E324" s="537">
        <f>_xlfn.XLOOKUP($I324,BG_Data[Product],BG_Data[GHG emissions (IPCC 2021) '[kg CO2 eq']],0)</f>
        <v>0</v>
      </c>
      <c r="F324" s="537">
        <f t="shared" si="20"/>
        <v>0</v>
      </c>
      <c r="G324" s="537">
        <f>$D324*_xlfn.XLOOKUP($I324,BG_Data[Product],BG_Data[Biogenic CO2 emissions '[kg CO2']],0)</f>
        <v>0</v>
      </c>
      <c r="H324" s="584">
        <f>$D324*_xlfn.XLOOKUP($I324,BG_Data[Product],BG_Data[Total env. impact (Ecological Scarcity 2021) '[UBP']],0)</f>
        <v>0</v>
      </c>
      <c r="I324" s="503" cm="1">
        <f t="array" ref="I324">_xlfn.XLOOKUP(
     C324,
     _xlfn.TOCOL(_xlfn.HSTACK(Lists_S1_Fleet_direct[DE Name],Lists_S1_Fleet_direct[FR Name],Lists_S1_Fleet_direct[IT Name]),1),
     _xlfn.TOCOL(_xlfn.HSTACK(Lists_S1_Fleet_direct[BG Data],Lists_S1_Fleet_direct[BG Data],Lists_S1_Fleet_direct[BG Data]),1) &amp; " Indirect",
     0)</f>
        <v>0</v>
      </c>
      <c r="J324" s="503" t="s">
        <v>27212</v>
      </c>
      <c r="K324" s="248"/>
    </row>
    <row r="325" spans="1:18" x14ac:dyDescent="0.2">
      <c r="B325" s="249"/>
      <c r="C325" s="503">
        <f>IF('2 Data Inputs'!G339="l",'2 Data Inputs'!C339,0)</f>
        <v>0</v>
      </c>
      <c r="D325" s="537">
        <f>IF('2 Data Inputs'!G339="l",'2 Data Inputs'!F339,0)</f>
        <v>0</v>
      </c>
      <c r="E325" s="537">
        <f>_xlfn.XLOOKUP($I325,BG_Data[Product],BG_Data[GHG emissions (IPCC 2021) '[kg CO2 eq']],0)</f>
        <v>0</v>
      </c>
      <c r="F325" s="537">
        <f t="shared" si="20"/>
        <v>0</v>
      </c>
      <c r="G325" s="537">
        <f>$D325*_xlfn.XLOOKUP($I325,BG_Data[Product],BG_Data[Biogenic CO2 emissions '[kg CO2']],0)</f>
        <v>0</v>
      </c>
      <c r="H325" s="584">
        <f>$D325*_xlfn.XLOOKUP($I325,BG_Data[Product],BG_Data[Total env. impact (Ecological Scarcity 2021) '[UBP']],0)</f>
        <v>0</v>
      </c>
      <c r="I325" s="503" cm="1">
        <f t="array" ref="I325">_xlfn.XLOOKUP(
     C325,
     _xlfn.TOCOL(_xlfn.HSTACK(Lists_S1_Fleet_direct[DE Name],Lists_S1_Fleet_direct[FR Name],Lists_S1_Fleet_direct[IT Name]),1),
     _xlfn.TOCOL(_xlfn.HSTACK(Lists_S1_Fleet_direct[BG Data],Lists_S1_Fleet_direct[BG Data],Lists_S1_Fleet_direct[BG Data]),1) &amp; " Indirect",
     0)</f>
        <v>0</v>
      </c>
      <c r="J325" s="503" t="s">
        <v>27212</v>
      </c>
      <c r="K325" s="248"/>
    </row>
    <row r="326" spans="1:18" x14ac:dyDescent="0.2">
      <c r="B326" s="249"/>
      <c r="C326" s="506">
        <f>IF('2 Data Inputs'!G340="l",'2 Data Inputs'!C340,0)</f>
        <v>0</v>
      </c>
      <c r="D326" s="532">
        <f>IF('2 Data Inputs'!G340="l",'2 Data Inputs'!F340,0)</f>
        <v>0</v>
      </c>
      <c r="E326" s="532">
        <f>_xlfn.XLOOKUP($I326,BG_Data[Product],BG_Data[GHG emissions (IPCC 2021) '[kg CO2 eq']],0)</f>
        <v>0</v>
      </c>
      <c r="F326" s="532">
        <f t="shared" si="20"/>
        <v>0</v>
      </c>
      <c r="G326" s="532">
        <f>$D326*_xlfn.XLOOKUP($I326,BG_Data[Product],BG_Data[Biogenic CO2 emissions '[kg CO2']],0)</f>
        <v>0</v>
      </c>
      <c r="H326" s="581">
        <f>$D326*_xlfn.XLOOKUP($I326,BG_Data[Product],BG_Data[Total env. impact (Ecological Scarcity 2021) '[UBP']],0)</f>
        <v>0</v>
      </c>
      <c r="I326" s="506" cm="1">
        <f t="array" ref="I326">_xlfn.XLOOKUP(
     C326,
     _xlfn.TOCOL(_xlfn.HSTACK(Lists_S1_Fleet_direct[DE Name],Lists_S1_Fleet_direct[FR Name],Lists_S1_Fleet_direct[IT Name]),1),
     _xlfn.TOCOL(_xlfn.HSTACK(Lists_S1_Fleet_direct[BG Data],Lists_S1_Fleet_direct[BG Data],Lists_S1_Fleet_direct[BG Data]),1) &amp; " Indirect",
     0)</f>
        <v>0</v>
      </c>
      <c r="J326" s="506" t="s">
        <v>27212</v>
      </c>
      <c r="K326" s="248"/>
    </row>
    <row r="327" spans="1:18" ht="15" x14ac:dyDescent="0.25">
      <c r="B327" s="249"/>
      <c r="C327" s="507" t="s">
        <v>2616</v>
      </c>
      <c r="D327" s="508">
        <f>SUM(D314:D326)</f>
        <v>0</v>
      </c>
      <c r="E327" s="508"/>
      <c r="F327" s="508">
        <f>SUM(F314:F326)</f>
        <v>0</v>
      </c>
      <c r="G327" s="508">
        <f>SUM(G314:G326)</f>
        <v>0</v>
      </c>
      <c r="H327" s="580">
        <f>SUM(H314:H326)</f>
        <v>0</v>
      </c>
      <c r="I327" s="507"/>
      <c r="J327" s="507"/>
      <c r="K327" s="248"/>
    </row>
    <row r="328" spans="1:18" x14ac:dyDescent="0.2">
      <c r="B328" s="249"/>
      <c r="C328" s="545"/>
      <c r="D328" s="546"/>
      <c r="E328" s="546"/>
      <c r="F328" s="546"/>
      <c r="G328" s="546"/>
      <c r="H328" s="587"/>
      <c r="I328" s="545"/>
      <c r="J328" s="545"/>
      <c r="K328" s="248"/>
    </row>
    <row r="329" spans="1:18" ht="15" x14ac:dyDescent="0.25">
      <c r="A329" s="257"/>
      <c r="B329" s="249"/>
      <c r="C329" s="531" t="str">
        <f>n3Calculation_17.1_S3.3_elFleetMarket</f>
        <v>Flotte électrique - Basée sur le marché</v>
      </c>
      <c r="D329" s="510"/>
      <c r="E329" s="510"/>
      <c r="F329" s="510"/>
      <c r="G329" s="510"/>
      <c r="H329" s="571"/>
      <c r="I329" s="511"/>
      <c r="J329" s="511"/>
      <c r="K329" s="248"/>
      <c r="M329" s="299" t="s">
        <v>28307</v>
      </c>
    </row>
    <row r="330" spans="1:18" ht="15" customHeight="1" x14ac:dyDescent="0.2">
      <c r="A330" s="257"/>
      <c r="B330" s="249"/>
      <c r="C330" s="740"/>
      <c r="D330" s="740"/>
      <c r="E330" s="740"/>
      <c r="F330" s="740"/>
      <c r="G330" s="510"/>
      <c r="H330" s="571"/>
      <c r="I330" s="511"/>
      <c r="J330" s="511"/>
      <c r="K330" s="248"/>
    </row>
    <row r="331" spans="1:18" s="686" customFormat="1" ht="33" x14ac:dyDescent="0.25">
      <c r="A331" s="693"/>
      <c r="B331" s="681"/>
      <c r="C331" s="682" t="s">
        <v>28598</v>
      </c>
      <c r="D331" s="683" t="s">
        <v>28537</v>
      </c>
      <c r="E331" s="683" t="s">
        <v>27208</v>
      </c>
      <c r="F331" s="683" t="s">
        <v>27588</v>
      </c>
      <c r="G331" s="683" t="s">
        <v>27589</v>
      </c>
      <c r="H331" s="683" t="s">
        <v>27209</v>
      </c>
      <c r="I331" s="682" t="s">
        <v>27210</v>
      </c>
      <c r="J331" s="682" t="s">
        <v>27211</v>
      </c>
      <c r="K331" s="685"/>
      <c r="M331" s="687"/>
      <c r="N331" s="687"/>
      <c r="O331" s="687"/>
      <c r="P331" s="687"/>
      <c r="Q331" s="687"/>
      <c r="R331" s="687"/>
    </row>
    <row r="332" spans="1:18" x14ac:dyDescent="0.2">
      <c r="A332" s="257"/>
      <c r="B332" s="249"/>
      <c r="C332" s="500" t="s">
        <v>28275</v>
      </c>
      <c r="D332" s="535">
        <f>'2 Data Inputs'!F323</f>
        <v>0</v>
      </c>
      <c r="E332" s="535">
        <f>_xlfn.XLOOKUP($I332,BG_Data[Product],BG_Data[GHG emissions (IPCC 2021) '[kg CO2 eq']],0)</f>
        <v>4.0754008540141134E-2</v>
      </c>
      <c r="F332" s="535">
        <f t="shared" ref="F332:F342" si="21">$D332*$E332</f>
        <v>0</v>
      </c>
      <c r="G332" s="535">
        <f>$D332*_xlfn.XLOOKUP($I332,BG_Data[Product],BG_Data[Biogenic CO2 emissions '[kg CO2']],0)</f>
        <v>0</v>
      </c>
      <c r="H332" s="583">
        <f>$D332*_xlfn.XLOOKUP($I332,BG_Data[Product],BG_Data[Total env. impact (Ecological Scarcity 2021) '[UBP']],0)</f>
        <v>0</v>
      </c>
      <c r="I332" s="500" t="s">
        <v>3146</v>
      </c>
      <c r="J332" s="500" t="s">
        <v>27213</v>
      </c>
      <c r="K332" s="248"/>
    </row>
    <row r="333" spans="1:18" ht="15" customHeight="1" x14ac:dyDescent="0.2">
      <c r="A333" s="257"/>
      <c r="B333" s="249"/>
      <c r="C333" s="500">
        <f>IF('2 Data Inputs'!G328="kWh",'2 Data Inputs'!C328,0)</f>
        <v>0</v>
      </c>
      <c r="D333" s="535">
        <f>IF('2 Data Inputs'!G328="kWh",'2 Data Inputs'!F328,0)</f>
        <v>0</v>
      </c>
      <c r="E333" s="535">
        <f>_xlfn.XLOOKUP($I333,BG_Data[Product],BG_Data[GHG emissions (IPCC 2021) '[kg CO2 eq']],0)</f>
        <v>4.0754008540141134E-2</v>
      </c>
      <c r="F333" s="535">
        <f t="shared" si="21"/>
        <v>0</v>
      </c>
      <c r="G333" s="535">
        <f>$D333*_xlfn.XLOOKUP($I333,BG_Data[Product],BG_Data[Biogenic CO2 emissions '[kg CO2']],0)</f>
        <v>0</v>
      </c>
      <c r="H333" s="583">
        <f>$D333*_xlfn.XLOOKUP($I333,BG_Data[Product],BG_Data[Total env. impact (Ecological Scarcity 2021) '[UBP']],0)</f>
        <v>0</v>
      </c>
      <c r="I333" s="500" t="s">
        <v>3146</v>
      </c>
      <c r="J333" s="500" t="s">
        <v>27213</v>
      </c>
      <c r="K333" s="248"/>
    </row>
    <row r="334" spans="1:18" x14ac:dyDescent="0.2">
      <c r="A334" s="257"/>
      <c r="B334" s="249"/>
      <c r="C334" s="503">
        <f>IF('2 Data Inputs'!G329="kWh",'2 Data Inputs'!C329,0)</f>
        <v>0</v>
      </c>
      <c r="D334" s="537">
        <f>IF('2 Data Inputs'!G329="kWh",'2 Data Inputs'!F329,0)</f>
        <v>0</v>
      </c>
      <c r="E334" s="537">
        <f>_xlfn.XLOOKUP($I334,BG_Data[Product],BG_Data[GHG emissions (IPCC 2021) '[kg CO2 eq']],0)</f>
        <v>4.0754008540141134E-2</v>
      </c>
      <c r="F334" s="537">
        <f t="shared" si="21"/>
        <v>0</v>
      </c>
      <c r="G334" s="537">
        <f>$D334*_xlfn.XLOOKUP($I334,BG_Data[Product],BG_Data[Biogenic CO2 emissions '[kg CO2']],0)</f>
        <v>0</v>
      </c>
      <c r="H334" s="584">
        <f>$D334*_xlfn.XLOOKUP($I334,BG_Data[Product],BG_Data[Total env. impact (Ecological Scarcity 2021) '[UBP']],0)</f>
        <v>0</v>
      </c>
      <c r="I334" s="503" t="s">
        <v>3146</v>
      </c>
      <c r="J334" s="503" t="s">
        <v>27213</v>
      </c>
      <c r="K334" s="248"/>
    </row>
    <row r="335" spans="1:18" x14ac:dyDescent="0.2">
      <c r="A335" s="257"/>
      <c r="B335" s="249"/>
      <c r="C335" s="503">
        <f>IF('2 Data Inputs'!G330="kWh",'2 Data Inputs'!C330,0)</f>
        <v>0</v>
      </c>
      <c r="D335" s="537">
        <f>IF('2 Data Inputs'!G330="kWh",'2 Data Inputs'!F330,0)</f>
        <v>0</v>
      </c>
      <c r="E335" s="537">
        <f>_xlfn.XLOOKUP($I335,BG_Data[Product],BG_Data[GHG emissions (IPCC 2021) '[kg CO2 eq']],0)</f>
        <v>4.0754008540141134E-2</v>
      </c>
      <c r="F335" s="537">
        <f t="shared" si="21"/>
        <v>0</v>
      </c>
      <c r="G335" s="537">
        <f>$D335*_xlfn.XLOOKUP($I335,BG_Data[Product],BG_Data[Biogenic CO2 emissions '[kg CO2']],0)</f>
        <v>0</v>
      </c>
      <c r="H335" s="584">
        <f>$D335*_xlfn.XLOOKUP($I335,BG_Data[Product],BG_Data[Total env. impact (Ecological Scarcity 2021) '[UBP']],0)</f>
        <v>0</v>
      </c>
      <c r="I335" s="503" t="s">
        <v>3146</v>
      </c>
      <c r="J335" s="503" t="s">
        <v>27213</v>
      </c>
      <c r="K335" s="248"/>
    </row>
    <row r="336" spans="1:18" x14ac:dyDescent="0.2">
      <c r="A336" s="257"/>
      <c r="B336" s="249"/>
      <c r="C336" s="503">
        <f>IF('2 Data Inputs'!G331="kWh",'2 Data Inputs'!C331,0)</f>
        <v>0</v>
      </c>
      <c r="D336" s="537">
        <f>IF('2 Data Inputs'!G331="kWh",'2 Data Inputs'!F331,0)</f>
        <v>0</v>
      </c>
      <c r="E336" s="537">
        <f>_xlfn.XLOOKUP($I336,BG_Data[Product],BG_Data[GHG emissions (IPCC 2021) '[kg CO2 eq']],0)</f>
        <v>4.0754008540141134E-2</v>
      </c>
      <c r="F336" s="537">
        <f t="shared" si="21"/>
        <v>0</v>
      </c>
      <c r="G336" s="537">
        <f>$D336*_xlfn.XLOOKUP($I336,BG_Data[Product],BG_Data[Biogenic CO2 emissions '[kg CO2']],0)</f>
        <v>0</v>
      </c>
      <c r="H336" s="584">
        <f>$D336*_xlfn.XLOOKUP($I336,BG_Data[Product],BG_Data[Total env. impact (Ecological Scarcity 2021) '[UBP']],0)</f>
        <v>0</v>
      </c>
      <c r="I336" s="503" t="s">
        <v>3146</v>
      </c>
      <c r="J336" s="503" t="s">
        <v>27213</v>
      </c>
      <c r="K336" s="248"/>
    </row>
    <row r="337" spans="1:18" x14ac:dyDescent="0.2">
      <c r="A337" s="257"/>
      <c r="B337" s="249"/>
      <c r="C337" s="503">
        <f>IF('2 Data Inputs'!G332="kWh",'2 Data Inputs'!C332,0)</f>
        <v>0</v>
      </c>
      <c r="D337" s="537">
        <f>IF('2 Data Inputs'!G332="kWh",'2 Data Inputs'!F332,0)</f>
        <v>0</v>
      </c>
      <c r="E337" s="537">
        <f>_xlfn.XLOOKUP($I337,BG_Data[Product],BG_Data[GHG emissions (IPCC 2021) '[kg CO2 eq']],0)</f>
        <v>4.0754008540141134E-2</v>
      </c>
      <c r="F337" s="537">
        <f t="shared" si="21"/>
        <v>0</v>
      </c>
      <c r="G337" s="537">
        <f>$D337*_xlfn.XLOOKUP($I337,BG_Data[Product],BG_Data[Biogenic CO2 emissions '[kg CO2']],0)</f>
        <v>0</v>
      </c>
      <c r="H337" s="584">
        <f>$D337*_xlfn.XLOOKUP($I337,BG_Data[Product],BG_Data[Total env. impact (Ecological Scarcity 2021) '[UBP']],0)</f>
        <v>0</v>
      </c>
      <c r="I337" s="503" t="s">
        <v>3146</v>
      </c>
      <c r="J337" s="503" t="s">
        <v>27213</v>
      </c>
      <c r="K337" s="248"/>
    </row>
    <row r="338" spans="1:18" x14ac:dyDescent="0.2">
      <c r="A338" s="257"/>
      <c r="B338" s="249"/>
      <c r="C338" s="503">
        <f>IF('2 Data Inputs'!G333="kWh",'2 Data Inputs'!C333,0)</f>
        <v>0</v>
      </c>
      <c r="D338" s="537">
        <f>IF('2 Data Inputs'!G333="kWh",'2 Data Inputs'!F333,0)</f>
        <v>0</v>
      </c>
      <c r="E338" s="537">
        <f>_xlfn.XLOOKUP($I338,BG_Data[Product],BG_Data[GHG emissions (IPCC 2021) '[kg CO2 eq']],0)</f>
        <v>4.0754008540141134E-2</v>
      </c>
      <c r="F338" s="537">
        <f t="shared" si="21"/>
        <v>0</v>
      </c>
      <c r="G338" s="537">
        <f>$D338*_xlfn.XLOOKUP($I338,BG_Data[Product],BG_Data[Biogenic CO2 emissions '[kg CO2']],0)</f>
        <v>0</v>
      </c>
      <c r="H338" s="584">
        <f>$D338*_xlfn.XLOOKUP($I338,BG_Data[Product],BG_Data[Total env. impact (Ecological Scarcity 2021) '[UBP']],0)</f>
        <v>0</v>
      </c>
      <c r="I338" s="503" t="s">
        <v>3146</v>
      </c>
      <c r="J338" s="503" t="s">
        <v>27213</v>
      </c>
      <c r="K338" s="248"/>
    </row>
    <row r="339" spans="1:18" x14ac:dyDescent="0.2">
      <c r="A339" s="257"/>
      <c r="B339" s="249"/>
      <c r="C339" s="503">
        <f>IF('2 Data Inputs'!G334="kWh",'2 Data Inputs'!C334,0)</f>
        <v>0</v>
      </c>
      <c r="D339" s="537">
        <f>IF('2 Data Inputs'!G334="kWh",'2 Data Inputs'!F334,0)</f>
        <v>0</v>
      </c>
      <c r="E339" s="537">
        <f>_xlfn.XLOOKUP($I339,BG_Data[Product],BG_Data[GHG emissions (IPCC 2021) '[kg CO2 eq']],0)</f>
        <v>4.0754008540141134E-2</v>
      </c>
      <c r="F339" s="537">
        <f t="shared" si="21"/>
        <v>0</v>
      </c>
      <c r="G339" s="537">
        <f>$D339*_xlfn.XLOOKUP($I339,BG_Data[Product],BG_Data[Biogenic CO2 emissions '[kg CO2']],0)</f>
        <v>0</v>
      </c>
      <c r="H339" s="584">
        <f>$D339*_xlfn.XLOOKUP($I339,BG_Data[Product],BG_Data[Total env. impact (Ecological Scarcity 2021) '[UBP']],0)</f>
        <v>0</v>
      </c>
      <c r="I339" s="503" t="s">
        <v>3146</v>
      </c>
      <c r="J339" s="503" t="s">
        <v>27213</v>
      </c>
      <c r="K339" s="248"/>
    </row>
    <row r="340" spans="1:18" x14ac:dyDescent="0.2">
      <c r="A340" s="257"/>
      <c r="B340" s="249"/>
      <c r="C340" s="503">
        <f>IF('2 Data Inputs'!G335="kWh",'2 Data Inputs'!C335,0)</f>
        <v>0</v>
      </c>
      <c r="D340" s="537">
        <f>IF('2 Data Inputs'!G335="kWh",'2 Data Inputs'!F335,0)</f>
        <v>0</v>
      </c>
      <c r="E340" s="537">
        <f>_xlfn.XLOOKUP($I340,BG_Data[Product],BG_Data[GHG emissions (IPCC 2021) '[kg CO2 eq']],0)</f>
        <v>4.0754008540141134E-2</v>
      </c>
      <c r="F340" s="537">
        <f t="shared" si="21"/>
        <v>0</v>
      </c>
      <c r="G340" s="537">
        <f>$D340*_xlfn.XLOOKUP($I340,BG_Data[Product],BG_Data[Biogenic CO2 emissions '[kg CO2']],0)</f>
        <v>0</v>
      </c>
      <c r="H340" s="584">
        <f>$D340*_xlfn.XLOOKUP($I340,BG_Data[Product],BG_Data[Total env. impact (Ecological Scarcity 2021) '[UBP']],0)</f>
        <v>0</v>
      </c>
      <c r="I340" s="503" t="s">
        <v>3146</v>
      </c>
      <c r="J340" s="503" t="s">
        <v>27213</v>
      </c>
      <c r="K340" s="248"/>
    </row>
    <row r="341" spans="1:18" x14ac:dyDescent="0.2">
      <c r="A341" s="257"/>
      <c r="B341" s="249"/>
      <c r="C341" s="503">
        <f>IF('2 Data Inputs'!G336="kWh",'2 Data Inputs'!C336,0)</f>
        <v>0</v>
      </c>
      <c r="D341" s="537">
        <f>IF('2 Data Inputs'!G336="kWh",'2 Data Inputs'!F336,0)</f>
        <v>0</v>
      </c>
      <c r="E341" s="537">
        <f>_xlfn.XLOOKUP($I341,BG_Data[Product],BG_Data[GHG emissions (IPCC 2021) '[kg CO2 eq']],0)</f>
        <v>4.0754008540141134E-2</v>
      </c>
      <c r="F341" s="537">
        <f t="shared" si="21"/>
        <v>0</v>
      </c>
      <c r="G341" s="537">
        <f>$D341*_xlfn.XLOOKUP($I341,BG_Data[Product],BG_Data[Biogenic CO2 emissions '[kg CO2']],0)</f>
        <v>0</v>
      </c>
      <c r="H341" s="584">
        <f>$D341*_xlfn.XLOOKUP($I341,BG_Data[Product],BG_Data[Total env. impact (Ecological Scarcity 2021) '[UBP']],0)</f>
        <v>0</v>
      </c>
      <c r="I341" s="503" t="s">
        <v>3146</v>
      </c>
      <c r="J341" s="503" t="s">
        <v>27213</v>
      </c>
      <c r="K341" s="248"/>
    </row>
    <row r="342" spans="1:18" x14ac:dyDescent="0.2">
      <c r="A342" s="257"/>
      <c r="B342" s="249"/>
      <c r="C342" s="506">
        <f>IF('2 Data Inputs'!G337="kWh",'2 Data Inputs'!C337,0)</f>
        <v>0</v>
      </c>
      <c r="D342" s="532">
        <f>IF('2 Data Inputs'!G337="kWh",'2 Data Inputs'!F337,0)</f>
        <v>0</v>
      </c>
      <c r="E342" s="532">
        <f>_xlfn.XLOOKUP($I342,BG_Data[Product],BG_Data[GHG emissions (IPCC 2021) '[kg CO2 eq']],0)</f>
        <v>4.0754008540141134E-2</v>
      </c>
      <c r="F342" s="532">
        <f t="shared" si="21"/>
        <v>0</v>
      </c>
      <c r="G342" s="532">
        <f>$D342*_xlfn.XLOOKUP($I342,BG_Data[Product],BG_Data[Biogenic CO2 emissions '[kg CO2']],0)</f>
        <v>0</v>
      </c>
      <c r="H342" s="581">
        <f>$D342*_xlfn.XLOOKUP($I342,BG_Data[Product],BG_Data[Total env. impact (Ecological Scarcity 2021) '[UBP']],0)</f>
        <v>0</v>
      </c>
      <c r="I342" s="506" t="s">
        <v>3146</v>
      </c>
      <c r="J342" s="506" t="s">
        <v>27213</v>
      </c>
      <c r="K342" s="248"/>
    </row>
    <row r="343" spans="1:18" ht="15" x14ac:dyDescent="0.25">
      <c r="A343" s="257"/>
      <c r="B343" s="249"/>
      <c r="C343" s="507" t="s">
        <v>2616</v>
      </c>
      <c r="D343" s="508">
        <f>SUM(D332:D342)</f>
        <v>0</v>
      </c>
      <c r="E343" s="508"/>
      <c r="F343" s="508">
        <f>SUM(F332:F342)</f>
        <v>0</v>
      </c>
      <c r="G343" s="508">
        <f>SUM(G332:G342)</f>
        <v>0</v>
      </c>
      <c r="H343" s="580">
        <f>SUM(H332:H342)</f>
        <v>0</v>
      </c>
      <c r="I343" s="507"/>
      <c r="J343" s="507"/>
      <c r="K343" s="248"/>
    </row>
    <row r="344" spans="1:18" ht="15" customHeight="1" x14ac:dyDescent="0.25">
      <c r="B344" s="249"/>
      <c r="C344" s="553"/>
      <c r="D344" s="510"/>
      <c r="E344" s="510"/>
      <c r="F344" s="510"/>
      <c r="G344" s="510"/>
      <c r="H344" s="571"/>
      <c r="I344" s="533"/>
      <c r="J344" s="533"/>
      <c r="K344" s="248"/>
    </row>
    <row r="345" spans="1:18" ht="15" x14ac:dyDescent="0.25">
      <c r="B345" s="249"/>
      <c r="C345" s="531" t="str">
        <f>n3Calculation_17.2_S3.3_elFleetLocation</f>
        <v>Flotte électrique - Basé sur la localisation</v>
      </c>
      <c r="D345" s="546"/>
      <c r="E345" s="546"/>
      <c r="F345" s="546"/>
      <c r="G345" s="546"/>
      <c r="H345" s="587"/>
      <c r="I345" s="545"/>
      <c r="J345" s="545"/>
      <c r="K345" s="248"/>
      <c r="M345" s="299" t="s">
        <v>28308</v>
      </c>
    </row>
    <row r="346" spans="1:18" ht="15" x14ac:dyDescent="0.25">
      <c r="B346" s="249"/>
      <c r="C346" s="531"/>
      <c r="D346" s="546"/>
      <c r="E346" s="546"/>
      <c r="F346" s="546"/>
      <c r="G346" s="546"/>
      <c r="H346" s="587"/>
      <c r="I346" s="545"/>
      <c r="J346" s="545"/>
      <c r="K346" s="248"/>
    </row>
    <row r="347" spans="1:18" s="686" customFormat="1" ht="33" x14ac:dyDescent="0.25">
      <c r="B347" s="681"/>
      <c r="C347" s="682" t="s">
        <v>27888</v>
      </c>
      <c r="D347" s="683" t="s">
        <v>28537</v>
      </c>
      <c r="E347" s="683" t="s">
        <v>27208</v>
      </c>
      <c r="F347" s="683" t="s">
        <v>27588</v>
      </c>
      <c r="G347" s="683" t="s">
        <v>27589</v>
      </c>
      <c r="H347" s="683" t="s">
        <v>27214</v>
      </c>
      <c r="I347" s="682" t="s">
        <v>27210</v>
      </c>
      <c r="J347" s="682" t="s">
        <v>27211</v>
      </c>
      <c r="K347" s="685"/>
      <c r="M347" s="687"/>
      <c r="N347" s="687"/>
      <c r="O347" s="687"/>
      <c r="P347" s="687"/>
      <c r="Q347" s="687"/>
      <c r="R347" s="687"/>
    </row>
    <row r="348" spans="1:18" x14ac:dyDescent="0.2">
      <c r="B348" s="249"/>
      <c r="C348" s="543" t="s">
        <v>27877</v>
      </c>
      <c r="D348" s="544">
        <f>SUM(SUMIF('2 Data Inputs'!G328:G337,"kWh",'2 Data Inputs'!F328:F337)+'2 Data Inputs'!F323)</f>
        <v>0</v>
      </c>
      <c r="E348" s="544">
        <f>_xlfn.XLOOKUP($I348,BG_Data[Product],BG_Data[GHG emissions (IPCC 2021) '[kg CO2 eq']],0)</f>
        <v>4.0754008540141134E-2</v>
      </c>
      <c r="F348" s="544">
        <f t="shared" ref="F348" si="22">$D348*$E348</f>
        <v>0</v>
      </c>
      <c r="G348" s="544">
        <f>$D348*_xlfn.XLOOKUP($I348,BG_Data[Product],BG_Data[Biogenic CO2 emissions '[kg CO2']],0)</f>
        <v>0</v>
      </c>
      <c r="H348" s="586">
        <f>$D348*_xlfn.XLOOKUP($I348,BG_Data[Product],BG_Data[Total env. impact (Ecological Scarcity 2021) '[UBP']],0)</f>
        <v>0</v>
      </c>
      <c r="I348" s="544" t="s">
        <v>3146</v>
      </c>
      <c r="J348" s="543" t="s">
        <v>27213</v>
      </c>
      <c r="K348" s="248"/>
    </row>
    <row r="349" spans="1:18" x14ac:dyDescent="0.2">
      <c r="B349" s="254"/>
      <c r="C349" s="539"/>
      <c r="D349" s="540"/>
      <c r="E349" s="540"/>
      <c r="F349" s="540"/>
      <c r="G349" s="540"/>
      <c r="H349" s="588"/>
      <c r="I349" s="539"/>
      <c r="J349" s="539"/>
      <c r="K349" s="256"/>
    </row>
    <row r="350" spans="1:18" x14ac:dyDescent="0.2">
      <c r="B350" s="250"/>
      <c r="C350" s="506"/>
      <c r="D350" s="532"/>
      <c r="E350" s="532"/>
      <c r="F350" s="532"/>
      <c r="G350" s="532"/>
      <c r="H350" s="581"/>
      <c r="I350" s="506"/>
      <c r="J350" s="506"/>
      <c r="K350" s="250"/>
    </row>
    <row r="351" spans="1:18" ht="15" x14ac:dyDescent="0.25">
      <c r="B351" s="259" t="s">
        <v>27218</v>
      </c>
      <c r="C351" s="500"/>
      <c r="D351" s="535"/>
      <c r="E351" s="535"/>
      <c r="F351" s="535"/>
      <c r="G351" s="535"/>
      <c r="H351" s="583"/>
      <c r="I351" s="500"/>
      <c r="J351" s="500"/>
      <c r="K351" s="251"/>
    </row>
    <row r="352" spans="1:18" x14ac:dyDescent="0.2">
      <c r="B352" s="246"/>
      <c r="C352" s="527"/>
      <c r="D352" s="528"/>
      <c r="E352" s="528"/>
      <c r="F352" s="528"/>
      <c r="G352" s="547"/>
      <c r="H352" s="589"/>
      <c r="I352" s="548"/>
      <c r="J352" s="548"/>
      <c r="K352" s="247" t="str">
        <f>Calc_Hyperlink_S3</f>
        <v>Scope 3</v>
      </c>
    </row>
    <row r="353" spans="2:18" ht="15" x14ac:dyDescent="0.25">
      <c r="B353" s="249"/>
      <c r="C353" s="531" t="str">
        <f>n3Calculation_18_S3.4_UpstreamTransport</f>
        <v>Transport en amont</v>
      </c>
      <c r="D353" s="510"/>
      <c r="E353" s="510"/>
      <c r="F353" s="510"/>
      <c r="G353" s="510"/>
      <c r="H353" s="571"/>
      <c r="I353" s="511"/>
      <c r="J353" s="511"/>
      <c r="K353" s="248"/>
      <c r="M353" s="299" t="s">
        <v>28309</v>
      </c>
    </row>
    <row r="354" spans="2:18" x14ac:dyDescent="0.2">
      <c r="B354" s="249"/>
      <c r="C354" s="740"/>
      <c r="D354" s="740"/>
      <c r="E354" s="740"/>
      <c r="F354" s="740"/>
      <c r="G354" s="510"/>
      <c r="H354" s="571"/>
      <c r="I354" s="511"/>
      <c r="J354" s="511"/>
      <c r="K354" s="248"/>
    </row>
    <row r="355" spans="2:18" s="686" customFormat="1" ht="33" x14ac:dyDescent="0.25">
      <c r="B355" s="681"/>
      <c r="C355" s="682" t="s">
        <v>28842</v>
      </c>
      <c r="D355" s="683" t="s">
        <v>28539</v>
      </c>
      <c r="E355" s="683" t="s">
        <v>27208</v>
      </c>
      <c r="F355" s="683" t="s">
        <v>27588</v>
      </c>
      <c r="G355" s="683" t="s">
        <v>27589</v>
      </c>
      <c r="H355" s="683" t="s">
        <v>27209</v>
      </c>
      <c r="I355" s="682" t="s">
        <v>27210</v>
      </c>
      <c r="J355" s="682" t="s">
        <v>27211</v>
      </c>
      <c r="K355" s="685"/>
      <c r="M355" s="687"/>
      <c r="N355" s="687"/>
      <c r="O355" s="687"/>
      <c r="P355" s="687"/>
      <c r="Q355" s="687"/>
      <c r="R355" s="687"/>
    </row>
    <row r="356" spans="2:18" x14ac:dyDescent="0.2">
      <c r="B356" s="249"/>
      <c r="C356" s="500" t="str">
        <f>'2 Data Inputs'!C723</f>
        <v>Camion</v>
      </c>
      <c r="D356" s="535">
        <f>'2 Data Inputs'!F723</f>
        <v>0</v>
      </c>
      <c r="E356" s="535">
        <f>_xlfn.XLOOKUP($I356,BG_Data[Product],BG_Data[GHG emissions (IPCC 2021) '[kg CO2 eq']],0)</f>
        <v>0.1723251477330644</v>
      </c>
      <c r="F356" s="535">
        <f t="shared" ref="F356:F359" si="23">$D356*$E356</f>
        <v>0</v>
      </c>
      <c r="G356" s="535">
        <f>$D356*_xlfn.XLOOKUP($I356,BG_Data[Product],BG_Data[Biogenic CO2 emissions '[kg CO2']],0)</f>
        <v>0</v>
      </c>
      <c r="H356" s="583">
        <f>$D356*_xlfn.XLOOKUP($I356,BG_Data[Product],BG_Data[Total env. impact (Ecological Scarcity 2021) '[UBP']],0)</f>
        <v>0</v>
      </c>
      <c r="I356" s="554" t="s">
        <v>21500</v>
      </c>
      <c r="J356" s="500" t="s">
        <v>27213</v>
      </c>
      <c r="K356" s="248"/>
    </row>
    <row r="357" spans="2:18" x14ac:dyDescent="0.2">
      <c r="B357" s="249"/>
      <c r="C357" s="503" t="str">
        <f>'2 Data Inputs'!C724</f>
        <v>Bateau</v>
      </c>
      <c r="D357" s="537">
        <f>'2 Data Inputs'!F724</f>
        <v>0</v>
      </c>
      <c r="E357" s="537">
        <f>_xlfn.XLOOKUP($I357,BG_Data[Product],BG_Data[GHG emissions (IPCC 2021) '[kg CO2 eq']],0)</f>
        <v>6.8799361061877042E-3</v>
      </c>
      <c r="F357" s="537">
        <f t="shared" si="23"/>
        <v>0</v>
      </c>
      <c r="G357" s="537">
        <f>$D357*_xlfn.XLOOKUP($I357,BG_Data[Product],BG_Data[Biogenic CO2 emissions '[kg CO2']],0)</f>
        <v>0</v>
      </c>
      <c r="H357" s="584">
        <f>$D357*_xlfn.XLOOKUP($I357,BG_Data[Product],BG_Data[Total env. impact (Ecological Scarcity 2021) '[UBP']],0)</f>
        <v>0</v>
      </c>
      <c r="I357" s="555" t="s">
        <v>23275</v>
      </c>
      <c r="J357" s="503" t="s">
        <v>27213</v>
      </c>
      <c r="K357" s="248"/>
    </row>
    <row r="358" spans="2:18" x14ac:dyDescent="0.2">
      <c r="B358" s="249"/>
      <c r="C358" s="503" t="str">
        <f>'2 Data Inputs'!C725</f>
        <v>Train</v>
      </c>
      <c r="D358" s="537">
        <f>'2 Data Inputs'!F725</f>
        <v>0</v>
      </c>
      <c r="E358" s="537">
        <f>_xlfn.XLOOKUP($I358,BG_Data[Product],BG_Data[GHG emissions (IPCC 2021) '[kg CO2 eq']],0)</f>
        <v>1.1054422557450211E-2</v>
      </c>
      <c r="F358" s="537">
        <f t="shared" si="23"/>
        <v>0</v>
      </c>
      <c r="G358" s="537">
        <f>$D358*_xlfn.XLOOKUP($I358,BG_Data[Product],BG_Data[Biogenic CO2 emissions '[kg CO2']],0)</f>
        <v>0</v>
      </c>
      <c r="H358" s="584">
        <f>$D358*_xlfn.XLOOKUP($I358,BG_Data[Product],BG_Data[Total env. impact (Ecological Scarcity 2021) '[UBP']],0)</f>
        <v>0</v>
      </c>
      <c r="I358" s="503" t="s">
        <v>21664</v>
      </c>
      <c r="J358" s="503" t="s">
        <v>27213</v>
      </c>
      <c r="K358" s="248"/>
    </row>
    <row r="359" spans="2:18" x14ac:dyDescent="0.2">
      <c r="B359" s="249"/>
      <c r="C359" s="506" t="str">
        <f>'2 Data Inputs'!C726</f>
        <v>Avion</v>
      </c>
      <c r="D359" s="532">
        <f>'2 Data Inputs'!F726</f>
        <v>0</v>
      </c>
      <c r="E359" s="532">
        <f>_xlfn.XLOOKUP($I359,BG_Data[Product],BG_Data[GHG emissions (IPCC 2021) '[kg CO2 eq']],0)</f>
        <v>1.9738617264089111</v>
      </c>
      <c r="F359" s="532">
        <f t="shared" si="23"/>
        <v>0</v>
      </c>
      <c r="G359" s="532">
        <f>$D359*_xlfn.XLOOKUP($I359,BG_Data[Product],BG_Data[Biogenic CO2 emissions '[kg CO2']],0)</f>
        <v>0</v>
      </c>
      <c r="H359" s="581">
        <f>$D359*_xlfn.XLOOKUP($I359,BG_Data[Product],BG_Data[Total env. impact (Ecological Scarcity 2021) '[UBP']],0)</f>
        <v>0</v>
      </c>
      <c r="I359" s="556" t="s">
        <v>20732</v>
      </c>
      <c r="J359" s="506" t="s">
        <v>27213</v>
      </c>
      <c r="K359" s="248"/>
    </row>
    <row r="360" spans="2:18" ht="15" x14ac:dyDescent="0.25">
      <c r="B360" s="249"/>
      <c r="C360" s="507" t="s">
        <v>2616</v>
      </c>
      <c r="D360" s="508">
        <f>SUM(D356:D359)</f>
        <v>0</v>
      </c>
      <c r="E360" s="508"/>
      <c r="F360" s="508">
        <f>SUM(F356:F359)</f>
        <v>0</v>
      </c>
      <c r="G360" s="508">
        <f>SUM(G356:G359)</f>
        <v>0</v>
      </c>
      <c r="H360" s="580">
        <f>SUM(H356:H359)</f>
        <v>0</v>
      </c>
      <c r="I360" s="507"/>
      <c r="J360" s="507"/>
      <c r="K360" s="248"/>
    </row>
    <row r="361" spans="2:18" x14ac:dyDescent="0.2">
      <c r="B361" s="254"/>
      <c r="C361" s="539"/>
      <c r="D361" s="540"/>
      <c r="E361" s="540"/>
      <c r="F361" s="540"/>
      <c r="G361" s="540"/>
      <c r="H361" s="588"/>
      <c r="I361" s="539"/>
      <c r="J361" s="539"/>
      <c r="K361" s="256"/>
    </row>
    <row r="362" spans="2:18" x14ac:dyDescent="0.2">
      <c r="B362" s="250"/>
      <c r="C362" s="506"/>
      <c r="D362" s="532"/>
      <c r="E362" s="532"/>
      <c r="F362" s="532"/>
      <c r="G362" s="532"/>
      <c r="H362" s="581"/>
      <c r="I362" s="506"/>
      <c r="J362" s="506"/>
      <c r="K362" s="250"/>
    </row>
    <row r="363" spans="2:18" ht="15" x14ac:dyDescent="0.25">
      <c r="B363" s="259" t="s">
        <v>27219</v>
      </c>
      <c r="C363" s="500"/>
      <c r="D363" s="535"/>
      <c r="E363" s="535"/>
      <c r="F363" s="535"/>
      <c r="G363" s="535"/>
      <c r="H363" s="583"/>
      <c r="I363" s="500"/>
      <c r="J363" s="500"/>
      <c r="K363" s="251"/>
    </row>
    <row r="364" spans="2:18" x14ac:dyDescent="0.2">
      <c r="B364" s="246"/>
      <c r="C364" s="527"/>
      <c r="D364" s="528"/>
      <c r="E364" s="528"/>
      <c r="F364" s="528"/>
      <c r="G364" s="547"/>
      <c r="H364" s="589"/>
      <c r="I364" s="548"/>
      <c r="J364" s="548"/>
      <c r="K364" s="247" t="str">
        <f>Calc_Hyperlink_S3</f>
        <v>Scope 3</v>
      </c>
    </row>
    <row r="365" spans="2:18" ht="15" x14ac:dyDescent="0.25">
      <c r="B365" s="249"/>
      <c r="C365" s="531" t="str">
        <f>n3Calculation_19_S3.5_Waste</f>
        <v>Déchets</v>
      </c>
      <c r="D365" s="510"/>
      <c r="E365" s="510"/>
      <c r="F365" s="510"/>
      <c r="G365" s="510"/>
      <c r="H365" s="571"/>
      <c r="I365" s="511"/>
      <c r="J365" s="511"/>
      <c r="K365" s="248"/>
      <c r="M365" s="299" t="s">
        <v>28310</v>
      </c>
    </row>
    <row r="366" spans="2:18" x14ac:dyDescent="0.2">
      <c r="B366" s="249"/>
      <c r="C366" s="740"/>
      <c r="D366" s="740"/>
      <c r="E366" s="740"/>
      <c r="F366" s="740"/>
      <c r="G366" s="510"/>
      <c r="H366" s="571"/>
      <c r="I366" s="511"/>
      <c r="J366" s="511"/>
      <c r="K366" s="248"/>
    </row>
    <row r="367" spans="2:18" s="686" customFormat="1" ht="33" x14ac:dyDescent="0.25">
      <c r="B367" s="681"/>
      <c r="C367" s="682" t="s">
        <v>28604</v>
      </c>
      <c r="D367" s="683" t="s">
        <v>28535</v>
      </c>
      <c r="E367" s="683" t="s">
        <v>27208</v>
      </c>
      <c r="F367" s="683" t="s">
        <v>27588</v>
      </c>
      <c r="G367" s="683" t="s">
        <v>27589</v>
      </c>
      <c r="H367" s="683" t="s">
        <v>27209</v>
      </c>
      <c r="I367" s="682" t="s">
        <v>27210</v>
      </c>
      <c r="J367" s="682" t="s">
        <v>27211</v>
      </c>
      <c r="K367" s="685"/>
      <c r="M367" s="687"/>
      <c r="N367" s="687"/>
      <c r="O367" s="687"/>
      <c r="P367" s="687"/>
      <c r="Q367" s="687"/>
      <c r="R367" s="687"/>
    </row>
    <row r="368" spans="2:18" x14ac:dyDescent="0.2">
      <c r="B368" s="249"/>
      <c r="C368" s="500" t="str">
        <f>'2 Data Inputs'!C772</f>
        <v>Déchets ménagers / industriels mixtes, incinération</v>
      </c>
      <c r="D368" s="535">
        <f>'2 Data Inputs'!F772</f>
        <v>0</v>
      </c>
      <c r="E368" s="535">
        <f>_xlfn.XLOOKUP($I368,BG_Data[Product],BG_Data[GHG emissions (IPCC 2021) '[kg CO2 eq']],0)</f>
        <v>0.52184029541431309</v>
      </c>
      <c r="F368" s="535">
        <f t="shared" ref="F368:F379" si="24">$D368*$E368</f>
        <v>0</v>
      </c>
      <c r="G368" s="535">
        <f>$D368*_xlfn.XLOOKUP($I368,BG_Data[Product],BG_Data[Biogenic CO2 emissions '[kg CO2']],0)</f>
        <v>0</v>
      </c>
      <c r="H368" s="583">
        <f>$D368*_xlfn.XLOOKUP($I368,BG_Data[Product],BG_Data[Total env. impact (Ecological Scarcity 2021) '[UBP']],0)</f>
        <v>0</v>
      </c>
      <c r="I368" s="500" t="s">
        <v>652</v>
      </c>
      <c r="J368" s="500" t="s">
        <v>27213</v>
      </c>
      <c r="K368" s="248"/>
    </row>
    <row r="369" spans="2:11" x14ac:dyDescent="0.2">
      <c r="B369" s="249"/>
      <c r="C369" s="503" t="str">
        <f>'2 Data Inputs'!C773</f>
        <v>Déchets dangereux, incinération</v>
      </c>
      <c r="D369" s="537">
        <f>'2 Data Inputs'!F773</f>
        <v>0</v>
      </c>
      <c r="E369" s="537">
        <f>_xlfn.XLOOKUP($I369,BG_Data[Product],BG_Data[GHG emissions (IPCC 2021) '[kg CO2 eq']],0)</f>
        <v>2.358051142433689</v>
      </c>
      <c r="F369" s="537">
        <f t="shared" si="24"/>
        <v>0</v>
      </c>
      <c r="G369" s="537">
        <f>$D369*_xlfn.XLOOKUP($I369,BG_Data[Product],BG_Data[Biogenic CO2 emissions '[kg CO2']],0)</f>
        <v>0</v>
      </c>
      <c r="H369" s="584">
        <f>$D369*_xlfn.XLOOKUP($I369,BG_Data[Product],BG_Data[Total env. impact (Ecological Scarcity 2021) '[UBP']],0)</f>
        <v>0</v>
      </c>
      <c r="I369" s="503" t="s">
        <v>654</v>
      </c>
      <c r="J369" s="503" t="s">
        <v>27213</v>
      </c>
      <c r="K369" s="248"/>
    </row>
    <row r="370" spans="2:11" x14ac:dyDescent="0.2">
      <c r="B370" s="249"/>
      <c r="C370" s="503" t="str">
        <f>'2 Data Inputs'!C774</f>
        <v>Déchets dangereux, décharge</v>
      </c>
      <c r="D370" s="537">
        <f>'2 Data Inputs'!F774</f>
        <v>0</v>
      </c>
      <c r="E370" s="537">
        <f>_xlfn.XLOOKUP($I370,BG_Data[Product],BG_Data[GHG emissions (IPCC 2021) '[kg CO2 eq']],0)</f>
        <v>0.25788583250486119</v>
      </c>
      <c r="F370" s="537">
        <f t="shared" si="24"/>
        <v>0</v>
      </c>
      <c r="G370" s="537">
        <f>$D370*_xlfn.XLOOKUP($I370,BG_Data[Product],BG_Data[Biogenic CO2 emissions '[kg CO2']],0)</f>
        <v>0</v>
      </c>
      <c r="H370" s="584">
        <f>$D370*_xlfn.XLOOKUP($I370,BG_Data[Product],BG_Data[Total env. impact (Ecological Scarcity 2021) '[UBP']],0)</f>
        <v>0</v>
      </c>
      <c r="I370" s="503" t="s">
        <v>658</v>
      </c>
      <c r="J370" s="503" t="s">
        <v>27213</v>
      </c>
      <c r="K370" s="248"/>
    </row>
    <row r="371" spans="2:11" x14ac:dyDescent="0.2">
      <c r="B371" s="249"/>
      <c r="C371" s="503" t="str">
        <f>'2 Data Inputs'!C775</f>
        <v>Plastique, incinération</v>
      </c>
      <c r="D371" s="537">
        <f>'2 Data Inputs'!F775</f>
        <v>0</v>
      </c>
      <c r="E371" s="537">
        <f>_xlfn.XLOOKUP($I371,BG_Data[Product],BG_Data[GHG emissions (IPCC 2021) '[kg CO2 eq']],0)</f>
        <v>2.3830364175060761</v>
      </c>
      <c r="F371" s="537">
        <f t="shared" si="24"/>
        <v>0</v>
      </c>
      <c r="G371" s="537">
        <f>$D371*_xlfn.XLOOKUP($I371,BG_Data[Product],BG_Data[Biogenic CO2 emissions '[kg CO2']],0)</f>
        <v>0</v>
      </c>
      <c r="H371" s="584">
        <f>$D371*_xlfn.XLOOKUP($I371,BG_Data[Product],BG_Data[Total env. impact (Ecological Scarcity 2021) '[UBP']],0)</f>
        <v>0</v>
      </c>
      <c r="I371" s="503" t="s">
        <v>660</v>
      </c>
      <c r="J371" s="503" t="s">
        <v>27213</v>
      </c>
      <c r="K371" s="248"/>
    </row>
    <row r="372" spans="2:11" x14ac:dyDescent="0.2">
      <c r="B372" s="249"/>
      <c r="C372" s="503" t="str">
        <f>'2 Data Inputs'!C776</f>
        <v>Plastique, recyclage</v>
      </c>
      <c r="D372" s="537">
        <f>'2 Data Inputs'!F776</f>
        <v>0</v>
      </c>
      <c r="E372" s="537">
        <f>_xlfn.XLOOKUP($I372,BG_Data[Product],BG_Data[GHG emissions (IPCC 2021) '[kg CO2 eq']],0)</f>
        <v>0</v>
      </c>
      <c r="F372" s="537">
        <f t="shared" si="24"/>
        <v>0</v>
      </c>
      <c r="G372" s="537">
        <f>$D372*_xlfn.XLOOKUP($I372,BG_Data[Product],BG_Data[Biogenic CO2 emissions '[kg CO2']],0)</f>
        <v>0</v>
      </c>
      <c r="H372" s="584">
        <f>$D372*_xlfn.XLOOKUP($I372,BG_Data[Product],BG_Data[Total env. impact (Ecological Scarcity 2021) '[UBP']],0)</f>
        <v>0</v>
      </c>
      <c r="I372" s="503" t="s">
        <v>663</v>
      </c>
      <c r="J372" s="503" t="s">
        <v>27213</v>
      </c>
      <c r="K372" s="248"/>
    </row>
    <row r="373" spans="2:11" x14ac:dyDescent="0.2">
      <c r="B373" s="249"/>
      <c r="C373" s="503" t="str">
        <f>'2 Data Inputs'!C777</f>
        <v>Métaux, recyclage</v>
      </c>
      <c r="D373" s="537">
        <f>'2 Data Inputs'!F777</f>
        <v>0</v>
      </c>
      <c r="E373" s="537">
        <f>_xlfn.XLOOKUP($I373,BG_Data[Product],BG_Data[GHG emissions (IPCC 2021) '[kg CO2 eq']],0)</f>
        <v>0</v>
      </c>
      <c r="F373" s="537">
        <f t="shared" si="24"/>
        <v>0</v>
      </c>
      <c r="G373" s="537">
        <f>$D373*_xlfn.XLOOKUP($I373,BG_Data[Product],BG_Data[Biogenic CO2 emissions '[kg CO2']],0)</f>
        <v>0</v>
      </c>
      <c r="H373" s="584">
        <f>$D373*_xlfn.XLOOKUP($I373,BG_Data[Product],BG_Data[Total env. impact (Ecological Scarcity 2021) '[UBP']],0)</f>
        <v>0</v>
      </c>
      <c r="I373" s="503" t="s">
        <v>663</v>
      </c>
      <c r="J373" s="503" t="s">
        <v>27213</v>
      </c>
      <c r="K373" s="248"/>
    </row>
    <row r="374" spans="2:11" x14ac:dyDescent="0.2">
      <c r="B374" s="249"/>
      <c r="C374" s="503" t="str">
        <f>'2 Data Inputs'!C778</f>
        <v>Déchets électroniques, recyclage</v>
      </c>
      <c r="D374" s="537">
        <f>'2 Data Inputs'!F778</f>
        <v>0</v>
      </c>
      <c r="E374" s="537">
        <f>_xlfn.XLOOKUP($I374,BG_Data[Product],BG_Data[GHG emissions (IPCC 2021) '[kg CO2 eq']],0)</f>
        <v>1.114284565972806</v>
      </c>
      <c r="F374" s="537">
        <f t="shared" si="24"/>
        <v>0</v>
      </c>
      <c r="G374" s="537">
        <f>$D374*_xlfn.XLOOKUP($I374,BG_Data[Product],BG_Data[Biogenic CO2 emissions '[kg CO2']],0)</f>
        <v>0</v>
      </c>
      <c r="H374" s="584">
        <f>$D374*_xlfn.XLOOKUP($I374,BG_Data[Product],BG_Data[Total env. impact (Ecological Scarcity 2021) '[UBP']],0)</f>
        <v>0</v>
      </c>
      <c r="I374" s="503" t="s">
        <v>669</v>
      </c>
      <c r="J374" s="503" t="s">
        <v>27213</v>
      </c>
      <c r="K374" s="248"/>
    </row>
    <row r="375" spans="2:11" x14ac:dyDescent="0.2">
      <c r="B375" s="249"/>
      <c r="C375" s="503" t="str">
        <f>'2 Data Inputs'!C779</f>
        <v>Biodéchets, incinération</v>
      </c>
      <c r="D375" s="537">
        <f>'2 Data Inputs'!F779</f>
        <v>0</v>
      </c>
      <c r="E375" s="537">
        <f>_xlfn.XLOOKUP($I375,BG_Data[Product],BG_Data[GHG emissions (IPCC 2021) '[kg CO2 eq']],0)</f>
        <v>3.9702725428305947E-2</v>
      </c>
      <c r="F375" s="537">
        <f t="shared" si="24"/>
        <v>0</v>
      </c>
      <c r="G375" s="537">
        <f>$D375*_xlfn.XLOOKUP($I375,BG_Data[Product],BG_Data[Biogenic CO2 emissions '[kg CO2']],0)</f>
        <v>0</v>
      </c>
      <c r="H375" s="584">
        <f>$D375*_xlfn.XLOOKUP($I375,BG_Data[Product],BG_Data[Total env. impact (Ecological Scarcity 2021) '[UBP']],0)</f>
        <v>0</v>
      </c>
      <c r="I375" s="503" t="s">
        <v>671</v>
      </c>
      <c r="J375" s="503" t="s">
        <v>27213</v>
      </c>
      <c r="K375" s="248"/>
    </row>
    <row r="376" spans="2:11" x14ac:dyDescent="0.2">
      <c r="B376" s="249"/>
      <c r="C376" s="503" t="str">
        <f>'2 Data Inputs'!C780</f>
        <v>Biodéchets, production de biogaz</v>
      </c>
      <c r="D376" s="537">
        <f>'2 Data Inputs'!F780</f>
        <v>0</v>
      </c>
      <c r="E376" s="537">
        <f>_xlfn.XLOOKUP($I376,BG_Data[Product],BG_Data[GHG emissions (IPCC 2021) '[kg CO2 eq']],0)</f>
        <v>2.896637952371138E-2</v>
      </c>
      <c r="F376" s="537">
        <f t="shared" si="24"/>
        <v>0</v>
      </c>
      <c r="G376" s="537">
        <f>$D376*_xlfn.XLOOKUP($I376,BG_Data[Product],BG_Data[Biogenic CO2 emissions '[kg CO2']],0)</f>
        <v>0</v>
      </c>
      <c r="H376" s="584">
        <f>$D376*_xlfn.XLOOKUP($I376,BG_Data[Product],BG_Data[Total env. impact (Ecological Scarcity 2021) '[UBP']],0)</f>
        <v>0</v>
      </c>
      <c r="I376" s="503" t="s">
        <v>675</v>
      </c>
      <c r="J376" s="503" t="s">
        <v>27213</v>
      </c>
      <c r="K376" s="248"/>
    </row>
    <row r="377" spans="2:11" x14ac:dyDescent="0.2">
      <c r="B377" s="249"/>
      <c r="C377" s="503" t="str">
        <f>'2 Data Inputs'!C781</f>
        <v>Matériaux inertes / déchets de construction, décharge</v>
      </c>
      <c r="D377" s="537">
        <f>'2 Data Inputs'!F781</f>
        <v>0</v>
      </c>
      <c r="E377" s="537">
        <f>_xlfn.XLOOKUP($I377,BG_Data[Product],BG_Data[GHG emissions (IPCC 2021) '[kg CO2 eq']],0)</f>
        <v>1.099915242120441E-3</v>
      </c>
      <c r="F377" s="537">
        <f t="shared" si="24"/>
        <v>0</v>
      </c>
      <c r="G377" s="537">
        <f>$D377*_xlfn.XLOOKUP($I377,BG_Data[Product],BG_Data[Biogenic CO2 emissions '[kg CO2']],0)</f>
        <v>0</v>
      </c>
      <c r="H377" s="584">
        <f>$D377*_xlfn.XLOOKUP($I377,BG_Data[Product],BG_Data[Total env. impact (Ecological Scarcity 2021) '[UBP']],0)</f>
        <v>0</v>
      </c>
      <c r="I377" s="503" t="s">
        <v>679</v>
      </c>
      <c r="J377" s="503" t="s">
        <v>27213</v>
      </c>
      <c r="K377" s="248"/>
    </row>
    <row r="378" spans="2:11" x14ac:dyDescent="0.2">
      <c r="B378" s="249"/>
      <c r="C378" s="503" t="str">
        <f>'2 Data Inputs'!C782</f>
        <v>Matériaux inertes / déchets de construction, recyclage</v>
      </c>
      <c r="D378" s="537">
        <f>'2 Data Inputs'!F782</f>
        <v>0</v>
      </c>
      <c r="E378" s="537">
        <f>_xlfn.XLOOKUP($I378,BG_Data[Product],BG_Data[GHG emissions (IPCC 2021) '[kg CO2 eq']],0)</f>
        <v>0</v>
      </c>
      <c r="F378" s="537">
        <f t="shared" si="24"/>
        <v>0</v>
      </c>
      <c r="G378" s="537">
        <f>$D378*_xlfn.XLOOKUP($I378,BG_Data[Product],BG_Data[Biogenic CO2 emissions '[kg CO2']],0)</f>
        <v>0</v>
      </c>
      <c r="H378" s="584">
        <f>$D378*_xlfn.XLOOKUP($I378,BG_Data[Product],BG_Data[Total env. impact (Ecological Scarcity 2021) '[UBP']],0)</f>
        <v>0</v>
      </c>
      <c r="I378" s="503" t="s">
        <v>663</v>
      </c>
      <c r="J378" s="503" t="s">
        <v>27213</v>
      </c>
      <c r="K378" s="248"/>
    </row>
    <row r="379" spans="2:11" x14ac:dyDescent="0.2">
      <c r="B379" s="249"/>
      <c r="C379" s="506" t="str">
        <f>'2 Data Inputs'!C783</f>
        <v>Eaux usées</v>
      </c>
      <c r="D379" s="532">
        <f>'2 Data Inputs'!F783</f>
        <v>0</v>
      </c>
      <c r="E379" s="532">
        <f>_xlfn.XLOOKUP($I379,BG_Data[Product],BG_Data[GHG emissions (IPCC 2021) '[kg CO2 eq']],0)</f>
        <v>2.7604365217968711E-4</v>
      </c>
      <c r="F379" s="532">
        <f t="shared" si="24"/>
        <v>0</v>
      </c>
      <c r="G379" s="532">
        <f>$D379*_xlfn.XLOOKUP($I379,BG_Data[Product],BG_Data[Biogenic CO2 emissions '[kg CO2']],0)</f>
        <v>0</v>
      </c>
      <c r="H379" s="581">
        <f>$D379*_xlfn.XLOOKUP($I379,BG_Data[Product],BG_Data[Total env. impact (Ecological Scarcity 2021) '[UBP']],0)</f>
        <v>0</v>
      </c>
      <c r="I379" s="506" t="s">
        <v>29006</v>
      </c>
      <c r="J379" s="506" t="s">
        <v>27213</v>
      </c>
      <c r="K379" s="248"/>
    </row>
    <row r="380" spans="2:11" ht="15" x14ac:dyDescent="0.25">
      <c r="B380" s="249"/>
      <c r="C380" s="507" t="s">
        <v>2616</v>
      </c>
      <c r="D380" s="508">
        <f>SUM(D368:D379)</f>
        <v>0</v>
      </c>
      <c r="E380" s="508"/>
      <c r="F380" s="508">
        <f>SUM(F368:F379)</f>
        <v>0</v>
      </c>
      <c r="G380" s="508">
        <f>SUM(G368:G379)</f>
        <v>0</v>
      </c>
      <c r="H380" s="580">
        <f>SUM(H368:H379)</f>
        <v>0</v>
      </c>
      <c r="I380" s="507"/>
      <c r="J380" s="507"/>
      <c r="K380" s="248"/>
    </row>
    <row r="381" spans="2:11" x14ac:dyDescent="0.2">
      <c r="B381" s="254"/>
      <c r="C381" s="539"/>
      <c r="D381" s="540"/>
      <c r="E381" s="540"/>
      <c r="F381" s="540"/>
      <c r="G381" s="540"/>
      <c r="H381" s="588"/>
      <c r="I381" s="539"/>
      <c r="J381" s="539"/>
      <c r="K381" s="256"/>
    </row>
    <row r="383" spans="2:11" ht="15" x14ac:dyDescent="0.25">
      <c r="B383" s="258" t="s">
        <v>27220</v>
      </c>
    </row>
    <row r="384" spans="2:11" x14ac:dyDescent="0.2">
      <c r="B384" s="246"/>
      <c r="C384" s="527"/>
      <c r="D384" s="528"/>
      <c r="E384" s="528"/>
      <c r="F384" s="528"/>
      <c r="G384" s="547"/>
      <c r="H384" s="589"/>
      <c r="I384" s="548"/>
      <c r="J384" s="548"/>
      <c r="K384" s="247" t="str">
        <f>Calc_Hyperlink_S3</f>
        <v>Scope 3</v>
      </c>
    </row>
    <row r="385" spans="2:18" ht="15" x14ac:dyDescent="0.25">
      <c r="B385" s="249"/>
      <c r="C385" s="531" t="str">
        <f>n3Calculation_20_S3.6_BusinessTravel</f>
        <v>Voyage d’affaires</v>
      </c>
      <c r="D385" s="510"/>
      <c r="E385" s="510"/>
      <c r="F385" s="510"/>
      <c r="G385" s="510"/>
      <c r="H385" s="571"/>
      <c r="I385" s="511"/>
      <c r="J385" s="511"/>
      <c r="K385" s="248"/>
      <c r="M385" s="299" t="s">
        <v>28311</v>
      </c>
    </row>
    <row r="386" spans="2:18" x14ac:dyDescent="0.2">
      <c r="B386" s="249"/>
      <c r="C386" s="740"/>
      <c r="D386" s="740"/>
      <c r="E386" s="740"/>
      <c r="F386" s="740"/>
      <c r="G386" s="510"/>
      <c r="H386" s="571"/>
      <c r="I386" s="511"/>
      <c r="J386" s="511"/>
      <c r="K386" s="248"/>
    </row>
    <row r="387" spans="2:18" s="686" customFormat="1" ht="33" x14ac:dyDescent="0.25">
      <c r="B387" s="681"/>
      <c r="C387" s="682" t="s">
        <v>28600</v>
      </c>
      <c r="D387" s="683" t="s">
        <v>28540</v>
      </c>
      <c r="E387" s="683" t="s">
        <v>27208</v>
      </c>
      <c r="F387" s="683" t="s">
        <v>27588</v>
      </c>
      <c r="G387" s="683" t="s">
        <v>27589</v>
      </c>
      <c r="H387" s="683" t="s">
        <v>27209</v>
      </c>
      <c r="I387" s="682" t="s">
        <v>27210</v>
      </c>
      <c r="J387" s="682" t="s">
        <v>27211</v>
      </c>
      <c r="K387" s="685"/>
      <c r="M387" s="687"/>
      <c r="N387" s="687"/>
      <c r="O387" s="687"/>
      <c r="P387" s="687"/>
      <c r="Q387" s="687"/>
      <c r="R387" s="687"/>
    </row>
    <row r="388" spans="2:18" x14ac:dyDescent="0.2">
      <c r="B388" s="249"/>
      <c r="C388" s="500" t="str">
        <f>'2 Data Inputs'!C664</f>
        <v>Vols court-courriers en classe économique</v>
      </c>
      <c r="D388" s="535">
        <f>'2 Data Inputs'!F664</f>
        <v>0</v>
      </c>
      <c r="E388" s="535">
        <f>_xlfn.XLOOKUP($I388,BG_Data[Product],BG_Data[GHG emissions (IPCC 2021) '[kg CO2 eq']],0)</f>
        <v>0.35814351321824772</v>
      </c>
      <c r="F388" s="535">
        <f t="shared" ref="F388:F396" si="25">$D388*$E388</f>
        <v>0</v>
      </c>
      <c r="G388" s="535">
        <f>$D388*_xlfn.XLOOKUP($I388,BG_Data[Product],BG_Data[Biogenic CO2 emissions '[kg CO2']],0)</f>
        <v>0</v>
      </c>
      <c r="H388" s="583">
        <f>$D388*_xlfn.XLOOKUP($I388,BG_Data[Product],BG_Data[Total env. impact (Ecological Scarcity 2021) '[UBP']],0)</f>
        <v>0</v>
      </c>
      <c r="I388" s="500" t="s">
        <v>20805</v>
      </c>
      <c r="J388" s="500" t="s">
        <v>27213</v>
      </c>
      <c r="K388" s="248"/>
    </row>
    <row r="389" spans="2:18" x14ac:dyDescent="0.2">
      <c r="B389" s="249"/>
      <c r="C389" s="503" t="str">
        <f>'2 Data Inputs'!C665</f>
        <v>Vols court-courriers en classe affaires</v>
      </c>
      <c r="D389" s="537">
        <f>'2 Data Inputs'!F665</f>
        <v>0</v>
      </c>
      <c r="E389" s="537">
        <f>_xlfn.XLOOKUP($I389,BG_Data[Product],BG_Data[GHG emissions (IPCC 2021) '[kg CO2 eq']],0)</f>
        <v>0.5695702340368648</v>
      </c>
      <c r="F389" s="537">
        <f t="shared" si="25"/>
        <v>0</v>
      </c>
      <c r="G389" s="537">
        <f>$D389*_xlfn.XLOOKUP($I389,BG_Data[Product],BG_Data[Biogenic CO2 emissions '[kg CO2']],0)</f>
        <v>0</v>
      </c>
      <c r="H389" s="584">
        <f>$D389*_xlfn.XLOOKUP($I389,BG_Data[Product],BG_Data[Total env. impact (Ecological Scarcity 2021) '[UBP']],0)</f>
        <v>0</v>
      </c>
      <c r="I389" s="503" t="s">
        <v>20803</v>
      </c>
      <c r="J389" s="503" t="s">
        <v>27213</v>
      </c>
      <c r="K389" s="248"/>
    </row>
    <row r="390" spans="2:18" x14ac:dyDescent="0.2">
      <c r="B390" s="249"/>
      <c r="C390" s="503" t="str">
        <f>'2 Data Inputs'!C666</f>
        <v>Vols moyen-courriers en classe économique</v>
      </c>
      <c r="D390" s="537">
        <f>'2 Data Inputs'!F666</f>
        <v>0</v>
      </c>
      <c r="E390" s="537">
        <f>_xlfn.XLOOKUP($I390,BG_Data[Product],BG_Data[GHG emissions (IPCC 2021) '[kg CO2 eq']],0)</f>
        <v>0.27560721404618482</v>
      </c>
      <c r="F390" s="537">
        <f t="shared" si="25"/>
        <v>0</v>
      </c>
      <c r="G390" s="537">
        <f>$D390*_xlfn.XLOOKUP($I390,BG_Data[Product],BG_Data[Biogenic CO2 emissions '[kg CO2']],0)</f>
        <v>0</v>
      </c>
      <c r="H390" s="584">
        <f>$D390*_xlfn.XLOOKUP($I390,BG_Data[Product],BG_Data[Total env. impact (Ecological Scarcity 2021) '[UBP']],0)</f>
        <v>0</v>
      </c>
      <c r="I390" s="503" t="s">
        <v>20793</v>
      </c>
      <c r="J390" s="503" t="s">
        <v>27213</v>
      </c>
      <c r="K390" s="248"/>
    </row>
    <row r="391" spans="2:18" x14ac:dyDescent="0.2">
      <c r="B391" s="249"/>
      <c r="C391" s="503" t="str">
        <f>'2 Data Inputs'!C667</f>
        <v>Vols moyen-courriers en classe affaires</v>
      </c>
      <c r="D391" s="537">
        <f>'2 Data Inputs'!F667</f>
        <v>0</v>
      </c>
      <c r="E391" s="537">
        <f>_xlfn.XLOOKUP($I391,BG_Data[Product],BG_Data[GHG emissions (IPCC 2021) '[kg CO2 eq']],0)</f>
        <v>0.44133993651930359</v>
      </c>
      <c r="F391" s="537">
        <f t="shared" si="25"/>
        <v>0</v>
      </c>
      <c r="G391" s="537">
        <f>$D391*_xlfn.XLOOKUP($I391,BG_Data[Product],BG_Data[Biogenic CO2 emissions '[kg CO2']],0)</f>
        <v>0</v>
      </c>
      <c r="H391" s="584">
        <f>$D391*_xlfn.XLOOKUP($I391,BG_Data[Product],BG_Data[Total env. impact (Ecological Scarcity 2021) '[UBP']],0)</f>
        <v>0</v>
      </c>
      <c r="I391" s="503" t="s">
        <v>20791</v>
      </c>
      <c r="J391" s="503" t="s">
        <v>27213</v>
      </c>
      <c r="K391" s="248"/>
    </row>
    <row r="392" spans="2:18" x14ac:dyDescent="0.2">
      <c r="B392" s="249"/>
      <c r="C392" s="503" t="str">
        <f>'2 Data Inputs'!C668</f>
        <v>Vols long-courriers en classe économique</v>
      </c>
      <c r="D392" s="537">
        <f>'2 Data Inputs'!F668</f>
        <v>0</v>
      </c>
      <c r="E392" s="537">
        <f>_xlfn.XLOOKUP($I392,BG_Data[Product],BG_Data[GHG emissions (IPCC 2021) '[kg CO2 eq']],0)</f>
        <v>0.229089945507709</v>
      </c>
      <c r="F392" s="537">
        <f t="shared" si="25"/>
        <v>0</v>
      </c>
      <c r="G392" s="537">
        <f>$D392*_xlfn.XLOOKUP($I392,BG_Data[Product],BG_Data[Biogenic CO2 emissions '[kg CO2']],0)</f>
        <v>0</v>
      </c>
      <c r="H392" s="584">
        <f>$D392*_xlfn.XLOOKUP($I392,BG_Data[Product],BG_Data[Total env. impact (Ecological Scarcity 2021) '[UBP']],0)</f>
        <v>0</v>
      </c>
      <c r="I392" s="503" t="s">
        <v>20779</v>
      </c>
      <c r="J392" s="503" t="s">
        <v>27213</v>
      </c>
      <c r="K392" s="248"/>
    </row>
    <row r="393" spans="2:18" x14ac:dyDescent="0.2">
      <c r="B393" s="249"/>
      <c r="C393" s="503" t="str">
        <f>'2 Data Inputs'!C669</f>
        <v>Vols long-courriers en classe affaires</v>
      </c>
      <c r="D393" s="537">
        <f>'2 Data Inputs'!F669</f>
        <v>0</v>
      </c>
      <c r="E393" s="537">
        <f>_xlfn.XLOOKUP($I393,BG_Data[Product],BG_Data[GHG emissions (IPCC 2021) '[kg CO2 eq']],0)</f>
        <v>0.52571666192801891</v>
      </c>
      <c r="F393" s="537">
        <f t="shared" si="25"/>
        <v>0</v>
      </c>
      <c r="G393" s="537">
        <f>$D393*_xlfn.XLOOKUP($I393,BG_Data[Product],BG_Data[Biogenic CO2 emissions '[kg CO2']],0)</f>
        <v>0</v>
      </c>
      <c r="H393" s="584">
        <f>$D393*_xlfn.XLOOKUP($I393,BG_Data[Product],BG_Data[Total env. impact (Ecological Scarcity 2021) '[UBP']],0)</f>
        <v>0</v>
      </c>
      <c r="I393" s="503" t="s">
        <v>20777</v>
      </c>
      <c r="J393" s="503" t="s">
        <v>27213</v>
      </c>
      <c r="K393" s="248"/>
    </row>
    <row r="394" spans="2:18" x14ac:dyDescent="0.2">
      <c r="B394" s="249"/>
      <c r="C394" s="503" t="str">
        <f>'2 Data Inputs'!C670</f>
        <v>Train</v>
      </c>
      <c r="D394" s="537">
        <f>'2 Data Inputs'!F670</f>
        <v>0</v>
      </c>
      <c r="E394" s="537">
        <f>_xlfn.XLOOKUP($I394,BG_Data[Product],BG_Data[GHG emissions (IPCC 2021) '[kg CO2 eq']],0)</f>
        <v>6.7568052548093154E-3</v>
      </c>
      <c r="F394" s="537">
        <f t="shared" si="25"/>
        <v>0</v>
      </c>
      <c r="G394" s="537">
        <f>$D394*_xlfn.XLOOKUP($I394,BG_Data[Product],BG_Data[Biogenic CO2 emissions '[kg CO2']],0)</f>
        <v>0</v>
      </c>
      <c r="H394" s="584">
        <f>$D394*_xlfn.XLOOKUP($I394,BG_Data[Product],BG_Data[Total env. impact (Ecological Scarcity 2021) '[UBP']],0)</f>
        <v>0</v>
      </c>
      <c r="I394" s="503" t="s">
        <v>20819</v>
      </c>
      <c r="J394" s="503" t="s">
        <v>27213</v>
      </c>
      <c r="K394" s="248"/>
    </row>
    <row r="395" spans="2:18" x14ac:dyDescent="0.2">
      <c r="B395" s="249"/>
      <c r="C395" s="503" t="str">
        <f>'2 Data Inputs'!C671</f>
        <v>Bus</v>
      </c>
      <c r="D395" s="537">
        <f>'2 Data Inputs'!F671</f>
        <v>0</v>
      </c>
      <c r="E395" s="537">
        <f>_xlfn.XLOOKUP($I395,BG_Data[Product],BG_Data[GHG emissions (IPCC 2021) '[kg CO2 eq']],0)</f>
        <v>0.12582008149266341</v>
      </c>
      <c r="F395" s="537">
        <f t="shared" si="25"/>
        <v>0</v>
      </c>
      <c r="G395" s="537">
        <f>$D395*_xlfn.XLOOKUP($I395,BG_Data[Product],BG_Data[Biogenic CO2 emissions '[kg CO2']],0)</f>
        <v>0</v>
      </c>
      <c r="H395" s="584">
        <f>$D395*_xlfn.XLOOKUP($I395,BG_Data[Product],BG_Data[Total env. impact (Ecological Scarcity 2021) '[UBP']],0)</f>
        <v>0</v>
      </c>
      <c r="I395" s="557" t="s">
        <v>22128</v>
      </c>
      <c r="J395" s="503" t="s">
        <v>27213</v>
      </c>
      <c r="K395" s="248"/>
    </row>
    <row r="396" spans="2:18" x14ac:dyDescent="0.2">
      <c r="B396" s="249"/>
      <c r="C396" s="506" t="str">
        <f>'2 Data Inputs'!C672</f>
        <v>Voiture particulière</v>
      </c>
      <c r="D396" s="532">
        <f>'2 Data Inputs'!F672</f>
        <v>0</v>
      </c>
      <c r="E396" s="532">
        <f>_xlfn.XLOOKUP($I396,BG_Data[Product],BG_Data[GHG emissions (IPCC 2021) '[kg CO2 eq']],0)</f>
        <v>0.30613531171791269</v>
      </c>
      <c r="F396" s="532">
        <f t="shared" si="25"/>
        <v>0</v>
      </c>
      <c r="G396" s="532">
        <f>$D396*_xlfn.XLOOKUP($I396,BG_Data[Product],BG_Data[Biogenic CO2 emissions '[kg CO2']],0)</f>
        <v>0</v>
      </c>
      <c r="H396" s="581">
        <f>$D396*_xlfn.XLOOKUP($I396,BG_Data[Product],BG_Data[Total env. impact (Ecological Scarcity 2021) '[UBP']],0)</f>
        <v>0</v>
      </c>
      <c r="I396" s="506" t="s">
        <v>22654</v>
      </c>
      <c r="J396" s="506" t="s">
        <v>27213</v>
      </c>
      <c r="K396" s="248"/>
    </row>
    <row r="397" spans="2:18" ht="15" x14ac:dyDescent="0.25">
      <c r="B397" s="249"/>
      <c r="C397" s="507" t="s">
        <v>2616</v>
      </c>
      <c r="D397" s="508">
        <f>SUM(D388:D396)</f>
        <v>0</v>
      </c>
      <c r="E397" s="508"/>
      <c r="F397" s="508">
        <f>SUM(F388:F396)</f>
        <v>0</v>
      </c>
      <c r="G397" s="508">
        <f>SUM(G388:G396)</f>
        <v>0</v>
      </c>
      <c r="H397" s="580">
        <f>SUM(H388:H396)</f>
        <v>0</v>
      </c>
      <c r="I397" s="507"/>
      <c r="J397" s="507"/>
      <c r="K397" s="248"/>
    </row>
    <row r="398" spans="2:18" x14ac:dyDescent="0.2">
      <c r="B398" s="254"/>
      <c r="C398" s="539"/>
      <c r="D398" s="540"/>
      <c r="E398" s="540"/>
      <c r="F398" s="540"/>
      <c r="G398" s="540"/>
      <c r="H398" s="588"/>
      <c r="I398" s="539"/>
      <c r="J398" s="539"/>
      <c r="K398" s="256"/>
    </row>
    <row r="400" spans="2:18" ht="15" x14ac:dyDescent="0.25">
      <c r="B400" s="258" t="s">
        <v>27221</v>
      </c>
    </row>
    <row r="401" spans="2:18" x14ac:dyDescent="0.2">
      <c r="B401" s="246"/>
      <c r="C401" s="527"/>
      <c r="D401" s="528"/>
      <c r="E401" s="528"/>
      <c r="F401" s="528"/>
      <c r="G401" s="547"/>
      <c r="H401" s="589"/>
      <c r="I401" s="548"/>
      <c r="J401" s="548"/>
      <c r="K401" s="247" t="str">
        <f>Calc_Hyperlink_S3</f>
        <v>Scope 3</v>
      </c>
    </row>
    <row r="402" spans="2:18" ht="15" x14ac:dyDescent="0.25">
      <c r="B402" s="249"/>
      <c r="C402" s="531" t="str">
        <f>n3Calculation_21_S3.7_EmployeeCommuting</f>
        <v>Transport des employés</v>
      </c>
      <c r="D402" s="510"/>
      <c r="E402" s="510"/>
      <c r="F402" s="510"/>
      <c r="G402" s="510"/>
      <c r="H402" s="571"/>
      <c r="I402" s="511"/>
      <c r="J402" s="511"/>
      <c r="K402" s="248"/>
      <c r="M402" s="299" t="s">
        <v>28312</v>
      </c>
    </row>
    <row r="403" spans="2:18" x14ac:dyDescent="0.2">
      <c r="B403" s="249"/>
      <c r="C403" s="511"/>
      <c r="D403" s="510"/>
      <c r="E403" s="510"/>
      <c r="F403" s="510"/>
      <c r="G403" s="510"/>
      <c r="H403" s="571"/>
      <c r="I403" s="511"/>
      <c r="J403" s="511"/>
      <c r="K403" s="248"/>
    </row>
    <row r="404" spans="2:18" s="686" customFormat="1" ht="33" x14ac:dyDescent="0.25">
      <c r="B404" s="681"/>
      <c r="C404" s="682" t="s">
        <v>28601</v>
      </c>
      <c r="D404" s="683" t="s">
        <v>28541</v>
      </c>
      <c r="E404" s="683" t="s">
        <v>27208</v>
      </c>
      <c r="F404" s="683" t="s">
        <v>27588</v>
      </c>
      <c r="G404" s="683" t="s">
        <v>27589</v>
      </c>
      <c r="H404" s="683" t="s">
        <v>27209</v>
      </c>
      <c r="I404" s="682" t="s">
        <v>27210</v>
      </c>
      <c r="J404" s="682" t="s">
        <v>27211</v>
      </c>
      <c r="K404" s="685"/>
      <c r="M404" s="687"/>
      <c r="N404" s="687"/>
      <c r="O404" s="687"/>
      <c r="P404" s="687"/>
      <c r="Q404" s="687"/>
      <c r="R404" s="687"/>
    </row>
    <row r="405" spans="2:18" x14ac:dyDescent="0.2">
      <c r="B405" s="249"/>
      <c r="C405" s="524" t="str">
        <f>'2 Data Inputs'!C693</f>
        <v>Proportion d’employés</v>
      </c>
      <c r="D405" s="525">
        <f>'2 Data Inputs'!F693</f>
        <v>0</v>
      </c>
      <c r="E405" s="525">
        <f>_xlfn.XLOOKUP($I405,BG_Data[Product],BG_Data[GHG emissions (IPCC 2021) '[kg CO2 eq']],0)</f>
        <v>655.78007018756739</v>
      </c>
      <c r="F405" s="525">
        <f t="shared" ref="F405" si="26">$D405*$E405</f>
        <v>0</v>
      </c>
      <c r="G405" s="525">
        <f>$D405*_xlfn.XLOOKUP($I405,BG_Data[Product],BG_Data[Biogenic CO2 emissions '[kg CO2']],0)</f>
        <v>0</v>
      </c>
      <c r="H405" s="574">
        <f>$D405*_xlfn.XLOOKUP($I405,BG_Data[Product],BG_Data[Total env. impact (Ecological Scarcity 2021) '[UBP']],0)</f>
        <v>0</v>
      </c>
      <c r="I405" s="524" t="s">
        <v>2641</v>
      </c>
      <c r="J405" s="524" t="s">
        <v>27213</v>
      </c>
      <c r="K405" s="248"/>
    </row>
    <row r="406" spans="2:18" x14ac:dyDescent="0.2">
      <c r="B406" s="249"/>
      <c r="C406" s="509"/>
      <c r="D406" s="509"/>
      <c r="E406" s="509"/>
      <c r="F406" s="509"/>
      <c r="G406" s="510"/>
      <c r="H406" s="571"/>
      <c r="I406" s="511"/>
      <c r="J406" s="511"/>
      <c r="K406" s="248"/>
    </row>
    <row r="407" spans="2:18" s="686" customFormat="1" ht="33" x14ac:dyDescent="0.25">
      <c r="B407" s="681"/>
      <c r="C407" s="682" t="s">
        <v>28600</v>
      </c>
      <c r="D407" s="683" t="s">
        <v>28542</v>
      </c>
      <c r="E407" s="683" t="s">
        <v>27208</v>
      </c>
      <c r="F407" s="683" t="s">
        <v>27588</v>
      </c>
      <c r="G407" s="683" t="s">
        <v>27589</v>
      </c>
      <c r="H407" s="683" t="s">
        <v>27209</v>
      </c>
      <c r="I407" s="682" t="s">
        <v>27210</v>
      </c>
      <c r="J407" s="682" t="s">
        <v>27211</v>
      </c>
      <c r="K407" s="685"/>
      <c r="M407" s="687"/>
      <c r="N407" s="687"/>
      <c r="O407" s="687"/>
      <c r="P407" s="687"/>
      <c r="Q407" s="687"/>
      <c r="R407" s="687"/>
    </row>
    <row r="408" spans="2:18" x14ac:dyDescent="0.2">
      <c r="B408" s="249"/>
      <c r="C408" s="500" t="str">
        <f>'2 Data Inputs'!C697</f>
        <v>Voiture particulière</v>
      </c>
      <c r="D408" s="535">
        <f>'2 Data Inputs'!F697</f>
        <v>0</v>
      </c>
      <c r="E408" s="535">
        <f>_xlfn.XLOOKUP($I408,BG_Data[Product],BG_Data[GHG emissions (IPCC 2021) '[kg CO2 eq']],0)</f>
        <v>0.30613531171791269</v>
      </c>
      <c r="F408" s="535">
        <f t="shared" ref="F408:F413" si="27">$D408*$E408</f>
        <v>0</v>
      </c>
      <c r="G408" s="535">
        <f>$D408*_xlfn.XLOOKUP($I408,BG_Data[Product],BG_Data[Biogenic CO2 emissions '[kg CO2']],0)</f>
        <v>0</v>
      </c>
      <c r="H408" s="583">
        <f>$D408*_xlfn.XLOOKUP($I408,BG_Data[Product],BG_Data[Total env. impact (Ecological Scarcity 2021) '[UBP']],0)</f>
        <v>0</v>
      </c>
      <c r="I408" s="500" t="s">
        <v>22654</v>
      </c>
      <c r="J408" s="500" t="s">
        <v>27213</v>
      </c>
      <c r="K408" s="248"/>
    </row>
    <row r="409" spans="2:18" x14ac:dyDescent="0.2">
      <c r="B409" s="249"/>
      <c r="C409" s="503" t="str">
        <f>'2 Data Inputs'!C698</f>
        <v>Train</v>
      </c>
      <c r="D409" s="537">
        <f>'2 Data Inputs'!F698</f>
        <v>0</v>
      </c>
      <c r="E409" s="537">
        <f>_xlfn.XLOOKUP($I409,BG_Data[Product],BG_Data[GHG emissions (IPCC 2021) '[kg CO2 eq']],0)</f>
        <v>6.7568052548093154E-3</v>
      </c>
      <c r="F409" s="537">
        <f t="shared" si="27"/>
        <v>0</v>
      </c>
      <c r="G409" s="537">
        <f>$D409*_xlfn.XLOOKUP($I409,BG_Data[Product],BG_Data[Biogenic CO2 emissions '[kg CO2']],0)</f>
        <v>0</v>
      </c>
      <c r="H409" s="584">
        <f>$D409*_xlfn.XLOOKUP($I409,BG_Data[Product],BG_Data[Total env. impact (Ecological Scarcity 2021) '[UBP']],0)</f>
        <v>0</v>
      </c>
      <c r="I409" s="503" t="s">
        <v>20819</v>
      </c>
      <c r="J409" s="503" t="s">
        <v>27213</v>
      </c>
      <c r="K409" s="248"/>
    </row>
    <row r="410" spans="2:18" x14ac:dyDescent="0.2">
      <c r="B410" s="249"/>
      <c r="C410" s="503" t="str">
        <f>'2 Data Inputs'!C699</f>
        <v>Bus</v>
      </c>
      <c r="D410" s="537">
        <f>'2 Data Inputs'!F699</f>
        <v>0</v>
      </c>
      <c r="E410" s="537">
        <f>_xlfn.XLOOKUP($I410,BG_Data[Product],BG_Data[GHG emissions (IPCC 2021) '[kg CO2 eq']],0)</f>
        <v>0.12582008149266341</v>
      </c>
      <c r="F410" s="537">
        <f t="shared" si="27"/>
        <v>0</v>
      </c>
      <c r="G410" s="537">
        <f>$D410*_xlfn.XLOOKUP($I410,BG_Data[Product],BG_Data[Biogenic CO2 emissions '[kg CO2']],0)</f>
        <v>0</v>
      </c>
      <c r="H410" s="584">
        <f>$D410*_xlfn.XLOOKUP($I410,BG_Data[Product],BG_Data[Total env. impact (Ecological Scarcity 2021) '[UBP']],0)</f>
        <v>0</v>
      </c>
      <c r="I410" s="503" t="s">
        <v>22128</v>
      </c>
      <c r="J410" s="503" t="s">
        <v>27213</v>
      </c>
      <c r="K410" s="248"/>
    </row>
    <row r="411" spans="2:18" x14ac:dyDescent="0.2">
      <c r="B411" s="249"/>
      <c r="C411" s="503" t="str">
        <f>'2 Data Inputs'!C700</f>
        <v>Vélo</v>
      </c>
      <c r="D411" s="537">
        <f>'2 Data Inputs'!F700</f>
        <v>0</v>
      </c>
      <c r="E411" s="537">
        <f>_xlfn.XLOOKUP($I411,BG_Data[Product],BG_Data[GHG emissions (IPCC 2021) '[kg CO2 eq']],0)</f>
        <v>5.9518669568987652E-3</v>
      </c>
      <c r="F411" s="537">
        <f t="shared" si="27"/>
        <v>0</v>
      </c>
      <c r="G411" s="537">
        <f>$D411*_xlfn.XLOOKUP($I411,BG_Data[Product],BG_Data[Biogenic CO2 emissions '[kg CO2']],0)</f>
        <v>0</v>
      </c>
      <c r="H411" s="584">
        <f>$D411*_xlfn.XLOOKUP($I411,BG_Data[Product],BG_Data[Total env. impact (Ecological Scarcity 2021) '[UBP']],0)</f>
        <v>0</v>
      </c>
      <c r="I411" s="503" t="s">
        <v>20832</v>
      </c>
      <c r="J411" s="503" t="s">
        <v>27213</v>
      </c>
      <c r="K411" s="248"/>
    </row>
    <row r="412" spans="2:18" x14ac:dyDescent="0.2">
      <c r="B412" s="249"/>
      <c r="C412" s="503" t="str">
        <f>'2 Data Inputs'!C701</f>
        <v>Vélo électrique</v>
      </c>
      <c r="D412" s="537">
        <f>'2 Data Inputs'!F701</f>
        <v>0</v>
      </c>
      <c r="E412" s="537">
        <f>_xlfn.XLOOKUP($I412,BG_Data[Product],BG_Data[GHG emissions (IPCC 2021) '[kg CO2 eq']],0)</f>
        <v>9.6374008656024916E-3</v>
      </c>
      <c r="F412" s="537">
        <f t="shared" si="27"/>
        <v>0</v>
      </c>
      <c r="G412" s="537">
        <f>$D412*_xlfn.XLOOKUP($I412,BG_Data[Product],BG_Data[Biogenic CO2 emissions '[kg CO2']],0)</f>
        <v>0</v>
      </c>
      <c r="H412" s="584">
        <f>$D412*_xlfn.XLOOKUP($I412,BG_Data[Product],BG_Data[Total env. impact (Ecological Scarcity 2021) '[UBP']],0)</f>
        <v>0</v>
      </c>
      <c r="I412" s="503" t="s">
        <v>20847</v>
      </c>
      <c r="J412" s="503" t="s">
        <v>27213</v>
      </c>
      <c r="K412" s="248"/>
    </row>
    <row r="413" spans="2:18" x14ac:dyDescent="0.2">
      <c r="B413" s="249"/>
      <c r="C413" s="506" t="str">
        <f>'2 Data Inputs'!C702</f>
        <v>Moto</v>
      </c>
      <c r="D413" s="532">
        <f>'2 Data Inputs'!F702</f>
        <v>0</v>
      </c>
      <c r="E413" s="532">
        <f>_xlfn.XLOOKUP($I413,BG_Data[Product],BG_Data[GHG emissions (IPCC 2021) '[kg CO2 eq']],0)</f>
        <v>0.18407343458916919</v>
      </c>
      <c r="F413" s="532">
        <f t="shared" si="27"/>
        <v>0</v>
      </c>
      <c r="G413" s="532">
        <f>$D413*_xlfn.XLOOKUP($I413,BG_Data[Product],BG_Data[Biogenic CO2 emissions '[kg CO2']],0)</f>
        <v>0</v>
      </c>
      <c r="H413" s="581">
        <f>$D413*_xlfn.XLOOKUP($I413,BG_Data[Product],BG_Data[Total env. impact (Ecological Scarcity 2021) '[UBP']],0)</f>
        <v>0</v>
      </c>
      <c r="I413" s="506" t="s">
        <v>21807</v>
      </c>
      <c r="J413" s="506" t="s">
        <v>27213</v>
      </c>
      <c r="K413" s="248"/>
    </row>
    <row r="414" spans="2:18" ht="15" x14ac:dyDescent="0.25">
      <c r="B414" s="249"/>
      <c r="C414" s="507" t="s">
        <v>2616</v>
      </c>
      <c r="D414" s="508">
        <f>SUM(D408:D413)</f>
        <v>0</v>
      </c>
      <c r="E414" s="508"/>
      <c r="F414" s="508">
        <f>SUM(F408:F413)</f>
        <v>0</v>
      </c>
      <c r="G414" s="508">
        <f>SUM(G408:G413)</f>
        <v>0</v>
      </c>
      <c r="H414" s="580">
        <f>SUM(H408:H413)</f>
        <v>0</v>
      </c>
      <c r="I414" s="507"/>
      <c r="J414" s="507"/>
      <c r="K414" s="248"/>
    </row>
    <row r="415" spans="2:18" x14ac:dyDescent="0.2">
      <c r="B415" s="254"/>
      <c r="C415" s="539"/>
      <c r="D415" s="540"/>
      <c r="E415" s="540"/>
      <c r="F415" s="540"/>
      <c r="G415" s="540"/>
      <c r="H415" s="588"/>
      <c r="I415" s="539"/>
      <c r="J415" s="539"/>
      <c r="K415" s="256"/>
    </row>
    <row r="417" spans="2:18" ht="15" x14ac:dyDescent="0.25">
      <c r="B417" s="258" t="s">
        <v>27222</v>
      </c>
    </row>
    <row r="418" spans="2:18" x14ac:dyDescent="0.2">
      <c r="B418" s="246"/>
      <c r="C418" s="527"/>
      <c r="D418" s="528"/>
      <c r="E418" s="528"/>
      <c r="F418" s="528"/>
      <c r="G418" s="547"/>
      <c r="H418" s="589"/>
      <c r="I418" s="548"/>
      <c r="J418" s="548"/>
      <c r="K418" s="247" t="str">
        <f>Calc_Hyperlink_S3</f>
        <v>Scope 3</v>
      </c>
    </row>
    <row r="419" spans="2:18" ht="15" x14ac:dyDescent="0.25">
      <c r="B419" s="249"/>
      <c r="C419" s="531" t="str">
        <f>n3Calculation_22_S3.9_DownstreanTransport</f>
        <v>Transport en aval</v>
      </c>
      <c r="D419" s="510"/>
      <c r="E419" s="510"/>
      <c r="F419" s="510"/>
      <c r="G419" s="510"/>
      <c r="H419" s="571"/>
      <c r="I419" s="511"/>
      <c r="J419" s="511"/>
      <c r="K419" s="248"/>
      <c r="M419" s="299" t="s">
        <v>28313</v>
      </c>
    </row>
    <row r="420" spans="2:18" x14ac:dyDescent="0.2">
      <c r="B420" s="249"/>
      <c r="C420" s="740"/>
      <c r="D420" s="740"/>
      <c r="E420" s="740"/>
      <c r="F420" s="740"/>
      <c r="G420" s="510"/>
      <c r="H420" s="571"/>
      <c r="I420" s="511"/>
      <c r="J420" s="511"/>
      <c r="K420" s="248"/>
    </row>
    <row r="421" spans="2:18" s="686" customFormat="1" ht="33" x14ac:dyDescent="0.25">
      <c r="B421" s="681"/>
      <c r="C421" s="682" t="s">
        <v>28600</v>
      </c>
      <c r="D421" s="683" t="s">
        <v>28539</v>
      </c>
      <c r="E421" s="683" t="s">
        <v>27208</v>
      </c>
      <c r="F421" s="683" t="s">
        <v>27588</v>
      </c>
      <c r="G421" s="683" t="s">
        <v>27589</v>
      </c>
      <c r="H421" s="683" t="s">
        <v>27209</v>
      </c>
      <c r="I421" s="682" t="s">
        <v>27210</v>
      </c>
      <c r="J421" s="682" t="s">
        <v>27211</v>
      </c>
      <c r="K421" s="685"/>
      <c r="M421" s="687"/>
      <c r="N421" s="687"/>
      <c r="O421" s="687"/>
      <c r="P421" s="687"/>
      <c r="Q421" s="687"/>
      <c r="R421" s="687"/>
    </row>
    <row r="422" spans="2:18" x14ac:dyDescent="0.2">
      <c r="B422" s="249"/>
      <c r="C422" s="500" t="str">
        <f>'2 Data Inputs'!C747</f>
        <v>Camion</v>
      </c>
      <c r="D422" s="535">
        <f>'2 Data Inputs'!F747</f>
        <v>0</v>
      </c>
      <c r="E422" s="535">
        <f>_xlfn.XLOOKUP($I422,BG_Data[Product],BG_Data[GHG emissions (IPCC 2021) '[kg CO2 eq']],0)</f>
        <v>0.1723251477330644</v>
      </c>
      <c r="F422" s="535">
        <f t="shared" ref="F422:F425" si="28">$D422*$E422</f>
        <v>0</v>
      </c>
      <c r="G422" s="535">
        <f>$D422*_xlfn.XLOOKUP($I422,BG_Data[Product],BG_Data[Biogenic CO2 emissions '[kg CO2']],0)</f>
        <v>0</v>
      </c>
      <c r="H422" s="583">
        <f>$D422*_xlfn.XLOOKUP($I422,BG_Data[Product],BG_Data[Total env. impact (Ecological Scarcity 2021) '[UBP']],0)</f>
        <v>0</v>
      </c>
      <c r="I422" s="554" t="s">
        <v>21500</v>
      </c>
      <c r="J422" s="500" t="s">
        <v>27213</v>
      </c>
      <c r="K422" s="248"/>
    </row>
    <row r="423" spans="2:18" x14ac:dyDescent="0.2">
      <c r="B423" s="249"/>
      <c r="C423" s="503" t="str">
        <f>'2 Data Inputs'!C748</f>
        <v>Bateau</v>
      </c>
      <c r="D423" s="537">
        <f>'2 Data Inputs'!F748</f>
        <v>0</v>
      </c>
      <c r="E423" s="537">
        <f>_xlfn.XLOOKUP($I423,BG_Data[Product],BG_Data[GHG emissions (IPCC 2021) '[kg CO2 eq']],0)</f>
        <v>6.8799361061877042E-3</v>
      </c>
      <c r="F423" s="537">
        <f t="shared" si="28"/>
        <v>0</v>
      </c>
      <c r="G423" s="537">
        <f>$D423*_xlfn.XLOOKUP($I423,BG_Data[Product],BG_Data[Biogenic CO2 emissions '[kg CO2']],0)</f>
        <v>0</v>
      </c>
      <c r="H423" s="584">
        <f>$D423*_xlfn.XLOOKUP($I423,BG_Data[Product],BG_Data[Total env. impact (Ecological Scarcity 2021) '[UBP']],0)</f>
        <v>0</v>
      </c>
      <c r="I423" s="555" t="s">
        <v>23275</v>
      </c>
      <c r="J423" s="503" t="s">
        <v>27213</v>
      </c>
      <c r="K423" s="248"/>
    </row>
    <row r="424" spans="2:18" x14ac:dyDescent="0.2">
      <c r="B424" s="249"/>
      <c r="C424" s="503" t="str">
        <f>'2 Data Inputs'!C749</f>
        <v>Train</v>
      </c>
      <c r="D424" s="537">
        <f>'2 Data Inputs'!F749</f>
        <v>0</v>
      </c>
      <c r="E424" s="537">
        <f>_xlfn.XLOOKUP($I424,BG_Data[Product],BG_Data[GHG emissions (IPCC 2021) '[kg CO2 eq']],0)</f>
        <v>1.1054422557450211E-2</v>
      </c>
      <c r="F424" s="537">
        <f t="shared" si="28"/>
        <v>0</v>
      </c>
      <c r="G424" s="537">
        <f>$D424*_xlfn.XLOOKUP($I424,BG_Data[Product],BG_Data[Biogenic CO2 emissions '[kg CO2']],0)</f>
        <v>0</v>
      </c>
      <c r="H424" s="584">
        <f>$D424*_xlfn.XLOOKUP($I424,BG_Data[Product],BG_Data[Total env. impact (Ecological Scarcity 2021) '[UBP']],0)</f>
        <v>0</v>
      </c>
      <c r="I424" s="503" t="s">
        <v>21664</v>
      </c>
      <c r="J424" s="503" t="s">
        <v>27213</v>
      </c>
      <c r="K424" s="248"/>
    </row>
    <row r="425" spans="2:18" x14ac:dyDescent="0.2">
      <c r="B425" s="249"/>
      <c r="C425" s="506" t="str">
        <f>'2 Data Inputs'!C750</f>
        <v>Avion</v>
      </c>
      <c r="D425" s="532">
        <f>'2 Data Inputs'!F750</f>
        <v>0</v>
      </c>
      <c r="E425" s="532">
        <f>_xlfn.XLOOKUP($I425,BG_Data[Product],BG_Data[GHG emissions (IPCC 2021) '[kg CO2 eq']],0)</f>
        <v>1.9738617264089111</v>
      </c>
      <c r="F425" s="532">
        <f t="shared" si="28"/>
        <v>0</v>
      </c>
      <c r="G425" s="532">
        <f>$D425*_xlfn.XLOOKUP($I425,BG_Data[Product],BG_Data[Biogenic CO2 emissions '[kg CO2']],0)</f>
        <v>0</v>
      </c>
      <c r="H425" s="581">
        <f>$D425*_xlfn.XLOOKUP($I425,BG_Data[Product],BG_Data[Total env. impact (Ecological Scarcity 2021) '[UBP']],0)</f>
        <v>0</v>
      </c>
      <c r="I425" s="556" t="s">
        <v>20732</v>
      </c>
      <c r="J425" s="506" t="s">
        <v>27213</v>
      </c>
      <c r="K425" s="248"/>
    </row>
    <row r="426" spans="2:18" ht="15" x14ac:dyDescent="0.25">
      <c r="B426" s="249"/>
      <c r="C426" s="507" t="s">
        <v>2616</v>
      </c>
      <c r="D426" s="508">
        <f>SUM(D422:D425)</f>
        <v>0</v>
      </c>
      <c r="E426" s="508"/>
      <c r="F426" s="508">
        <f>SUM(F422:F425)</f>
        <v>0</v>
      </c>
      <c r="G426" s="508">
        <f>SUM(G422:G425)</f>
        <v>0</v>
      </c>
      <c r="H426" s="580">
        <f>SUM(H422:H425)</f>
        <v>0</v>
      </c>
      <c r="I426" s="507"/>
      <c r="J426" s="507"/>
      <c r="K426" s="248"/>
    </row>
    <row r="427" spans="2:18" x14ac:dyDescent="0.2">
      <c r="B427" s="254"/>
      <c r="C427" s="539"/>
      <c r="D427" s="540"/>
      <c r="E427" s="540"/>
      <c r="F427" s="540"/>
      <c r="G427" s="540"/>
      <c r="H427" s="588"/>
      <c r="I427" s="539"/>
      <c r="J427" s="539"/>
      <c r="K427" s="256"/>
    </row>
    <row r="429" spans="2:18" ht="15" x14ac:dyDescent="0.25">
      <c r="B429" s="258" t="s">
        <v>27223</v>
      </c>
    </row>
    <row r="430" spans="2:18" x14ac:dyDescent="0.2">
      <c r="B430" s="246"/>
      <c r="C430" s="527"/>
      <c r="D430" s="528"/>
      <c r="E430" s="528"/>
      <c r="F430" s="528"/>
      <c r="G430" s="547"/>
      <c r="H430" s="589"/>
      <c r="I430" s="548"/>
      <c r="J430" s="548"/>
      <c r="K430" s="247" t="str">
        <f>Calc_Hyperlink_S3</f>
        <v>Scope 3</v>
      </c>
    </row>
    <row r="431" spans="2:18" ht="15" x14ac:dyDescent="0.25">
      <c r="B431" s="249"/>
      <c r="C431" s="531" t="str">
        <f>n3Calculation_23_S3.10_Processing</f>
        <v>Transformation des produits vendus</v>
      </c>
      <c r="D431" s="510"/>
      <c r="E431" s="510"/>
      <c r="F431" s="510"/>
      <c r="G431" s="510"/>
      <c r="H431" s="571"/>
      <c r="I431" s="511"/>
      <c r="J431" s="511"/>
      <c r="K431" s="248"/>
      <c r="M431" s="299" t="s">
        <v>28314</v>
      </c>
    </row>
    <row r="432" spans="2:18" x14ac:dyDescent="0.2">
      <c r="B432" s="249"/>
      <c r="C432" s="511"/>
      <c r="D432" s="510"/>
      <c r="E432" s="510"/>
      <c r="F432" s="510"/>
      <c r="G432" s="510"/>
      <c r="H432" s="571"/>
      <c r="I432" s="511"/>
      <c r="J432" s="511"/>
      <c r="K432" s="248"/>
    </row>
    <row r="433" spans="2:18" s="686" customFormat="1" ht="33" x14ac:dyDescent="0.25">
      <c r="B433" s="681"/>
      <c r="C433" s="682" t="s">
        <v>28602</v>
      </c>
      <c r="D433" s="683" t="s">
        <v>28537</v>
      </c>
      <c r="E433" s="683" t="s">
        <v>27208</v>
      </c>
      <c r="F433" s="683" t="s">
        <v>27588</v>
      </c>
      <c r="G433" s="683" t="s">
        <v>27589</v>
      </c>
      <c r="H433" s="683" t="s">
        <v>27209</v>
      </c>
      <c r="I433" s="682" t="s">
        <v>27210</v>
      </c>
      <c r="J433" s="682" t="s">
        <v>27211</v>
      </c>
      <c r="K433" s="685"/>
      <c r="M433" s="687"/>
      <c r="N433" s="687"/>
      <c r="O433" s="687"/>
      <c r="P433" s="687"/>
      <c r="Q433" s="687"/>
      <c r="R433" s="687"/>
    </row>
    <row r="434" spans="2:18" x14ac:dyDescent="0.2">
      <c r="B434" s="249"/>
      <c r="C434" s="500" t="str">
        <f>'2 Data Inputs'!C806</f>
        <v>Électricité, réseau, basse tension</v>
      </c>
      <c r="D434" s="535">
        <f>'2 Data Inputs'!F806</f>
        <v>0</v>
      </c>
      <c r="E434" s="535">
        <f>_xlfn.XLOOKUP($I434,BG_Data[Product],BG_Data[GHG emissions (IPCC 2021) '[kg CO2 eq']],0)</f>
        <v>5.625548261860136E-2</v>
      </c>
      <c r="F434" s="535">
        <f t="shared" ref="F434:F435" si="29">$D434*$E434</f>
        <v>0</v>
      </c>
      <c r="G434" s="535">
        <f>$D434*_xlfn.XLOOKUP($I434,BG_Data[Product],BG_Data[Biogenic CO2 emissions '[kg CO2']],0)</f>
        <v>0</v>
      </c>
      <c r="H434" s="583">
        <f>$D434*_xlfn.XLOOKUP($I434,BG_Data[Product],BG_Data[Total env. impact (Ecological Scarcity 2021) '[UBP']],0)</f>
        <v>0</v>
      </c>
      <c r="I434" s="500" t="s">
        <v>2804</v>
      </c>
      <c r="J434" s="500" t="s">
        <v>27213</v>
      </c>
      <c r="K434" s="248"/>
    </row>
    <row r="435" spans="2:18" x14ac:dyDescent="0.2">
      <c r="B435" s="249"/>
      <c r="C435" s="506" t="str">
        <f>'2 Data Inputs'!C807</f>
        <v>Électricité, réseau, moyenne tension</v>
      </c>
      <c r="D435" s="532">
        <f>'2 Data Inputs'!F807</f>
        <v>0</v>
      </c>
      <c r="E435" s="532">
        <f>_xlfn.XLOOKUP($I435,BG_Data[Product],BG_Data[GHG emissions (IPCC 2021) '[kg CO2 eq']],0)</f>
        <v>5.625548261860136E-2</v>
      </c>
      <c r="F435" s="532">
        <f t="shared" si="29"/>
        <v>0</v>
      </c>
      <c r="G435" s="532">
        <f>$D435*_xlfn.XLOOKUP($I435,BG_Data[Product],BG_Data[Biogenic CO2 emissions '[kg CO2']],0)</f>
        <v>0</v>
      </c>
      <c r="H435" s="581">
        <f>$D435*_xlfn.XLOOKUP($I435,BG_Data[Product],BG_Data[Total env. impact (Ecological Scarcity 2021) '[UBP']],0)</f>
        <v>0</v>
      </c>
      <c r="I435" s="506" t="s">
        <v>2807</v>
      </c>
      <c r="J435" s="506" t="s">
        <v>27213</v>
      </c>
      <c r="K435" s="248"/>
    </row>
    <row r="436" spans="2:18" ht="15" x14ac:dyDescent="0.25">
      <c r="B436" s="249"/>
      <c r="C436" s="507" t="s">
        <v>2616</v>
      </c>
      <c r="D436" s="508">
        <f>SUM(D434:D435)</f>
        <v>0</v>
      </c>
      <c r="E436" s="508"/>
      <c r="F436" s="508">
        <f>SUM(F434:F435)</f>
        <v>0</v>
      </c>
      <c r="G436" s="508">
        <f>SUM(G434:G435)</f>
        <v>0</v>
      </c>
      <c r="H436" s="580">
        <f>SUM(H434:H435)</f>
        <v>0</v>
      </c>
      <c r="I436" s="507"/>
      <c r="J436" s="507"/>
      <c r="K436" s="248"/>
    </row>
    <row r="437" spans="2:18" x14ac:dyDescent="0.2">
      <c r="B437" s="249"/>
      <c r="C437" s="740"/>
      <c r="D437" s="740"/>
      <c r="E437" s="740"/>
      <c r="F437" s="740"/>
      <c r="G437" s="510"/>
      <c r="H437" s="571"/>
      <c r="I437" s="511"/>
      <c r="J437" s="511"/>
      <c r="K437" s="248"/>
    </row>
    <row r="438" spans="2:18" s="686" customFormat="1" ht="33" x14ac:dyDescent="0.25">
      <c r="B438" s="681"/>
      <c r="C438" s="682" t="s">
        <v>28603</v>
      </c>
      <c r="D438" s="683" t="s">
        <v>28534</v>
      </c>
      <c r="E438" s="683" t="s">
        <v>27208</v>
      </c>
      <c r="F438" s="683" t="s">
        <v>27588</v>
      </c>
      <c r="G438" s="683" t="s">
        <v>27589</v>
      </c>
      <c r="H438" s="683" t="s">
        <v>27209</v>
      </c>
      <c r="I438" s="682" t="s">
        <v>27210</v>
      </c>
      <c r="J438" s="682" t="s">
        <v>27211</v>
      </c>
      <c r="K438" s="685"/>
      <c r="M438" s="687"/>
      <c r="N438" s="687"/>
      <c r="O438" s="687"/>
      <c r="P438" s="687"/>
      <c r="Q438" s="687"/>
      <c r="R438" s="687"/>
    </row>
    <row r="439" spans="2:18" x14ac:dyDescent="0.2">
      <c r="B439" s="249"/>
      <c r="C439" s="500">
        <f>'2 Data Inputs'!C812</f>
        <v>0</v>
      </c>
      <c r="D439" s="535">
        <f>'2 Data Inputs'!F812</f>
        <v>0</v>
      </c>
      <c r="E439" s="535">
        <f>_xlfn.XLOOKUP($I439,BG_Data[Product],BG_Data[GHG emissions (IPCC 2021) '[kg CO2 eq']],0)</f>
        <v>0</v>
      </c>
      <c r="F439" s="535">
        <f t="shared" ref="F439:F449" si="30">$D439*$E439</f>
        <v>0</v>
      </c>
      <c r="G439" s="535">
        <f>$D439*_xlfn.XLOOKUP($I439,BG_Data[Product],BG_Data[Biogenic CO2 emissions '[kg CO2']],0)</f>
        <v>0</v>
      </c>
      <c r="H439" s="583">
        <f>$D439*_xlfn.XLOOKUP($I439,BG_Data[Product],BG_Data[Total env. impact (Ecological Scarcity 2021) '[UBP']],0)</f>
        <v>0</v>
      </c>
      <c r="I439" s="500" cm="1">
        <f t="array" ref="I439">_xlfn.XLOOKUP(
     C439,
     _xlfn.TOCOL(_xlfn.HSTACK(Lists_S1_StationaryComb[DE Name],Lists_S1_StationaryComb[FR Name],Lists_S1_StationaryComb[IT Name]),1),
     _xlfn.TOCOL(_xlfn.HSTACK(Lists_S1_StationaryComb[BG Data],Lists_S1_StationaryComb[BG Data],Lists_S1_StationaryComb[BG Data]),1) &amp;" Direct",
     0
)</f>
        <v>0</v>
      </c>
      <c r="J439" s="500" t="s">
        <v>27212</v>
      </c>
      <c r="K439" s="248"/>
    </row>
    <row r="440" spans="2:18" x14ac:dyDescent="0.2">
      <c r="B440" s="249"/>
      <c r="C440" s="503">
        <f>'2 Data Inputs'!C813</f>
        <v>0</v>
      </c>
      <c r="D440" s="537">
        <f>'2 Data Inputs'!F813</f>
        <v>0</v>
      </c>
      <c r="E440" s="537">
        <f>_xlfn.XLOOKUP($I440,BG_Data[Product],BG_Data[GHG emissions (IPCC 2021) '[kg CO2 eq']],0)</f>
        <v>0</v>
      </c>
      <c r="F440" s="537">
        <f t="shared" si="30"/>
        <v>0</v>
      </c>
      <c r="G440" s="537">
        <f>$D440*_xlfn.XLOOKUP($I440,BG_Data[Product],BG_Data[Biogenic CO2 emissions '[kg CO2']],0)</f>
        <v>0</v>
      </c>
      <c r="H440" s="584">
        <f>$D440*_xlfn.XLOOKUP($I440,BG_Data[Product],BG_Data[Total env. impact (Ecological Scarcity 2021) '[UBP']],0)</f>
        <v>0</v>
      </c>
      <c r="I440" s="503" cm="1">
        <f t="array" ref="I440">_xlfn.XLOOKUP(
     C440,
     _xlfn.TOCOL(_xlfn.HSTACK(Lists_S1_StationaryComb[DE Name],Lists_S1_StationaryComb[FR Name],Lists_S1_StationaryComb[IT Name]),1),
     _xlfn.TOCOL(_xlfn.HSTACK(Lists_S1_StationaryComb[BG Data],Lists_S1_StationaryComb[BG Data],Lists_S1_StationaryComb[BG Data]),1) &amp;" Direct",
     0
)</f>
        <v>0</v>
      </c>
      <c r="J440" s="503" t="s">
        <v>27212</v>
      </c>
      <c r="K440" s="248"/>
    </row>
    <row r="441" spans="2:18" x14ac:dyDescent="0.2">
      <c r="B441" s="249"/>
      <c r="C441" s="503">
        <f>'2 Data Inputs'!C814</f>
        <v>0</v>
      </c>
      <c r="D441" s="537">
        <f>'2 Data Inputs'!F814</f>
        <v>0</v>
      </c>
      <c r="E441" s="537">
        <f>_xlfn.XLOOKUP($I441,BG_Data[Product],BG_Data[GHG emissions (IPCC 2021) '[kg CO2 eq']],0)</f>
        <v>0</v>
      </c>
      <c r="F441" s="537">
        <f t="shared" si="30"/>
        <v>0</v>
      </c>
      <c r="G441" s="537">
        <f>$D441*_xlfn.XLOOKUP($I441,BG_Data[Product],BG_Data[Biogenic CO2 emissions '[kg CO2']],0)</f>
        <v>0</v>
      </c>
      <c r="H441" s="584">
        <f>$D441*_xlfn.XLOOKUP($I441,BG_Data[Product],BG_Data[Total env. impact (Ecological Scarcity 2021) '[UBP']],0)</f>
        <v>0</v>
      </c>
      <c r="I441" s="503" cm="1">
        <f t="array" ref="I441">_xlfn.XLOOKUP(
     C441,
     _xlfn.TOCOL(_xlfn.HSTACK(Lists_S1_StationaryComb[DE Name],Lists_S1_StationaryComb[FR Name],Lists_S1_StationaryComb[IT Name]),1),
     _xlfn.TOCOL(_xlfn.HSTACK(Lists_S1_StationaryComb[BG Data],Lists_S1_StationaryComb[BG Data],Lists_S1_StationaryComb[BG Data]),1) &amp;" Direct",
     0
)</f>
        <v>0</v>
      </c>
      <c r="J441" s="503" t="s">
        <v>27212</v>
      </c>
      <c r="K441" s="248"/>
    </row>
    <row r="442" spans="2:18" x14ac:dyDescent="0.2">
      <c r="B442" s="249"/>
      <c r="C442" s="503">
        <f>'2 Data Inputs'!C815</f>
        <v>0</v>
      </c>
      <c r="D442" s="537">
        <f>'2 Data Inputs'!F815</f>
        <v>0</v>
      </c>
      <c r="E442" s="537">
        <f>_xlfn.XLOOKUP($I442,BG_Data[Product],BG_Data[GHG emissions (IPCC 2021) '[kg CO2 eq']],0)</f>
        <v>0</v>
      </c>
      <c r="F442" s="537">
        <f t="shared" si="30"/>
        <v>0</v>
      </c>
      <c r="G442" s="537">
        <f>$D442*_xlfn.XLOOKUP($I442,BG_Data[Product],BG_Data[Biogenic CO2 emissions '[kg CO2']],0)</f>
        <v>0</v>
      </c>
      <c r="H442" s="584">
        <f>$D442*_xlfn.XLOOKUP($I442,BG_Data[Product],BG_Data[Total env. impact (Ecological Scarcity 2021) '[UBP']],0)</f>
        <v>0</v>
      </c>
      <c r="I442" s="503" cm="1">
        <f t="array" ref="I442">_xlfn.XLOOKUP(
     C442,
     _xlfn.TOCOL(_xlfn.HSTACK(Lists_S1_StationaryComb[DE Name],Lists_S1_StationaryComb[FR Name],Lists_S1_StationaryComb[IT Name]),1),
     _xlfn.TOCOL(_xlfn.HSTACK(Lists_S1_StationaryComb[BG Data],Lists_S1_StationaryComb[BG Data],Lists_S1_StationaryComb[BG Data]),1) &amp;" Direct",
     0
)</f>
        <v>0</v>
      </c>
      <c r="J442" s="503" t="s">
        <v>27212</v>
      </c>
      <c r="K442" s="248"/>
    </row>
    <row r="443" spans="2:18" x14ac:dyDescent="0.2">
      <c r="B443" s="249"/>
      <c r="C443" s="503">
        <f>'2 Data Inputs'!C816</f>
        <v>0</v>
      </c>
      <c r="D443" s="537">
        <f>'2 Data Inputs'!F816</f>
        <v>0</v>
      </c>
      <c r="E443" s="537">
        <f>_xlfn.XLOOKUP($I443,BG_Data[Product],BG_Data[GHG emissions (IPCC 2021) '[kg CO2 eq']],0)</f>
        <v>0</v>
      </c>
      <c r="F443" s="537">
        <f t="shared" si="30"/>
        <v>0</v>
      </c>
      <c r="G443" s="537">
        <f>$D443*_xlfn.XLOOKUP($I443,BG_Data[Product],BG_Data[Biogenic CO2 emissions '[kg CO2']],0)</f>
        <v>0</v>
      </c>
      <c r="H443" s="584">
        <f>$D443*_xlfn.XLOOKUP($I443,BG_Data[Product],BG_Data[Total env. impact (Ecological Scarcity 2021) '[UBP']],0)</f>
        <v>0</v>
      </c>
      <c r="I443" s="503" cm="1">
        <f t="array" ref="I443">_xlfn.XLOOKUP(
     C443,
     _xlfn.TOCOL(_xlfn.HSTACK(Lists_S1_StationaryComb[DE Name],Lists_S1_StationaryComb[FR Name],Lists_S1_StationaryComb[IT Name]),1),
     _xlfn.TOCOL(_xlfn.HSTACK(Lists_S1_StationaryComb[BG Data],Lists_S1_StationaryComb[BG Data],Lists_S1_StationaryComb[BG Data]),1) &amp;" Direct",
     0
)</f>
        <v>0</v>
      </c>
      <c r="J443" s="503" t="s">
        <v>27212</v>
      </c>
      <c r="K443" s="248"/>
    </row>
    <row r="444" spans="2:18" x14ac:dyDescent="0.2">
      <c r="B444" s="249"/>
      <c r="C444" s="503">
        <f>'2 Data Inputs'!C817</f>
        <v>0</v>
      </c>
      <c r="D444" s="537">
        <f>'2 Data Inputs'!F817</f>
        <v>0</v>
      </c>
      <c r="E444" s="537">
        <f>_xlfn.XLOOKUP($I444,BG_Data[Product],BG_Data[GHG emissions (IPCC 2021) '[kg CO2 eq']],0)</f>
        <v>0</v>
      </c>
      <c r="F444" s="537">
        <f t="shared" si="30"/>
        <v>0</v>
      </c>
      <c r="G444" s="537">
        <f>$D444*_xlfn.XLOOKUP($I444,BG_Data[Product],BG_Data[Biogenic CO2 emissions '[kg CO2']],0)</f>
        <v>0</v>
      </c>
      <c r="H444" s="584">
        <f>$D444*_xlfn.XLOOKUP($I444,BG_Data[Product],BG_Data[Total env. impact (Ecological Scarcity 2021) '[UBP']],0)</f>
        <v>0</v>
      </c>
      <c r="I444" s="503" cm="1">
        <f t="array" ref="I444">_xlfn.XLOOKUP(
     C444,
     _xlfn.TOCOL(_xlfn.HSTACK(Lists_S1_StationaryComb[DE Name],Lists_S1_StationaryComb[FR Name],Lists_S1_StationaryComb[IT Name]),1),
     _xlfn.TOCOL(_xlfn.HSTACK(Lists_S1_StationaryComb[BG Data],Lists_S1_StationaryComb[BG Data],Lists_S1_StationaryComb[BG Data]),1) &amp;" Direct",
     0
)</f>
        <v>0</v>
      </c>
      <c r="J444" s="503" t="s">
        <v>27212</v>
      </c>
      <c r="K444" s="248"/>
    </row>
    <row r="445" spans="2:18" x14ac:dyDescent="0.2">
      <c r="B445" s="249"/>
      <c r="C445" s="503">
        <f>'2 Data Inputs'!C818</f>
        <v>0</v>
      </c>
      <c r="D445" s="537">
        <f>'2 Data Inputs'!F818</f>
        <v>0</v>
      </c>
      <c r="E445" s="537">
        <f>_xlfn.XLOOKUP($I445,BG_Data[Product],BG_Data[GHG emissions (IPCC 2021) '[kg CO2 eq']],0)</f>
        <v>0</v>
      </c>
      <c r="F445" s="537">
        <f t="shared" si="30"/>
        <v>0</v>
      </c>
      <c r="G445" s="537">
        <f>$D445*_xlfn.XLOOKUP($I445,BG_Data[Product],BG_Data[Biogenic CO2 emissions '[kg CO2']],0)</f>
        <v>0</v>
      </c>
      <c r="H445" s="584">
        <f>$D445*_xlfn.XLOOKUP($I445,BG_Data[Product],BG_Data[Total env. impact (Ecological Scarcity 2021) '[UBP']],0)</f>
        <v>0</v>
      </c>
      <c r="I445" s="503" cm="1">
        <f t="array" ref="I445">_xlfn.XLOOKUP(
     C445,
     _xlfn.TOCOL(_xlfn.HSTACK(Lists_S1_StationaryComb[DE Name],Lists_S1_StationaryComb[FR Name],Lists_S1_StationaryComb[IT Name]),1),
     _xlfn.TOCOL(_xlfn.HSTACK(Lists_S1_StationaryComb[BG Data],Lists_S1_StationaryComb[BG Data],Lists_S1_StationaryComb[BG Data]),1) &amp;" Direct",
     0
)</f>
        <v>0</v>
      </c>
      <c r="J445" s="503" t="s">
        <v>27212</v>
      </c>
      <c r="K445" s="248"/>
    </row>
    <row r="446" spans="2:18" x14ac:dyDescent="0.2">
      <c r="B446" s="249"/>
      <c r="C446" s="503">
        <f>'2 Data Inputs'!C819</f>
        <v>0</v>
      </c>
      <c r="D446" s="537">
        <f>'2 Data Inputs'!F819</f>
        <v>0</v>
      </c>
      <c r="E446" s="537">
        <f>_xlfn.XLOOKUP($I446,BG_Data[Product],BG_Data[GHG emissions (IPCC 2021) '[kg CO2 eq']],0)</f>
        <v>0</v>
      </c>
      <c r="F446" s="537">
        <f t="shared" si="30"/>
        <v>0</v>
      </c>
      <c r="G446" s="537">
        <f>$D446*_xlfn.XLOOKUP($I446,BG_Data[Product],BG_Data[Biogenic CO2 emissions '[kg CO2']],0)</f>
        <v>0</v>
      </c>
      <c r="H446" s="584">
        <f>$D446*_xlfn.XLOOKUP($I446,BG_Data[Product],BG_Data[Total env. impact (Ecological Scarcity 2021) '[UBP']],0)</f>
        <v>0</v>
      </c>
      <c r="I446" s="503" cm="1">
        <f t="array" ref="I446">_xlfn.XLOOKUP(
     C446,
     _xlfn.TOCOL(_xlfn.HSTACK(Lists_S1_StationaryComb[DE Name],Lists_S1_StationaryComb[FR Name],Lists_S1_StationaryComb[IT Name]),1),
     _xlfn.TOCOL(_xlfn.HSTACK(Lists_S1_StationaryComb[BG Data],Lists_S1_StationaryComb[BG Data],Lists_S1_StationaryComb[BG Data]),1) &amp;" Direct",
     0
)</f>
        <v>0</v>
      </c>
      <c r="J446" s="503" t="s">
        <v>27212</v>
      </c>
      <c r="K446" s="248"/>
    </row>
    <row r="447" spans="2:18" x14ac:dyDescent="0.2">
      <c r="B447" s="249"/>
      <c r="C447" s="503">
        <f>'2 Data Inputs'!C820</f>
        <v>0</v>
      </c>
      <c r="D447" s="537">
        <f>'2 Data Inputs'!F820</f>
        <v>0</v>
      </c>
      <c r="E447" s="537">
        <f>_xlfn.XLOOKUP($I447,BG_Data[Product],BG_Data[GHG emissions (IPCC 2021) '[kg CO2 eq']],0)</f>
        <v>0</v>
      </c>
      <c r="F447" s="537">
        <f t="shared" si="30"/>
        <v>0</v>
      </c>
      <c r="G447" s="537">
        <f>$D447*_xlfn.XLOOKUP($I447,BG_Data[Product],BG_Data[Biogenic CO2 emissions '[kg CO2']],0)</f>
        <v>0</v>
      </c>
      <c r="H447" s="584">
        <f>$D447*_xlfn.XLOOKUP($I447,BG_Data[Product],BG_Data[Total env. impact (Ecological Scarcity 2021) '[UBP']],0)</f>
        <v>0</v>
      </c>
      <c r="I447" s="503" cm="1">
        <f t="array" ref="I447">_xlfn.XLOOKUP(
     C447,
     _xlfn.TOCOL(_xlfn.HSTACK(Lists_S1_StationaryComb[DE Name],Lists_S1_StationaryComb[FR Name],Lists_S1_StationaryComb[IT Name]),1),
     _xlfn.TOCOL(_xlfn.HSTACK(Lists_S1_StationaryComb[BG Data],Lists_S1_StationaryComb[BG Data],Lists_S1_StationaryComb[BG Data]),1) &amp;" Direct",
     0
)</f>
        <v>0</v>
      </c>
      <c r="J447" s="503" t="s">
        <v>27212</v>
      </c>
      <c r="K447" s="248"/>
    </row>
    <row r="448" spans="2:18" x14ac:dyDescent="0.2">
      <c r="B448" s="249"/>
      <c r="C448" s="503">
        <f>'2 Data Inputs'!C821</f>
        <v>0</v>
      </c>
      <c r="D448" s="537">
        <f>'2 Data Inputs'!F821</f>
        <v>0</v>
      </c>
      <c r="E448" s="537">
        <f>_xlfn.XLOOKUP($I448,BG_Data[Product],BG_Data[GHG emissions (IPCC 2021) '[kg CO2 eq']],0)</f>
        <v>0</v>
      </c>
      <c r="F448" s="537">
        <f t="shared" si="30"/>
        <v>0</v>
      </c>
      <c r="G448" s="537">
        <f>$D448*_xlfn.XLOOKUP($I448,BG_Data[Product],BG_Data[Biogenic CO2 emissions '[kg CO2']],0)</f>
        <v>0</v>
      </c>
      <c r="H448" s="584">
        <f>$D448*_xlfn.XLOOKUP($I448,BG_Data[Product],BG_Data[Total env. impact (Ecological Scarcity 2021) '[UBP']],0)</f>
        <v>0</v>
      </c>
      <c r="I448" s="503" cm="1">
        <f t="array" ref="I448">_xlfn.XLOOKUP(
     C448,
     _xlfn.TOCOL(_xlfn.HSTACK(Lists_S1_StationaryComb[DE Name],Lists_S1_StationaryComb[FR Name],Lists_S1_StationaryComb[IT Name]),1),
     _xlfn.TOCOL(_xlfn.HSTACK(Lists_S1_StationaryComb[BG Data],Lists_S1_StationaryComb[BG Data],Lists_S1_StationaryComb[BG Data]),1) &amp;" Direct",
     0
)</f>
        <v>0</v>
      </c>
      <c r="J448" s="503" t="s">
        <v>27212</v>
      </c>
      <c r="K448" s="248"/>
    </row>
    <row r="449" spans="2:18" x14ac:dyDescent="0.2">
      <c r="B449" s="249"/>
      <c r="C449" s="506">
        <f>'2 Data Inputs'!C822</f>
        <v>0</v>
      </c>
      <c r="D449" s="532">
        <f>'2 Data Inputs'!F822</f>
        <v>0</v>
      </c>
      <c r="E449" s="532">
        <f>_xlfn.XLOOKUP($I449,BG_Data[Product],BG_Data[GHG emissions (IPCC 2021) '[kg CO2 eq']],0)</f>
        <v>0</v>
      </c>
      <c r="F449" s="532">
        <f t="shared" si="30"/>
        <v>0</v>
      </c>
      <c r="G449" s="532">
        <f>$D449*_xlfn.XLOOKUP($I449,BG_Data[Product],BG_Data[Biogenic CO2 emissions '[kg CO2']],0)</f>
        <v>0</v>
      </c>
      <c r="H449" s="581">
        <f>$D449*_xlfn.XLOOKUP($I449,BG_Data[Product],BG_Data[Total env. impact (Ecological Scarcity 2021) '[UBP']],0)</f>
        <v>0</v>
      </c>
      <c r="I449" s="506" cm="1">
        <f t="array" ref="I449">_xlfn.XLOOKUP(
     C449,
     _xlfn.TOCOL(_xlfn.HSTACK(Lists_S1_StationaryComb[DE Name],Lists_S1_StationaryComb[FR Name],Lists_S1_StationaryComb[IT Name]),1),
     _xlfn.TOCOL(_xlfn.HSTACK(Lists_S1_StationaryComb[BG Data],Lists_S1_StationaryComb[BG Data],Lists_S1_StationaryComb[BG Data]),1) &amp;" Direct",
     0
)</f>
        <v>0</v>
      </c>
      <c r="J449" s="506" t="s">
        <v>27212</v>
      </c>
      <c r="K449" s="248"/>
    </row>
    <row r="450" spans="2:18" ht="15" x14ac:dyDescent="0.25">
      <c r="B450" s="249"/>
      <c r="C450" s="507" t="s">
        <v>2616</v>
      </c>
      <c r="D450" s="508">
        <f>SUM(D439:D449)</f>
        <v>0</v>
      </c>
      <c r="E450" s="508"/>
      <c r="F450" s="508">
        <f>SUM(F439:F449)</f>
        <v>0</v>
      </c>
      <c r="G450" s="508">
        <f>SUM(G439:G449)</f>
        <v>0</v>
      </c>
      <c r="H450" s="580">
        <f>SUM(H439:H449)</f>
        <v>0</v>
      </c>
      <c r="I450" s="507"/>
      <c r="J450" s="507"/>
      <c r="K450" s="248"/>
    </row>
    <row r="451" spans="2:18" x14ac:dyDescent="0.2">
      <c r="B451" s="254"/>
      <c r="C451" s="539"/>
      <c r="D451" s="540"/>
      <c r="E451" s="540"/>
      <c r="F451" s="540"/>
      <c r="G451" s="540"/>
      <c r="H451" s="588"/>
      <c r="I451" s="539"/>
      <c r="J451" s="539"/>
      <c r="K451" s="256"/>
    </row>
    <row r="453" spans="2:18" ht="15" x14ac:dyDescent="0.25">
      <c r="B453" s="258" t="s">
        <v>27224</v>
      </c>
    </row>
    <row r="454" spans="2:18" x14ac:dyDescent="0.2">
      <c r="B454" s="246"/>
      <c r="C454" s="527"/>
      <c r="D454" s="528"/>
      <c r="E454" s="528"/>
      <c r="F454" s="528"/>
      <c r="G454" s="547"/>
      <c r="H454" s="589"/>
      <c r="I454" s="548"/>
      <c r="J454" s="548"/>
      <c r="K454" s="247" t="str">
        <f>Calc_Hyperlink_S3</f>
        <v>Scope 3</v>
      </c>
    </row>
    <row r="455" spans="2:18" ht="15" x14ac:dyDescent="0.25">
      <c r="B455" s="249"/>
      <c r="C455" s="531" t="str">
        <f>n3Calculation_24_S3.11_Use</f>
        <v>Utilisation des produits vendus</v>
      </c>
      <c r="D455" s="510"/>
      <c r="E455" s="510"/>
      <c r="F455" s="510"/>
      <c r="G455" s="510"/>
      <c r="H455" s="571"/>
      <c r="I455" s="511"/>
      <c r="J455" s="511"/>
      <c r="K455" s="248"/>
      <c r="M455" s="299" t="s">
        <v>28315</v>
      </c>
    </row>
    <row r="456" spans="2:18" x14ac:dyDescent="0.2">
      <c r="B456" s="249"/>
      <c r="C456" s="740"/>
      <c r="D456" s="740"/>
      <c r="E456" s="740"/>
      <c r="F456" s="740"/>
      <c r="G456" s="510"/>
      <c r="H456" s="571"/>
      <c r="I456" s="511"/>
      <c r="J456" s="511"/>
      <c r="K456" s="248"/>
    </row>
    <row r="457" spans="2:18" s="686" customFormat="1" ht="33" x14ac:dyDescent="0.25">
      <c r="B457" s="681"/>
      <c r="C457" s="682" t="s">
        <v>28602</v>
      </c>
      <c r="D457" s="683" t="s">
        <v>28537</v>
      </c>
      <c r="E457" s="683" t="s">
        <v>27208</v>
      </c>
      <c r="F457" s="683" t="s">
        <v>27588</v>
      </c>
      <c r="G457" s="683" t="s">
        <v>27589</v>
      </c>
      <c r="H457" s="683" t="s">
        <v>27209</v>
      </c>
      <c r="I457" s="682" t="s">
        <v>27210</v>
      </c>
      <c r="J457" s="682" t="s">
        <v>27211</v>
      </c>
      <c r="K457" s="685"/>
      <c r="M457" s="687"/>
      <c r="N457" s="687"/>
      <c r="O457" s="687"/>
      <c r="P457" s="687"/>
      <c r="Q457" s="687"/>
      <c r="R457" s="687"/>
    </row>
    <row r="458" spans="2:18" x14ac:dyDescent="0.2">
      <c r="B458" s="249"/>
      <c r="C458" s="500" t="str">
        <f>'2 Data Inputs'!C842</f>
        <v>Électricité, réseau, basse tension</v>
      </c>
      <c r="D458" s="535">
        <f>'2 Data Inputs'!F842</f>
        <v>0</v>
      </c>
      <c r="E458" s="535">
        <f>_xlfn.XLOOKUP($I458,BG_Data[Product],BG_Data[GHG emissions (IPCC 2021) '[kg CO2 eq']],0)</f>
        <v>5.625548261860136E-2</v>
      </c>
      <c r="F458" s="535">
        <f t="shared" ref="F458:F459" si="31">$D458*$E458</f>
        <v>0</v>
      </c>
      <c r="G458" s="535">
        <f>$D458*_xlfn.XLOOKUP($I458,BG_Data[Product],BG_Data[Biogenic CO2 emissions '[kg CO2']],0)</f>
        <v>0</v>
      </c>
      <c r="H458" s="583">
        <f>$D458*_xlfn.XLOOKUP($I458,BG_Data[Product],BG_Data[Total env. impact (Ecological Scarcity 2021) '[UBP']],0)</f>
        <v>0</v>
      </c>
      <c r="I458" s="500" t="s">
        <v>2804</v>
      </c>
      <c r="J458" s="500" t="s">
        <v>27213</v>
      </c>
      <c r="K458" s="248"/>
    </row>
    <row r="459" spans="2:18" x14ac:dyDescent="0.2">
      <c r="B459" s="249"/>
      <c r="C459" s="506" t="str">
        <f>'2 Data Inputs'!C843</f>
        <v>Électricité, réseau, moyenne tension</v>
      </c>
      <c r="D459" s="532">
        <f>'2 Data Inputs'!F843</f>
        <v>0</v>
      </c>
      <c r="E459" s="532">
        <f>_xlfn.XLOOKUP($I459,BG_Data[Product],BG_Data[GHG emissions (IPCC 2021) '[kg CO2 eq']],0)</f>
        <v>5.625548261860136E-2</v>
      </c>
      <c r="F459" s="532">
        <f t="shared" si="31"/>
        <v>0</v>
      </c>
      <c r="G459" s="532">
        <f>$D459*_xlfn.XLOOKUP($I459,BG_Data[Product],BG_Data[Biogenic CO2 emissions '[kg CO2']],0)</f>
        <v>0</v>
      </c>
      <c r="H459" s="581">
        <f>$D459*_xlfn.XLOOKUP($I459,BG_Data[Product],BG_Data[Total env. impact (Ecological Scarcity 2021) '[UBP']],0)</f>
        <v>0</v>
      </c>
      <c r="I459" s="506" t="s">
        <v>2807</v>
      </c>
      <c r="J459" s="506" t="s">
        <v>27213</v>
      </c>
      <c r="K459" s="248"/>
    </row>
    <row r="460" spans="2:18" ht="15" x14ac:dyDescent="0.25">
      <c r="B460" s="249"/>
      <c r="C460" s="507" t="s">
        <v>2616</v>
      </c>
      <c r="D460" s="508">
        <f>SUM(D458:D459)</f>
        <v>0</v>
      </c>
      <c r="E460" s="508"/>
      <c r="F460" s="508">
        <f>SUM(F458:F459)</f>
        <v>0</v>
      </c>
      <c r="G460" s="508">
        <f>SUM(G458:G459)</f>
        <v>0</v>
      </c>
      <c r="H460" s="580">
        <f>SUM(H458:H459)</f>
        <v>0</v>
      </c>
      <c r="I460" s="507"/>
      <c r="J460" s="507"/>
      <c r="K460" s="248"/>
    </row>
    <row r="461" spans="2:18" x14ac:dyDescent="0.2">
      <c r="B461" s="249"/>
      <c r="C461" s="740"/>
      <c r="D461" s="740"/>
      <c r="E461" s="740"/>
      <c r="F461" s="740"/>
      <c r="G461" s="510"/>
      <c r="H461" s="571"/>
      <c r="I461" s="511"/>
      <c r="J461" s="511"/>
      <c r="K461" s="248"/>
    </row>
    <row r="462" spans="2:18" s="686" customFormat="1" ht="33" x14ac:dyDescent="0.25">
      <c r="B462" s="681"/>
      <c r="C462" s="682" t="s">
        <v>28603</v>
      </c>
      <c r="D462" s="683" t="s">
        <v>28534</v>
      </c>
      <c r="E462" s="683" t="s">
        <v>27208</v>
      </c>
      <c r="F462" s="683" t="s">
        <v>27588</v>
      </c>
      <c r="G462" s="683" t="s">
        <v>27589</v>
      </c>
      <c r="H462" s="683" t="s">
        <v>27209</v>
      </c>
      <c r="I462" s="682" t="s">
        <v>27210</v>
      </c>
      <c r="J462" s="682" t="s">
        <v>27211</v>
      </c>
      <c r="K462" s="685"/>
      <c r="M462" s="687"/>
      <c r="N462" s="687"/>
      <c r="O462" s="687"/>
      <c r="P462" s="687"/>
      <c r="Q462" s="687"/>
      <c r="R462" s="687"/>
    </row>
    <row r="463" spans="2:18" x14ac:dyDescent="0.2">
      <c r="B463" s="249"/>
      <c r="C463" s="500">
        <f>'2 Data Inputs'!C848</f>
        <v>0</v>
      </c>
      <c r="D463" s="535">
        <f>'2 Data Inputs'!F848</f>
        <v>0</v>
      </c>
      <c r="E463" s="535">
        <f>_xlfn.XLOOKUP($I463,BG_Data[Product],BG_Data[GHG emissions (IPCC 2021) '[kg CO2 eq']],0)</f>
        <v>0</v>
      </c>
      <c r="F463" s="535">
        <f t="shared" ref="F463:F473" si="32">$D463*$E463</f>
        <v>0</v>
      </c>
      <c r="G463" s="535">
        <f>$D463*_xlfn.XLOOKUP($I463,BG_Data[Product],BG_Data[Biogenic CO2 emissions '[kg CO2']],0)</f>
        <v>0</v>
      </c>
      <c r="H463" s="583">
        <f>$D463*_xlfn.XLOOKUP($I463,BG_Data[Product],BG_Data[Total env. impact (Ecological Scarcity 2021) '[UBP']],0)</f>
        <v>0</v>
      </c>
      <c r="I463" s="500" cm="1">
        <f t="array" ref="I463">_xlfn.XLOOKUP(
     C463,
     _xlfn.TOCOL(_xlfn.HSTACK(Lists_S1_StationaryComb[DE Name],Lists_S1_StationaryComb[FR Name],Lists_S1_StationaryComb[IT Name]),1),
     _xlfn.TOCOL(_xlfn.HSTACK(Lists_S1_StationaryComb[BG Data],Lists_S1_StationaryComb[BG Data],Lists_S1_StationaryComb[BG Data]),1) &amp;" Direct",
     0
)</f>
        <v>0</v>
      </c>
      <c r="J463" s="500" t="s">
        <v>27212</v>
      </c>
      <c r="K463" s="248"/>
    </row>
    <row r="464" spans="2:18" x14ac:dyDescent="0.2">
      <c r="B464" s="249"/>
      <c r="C464" s="503">
        <f>'2 Data Inputs'!C849</f>
        <v>0</v>
      </c>
      <c r="D464" s="537">
        <f>'2 Data Inputs'!F849</f>
        <v>0</v>
      </c>
      <c r="E464" s="537">
        <f>_xlfn.XLOOKUP($I464,BG_Data[Product],BG_Data[GHG emissions (IPCC 2021) '[kg CO2 eq']],0)</f>
        <v>0</v>
      </c>
      <c r="F464" s="537">
        <f t="shared" si="32"/>
        <v>0</v>
      </c>
      <c r="G464" s="537">
        <f>$D464*_xlfn.XLOOKUP($I464,BG_Data[Product],BG_Data[Biogenic CO2 emissions '[kg CO2']],0)</f>
        <v>0</v>
      </c>
      <c r="H464" s="584">
        <f>$D464*_xlfn.XLOOKUP($I464,BG_Data[Product],BG_Data[Total env. impact (Ecological Scarcity 2021) '[UBP']],0)</f>
        <v>0</v>
      </c>
      <c r="I464" s="503" cm="1">
        <f t="array" ref="I464">_xlfn.XLOOKUP(
     C464,
     _xlfn.TOCOL(_xlfn.HSTACK(Lists_S1_StationaryComb[DE Name],Lists_S1_StationaryComb[FR Name],Lists_S1_StationaryComb[IT Name]),1),
     _xlfn.TOCOL(_xlfn.HSTACK(Lists_S1_StationaryComb[BG Data],Lists_S1_StationaryComb[BG Data],Lists_S1_StationaryComb[BG Data]),1) &amp;" Direct",
     0
)</f>
        <v>0</v>
      </c>
      <c r="J464" s="503" t="s">
        <v>27212</v>
      </c>
      <c r="K464" s="248"/>
    </row>
    <row r="465" spans="2:13" x14ac:dyDescent="0.2">
      <c r="B465" s="249"/>
      <c r="C465" s="503">
        <f>'2 Data Inputs'!C850</f>
        <v>0</v>
      </c>
      <c r="D465" s="537">
        <f>'2 Data Inputs'!F850</f>
        <v>0</v>
      </c>
      <c r="E465" s="537">
        <f>_xlfn.XLOOKUP($I465,BG_Data[Product],BG_Data[GHG emissions (IPCC 2021) '[kg CO2 eq']],0)</f>
        <v>0</v>
      </c>
      <c r="F465" s="537">
        <f t="shared" si="32"/>
        <v>0</v>
      </c>
      <c r="G465" s="537">
        <f>$D465*_xlfn.XLOOKUP($I465,BG_Data[Product],BG_Data[Biogenic CO2 emissions '[kg CO2']],0)</f>
        <v>0</v>
      </c>
      <c r="H465" s="584">
        <f>$D465*_xlfn.XLOOKUP($I465,BG_Data[Product],BG_Data[Total env. impact (Ecological Scarcity 2021) '[UBP']],0)</f>
        <v>0</v>
      </c>
      <c r="I465" s="503" cm="1">
        <f t="array" ref="I465">_xlfn.XLOOKUP(
     C465,
     _xlfn.TOCOL(_xlfn.HSTACK(Lists_S1_StationaryComb[DE Name],Lists_S1_StationaryComb[FR Name],Lists_S1_StationaryComb[IT Name]),1),
     _xlfn.TOCOL(_xlfn.HSTACK(Lists_S1_StationaryComb[BG Data],Lists_S1_StationaryComb[BG Data],Lists_S1_StationaryComb[BG Data]),1) &amp;" Direct",
     0
)</f>
        <v>0</v>
      </c>
      <c r="J465" s="503" t="s">
        <v>27212</v>
      </c>
      <c r="K465" s="248"/>
    </row>
    <row r="466" spans="2:13" x14ac:dyDescent="0.2">
      <c r="B466" s="249"/>
      <c r="C466" s="503">
        <f>'2 Data Inputs'!C851</f>
        <v>0</v>
      </c>
      <c r="D466" s="537">
        <f>'2 Data Inputs'!F851</f>
        <v>0</v>
      </c>
      <c r="E466" s="537">
        <f>_xlfn.XLOOKUP($I466,BG_Data[Product],BG_Data[GHG emissions (IPCC 2021) '[kg CO2 eq']],0)</f>
        <v>0</v>
      </c>
      <c r="F466" s="537">
        <f t="shared" si="32"/>
        <v>0</v>
      </c>
      <c r="G466" s="537">
        <f>$D466*_xlfn.XLOOKUP($I466,BG_Data[Product],BG_Data[Biogenic CO2 emissions '[kg CO2']],0)</f>
        <v>0</v>
      </c>
      <c r="H466" s="584">
        <f>$D466*_xlfn.XLOOKUP($I466,BG_Data[Product],BG_Data[Total env. impact (Ecological Scarcity 2021) '[UBP']],0)</f>
        <v>0</v>
      </c>
      <c r="I466" s="503" cm="1">
        <f t="array" ref="I466">_xlfn.XLOOKUP(
     C466,
     _xlfn.TOCOL(_xlfn.HSTACK(Lists_S1_StationaryComb[DE Name],Lists_S1_StationaryComb[FR Name],Lists_S1_StationaryComb[IT Name]),1),
     _xlfn.TOCOL(_xlfn.HSTACK(Lists_S1_StationaryComb[BG Data],Lists_S1_StationaryComb[BG Data],Lists_S1_StationaryComb[BG Data]),1) &amp;" Direct",
     0
)</f>
        <v>0</v>
      </c>
      <c r="J466" s="503" t="s">
        <v>27212</v>
      </c>
      <c r="K466" s="248"/>
    </row>
    <row r="467" spans="2:13" x14ac:dyDescent="0.2">
      <c r="B467" s="249"/>
      <c r="C467" s="503">
        <f>'2 Data Inputs'!C852</f>
        <v>0</v>
      </c>
      <c r="D467" s="537">
        <f>'2 Data Inputs'!F852</f>
        <v>0</v>
      </c>
      <c r="E467" s="537">
        <f>_xlfn.XLOOKUP($I467,BG_Data[Product],BG_Data[GHG emissions (IPCC 2021) '[kg CO2 eq']],0)</f>
        <v>0</v>
      </c>
      <c r="F467" s="537">
        <f t="shared" si="32"/>
        <v>0</v>
      </c>
      <c r="G467" s="537">
        <f>$D467*_xlfn.XLOOKUP($I467,BG_Data[Product],BG_Data[Biogenic CO2 emissions '[kg CO2']],0)</f>
        <v>0</v>
      </c>
      <c r="H467" s="584">
        <f>$D467*_xlfn.XLOOKUP($I467,BG_Data[Product],BG_Data[Total env. impact (Ecological Scarcity 2021) '[UBP']],0)</f>
        <v>0</v>
      </c>
      <c r="I467" s="503" cm="1">
        <f t="array" ref="I467">_xlfn.XLOOKUP(
     C467,
     _xlfn.TOCOL(_xlfn.HSTACK(Lists_S1_StationaryComb[DE Name],Lists_S1_StationaryComb[FR Name],Lists_S1_StationaryComb[IT Name]),1),
     _xlfn.TOCOL(_xlfn.HSTACK(Lists_S1_StationaryComb[BG Data],Lists_S1_StationaryComb[BG Data],Lists_S1_StationaryComb[BG Data]),1) &amp;" Direct",
     0
)</f>
        <v>0</v>
      </c>
      <c r="J467" s="503" t="s">
        <v>27212</v>
      </c>
      <c r="K467" s="248"/>
    </row>
    <row r="468" spans="2:13" x14ac:dyDescent="0.2">
      <c r="B468" s="249"/>
      <c r="C468" s="503">
        <f>'2 Data Inputs'!C853</f>
        <v>0</v>
      </c>
      <c r="D468" s="537">
        <f>'2 Data Inputs'!F853</f>
        <v>0</v>
      </c>
      <c r="E468" s="537">
        <f>_xlfn.XLOOKUP($I468,BG_Data[Product],BG_Data[GHG emissions (IPCC 2021) '[kg CO2 eq']],0)</f>
        <v>0</v>
      </c>
      <c r="F468" s="537">
        <f t="shared" si="32"/>
        <v>0</v>
      </c>
      <c r="G468" s="537">
        <f>$D468*_xlfn.XLOOKUP($I468,BG_Data[Product],BG_Data[Biogenic CO2 emissions '[kg CO2']],0)</f>
        <v>0</v>
      </c>
      <c r="H468" s="584">
        <f>$D468*_xlfn.XLOOKUP($I468,BG_Data[Product],BG_Data[Total env. impact (Ecological Scarcity 2021) '[UBP']],0)</f>
        <v>0</v>
      </c>
      <c r="I468" s="503" cm="1">
        <f t="array" ref="I468">_xlfn.XLOOKUP(
     C468,
     _xlfn.TOCOL(_xlfn.HSTACK(Lists_S1_StationaryComb[DE Name],Lists_S1_StationaryComb[FR Name],Lists_S1_StationaryComb[IT Name]),1),
     _xlfn.TOCOL(_xlfn.HSTACK(Lists_S1_StationaryComb[BG Data],Lists_S1_StationaryComb[BG Data],Lists_S1_StationaryComb[BG Data]),1) &amp;" Direct",
     0
)</f>
        <v>0</v>
      </c>
      <c r="J468" s="503" t="s">
        <v>27212</v>
      </c>
      <c r="K468" s="248"/>
    </row>
    <row r="469" spans="2:13" x14ac:dyDescent="0.2">
      <c r="B469" s="249"/>
      <c r="C469" s="503">
        <f>'2 Data Inputs'!C854</f>
        <v>0</v>
      </c>
      <c r="D469" s="537">
        <f>'2 Data Inputs'!F854</f>
        <v>0</v>
      </c>
      <c r="E469" s="537">
        <f>_xlfn.XLOOKUP($I469,BG_Data[Product],BG_Data[GHG emissions (IPCC 2021) '[kg CO2 eq']],0)</f>
        <v>0</v>
      </c>
      <c r="F469" s="537">
        <f t="shared" si="32"/>
        <v>0</v>
      </c>
      <c r="G469" s="537">
        <f>$D469*_xlfn.XLOOKUP($I469,BG_Data[Product],BG_Data[Biogenic CO2 emissions '[kg CO2']],0)</f>
        <v>0</v>
      </c>
      <c r="H469" s="584">
        <f>$D469*_xlfn.XLOOKUP($I469,BG_Data[Product],BG_Data[Total env. impact (Ecological Scarcity 2021) '[UBP']],0)</f>
        <v>0</v>
      </c>
      <c r="I469" s="503" cm="1">
        <f t="array" ref="I469">_xlfn.XLOOKUP(
     C469,
     _xlfn.TOCOL(_xlfn.HSTACK(Lists_S1_StationaryComb[DE Name],Lists_S1_StationaryComb[FR Name],Lists_S1_StationaryComb[IT Name]),1),
     _xlfn.TOCOL(_xlfn.HSTACK(Lists_S1_StationaryComb[BG Data],Lists_S1_StationaryComb[BG Data],Lists_S1_StationaryComb[BG Data]),1) &amp;" Direct",
     0
)</f>
        <v>0</v>
      </c>
      <c r="J469" s="503" t="s">
        <v>27212</v>
      </c>
      <c r="K469" s="248"/>
    </row>
    <row r="470" spans="2:13" x14ac:dyDescent="0.2">
      <c r="B470" s="249"/>
      <c r="C470" s="503">
        <f>'2 Data Inputs'!C855</f>
        <v>0</v>
      </c>
      <c r="D470" s="537">
        <f>'2 Data Inputs'!F855</f>
        <v>0</v>
      </c>
      <c r="E470" s="537">
        <f>_xlfn.XLOOKUP($I470,BG_Data[Product],BG_Data[GHG emissions (IPCC 2021) '[kg CO2 eq']],0)</f>
        <v>0</v>
      </c>
      <c r="F470" s="537">
        <f t="shared" si="32"/>
        <v>0</v>
      </c>
      <c r="G470" s="537">
        <f>$D470*_xlfn.XLOOKUP($I470,BG_Data[Product],BG_Data[Biogenic CO2 emissions '[kg CO2']],0)</f>
        <v>0</v>
      </c>
      <c r="H470" s="584">
        <f>$D470*_xlfn.XLOOKUP($I470,BG_Data[Product],BG_Data[Total env. impact (Ecological Scarcity 2021) '[UBP']],0)</f>
        <v>0</v>
      </c>
      <c r="I470" s="503" cm="1">
        <f t="array" ref="I470">_xlfn.XLOOKUP(
     C470,
     _xlfn.TOCOL(_xlfn.HSTACK(Lists_S1_StationaryComb[DE Name],Lists_S1_StationaryComb[FR Name],Lists_S1_StationaryComb[IT Name]),1),
     _xlfn.TOCOL(_xlfn.HSTACK(Lists_S1_StationaryComb[BG Data],Lists_S1_StationaryComb[BG Data],Lists_S1_StationaryComb[BG Data]),1) &amp;" Direct",
     0
)</f>
        <v>0</v>
      </c>
      <c r="J470" s="503" t="s">
        <v>27212</v>
      </c>
      <c r="K470" s="248"/>
    </row>
    <row r="471" spans="2:13" x14ac:dyDescent="0.2">
      <c r="B471" s="249"/>
      <c r="C471" s="503">
        <f>'2 Data Inputs'!C856</f>
        <v>0</v>
      </c>
      <c r="D471" s="537">
        <f>'2 Data Inputs'!F856</f>
        <v>0</v>
      </c>
      <c r="E471" s="537">
        <f>_xlfn.XLOOKUP($I471,BG_Data[Product],BG_Data[GHG emissions (IPCC 2021) '[kg CO2 eq']],0)</f>
        <v>0</v>
      </c>
      <c r="F471" s="537">
        <f t="shared" si="32"/>
        <v>0</v>
      </c>
      <c r="G471" s="537">
        <f>$D471*_xlfn.XLOOKUP($I471,BG_Data[Product],BG_Data[Biogenic CO2 emissions '[kg CO2']],0)</f>
        <v>0</v>
      </c>
      <c r="H471" s="584">
        <f>$D471*_xlfn.XLOOKUP($I471,BG_Data[Product],BG_Data[Total env. impact (Ecological Scarcity 2021) '[UBP']],0)</f>
        <v>0</v>
      </c>
      <c r="I471" s="503" cm="1">
        <f t="array" ref="I471">_xlfn.XLOOKUP(
     C471,
     _xlfn.TOCOL(_xlfn.HSTACK(Lists_S1_StationaryComb[DE Name],Lists_S1_StationaryComb[FR Name],Lists_S1_StationaryComb[IT Name]),1),
     _xlfn.TOCOL(_xlfn.HSTACK(Lists_S1_StationaryComb[BG Data],Lists_S1_StationaryComb[BG Data],Lists_S1_StationaryComb[BG Data]),1) &amp;" Direct",
     0
)</f>
        <v>0</v>
      </c>
      <c r="J471" s="503" t="s">
        <v>27212</v>
      </c>
      <c r="K471" s="248"/>
    </row>
    <row r="472" spans="2:13" x14ac:dyDescent="0.2">
      <c r="B472" s="249"/>
      <c r="C472" s="503">
        <f>'2 Data Inputs'!C857</f>
        <v>0</v>
      </c>
      <c r="D472" s="537">
        <f>'2 Data Inputs'!F857</f>
        <v>0</v>
      </c>
      <c r="E472" s="537">
        <f>_xlfn.XLOOKUP($I472,BG_Data[Product],BG_Data[GHG emissions (IPCC 2021) '[kg CO2 eq']],0)</f>
        <v>0</v>
      </c>
      <c r="F472" s="537">
        <f t="shared" si="32"/>
        <v>0</v>
      </c>
      <c r="G472" s="537">
        <f>$D472*_xlfn.XLOOKUP($I472,BG_Data[Product],BG_Data[Biogenic CO2 emissions '[kg CO2']],0)</f>
        <v>0</v>
      </c>
      <c r="H472" s="584">
        <f>$D472*_xlfn.XLOOKUP($I472,BG_Data[Product],BG_Data[Total env. impact (Ecological Scarcity 2021) '[UBP']],0)</f>
        <v>0</v>
      </c>
      <c r="I472" s="503" cm="1">
        <f t="array" ref="I472">_xlfn.XLOOKUP(
     C472,
     _xlfn.TOCOL(_xlfn.HSTACK(Lists_S1_StationaryComb[DE Name],Lists_S1_StationaryComb[FR Name],Lists_S1_StationaryComb[IT Name]),1),
     _xlfn.TOCOL(_xlfn.HSTACK(Lists_S1_StationaryComb[BG Data],Lists_S1_StationaryComb[BG Data],Lists_S1_StationaryComb[BG Data]),1) &amp;" Direct",
     0
)</f>
        <v>0</v>
      </c>
      <c r="J472" s="503" t="s">
        <v>27212</v>
      </c>
      <c r="K472" s="248"/>
    </row>
    <row r="473" spans="2:13" x14ac:dyDescent="0.2">
      <c r="B473" s="249"/>
      <c r="C473" s="506">
        <f>'2 Data Inputs'!C858</f>
        <v>0</v>
      </c>
      <c r="D473" s="532">
        <f>'2 Data Inputs'!F858</f>
        <v>0</v>
      </c>
      <c r="E473" s="532">
        <f>_xlfn.XLOOKUP($I473,BG_Data[Product],BG_Data[GHG emissions (IPCC 2021) '[kg CO2 eq']],0)</f>
        <v>0</v>
      </c>
      <c r="F473" s="532">
        <f t="shared" si="32"/>
        <v>0</v>
      </c>
      <c r="G473" s="532">
        <f>$D473*_xlfn.XLOOKUP($I473,BG_Data[Product],BG_Data[Biogenic CO2 emissions '[kg CO2']],0)</f>
        <v>0</v>
      </c>
      <c r="H473" s="581">
        <f>$D473*_xlfn.XLOOKUP($I473,BG_Data[Product],BG_Data[Total env. impact (Ecological Scarcity 2021) '[UBP']],0)</f>
        <v>0</v>
      </c>
      <c r="I473" s="506" cm="1">
        <f t="array" ref="I473">_xlfn.XLOOKUP(
     C473,
     _xlfn.TOCOL(_xlfn.HSTACK(Lists_S1_StationaryComb[DE Name],Lists_S1_StationaryComb[FR Name],Lists_S1_StationaryComb[IT Name]),1),
     _xlfn.TOCOL(_xlfn.HSTACK(Lists_S1_StationaryComb[BG Data],Lists_S1_StationaryComb[BG Data],Lists_S1_StationaryComb[BG Data]),1) &amp;" Direct",
     0
)</f>
        <v>0</v>
      </c>
      <c r="J473" s="506" t="s">
        <v>27212</v>
      </c>
      <c r="K473" s="248"/>
    </row>
    <row r="474" spans="2:13" ht="15" x14ac:dyDescent="0.25">
      <c r="B474" s="249"/>
      <c r="C474" s="507" t="s">
        <v>2616</v>
      </c>
      <c r="D474" s="508">
        <f>SUM(D463:D473)</f>
        <v>0</v>
      </c>
      <c r="E474" s="508"/>
      <c r="F474" s="508">
        <f>SUM(F463:F473)</f>
        <v>0</v>
      </c>
      <c r="G474" s="508">
        <f>SUM(G463:G473)</f>
        <v>0</v>
      </c>
      <c r="H474" s="580">
        <f>SUM(H463:H473)</f>
        <v>0</v>
      </c>
      <c r="I474" s="507"/>
      <c r="J474" s="507"/>
      <c r="K474" s="248"/>
    </row>
    <row r="475" spans="2:13" x14ac:dyDescent="0.2">
      <c r="B475" s="254"/>
      <c r="C475" s="539"/>
      <c r="D475" s="540"/>
      <c r="E475" s="540"/>
      <c r="F475" s="540"/>
      <c r="G475" s="540"/>
      <c r="H475" s="588"/>
      <c r="I475" s="539"/>
      <c r="J475" s="539"/>
      <c r="K475" s="256"/>
    </row>
    <row r="477" spans="2:13" ht="15" x14ac:dyDescent="0.25">
      <c r="B477" s="258" t="s">
        <v>27225</v>
      </c>
    </row>
    <row r="478" spans="2:13" x14ac:dyDescent="0.2">
      <c r="B478" s="246"/>
      <c r="C478" s="527"/>
      <c r="D478" s="528"/>
      <c r="E478" s="528"/>
      <c r="F478" s="528"/>
      <c r="G478" s="547"/>
      <c r="H478" s="589"/>
      <c r="I478" s="548"/>
      <c r="J478" s="548"/>
      <c r="K478" s="247" t="str">
        <f>Calc_Hyperlink_S3</f>
        <v>Scope 3</v>
      </c>
    </row>
    <row r="479" spans="2:13" ht="15" x14ac:dyDescent="0.25">
      <c r="B479" s="249"/>
      <c r="C479" s="531" t="str">
        <f>n3Calculation_25_S3.12_EndOFLife</f>
        <v>Fin de vie des produits vendus</v>
      </c>
      <c r="D479" s="510"/>
      <c r="E479" s="510"/>
      <c r="F479" s="510"/>
      <c r="G479" s="510"/>
      <c r="H479" s="571"/>
      <c r="I479" s="511"/>
      <c r="J479" s="511"/>
      <c r="K479" s="248"/>
      <c r="M479" s="299" t="s">
        <v>28316</v>
      </c>
    </row>
    <row r="480" spans="2:13" x14ac:dyDescent="0.2">
      <c r="B480" s="249"/>
      <c r="C480" s="740"/>
      <c r="D480" s="740"/>
      <c r="E480" s="740"/>
      <c r="F480" s="740"/>
      <c r="G480" s="510"/>
      <c r="H480" s="571"/>
      <c r="I480" s="511"/>
      <c r="J480" s="511"/>
      <c r="K480" s="248"/>
    </row>
    <row r="481" spans="2:18" s="686" customFormat="1" ht="33" x14ac:dyDescent="0.25">
      <c r="B481" s="681"/>
      <c r="C481" s="682" t="s">
        <v>28604</v>
      </c>
      <c r="D481" s="683" t="s">
        <v>28535</v>
      </c>
      <c r="E481" s="683" t="s">
        <v>27208</v>
      </c>
      <c r="F481" s="683" t="s">
        <v>27588</v>
      </c>
      <c r="G481" s="683" t="s">
        <v>27589</v>
      </c>
      <c r="H481" s="683" t="s">
        <v>27209</v>
      </c>
      <c r="I481" s="682" t="s">
        <v>27210</v>
      </c>
      <c r="J481" s="682" t="s">
        <v>27211</v>
      </c>
      <c r="K481" s="685"/>
      <c r="M481" s="687"/>
      <c r="N481" s="687"/>
      <c r="O481" s="687"/>
      <c r="P481" s="687"/>
      <c r="Q481" s="687"/>
      <c r="R481" s="687"/>
    </row>
    <row r="482" spans="2:18" x14ac:dyDescent="0.2">
      <c r="B482" s="249"/>
      <c r="C482" s="500" t="str">
        <f>'2 Data Inputs'!C878</f>
        <v>Déchets ménagers / industriels mixtes, incinération</v>
      </c>
      <c r="D482" s="535">
        <f>'2 Data Inputs'!F878</f>
        <v>0</v>
      </c>
      <c r="E482" s="535">
        <f>_xlfn.XLOOKUP($I482,BG_Data[Product],BG_Data[GHG emissions (IPCC 2021) '[kg CO2 eq']],0)</f>
        <v>0.52184029541431309</v>
      </c>
      <c r="F482" s="535">
        <f t="shared" ref="F482:F493" si="33">$D482*$E482</f>
        <v>0</v>
      </c>
      <c r="G482" s="535">
        <f>$D482*_xlfn.XLOOKUP($I482,BG_Data[Product],BG_Data[Biogenic CO2 emissions '[kg CO2']],0)</f>
        <v>0</v>
      </c>
      <c r="H482" s="583">
        <f>$D482*_xlfn.XLOOKUP($I482,BG_Data[Product],BG_Data[Total env. impact (Ecological Scarcity 2021) '[UBP']],0)</f>
        <v>0</v>
      </c>
      <c r="I482" s="500" t="s">
        <v>652</v>
      </c>
      <c r="J482" s="500" t="s">
        <v>27213</v>
      </c>
      <c r="K482" s="248"/>
    </row>
    <row r="483" spans="2:18" x14ac:dyDescent="0.2">
      <c r="B483" s="249"/>
      <c r="C483" s="503" t="str">
        <f>'2 Data Inputs'!C879</f>
        <v>Déchets dangereux, incinération</v>
      </c>
      <c r="D483" s="537">
        <f>'2 Data Inputs'!F879</f>
        <v>0</v>
      </c>
      <c r="E483" s="537">
        <f>_xlfn.XLOOKUP($I483,BG_Data[Product],BG_Data[GHG emissions (IPCC 2021) '[kg CO2 eq']],0)</f>
        <v>2.358051142433689</v>
      </c>
      <c r="F483" s="537">
        <f t="shared" si="33"/>
        <v>0</v>
      </c>
      <c r="G483" s="537">
        <f>$D483*_xlfn.XLOOKUP($I483,BG_Data[Product],BG_Data[Biogenic CO2 emissions '[kg CO2']],0)</f>
        <v>0</v>
      </c>
      <c r="H483" s="584">
        <f>$D483*_xlfn.XLOOKUP($I483,BG_Data[Product],BG_Data[Total env. impact (Ecological Scarcity 2021) '[UBP']],0)</f>
        <v>0</v>
      </c>
      <c r="I483" s="503" t="s">
        <v>654</v>
      </c>
      <c r="J483" s="503" t="s">
        <v>27213</v>
      </c>
      <c r="K483" s="248"/>
    </row>
    <row r="484" spans="2:18" x14ac:dyDescent="0.2">
      <c r="B484" s="249"/>
      <c r="C484" s="503" t="str">
        <f>'2 Data Inputs'!C880</f>
        <v>Déchets dangereux, décharge</v>
      </c>
      <c r="D484" s="537">
        <f>'2 Data Inputs'!F880</f>
        <v>0</v>
      </c>
      <c r="E484" s="537">
        <f>_xlfn.XLOOKUP($I484,BG_Data[Product],BG_Data[GHG emissions (IPCC 2021) '[kg CO2 eq']],0)</f>
        <v>0.25788583250486119</v>
      </c>
      <c r="F484" s="537">
        <f t="shared" si="33"/>
        <v>0</v>
      </c>
      <c r="G484" s="537">
        <f>$D484*_xlfn.XLOOKUP($I484,BG_Data[Product],BG_Data[Biogenic CO2 emissions '[kg CO2']],0)</f>
        <v>0</v>
      </c>
      <c r="H484" s="584">
        <f>$D484*_xlfn.XLOOKUP($I484,BG_Data[Product],BG_Data[Total env. impact (Ecological Scarcity 2021) '[UBP']],0)</f>
        <v>0</v>
      </c>
      <c r="I484" s="503" t="s">
        <v>658</v>
      </c>
      <c r="J484" s="503" t="s">
        <v>27213</v>
      </c>
      <c r="K484" s="248"/>
    </row>
    <row r="485" spans="2:18" x14ac:dyDescent="0.2">
      <c r="B485" s="249"/>
      <c r="C485" s="503" t="str">
        <f>'2 Data Inputs'!C881</f>
        <v>Plastique, incinération</v>
      </c>
      <c r="D485" s="537">
        <f>'2 Data Inputs'!F881</f>
        <v>0</v>
      </c>
      <c r="E485" s="537">
        <f>_xlfn.XLOOKUP($I485,BG_Data[Product],BG_Data[GHG emissions (IPCC 2021) '[kg CO2 eq']],0)</f>
        <v>2.3830364175060761</v>
      </c>
      <c r="F485" s="537">
        <f t="shared" si="33"/>
        <v>0</v>
      </c>
      <c r="G485" s="537">
        <f>$D485*_xlfn.XLOOKUP($I485,BG_Data[Product],BG_Data[Biogenic CO2 emissions '[kg CO2']],0)</f>
        <v>0</v>
      </c>
      <c r="H485" s="584">
        <f>$D485*_xlfn.XLOOKUP($I485,BG_Data[Product],BG_Data[Total env. impact (Ecological Scarcity 2021) '[UBP']],0)</f>
        <v>0</v>
      </c>
      <c r="I485" s="503" t="s">
        <v>660</v>
      </c>
      <c r="J485" s="503" t="s">
        <v>27213</v>
      </c>
      <c r="K485" s="248"/>
    </row>
    <row r="486" spans="2:18" x14ac:dyDescent="0.2">
      <c r="B486" s="249"/>
      <c r="C486" s="503" t="str">
        <f>'2 Data Inputs'!C882</f>
        <v>Plastique, recyclage</v>
      </c>
      <c r="D486" s="537">
        <f>'2 Data Inputs'!F882</f>
        <v>0</v>
      </c>
      <c r="E486" s="537">
        <f>_xlfn.XLOOKUP($I486,BG_Data[Product],BG_Data[GHG emissions (IPCC 2021) '[kg CO2 eq']],0)</f>
        <v>0</v>
      </c>
      <c r="F486" s="537">
        <f t="shared" si="33"/>
        <v>0</v>
      </c>
      <c r="G486" s="537">
        <f>$D486*_xlfn.XLOOKUP($I486,BG_Data[Product],BG_Data[Biogenic CO2 emissions '[kg CO2']],0)</f>
        <v>0</v>
      </c>
      <c r="H486" s="584">
        <f>$D486*_xlfn.XLOOKUP($I486,BG_Data[Product],BG_Data[Total env. impact (Ecological Scarcity 2021) '[UBP']],0)</f>
        <v>0</v>
      </c>
      <c r="I486" s="503" t="s">
        <v>663</v>
      </c>
      <c r="J486" s="503" t="s">
        <v>27213</v>
      </c>
      <c r="K486" s="248"/>
    </row>
    <row r="487" spans="2:18" x14ac:dyDescent="0.2">
      <c r="B487" s="249"/>
      <c r="C487" s="503" t="str">
        <f>'2 Data Inputs'!C883</f>
        <v>Métaux, recyclage</v>
      </c>
      <c r="D487" s="537">
        <f>'2 Data Inputs'!F883</f>
        <v>0</v>
      </c>
      <c r="E487" s="537">
        <f>_xlfn.XLOOKUP($I487,BG_Data[Product],BG_Data[GHG emissions (IPCC 2021) '[kg CO2 eq']],0)</f>
        <v>0</v>
      </c>
      <c r="F487" s="537">
        <f t="shared" si="33"/>
        <v>0</v>
      </c>
      <c r="G487" s="537">
        <f>$D487*_xlfn.XLOOKUP($I487,BG_Data[Product],BG_Data[Biogenic CO2 emissions '[kg CO2']],0)</f>
        <v>0</v>
      </c>
      <c r="H487" s="584">
        <f>$D487*_xlfn.XLOOKUP($I487,BG_Data[Product],BG_Data[Total env. impact (Ecological Scarcity 2021) '[UBP']],0)</f>
        <v>0</v>
      </c>
      <c r="I487" s="503" t="s">
        <v>663</v>
      </c>
      <c r="J487" s="503" t="s">
        <v>27213</v>
      </c>
      <c r="K487" s="248"/>
    </row>
    <row r="488" spans="2:18" x14ac:dyDescent="0.2">
      <c r="B488" s="249"/>
      <c r="C488" s="503" t="str">
        <f>'2 Data Inputs'!C884</f>
        <v>Déchets électroniques, recyclage</v>
      </c>
      <c r="D488" s="537">
        <f>'2 Data Inputs'!F884</f>
        <v>0</v>
      </c>
      <c r="E488" s="537">
        <f>_xlfn.XLOOKUP($I488,BG_Data[Product],BG_Data[GHG emissions (IPCC 2021) '[kg CO2 eq']],0)</f>
        <v>1.114284565972806</v>
      </c>
      <c r="F488" s="537">
        <f t="shared" si="33"/>
        <v>0</v>
      </c>
      <c r="G488" s="537">
        <f>$D488*_xlfn.XLOOKUP($I488,BG_Data[Product],BG_Data[Biogenic CO2 emissions '[kg CO2']],0)</f>
        <v>0</v>
      </c>
      <c r="H488" s="584">
        <f>$D488*_xlfn.XLOOKUP($I488,BG_Data[Product],BG_Data[Total env. impact (Ecological Scarcity 2021) '[UBP']],0)</f>
        <v>0</v>
      </c>
      <c r="I488" s="503" t="s">
        <v>669</v>
      </c>
      <c r="J488" s="503" t="s">
        <v>27213</v>
      </c>
      <c r="K488" s="248"/>
    </row>
    <row r="489" spans="2:18" x14ac:dyDescent="0.2">
      <c r="B489" s="249"/>
      <c r="C489" s="503" t="str">
        <f>'2 Data Inputs'!C885</f>
        <v>Biodéchets, incinération</v>
      </c>
      <c r="D489" s="537">
        <f>'2 Data Inputs'!F885</f>
        <v>0</v>
      </c>
      <c r="E489" s="537">
        <f>_xlfn.XLOOKUP($I489,BG_Data[Product],BG_Data[GHG emissions (IPCC 2021) '[kg CO2 eq']],0)</f>
        <v>3.9702725428305947E-2</v>
      </c>
      <c r="F489" s="537">
        <f t="shared" si="33"/>
        <v>0</v>
      </c>
      <c r="G489" s="537">
        <f>$D489*_xlfn.XLOOKUP($I489,BG_Data[Product],BG_Data[Biogenic CO2 emissions '[kg CO2']],0)</f>
        <v>0</v>
      </c>
      <c r="H489" s="584">
        <f>$D489*_xlfn.XLOOKUP($I489,BG_Data[Product],BG_Data[Total env. impact (Ecological Scarcity 2021) '[UBP']],0)</f>
        <v>0</v>
      </c>
      <c r="I489" s="503" t="s">
        <v>671</v>
      </c>
      <c r="J489" s="503" t="s">
        <v>27213</v>
      </c>
      <c r="K489" s="248"/>
    </row>
    <row r="490" spans="2:18" x14ac:dyDescent="0.2">
      <c r="B490" s="249"/>
      <c r="C490" s="503" t="str">
        <f>'2 Data Inputs'!C886</f>
        <v>Biodéchets, production de biogaz</v>
      </c>
      <c r="D490" s="537">
        <f>'2 Data Inputs'!F886</f>
        <v>0</v>
      </c>
      <c r="E490" s="537">
        <f>_xlfn.XLOOKUP($I490,BG_Data[Product],BG_Data[GHG emissions (IPCC 2021) '[kg CO2 eq']],0)</f>
        <v>2.896637952371138E-2</v>
      </c>
      <c r="F490" s="537">
        <f t="shared" si="33"/>
        <v>0</v>
      </c>
      <c r="G490" s="537">
        <f>$D490*_xlfn.XLOOKUP($I490,BG_Data[Product],BG_Data[Biogenic CO2 emissions '[kg CO2']],0)</f>
        <v>0</v>
      </c>
      <c r="H490" s="584">
        <f>$D490*_xlfn.XLOOKUP($I490,BG_Data[Product],BG_Data[Total env. impact (Ecological Scarcity 2021) '[UBP']],0)</f>
        <v>0</v>
      </c>
      <c r="I490" s="503" t="s">
        <v>675</v>
      </c>
      <c r="J490" s="503" t="s">
        <v>27213</v>
      </c>
      <c r="K490" s="248"/>
    </row>
    <row r="491" spans="2:18" x14ac:dyDescent="0.2">
      <c r="B491" s="249"/>
      <c r="C491" s="503" t="str">
        <f>'2 Data Inputs'!C887</f>
        <v>Matériaux inertes / déchets de construction, décharge</v>
      </c>
      <c r="D491" s="537">
        <f>'2 Data Inputs'!F887</f>
        <v>0</v>
      </c>
      <c r="E491" s="537">
        <f>_xlfn.XLOOKUP($I491,BG_Data[Product],BG_Data[GHG emissions (IPCC 2021) '[kg CO2 eq']],0)</f>
        <v>1.099915242120441E-3</v>
      </c>
      <c r="F491" s="537">
        <f t="shared" si="33"/>
        <v>0</v>
      </c>
      <c r="G491" s="537">
        <f>$D491*_xlfn.XLOOKUP($I491,BG_Data[Product],BG_Data[Biogenic CO2 emissions '[kg CO2']],0)</f>
        <v>0</v>
      </c>
      <c r="H491" s="584">
        <f>$D491*_xlfn.XLOOKUP($I491,BG_Data[Product],BG_Data[Total env. impact (Ecological Scarcity 2021) '[UBP']],0)</f>
        <v>0</v>
      </c>
      <c r="I491" s="503" t="s">
        <v>679</v>
      </c>
      <c r="J491" s="503" t="s">
        <v>27213</v>
      </c>
      <c r="K491" s="248"/>
    </row>
    <row r="492" spans="2:18" x14ac:dyDescent="0.2">
      <c r="B492" s="249"/>
      <c r="C492" s="503" t="str">
        <f>'2 Data Inputs'!C888</f>
        <v>Matériaux inertes / déchets de construction, recyclage</v>
      </c>
      <c r="D492" s="537">
        <f>'2 Data Inputs'!F888</f>
        <v>0</v>
      </c>
      <c r="E492" s="537">
        <f>_xlfn.XLOOKUP($I492,BG_Data[Product],BG_Data[GHG emissions (IPCC 2021) '[kg CO2 eq']],0)</f>
        <v>0</v>
      </c>
      <c r="F492" s="537">
        <f t="shared" si="33"/>
        <v>0</v>
      </c>
      <c r="G492" s="537">
        <f>$D492*_xlfn.XLOOKUP($I492,BG_Data[Product],BG_Data[Biogenic CO2 emissions '[kg CO2']],0)</f>
        <v>0</v>
      </c>
      <c r="H492" s="584">
        <f>$D492*_xlfn.XLOOKUP($I492,BG_Data[Product],BG_Data[Total env. impact (Ecological Scarcity 2021) '[UBP']],0)</f>
        <v>0</v>
      </c>
      <c r="I492" s="503" t="s">
        <v>663</v>
      </c>
      <c r="J492" s="503" t="s">
        <v>27213</v>
      </c>
      <c r="K492" s="248"/>
    </row>
    <row r="493" spans="2:18" x14ac:dyDescent="0.2">
      <c r="B493" s="249"/>
      <c r="C493" s="506" t="str">
        <f>'2 Data Inputs'!C889</f>
        <v>Eaux usées</v>
      </c>
      <c r="D493" s="532">
        <f>'2 Data Inputs'!F889</f>
        <v>0</v>
      </c>
      <c r="E493" s="532">
        <f>_xlfn.XLOOKUP($I493,BG_Data[Product],BG_Data[GHG emissions (IPCC 2021) '[kg CO2 eq']],0)</f>
        <v>2.7604365217968711E-4</v>
      </c>
      <c r="F493" s="532">
        <f t="shared" si="33"/>
        <v>0</v>
      </c>
      <c r="G493" s="532">
        <f>$D493*_xlfn.XLOOKUP($I493,BG_Data[Product],BG_Data[Biogenic CO2 emissions '[kg CO2']],0)</f>
        <v>0</v>
      </c>
      <c r="H493" s="581">
        <f>$D493*_xlfn.XLOOKUP($I493,BG_Data[Product],BG_Data[Total env. impact (Ecological Scarcity 2021) '[UBP']],0)</f>
        <v>0</v>
      </c>
      <c r="I493" s="506" t="s">
        <v>29006</v>
      </c>
      <c r="J493" s="506" t="s">
        <v>27213</v>
      </c>
      <c r="K493" s="248"/>
    </row>
    <row r="494" spans="2:18" ht="15" x14ac:dyDescent="0.25">
      <c r="B494" s="249"/>
      <c r="C494" s="507" t="s">
        <v>2616</v>
      </c>
      <c r="D494" s="508">
        <f>SUM(D482:D493)</f>
        <v>0</v>
      </c>
      <c r="E494" s="508"/>
      <c r="F494" s="508">
        <f>SUM(F482:F493)</f>
        <v>0</v>
      </c>
      <c r="G494" s="508">
        <f>SUM(G482:G493)</f>
        <v>0</v>
      </c>
      <c r="H494" s="580">
        <f>SUM(H482:H493)</f>
        <v>0</v>
      </c>
      <c r="I494" s="507"/>
      <c r="J494" s="507"/>
      <c r="K494" s="248"/>
    </row>
    <row r="495" spans="2:18" x14ac:dyDescent="0.2">
      <c r="B495" s="254"/>
      <c r="C495" s="539"/>
      <c r="D495" s="540"/>
      <c r="E495" s="540"/>
      <c r="F495" s="540"/>
      <c r="G495" s="540"/>
      <c r="H495" s="588"/>
      <c r="I495" s="539"/>
      <c r="J495" s="539"/>
      <c r="K495" s="256"/>
    </row>
    <row r="497" spans="2:18" ht="15" x14ac:dyDescent="0.25">
      <c r="B497" s="258" t="s">
        <v>27226</v>
      </c>
    </row>
    <row r="498" spans="2:18" x14ac:dyDescent="0.2">
      <c r="B498" s="246"/>
      <c r="C498" s="527"/>
      <c r="D498" s="528"/>
      <c r="E498" s="528"/>
      <c r="F498" s="528"/>
      <c r="G498" s="547"/>
      <c r="H498" s="589"/>
      <c r="I498" s="548"/>
      <c r="J498" s="548"/>
      <c r="K498" s="247" t="str">
        <f>Calc_Hyperlink_S3</f>
        <v>Scope 3</v>
      </c>
    </row>
    <row r="499" spans="2:18" ht="15" x14ac:dyDescent="0.25">
      <c r="B499" s="249"/>
      <c r="C499" s="531" t="str">
        <f>n3Calculation_26_S3.14_Franchises</f>
        <v>Franchises</v>
      </c>
      <c r="D499" s="510"/>
      <c r="E499" s="510"/>
      <c r="F499" s="510"/>
      <c r="G499" s="510"/>
      <c r="H499" s="571"/>
      <c r="I499" s="511"/>
      <c r="J499" s="511"/>
      <c r="K499" s="248"/>
      <c r="M499" s="299" t="s">
        <v>28317</v>
      </c>
    </row>
    <row r="500" spans="2:18" x14ac:dyDescent="0.2">
      <c r="B500" s="249"/>
      <c r="C500" s="740"/>
      <c r="D500" s="740"/>
      <c r="E500" s="740"/>
      <c r="F500" s="740"/>
      <c r="G500" s="510"/>
      <c r="H500" s="571"/>
      <c r="I500" s="511"/>
      <c r="J500" s="511"/>
      <c r="K500" s="248"/>
    </row>
    <row r="501" spans="2:18" s="686" customFormat="1" ht="33" x14ac:dyDescent="0.25">
      <c r="B501" s="681"/>
      <c r="C501" s="682" t="s">
        <v>28605</v>
      </c>
      <c r="D501" s="683" t="s">
        <v>28543</v>
      </c>
      <c r="E501" s="683" t="s">
        <v>27208</v>
      </c>
      <c r="F501" s="683" t="s">
        <v>27588</v>
      </c>
      <c r="G501" s="683" t="s">
        <v>27589</v>
      </c>
      <c r="H501" s="683" t="s">
        <v>27209</v>
      </c>
      <c r="I501" s="682" t="s">
        <v>27210</v>
      </c>
      <c r="J501" s="682" t="s">
        <v>27211</v>
      </c>
      <c r="K501" s="685"/>
      <c r="M501" s="687"/>
      <c r="N501" s="687"/>
      <c r="O501" s="687"/>
      <c r="P501" s="687"/>
      <c r="Q501" s="687"/>
      <c r="R501" s="687"/>
    </row>
    <row r="502" spans="2:18" x14ac:dyDescent="0.2">
      <c r="B502" s="249"/>
      <c r="C502" s="500" t="s">
        <v>27158</v>
      </c>
      <c r="D502" s="535">
        <f>'2 Data Inputs'!F911</f>
        <v>0</v>
      </c>
      <c r="E502" s="535">
        <f>_xlfn.XLOOKUP($I502,BG_Data[Product],BG_Data[GHG emissions (IPCC 2021) '[kg CO2 eq']],0)</f>
        <v>1</v>
      </c>
      <c r="F502" s="535">
        <f t="shared" ref="F502:F503" si="34">$D502*$E502</f>
        <v>0</v>
      </c>
      <c r="G502" s="535">
        <f>$D502*_xlfn.XLOOKUP($I502,BG_Data[Product],BG_Data[Biogenic CO2 emissions '[kg CO2']],0)</f>
        <v>0</v>
      </c>
      <c r="H502" s="583">
        <f>$D502*_xlfn.XLOOKUP($I502,BG_Data[Product],BG_Data[Total env. impact (Ecological Scarcity 2021) '[UBP']],0)</f>
        <v>0</v>
      </c>
      <c r="I502" s="500" t="s">
        <v>28983</v>
      </c>
      <c r="J502" s="500" t="s">
        <v>27213</v>
      </c>
      <c r="K502" s="248"/>
    </row>
    <row r="503" spans="2:18" x14ac:dyDescent="0.2">
      <c r="B503" s="249"/>
      <c r="C503" s="506" t="s">
        <v>27159</v>
      </c>
      <c r="D503" s="532">
        <f>'2 Data Inputs'!F912</f>
        <v>0</v>
      </c>
      <c r="E503" s="532">
        <f>_xlfn.XLOOKUP($I503,BG_Data[Product],BG_Data[GHG emissions (IPCC 2021) '[kg CO2 eq']],0)</f>
        <v>1</v>
      </c>
      <c r="F503" s="532">
        <f t="shared" si="34"/>
        <v>0</v>
      </c>
      <c r="G503" s="532">
        <f>$D503*_xlfn.XLOOKUP($I503,BG_Data[Product],BG_Data[Biogenic CO2 emissions '[kg CO2']],0)</f>
        <v>0</v>
      </c>
      <c r="H503" s="581">
        <f>$D503*_xlfn.XLOOKUP($I503,BG_Data[Product],BG_Data[Total env. impact (Ecological Scarcity 2021) '[UBP']],0)</f>
        <v>0</v>
      </c>
      <c r="I503" s="506" t="s">
        <v>28983</v>
      </c>
      <c r="J503" s="506" t="s">
        <v>27213</v>
      </c>
      <c r="K503" s="248"/>
    </row>
    <row r="504" spans="2:18" ht="15" x14ac:dyDescent="0.25">
      <c r="B504" s="249"/>
      <c r="C504" s="507" t="s">
        <v>2616</v>
      </c>
      <c r="D504" s="508">
        <f>SUM(D502:D503)</f>
        <v>0</v>
      </c>
      <c r="E504" s="508"/>
      <c r="F504" s="508">
        <f>SUM(F502:F503)</f>
        <v>0</v>
      </c>
      <c r="G504" s="508">
        <f>SUM(G502:G503)</f>
        <v>0</v>
      </c>
      <c r="H504" s="580">
        <f>SUM(H502:H503)</f>
        <v>0</v>
      </c>
      <c r="I504" s="507"/>
      <c r="J504" s="507"/>
      <c r="K504" s="248"/>
    </row>
    <row r="505" spans="2:18" x14ac:dyDescent="0.2">
      <c r="B505" s="254"/>
      <c r="C505" s="539"/>
      <c r="D505" s="540"/>
      <c r="E505" s="540"/>
      <c r="F505" s="540"/>
      <c r="G505" s="540"/>
      <c r="H505" s="588"/>
      <c r="I505" s="539"/>
      <c r="J505" s="539"/>
      <c r="K505" s="256"/>
    </row>
    <row r="507" spans="2:18" ht="15" x14ac:dyDescent="0.25">
      <c r="B507" s="258" t="s">
        <v>27227</v>
      </c>
    </row>
    <row r="508" spans="2:18" x14ac:dyDescent="0.2">
      <c r="B508" s="246"/>
      <c r="C508" s="527"/>
      <c r="D508" s="528"/>
      <c r="E508" s="528"/>
      <c r="F508" s="528"/>
      <c r="G508" s="547"/>
      <c r="H508" s="589"/>
      <c r="I508" s="548"/>
      <c r="J508" s="548"/>
      <c r="K508" s="247" t="str">
        <f>Calc_Hyperlink_S3</f>
        <v>Scope 3</v>
      </c>
    </row>
    <row r="509" spans="2:18" ht="15" x14ac:dyDescent="0.25">
      <c r="B509" s="249"/>
      <c r="C509" s="531" t="str">
        <f>n3Calculation_27_S3.15_Investments</f>
        <v>Investissements</v>
      </c>
      <c r="D509" s="510"/>
      <c r="E509" s="510"/>
      <c r="F509" s="510"/>
      <c r="G509" s="510"/>
      <c r="H509" s="571"/>
      <c r="I509" s="511"/>
      <c r="J509" s="511"/>
      <c r="K509" s="248"/>
      <c r="M509" s="299" t="s">
        <v>28318</v>
      </c>
    </row>
    <row r="510" spans="2:18" ht="15" x14ac:dyDescent="0.25">
      <c r="B510" s="249"/>
      <c r="C510" s="531"/>
      <c r="D510" s="510"/>
      <c r="E510" s="510"/>
      <c r="F510" s="510"/>
      <c r="G510" s="510"/>
      <c r="H510" s="571"/>
      <c r="I510" s="511"/>
      <c r="J510" s="511"/>
      <c r="K510" s="248"/>
    </row>
    <row r="511" spans="2:18" s="686" customFormat="1" ht="33" x14ac:dyDescent="0.25">
      <c r="B511" s="681"/>
      <c r="C511" s="682" t="s">
        <v>28605</v>
      </c>
      <c r="D511" s="683" t="s">
        <v>28543</v>
      </c>
      <c r="E511" s="683" t="s">
        <v>27208</v>
      </c>
      <c r="F511" s="683" t="s">
        <v>27588</v>
      </c>
      <c r="G511" s="683" t="s">
        <v>27589</v>
      </c>
      <c r="H511" s="683" t="s">
        <v>27209</v>
      </c>
      <c r="I511" s="682" t="s">
        <v>27210</v>
      </c>
      <c r="J511" s="682" t="s">
        <v>27211</v>
      </c>
      <c r="K511" s="685"/>
      <c r="M511" s="687"/>
      <c r="N511" s="687"/>
      <c r="O511" s="687"/>
      <c r="P511" s="687"/>
      <c r="Q511" s="687"/>
      <c r="R511" s="687"/>
    </row>
    <row r="512" spans="2:18" x14ac:dyDescent="0.2">
      <c r="B512" s="249"/>
      <c r="C512" s="524" t="s">
        <v>27271</v>
      </c>
      <c r="D512" s="525">
        <f>'2 Data Inputs'!F934</f>
        <v>0</v>
      </c>
      <c r="E512" s="525">
        <f>_xlfn.XLOOKUP($I512,BG_Data[Product],BG_Data[GHG emissions (IPCC 2021) '[kg CO2 eq']],0)</f>
        <v>1</v>
      </c>
      <c r="F512" s="525">
        <f t="shared" ref="F512" si="35">$D512*$E512</f>
        <v>0</v>
      </c>
      <c r="G512" s="525">
        <f>$D512*_xlfn.XLOOKUP($I512,BG_Data[Product],BG_Data[Biogenic CO2 emissions '[kg CO2']],0)</f>
        <v>0</v>
      </c>
      <c r="H512" s="574">
        <f>$D512*_xlfn.XLOOKUP($I512,BG_Data[Product],BG_Data[Total env. impact (Ecological Scarcity 2021) '[UBP']],0)</f>
        <v>0</v>
      </c>
      <c r="I512" s="524" t="s">
        <v>28983</v>
      </c>
      <c r="J512" s="524" t="s">
        <v>27213</v>
      </c>
      <c r="K512" s="248"/>
    </row>
    <row r="513" spans="1:18" x14ac:dyDescent="0.2">
      <c r="B513" s="249"/>
      <c r="C513" s="740"/>
      <c r="D513" s="740"/>
      <c r="E513" s="740"/>
      <c r="F513" s="740"/>
      <c r="G513" s="510"/>
      <c r="H513" s="571"/>
      <c r="I513" s="511"/>
      <c r="J513" s="511"/>
      <c r="K513" s="248"/>
    </row>
    <row r="514" spans="1:18" s="686" customFormat="1" ht="33" x14ac:dyDescent="0.25">
      <c r="B514" s="681"/>
      <c r="C514" s="682" t="s">
        <v>27161</v>
      </c>
      <c r="D514" s="683" t="s">
        <v>28538</v>
      </c>
      <c r="E514" s="683" t="s">
        <v>27208</v>
      </c>
      <c r="F514" s="683" t="s">
        <v>27588</v>
      </c>
      <c r="G514" s="683" t="s">
        <v>27589</v>
      </c>
      <c r="H514" s="683" t="s">
        <v>27209</v>
      </c>
      <c r="I514" s="682" t="s">
        <v>27210</v>
      </c>
      <c r="J514" s="682" t="s">
        <v>27211</v>
      </c>
      <c r="K514" s="685"/>
      <c r="M514" s="687"/>
      <c r="N514" s="687"/>
      <c r="O514" s="687"/>
      <c r="P514" s="687"/>
      <c r="Q514" s="687"/>
      <c r="R514" s="687"/>
    </row>
    <row r="515" spans="1:18" x14ac:dyDescent="0.2">
      <c r="B515" s="249"/>
      <c r="C515" s="500">
        <f>'2 Data Inputs'!C939</f>
        <v>0</v>
      </c>
      <c r="D515" s="535">
        <f>'2 Data Inputs'!F939*('2 Data Inputs'!E939)</f>
        <v>0</v>
      </c>
      <c r="E515" s="535">
        <f>_xlfn.XLOOKUP($I515,BG_Data[Product],BG_Data[GHG emissions (IPCC 2021) '[kg CO2 eq']],0)</f>
        <v>0</v>
      </c>
      <c r="F515" s="535">
        <f t="shared" ref="F515:F534" si="36">$D515*$E515</f>
        <v>0</v>
      </c>
      <c r="G515" s="535">
        <f>$D515*_xlfn.XLOOKUP($I515,BG_Data[Product],BG_Data[Biogenic CO2 emissions '[kg CO2']],0)</f>
        <v>0</v>
      </c>
      <c r="H515" s="583">
        <f>$D515*_xlfn.XLOOKUP($I515,BG_Data[Product],BG_Data[Total env. impact (Ecological Scarcity 2021) '[UBP']],0)</f>
        <v>0</v>
      </c>
      <c r="I515" s="535" cm="1">
        <f t="array" ref="I515">_xlfn.XLOOKUP(C515,
   _xlfn.TOCOL(_xlfn.HSTACK(Lists_S3.1_SpendB[DE Name],Lists_S3.1_SpendB[FR Name],Lists_S3.1_SpendB[IT Name]),1),
   _xlfn.TOCOL(_xlfn.HSTACK(Lists_S3.1_SpendB[BG Data],Lists_S3.1_SpendB[BG Data],Lists_S3.1_SpendB[BG Data]),1),
   0)</f>
        <v>0</v>
      </c>
      <c r="J515" s="535" t="s">
        <v>27212</v>
      </c>
      <c r="K515" s="248"/>
    </row>
    <row r="516" spans="1:18" ht="15" customHeight="1" x14ac:dyDescent="0.2">
      <c r="A516" s="741"/>
      <c r="B516" s="249"/>
      <c r="C516" s="503">
        <f>'2 Data Inputs'!C940</f>
        <v>0</v>
      </c>
      <c r="D516" s="535">
        <f>'2 Data Inputs'!F940*('2 Data Inputs'!E940)</f>
        <v>0</v>
      </c>
      <c r="E516" s="537">
        <f>_xlfn.XLOOKUP($I516,BG_Data[Product],BG_Data[GHG emissions (IPCC 2021) '[kg CO2 eq']],0)</f>
        <v>0</v>
      </c>
      <c r="F516" s="537">
        <f t="shared" si="36"/>
        <v>0</v>
      </c>
      <c r="G516" s="537">
        <f>$D516*_xlfn.XLOOKUP($I516,BG_Data[Product],BG_Data[Biogenic CO2 emissions '[kg CO2']],0)</f>
        <v>0</v>
      </c>
      <c r="H516" s="584">
        <f>$D516*_xlfn.XLOOKUP($I516,BG_Data[Product],BG_Data[Total env. impact (Ecological Scarcity 2021) '[UBP']],0)</f>
        <v>0</v>
      </c>
      <c r="I516" s="537" cm="1">
        <f t="array" ref="I516">_xlfn.XLOOKUP(C516,
   _xlfn.TOCOL(_xlfn.HSTACK(Lists_S3.1_SpendB[DE Name],Lists_S3.1_SpendB[FR Name],Lists_S3.1_SpendB[IT Name]),1),
   _xlfn.TOCOL(_xlfn.HSTACK(Lists_S3.1_SpendB[BG Data],Lists_S3.1_SpendB[BG Data],Lists_S3.1_SpendB[BG Data]),1),
   0)</f>
        <v>0</v>
      </c>
      <c r="J516" s="537" t="s">
        <v>27212</v>
      </c>
      <c r="K516" s="248"/>
    </row>
    <row r="517" spans="1:18" x14ac:dyDescent="0.2">
      <c r="A517" s="741"/>
      <c r="B517" s="249"/>
      <c r="C517" s="503">
        <f>'2 Data Inputs'!C941</f>
        <v>0</v>
      </c>
      <c r="D517" s="535">
        <f>'2 Data Inputs'!F941*('2 Data Inputs'!E941)</f>
        <v>0</v>
      </c>
      <c r="E517" s="537">
        <f>_xlfn.XLOOKUP($I517,BG_Data[Product],BG_Data[GHG emissions (IPCC 2021) '[kg CO2 eq']],0)</f>
        <v>0</v>
      </c>
      <c r="F517" s="537">
        <f t="shared" si="36"/>
        <v>0</v>
      </c>
      <c r="G517" s="537">
        <f>$D517*_xlfn.XLOOKUP($I517,BG_Data[Product],BG_Data[Biogenic CO2 emissions '[kg CO2']],0)</f>
        <v>0</v>
      </c>
      <c r="H517" s="584">
        <f>$D517*_xlfn.XLOOKUP($I517,BG_Data[Product],BG_Data[Total env. impact (Ecological Scarcity 2021) '[UBP']],0)</f>
        <v>0</v>
      </c>
      <c r="I517" s="537" cm="1">
        <f t="array" ref="I517">_xlfn.XLOOKUP(C517,
   _xlfn.TOCOL(_xlfn.HSTACK(Lists_S3.1_SpendB[DE Name],Lists_S3.1_SpendB[FR Name],Lists_S3.1_SpendB[IT Name]),1),
   _xlfn.TOCOL(_xlfn.HSTACK(Lists_S3.1_SpendB[BG Data],Lists_S3.1_SpendB[BG Data],Lists_S3.1_SpendB[BG Data]),1),
   0)</f>
        <v>0</v>
      </c>
      <c r="J517" s="537" t="s">
        <v>27212</v>
      </c>
      <c r="K517" s="248"/>
    </row>
    <row r="518" spans="1:18" x14ac:dyDescent="0.2">
      <c r="A518" s="741"/>
      <c r="B518" s="249"/>
      <c r="C518" s="503">
        <f>'2 Data Inputs'!C942</f>
        <v>0</v>
      </c>
      <c r="D518" s="535">
        <f>'2 Data Inputs'!F942*('2 Data Inputs'!E942)</f>
        <v>0</v>
      </c>
      <c r="E518" s="537">
        <f>_xlfn.XLOOKUP($I518,BG_Data[Product],BG_Data[GHG emissions (IPCC 2021) '[kg CO2 eq']],0)</f>
        <v>0</v>
      </c>
      <c r="F518" s="537">
        <f t="shared" si="36"/>
        <v>0</v>
      </c>
      <c r="G518" s="537">
        <f>$D518*_xlfn.XLOOKUP($I518,BG_Data[Product],BG_Data[Biogenic CO2 emissions '[kg CO2']],0)</f>
        <v>0</v>
      </c>
      <c r="H518" s="584">
        <f>$D518*_xlfn.XLOOKUP($I518,BG_Data[Product],BG_Data[Total env. impact (Ecological Scarcity 2021) '[UBP']],0)</f>
        <v>0</v>
      </c>
      <c r="I518" s="537" cm="1">
        <f t="array" ref="I518">_xlfn.XLOOKUP(C518,
   _xlfn.TOCOL(_xlfn.HSTACK(Lists_S3.1_SpendB[DE Name],Lists_S3.1_SpendB[FR Name],Lists_S3.1_SpendB[IT Name]),1),
   _xlfn.TOCOL(_xlfn.HSTACK(Lists_S3.1_SpendB[BG Data],Lists_S3.1_SpendB[BG Data],Lists_S3.1_SpendB[BG Data]),1),
   0)</f>
        <v>0</v>
      </c>
      <c r="J518" s="537" t="s">
        <v>27212</v>
      </c>
      <c r="K518" s="248"/>
    </row>
    <row r="519" spans="1:18" x14ac:dyDescent="0.2">
      <c r="B519" s="249"/>
      <c r="C519" s="503">
        <f>'2 Data Inputs'!C943</f>
        <v>0</v>
      </c>
      <c r="D519" s="535">
        <f>'2 Data Inputs'!F943*('2 Data Inputs'!E943)</f>
        <v>0</v>
      </c>
      <c r="E519" s="537">
        <f>_xlfn.XLOOKUP($I519,BG_Data[Product],BG_Data[GHG emissions (IPCC 2021) '[kg CO2 eq']],0)</f>
        <v>0</v>
      </c>
      <c r="F519" s="537">
        <f t="shared" si="36"/>
        <v>0</v>
      </c>
      <c r="G519" s="537">
        <f>$D519*_xlfn.XLOOKUP($I519,BG_Data[Product],BG_Data[Biogenic CO2 emissions '[kg CO2']],0)</f>
        <v>0</v>
      </c>
      <c r="H519" s="584">
        <f>$D519*_xlfn.XLOOKUP($I519,BG_Data[Product],BG_Data[Total env. impact (Ecological Scarcity 2021) '[UBP']],0)</f>
        <v>0</v>
      </c>
      <c r="I519" s="537" cm="1">
        <f t="array" ref="I519">_xlfn.XLOOKUP(C519,
   _xlfn.TOCOL(_xlfn.HSTACK(Lists_S3.1_SpendB[DE Name],Lists_S3.1_SpendB[FR Name],Lists_S3.1_SpendB[IT Name]),1),
   _xlfn.TOCOL(_xlfn.HSTACK(Lists_S3.1_SpendB[BG Data],Lists_S3.1_SpendB[BG Data],Lists_S3.1_SpendB[BG Data]),1),
   0)</f>
        <v>0</v>
      </c>
      <c r="J519" s="537" t="s">
        <v>27212</v>
      </c>
      <c r="K519" s="248"/>
    </row>
    <row r="520" spans="1:18" x14ac:dyDescent="0.2">
      <c r="B520" s="249"/>
      <c r="C520" s="503">
        <f>'2 Data Inputs'!C944</f>
        <v>0</v>
      </c>
      <c r="D520" s="535">
        <f>'2 Data Inputs'!F944*('2 Data Inputs'!E944)</f>
        <v>0</v>
      </c>
      <c r="E520" s="537">
        <f>_xlfn.XLOOKUP($I520,BG_Data[Product],BG_Data[GHG emissions (IPCC 2021) '[kg CO2 eq']],0)</f>
        <v>0</v>
      </c>
      <c r="F520" s="537">
        <f t="shared" si="36"/>
        <v>0</v>
      </c>
      <c r="G520" s="537">
        <f>$D520*_xlfn.XLOOKUP($I520,BG_Data[Product],BG_Data[Biogenic CO2 emissions '[kg CO2']],0)</f>
        <v>0</v>
      </c>
      <c r="H520" s="584">
        <f>$D520*_xlfn.XLOOKUP($I520,BG_Data[Product],BG_Data[Total env. impact (Ecological Scarcity 2021) '[UBP']],0)</f>
        <v>0</v>
      </c>
      <c r="I520" s="537" cm="1">
        <f t="array" ref="I520">_xlfn.XLOOKUP(C520,
   _xlfn.TOCOL(_xlfn.HSTACK(Lists_S3.1_SpendB[DE Name],Lists_S3.1_SpendB[FR Name],Lists_S3.1_SpendB[IT Name]),1),
   _xlfn.TOCOL(_xlfn.HSTACK(Lists_S3.1_SpendB[BG Data],Lists_S3.1_SpendB[BG Data],Lists_S3.1_SpendB[BG Data]),1),
   0)</f>
        <v>0</v>
      </c>
      <c r="J520" s="537" t="s">
        <v>27212</v>
      </c>
      <c r="K520" s="248"/>
    </row>
    <row r="521" spans="1:18" x14ac:dyDescent="0.2">
      <c r="B521" s="249"/>
      <c r="C521" s="503">
        <f>'2 Data Inputs'!C945</f>
        <v>0</v>
      </c>
      <c r="D521" s="535">
        <f>'2 Data Inputs'!F945*('2 Data Inputs'!E945)</f>
        <v>0</v>
      </c>
      <c r="E521" s="537">
        <f>_xlfn.XLOOKUP($I521,BG_Data[Product],BG_Data[GHG emissions (IPCC 2021) '[kg CO2 eq']],0)</f>
        <v>0</v>
      </c>
      <c r="F521" s="537">
        <f t="shared" si="36"/>
        <v>0</v>
      </c>
      <c r="G521" s="537">
        <f>$D521*_xlfn.XLOOKUP($I521,BG_Data[Product],BG_Data[Biogenic CO2 emissions '[kg CO2']],0)</f>
        <v>0</v>
      </c>
      <c r="H521" s="584">
        <f>$D521*_xlfn.XLOOKUP($I521,BG_Data[Product],BG_Data[Total env. impact (Ecological Scarcity 2021) '[UBP']],0)</f>
        <v>0</v>
      </c>
      <c r="I521" s="537" cm="1">
        <f t="array" ref="I521">_xlfn.XLOOKUP(C521,
   _xlfn.TOCOL(_xlfn.HSTACK(Lists_S3.1_SpendB[DE Name],Lists_S3.1_SpendB[FR Name],Lists_S3.1_SpendB[IT Name]),1),
   _xlfn.TOCOL(_xlfn.HSTACK(Lists_S3.1_SpendB[BG Data],Lists_S3.1_SpendB[BG Data],Lists_S3.1_SpendB[BG Data]),1),
   0)</f>
        <v>0</v>
      </c>
      <c r="J521" s="537" t="s">
        <v>27212</v>
      </c>
      <c r="K521" s="248"/>
    </row>
    <row r="522" spans="1:18" x14ac:dyDescent="0.2">
      <c r="B522" s="249"/>
      <c r="C522" s="503">
        <f>'2 Data Inputs'!C946</f>
        <v>0</v>
      </c>
      <c r="D522" s="535">
        <f>'2 Data Inputs'!F946*('2 Data Inputs'!E946)</f>
        <v>0</v>
      </c>
      <c r="E522" s="537">
        <f>_xlfn.XLOOKUP($I522,BG_Data[Product],BG_Data[GHG emissions (IPCC 2021) '[kg CO2 eq']],0)</f>
        <v>0</v>
      </c>
      <c r="F522" s="537">
        <f t="shared" si="36"/>
        <v>0</v>
      </c>
      <c r="G522" s="537">
        <f>$D522*_xlfn.XLOOKUP($I522,BG_Data[Product],BG_Data[Biogenic CO2 emissions '[kg CO2']],0)</f>
        <v>0</v>
      </c>
      <c r="H522" s="584">
        <f>$D522*_xlfn.XLOOKUP($I522,BG_Data[Product],BG_Data[Total env. impact (Ecological Scarcity 2021) '[UBP']],0)</f>
        <v>0</v>
      </c>
      <c r="I522" s="537" cm="1">
        <f t="array" ref="I522">_xlfn.XLOOKUP(C522,
   _xlfn.TOCOL(_xlfn.HSTACK(Lists_S3.1_SpendB[DE Name],Lists_S3.1_SpendB[FR Name],Lists_S3.1_SpendB[IT Name]),1),
   _xlfn.TOCOL(_xlfn.HSTACK(Lists_S3.1_SpendB[BG Data],Lists_S3.1_SpendB[BG Data],Lists_S3.1_SpendB[BG Data]),1),
   0)</f>
        <v>0</v>
      </c>
      <c r="J522" s="537" t="s">
        <v>27212</v>
      </c>
      <c r="K522" s="248"/>
    </row>
    <row r="523" spans="1:18" x14ac:dyDescent="0.2">
      <c r="B523" s="249"/>
      <c r="C523" s="503">
        <f>'2 Data Inputs'!C947</f>
        <v>0</v>
      </c>
      <c r="D523" s="535">
        <f>'2 Data Inputs'!F947*('2 Data Inputs'!E947)</f>
        <v>0</v>
      </c>
      <c r="E523" s="537">
        <f>_xlfn.XLOOKUP($I523,BG_Data[Product],BG_Data[GHG emissions (IPCC 2021) '[kg CO2 eq']],0)</f>
        <v>0</v>
      </c>
      <c r="F523" s="537">
        <f t="shared" si="36"/>
        <v>0</v>
      </c>
      <c r="G523" s="537">
        <f>$D523*_xlfn.XLOOKUP($I523,BG_Data[Product],BG_Data[Biogenic CO2 emissions '[kg CO2']],0)</f>
        <v>0</v>
      </c>
      <c r="H523" s="584">
        <f>$D523*_xlfn.XLOOKUP($I523,BG_Data[Product],BG_Data[Total env. impact (Ecological Scarcity 2021) '[UBP']],0)</f>
        <v>0</v>
      </c>
      <c r="I523" s="537" cm="1">
        <f t="array" ref="I523">_xlfn.XLOOKUP(C523,
   _xlfn.TOCOL(_xlfn.HSTACK(Lists_S3.1_SpendB[DE Name],Lists_S3.1_SpendB[FR Name],Lists_S3.1_SpendB[IT Name]),1),
   _xlfn.TOCOL(_xlfn.HSTACK(Lists_S3.1_SpendB[BG Data],Lists_S3.1_SpendB[BG Data],Lists_S3.1_SpendB[BG Data]),1),
   0)</f>
        <v>0</v>
      </c>
      <c r="J523" s="537" t="s">
        <v>27212</v>
      </c>
      <c r="K523" s="248"/>
    </row>
    <row r="524" spans="1:18" x14ac:dyDescent="0.2">
      <c r="B524" s="249"/>
      <c r="C524" s="503">
        <f>'2 Data Inputs'!C948</f>
        <v>0</v>
      </c>
      <c r="D524" s="535">
        <f>'2 Data Inputs'!F948*('2 Data Inputs'!E948)</f>
        <v>0</v>
      </c>
      <c r="E524" s="537">
        <f>_xlfn.XLOOKUP($I524,BG_Data[Product],BG_Data[GHG emissions (IPCC 2021) '[kg CO2 eq']],0)</f>
        <v>0</v>
      </c>
      <c r="F524" s="537">
        <f t="shared" si="36"/>
        <v>0</v>
      </c>
      <c r="G524" s="537">
        <f>$D524*_xlfn.XLOOKUP($I524,BG_Data[Product],BG_Data[Biogenic CO2 emissions '[kg CO2']],0)</f>
        <v>0</v>
      </c>
      <c r="H524" s="584">
        <f>$D524*_xlfn.XLOOKUP($I524,BG_Data[Product],BG_Data[Total env. impact (Ecological Scarcity 2021) '[UBP']],0)</f>
        <v>0</v>
      </c>
      <c r="I524" s="537" cm="1">
        <f t="array" ref="I524">_xlfn.XLOOKUP(C524,
   _xlfn.TOCOL(_xlfn.HSTACK(Lists_S3.1_SpendB[DE Name],Lists_S3.1_SpendB[FR Name],Lists_S3.1_SpendB[IT Name]),1),
   _xlfn.TOCOL(_xlfn.HSTACK(Lists_S3.1_SpendB[BG Data],Lists_S3.1_SpendB[BG Data],Lists_S3.1_SpendB[BG Data]),1),
   0)</f>
        <v>0</v>
      </c>
      <c r="J524" s="537" t="s">
        <v>27212</v>
      </c>
      <c r="K524" s="248"/>
    </row>
    <row r="525" spans="1:18" x14ac:dyDescent="0.2">
      <c r="B525" s="249"/>
      <c r="C525" s="503">
        <f>'2 Data Inputs'!C949</f>
        <v>0</v>
      </c>
      <c r="D525" s="535">
        <f>'2 Data Inputs'!F949*('2 Data Inputs'!E949)</f>
        <v>0</v>
      </c>
      <c r="E525" s="537">
        <f>_xlfn.XLOOKUP($I525,BG_Data[Product],BG_Data[GHG emissions (IPCC 2021) '[kg CO2 eq']],0)</f>
        <v>0</v>
      </c>
      <c r="F525" s="537">
        <f t="shared" si="36"/>
        <v>0</v>
      </c>
      <c r="G525" s="537">
        <f>$D525*_xlfn.XLOOKUP($I525,BG_Data[Product],BG_Data[Biogenic CO2 emissions '[kg CO2']],0)</f>
        <v>0</v>
      </c>
      <c r="H525" s="584">
        <f>$D525*_xlfn.XLOOKUP($I525,BG_Data[Product],BG_Data[Total env. impact (Ecological Scarcity 2021) '[UBP']],0)</f>
        <v>0</v>
      </c>
      <c r="I525" s="537" cm="1">
        <f t="array" ref="I525">_xlfn.XLOOKUP(C525,
   _xlfn.TOCOL(_xlfn.HSTACK(Lists_S3.1_SpendB[DE Name],Lists_S3.1_SpendB[FR Name],Lists_S3.1_SpendB[IT Name]),1),
   _xlfn.TOCOL(_xlfn.HSTACK(Lists_S3.1_SpendB[BG Data],Lists_S3.1_SpendB[BG Data],Lists_S3.1_SpendB[BG Data]),1),
   0)</f>
        <v>0</v>
      </c>
      <c r="J525" s="537" t="s">
        <v>27212</v>
      </c>
      <c r="K525" s="248"/>
    </row>
    <row r="526" spans="1:18" x14ac:dyDescent="0.2">
      <c r="B526" s="249"/>
      <c r="C526" s="503">
        <f>'2 Data Inputs'!C950</f>
        <v>0</v>
      </c>
      <c r="D526" s="535">
        <f>'2 Data Inputs'!F950*('2 Data Inputs'!E950)</f>
        <v>0</v>
      </c>
      <c r="E526" s="537">
        <f>_xlfn.XLOOKUP($I526,BG_Data[Product],BG_Data[GHG emissions (IPCC 2021) '[kg CO2 eq']],0)</f>
        <v>0</v>
      </c>
      <c r="F526" s="537">
        <f t="shared" si="36"/>
        <v>0</v>
      </c>
      <c r="G526" s="537">
        <f>$D526*_xlfn.XLOOKUP($I526,BG_Data[Product],BG_Data[Biogenic CO2 emissions '[kg CO2']],0)</f>
        <v>0</v>
      </c>
      <c r="H526" s="584">
        <f>$D526*_xlfn.XLOOKUP($I526,BG_Data[Product],BG_Data[Total env. impact (Ecological Scarcity 2021) '[UBP']],0)</f>
        <v>0</v>
      </c>
      <c r="I526" s="537" cm="1">
        <f t="array" ref="I526">_xlfn.XLOOKUP(C526,
   _xlfn.TOCOL(_xlfn.HSTACK(Lists_S3.1_SpendB[DE Name],Lists_S3.1_SpendB[FR Name],Lists_S3.1_SpendB[IT Name]),1),
   _xlfn.TOCOL(_xlfn.HSTACK(Lists_S3.1_SpendB[BG Data],Lists_S3.1_SpendB[BG Data],Lists_S3.1_SpendB[BG Data]),1),
   0)</f>
        <v>0</v>
      </c>
      <c r="J526" s="537" t="s">
        <v>27212</v>
      </c>
      <c r="K526" s="248"/>
    </row>
    <row r="527" spans="1:18" x14ac:dyDescent="0.2">
      <c r="B527" s="249"/>
      <c r="C527" s="503">
        <f>'2 Data Inputs'!C951</f>
        <v>0</v>
      </c>
      <c r="D527" s="535">
        <f>'2 Data Inputs'!F951*('2 Data Inputs'!E951)</f>
        <v>0</v>
      </c>
      <c r="E527" s="537">
        <f>_xlfn.XLOOKUP($I527,BG_Data[Product],BG_Data[GHG emissions (IPCC 2021) '[kg CO2 eq']],0)</f>
        <v>0</v>
      </c>
      <c r="F527" s="537">
        <f t="shared" si="36"/>
        <v>0</v>
      </c>
      <c r="G527" s="537">
        <f>$D527*_xlfn.XLOOKUP($I527,BG_Data[Product],BG_Data[Biogenic CO2 emissions '[kg CO2']],0)</f>
        <v>0</v>
      </c>
      <c r="H527" s="584">
        <f>$D527*_xlfn.XLOOKUP($I527,BG_Data[Product],BG_Data[Total env. impact (Ecological Scarcity 2021) '[UBP']],0)</f>
        <v>0</v>
      </c>
      <c r="I527" s="537" cm="1">
        <f t="array" ref="I527">_xlfn.XLOOKUP(C527,
   _xlfn.TOCOL(_xlfn.HSTACK(Lists_S3.1_SpendB[DE Name],Lists_S3.1_SpendB[FR Name],Lists_S3.1_SpendB[IT Name]),1),
   _xlfn.TOCOL(_xlfn.HSTACK(Lists_S3.1_SpendB[BG Data],Lists_S3.1_SpendB[BG Data],Lists_S3.1_SpendB[BG Data]),1),
   0)</f>
        <v>0</v>
      </c>
      <c r="J527" s="537" t="s">
        <v>27212</v>
      </c>
      <c r="K527" s="248"/>
    </row>
    <row r="528" spans="1:18" x14ac:dyDescent="0.2">
      <c r="B528" s="249"/>
      <c r="C528" s="503">
        <f>'2 Data Inputs'!C952</f>
        <v>0</v>
      </c>
      <c r="D528" s="535">
        <f>'2 Data Inputs'!F952*('2 Data Inputs'!E952)</f>
        <v>0</v>
      </c>
      <c r="E528" s="537">
        <f>_xlfn.XLOOKUP($I528,BG_Data[Product],BG_Data[GHG emissions (IPCC 2021) '[kg CO2 eq']],0)</f>
        <v>0</v>
      </c>
      <c r="F528" s="537">
        <f t="shared" si="36"/>
        <v>0</v>
      </c>
      <c r="G528" s="537">
        <f>$D528*_xlfn.XLOOKUP($I528,BG_Data[Product],BG_Data[Biogenic CO2 emissions '[kg CO2']],0)</f>
        <v>0</v>
      </c>
      <c r="H528" s="584">
        <f>$D528*_xlfn.XLOOKUP($I528,BG_Data[Product],BG_Data[Total env. impact (Ecological Scarcity 2021) '[UBP']],0)</f>
        <v>0</v>
      </c>
      <c r="I528" s="537" cm="1">
        <f t="array" ref="I528">_xlfn.XLOOKUP(C528,
   _xlfn.TOCOL(_xlfn.HSTACK(Lists_S3.1_SpendB[DE Name],Lists_S3.1_SpendB[FR Name],Lists_S3.1_SpendB[IT Name]),1),
   _xlfn.TOCOL(_xlfn.HSTACK(Lists_S3.1_SpendB[BG Data],Lists_S3.1_SpendB[BG Data],Lists_S3.1_SpendB[BG Data]),1),
   0)</f>
        <v>0</v>
      </c>
      <c r="J528" s="537" t="s">
        <v>27212</v>
      </c>
      <c r="K528" s="248"/>
    </row>
    <row r="529" spans="2:18" x14ac:dyDescent="0.2">
      <c r="B529" s="249"/>
      <c r="C529" s="503">
        <f>'2 Data Inputs'!C953</f>
        <v>0</v>
      </c>
      <c r="D529" s="535">
        <f>'2 Data Inputs'!F953*('2 Data Inputs'!E953)</f>
        <v>0</v>
      </c>
      <c r="E529" s="537">
        <f>_xlfn.XLOOKUP($I529,BG_Data[Product],BG_Data[GHG emissions (IPCC 2021) '[kg CO2 eq']],0)</f>
        <v>0</v>
      </c>
      <c r="F529" s="537">
        <f t="shared" si="36"/>
        <v>0</v>
      </c>
      <c r="G529" s="537">
        <f>$D529*_xlfn.XLOOKUP($I529,BG_Data[Product],BG_Data[Biogenic CO2 emissions '[kg CO2']],0)</f>
        <v>0</v>
      </c>
      <c r="H529" s="584">
        <f>$D529*_xlfn.XLOOKUP($I529,BG_Data[Product],BG_Data[Total env. impact (Ecological Scarcity 2021) '[UBP']],0)</f>
        <v>0</v>
      </c>
      <c r="I529" s="537" cm="1">
        <f t="array" ref="I529">_xlfn.XLOOKUP(C529,
   _xlfn.TOCOL(_xlfn.HSTACK(Lists_S3.1_SpendB[DE Name],Lists_S3.1_SpendB[FR Name],Lists_S3.1_SpendB[IT Name]),1),
   _xlfn.TOCOL(_xlfn.HSTACK(Lists_S3.1_SpendB[BG Data],Lists_S3.1_SpendB[BG Data],Lists_S3.1_SpendB[BG Data]),1),
   0)</f>
        <v>0</v>
      </c>
      <c r="J529" s="537" t="s">
        <v>27212</v>
      </c>
      <c r="K529" s="248"/>
    </row>
    <row r="530" spans="2:18" x14ac:dyDescent="0.2">
      <c r="B530" s="249"/>
      <c r="C530" s="503">
        <f>'2 Data Inputs'!C954</f>
        <v>0</v>
      </c>
      <c r="D530" s="535">
        <f>'2 Data Inputs'!F954*('2 Data Inputs'!E954)</f>
        <v>0</v>
      </c>
      <c r="E530" s="537">
        <f>_xlfn.XLOOKUP($I530,BG_Data[Product],BG_Data[GHG emissions (IPCC 2021) '[kg CO2 eq']],0)</f>
        <v>0</v>
      </c>
      <c r="F530" s="537">
        <f t="shared" si="36"/>
        <v>0</v>
      </c>
      <c r="G530" s="537">
        <f>$D530*_xlfn.XLOOKUP($I530,BG_Data[Product],BG_Data[Biogenic CO2 emissions '[kg CO2']],0)</f>
        <v>0</v>
      </c>
      <c r="H530" s="584">
        <f>$D530*_xlfn.XLOOKUP($I530,BG_Data[Product],BG_Data[Total env. impact (Ecological Scarcity 2021) '[UBP']],0)</f>
        <v>0</v>
      </c>
      <c r="I530" s="537" cm="1">
        <f t="array" ref="I530">_xlfn.XLOOKUP(C530,
   _xlfn.TOCOL(_xlfn.HSTACK(Lists_S3.1_SpendB[DE Name],Lists_S3.1_SpendB[FR Name],Lists_S3.1_SpendB[IT Name]),1),
   _xlfn.TOCOL(_xlfn.HSTACK(Lists_S3.1_SpendB[BG Data],Lists_S3.1_SpendB[BG Data],Lists_S3.1_SpendB[BG Data]),1),
   0)</f>
        <v>0</v>
      </c>
      <c r="J530" s="537" t="s">
        <v>27212</v>
      </c>
      <c r="K530" s="248"/>
    </row>
    <row r="531" spans="2:18" x14ac:dyDescent="0.2">
      <c r="B531" s="249"/>
      <c r="C531" s="503">
        <f>'2 Data Inputs'!C955</f>
        <v>0</v>
      </c>
      <c r="D531" s="535">
        <f>'2 Data Inputs'!F955*('2 Data Inputs'!E955)</f>
        <v>0</v>
      </c>
      <c r="E531" s="537">
        <f>_xlfn.XLOOKUP($I531,BG_Data[Product],BG_Data[GHG emissions (IPCC 2021) '[kg CO2 eq']],0)</f>
        <v>0</v>
      </c>
      <c r="F531" s="537">
        <f t="shared" si="36"/>
        <v>0</v>
      </c>
      <c r="G531" s="537">
        <f>$D531*_xlfn.XLOOKUP($I531,BG_Data[Product],BG_Data[Biogenic CO2 emissions '[kg CO2']],0)</f>
        <v>0</v>
      </c>
      <c r="H531" s="584">
        <f>$D531*_xlfn.XLOOKUP($I531,BG_Data[Product],BG_Data[Total env. impact (Ecological Scarcity 2021) '[UBP']],0)</f>
        <v>0</v>
      </c>
      <c r="I531" s="537" cm="1">
        <f t="array" ref="I531">_xlfn.XLOOKUP(C531,
   _xlfn.TOCOL(_xlfn.HSTACK(Lists_S3.1_SpendB[DE Name],Lists_S3.1_SpendB[FR Name],Lists_S3.1_SpendB[IT Name]),1),
   _xlfn.TOCOL(_xlfn.HSTACK(Lists_S3.1_SpendB[BG Data],Lists_S3.1_SpendB[BG Data],Lists_S3.1_SpendB[BG Data]),1),
   0)</f>
        <v>0</v>
      </c>
      <c r="J531" s="537" t="s">
        <v>27212</v>
      </c>
      <c r="K531" s="248"/>
    </row>
    <row r="532" spans="2:18" x14ac:dyDescent="0.2">
      <c r="B532" s="249"/>
      <c r="C532" s="503">
        <f>'2 Data Inputs'!C956</f>
        <v>0</v>
      </c>
      <c r="D532" s="535">
        <f>'2 Data Inputs'!F956*('2 Data Inputs'!E956)</f>
        <v>0</v>
      </c>
      <c r="E532" s="537">
        <f>_xlfn.XLOOKUP($I532,BG_Data[Product],BG_Data[GHG emissions (IPCC 2021) '[kg CO2 eq']],0)</f>
        <v>0</v>
      </c>
      <c r="F532" s="537">
        <f t="shared" si="36"/>
        <v>0</v>
      </c>
      <c r="G532" s="537">
        <f>$D532*_xlfn.XLOOKUP($I532,BG_Data[Product],BG_Data[Biogenic CO2 emissions '[kg CO2']],0)</f>
        <v>0</v>
      </c>
      <c r="H532" s="584">
        <f>$D532*_xlfn.XLOOKUP($I532,BG_Data[Product],BG_Data[Total env. impact (Ecological Scarcity 2021) '[UBP']],0)</f>
        <v>0</v>
      </c>
      <c r="I532" s="537" cm="1">
        <f t="array" ref="I532">_xlfn.XLOOKUP(C532,
   _xlfn.TOCOL(_xlfn.HSTACK(Lists_S3.1_SpendB[DE Name],Lists_S3.1_SpendB[FR Name],Lists_S3.1_SpendB[IT Name]),1),
   _xlfn.TOCOL(_xlfn.HSTACK(Lists_S3.1_SpendB[BG Data],Lists_S3.1_SpendB[BG Data],Lists_S3.1_SpendB[BG Data]),1),
   0)</f>
        <v>0</v>
      </c>
      <c r="J532" s="537" t="s">
        <v>27212</v>
      </c>
      <c r="K532" s="248"/>
    </row>
    <row r="533" spans="2:18" x14ac:dyDescent="0.2">
      <c r="B533" s="249"/>
      <c r="C533" s="503">
        <f>'2 Data Inputs'!C957</f>
        <v>0</v>
      </c>
      <c r="D533" s="535">
        <f>'2 Data Inputs'!F957*('2 Data Inputs'!E957)</f>
        <v>0</v>
      </c>
      <c r="E533" s="537">
        <f>_xlfn.XLOOKUP($I533,BG_Data[Product],BG_Data[GHG emissions (IPCC 2021) '[kg CO2 eq']],0)</f>
        <v>0</v>
      </c>
      <c r="F533" s="537">
        <f t="shared" si="36"/>
        <v>0</v>
      </c>
      <c r="G533" s="537">
        <f>$D533*_xlfn.XLOOKUP($I533,BG_Data[Product],BG_Data[Biogenic CO2 emissions '[kg CO2']],0)</f>
        <v>0</v>
      </c>
      <c r="H533" s="584">
        <f>$D533*_xlfn.XLOOKUP($I533,BG_Data[Product],BG_Data[Total env. impact (Ecological Scarcity 2021) '[UBP']],0)</f>
        <v>0</v>
      </c>
      <c r="I533" s="537" cm="1">
        <f t="array" ref="I533">_xlfn.XLOOKUP(C533,
   _xlfn.TOCOL(_xlfn.HSTACK(Lists_S3.1_SpendB[DE Name],Lists_S3.1_SpendB[FR Name],Lists_S3.1_SpendB[IT Name]),1),
   _xlfn.TOCOL(_xlfn.HSTACK(Lists_S3.1_SpendB[BG Data],Lists_S3.1_SpendB[BG Data],Lists_S3.1_SpendB[BG Data]),1),
   0)</f>
        <v>0</v>
      </c>
      <c r="J533" s="537" t="s">
        <v>27212</v>
      </c>
      <c r="K533" s="248"/>
    </row>
    <row r="534" spans="2:18" x14ac:dyDescent="0.2">
      <c r="B534" s="249"/>
      <c r="C534" s="506">
        <f>'2 Data Inputs'!C958</f>
        <v>0</v>
      </c>
      <c r="D534" s="544">
        <f>'2 Data Inputs'!F958*('2 Data Inputs'!E958)</f>
        <v>0</v>
      </c>
      <c r="E534" s="532">
        <f>_xlfn.XLOOKUP($I534,BG_Data[Product],BG_Data[GHG emissions (IPCC 2021) '[kg CO2 eq']],0)</f>
        <v>0</v>
      </c>
      <c r="F534" s="532">
        <f t="shared" si="36"/>
        <v>0</v>
      </c>
      <c r="G534" s="532">
        <f>$D534*_xlfn.XLOOKUP($I534,BG_Data[Product],BG_Data[Biogenic CO2 emissions '[kg CO2']],0)</f>
        <v>0</v>
      </c>
      <c r="H534" s="581">
        <f>$D534*_xlfn.XLOOKUP($I534,BG_Data[Product],BG_Data[Total env. impact (Ecological Scarcity 2021) '[UBP']],0)</f>
        <v>0</v>
      </c>
      <c r="I534" s="532" cm="1">
        <f t="array" ref="I534">_xlfn.XLOOKUP(C534,
   _xlfn.TOCOL(_xlfn.HSTACK(Lists_S3.1_SpendB[DE Name],Lists_S3.1_SpendB[FR Name],Lists_S3.1_SpendB[IT Name]),1),
   _xlfn.TOCOL(_xlfn.HSTACK(Lists_S3.1_SpendB[BG Data],Lists_S3.1_SpendB[BG Data],Lists_S3.1_SpendB[BG Data]),1),
   0)</f>
        <v>0</v>
      </c>
      <c r="J534" s="532" t="s">
        <v>27212</v>
      </c>
      <c r="K534" s="248"/>
    </row>
    <row r="535" spans="2:18" ht="15" x14ac:dyDescent="0.25">
      <c r="B535" s="249"/>
      <c r="C535" s="507" t="s">
        <v>2616</v>
      </c>
      <c r="D535" s="558">
        <f>SUM(D515:D534)</f>
        <v>0</v>
      </c>
      <c r="E535" s="508"/>
      <c r="F535" s="508">
        <f>SUM(F515:F534)</f>
        <v>0</v>
      </c>
      <c r="G535" s="508">
        <f>SUM(G515:G534)</f>
        <v>0</v>
      </c>
      <c r="H535" s="580">
        <f>SUM(H515:H534)</f>
        <v>0</v>
      </c>
      <c r="I535" s="507"/>
      <c r="J535" s="507"/>
      <c r="K535" s="248"/>
    </row>
    <row r="536" spans="2:18" x14ac:dyDescent="0.2">
      <c r="B536" s="254"/>
      <c r="C536" s="539"/>
      <c r="D536" s="540"/>
      <c r="E536" s="540"/>
      <c r="F536" s="540"/>
      <c r="G536" s="540"/>
      <c r="H536" s="588"/>
      <c r="I536" s="539"/>
      <c r="J536" s="539"/>
      <c r="K536" s="256"/>
    </row>
    <row r="540" spans="2:18" ht="30" customHeight="1" x14ac:dyDescent="0.2">
      <c r="B540" s="199" t="s">
        <v>28845</v>
      </c>
    </row>
    <row r="541" spans="2:18" x14ac:dyDescent="0.2">
      <c r="B541" s="246"/>
      <c r="C541" s="527"/>
      <c r="D541" s="528"/>
      <c r="E541" s="528"/>
      <c r="F541" s="528"/>
      <c r="G541" s="547"/>
      <c r="H541" s="589"/>
      <c r="I541" s="548"/>
      <c r="J541" s="548"/>
      <c r="K541" s="247" t="str">
        <f>Calc_Hyperlink_Lessee</f>
        <v>Upstream leases</v>
      </c>
    </row>
    <row r="542" spans="2:18" ht="15" x14ac:dyDescent="0.25">
      <c r="B542" s="249"/>
      <c r="C542" s="531" t="str">
        <f>n3Calculation_28Upstream_StationaryDirect</f>
        <v>Combustion stationnaire - Direct</v>
      </c>
      <c r="D542" s="511" t="str">
        <f>"Control approach = " &amp; GenInp_ConsolAppr &amp; " ; Lease type = " &amp; GenInp_LeaseType &amp; " → Direct emissions reported in " &amp; IF(GenInp_LeaseType="Operating Lease","Scope 3.8 ","Scope 1")</f>
        <v>Control approach = missing input ; Lease type = missing input → Direct emissions reported in Scope 1</v>
      </c>
      <c r="E542" s="510"/>
      <c r="F542" s="510"/>
      <c r="G542" s="510"/>
      <c r="H542" s="571"/>
      <c r="I542" s="511"/>
      <c r="J542" s="511"/>
      <c r="K542" s="248"/>
      <c r="M542" s="299" t="s">
        <v>27865</v>
      </c>
    </row>
    <row r="543" spans="2:18" x14ac:dyDescent="0.2">
      <c r="B543" s="249"/>
      <c r="C543" s="740"/>
      <c r="D543" s="740"/>
      <c r="E543" s="740"/>
      <c r="F543" s="740"/>
      <c r="G543" s="510"/>
      <c r="H543" s="571"/>
      <c r="I543" s="511"/>
      <c r="J543" s="511"/>
      <c r="K543" s="248"/>
    </row>
    <row r="544" spans="2:18" s="686" customFormat="1" ht="33" x14ac:dyDescent="0.25">
      <c r="B544" s="681"/>
      <c r="C544" s="682" t="s">
        <v>27179</v>
      </c>
      <c r="D544" s="683" t="s">
        <v>28534</v>
      </c>
      <c r="E544" s="683" t="s">
        <v>27208</v>
      </c>
      <c r="F544" s="683" t="s">
        <v>27588</v>
      </c>
      <c r="G544" s="683" t="s">
        <v>27589</v>
      </c>
      <c r="H544" s="683" t="s">
        <v>27209</v>
      </c>
      <c r="I544" s="682" t="s">
        <v>27210</v>
      </c>
      <c r="J544" s="682" t="s">
        <v>27211</v>
      </c>
      <c r="K544" s="685"/>
      <c r="M544" s="687"/>
      <c r="N544" s="687"/>
      <c r="O544" s="687"/>
      <c r="P544" s="687"/>
      <c r="Q544" s="687"/>
      <c r="R544" s="687"/>
    </row>
    <row r="545" spans="2:13" x14ac:dyDescent="0.2">
      <c r="B545" s="249"/>
      <c r="C545" s="500">
        <f>'2 Data Inputs'!C118</f>
        <v>0</v>
      </c>
      <c r="D545" s="535">
        <f>'2 Data Inputs'!F118</f>
        <v>0</v>
      </c>
      <c r="E545" s="535">
        <f>_xlfn.XLOOKUP($I545,BG_Data[Product],BG_Data[GHG emissions (IPCC 2021) '[kg CO2 eq']],0)</f>
        <v>0</v>
      </c>
      <c r="F545" s="535">
        <f t="shared" ref="F545:F554" si="37">$D545*$E545</f>
        <v>0</v>
      </c>
      <c r="G545" s="535">
        <f>$D545*_xlfn.XLOOKUP($I545,BG_Data[Product],BG_Data[Biogenic CO2 emissions '[kg CO2']],0)</f>
        <v>0</v>
      </c>
      <c r="H545" s="583">
        <f>$D545*_xlfn.XLOOKUP($I545,BG_Data[Product],BG_Data[Total env. impact (Ecological Scarcity 2021) '[UBP']],0)</f>
        <v>0</v>
      </c>
      <c r="I545" s="500" cm="1">
        <f t="array" ref="I545">_xlfn.XLOOKUP(
     C545,
     _xlfn.TOCOL(_xlfn.HSTACK(Lists_S1_StationaryComb[DE Name],Lists_S1_StationaryComb[FR Name],Lists_S1_StationaryComb[IT Name]),1),
     _xlfn.TOCOL(_xlfn.HSTACK(Lists_S1_StationaryComb[BG Data],Lists_S1_StationaryComb[BG Data],Lists_S1_StationaryComb[BG Data]),1) &amp;" Direct",
     0
)</f>
        <v>0</v>
      </c>
      <c r="J545" s="500" t="s">
        <v>27212</v>
      </c>
      <c r="K545" s="248"/>
    </row>
    <row r="546" spans="2:13" x14ac:dyDescent="0.2">
      <c r="B546" s="249"/>
      <c r="C546" s="503">
        <f>'2 Data Inputs'!C119</f>
        <v>0</v>
      </c>
      <c r="D546" s="537">
        <f>'2 Data Inputs'!F119</f>
        <v>0</v>
      </c>
      <c r="E546" s="537">
        <f>_xlfn.XLOOKUP($I546,BG_Data[Product],BG_Data[GHG emissions (IPCC 2021) '[kg CO2 eq']],0)</f>
        <v>0</v>
      </c>
      <c r="F546" s="537">
        <f t="shared" si="37"/>
        <v>0</v>
      </c>
      <c r="G546" s="537">
        <f>$D546*_xlfn.XLOOKUP($I546,BG_Data[Product],BG_Data[Biogenic CO2 emissions '[kg CO2']],0)</f>
        <v>0</v>
      </c>
      <c r="H546" s="584">
        <f>$D546*_xlfn.XLOOKUP($I546,BG_Data[Product],BG_Data[Total env. impact (Ecological Scarcity 2021) '[UBP']],0)</f>
        <v>0</v>
      </c>
      <c r="I546" s="503" cm="1">
        <f t="array" ref="I546">_xlfn.XLOOKUP(
     C546,
     _xlfn.TOCOL(_xlfn.HSTACK(Lists_S1_StationaryComb[DE Name],Lists_S1_StationaryComb[FR Name],Lists_S1_StationaryComb[IT Name]),1),
     _xlfn.TOCOL(_xlfn.HSTACK(Lists_S1_StationaryComb[BG Data],Lists_S1_StationaryComb[BG Data],Lists_S1_StationaryComb[BG Data]),1) &amp;" Direct",
     0
)</f>
        <v>0</v>
      </c>
      <c r="J546" s="503" t="s">
        <v>27212</v>
      </c>
      <c r="K546" s="248"/>
    </row>
    <row r="547" spans="2:13" x14ac:dyDescent="0.2">
      <c r="B547" s="249"/>
      <c r="C547" s="503">
        <f>'2 Data Inputs'!C120</f>
        <v>0</v>
      </c>
      <c r="D547" s="537">
        <f>'2 Data Inputs'!F120</f>
        <v>0</v>
      </c>
      <c r="E547" s="537">
        <f>_xlfn.XLOOKUP($I547,BG_Data[Product],BG_Data[GHG emissions (IPCC 2021) '[kg CO2 eq']],0)</f>
        <v>0</v>
      </c>
      <c r="F547" s="537">
        <f t="shared" si="37"/>
        <v>0</v>
      </c>
      <c r="G547" s="537">
        <f>$D547*_xlfn.XLOOKUP($I547,BG_Data[Product],BG_Data[Biogenic CO2 emissions '[kg CO2']],0)</f>
        <v>0</v>
      </c>
      <c r="H547" s="584">
        <f>$D547*_xlfn.XLOOKUP($I547,BG_Data[Product],BG_Data[Total env. impact (Ecological Scarcity 2021) '[UBP']],0)</f>
        <v>0</v>
      </c>
      <c r="I547" s="503" cm="1">
        <f t="array" ref="I547">_xlfn.XLOOKUP(
     C547,
     _xlfn.TOCOL(_xlfn.HSTACK(Lists_S1_StationaryComb[DE Name],Lists_S1_StationaryComb[FR Name],Lists_S1_StationaryComb[IT Name]),1),
     _xlfn.TOCOL(_xlfn.HSTACK(Lists_S1_StationaryComb[BG Data],Lists_S1_StationaryComb[BG Data],Lists_S1_StationaryComb[BG Data]),1) &amp;" Direct",
     0
)</f>
        <v>0</v>
      </c>
      <c r="J547" s="503" t="s">
        <v>27212</v>
      </c>
      <c r="K547" s="248"/>
    </row>
    <row r="548" spans="2:13" x14ac:dyDescent="0.2">
      <c r="B548" s="249"/>
      <c r="C548" s="503">
        <f>'2 Data Inputs'!C121</f>
        <v>0</v>
      </c>
      <c r="D548" s="537">
        <f>'2 Data Inputs'!F121</f>
        <v>0</v>
      </c>
      <c r="E548" s="537">
        <f>_xlfn.XLOOKUP($I548,BG_Data[Product],BG_Data[GHG emissions (IPCC 2021) '[kg CO2 eq']],0)</f>
        <v>0</v>
      </c>
      <c r="F548" s="537">
        <f t="shared" si="37"/>
        <v>0</v>
      </c>
      <c r="G548" s="537">
        <f>$D548*_xlfn.XLOOKUP($I548,BG_Data[Product],BG_Data[Biogenic CO2 emissions '[kg CO2']],0)</f>
        <v>0</v>
      </c>
      <c r="H548" s="584">
        <f>$D548*_xlfn.XLOOKUP($I548,BG_Data[Product],BG_Data[Total env. impact (Ecological Scarcity 2021) '[UBP']],0)</f>
        <v>0</v>
      </c>
      <c r="I548" s="503" cm="1">
        <f t="array" ref="I548">_xlfn.XLOOKUP(
     C548,
     _xlfn.TOCOL(_xlfn.HSTACK(Lists_S1_StationaryComb[DE Name],Lists_S1_StationaryComb[FR Name],Lists_S1_StationaryComb[IT Name]),1),
     _xlfn.TOCOL(_xlfn.HSTACK(Lists_S1_StationaryComb[BG Data],Lists_S1_StationaryComb[BG Data],Lists_S1_StationaryComb[BG Data]),1) &amp;" Direct",
     0
)</f>
        <v>0</v>
      </c>
      <c r="J548" s="503" t="s">
        <v>27212</v>
      </c>
      <c r="K548" s="248"/>
    </row>
    <row r="549" spans="2:13" x14ac:dyDescent="0.2">
      <c r="B549" s="249"/>
      <c r="C549" s="503">
        <f>'2 Data Inputs'!C122</f>
        <v>0</v>
      </c>
      <c r="D549" s="537">
        <f>'2 Data Inputs'!F122</f>
        <v>0</v>
      </c>
      <c r="E549" s="537">
        <f>_xlfn.XLOOKUP($I549,BG_Data[Product],BG_Data[GHG emissions (IPCC 2021) '[kg CO2 eq']],0)</f>
        <v>0</v>
      </c>
      <c r="F549" s="537">
        <f t="shared" si="37"/>
        <v>0</v>
      </c>
      <c r="G549" s="537">
        <f>$D549*_xlfn.XLOOKUP($I549,BG_Data[Product],BG_Data[Biogenic CO2 emissions '[kg CO2']],0)</f>
        <v>0</v>
      </c>
      <c r="H549" s="584">
        <f>$D549*_xlfn.XLOOKUP($I549,BG_Data[Product],BG_Data[Total env. impact (Ecological Scarcity 2021) '[UBP']],0)</f>
        <v>0</v>
      </c>
      <c r="I549" s="503" cm="1">
        <f t="array" ref="I549">_xlfn.XLOOKUP(
     C549,
     _xlfn.TOCOL(_xlfn.HSTACK(Lists_S1_StationaryComb[DE Name],Lists_S1_StationaryComb[FR Name],Lists_S1_StationaryComb[IT Name]),1),
     _xlfn.TOCOL(_xlfn.HSTACK(Lists_S1_StationaryComb[BG Data],Lists_S1_StationaryComb[BG Data],Lists_S1_StationaryComb[BG Data]),1) &amp;" Direct",
     0
)</f>
        <v>0</v>
      </c>
      <c r="J549" s="503" t="s">
        <v>27212</v>
      </c>
      <c r="K549" s="248"/>
    </row>
    <row r="550" spans="2:13" x14ac:dyDescent="0.2">
      <c r="B550" s="249"/>
      <c r="C550" s="503">
        <f>'2 Data Inputs'!C123</f>
        <v>0</v>
      </c>
      <c r="D550" s="537">
        <f>'2 Data Inputs'!F123</f>
        <v>0</v>
      </c>
      <c r="E550" s="537">
        <f>_xlfn.XLOOKUP($I550,BG_Data[Product],BG_Data[GHG emissions (IPCC 2021) '[kg CO2 eq']],0)</f>
        <v>0</v>
      </c>
      <c r="F550" s="537">
        <f t="shared" si="37"/>
        <v>0</v>
      </c>
      <c r="G550" s="537">
        <f>$D550*_xlfn.XLOOKUP($I550,BG_Data[Product],BG_Data[Biogenic CO2 emissions '[kg CO2']],0)</f>
        <v>0</v>
      </c>
      <c r="H550" s="584">
        <f>$D550*_xlfn.XLOOKUP($I550,BG_Data[Product],BG_Data[Total env. impact (Ecological Scarcity 2021) '[UBP']],0)</f>
        <v>0</v>
      </c>
      <c r="I550" s="503" cm="1">
        <f t="array" ref="I550">_xlfn.XLOOKUP(
     C550,
     _xlfn.TOCOL(_xlfn.HSTACK(Lists_S1_StationaryComb[DE Name],Lists_S1_StationaryComb[FR Name],Lists_S1_StationaryComb[IT Name]),1),
     _xlfn.TOCOL(_xlfn.HSTACK(Lists_S1_StationaryComb[BG Data],Lists_S1_StationaryComb[BG Data],Lists_S1_StationaryComb[BG Data]),1) &amp;" Direct",
     0
)</f>
        <v>0</v>
      </c>
      <c r="J550" s="503" t="s">
        <v>27212</v>
      </c>
      <c r="K550" s="248"/>
    </row>
    <row r="551" spans="2:13" x14ac:dyDescent="0.2">
      <c r="B551" s="249"/>
      <c r="C551" s="503">
        <f>'2 Data Inputs'!C124</f>
        <v>0</v>
      </c>
      <c r="D551" s="537">
        <f>'2 Data Inputs'!F124</f>
        <v>0</v>
      </c>
      <c r="E551" s="537">
        <f>_xlfn.XLOOKUP($I551,BG_Data[Product],BG_Data[GHG emissions (IPCC 2021) '[kg CO2 eq']],0)</f>
        <v>0</v>
      </c>
      <c r="F551" s="537">
        <f t="shared" si="37"/>
        <v>0</v>
      </c>
      <c r="G551" s="537">
        <f>$D551*_xlfn.XLOOKUP($I551,BG_Data[Product],BG_Data[Biogenic CO2 emissions '[kg CO2']],0)</f>
        <v>0</v>
      </c>
      <c r="H551" s="584">
        <f>$D551*_xlfn.XLOOKUP($I551,BG_Data[Product],BG_Data[Total env. impact (Ecological Scarcity 2021) '[UBP']],0)</f>
        <v>0</v>
      </c>
      <c r="I551" s="503" cm="1">
        <f t="array" ref="I551">_xlfn.XLOOKUP(
     C551,
     _xlfn.TOCOL(_xlfn.HSTACK(Lists_S1_StationaryComb[DE Name],Lists_S1_StationaryComb[FR Name],Lists_S1_StationaryComb[IT Name]),1),
     _xlfn.TOCOL(_xlfn.HSTACK(Lists_S1_StationaryComb[BG Data],Lists_S1_StationaryComb[BG Data],Lists_S1_StationaryComb[BG Data]),1) &amp;" Direct",
     0
)</f>
        <v>0</v>
      </c>
      <c r="J551" s="503" t="s">
        <v>27212</v>
      </c>
      <c r="K551" s="248"/>
    </row>
    <row r="552" spans="2:13" x14ac:dyDescent="0.2">
      <c r="B552" s="249"/>
      <c r="C552" s="503">
        <f>'2 Data Inputs'!C125</f>
        <v>0</v>
      </c>
      <c r="D552" s="537">
        <f>'2 Data Inputs'!F125</f>
        <v>0</v>
      </c>
      <c r="E552" s="537">
        <f>_xlfn.XLOOKUP($I552,BG_Data[Product],BG_Data[GHG emissions (IPCC 2021) '[kg CO2 eq']],0)</f>
        <v>0</v>
      </c>
      <c r="F552" s="537">
        <f t="shared" si="37"/>
        <v>0</v>
      </c>
      <c r="G552" s="537">
        <f>$D552*_xlfn.XLOOKUP($I552,BG_Data[Product],BG_Data[Biogenic CO2 emissions '[kg CO2']],0)</f>
        <v>0</v>
      </c>
      <c r="H552" s="584">
        <f>$D552*_xlfn.XLOOKUP($I552,BG_Data[Product],BG_Data[Total env. impact (Ecological Scarcity 2021) '[UBP']],0)</f>
        <v>0</v>
      </c>
      <c r="I552" s="503" cm="1">
        <f t="array" ref="I552">_xlfn.XLOOKUP(
     C552,
     _xlfn.TOCOL(_xlfn.HSTACK(Lists_S1_StationaryComb[DE Name],Lists_S1_StationaryComb[FR Name],Lists_S1_StationaryComb[IT Name]),1),
     _xlfn.TOCOL(_xlfn.HSTACK(Lists_S1_StationaryComb[BG Data],Lists_S1_StationaryComb[BG Data],Lists_S1_StationaryComb[BG Data]),1) &amp;" Direct",
     0
)</f>
        <v>0</v>
      </c>
      <c r="J552" s="503" t="s">
        <v>27212</v>
      </c>
      <c r="K552" s="248"/>
    </row>
    <row r="553" spans="2:13" x14ac:dyDescent="0.2">
      <c r="B553" s="249"/>
      <c r="C553" s="503">
        <f>'2 Data Inputs'!C126</f>
        <v>0</v>
      </c>
      <c r="D553" s="537">
        <f>'2 Data Inputs'!F126</f>
        <v>0</v>
      </c>
      <c r="E553" s="537">
        <f>_xlfn.XLOOKUP($I553,BG_Data[Product],BG_Data[GHG emissions (IPCC 2021) '[kg CO2 eq']],0)</f>
        <v>0</v>
      </c>
      <c r="F553" s="537">
        <f t="shared" si="37"/>
        <v>0</v>
      </c>
      <c r="G553" s="537">
        <f>$D553*_xlfn.XLOOKUP($I553,BG_Data[Product],BG_Data[Biogenic CO2 emissions '[kg CO2']],0)</f>
        <v>0</v>
      </c>
      <c r="H553" s="584">
        <f>$D553*_xlfn.XLOOKUP($I553,BG_Data[Product],BG_Data[Total env. impact (Ecological Scarcity 2021) '[UBP']],0)</f>
        <v>0</v>
      </c>
      <c r="I553" s="503" cm="1">
        <f t="array" ref="I553">_xlfn.XLOOKUP(
     C553,
     _xlfn.TOCOL(_xlfn.HSTACK(Lists_S1_StationaryComb[DE Name],Lists_S1_StationaryComb[FR Name],Lists_S1_StationaryComb[IT Name]),1),
     _xlfn.TOCOL(_xlfn.HSTACK(Lists_S1_StationaryComb[BG Data],Lists_S1_StationaryComb[BG Data],Lists_S1_StationaryComb[BG Data]),1) &amp;" Direct",
     0
)</f>
        <v>0</v>
      </c>
      <c r="J553" s="503" t="s">
        <v>27212</v>
      </c>
      <c r="K553" s="248"/>
    </row>
    <row r="554" spans="2:13" x14ac:dyDescent="0.2">
      <c r="B554" s="249"/>
      <c r="C554" s="506">
        <f>'2 Data Inputs'!C127</f>
        <v>0</v>
      </c>
      <c r="D554" s="532">
        <f>'2 Data Inputs'!F127</f>
        <v>0</v>
      </c>
      <c r="E554" s="532">
        <f>_xlfn.XLOOKUP($I554,BG_Data[Product],BG_Data[GHG emissions (IPCC 2021) '[kg CO2 eq']],0)</f>
        <v>0</v>
      </c>
      <c r="F554" s="532">
        <f t="shared" si="37"/>
        <v>0</v>
      </c>
      <c r="G554" s="532">
        <f>$D554*_xlfn.XLOOKUP($I554,BG_Data[Product],BG_Data[Biogenic CO2 emissions '[kg CO2']],0)</f>
        <v>0</v>
      </c>
      <c r="H554" s="581">
        <f>$D554*_xlfn.XLOOKUP($I554,BG_Data[Product],BG_Data[Total env. impact (Ecological Scarcity 2021) '[UBP']],0)</f>
        <v>0</v>
      </c>
      <c r="I554" s="506" cm="1">
        <f t="array" ref="I554">_xlfn.XLOOKUP(
     C554,
     _xlfn.TOCOL(_xlfn.HSTACK(Lists_S1_StationaryComb[DE Name],Lists_S1_StationaryComb[FR Name],Lists_S1_StationaryComb[IT Name]),1),
     _xlfn.TOCOL(_xlfn.HSTACK(Lists_S1_StationaryComb[BG Data],Lists_S1_StationaryComb[BG Data],Lists_S1_StationaryComb[BG Data]),1) &amp;" Direct",
     0
)</f>
        <v>0</v>
      </c>
      <c r="J554" s="506" t="s">
        <v>27212</v>
      </c>
      <c r="K554" s="248"/>
    </row>
    <row r="555" spans="2:13" ht="15" x14ac:dyDescent="0.25">
      <c r="B555" s="249"/>
      <c r="C555" s="507" t="s">
        <v>2616</v>
      </c>
      <c r="D555" s="508">
        <f>SUM(D545:D554)</f>
        <v>0</v>
      </c>
      <c r="E555" s="508"/>
      <c r="F555" s="508">
        <f>SUM(F545:F554)</f>
        <v>0</v>
      </c>
      <c r="G555" s="508">
        <f>SUM(G545:G554)</f>
        <v>0</v>
      </c>
      <c r="H555" s="580">
        <f>SUM(H545:H554)</f>
        <v>0</v>
      </c>
      <c r="I555" s="507"/>
      <c r="J555" s="507"/>
      <c r="K555" s="248"/>
    </row>
    <row r="556" spans="2:13" x14ac:dyDescent="0.2">
      <c r="B556" s="254"/>
      <c r="C556" s="539"/>
      <c r="D556" s="540"/>
      <c r="E556" s="540"/>
      <c r="F556" s="540"/>
      <c r="G556" s="540"/>
      <c r="H556" s="588"/>
      <c r="I556" s="539"/>
      <c r="J556" s="539"/>
      <c r="K556" s="256"/>
    </row>
    <row r="557" spans="2:13" ht="15" x14ac:dyDescent="0.25">
      <c r="B557" s="258"/>
    </row>
    <row r="558" spans="2:13" x14ac:dyDescent="0.2">
      <c r="B558" s="246"/>
      <c r="C558" s="527"/>
      <c r="D558" s="528"/>
      <c r="E558" s="528"/>
      <c r="F558" s="528"/>
      <c r="G558" s="547"/>
      <c r="H558" s="589"/>
      <c r="I558" s="548"/>
      <c r="J558" s="548"/>
      <c r="K558" s="247" t="str">
        <f>Calc_Hyperlink_Lessee</f>
        <v>Upstream leases</v>
      </c>
    </row>
    <row r="559" spans="2:13" ht="15" x14ac:dyDescent="0.25">
      <c r="B559" s="249"/>
      <c r="C559" s="531" t="str">
        <f>n3Calculation_29Upstream_StationaryIndirect</f>
        <v>Combustion stationnaire - Indirect</v>
      </c>
      <c r="D559" s="511"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559" s="510"/>
      <c r="F559" s="510"/>
      <c r="G559" s="510"/>
      <c r="H559" s="571"/>
      <c r="I559" s="511"/>
      <c r="J559" s="511"/>
      <c r="K559" s="248"/>
      <c r="M559" s="299" t="s">
        <v>27866</v>
      </c>
    </row>
    <row r="560" spans="2:13" x14ac:dyDescent="0.2">
      <c r="B560" s="249"/>
      <c r="C560" s="740"/>
      <c r="D560" s="740"/>
      <c r="E560" s="740"/>
      <c r="F560" s="740"/>
      <c r="G560" s="510"/>
      <c r="H560" s="571"/>
      <c r="I560" s="511"/>
      <c r="J560" s="511"/>
      <c r="K560" s="248"/>
    </row>
    <row r="561" spans="2:18" s="686" customFormat="1" ht="33" x14ac:dyDescent="0.25">
      <c r="B561" s="681"/>
      <c r="C561" s="682" t="s">
        <v>27179</v>
      </c>
      <c r="D561" s="683" t="s">
        <v>28534</v>
      </c>
      <c r="E561" s="683" t="s">
        <v>27208</v>
      </c>
      <c r="F561" s="683" t="s">
        <v>27588</v>
      </c>
      <c r="G561" s="683" t="s">
        <v>27589</v>
      </c>
      <c r="H561" s="683" t="s">
        <v>27209</v>
      </c>
      <c r="I561" s="682" t="s">
        <v>27210</v>
      </c>
      <c r="J561" s="682" t="s">
        <v>27211</v>
      </c>
      <c r="K561" s="685"/>
      <c r="M561" s="687"/>
      <c r="N561" s="687"/>
      <c r="O561" s="687"/>
      <c r="P561" s="687"/>
      <c r="Q561" s="687"/>
      <c r="R561" s="687"/>
    </row>
    <row r="562" spans="2:18" x14ac:dyDescent="0.2">
      <c r="B562" s="249"/>
      <c r="C562" s="500">
        <f>'2 Data Inputs'!C118</f>
        <v>0</v>
      </c>
      <c r="D562" s="535">
        <f>'2 Data Inputs'!F118</f>
        <v>0</v>
      </c>
      <c r="E562" s="535">
        <f>_xlfn.XLOOKUP($I562,BG_Data[Product],BG_Data[GHG emissions (IPCC 2021) '[kg CO2 eq']],0)</f>
        <v>0</v>
      </c>
      <c r="F562" s="535">
        <f t="shared" ref="F562:F571" si="38">$D562*$E562</f>
        <v>0</v>
      </c>
      <c r="G562" s="535">
        <f>$D562*_xlfn.XLOOKUP($I562,BG_Data[Product],BG_Data[Biogenic CO2 emissions '[kg CO2']],0)</f>
        <v>0</v>
      </c>
      <c r="H562" s="583">
        <f>$D562*_xlfn.XLOOKUP($I562,BG_Data[Product],BG_Data[Total env. impact (Ecological Scarcity 2021) '[UBP']],0)</f>
        <v>0</v>
      </c>
      <c r="I562" s="500" cm="1">
        <f t="array" ref="I562">_xlfn.XLOOKUP(
     C562,
     _xlfn.TOCOL(_xlfn.HSTACK(Lists_S1_StationaryComb[DE Name],Lists_S1_StationaryComb[FR Name],Lists_S1_StationaryComb[IT Name]),1),
     _xlfn.TOCOL(_xlfn.HSTACK(Lists_S1_StationaryComb[BG Data],Lists_S1_StationaryComb[BG Data],Lists_S1_StationaryComb[BG Data]),1) &amp;" Indirect",
     0
)</f>
        <v>0</v>
      </c>
      <c r="J562" s="500" t="s">
        <v>27212</v>
      </c>
      <c r="K562" s="248"/>
    </row>
    <row r="563" spans="2:18" x14ac:dyDescent="0.2">
      <c r="B563" s="249"/>
      <c r="C563" s="503">
        <f>'2 Data Inputs'!C119</f>
        <v>0</v>
      </c>
      <c r="D563" s="537">
        <f>'2 Data Inputs'!F119</f>
        <v>0</v>
      </c>
      <c r="E563" s="537">
        <f>_xlfn.XLOOKUP($I563,BG_Data[Product],BG_Data[GHG emissions (IPCC 2021) '[kg CO2 eq']],0)</f>
        <v>0</v>
      </c>
      <c r="F563" s="537">
        <f t="shared" si="38"/>
        <v>0</v>
      </c>
      <c r="G563" s="537">
        <f>$D563*_xlfn.XLOOKUP($I563,BG_Data[Product],BG_Data[Biogenic CO2 emissions '[kg CO2']],0)</f>
        <v>0</v>
      </c>
      <c r="H563" s="584">
        <f>$D563*_xlfn.XLOOKUP($I563,BG_Data[Product],BG_Data[Total env. impact (Ecological Scarcity 2021) '[UBP']],0)</f>
        <v>0</v>
      </c>
      <c r="I563" s="503" cm="1">
        <f t="array" ref="I563">_xlfn.XLOOKUP(
     C563,
     _xlfn.TOCOL(_xlfn.HSTACK(Lists_S1_StationaryComb[DE Name],Lists_S1_StationaryComb[FR Name],Lists_S1_StationaryComb[IT Name]),1),
     _xlfn.TOCOL(_xlfn.HSTACK(Lists_S1_StationaryComb[BG Data],Lists_S1_StationaryComb[BG Data],Lists_S1_StationaryComb[BG Data]),1) &amp;" Indirect",
     0
)</f>
        <v>0</v>
      </c>
      <c r="J563" s="503" t="s">
        <v>27212</v>
      </c>
      <c r="K563" s="248"/>
    </row>
    <row r="564" spans="2:18" x14ac:dyDescent="0.2">
      <c r="B564" s="249"/>
      <c r="C564" s="503">
        <f>'2 Data Inputs'!C120</f>
        <v>0</v>
      </c>
      <c r="D564" s="537">
        <f>'2 Data Inputs'!F120</f>
        <v>0</v>
      </c>
      <c r="E564" s="537">
        <f>_xlfn.XLOOKUP($I564,BG_Data[Product],BG_Data[GHG emissions (IPCC 2021) '[kg CO2 eq']],0)</f>
        <v>0</v>
      </c>
      <c r="F564" s="537">
        <f t="shared" si="38"/>
        <v>0</v>
      </c>
      <c r="G564" s="537">
        <f>$D564*_xlfn.XLOOKUP($I564,BG_Data[Product],BG_Data[Biogenic CO2 emissions '[kg CO2']],0)</f>
        <v>0</v>
      </c>
      <c r="H564" s="584">
        <f>$D564*_xlfn.XLOOKUP($I564,BG_Data[Product],BG_Data[Total env. impact (Ecological Scarcity 2021) '[UBP']],0)</f>
        <v>0</v>
      </c>
      <c r="I564" s="503" cm="1">
        <f t="array" ref="I564">_xlfn.XLOOKUP(
     C564,
     _xlfn.TOCOL(_xlfn.HSTACK(Lists_S1_StationaryComb[DE Name],Lists_S1_StationaryComb[FR Name],Lists_S1_StationaryComb[IT Name]),1),
     _xlfn.TOCOL(_xlfn.HSTACK(Lists_S1_StationaryComb[BG Data],Lists_S1_StationaryComb[BG Data],Lists_S1_StationaryComb[BG Data]),1) &amp;" Indirect",
     0
)</f>
        <v>0</v>
      </c>
      <c r="J564" s="503" t="s">
        <v>27212</v>
      </c>
      <c r="K564" s="248"/>
    </row>
    <row r="565" spans="2:18" x14ac:dyDescent="0.2">
      <c r="B565" s="249"/>
      <c r="C565" s="503">
        <f>'2 Data Inputs'!C121</f>
        <v>0</v>
      </c>
      <c r="D565" s="537">
        <f>'2 Data Inputs'!F121</f>
        <v>0</v>
      </c>
      <c r="E565" s="537">
        <f>_xlfn.XLOOKUP($I565,BG_Data[Product],BG_Data[GHG emissions (IPCC 2021) '[kg CO2 eq']],0)</f>
        <v>0</v>
      </c>
      <c r="F565" s="537">
        <f t="shared" si="38"/>
        <v>0</v>
      </c>
      <c r="G565" s="537">
        <f>$D565*_xlfn.XLOOKUP($I565,BG_Data[Product],BG_Data[Biogenic CO2 emissions '[kg CO2']],0)</f>
        <v>0</v>
      </c>
      <c r="H565" s="584">
        <f>$D565*_xlfn.XLOOKUP($I565,BG_Data[Product],BG_Data[Total env. impact (Ecological Scarcity 2021) '[UBP']],0)</f>
        <v>0</v>
      </c>
      <c r="I565" s="503" cm="1">
        <f t="array" ref="I565">_xlfn.XLOOKUP(
     C565,
     _xlfn.TOCOL(_xlfn.HSTACK(Lists_S1_StationaryComb[DE Name],Lists_S1_StationaryComb[FR Name],Lists_S1_StationaryComb[IT Name]),1),
     _xlfn.TOCOL(_xlfn.HSTACK(Lists_S1_StationaryComb[BG Data],Lists_S1_StationaryComb[BG Data],Lists_S1_StationaryComb[BG Data]),1) &amp;" Indirect",
     0
)</f>
        <v>0</v>
      </c>
      <c r="J565" s="503" t="s">
        <v>27212</v>
      </c>
      <c r="K565" s="248"/>
    </row>
    <row r="566" spans="2:18" x14ac:dyDescent="0.2">
      <c r="B566" s="249"/>
      <c r="C566" s="503">
        <f>'2 Data Inputs'!C122</f>
        <v>0</v>
      </c>
      <c r="D566" s="537">
        <f>'2 Data Inputs'!F122</f>
        <v>0</v>
      </c>
      <c r="E566" s="537">
        <f>_xlfn.XLOOKUP($I566,BG_Data[Product],BG_Data[GHG emissions (IPCC 2021) '[kg CO2 eq']],0)</f>
        <v>0</v>
      </c>
      <c r="F566" s="537">
        <f t="shared" si="38"/>
        <v>0</v>
      </c>
      <c r="G566" s="537">
        <f>$D566*_xlfn.XLOOKUP($I566,BG_Data[Product],BG_Data[Biogenic CO2 emissions '[kg CO2']],0)</f>
        <v>0</v>
      </c>
      <c r="H566" s="584">
        <f>$D566*_xlfn.XLOOKUP($I566,BG_Data[Product],BG_Data[Total env. impact (Ecological Scarcity 2021) '[UBP']],0)</f>
        <v>0</v>
      </c>
      <c r="I566" s="503" cm="1">
        <f t="array" ref="I566">_xlfn.XLOOKUP(
     C566,
     _xlfn.TOCOL(_xlfn.HSTACK(Lists_S1_StationaryComb[DE Name],Lists_S1_StationaryComb[FR Name],Lists_S1_StationaryComb[IT Name]),1),
     _xlfn.TOCOL(_xlfn.HSTACK(Lists_S1_StationaryComb[BG Data],Lists_S1_StationaryComb[BG Data],Lists_S1_StationaryComb[BG Data]),1) &amp;" Indirect",
     0
)</f>
        <v>0</v>
      </c>
      <c r="J566" s="503" t="s">
        <v>27212</v>
      </c>
      <c r="K566" s="248"/>
    </row>
    <row r="567" spans="2:18" x14ac:dyDescent="0.2">
      <c r="B567" s="249"/>
      <c r="C567" s="503">
        <f>'2 Data Inputs'!C123</f>
        <v>0</v>
      </c>
      <c r="D567" s="537">
        <f>'2 Data Inputs'!F123</f>
        <v>0</v>
      </c>
      <c r="E567" s="537">
        <f>_xlfn.XLOOKUP($I567,BG_Data[Product],BG_Data[GHG emissions (IPCC 2021) '[kg CO2 eq']],0)</f>
        <v>0</v>
      </c>
      <c r="F567" s="537">
        <f t="shared" si="38"/>
        <v>0</v>
      </c>
      <c r="G567" s="537">
        <f>$D567*_xlfn.XLOOKUP($I567,BG_Data[Product],BG_Data[Biogenic CO2 emissions '[kg CO2']],0)</f>
        <v>0</v>
      </c>
      <c r="H567" s="584">
        <f>$D567*_xlfn.XLOOKUP($I567,BG_Data[Product],BG_Data[Total env. impact (Ecological Scarcity 2021) '[UBP']],0)</f>
        <v>0</v>
      </c>
      <c r="I567" s="503" cm="1">
        <f t="array" ref="I567">_xlfn.XLOOKUP(
     C567,
     _xlfn.TOCOL(_xlfn.HSTACK(Lists_S1_StationaryComb[DE Name],Lists_S1_StationaryComb[FR Name],Lists_S1_StationaryComb[IT Name]),1),
     _xlfn.TOCOL(_xlfn.HSTACK(Lists_S1_StationaryComb[BG Data],Lists_S1_StationaryComb[BG Data],Lists_S1_StationaryComb[BG Data]),1) &amp;" Indirect",
     0
)</f>
        <v>0</v>
      </c>
      <c r="J567" s="503" t="s">
        <v>27212</v>
      </c>
      <c r="K567" s="248"/>
    </row>
    <row r="568" spans="2:18" x14ac:dyDescent="0.2">
      <c r="B568" s="249"/>
      <c r="C568" s="503">
        <f>'2 Data Inputs'!C124</f>
        <v>0</v>
      </c>
      <c r="D568" s="537">
        <f>'2 Data Inputs'!F124</f>
        <v>0</v>
      </c>
      <c r="E568" s="537">
        <f>_xlfn.XLOOKUP($I568,BG_Data[Product],BG_Data[GHG emissions (IPCC 2021) '[kg CO2 eq']],0)</f>
        <v>0</v>
      </c>
      <c r="F568" s="537">
        <f t="shared" si="38"/>
        <v>0</v>
      </c>
      <c r="G568" s="537">
        <f>$D568*_xlfn.XLOOKUP($I568,BG_Data[Product],BG_Data[Biogenic CO2 emissions '[kg CO2']],0)</f>
        <v>0</v>
      </c>
      <c r="H568" s="584">
        <f>$D568*_xlfn.XLOOKUP($I568,BG_Data[Product],BG_Data[Total env. impact (Ecological Scarcity 2021) '[UBP']],0)</f>
        <v>0</v>
      </c>
      <c r="I568" s="503" cm="1">
        <f t="array" ref="I568">_xlfn.XLOOKUP(
     C568,
     _xlfn.TOCOL(_xlfn.HSTACK(Lists_S1_StationaryComb[DE Name],Lists_S1_StationaryComb[FR Name],Lists_S1_StationaryComb[IT Name]),1),
     _xlfn.TOCOL(_xlfn.HSTACK(Lists_S1_StationaryComb[BG Data],Lists_S1_StationaryComb[BG Data],Lists_S1_StationaryComb[BG Data]),1) &amp;" Indirect",
     0
)</f>
        <v>0</v>
      </c>
      <c r="J568" s="503" t="s">
        <v>27212</v>
      </c>
      <c r="K568" s="248"/>
    </row>
    <row r="569" spans="2:18" x14ac:dyDescent="0.2">
      <c r="B569" s="249"/>
      <c r="C569" s="503">
        <f>'2 Data Inputs'!C125</f>
        <v>0</v>
      </c>
      <c r="D569" s="537">
        <f>'2 Data Inputs'!F125</f>
        <v>0</v>
      </c>
      <c r="E569" s="537">
        <f>_xlfn.XLOOKUP($I569,BG_Data[Product],BG_Data[GHG emissions (IPCC 2021) '[kg CO2 eq']],0)</f>
        <v>0</v>
      </c>
      <c r="F569" s="537">
        <f t="shared" si="38"/>
        <v>0</v>
      </c>
      <c r="G569" s="537">
        <f>$D569*_xlfn.XLOOKUP($I569,BG_Data[Product],BG_Data[Biogenic CO2 emissions '[kg CO2']],0)</f>
        <v>0</v>
      </c>
      <c r="H569" s="584">
        <f>$D569*_xlfn.XLOOKUP($I569,BG_Data[Product],BG_Data[Total env. impact (Ecological Scarcity 2021) '[UBP']],0)</f>
        <v>0</v>
      </c>
      <c r="I569" s="503" cm="1">
        <f t="array" ref="I569">_xlfn.XLOOKUP(
     C569,
     _xlfn.TOCOL(_xlfn.HSTACK(Lists_S1_StationaryComb[DE Name],Lists_S1_StationaryComb[FR Name],Lists_S1_StationaryComb[IT Name]),1),
     _xlfn.TOCOL(_xlfn.HSTACK(Lists_S1_StationaryComb[BG Data],Lists_S1_StationaryComb[BG Data],Lists_S1_StationaryComb[BG Data]),1) &amp;" Indirect",
     0
)</f>
        <v>0</v>
      </c>
      <c r="J569" s="503" t="s">
        <v>27212</v>
      </c>
      <c r="K569" s="248"/>
    </row>
    <row r="570" spans="2:18" x14ac:dyDescent="0.2">
      <c r="B570" s="249"/>
      <c r="C570" s="503">
        <f>'2 Data Inputs'!C126</f>
        <v>0</v>
      </c>
      <c r="D570" s="537">
        <f>'2 Data Inputs'!F126</f>
        <v>0</v>
      </c>
      <c r="E570" s="537">
        <f>_xlfn.XLOOKUP($I570,BG_Data[Product],BG_Data[GHG emissions (IPCC 2021) '[kg CO2 eq']],0)</f>
        <v>0</v>
      </c>
      <c r="F570" s="537">
        <f t="shared" si="38"/>
        <v>0</v>
      </c>
      <c r="G570" s="537">
        <f>$D570*_xlfn.XLOOKUP($I570,BG_Data[Product],BG_Data[Biogenic CO2 emissions '[kg CO2']],0)</f>
        <v>0</v>
      </c>
      <c r="H570" s="584">
        <f>$D570*_xlfn.XLOOKUP($I570,BG_Data[Product],BG_Data[Total env. impact (Ecological Scarcity 2021) '[UBP']],0)</f>
        <v>0</v>
      </c>
      <c r="I570" s="503" cm="1">
        <f t="array" ref="I570">_xlfn.XLOOKUP(
     C570,
     _xlfn.TOCOL(_xlfn.HSTACK(Lists_S1_StationaryComb[DE Name],Lists_S1_StationaryComb[FR Name],Lists_S1_StationaryComb[IT Name]),1),
     _xlfn.TOCOL(_xlfn.HSTACK(Lists_S1_StationaryComb[BG Data],Lists_S1_StationaryComb[BG Data],Lists_S1_StationaryComb[BG Data]),1) &amp;" Indirect",
     0
)</f>
        <v>0</v>
      </c>
      <c r="J570" s="503" t="s">
        <v>27212</v>
      </c>
      <c r="K570" s="248"/>
    </row>
    <row r="571" spans="2:18" x14ac:dyDescent="0.2">
      <c r="B571" s="249"/>
      <c r="C571" s="506">
        <f>'2 Data Inputs'!C127</f>
        <v>0</v>
      </c>
      <c r="D571" s="532">
        <f>'2 Data Inputs'!F127</f>
        <v>0</v>
      </c>
      <c r="E571" s="532">
        <f>_xlfn.XLOOKUP($I571,BG_Data[Product],BG_Data[GHG emissions (IPCC 2021) '[kg CO2 eq']],0)</f>
        <v>0</v>
      </c>
      <c r="F571" s="532">
        <f t="shared" si="38"/>
        <v>0</v>
      </c>
      <c r="G571" s="532">
        <f>$D571*_xlfn.XLOOKUP($I571,BG_Data[Product],BG_Data[Biogenic CO2 emissions '[kg CO2']],0)</f>
        <v>0</v>
      </c>
      <c r="H571" s="581">
        <f>$D571*_xlfn.XLOOKUP($I571,BG_Data[Product],BG_Data[Total env. impact (Ecological Scarcity 2021) '[UBP']],0)</f>
        <v>0</v>
      </c>
      <c r="I571" s="506" cm="1">
        <f t="array" ref="I571">_xlfn.XLOOKUP(
     C571,
     _xlfn.TOCOL(_xlfn.HSTACK(Lists_S1_StationaryComb[DE Name],Lists_S1_StationaryComb[FR Name],Lists_S1_StationaryComb[IT Name]),1),
     _xlfn.TOCOL(_xlfn.HSTACK(Lists_S1_StationaryComb[BG Data],Lists_S1_StationaryComb[BG Data],Lists_S1_StationaryComb[BG Data]),1) &amp;" Indirect",
     0
)</f>
        <v>0</v>
      </c>
      <c r="J571" s="506" t="s">
        <v>27212</v>
      </c>
      <c r="K571" s="248"/>
    </row>
    <row r="572" spans="2:18" ht="15" x14ac:dyDescent="0.25">
      <c r="B572" s="249"/>
      <c r="C572" s="507" t="s">
        <v>2616</v>
      </c>
      <c r="D572" s="508"/>
      <c r="E572" s="508"/>
      <c r="F572" s="508">
        <f>SUM(F562:F571)</f>
        <v>0</v>
      </c>
      <c r="G572" s="508">
        <f>SUM(G562:G571)</f>
        <v>0</v>
      </c>
      <c r="H572" s="580">
        <f>SUM(H562:H571)</f>
        <v>0</v>
      </c>
      <c r="I572" s="507"/>
      <c r="J572" s="507"/>
      <c r="K572" s="248"/>
    </row>
    <row r="573" spans="2:18" x14ac:dyDescent="0.2">
      <c r="B573" s="254"/>
      <c r="C573" s="539"/>
      <c r="D573" s="540"/>
      <c r="E573" s="540"/>
      <c r="F573" s="540"/>
      <c r="G573" s="540"/>
      <c r="H573" s="588"/>
      <c r="I573" s="539"/>
      <c r="J573" s="539"/>
      <c r="K573" s="256"/>
    </row>
    <row r="574" spans="2:18" ht="15" x14ac:dyDescent="0.25">
      <c r="B574" s="258"/>
    </row>
    <row r="575" spans="2:18" x14ac:dyDescent="0.2">
      <c r="B575" s="246"/>
      <c r="C575" s="527"/>
      <c r="D575" s="528"/>
      <c r="E575" s="528"/>
      <c r="F575" s="528"/>
      <c r="G575" s="547"/>
      <c r="H575" s="589"/>
      <c r="I575" s="548"/>
      <c r="J575" s="548"/>
      <c r="K575" s="247" t="str">
        <f>Calc_Hyperlink_Lessee</f>
        <v>Upstream leases</v>
      </c>
    </row>
    <row r="576" spans="2:18" ht="15" x14ac:dyDescent="0.25">
      <c r="B576" s="249"/>
      <c r="C576" s="531" t="str">
        <f>n3Calculation_30Upstream_DistrictDirect</f>
        <v>Chauffage à distance et vapeur - Direct</v>
      </c>
      <c r="D576" s="511" t="str">
        <f>"Control approach = " &amp; GenInp_ConsolAppr &amp; " ; Lease type = " &amp; GenInp_LeaseType &amp; " → Direct emissions reported in " &amp; IF(GenInp_LeaseType="Operating Lease","Scope 3.8 ","Scope 2")</f>
        <v>Control approach = missing input ; Lease type = missing input → Direct emissions reported in Scope 2</v>
      </c>
      <c r="E576" s="510"/>
      <c r="F576" s="510"/>
      <c r="G576" s="510"/>
      <c r="H576" s="571"/>
      <c r="I576" s="511"/>
      <c r="J576" s="511"/>
      <c r="K576" s="248"/>
      <c r="M576" s="299" t="s">
        <v>27867</v>
      </c>
    </row>
    <row r="577" spans="2:18" x14ac:dyDescent="0.2">
      <c r="B577" s="249"/>
      <c r="C577" s="740"/>
      <c r="D577" s="740"/>
      <c r="E577" s="740"/>
      <c r="F577" s="740"/>
      <c r="G577" s="510"/>
      <c r="H577" s="571"/>
      <c r="I577" s="511"/>
      <c r="J577" s="511"/>
      <c r="K577" s="248"/>
    </row>
    <row r="578" spans="2:18" s="686" customFormat="1" ht="33" x14ac:dyDescent="0.25">
      <c r="B578" s="681"/>
      <c r="C578" s="682" t="s">
        <v>28599</v>
      </c>
      <c r="D578" s="683" t="s">
        <v>28534</v>
      </c>
      <c r="E578" s="683" t="s">
        <v>27208</v>
      </c>
      <c r="F578" s="683" t="s">
        <v>27588</v>
      </c>
      <c r="G578" s="683" t="s">
        <v>27589</v>
      </c>
      <c r="H578" s="683" t="s">
        <v>27209</v>
      </c>
      <c r="I578" s="682" t="s">
        <v>27210</v>
      </c>
      <c r="J578" s="682" t="s">
        <v>27211</v>
      </c>
      <c r="K578" s="685"/>
      <c r="M578" s="687"/>
      <c r="N578" s="687"/>
      <c r="O578" s="687"/>
      <c r="P578" s="687"/>
      <c r="Q578" s="687"/>
      <c r="R578" s="687"/>
    </row>
    <row r="579" spans="2:18" x14ac:dyDescent="0.2">
      <c r="B579" s="249"/>
      <c r="C579" s="500">
        <f>'2 Data Inputs'!C147</f>
        <v>0</v>
      </c>
      <c r="D579" s="535">
        <f>'2 Data Inputs'!F147</f>
        <v>0</v>
      </c>
      <c r="E579" s="535">
        <f>_xlfn.XLOOKUP($I579,BG_Data[Product],BG_Data[GHG emissions (IPCC 2021) '[kg CO2 eq']],0)</f>
        <v>0</v>
      </c>
      <c r="F579" s="535">
        <f t="shared" ref="F579:F588" si="39">$D579*$E579</f>
        <v>0</v>
      </c>
      <c r="G579" s="535">
        <f>$D579*_xlfn.XLOOKUP($I579,BG_Data[Product],BG_Data[Biogenic CO2 emissions '[kg CO2']],0)</f>
        <v>0</v>
      </c>
      <c r="H579" s="583">
        <f>$D579*_xlfn.XLOOKUP($I579,BG_Data[Product],BG_Data[Total env. impact (Ecological Scarcity 2021) '[UBP']],0)</f>
        <v>0</v>
      </c>
      <c r="I579" s="500" cm="1">
        <f t="array" ref="I579">_xlfn.XLOOKUP(
     C579,
     _xlfn.TOCOL(_xlfn.HSTACK(Lists_S2_DistrictHeat[DE Name],Lists_S2_DistrictHeat[FR Name],Lists_S2_DistrictHeat[IT Name]),1),
     _xlfn.TOCOL(_xlfn.HSTACK(Lists_S2_DistrictHeat[BG Data],Lists_S2_DistrictHeat[BG Data],Lists_S2_DistrictHeat[BG Data]),1) &amp;" Direct",
     0)</f>
        <v>0</v>
      </c>
      <c r="J579" s="500" t="s">
        <v>27212</v>
      </c>
      <c r="K579" s="248"/>
    </row>
    <row r="580" spans="2:18" x14ac:dyDescent="0.2">
      <c r="B580" s="249"/>
      <c r="C580" s="503">
        <f>'2 Data Inputs'!C148</f>
        <v>0</v>
      </c>
      <c r="D580" s="537">
        <f>'2 Data Inputs'!F148</f>
        <v>0</v>
      </c>
      <c r="E580" s="537">
        <f>_xlfn.XLOOKUP($I580,BG_Data[Product],BG_Data[GHG emissions (IPCC 2021) '[kg CO2 eq']],0)</f>
        <v>0</v>
      </c>
      <c r="F580" s="537">
        <f t="shared" si="39"/>
        <v>0</v>
      </c>
      <c r="G580" s="537">
        <f>$D580*_xlfn.XLOOKUP($I580,BG_Data[Product],BG_Data[Biogenic CO2 emissions '[kg CO2']],0)</f>
        <v>0</v>
      </c>
      <c r="H580" s="584">
        <f>$D580*_xlfn.XLOOKUP($I580,BG_Data[Product],BG_Data[Total env. impact (Ecological Scarcity 2021) '[UBP']],0)</f>
        <v>0</v>
      </c>
      <c r="I580" s="503" cm="1">
        <f t="array" ref="I580">_xlfn.XLOOKUP(
     C580,
     _xlfn.TOCOL(_xlfn.HSTACK(Lists_S2_DistrictHeat[DE Name],Lists_S2_DistrictHeat[FR Name],Lists_S2_DistrictHeat[IT Name]),1),
     _xlfn.TOCOL(_xlfn.HSTACK(Lists_S2_DistrictHeat[BG Data],Lists_S2_DistrictHeat[BG Data],Lists_S2_DistrictHeat[BG Data]),1) &amp;" Direct",
     0)</f>
        <v>0</v>
      </c>
      <c r="J580" s="503" t="s">
        <v>27212</v>
      </c>
      <c r="K580" s="248"/>
    </row>
    <row r="581" spans="2:18" x14ac:dyDescent="0.2">
      <c r="B581" s="249"/>
      <c r="C581" s="503">
        <f>'2 Data Inputs'!C149</f>
        <v>0</v>
      </c>
      <c r="D581" s="537">
        <f>'2 Data Inputs'!F149</f>
        <v>0</v>
      </c>
      <c r="E581" s="537">
        <f>_xlfn.XLOOKUP($I581,BG_Data[Product],BG_Data[GHG emissions (IPCC 2021) '[kg CO2 eq']],0)</f>
        <v>0</v>
      </c>
      <c r="F581" s="537">
        <f t="shared" si="39"/>
        <v>0</v>
      </c>
      <c r="G581" s="537">
        <f>$D581*_xlfn.XLOOKUP($I581,BG_Data[Product],BG_Data[Biogenic CO2 emissions '[kg CO2']],0)</f>
        <v>0</v>
      </c>
      <c r="H581" s="584">
        <f>$D581*_xlfn.XLOOKUP($I581,BG_Data[Product],BG_Data[Total env. impact (Ecological Scarcity 2021) '[UBP']],0)</f>
        <v>0</v>
      </c>
      <c r="I581" s="503" cm="1">
        <f t="array" ref="I581">_xlfn.XLOOKUP(
     C581,
     _xlfn.TOCOL(_xlfn.HSTACK(Lists_S2_DistrictHeat[DE Name],Lists_S2_DistrictHeat[FR Name],Lists_S2_DistrictHeat[IT Name]),1),
     _xlfn.TOCOL(_xlfn.HSTACK(Lists_S2_DistrictHeat[BG Data],Lists_S2_DistrictHeat[BG Data],Lists_S2_DistrictHeat[BG Data]),1) &amp;" Direct",
     0)</f>
        <v>0</v>
      </c>
      <c r="J581" s="503" t="s">
        <v>27212</v>
      </c>
      <c r="K581" s="248"/>
    </row>
    <row r="582" spans="2:18" x14ac:dyDescent="0.2">
      <c r="B582" s="249"/>
      <c r="C582" s="503">
        <f>'2 Data Inputs'!C150</f>
        <v>0</v>
      </c>
      <c r="D582" s="537">
        <f>'2 Data Inputs'!F150</f>
        <v>0</v>
      </c>
      <c r="E582" s="537">
        <f>_xlfn.XLOOKUP($I582,BG_Data[Product],BG_Data[GHG emissions (IPCC 2021) '[kg CO2 eq']],0)</f>
        <v>0</v>
      </c>
      <c r="F582" s="537">
        <f t="shared" si="39"/>
        <v>0</v>
      </c>
      <c r="G582" s="537">
        <f>$D582*_xlfn.XLOOKUP($I582,BG_Data[Product],BG_Data[Biogenic CO2 emissions '[kg CO2']],0)</f>
        <v>0</v>
      </c>
      <c r="H582" s="584">
        <f>$D582*_xlfn.XLOOKUP($I582,BG_Data[Product],BG_Data[Total env. impact (Ecological Scarcity 2021) '[UBP']],0)</f>
        <v>0</v>
      </c>
      <c r="I582" s="503" cm="1">
        <f t="array" ref="I582">_xlfn.XLOOKUP(
     C582,
     _xlfn.TOCOL(_xlfn.HSTACK(Lists_S2_DistrictHeat[DE Name],Lists_S2_DistrictHeat[FR Name],Lists_S2_DistrictHeat[IT Name]),1),
     _xlfn.TOCOL(_xlfn.HSTACK(Lists_S2_DistrictHeat[BG Data],Lists_S2_DistrictHeat[BG Data],Lists_S2_DistrictHeat[BG Data]),1) &amp;" Direct",
     0)</f>
        <v>0</v>
      </c>
      <c r="J582" s="503" t="s">
        <v>27212</v>
      </c>
      <c r="K582" s="248"/>
    </row>
    <row r="583" spans="2:18" x14ac:dyDescent="0.2">
      <c r="B583" s="249"/>
      <c r="C583" s="503">
        <f>'2 Data Inputs'!C151</f>
        <v>0</v>
      </c>
      <c r="D583" s="537">
        <f>'2 Data Inputs'!F151</f>
        <v>0</v>
      </c>
      <c r="E583" s="537">
        <f>_xlfn.XLOOKUP($I583,BG_Data[Product],BG_Data[GHG emissions (IPCC 2021) '[kg CO2 eq']],0)</f>
        <v>0</v>
      </c>
      <c r="F583" s="537">
        <f t="shared" si="39"/>
        <v>0</v>
      </c>
      <c r="G583" s="537">
        <f>$D583*_xlfn.XLOOKUP($I583,BG_Data[Product],BG_Data[Biogenic CO2 emissions '[kg CO2']],0)</f>
        <v>0</v>
      </c>
      <c r="H583" s="584">
        <f>$D583*_xlfn.XLOOKUP($I583,BG_Data[Product],BG_Data[Total env. impact (Ecological Scarcity 2021) '[UBP']],0)</f>
        <v>0</v>
      </c>
      <c r="I583" s="503" cm="1">
        <f t="array" ref="I583">_xlfn.XLOOKUP(
     C583,
     _xlfn.TOCOL(_xlfn.HSTACK(Lists_S2_DistrictHeat[DE Name],Lists_S2_DistrictHeat[FR Name],Lists_S2_DistrictHeat[IT Name]),1),
     _xlfn.TOCOL(_xlfn.HSTACK(Lists_S2_DistrictHeat[BG Data],Lists_S2_DistrictHeat[BG Data],Lists_S2_DistrictHeat[BG Data]),1) &amp;" Direct",
     0)</f>
        <v>0</v>
      </c>
      <c r="J583" s="503" t="s">
        <v>27212</v>
      </c>
      <c r="K583" s="248"/>
    </row>
    <row r="584" spans="2:18" x14ac:dyDescent="0.2">
      <c r="B584" s="249"/>
      <c r="C584" s="503">
        <f>'2 Data Inputs'!C152</f>
        <v>0</v>
      </c>
      <c r="D584" s="537">
        <f>'2 Data Inputs'!F152</f>
        <v>0</v>
      </c>
      <c r="E584" s="537">
        <f>_xlfn.XLOOKUP($I584,BG_Data[Product],BG_Data[GHG emissions (IPCC 2021) '[kg CO2 eq']],0)</f>
        <v>0</v>
      </c>
      <c r="F584" s="537">
        <f t="shared" si="39"/>
        <v>0</v>
      </c>
      <c r="G584" s="537">
        <f>$D584*_xlfn.XLOOKUP($I584,BG_Data[Product],BG_Data[Biogenic CO2 emissions '[kg CO2']],0)</f>
        <v>0</v>
      </c>
      <c r="H584" s="584">
        <f>$D584*_xlfn.XLOOKUP($I584,BG_Data[Product],BG_Data[Total env. impact (Ecological Scarcity 2021) '[UBP']],0)</f>
        <v>0</v>
      </c>
      <c r="I584" s="503" cm="1">
        <f t="array" ref="I584">_xlfn.XLOOKUP(
     C584,
     _xlfn.TOCOL(_xlfn.HSTACK(Lists_S2_DistrictHeat[DE Name],Lists_S2_DistrictHeat[FR Name],Lists_S2_DistrictHeat[IT Name]),1),
     _xlfn.TOCOL(_xlfn.HSTACK(Lists_S2_DistrictHeat[BG Data],Lists_S2_DistrictHeat[BG Data],Lists_S2_DistrictHeat[BG Data]),1) &amp;" Direct",
     0)</f>
        <v>0</v>
      </c>
      <c r="J584" s="503" t="s">
        <v>27212</v>
      </c>
      <c r="K584" s="248"/>
    </row>
    <row r="585" spans="2:18" x14ac:dyDescent="0.2">
      <c r="B585" s="249"/>
      <c r="C585" s="503">
        <f>'2 Data Inputs'!C153</f>
        <v>0</v>
      </c>
      <c r="D585" s="537">
        <f>'2 Data Inputs'!F153</f>
        <v>0</v>
      </c>
      <c r="E585" s="537">
        <f>_xlfn.XLOOKUP($I585,BG_Data[Product],BG_Data[GHG emissions (IPCC 2021) '[kg CO2 eq']],0)</f>
        <v>0</v>
      </c>
      <c r="F585" s="537">
        <f t="shared" si="39"/>
        <v>0</v>
      </c>
      <c r="G585" s="537">
        <f>$D585*_xlfn.XLOOKUP($I585,BG_Data[Product],BG_Data[Biogenic CO2 emissions '[kg CO2']],0)</f>
        <v>0</v>
      </c>
      <c r="H585" s="584">
        <f>$D585*_xlfn.XLOOKUP($I585,BG_Data[Product],BG_Data[Total env. impact (Ecological Scarcity 2021) '[UBP']],0)</f>
        <v>0</v>
      </c>
      <c r="I585" s="503" cm="1">
        <f t="array" ref="I585">_xlfn.XLOOKUP(
     C585,
     _xlfn.TOCOL(_xlfn.HSTACK(Lists_S2_DistrictHeat[DE Name],Lists_S2_DistrictHeat[FR Name],Lists_S2_DistrictHeat[IT Name]),1),
     _xlfn.TOCOL(_xlfn.HSTACK(Lists_S2_DistrictHeat[BG Data],Lists_S2_DistrictHeat[BG Data],Lists_S2_DistrictHeat[BG Data]),1) &amp;" Direct",
     0)</f>
        <v>0</v>
      </c>
      <c r="J585" s="503" t="s">
        <v>27212</v>
      </c>
      <c r="K585" s="248"/>
    </row>
    <row r="586" spans="2:18" x14ac:dyDescent="0.2">
      <c r="B586" s="249"/>
      <c r="C586" s="503">
        <f>'2 Data Inputs'!C154</f>
        <v>0</v>
      </c>
      <c r="D586" s="537">
        <f>'2 Data Inputs'!F154</f>
        <v>0</v>
      </c>
      <c r="E586" s="537">
        <f>_xlfn.XLOOKUP($I586,BG_Data[Product],BG_Data[GHG emissions (IPCC 2021) '[kg CO2 eq']],0)</f>
        <v>0</v>
      </c>
      <c r="F586" s="537">
        <f t="shared" si="39"/>
        <v>0</v>
      </c>
      <c r="G586" s="537">
        <f>$D586*_xlfn.XLOOKUP($I586,BG_Data[Product],BG_Data[Biogenic CO2 emissions '[kg CO2']],0)</f>
        <v>0</v>
      </c>
      <c r="H586" s="584">
        <f>$D586*_xlfn.XLOOKUP($I586,BG_Data[Product],BG_Data[Total env. impact (Ecological Scarcity 2021) '[UBP']],0)</f>
        <v>0</v>
      </c>
      <c r="I586" s="503" cm="1">
        <f t="array" ref="I586">_xlfn.XLOOKUP(
     C586,
     _xlfn.TOCOL(_xlfn.HSTACK(Lists_S2_DistrictHeat[DE Name],Lists_S2_DistrictHeat[FR Name],Lists_S2_DistrictHeat[IT Name]),1),
     _xlfn.TOCOL(_xlfn.HSTACK(Lists_S2_DistrictHeat[BG Data],Lists_S2_DistrictHeat[BG Data],Lists_S2_DistrictHeat[BG Data]),1) &amp;" Direct",
     0)</f>
        <v>0</v>
      </c>
      <c r="J586" s="503" t="s">
        <v>27212</v>
      </c>
      <c r="K586" s="248"/>
    </row>
    <row r="587" spans="2:18" x14ac:dyDescent="0.2">
      <c r="B587" s="249"/>
      <c r="C587" s="503">
        <f>'2 Data Inputs'!C155</f>
        <v>0</v>
      </c>
      <c r="D587" s="537">
        <f>'2 Data Inputs'!F155</f>
        <v>0</v>
      </c>
      <c r="E587" s="537">
        <f>_xlfn.XLOOKUP($I587,BG_Data[Product],BG_Data[GHG emissions (IPCC 2021) '[kg CO2 eq']],0)</f>
        <v>0</v>
      </c>
      <c r="F587" s="537">
        <f t="shared" si="39"/>
        <v>0</v>
      </c>
      <c r="G587" s="537">
        <f>$D587*_xlfn.XLOOKUP($I587,BG_Data[Product],BG_Data[Biogenic CO2 emissions '[kg CO2']],0)</f>
        <v>0</v>
      </c>
      <c r="H587" s="584">
        <f>$D587*_xlfn.XLOOKUP($I587,BG_Data[Product],BG_Data[Total env. impact (Ecological Scarcity 2021) '[UBP']],0)</f>
        <v>0</v>
      </c>
      <c r="I587" s="503" cm="1">
        <f t="array" ref="I587">_xlfn.XLOOKUP(
     C587,
     _xlfn.TOCOL(_xlfn.HSTACK(Lists_S2_DistrictHeat[DE Name],Lists_S2_DistrictHeat[FR Name],Lists_S2_DistrictHeat[IT Name]),1),
     _xlfn.TOCOL(_xlfn.HSTACK(Lists_S2_DistrictHeat[BG Data],Lists_S2_DistrictHeat[BG Data],Lists_S2_DistrictHeat[BG Data]),1) &amp;" Direct",
     0)</f>
        <v>0</v>
      </c>
      <c r="J587" s="503" t="s">
        <v>27212</v>
      </c>
      <c r="K587" s="248"/>
    </row>
    <row r="588" spans="2:18" x14ac:dyDescent="0.2">
      <c r="B588" s="249"/>
      <c r="C588" s="506">
        <f>'2 Data Inputs'!C156</f>
        <v>0</v>
      </c>
      <c r="D588" s="532">
        <f>'2 Data Inputs'!F156</f>
        <v>0</v>
      </c>
      <c r="E588" s="532">
        <f>_xlfn.XLOOKUP($I588,BG_Data[Product],BG_Data[GHG emissions (IPCC 2021) '[kg CO2 eq']],0)</f>
        <v>0</v>
      </c>
      <c r="F588" s="532">
        <f t="shared" si="39"/>
        <v>0</v>
      </c>
      <c r="G588" s="532">
        <f>$D588*_xlfn.XLOOKUP($I588,BG_Data[Product],BG_Data[Biogenic CO2 emissions '[kg CO2']],0)</f>
        <v>0</v>
      </c>
      <c r="H588" s="581">
        <f>$D588*_xlfn.XLOOKUP($I588,BG_Data[Product],BG_Data[Total env. impact (Ecological Scarcity 2021) '[UBP']],0)</f>
        <v>0</v>
      </c>
      <c r="I588" s="506" cm="1">
        <f t="array" ref="I588">_xlfn.XLOOKUP(
     C588,
     _xlfn.TOCOL(_xlfn.HSTACK(Lists_S2_DistrictHeat[DE Name],Lists_S2_DistrictHeat[FR Name],Lists_S2_DistrictHeat[IT Name]),1),
     _xlfn.TOCOL(_xlfn.HSTACK(Lists_S2_DistrictHeat[BG Data],Lists_S2_DistrictHeat[BG Data],Lists_S2_DistrictHeat[BG Data]),1) &amp;" Direct",
     0)</f>
        <v>0</v>
      </c>
      <c r="J588" s="506" t="s">
        <v>27212</v>
      </c>
      <c r="K588" s="248"/>
    </row>
    <row r="589" spans="2:18" ht="15" x14ac:dyDescent="0.25">
      <c r="B589" s="249"/>
      <c r="C589" s="507" t="s">
        <v>2616</v>
      </c>
      <c r="D589" s="508">
        <f>SUM(D579:D588)</f>
        <v>0</v>
      </c>
      <c r="E589" s="508"/>
      <c r="F589" s="508">
        <f>SUM(F579:F588)</f>
        <v>0</v>
      </c>
      <c r="G589" s="508">
        <f>SUM(G579:G588)</f>
        <v>0</v>
      </c>
      <c r="H589" s="580">
        <f>SUM(H579:H588)</f>
        <v>0</v>
      </c>
      <c r="I589" s="507"/>
      <c r="J589" s="507"/>
      <c r="K589" s="248"/>
    </row>
    <row r="590" spans="2:18" x14ac:dyDescent="0.2">
      <c r="B590" s="254"/>
      <c r="C590" s="539"/>
      <c r="D590" s="540"/>
      <c r="E590" s="540"/>
      <c r="F590" s="540"/>
      <c r="G590" s="540"/>
      <c r="H590" s="588"/>
      <c r="I590" s="539"/>
      <c r="J590" s="539"/>
      <c r="K590" s="256"/>
    </row>
    <row r="591" spans="2:18" ht="15" x14ac:dyDescent="0.25">
      <c r="B591" s="258"/>
    </row>
    <row r="592" spans="2:18" x14ac:dyDescent="0.2">
      <c r="B592" s="246"/>
      <c r="C592" s="527"/>
      <c r="D592" s="528"/>
      <c r="E592" s="528"/>
      <c r="F592" s="528"/>
      <c r="G592" s="547"/>
      <c r="H592" s="589"/>
      <c r="I592" s="548"/>
      <c r="J592" s="548"/>
      <c r="K592" s="247" t="str">
        <f>Calc_Hyperlink_Lessee</f>
        <v>Upstream leases</v>
      </c>
    </row>
    <row r="593" spans="2:18" ht="15" x14ac:dyDescent="0.25">
      <c r="B593" s="249"/>
      <c r="C593" s="531" t="str">
        <f>n3Calculation_31Upstream_DistrictIndirect</f>
        <v>Chauffage à distance et vapeur - Indirect</v>
      </c>
      <c r="D593" s="511"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593" s="510"/>
      <c r="F593" s="510"/>
      <c r="G593" s="510"/>
      <c r="H593" s="571"/>
      <c r="I593" s="511"/>
      <c r="J593" s="511"/>
      <c r="K593" s="248"/>
      <c r="M593" s="299" t="s">
        <v>27868</v>
      </c>
    </row>
    <row r="594" spans="2:18" x14ac:dyDescent="0.2">
      <c r="B594" s="249"/>
      <c r="C594" s="740"/>
      <c r="D594" s="740"/>
      <c r="E594" s="740"/>
      <c r="F594" s="740"/>
      <c r="G594" s="510"/>
      <c r="H594" s="571"/>
      <c r="I594" s="511"/>
      <c r="J594" s="511"/>
      <c r="K594" s="248"/>
    </row>
    <row r="595" spans="2:18" s="686" customFormat="1" ht="33" x14ac:dyDescent="0.25">
      <c r="B595" s="681"/>
      <c r="C595" s="682" t="s">
        <v>28599</v>
      </c>
      <c r="D595" s="683" t="s">
        <v>28534</v>
      </c>
      <c r="E595" s="683" t="s">
        <v>27208</v>
      </c>
      <c r="F595" s="683" t="s">
        <v>27588</v>
      </c>
      <c r="G595" s="683" t="s">
        <v>27589</v>
      </c>
      <c r="H595" s="683" t="s">
        <v>27209</v>
      </c>
      <c r="I595" s="682" t="s">
        <v>27210</v>
      </c>
      <c r="J595" s="682" t="s">
        <v>27211</v>
      </c>
      <c r="K595" s="685"/>
      <c r="M595" s="687"/>
      <c r="N595" s="687"/>
      <c r="O595" s="687"/>
      <c r="P595" s="687"/>
      <c r="Q595" s="687"/>
      <c r="R595" s="687"/>
    </row>
    <row r="596" spans="2:18" x14ac:dyDescent="0.2">
      <c r="B596" s="249"/>
      <c r="C596" s="500">
        <f>'2 Data Inputs'!C147</f>
        <v>0</v>
      </c>
      <c r="D596" s="535">
        <f>'2 Data Inputs'!F147</f>
        <v>0</v>
      </c>
      <c r="E596" s="535">
        <f>_xlfn.XLOOKUP($I596,BG_Data[Product],BG_Data[GHG emissions (IPCC 2021) '[kg CO2 eq']],0)</f>
        <v>0</v>
      </c>
      <c r="F596" s="535">
        <f t="shared" ref="F596:F605" si="40">$D596*$E596</f>
        <v>0</v>
      </c>
      <c r="G596" s="535">
        <f>$D596*_xlfn.XLOOKUP($I596,BG_Data[Product],BG_Data[Biogenic CO2 emissions '[kg CO2']],0)</f>
        <v>0</v>
      </c>
      <c r="H596" s="583">
        <f>$D596*_xlfn.XLOOKUP($I596,BG_Data[Product],BG_Data[Total env. impact (Ecological Scarcity 2021) '[UBP']],0)</f>
        <v>0</v>
      </c>
      <c r="I596" s="500" cm="1">
        <f t="array" ref="I596">_xlfn.XLOOKUP(C596,
     _xlfn.TOCOL(_xlfn.HSTACK(Lists_S2_DistrictHeat[DE Name],Lists_S2_DistrictHeat[FR Name],Lists_S2_DistrictHeat[IT Name]),1),
     _xlfn.TOCOL(_xlfn.HSTACK(Lists_S2_DistrictHeat[BG Data],Lists_S2_DistrictHeat[BG Data],Lists_S2_DistrictHeat[BG Data]),1) &amp; " Indirect",
     0)</f>
        <v>0</v>
      </c>
      <c r="J596" s="500" t="s">
        <v>27212</v>
      </c>
      <c r="K596" s="248"/>
    </row>
    <row r="597" spans="2:18" x14ac:dyDescent="0.2">
      <c r="B597" s="249"/>
      <c r="C597" s="503">
        <f>'2 Data Inputs'!C148</f>
        <v>0</v>
      </c>
      <c r="D597" s="537">
        <f>'2 Data Inputs'!F148</f>
        <v>0</v>
      </c>
      <c r="E597" s="537">
        <f>_xlfn.XLOOKUP($I597,BG_Data[Product],BG_Data[GHG emissions (IPCC 2021) '[kg CO2 eq']],0)</f>
        <v>0</v>
      </c>
      <c r="F597" s="537">
        <f t="shared" si="40"/>
        <v>0</v>
      </c>
      <c r="G597" s="537">
        <f>$D597*_xlfn.XLOOKUP($I597,BG_Data[Product],BG_Data[Biogenic CO2 emissions '[kg CO2']],0)</f>
        <v>0</v>
      </c>
      <c r="H597" s="584">
        <f>$D597*_xlfn.XLOOKUP($I597,BG_Data[Product],BG_Data[Total env. impact (Ecological Scarcity 2021) '[UBP']],0)</f>
        <v>0</v>
      </c>
      <c r="I597" s="503" cm="1">
        <f t="array" ref="I597">_xlfn.XLOOKUP(C597,
     _xlfn.TOCOL(_xlfn.HSTACK(Lists_S2_DistrictHeat[DE Name],Lists_S2_DistrictHeat[FR Name],Lists_S2_DistrictHeat[IT Name]),1),
     _xlfn.TOCOL(_xlfn.HSTACK(Lists_S2_DistrictHeat[BG Data],Lists_S2_DistrictHeat[BG Data],Lists_S2_DistrictHeat[BG Data]),1) &amp; " Indirect",
     0)</f>
        <v>0</v>
      </c>
      <c r="J597" s="503" t="s">
        <v>27212</v>
      </c>
      <c r="K597" s="248"/>
    </row>
    <row r="598" spans="2:18" x14ac:dyDescent="0.2">
      <c r="B598" s="249"/>
      <c r="C598" s="503">
        <f>'2 Data Inputs'!C149</f>
        <v>0</v>
      </c>
      <c r="D598" s="537">
        <f>'2 Data Inputs'!F149</f>
        <v>0</v>
      </c>
      <c r="E598" s="537">
        <f>_xlfn.XLOOKUP($I598,BG_Data[Product],BG_Data[GHG emissions (IPCC 2021) '[kg CO2 eq']],0)</f>
        <v>0</v>
      </c>
      <c r="F598" s="537">
        <f t="shared" si="40"/>
        <v>0</v>
      </c>
      <c r="G598" s="537">
        <f>$D598*_xlfn.XLOOKUP($I598,BG_Data[Product],BG_Data[Biogenic CO2 emissions '[kg CO2']],0)</f>
        <v>0</v>
      </c>
      <c r="H598" s="584">
        <f>$D598*_xlfn.XLOOKUP($I598,BG_Data[Product],BG_Data[Total env. impact (Ecological Scarcity 2021) '[UBP']],0)</f>
        <v>0</v>
      </c>
      <c r="I598" s="503" cm="1">
        <f t="array" ref="I598">_xlfn.XLOOKUP(C598,
     _xlfn.TOCOL(_xlfn.HSTACK(Lists_S2_DistrictHeat[DE Name],Lists_S2_DistrictHeat[FR Name],Lists_S2_DistrictHeat[IT Name]),1),
     _xlfn.TOCOL(_xlfn.HSTACK(Lists_S2_DistrictHeat[BG Data],Lists_S2_DistrictHeat[BG Data],Lists_S2_DistrictHeat[BG Data]),1) &amp; " Indirect",
     0)</f>
        <v>0</v>
      </c>
      <c r="J598" s="503" t="s">
        <v>27212</v>
      </c>
      <c r="K598" s="248"/>
    </row>
    <row r="599" spans="2:18" x14ac:dyDescent="0.2">
      <c r="B599" s="249"/>
      <c r="C599" s="503">
        <f>'2 Data Inputs'!C150</f>
        <v>0</v>
      </c>
      <c r="D599" s="537">
        <f>'2 Data Inputs'!F150</f>
        <v>0</v>
      </c>
      <c r="E599" s="537">
        <f>_xlfn.XLOOKUP($I599,BG_Data[Product],BG_Data[GHG emissions (IPCC 2021) '[kg CO2 eq']],0)</f>
        <v>0</v>
      </c>
      <c r="F599" s="537">
        <f t="shared" si="40"/>
        <v>0</v>
      </c>
      <c r="G599" s="537">
        <f>$D599*_xlfn.XLOOKUP($I599,BG_Data[Product],BG_Data[Biogenic CO2 emissions '[kg CO2']],0)</f>
        <v>0</v>
      </c>
      <c r="H599" s="584">
        <f>$D599*_xlfn.XLOOKUP($I599,BG_Data[Product],BG_Data[Total env. impact (Ecological Scarcity 2021) '[UBP']],0)</f>
        <v>0</v>
      </c>
      <c r="I599" s="503" cm="1">
        <f t="array" ref="I599">_xlfn.XLOOKUP(C599,
     _xlfn.TOCOL(_xlfn.HSTACK(Lists_S2_DistrictHeat[DE Name],Lists_S2_DistrictHeat[FR Name],Lists_S2_DistrictHeat[IT Name]),1),
     _xlfn.TOCOL(_xlfn.HSTACK(Lists_S2_DistrictHeat[BG Data],Lists_S2_DistrictHeat[BG Data],Lists_S2_DistrictHeat[BG Data]),1) &amp; " Indirect",
     0)</f>
        <v>0</v>
      </c>
      <c r="J599" s="503" t="s">
        <v>27212</v>
      </c>
      <c r="K599" s="248"/>
    </row>
    <row r="600" spans="2:18" x14ac:dyDescent="0.2">
      <c r="B600" s="249"/>
      <c r="C600" s="503">
        <f>'2 Data Inputs'!C151</f>
        <v>0</v>
      </c>
      <c r="D600" s="537">
        <f>'2 Data Inputs'!F151</f>
        <v>0</v>
      </c>
      <c r="E600" s="537">
        <f>_xlfn.XLOOKUP($I600,BG_Data[Product],BG_Data[GHG emissions (IPCC 2021) '[kg CO2 eq']],0)</f>
        <v>0</v>
      </c>
      <c r="F600" s="537">
        <f t="shared" si="40"/>
        <v>0</v>
      </c>
      <c r="G600" s="537">
        <f>$D600*_xlfn.XLOOKUP($I600,BG_Data[Product],BG_Data[Biogenic CO2 emissions '[kg CO2']],0)</f>
        <v>0</v>
      </c>
      <c r="H600" s="584">
        <f>$D600*_xlfn.XLOOKUP($I600,BG_Data[Product],BG_Data[Total env. impact (Ecological Scarcity 2021) '[UBP']],0)</f>
        <v>0</v>
      </c>
      <c r="I600" s="503" cm="1">
        <f t="array" ref="I600">_xlfn.XLOOKUP(C600,
     _xlfn.TOCOL(_xlfn.HSTACK(Lists_S2_DistrictHeat[DE Name],Lists_S2_DistrictHeat[FR Name],Lists_S2_DistrictHeat[IT Name]),1),
     _xlfn.TOCOL(_xlfn.HSTACK(Lists_S2_DistrictHeat[BG Data],Lists_S2_DistrictHeat[BG Data],Lists_S2_DistrictHeat[BG Data]),1) &amp; " Indirect",
     0)</f>
        <v>0</v>
      </c>
      <c r="J600" s="503" t="s">
        <v>27212</v>
      </c>
      <c r="K600" s="248"/>
    </row>
    <row r="601" spans="2:18" x14ac:dyDescent="0.2">
      <c r="B601" s="249"/>
      <c r="C601" s="503">
        <f>'2 Data Inputs'!C152</f>
        <v>0</v>
      </c>
      <c r="D601" s="537">
        <f>'2 Data Inputs'!F152</f>
        <v>0</v>
      </c>
      <c r="E601" s="537">
        <f>_xlfn.XLOOKUP($I601,BG_Data[Product],BG_Data[GHG emissions (IPCC 2021) '[kg CO2 eq']],0)</f>
        <v>0</v>
      </c>
      <c r="F601" s="537">
        <f t="shared" si="40"/>
        <v>0</v>
      </c>
      <c r="G601" s="537">
        <f>$D601*_xlfn.XLOOKUP($I601,BG_Data[Product],BG_Data[Biogenic CO2 emissions '[kg CO2']],0)</f>
        <v>0</v>
      </c>
      <c r="H601" s="584">
        <f>$D601*_xlfn.XLOOKUP($I601,BG_Data[Product],BG_Data[Total env. impact (Ecological Scarcity 2021) '[UBP']],0)</f>
        <v>0</v>
      </c>
      <c r="I601" s="503" cm="1">
        <f t="array" ref="I601">_xlfn.XLOOKUP(C601,
     _xlfn.TOCOL(_xlfn.HSTACK(Lists_S2_DistrictHeat[DE Name],Lists_S2_DistrictHeat[FR Name],Lists_S2_DistrictHeat[IT Name]),1),
     _xlfn.TOCOL(_xlfn.HSTACK(Lists_S2_DistrictHeat[BG Data],Lists_S2_DistrictHeat[BG Data],Lists_S2_DistrictHeat[BG Data]),1) &amp; " Indirect",
     0)</f>
        <v>0</v>
      </c>
      <c r="J601" s="503" t="s">
        <v>27212</v>
      </c>
      <c r="K601" s="248"/>
    </row>
    <row r="602" spans="2:18" x14ac:dyDescent="0.2">
      <c r="B602" s="249"/>
      <c r="C602" s="503">
        <f>'2 Data Inputs'!C153</f>
        <v>0</v>
      </c>
      <c r="D602" s="537">
        <f>'2 Data Inputs'!F153</f>
        <v>0</v>
      </c>
      <c r="E602" s="537">
        <f>_xlfn.XLOOKUP($I602,BG_Data[Product],BG_Data[GHG emissions (IPCC 2021) '[kg CO2 eq']],0)</f>
        <v>0</v>
      </c>
      <c r="F602" s="537">
        <f t="shared" si="40"/>
        <v>0</v>
      </c>
      <c r="G602" s="537">
        <f>$D602*_xlfn.XLOOKUP($I602,BG_Data[Product],BG_Data[Biogenic CO2 emissions '[kg CO2']],0)</f>
        <v>0</v>
      </c>
      <c r="H602" s="584">
        <f>$D602*_xlfn.XLOOKUP($I602,BG_Data[Product],BG_Data[Total env. impact (Ecological Scarcity 2021) '[UBP']],0)</f>
        <v>0</v>
      </c>
      <c r="I602" s="503" cm="1">
        <f t="array" ref="I602">_xlfn.XLOOKUP(C602,
     _xlfn.TOCOL(_xlfn.HSTACK(Lists_S2_DistrictHeat[DE Name],Lists_S2_DistrictHeat[FR Name],Lists_S2_DistrictHeat[IT Name]),1),
     _xlfn.TOCOL(_xlfn.HSTACK(Lists_S2_DistrictHeat[BG Data],Lists_S2_DistrictHeat[BG Data],Lists_S2_DistrictHeat[BG Data]),1) &amp; " Indirect",
     0)</f>
        <v>0</v>
      </c>
      <c r="J602" s="503" t="s">
        <v>27212</v>
      </c>
      <c r="K602" s="248"/>
    </row>
    <row r="603" spans="2:18" x14ac:dyDescent="0.2">
      <c r="B603" s="249"/>
      <c r="C603" s="503">
        <f>'2 Data Inputs'!C154</f>
        <v>0</v>
      </c>
      <c r="D603" s="537">
        <f>'2 Data Inputs'!F154</f>
        <v>0</v>
      </c>
      <c r="E603" s="537">
        <f>_xlfn.XLOOKUP($I603,BG_Data[Product],BG_Data[GHG emissions (IPCC 2021) '[kg CO2 eq']],0)</f>
        <v>0</v>
      </c>
      <c r="F603" s="537">
        <f t="shared" si="40"/>
        <v>0</v>
      </c>
      <c r="G603" s="537">
        <f>$D603*_xlfn.XLOOKUP($I603,BG_Data[Product],BG_Data[Biogenic CO2 emissions '[kg CO2']],0)</f>
        <v>0</v>
      </c>
      <c r="H603" s="584">
        <f>$D603*_xlfn.XLOOKUP($I603,BG_Data[Product],BG_Data[Total env. impact (Ecological Scarcity 2021) '[UBP']],0)</f>
        <v>0</v>
      </c>
      <c r="I603" s="503" cm="1">
        <f t="array" ref="I603">_xlfn.XLOOKUP(C603,
     _xlfn.TOCOL(_xlfn.HSTACK(Lists_S2_DistrictHeat[DE Name],Lists_S2_DistrictHeat[FR Name],Lists_S2_DistrictHeat[IT Name]),1),
     _xlfn.TOCOL(_xlfn.HSTACK(Lists_S2_DistrictHeat[BG Data],Lists_S2_DistrictHeat[BG Data],Lists_S2_DistrictHeat[BG Data]),1) &amp; " Indirect",
     0)</f>
        <v>0</v>
      </c>
      <c r="J603" s="503" t="s">
        <v>27212</v>
      </c>
      <c r="K603" s="248"/>
    </row>
    <row r="604" spans="2:18" x14ac:dyDescent="0.2">
      <c r="B604" s="249"/>
      <c r="C604" s="503">
        <f>'2 Data Inputs'!C155</f>
        <v>0</v>
      </c>
      <c r="D604" s="537">
        <f>'2 Data Inputs'!F155</f>
        <v>0</v>
      </c>
      <c r="E604" s="537">
        <f>_xlfn.XLOOKUP($I604,BG_Data[Product],BG_Data[GHG emissions (IPCC 2021) '[kg CO2 eq']],0)</f>
        <v>0</v>
      </c>
      <c r="F604" s="537">
        <f t="shared" si="40"/>
        <v>0</v>
      </c>
      <c r="G604" s="537">
        <f>$D604*_xlfn.XLOOKUP($I604,BG_Data[Product],BG_Data[Biogenic CO2 emissions '[kg CO2']],0)</f>
        <v>0</v>
      </c>
      <c r="H604" s="584">
        <f>$D604*_xlfn.XLOOKUP($I604,BG_Data[Product],BG_Data[Total env. impact (Ecological Scarcity 2021) '[UBP']],0)</f>
        <v>0</v>
      </c>
      <c r="I604" s="503" cm="1">
        <f t="array" ref="I604">_xlfn.XLOOKUP(C604,
     _xlfn.TOCOL(_xlfn.HSTACK(Lists_S2_DistrictHeat[DE Name],Lists_S2_DistrictHeat[FR Name],Lists_S2_DistrictHeat[IT Name]),1),
     _xlfn.TOCOL(_xlfn.HSTACK(Lists_S2_DistrictHeat[BG Data],Lists_S2_DistrictHeat[BG Data],Lists_S2_DistrictHeat[BG Data]),1) &amp; " Indirect",
     0)</f>
        <v>0</v>
      </c>
      <c r="J604" s="503" t="s">
        <v>27212</v>
      </c>
      <c r="K604" s="248"/>
    </row>
    <row r="605" spans="2:18" x14ac:dyDescent="0.2">
      <c r="B605" s="249"/>
      <c r="C605" s="506">
        <f>'2 Data Inputs'!C156</f>
        <v>0</v>
      </c>
      <c r="D605" s="532">
        <f>'2 Data Inputs'!F156</f>
        <v>0</v>
      </c>
      <c r="E605" s="532">
        <f>_xlfn.XLOOKUP($I605,BG_Data[Product],BG_Data[GHG emissions (IPCC 2021) '[kg CO2 eq']],0)</f>
        <v>0</v>
      </c>
      <c r="F605" s="532">
        <f t="shared" si="40"/>
        <v>0</v>
      </c>
      <c r="G605" s="532">
        <f>$D605*_xlfn.XLOOKUP($I605,BG_Data[Product],BG_Data[Biogenic CO2 emissions '[kg CO2']],0)</f>
        <v>0</v>
      </c>
      <c r="H605" s="581">
        <f>$D605*_xlfn.XLOOKUP($I605,BG_Data[Product],BG_Data[Total env. impact (Ecological Scarcity 2021) '[UBP']],0)</f>
        <v>0</v>
      </c>
      <c r="I605" s="506" cm="1">
        <f t="array" ref="I605">_xlfn.XLOOKUP(C605,
     _xlfn.TOCOL(_xlfn.HSTACK(Lists_S2_DistrictHeat[DE Name],Lists_S2_DistrictHeat[FR Name],Lists_S2_DistrictHeat[IT Name]),1),
     _xlfn.TOCOL(_xlfn.HSTACK(Lists_S2_DistrictHeat[BG Data],Lists_S2_DistrictHeat[BG Data],Lists_S2_DistrictHeat[BG Data]),1) &amp; " Indirect",
     0)</f>
        <v>0</v>
      </c>
      <c r="J605" s="506" t="s">
        <v>27212</v>
      </c>
      <c r="K605" s="248"/>
    </row>
    <row r="606" spans="2:18" ht="15" x14ac:dyDescent="0.25">
      <c r="B606" s="249"/>
      <c r="C606" s="507" t="s">
        <v>2616</v>
      </c>
      <c r="D606" s="508">
        <f>SUM(D596:D605)</f>
        <v>0</v>
      </c>
      <c r="E606" s="508"/>
      <c r="F606" s="508">
        <f>SUM(F596:F605)</f>
        <v>0</v>
      </c>
      <c r="G606" s="508">
        <f>SUM(G596:G605)</f>
        <v>0</v>
      </c>
      <c r="H606" s="580">
        <f>SUM(H596:H605)</f>
        <v>0</v>
      </c>
      <c r="I606" s="507"/>
      <c r="J606" s="507"/>
      <c r="K606" s="248"/>
    </row>
    <row r="607" spans="2:18" x14ac:dyDescent="0.2">
      <c r="B607" s="254"/>
      <c r="C607" s="539"/>
      <c r="D607" s="540"/>
      <c r="E607" s="540"/>
      <c r="F607" s="540"/>
      <c r="G607" s="540"/>
      <c r="H607" s="588"/>
      <c r="I607" s="539"/>
      <c r="J607" s="539"/>
      <c r="K607" s="256"/>
    </row>
    <row r="608" spans="2:18" ht="15" x14ac:dyDescent="0.25">
      <c r="B608" s="258"/>
    </row>
    <row r="609" spans="2:18" x14ac:dyDescent="0.2">
      <c r="B609" s="246"/>
      <c r="C609" s="527"/>
      <c r="D609" s="528"/>
      <c r="E609" s="528"/>
      <c r="F609" s="528"/>
      <c r="G609" s="547"/>
      <c r="H609" s="589"/>
      <c r="I609" s="548"/>
      <c r="J609" s="548"/>
      <c r="K609" s="247" t="str">
        <f>Calc_Hyperlink_Lessee</f>
        <v>Upstream leases</v>
      </c>
    </row>
    <row r="610" spans="2:18" ht="15" x14ac:dyDescent="0.25">
      <c r="B610" s="249"/>
      <c r="C610" s="531" t="str">
        <f>n3Calculation_32.1Upstream_ElectricityDirectMarket</f>
        <v>Électricité - Basé sur le marché - Direct</v>
      </c>
      <c r="D610" s="511" t="str">
        <f>"Control approach = " &amp; GenInp_ConsolAppr &amp; " ; Lease type = " &amp; GenInp_LeaseType &amp; " → Direct emissions " &amp; IF(GenInp_LeaseType="Operating Lease","Scope 3.8 ","Scope 2")</f>
        <v>Control approach = missing input ; Lease type = missing input → Direct emissions Scope 2</v>
      </c>
      <c r="E610" s="510"/>
      <c r="F610" s="510"/>
      <c r="G610" s="510"/>
      <c r="H610" s="571"/>
      <c r="I610" s="511"/>
      <c r="J610" s="511"/>
      <c r="K610" s="248"/>
      <c r="M610" s="299" t="s">
        <v>28319</v>
      </c>
    </row>
    <row r="611" spans="2:18" x14ac:dyDescent="0.2">
      <c r="B611" s="249"/>
      <c r="C611" s="740"/>
      <c r="D611" s="740"/>
      <c r="E611" s="740"/>
      <c r="F611" s="740"/>
      <c r="G611" s="510"/>
      <c r="H611" s="571"/>
      <c r="I611" s="511"/>
      <c r="J611" s="511"/>
      <c r="K611" s="248"/>
    </row>
    <row r="612" spans="2:18" s="686" customFormat="1" ht="33" x14ac:dyDescent="0.25">
      <c r="B612" s="681"/>
      <c r="C612" s="682" t="s">
        <v>27265</v>
      </c>
      <c r="D612" s="683" t="s">
        <v>28537</v>
      </c>
      <c r="E612" s="683" t="s">
        <v>27208</v>
      </c>
      <c r="F612" s="683" t="s">
        <v>27588</v>
      </c>
      <c r="G612" s="683" t="s">
        <v>27589</v>
      </c>
      <c r="H612" s="683" t="s">
        <v>27209</v>
      </c>
      <c r="I612" s="682" t="s">
        <v>27210</v>
      </c>
      <c r="J612" s="682" t="s">
        <v>27211</v>
      </c>
      <c r="K612" s="685"/>
      <c r="M612" s="687"/>
      <c r="N612" s="687"/>
      <c r="O612" s="687"/>
      <c r="P612" s="687"/>
      <c r="Q612" s="687"/>
      <c r="R612" s="687"/>
    </row>
    <row r="613" spans="2:18" x14ac:dyDescent="0.2">
      <c r="B613" s="249"/>
      <c r="C613" s="524" t="str">
        <f>'2 Data Inputs'!C471</f>
        <v>Électricité achetée sans garantie d'origine</v>
      </c>
      <c r="D613" s="525">
        <f>'2 Data Inputs'!F471</f>
        <v>0</v>
      </c>
      <c r="E613" s="525">
        <f>_xlfn.XLOOKUP($I613,BG_Data[Product],BG_Data[GHG emissions (IPCC 2021) '[kg CO2 eq']],0)</f>
        <v>5.625548261860136E-2</v>
      </c>
      <c r="F613" s="525">
        <f t="shared" ref="F613" si="41">$D613*$E613</f>
        <v>0</v>
      </c>
      <c r="G613" s="525">
        <f>$D613*_xlfn.XLOOKUP($I613,BG_Data[Product],BG_Data[Biogenic CO2 emissions '[kg CO2']],0)</f>
        <v>0</v>
      </c>
      <c r="H613" s="574">
        <f>$D613*_xlfn.XLOOKUP($I613,BG_Data[Product],BG_Data[Total env. impact (Ecological Scarcity 2021) '[UBP']],0)</f>
        <v>0</v>
      </c>
      <c r="I613" s="524" t="str">
        <f>IF('2 Data Inputs'!J471="Niederspannung","Electricity, low voltage, at grid {CH} kWh Direct","Electricity, medium voltage, at grid {CH} kWh Direct")</f>
        <v>Electricity, low voltage, at grid {CH} kWh Direct</v>
      </c>
      <c r="J613" s="524" t="s">
        <v>27212</v>
      </c>
      <c r="K613" s="248"/>
    </row>
    <row r="614" spans="2:18" x14ac:dyDescent="0.2">
      <c r="B614" s="249"/>
      <c r="C614" s="740"/>
      <c r="D614" s="740"/>
      <c r="E614" s="740"/>
      <c r="F614" s="740"/>
      <c r="G614" s="510"/>
      <c r="H614" s="571"/>
      <c r="I614" s="511"/>
      <c r="J614" s="511"/>
      <c r="K614" s="248"/>
    </row>
    <row r="615" spans="2:18" s="686" customFormat="1" ht="33" x14ac:dyDescent="0.25">
      <c r="B615" s="681"/>
      <c r="C615" s="682" t="s">
        <v>2607</v>
      </c>
      <c r="D615" s="683" t="s">
        <v>28537</v>
      </c>
      <c r="E615" s="683" t="s">
        <v>27208</v>
      </c>
      <c r="F615" s="683" t="s">
        <v>27588</v>
      </c>
      <c r="G615" s="683" t="s">
        <v>27589</v>
      </c>
      <c r="H615" s="683" t="s">
        <v>27209</v>
      </c>
      <c r="I615" s="682" t="s">
        <v>27210</v>
      </c>
      <c r="J615" s="682" t="s">
        <v>27211</v>
      </c>
      <c r="K615" s="685"/>
      <c r="M615" s="687"/>
      <c r="N615" s="687"/>
      <c r="O615" s="687"/>
      <c r="P615" s="687"/>
      <c r="Q615" s="687"/>
      <c r="R615" s="687"/>
    </row>
    <row r="616" spans="2:18" x14ac:dyDescent="0.2">
      <c r="B616" s="249"/>
      <c r="C616" s="500">
        <f>'2 Data Inputs'!C473</f>
        <v>0</v>
      </c>
      <c r="D616" s="535">
        <f>'2 Data Inputs'!F473</f>
        <v>0</v>
      </c>
      <c r="E616" s="535">
        <f>_xlfn.XLOOKUP($I616,BG_Data[Product],BG_Data[GHG emissions (IPCC 2021) '[kg CO2 eq']],0)</f>
        <v>0</v>
      </c>
      <c r="F616" s="535">
        <f t="shared" ref="F616:F625" si="42">$D616*$E616</f>
        <v>0</v>
      </c>
      <c r="G616" s="535">
        <f>$D616*_xlfn.XLOOKUP($I616,BG_Data[Product],BG_Data[Biogenic CO2 emissions '[kg CO2']],0)</f>
        <v>0</v>
      </c>
      <c r="H616" s="583">
        <f>$D616*_xlfn.XLOOKUP($I616,BG_Data[Product],BG_Data[Total env. impact (Ecological Scarcity 2021) '[UBP']],0)</f>
        <v>0</v>
      </c>
      <c r="I616" s="535">
        <f>IF(Calc_Lessee_Electricity_Direct2[[#This Row],[Source]]=0,0,
  _xlfn.XLOOKUP('2 Data Inputs'!I473,
     Lists_S2_Electricity[Category DE],
     Lists_S2_Electricity[BG Data],
     "") &amp; " Direct"
)</f>
        <v>0</v>
      </c>
      <c r="J616" s="500" t="s">
        <v>27212</v>
      </c>
      <c r="K616" s="248"/>
    </row>
    <row r="617" spans="2:18" x14ac:dyDescent="0.2">
      <c r="B617" s="249"/>
      <c r="C617" s="503">
        <f>'2 Data Inputs'!C474</f>
        <v>0</v>
      </c>
      <c r="D617" s="537">
        <f>'2 Data Inputs'!F474</f>
        <v>0</v>
      </c>
      <c r="E617" s="537">
        <f>_xlfn.XLOOKUP($I617,BG_Data[Product],BG_Data[GHG emissions (IPCC 2021) '[kg CO2 eq']],0)</f>
        <v>0</v>
      </c>
      <c r="F617" s="537">
        <f t="shared" si="42"/>
        <v>0</v>
      </c>
      <c r="G617" s="537">
        <f>$D617*_xlfn.XLOOKUP($I617,BG_Data[Product],BG_Data[Biogenic CO2 emissions '[kg CO2']],0)</f>
        <v>0</v>
      </c>
      <c r="H617" s="584">
        <f>$D617*_xlfn.XLOOKUP($I617,BG_Data[Product],BG_Data[Total env. impact (Ecological Scarcity 2021) '[UBP']],0)</f>
        <v>0</v>
      </c>
      <c r="I617" s="537">
        <f>IF(Calc_Lessee_Electricity_Direct2[[#This Row],[Source]]=0,0,
  _xlfn.XLOOKUP('2 Data Inputs'!I474,
     Lists_S2_Electricity[Category DE],
     Lists_S2_Electricity[BG Data],
     "") &amp; " Direct"
)</f>
        <v>0</v>
      </c>
      <c r="J617" s="503" t="s">
        <v>27212</v>
      </c>
      <c r="K617" s="248"/>
    </row>
    <row r="618" spans="2:18" x14ac:dyDescent="0.2">
      <c r="B618" s="249"/>
      <c r="C618" s="503">
        <f>'2 Data Inputs'!C475</f>
        <v>0</v>
      </c>
      <c r="D618" s="537">
        <f>'2 Data Inputs'!F475</f>
        <v>0</v>
      </c>
      <c r="E618" s="537">
        <f>_xlfn.XLOOKUP($I618,BG_Data[Product],BG_Data[GHG emissions (IPCC 2021) '[kg CO2 eq']],0)</f>
        <v>0</v>
      </c>
      <c r="F618" s="537">
        <f t="shared" si="42"/>
        <v>0</v>
      </c>
      <c r="G618" s="537">
        <f>$D618*_xlfn.XLOOKUP($I618,BG_Data[Product],BG_Data[Biogenic CO2 emissions '[kg CO2']],0)</f>
        <v>0</v>
      </c>
      <c r="H618" s="584">
        <f>$D618*_xlfn.XLOOKUP($I618,BG_Data[Product],BG_Data[Total env. impact (Ecological Scarcity 2021) '[UBP']],0)</f>
        <v>0</v>
      </c>
      <c r="I618" s="537">
        <f>IF(Calc_Lessee_Electricity_Direct2[[#This Row],[Source]]=0,0,
  _xlfn.XLOOKUP('2 Data Inputs'!I475,
     Lists_S2_Electricity[Category DE],
     Lists_S2_Electricity[BG Data],
     "") &amp; " Direct"
)</f>
        <v>0</v>
      </c>
      <c r="J618" s="503" t="s">
        <v>27212</v>
      </c>
      <c r="K618" s="248"/>
    </row>
    <row r="619" spans="2:18" x14ac:dyDescent="0.2">
      <c r="B619" s="249"/>
      <c r="C619" s="503">
        <f>'2 Data Inputs'!C476</f>
        <v>0</v>
      </c>
      <c r="D619" s="537">
        <f>'2 Data Inputs'!F476</f>
        <v>0</v>
      </c>
      <c r="E619" s="537">
        <f>_xlfn.XLOOKUP($I619,BG_Data[Product],BG_Data[GHG emissions (IPCC 2021) '[kg CO2 eq']],0)</f>
        <v>0</v>
      </c>
      <c r="F619" s="537">
        <f t="shared" si="42"/>
        <v>0</v>
      </c>
      <c r="G619" s="537">
        <f>$D619*_xlfn.XLOOKUP($I619,BG_Data[Product],BG_Data[Biogenic CO2 emissions '[kg CO2']],0)</f>
        <v>0</v>
      </c>
      <c r="H619" s="584">
        <f>$D619*_xlfn.XLOOKUP($I619,BG_Data[Product],BG_Data[Total env. impact (Ecological Scarcity 2021) '[UBP']],0)</f>
        <v>0</v>
      </c>
      <c r="I619" s="537">
        <f>IF(Calc_Lessee_Electricity_Direct2[[#This Row],[Source]]=0,0,
  _xlfn.XLOOKUP('2 Data Inputs'!I476,
     Lists_S2_Electricity[Category DE],
     Lists_S2_Electricity[BG Data],
     "") &amp; " Direct"
)</f>
        <v>0</v>
      </c>
      <c r="J619" s="503" t="s">
        <v>27212</v>
      </c>
      <c r="K619" s="248"/>
    </row>
    <row r="620" spans="2:18" x14ac:dyDescent="0.2">
      <c r="B620" s="249"/>
      <c r="C620" s="503">
        <f>'2 Data Inputs'!C477</f>
        <v>0</v>
      </c>
      <c r="D620" s="537">
        <f>'2 Data Inputs'!F477</f>
        <v>0</v>
      </c>
      <c r="E620" s="537">
        <f>_xlfn.XLOOKUP($I620,BG_Data[Product],BG_Data[GHG emissions (IPCC 2021) '[kg CO2 eq']],0)</f>
        <v>0</v>
      </c>
      <c r="F620" s="537">
        <f t="shared" si="42"/>
        <v>0</v>
      </c>
      <c r="G620" s="537">
        <f>$D620*_xlfn.XLOOKUP($I620,BG_Data[Product],BG_Data[Biogenic CO2 emissions '[kg CO2']],0)</f>
        <v>0</v>
      </c>
      <c r="H620" s="584">
        <f>$D620*_xlfn.XLOOKUP($I620,BG_Data[Product],BG_Data[Total env. impact (Ecological Scarcity 2021) '[UBP']],0)</f>
        <v>0</v>
      </c>
      <c r="I620" s="537">
        <f>IF(Calc_Lessee_Electricity_Direct2[[#This Row],[Source]]=0,0,
  _xlfn.XLOOKUP('2 Data Inputs'!I477,
     Lists_S2_Electricity[Category DE],
     Lists_S2_Electricity[BG Data],
     "") &amp; " Direct"
)</f>
        <v>0</v>
      </c>
      <c r="J620" s="503" t="s">
        <v>27212</v>
      </c>
      <c r="K620" s="248"/>
    </row>
    <row r="621" spans="2:18" x14ac:dyDescent="0.2">
      <c r="B621" s="249"/>
      <c r="C621" s="503">
        <f>'2 Data Inputs'!C478</f>
        <v>0</v>
      </c>
      <c r="D621" s="537">
        <f>'2 Data Inputs'!F478</f>
        <v>0</v>
      </c>
      <c r="E621" s="537">
        <f>_xlfn.XLOOKUP($I621,BG_Data[Product],BG_Data[GHG emissions (IPCC 2021) '[kg CO2 eq']],0)</f>
        <v>0</v>
      </c>
      <c r="F621" s="537">
        <f t="shared" si="42"/>
        <v>0</v>
      </c>
      <c r="G621" s="537">
        <f>$D621*_xlfn.XLOOKUP($I621,BG_Data[Product],BG_Data[Biogenic CO2 emissions '[kg CO2']],0)</f>
        <v>0</v>
      </c>
      <c r="H621" s="584">
        <f>$D621*_xlfn.XLOOKUP($I621,BG_Data[Product],BG_Data[Total env. impact (Ecological Scarcity 2021) '[UBP']],0)</f>
        <v>0</v>
      </c>
      <c r="I621" s="537">
        <f>IF(Calc_Lessee_Electricity_Direct2[[#This Row],[Source]]=0,0,
  _xlfn.XLOOKUP('2 Data Inputs'!I478,
     Lists_S2_Electricity[Category DE],
     Lists_S2_Electricity[BG Data],
     "") &amp; " Direct"
)</f>
        <v>0</v>
      </c>
      <c r="J621" s="503" t="s">
        <v>27212</v>
      </c>
      <c r="K621" s="248"/>
    </row>
    <row r="622" spans="2:18" x14ac:dyDescent="0.2">
      <c r="B622" s="249"/>
      <c r="C622" s="503">
        <f>'2 Data Inputs'!C479</f>
        <v>0</v>
      </c>
      <c r="D622" s="537">
        <f>'2 Data Inputs'!F479</f>
        <v>0</v>
      </c>
      <c r="E622" s="537">
        <f>_xlfn.XLOOKUP($I622,BG_Data[Product],BG_Data[GHG emissions (IPCC 2021) '[kg CO2 eq']],0)</f>
        <v>0</v>
      </c>
      <c r="F622" s="537">
        <f t="shared" si="42"/>
        <v>0</v>
      </c>
      <c r="G622" s="537">
        <f>$D622*_xlfn.XLOOKUP($I622,BG_Data[Product],BG_Data[Biogenic CO2 emissions '[kg CO2']],0)</f>
        <v>0</v>
      </c>
      <c r="H622" s="584">
        <f>$D622*_xlfn.XLOOKUP($I622,BG_Data[Product],BG_Data[Total env. impact (Ecological Scarcity 2021) '[UBP']],0)</f>
        <v>0</v>
      </c>
      <c r="I622" s="537">
        <f>IF(Calc_Lessee_Electricity_Direct2[[#This Row],[Source]]=0,0,
  _xlfn.XLOOKUP('2 Data Inputs'!I479,
     Lists_S2_Electricity[Category DE],
     Lists_S2_Electricity[BG Data],
     "") &amp; " Direct"
)</f>
        <v>0</v>
      </c>
      <c r="J622" s="503" t="s">
        <v>27212</v>
      </c>
      <c r="K622" s="248"/>
    </row>
    <row r="623" spans="2:18" x14ac:dyDescent="0.2">
      <c r="B623" s="249"/>
      <c r="C623" s="503">
        <f>'2 Data Inputs'!C480</f>
        <v>0</v>
      </c>
      <c r="D623" s="537">
        <f>'2 Data Inputs'!F480</f>
        <v>0</v>
      </c>
      <c r="E623" s="537">
        <f>_xlfn.XLOOKUP($I623,BG_Data[Product],BG_Data[GHG emissions (IPCC 2021) '[kg CO2 eq']],0)</f>
        <v>0</v>
      </c>
      <c r="F623" s="537">
        <f t="shared" si="42"/>
        <v>0</v>
      </c>
      <c r="G623" s="537">
        <f>$D623*_xlfn.XLOOKUP($I623,BG_Data[Product],BG_Data[Biogenic CO2 emissions '[kg CO2']],0)</f>
        <v>0</v>
      </c>
      <c r="H623" s="584">
        <f>$D623*_xlfn.XLOOKUP($I623,BG_Data[Product],BG_Data[Total env. impact (Ecological Scarcity 2021) '[UBP']],0)</f>
        <v>0</v>
      </c>
      <c r="I623" s="537">
        <f>IF(Calc_Lessee_Electricity_Direct2[[#This Row],[Source]]=0,0,
  _xlfn.XLOOKUP('2 Data Inputs'!I480,
     Lists_S2_Electricity[Category DE],
     Lists_S2_Electricity[BG Data],
     "") &amp; " Direct"
)</f>
        <v>0</v>
      </c>
      <c r="J623" s="503" t="s">
        <v>27212</v>
      </c>
      <c r="K623" s="248"/>
    </row>
    <row r="624" spans="2:18" x14ac:dyDescent="0.2">
      <c r="B624" s="249"/>
      <c r="C624" s="503">
        <f>'2 Data Inputs'!C481</f>
        <v>0</v>
      </c>
      <c r="D624" s="537">
        <f>'2 Data Inputs'!F481</f>
        <v>0</v>
      </c>
      <c r="E624" s="537">
        <f>_xlfn.XLOOKUP($I624,BG_Data[Product],BG_Data[GHG emissions (IPCC 2021) '[kg CO2 eq']],0)</f>
        <v>0</v>
      </c>
      <c r="F624" s="537">
        <f t="shared" si="42"/>
        <v>0</v>
      </c>
      <c r="G624" s="537">
        <f>$D624*_xlfn.XLOOKUP($I624,BG_Data[Product],BG_Data[Biogenic CO2 emissions '[kg CO2']],0)</f>
        <v>0</v>
      </c>
      <c r="H624" s="584">
        <f>$D624*_xlfn.XLOOKUP($I624,BG_Data[Product],BG_Data[Total env. impact (Ecological Scarcity 2021) '[UBP']],0)</f>
        <v>0</v>
      </c>
      <c r="I624" s="537">
        <f>IF(Calc_Lessee_Electricity_Direct2[[#This Row],[Source]]=0,0,
  _xlfn.XLOOKUP('2 Data Inputs'!I481,
     Lists_S2_Electricity[Category DE],
     Lists_S2_Electricity[BG Data],
     "") &amp; " Direct"
)</f>
        <v>0</v>
      </c>
      <c r="J624" s="503" t="s">
        <v>27212</v>
      </c>
      <c r="K624" s="248"/>
    </row>
    <row r="625" spans="2:18" ht="15" customHeight="1" x14ac:dyDescent="0.2">
      <c r="B625" s="249"/>
      <c r="C625" s="506">
        <f>'2 Data Inputs'!C482</f>
        <v>0</v>
      </c>
      <c r="D625" s="532">
        <f>'2 Data Inputs'!F482</f>
        <v>0</v>
      </c>
      <c r="E625" s="532">
        <f>_xlfn.XLOOKUP($I625,BG_Data[Product],BG_Data[GHG emissions (IPCC 2021) '[kg CO2 eq']],0)</f>
        <v>0</v>
      </c>
      <c r="F625" s="532">
        <f t="shared" si="42"/>
        <v>0</v>
      </c>
      <c r="G625" s="532">
        <f>$D625*_xlfn.XLOOKUP($I625,BG_Data[Product],BG_Data[Biogenic CO2 emissions '[kg CO2']],0)</f>
        <v>0</v>
      </c>
      <c r="H625" s="581">
        <f>$D625*_xlfn.XLOOKUP($I625,BG_Data[Product],BG_Data[Total env. impact (Ecological Scarcity 2021) '[UBP']],0)</f>
        <v>0</v>
      </c>
      <c r="I625" s="532">
        <f>IF(Calc_Lessee_Electricity_Direct2[[#This Row],[Source]]=0,0,
  _xlfn.XLOOKUP('2 Data Inputs'!I482,
     Lists_S2_Electricity[Category DE],
     Lists_S2_Electricity[BG Data],
     "") &amp; " Direct"
)</f>
        <v>0</v>
      </c>
      <c r="J625" s="506" t="s">
        <v>27212</v>
      </c>
      <c r="K625" s="248"/>
    </row>
    <row r="626" spans="2:18" ht="15" x14ac:dyDescent="0.25">
      <c r="B626" s="249"/>
      <c r="C626" s="507" t="s">
        <v>2616</v>
      </c>
      <c r="D626" s="558">
        <f>SUM(D616:D625)</f>
        <v>0</v>
      </c>
      <c r="E626" s="508"/>
      <c r="F626" s="508">
        <f>SUM(F616:F625)</f>
        <v>0</v>
      </c>
      <c r="G626" s="508">
        <f>SUM(G616:G625)</f>
        <v>0</v>
      </c>
      <c r="H626" s="580">
        <f>SUM(H616:H625)</f>
        <v>0</v>
      </c>
      <c r="I626" s="507"/>
      <c r="J626" s="507"/>
      <c r="K626" s="248"/>
    </row>
    <row r="627" spans="2:18" x14ac:dyDescent="0.2">
      <c r="B627" s="249"/>
      <c r="C627" s="511"/>
      <c r="D627" s="510"/>
      <c r="E627" s="546"/>
      <c r="F627" s="546"/>
      <c r="G627" s="546"/>
      <c r="H627" s="587"/>
      <c r="I627" s="511"/>
      <c r="J627" s="511"/>
      <c r="K627" s="248"/>
    </row>
    <row r="628" spans="2:18" ht="15" x14ac:dyDescent="0.25">
      <c r="B628" s="249"/>
      <c r="C628" s="531" t="str">
        <f>n3Calculation_32.2Upstream_ElectricityDirectLocation</f>
        <v>Électricité - Basé sur la localisation - Direct</v>
      </c>
      <c r="D628" s="546"/>
      <c r="E628" s="546"/>
      <c r="F628" s="546"/>
      <c r="G628" s="546"/>
      <c r="H628" s="587"/>
      <c r="I628" s="545"/>
      <c r="J628" s="545"/>
      <c r="K628" s="248"/>
      <c r="M628" s="299" t="s">
        <v>28320</v>
      </c>
    </row>
    <row r="629" spans="2:18" ht="15" x14ac:dyDescent="0.25">
      <c r="B629" s="249"/>
      <c r="C629" s="531"/>
      <c r="D629" s="546"/>
      <c r="E629" s="546"/>
      <c r="F629" s="546"/>
      <c r="G629" s="546"/>
      <c r="H629" s="587"/>
      <c r="I629" s="545"/>
      <c r="J629" s="545"/>
      <c r="K629" s="248"/>
    </row>
    <row r="630" spans="2:18" s="686" customFormat="1" ht="33" x14ac:dyDescent="0.25">
      <c r="B630" s="681"/>
      <c r="C630" s="682" t="s">
        <v>27888</v>
      </c>
      <c r="D630" s="683" t="s">
        <v>28537</v>
      </c>
      <c r="E630" s="683" t="s">
        <v>27208</v>
      </c>
      <c r="F630" s="683" t="s">
        <v>27588</v>
      </c>
      <c r="G630" s="683" t="s">
        <v>27589</v>
      </c>
      <c r="H630" s="683" t="s">
        <v>27214</v>
      </c>
      <c r="I630" s="682" t="s">
        <v>27210</v>
      </c>
      <c r="J630" s="682" t="s">
        <v>27211</v>
      </c>
      <c r="K630" s="685"/>
      <c r="M630" s="687"/>
      <c r="N630" s="687"/>
      <c r="O630" s="687"/>
      <c r="P630" s="687"/>
      <c r="Q630" s="687"/>
      <c r="R630" s="687"/>
    </row>
    <row r="631" spans="2:18" x14ac:dyDescent="0.2">
      <c r="B631" s="249"/>
      <c r="C631" s="500" t="s">
        <v>27877</v>
      </c>
      <c r="D631" s="535">
        <f>SUMIF('2 Data Inputs'!$J$471:$J$482,"Niederspannung",'2 Data Inputs'!$F$471:$F$482)</f>
        <v>0</v>
      </c>
      <c r="E631" s="535">
        <f>_xlfn.XLOOKUP($I631,BG_Data[Product],BG_Data[GHG emissions (IPCC 2021) '[kg CO2 eq']],0)</f>
        <v>5.625548261860136E-2</v>
      </c>
      <c r="F631" s="535">
        <f t="shared" ref="F631:F632" si="43">$D631*$E631</f>
        <v>0</v>
      </c>
      <c r="G631" s="535">
        <f>$D631*_xlfn.XLOOKUP($I631,BG_Data[Product],BG_Data[Biogenic CO2 emissions '[kg CO2']],0)</f>
        <v>0</v>
      </c>
      <c r="H631" s="583">
        <f>$D631*_xlfn.XLOOKUP($I631,BG_Data[Product],BG_Data[Total env. impact (Ecological Scarcity 2021) '[UBP']],0)</f>
        <v>0</v>
      </c>
      <c r="I631" s="535" t="s">
        <v>2804</v>
      </c>
      <c r="J631" s="524" t="s">
        <v>27213</v>
      </c>
      <c r="K631" s="248"/>
    </row>
    <row r="632" spans="2:18" x14ac:dyDescent="0.2">
      <c r="B632" s="249"/>
      <c r="C632" s="506" t="s">
        <v>27877</v>
      </c>
      <c r="D632" s="532">
        <f>SUMIF('2 Data Inputs'!$J$471:$J$482,"Mittelspannung",'2 Data Inputs'!$F$471:$F$482)</f>
        <v>0</v>
      </c>
      <c r="E632" s="532">
        <f>_xlfn.XLOOKUP($I632,BG_Data[Product],BG_Data[GHG emissions (IPCC 2021) '[kg CO2 eq']],0)</f>
        <v>5.625548261860136E-2</v>
      </c>
      <c r="F632" s="532">
        <f t="shared" si="43"/>
        <v>0</v>
      </c>
      <c r="G632" s="532">
        <f>$D632*_xlfn.XLOOKUP($I632,BG_Data[Product],BG_Data[Biogenic CO2 emissions '[kg CO2']],0)</f>
        <v>0</v>
      </c>
      <c r="H632" s="581">
        <f>$D632*_xlfn.XLOOKUP($I632,BG_Data[Product],BG_Data[Total env. impact (Ecological Scarcity 2021) '[UBP']],0)</f>
        <v>0</v>
      </c>
      <c r="I632" s="532" t="s">
        <v>2807</v>
      </c>
      <c r="J632" s="506" t="s">
        <v>27213</v>
      </c>
      <c r="K632" s="248"/>
    </row>
    <row r="633" spans="2:18" ht="15" x14ac:dyDescent="0.25">
      <c r="B633" s="249"/>
      <c r="C633" s="507" t="s">
        <v>2616</v>
      </c>
      <c r="D633" s="508">
        <f>SUM(D631:D632)</f>
        <v>0</v>
      </c>
      <c r="E633" s="508"/>
      <c r="F633" s="508">
        <f>SUM(F631:F632)</f>
        <v>0</v>
      </c>
      <c r="G633" s="508">
        <f>SUM(G631:G632)</f>
        <v>0</v>
      </c>
      <c r="H633" s="580">
        <f>SUM(H631:H632)</f>
        <v>0</v>
      </c>
      <c r="I633" s="507"/>
      <c r="J633" s="507"/>
      <c r="K633" s="248"/>
    </row>
    <row r="634" spans="2:18" x14ac:dyDescent="0.2">
      <c r="B634" s="254"/>
      <c r="C634" s="539"/>
      <c r="D634" s="540"/>
      <c r="E634" s="540"/>
      <c r="F634" s="540"/>
      <c r="G634" s="540"/>
      <c r="H634" s="588"/>
      <c r="I634" s="539"/>
      <c r="J634" s="539"/>
      <c r="K634" s="256"/>
    </row>
    <row r="635" spans="2:18" ht="15" x14ac:dyDescent="0.25">
      <c r="B635" s="258"/>
    </row>
    <row r="636" spans="2:18" x14ac:dyDescent="0.2">
      <c r="B636" s="246"/>
      <c r="C636" s="527"/>
      <c r="D636" s="528"/>
      <c r="E636" s="528"/>
      <c r="F636" s="528"/>
      <c r="G636" s="547"/>
      <c r="H636" s="589"/>
      <c r="I636" s="548"/>
      <c r="J636" s="548"/>
      <c r="K636" s="247" t="str">
        <f>Calc_Hyperlink_Lessee</f>
        <v>Upstream leases</v>
      </c>
    </row>
    <row r="637" spans="2:18" ht="15" x14ac:dyDescent="0.25">
      <c r="B637" s="249"/>
      <c r="C637" s="531" t="str">
        <f>n3Calculation_33.1Upstream_ElectricityIndirectMarket</f>
        <v>Électricité - Basé sur le marché - Indirect</v>
      </c>
      <c r="D637" s="511"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637" s="510"/>
      <c r="F637" s="510"/>
      <c r="G637" s="510"/>
      <c r="H637" s="571"/>
      <c r="I637" s="511"/>
      <c r="J637" s="511"/>
      <c r="K637" s="248"/>
      <c r="M637" s="299" t="s">
        <v>28321</v>
      </c>
    </row>
    <row r="638" spans="2:18" x14ac:dyDescent="0.2">
      <c r="B638" s="249"/>
      <c r="C638" s="740"/>
      <c r="D638" s="740"/>
      <c r="E638" s="740"/>
      <c r="F638" s="740"/>
      <c r="G638" s="510"/>
      <c r="H638" s="571"/>
      <c r="I638" s="511"/>
      <c r="J638" s="511"/>
      <c r="K638" s="248"/>
    </row>
    <row r="639" spans="2:18" s="686" customFormat="1" ht="33" x14ac:dyDescent="0.25">
      <c r="B639" s="681"/>
      <c r="C639" s="682" t="s">
        <v>27265</v>
      </c>
      <c r="D639" s="683" t="s">
        <v>28537</v>
      </c>
      <c r="E639" s="683" t="s">
        <v>27208</v>
      </c>
      <c r="F639" s="683" t="s">
        <v>27588</v>
      </c>
      <c r="G639" s="683" t="s">
        <v>27589</v>
      </c>
      <c r="H639" s="683" t="s">
        <v>27209</v>
      </c>
      <c r="I639" s="682" t="s">
        <v>27210</v>
      </c>
      <c r="J639" s="682" t="s">
        <v>27211</v>
      </c>
      <c r="K639" s="685"/>
      <c r="M639" s="687"/>
      <c r="N639" s="687"/>
      <c r="O639" s="687"/>
      <c r="P639" s="687"/>
      <c r="Q639" s="687"/>
      <c r="R639" s="687"/>
    </row>
    <row r="640" spans="2:18" x14ac:dyDescent="0.2">
      <c r="B640" s="249"/>
      <c r="C640" s="524" t="str">
        <f>'2 Data Inputs'!C471</f>
        <v>Électricité achetée sans garantie d'origine</v>
      </c>
      <c r="D640" s="525">
        <f>'2 Data Inputs'!F471</f>
        <v>0</v>
      </c>
      <c r="E640" s="525">
        <f>_xlfn.XLOOKUP($I640,BG_Data[Product],BG_Data[GHG emissions (IPCC 2021) '[kg CO2 eq']],0)</f>
        <v>4.0754008540141134E-2</v>
      </c>
      <c r="F640" s="525">
        <f t="shared" ref="F640" si="44">$D640*$E640</f>
        <v>0</v>
      </c>
      <c r="G640" s="525">
        <f>$D640*_xlfn.XLOOKUP($I640,BG_Data[Product],BG_Data[Biogenic CO2 emissions '[kg CO2']],0)</f>
        <v>0</v>
      </c>
      <c r="H640" s="574">
        <f>$D640*_xlfn.XLOOKUP($I640,BG_Data[Product],BG_Data[Total env. impact (Ecological Scarcity 2021) '[UBP']],0)</f>
        <v>0</v>
      </c>
      <c r="I640" s="524" t="str">
        <f>IF('2 Data Inputs'!J471="Niederspannung","Electricity, low voltage, at grid {CH} kWh Indirect","Electricity, medium voltage, at grid {CH} kWh Indirect")</f>
        <v>Electricity, low voltage, at grid {CH} kWh Indirect</v>
      </c>
      <c r="J640" s="524" t="s">
        <v>27212</v>
      </c>
      <c r="K640" s="248"/>
    </row>
    <row r="641" spans="2:18" x14ac:dyDescent="0.2">
      <c r="B641" s="249"/>
      <c r="C641" s="740"/>
      <c r="D641" s="740"/>
      <c r="E641" s="740"/>
      <c r="F641" s="740"/>
      <c r="G641" s="510"/>
      <c r="H641" s="571"/>
      <c r="I641" s="511"/>
      <c r="J641" s="511"/>
      <c r="K641" s="248"/>
    </row>
    <row r="642" spans="2:18" s="686" customFormat="1" ht="33" x14ac:dyDescent="0.25">
      <c r="B642" s="681"/>
      <c r="C642" s="682" t="s">
        <v>2607</v>
      </c>
      <c r="D642" s="683" t="s">
        <v>28537</v>
      </c>
      <c r="E642" s="683" t="s">
        <v>27208</v>
      </c>
      <c r="F642" s="683" t="s">
        <v>27588</v>
      </c>
      <c r="G642" s="683" t="s">
        <v>27589</v>
      </c>
      <c r="H642" s="683" t="s">
        <v>27209</v>
      </c>
      <c r="I642" s="682" t="s">
        <v>27228</v>
      </c>
      <c r="J642" s="682" t="s">
        <v>27211</v>
      </c>
      <c r="K642" s="685"/>
      <c r="M642" s="687"/>
      <c r="N642" s="687"/>
      <c r="O642" s="687"/>
      <c r="P642" s="687"/>
      <c r="Q642" s="687"/>
      <c r="R642" s="687"/>
    </row>
    <row r="643" spans="2:18" x14ac:dyDescent="0.2">
      <c r="B643" s="249"/>
      <c r="C643" s="500">
        <f>'2 Data Inputs'!C473</f>
        <v>0</v>
      </c>
      <c r="D643" s="535">
        <f>'2 Data Inputs'!F473</f>
        <v>0</v>
      </c>
      <c r="E643" s="535">
        <f>_xlfn.XLOOKUP($I643,BG_Data[Product],BG_Data[GHG emissions (IPCC 2021) '[kg CO2 eq']],0)</f>
        <v>0</v>
      </c>
      <c r="F643" s="535">
        <f t="shared" ref="F643:F652" si="45">$D643*$E643</f>
        <v>0</v>
      </c>
      <c r="G643" s="535">
        <f>$D643*_xlfn.XLOOKUP($I643,BG_Data[Product],BG_Data[Biogenic CO2 emissions '[kg CO2']],0)</f>
        <v>0</v>
      </c>
      <c r="H643" s="583">
        <f>$D643*_xlfn.XLOOKUP($I643,BG_Data[Product],BG_Data[Total env. impact (Ecological Scarcity 2021) '[UBP']],0)</f>
        <v>0</v>
      </c>
      <c r="I643" s="535">
        <f>IF(Calc_Lessee_Electricity_Indirect2[[#This Row],[Source]]=0,0,
  _xlfn.XLOOKUP('2 Data Inputs'!I473,
     Lists_S2_Electricity[Category DE],
     Lists_S2_Electricity[BG Data],
     "") &amp; " Indirect"
)</f>
        <v>0</v>
      </c>
      <c r="J643" s="500" t="s">
        <v>27212</v>
      </c>
      <c r="K643" s="248"/>
    </row>
    <row r="644" spans="2:18" x14ac:dyDescent="0.2">
      <c r="B644" s="249"/>
      <c r="C644" s="503">
        <f>'2 Data Inputs'!C474</f>
        <v>0</v>
      </c>
      <c r="D644" s="537">
        <f>'2 Data Inputs'!F474</f>
        <v>0</v>
      </c>
      <c r="E644" s="537">
        <f>_xlfn.XLOOKUP($I644,BG_Data[Product],BG_Data[GHG emissions (IPCC 2021) '[kg CO2 eq']],0)</f>
        <v>0</v>
      </c>
      <c r="F644" s="537">
        <f t="shared" si="45"/>
        <v>0</v>
      </c>
      <c r="G644" s="537">
        <f>$D644*_xlfn.XLOOKUP($I644,BG_Data[Product],BG_Data[Biogenic CO2 emissions '[kg CO2']],0)</f>
        <v>0</v>
      </c>
      <c r="H644" s="584">
        <f>$D644*_xlfn.XLOOKUP($I644,BG_Data[Product],BG_Data[Total env. impact (Ecological Scarcity 2021) '[UBP']],0)</f>
        <v>0</v>
      </c>
      <c r="I644" s="537">
        <f>IF(Calc_Lessee_Electricity_Indirect2[[#This Row],[Source]]=0,0,
  _xlfn.XLOOKUP('2 Data Inputs'!I474,
     Lists_S2_Electricity[Category DE],
     Lists_S2_Electricity[BG Data],
     "") &amp; " Indirect"
)</f>
        <v>0</v>
      </c>
      <c r="J644" s="503" t="s">
        <v>27212</v>
      </c>
      <c r="K644" s="248"/>
    </row>
    <row r="645" spans="2:18" x14ac:dyDescent="0.2">
      <c r="B645" s="249"/>
      <c r="C645" s="503">
        <f>'2 Data Inputs'!C475</f>
        <v>0</v>
      </c>
      <c r="D645" s="537">
        <f>'2 Data Inputs'!F475</f>
        <v>0</v>
      </c>
      <c r="E645" s="537">
        <f>_xlfn.XLOOKUP($I645,BG_Data[Product],BG_Data[GHG emissions (IPCC 2021) '[kg CO2 eq']],0)</f>
        <v>0</v>
      </c>
      <c r="F645" s="537">
        <f t="shared" si="45"/>
        <v>0</v>
      </c>
      <c r="G645" s="537">
        <f>$D645*_xlfn.XLOOKUP($I645,BG_Data[Product],BG_Data[Biogenic CO2 emissions '[kg CO2']],0)</f>
        <v>0</v>
      </c>
      <c r="H645" s="584">
        <f>$D645*_xlfn.XLOOKUP($I645,BG_Data[Product],BG_Data[Total env. impact (Ecological Scarcity 2021) '[UBP']],0)</f>
        <v>0</v>
      </c>
      <c r="I645" s="537">
        <f>IF(Calc_Lessee_Electricity_Indirect2[[#This Row],[Source]]=0,0,
  _xlfn.XLOOKUP('2 Data Inputs'!I475,
     Lists_S2_Electricity[Category DE],
     Lists_S2_Electricity[BG Data],
     "") &amp; " Indirect"
)</f>
        <v>0</v>
      </c>
      <c r="J645" s="503" t="s">
        <v>27212</v>
      </c>
      <c r="K645" s="248"/>
    </row>
    <row r="646" spans="2:18" x14ac:dyDescent="0.2">
      <c r="B646" s="249"/>
      <c r="C646" s="503">
        <f>'2 Data Inputs'!C476</f>
        <v>0</v>
      </c>
      <c r="D646" s="537">
        <f>'2 Data Inputs'!F476</f>
        <v>0</v>
      </c>
      <c r="E646" s="537">
        <f>_xlfn.XLOOKUP($I646,BG_Data[Product],BG_Data[GHG emissions (IPCC 2021) '[kg CO2 eq']],0)</f>
        <v>0</v>
      </c>
      <c r="F646" s="537">
        <f t="shared" si="45"/>
        <v>0</v>
      </c>
      <c r="G646" s="537">
        <f>$D646*_xlfn.XLOOKUP($I646,BG_Data[Product],BG_Data[Biogenic CO2 emissions '[kg CO2']],0)</f>
        <v>0</v>
      </c>
      <c r="H646" s="584">
        <f>$D646*_xlfn.XLOOKUP($I646,BG_Data[Product],BG_Data[Total env. impact (Ecological Scarcity 2021) '[UBP']],0)</f>
        <v>0</v>
      </c>
      <c r="I646" s="537">
        <f>IF(Calc_Lessee_Electricity_Indirect2[[#This Row],[Source]]=0,0,
  _xlfn.XLOOKUP('2 Data Inputs'!I476,
     Lists_S2_Electricity[Category DE],
     Lists_S2_Electricity[BG Data],
     "") &amp; " Indirect"
)</f>
        <v>0</v>
      </c>
      <c r="J646" s="503" t="s">
        <v>27212</v>
      </c>
      <c r="K646" s="248"/>
    </row>
    <row r="647" spans="2:18" x14ac:dyDescent="0.2">
      <c r="B647" s="249"/>
      <c r="C647" s="503">
        <f>'2 Data Inputs'!C477</f>
        <v>0</v>
      </c>
      <c r="D647" s="537">
        <f>'2 Data Inputs'!F477</f>
        <v>0</v>
      </c>
      <c r="E647" s="537">
        <f>_xlfn.XLOOKUP($I647,BG_Data[Product],BG_Data[GHG emissions (IPCC 2021) '[kg CO2 eq']],0)</f>
        <v>0</v>
      </c>
      <c r="F647" s="537">
        <f t="shared" si="45"/>
        <v>0</v>
      </c>
      <c r="G647" s="537">
        <f>$D647*_xlfn.XLOOKUP($I647,BG_Data[Product],BG_Data[Biogenic CO2 emissions '[kg CO2']],0)</f>
        <v>0</v>
      </c>
      <c r="H647" s="584">
        <f>$D647*_xlfn.XLOOKUP($I647,BG_Data[Product],BG_Data[Total env. impact (Ecological Scarcity 2021) '[UBP']],0)</f>
        <v>0</v>
      </c>
      <c r="I647" s="537">
        <f>IF(Calc_Lessee_Electricity_Indirect2[[#This Row],[Source]]=0,0,
  _xlfn.XLOOKUP('2 Data Inputs'!I477,
     Lists_S2_Electricity[Category DE],
     Lists_S2_Electricity[BG Data],
     "") &amp; " Indirect"
)</f>
        <v>0</v>
      </c>
      <c r="J647" s="503" t="s">
        <v>27212</v>
      </c>
      <c r="K647" s="248"/>
    </row>
    <row r="648" spans="2:18" x14ac:dyDescent="0.2">
      <c r="B648" s="249"/>
      <c r="C648" s="503">
        <f>'2 Data Inputs'!C478</f>
        <v>0</v>
      </c>
      <c r="D648" s="537">
        <f>'2 Data Inputs'!F478</f>
        <v>0</v>
      </c>
      <c r="E648" s="537">
        <f>_xlfn.XLOOKUP($I648,BG_Data[Product],BG_Data[GHG emissions (IPCC 2021) '[kg CO2 eq']],0)</f>
        <v>0</v>
      </c>
      <c r="F648" s="537">
        <f t="shared" si="45"/>
        <v>0</v>
      </c>
      <c r="G648" s="537">
        <f>$D648*_xlfn.XLOOKUP($I648,BG_Data[Product],BG_Data[Biogenic CO2 emissions '[kg CO2']],0)</f>
        <v>0</v>
      </c>
      <c r="H648" s="584">
        <f>$D648*_xlfn.XLOOKUP($I648,BG_Data[Product],BG_Data[Total env. impact (Ecological Scarcity 2021) '[UBP']],0)</f>
        <v>0</v>
      </c>
      <c r="I648" s="537">
        <f>IF(Calc_Lessee_Electricity_Indirect2[[#This Row],[Source]]=0,0,
  _xlfn.XLOOKUP('2 Data Inputs'!I478,
     Lists_S2_Electricity[Category DE],
     Lists_S2_Electricity[BG Data],
     "") &amp; " Indirect"
)</f>
        <v>0</v>
      </c>
      <c r="J648" s="503" t="s">
        <v>27212</v>
      </c>
      <c r="K648" s="248"/>
    </row>
    <row r="649" spans="2:18" x14ac:dyDescent="0.2">
      <c r="B649" s="249"/>
      <c r="C649" s="503">
        <f>'2 Data Inputs'!C479</f>
        <v>0</v>
      </c>
      <c r="D649" s="537">
        <f>'2 Data Inputs'!F479</f>
        <v>0</v>
      </c>
      <c r="E649" s="537">
        <f>_xlfn.XLOOKUP($I649,BG_Data[Product],BG_Data[GHG emissions (IPCC 2021) '[kg CO2 eq']],0)</f>
        <v>0</v>
      </c>
      <c r="F649" s="537">
        <f t="shared" si="45"/>
        <v>0</v>
      </c>
      <c r="G649" s="537">
        <f>$D649*_xlfn.XLOOKUP($I649,BG_Data[Product],BG_Data[Biogenic CO2 emissions '[kg CO2']],0)</f>
        <v>0</v>
      </c>
      <c r="H649" s="584">
        <f>$D649*_xlfn.XLOOKUP($I649,BG_Data[Product],BG_Data[Total env. impact (Ecological Scarcity 2021) '[UBP']],0)</f>
        <v>0</v>
      </c>
      <c r="I649" s="537">
        <f>IF(Calc_Lessee_Electricity_Indirect2[[#This Row],[Source]]=0,0,
  _xlfn.XLOOKUP('2 Data Inputs'!I479,
     Lists_S2_Electricity[Category DE],
     Lists_S2_Electricity[BG Data],
     "") &amp; " Indirect"
)</f>
        <v>0</v>
      </c>
      <c r="J649" s="503" t="s">
        <v>27212</v>
      </c>
      <c r="K649" s="248"/>
    </row>
    <row r="650" spans="2:18" x14ac:dyDescent="0.2">
      <c r="B650" s="249"/>
      <c r="C650" s="503">
        <f>'2 Data Inputs'!C480</f>
        <v>0</v>
      </c>
      <c r="D650" s="537">
        <f>'2 Data Inputs'!F480</f>
        <v>0</v>
      </c>
      <c r="E650" s="537">
        <f>_xlfn.XLOOKUP($I650,BG_Data[Product],BG_Data[GHG emissions (IPCC 2021) '[kg CO2 eq']],0)</f>
        <v>0</v>
      </c>
      <c r="F650" s="537">
        <f t="shared" si="45"/>
        <v>0</v>
      </c>
      <c r="G650" s="537">
        <f>$D650*_xlfn.XLOOKUP($I650,BG_Data[Product],BG_Data[Biogenic CO2 emissions '[kg CO2']],0)</f>
        <v>0</v>
      </c>
      <c r="H650" s="584">
        <f>$D650*_xlfn.XLOOKUP($I650,BG_Data[Product],BG_Data[Total env. impact (Ecological Scarcity 2021) '[UBP']],0)</f>
        <v>0</v>
      </c>
      <c r="I650" s="537">
        <f>IF(Calc_Lessee_Electricity_Indirect2[[#This Row],[Source]]=0,0,
  _xlfn.XLOOKUP('2 Data Inputs'!I480,
     Lists_S2_Electricity[Category DE],
     Lists_S2_Electricity[BG Data],
     "") &amp; " Indirect"
)</f>
        <v>0</v>
      </c>
      <c r="J650" s="503" t="s">
        <v>27212</v>
      </c>
      <c r="K650" s="248"/>
    </row>
    <row r="651" spans="2:18" x14ac:dyDescent="0.2">
      <c r="B651" s="249"/>
      <c r="C651" s="503">
        <f>'2 Data Inputs'!C481</f>
        <v>0</v>
      </c>
      <c r="D651" s="537">
        <f>'2 Data Inputs'!F481</f>
        <v>0</v>
      </c>
      <c r="E651" s="537">
        <f>_xlfn.XLOOKUP($I651,BG_Data[Product],BG_Data[GHG emissions (IPCC 2021) '[kg CO2 eq']],0)</f>
        <v>0</v>
      </c>
      <c r="F651" s="537">
        <f t="shared" si="45"/>
        <v>0</v>
      </c>
      <c r="G651" s="537">
        <f>$D651*_xlfn.XLOOKUP($I651,BG_Data[Product],BG_Data[Biogenic CO2 emissions '[kg CO2']],0)</f>
        <v>0</v>
      </c>
      <c r="H651" s="584">
        <f>$D651*_xlfn.XLOOKUP($I651,BG_Data[Product],BG_Data[Total env. impact (Ecological Scarcity 2021) '[UBP']],0)</f>
        <v>0</v>
      </c>
      <c r="I651" s="537">
        <f>IF(Calc_Lessee_Electricity_Indirect2[[#This Row],[Source]]=0,0,
  _xlfn.XLOOKUP('2 Data Inputs'!I481,
     Lists_S2_Electricity[Category DE],
     Lists_S2_Electricity[BG Data],
     "") &amp; " Indirect"
)</f>
        <v>0</v>
      </c>
      <c r="J651" s="503" t="s">
        <v>27212</v>
      </c>
      <c r="K651" s="248"/>
    </row>
    <row r="652" spans="2:18" x14ac:dyDescent="0.2">
      <c r="B652" s="249"/>
      <c r="C652" s="506">
        <f>'2 Data Inputs'!C482</f>
        <v>0</v>
      </c>
      <c r="D652" s="532">
        <f>'2 Data Inputs'!F482</f>
        <v>0</v>
      </c>
      <c r="E652" s="532">
        <f>_xlfn.XLOOKUP($I652,BG_Data[Product],BG_Data[GHG emissions (IPCC 2021) '[kg CO2 eq']],0)</f>
        <v>0</v>
      </c>
      <c r="F652" s="532">
        <f t="shared" si="45"/>
        <v>0</v>
      </c>
      <c r="G652" s="532">
        <f>$D652*_xlfn.XLOOKUP($I652,BG_Data[Product],BG_Data[Biogenic CO2 emissions '[kg CO2']],0)</f>
        <v>0</v>
      </c>
      <c r="H652" s="581">
        <f>$D652*_xlfn.XLOOKUP($I652,BG_Data[Product],BG_Data[Total env. impact (Ecological Scarcity 2021) '[UBP']],0)</f>
        <v>0</v>
      </c>
      <c r="I652" s="532">
        <f>IF(Calc_Lessee_Electricity_Indirect2[[#This Row],[Source]]=0,0,
  _xlfn.XLOOKUP('2 Data Inputs'!I482,
     Lists_S2_Electricity[Category DE],
     Lists_S2_Electricity[BG Data],
     "") &amp; " Indirect"
)</f>
        <v>0</v>
      </c>
      <c r="J652" s="506" t="s">
        <v>27212</v>
      </c>
      <c r="K652" s="248"/>
    </row>
    <row r="653" spans="2:18" ht="15" x14ac:dyDescent="0.25">
      <c r="B653" s="249"/>
      <c r="C653" s="507" t="s">
        <v>2616</v>
      </c>
      <c r="D653" s="508">
        <f>SUM(D643:D652)</f>
        <v>0</v>
      </c>
      <c r="E653" s="508"/>
      <c r="F653" s="508">
        <f>SUM(F643:F652)</f>
        <v>0</v>
      </c>
      <c r="G653" s="508">
        <f>SUM(G643:G652)</f>
        <v>0</v>
      </c>
      <c r="H653" s="580">
        <f>SUM(H643:H652)</f>
        <v>0</v>
      </c>
      <c r="I653" s="507"/>
      <c r="J653" s="507"/>
      <c r="K653" s="248"/>
    </row>
    <row r="654" spans="2:18" x14ac:dyDescent="0.2">
      <c r="B654" s="249"/>
      <c r="C654" s="511"/>
      <c r="D654" s="510"/>
      <c r="E654" s="546"/>
      <c r="F654" s="546"/>
      <c r="G654" s="546"/>
      <c r="H654" s="587"/>
      <c r="I654" s="511"/>
      <c r="J654" s="511"/>
      <c r="K654" s="248"/>
    </row>
    <row r="655" spans="2:18" ht="15" x14ac:dyDescent="0.25">
      <c r="B655" s="249"/>
      <c r="C655" s="531" t="str">
        <f>n3Calculation_33.2Upstream_ElectricityIndirectLocation</f>
        <v>Électricité - Basé sur la localisation - Indirect</v>
      </c>
      <c r="D655" s="546"/>
      <c r="E655" s="546"/>
      <c r="F655" s="546"/>
      <c r="G655" s="546"/>
      <c r="H655" s="587"/>
      <c r="I655" s="545"/>
      <c r="J655" s="545"/>
      <c r="K655" s="248"/>
      <c r="M655" s="299" t="s">
        <v>28322</v>
      </c>
    </row>
    <row r="656" spans="2:18" ht="15" x14ac:dyDescent="0.25">
      <c r="B656" s="249"/>
      <c r="C656" s="531"/>
      <c r="D656" s="546"/>
      <c r="E656" s="546"/>
      <c r="F656" s="546"/>
      <c r="G656" s="546"/>
      <c r="H656" s="587"/>
      <c r="I656" s="545"/>
      <c r="J656" s="545"/>
      <c r="K656" s="248"/>
    </row>
    <row r="657" spans="2:18" s="686" customFormat="1" ht="33" x14ac:dyDescent="0.25">
      <c r="B657" s="681"/>
      <c r="C657" s="682" t="s">
        <v>27888</v>
      </c>
      <c r="D657" s="683" t="s">
        <v>28537</v>
      </c>
      <c r="E657" s="683" t="s">
        <v>27208</v>
      </c>
      <c r="F657" s="683" t="s">
        <v>27588</v>
      </c>
      <c r="G657" s="683" t="s">
        <v>27589</v>
      </c>
      <c r="H657" s="683" t="s">
        <v>27214</v>
      </c>
      <c r="I657" s="682" t="s">
        <v>27210</v>
      </c>
      <c r="J657" s="682" t="s">
        <v>27211</v>
      </c>
      <c r="K657" s="685"/>
      <c r="M657" s="687"/>
      <c r="N657" s="687"/>
      <c r="O657" s="687"/>
      <c r="P657" s="687"/>
      <c r="Q657" s="687"/>
      <c r="R657" s="687"/>
    </row>
    <row r="658" spans="2:18" x14ac:dyDescent="0.2">
      <c r="B658" s="249"/>
      <c r="C658" s="500" t="s">
        <v>27877</v>
      </c>
      <c r="D658" s="535">
        <f>SUMIF('2 Data Inputs'!$J$471:$J$482,"Niederspannung",'2 Data Inputs'!$F$471:$F$482)</f>
        <v>0</v>
      </c>
      <c r="E658" s="535">
        <f>_xlfn.XLOOKUP($I658,BG_Data[Product],BG_Data[GHG emissions (IPCC 2021) '[kg CO2 eq']],0)</f>
        <v>4.0754008540141134E-2</v>
      </c>
      <c r="F658" s="535">
        <f t="shared" ref="F658:F659" si="46">$D658*$E658</f>
        <v>0</v>
      </c>
      <c r="G658" s="535">
        <f>$D658*_xlfn.XLOOKUP($I658,BG_Data[Product],BG_Data[Biogenic CO2 emissions '[kg CO2']],0)</f>
        <v>0</v>
      </c>
      <c r="H658" s="583">
        <f>$D658*_xlfn.XLOOKUP($I658,BG_Data[Product],BG_Data[Total env. impact (Ecological Scarcity 2021) '[UBP']],0)</f>
        <v>0</v>
      </c>
      <c r="I658" s="535" t="s">
        <v>3146</v>
      </c>
      <c r="J658" s="500" t="s">
        <v>27213</v>
      </c>
      <c r="K658" s="248"/>
    </row>
    <row r="659" spans="2:18" x14ac:dyDescent="0.2">
      <c r="B659" s="249"/>
      <c r="C659" s="506" t="s">
        <v>27877</v>
      </c>
      <c r="D659" s="532">
        <f>SUMIF('2 Data Inputs'!$J$471:$J$482,"Mittelspannung",'2 Data Inputs'!$F$471:$F$482)</f>
        <v>0</v>
      </c>
      <c r="E659" s="532">
        <f>_xlfn.XLOOKUP($I659,BG_Data[Product],BG_Data[GHG emissions (IPCC 2021) '[kg CO2 eq']],0)</f>
        <v>3.3270578933333961E-2</v>
      </c>
      <c r="F659" s="532">
        <f t="shared" si="46"/>
        <v>0</v>
      </c>
      <c r="G659" s="532">
        <f>$D659*_xlfn.XLOOKUP($I659,BG_Data[Product],BG_Data[Biogenic CO2 emissions '[kg CO2']],0)</f>
        <v>0</v>
      </c>
      <c r="H659" s="581">
        <f>$D659*_xlfn.XLOOKUP($I659,BG_Data[Product],BG_Data[Total env. impact (Ecological Scarcity 2021) '[UBP']],0)</f>
        <v>0</v>
      </c>
      <c r="I659" s="532" t="s">
        <v>3148</v>
      </c>
      <c r="J659" s="506" t="s">
        <v>27213</v>
      </c>
      <c r="K659" s="248"/>
    </row>
    <row r="660" spans="2:18" ht="15" x14ac:dyDescent="0.25">
      <c r="B660" s="249"/>
      <c r="C660" s="507" t="s">
        <v>2616</v>
      </c>
      <c r="D660" s="508">
        <f>SUM(D658:D659)</f>
        <v>0</v>
      </c>
      <c r="E660" s="508"/>
      <c r="F660" s="508">
        <f>SUM(F658:F659)</f>
        <v>0</v>
      </c>
      <c r="G660" s="508">
        <f>SUM(G658:G659)</f>
        <v>0</v>
      </c>
      <c r="H660" s="580">
        <f>SUM(H658:H659)</f>
        <v>0</v>
      </c>
      <c r="I660" s="507"/>
      <c r="J660" s="507"/>
      <c r="K660" s="248"/>
    </row>
    <row r="661" spans="2:18" x14ac:dyDescent="0.2">
      <c r="B661" s="254"/>
      <c r="C661" s="539"/>
      <c r="D661" s="540"/>
      <c r="E661" s="540"/>
      <c r="F661" s="540"/>
      <c r="G661" s="540"/>
      <c r="H661" s="588"/>
      <c r="I661" s="539"/>
      <c r="J661" s="539"/>
      <c r="K661" s="256"/>
    </row>
    <row r="663" spans="2:18" x14ac:dyDescent="0.2">
      <c r="B663" s="246"/>
      <c r="C663" s="527"/>
      <c r="D663" s="528"/>
      <c r="E663" s="528"/>
      <c r="F663" s="528"/>
      <c r="G663" s="547"/>
      <c r="H663" s="589"/>
      <c r="I663" s="548"/>
      <c r="J663" s="548"/>
      <c r="K663" s="247" t="str">
        <f>Calc_Hyperlink_Lessee</f>
        <v>Upstream leases</v>
      </c>
    </row>
    <row r="664" spans="2:18" ht="15" x14ac:dyDescent="0.25">
      <c r="B664" s="249"/>
      <c r="C664" s="531" t="str">
        <f>n3Calculation_34Upstream_MobileCombustionDirect</f>
        <v>Combustion mobile (flotte) - Direct</v>
      </c>
      <c r="D664" s="511" t="str">
        <f>"Control approach = " &amp; GenInp_ConsolAppr &amp; " ; Lease type = " &amp; GenInp_LeaseType &amp; " → Direct emissions reported in " &amp; IF(GenInp_LeaseType="Operating Lease","Scope 3.6 ","Scope 1")</f>
        <v>Control approach = missing input ; Lease type = missing input → Direct emissions reported in Scope 1</v>
      </c>
      <c r="E664" s="510"/>
      <c r="F664" s="510"/>
      <c r="G664" s="510"/>
      <c r="H664" s="571"/>
      <c r="I664" s="511"/>
      <c r="J664" s="511"/>
      <c r="K664" s="248"/>
      <c r="M664" s="299" t="s">
        <v>27869</v>
      </c>
    </row>
    <row r="665" spans="2:18" x14ac:dyDescent="0.2">
      <c r="B665" s="249"/>
      <c r="C665" s="740"/>
      <c r="D665" s="740"/>
      <c r="E665" s="740"/>
      <c r="F665" s="740"/>
      <c r="G665" s="510"/>
      <c r="H665" s="571"/>
      <c r="I665" s="511"/>
      <c r="J665" s="511"/>
      <c r="K665" s="248"/>
    </row>
    <row r="666" spans="2:18" s="686" customFormat="1" ht="33" x14ac:dyDescent="0.25">
      <c r="B666" s="681"/>
      <c r="C666" s="682" t="s">
        <v>27272</v>
      </c>
      <c r="D666" s="683" t="s">
        <v>28536</v>
      </c>
      <c r="E666" s="683" t="s">
        <v>27208</v>
      </c>
      <c r="F666" s="683" t="s">
        <v>27588</v>
      </c>
      <c r="G666" s="683" t="s">
        <v>27589</v>
      </c>
      <c r="H666" s="683" t="s">
        <v>27209</v>
      </c>
      <c r="I666" s="682" t="s">
        <v>27210</v>
      </c>
      <c r="J666" s="682" t="s">
        <v>27211</v>
      </c>
      <c r="K666" s="685"/>
      <c r="M666" s="687"/>
      <c r="N666" s="687"/>
      <c r="O666" s="687"/>
      <c r="P666" s="687"/>
      <c r="Q666" s="687"/>
      <c r="R666" s="687"/>
    </row>
    <row r="667" spans="2:18" x14ac:dyDescent="0.2">
      <c r="B667" s="249"/>
      <c r="C667" s="500" t="str">
        <f>'2 Data Inputs'!C359</f>
        <v>Diesel</v>
      </c>
      <c r="D667" s="535">
        <f>'2 Data Inputs'!F359</f>
        <v>0</v>
      </c>
      <c r="E667" s="535">
        <f>_xlfn.XLOOKUP($I667,BG_Data[Product],BG_Data[GHG emissions (IPCC 2021) '[kg CO2 eq']],0)</f>
        <v>2.7414393951548237</v>
      </c>
      <c r="F667" s="535">
        <f t="shared" ref="F667:F668" si="47">$D667*$E667</f>
        <v>0</v>
      </c>
      <c r="G667" s="535">
        <f>$D667*_xlfn.XLOOKUP($I667,BG_Data[Product],BG_Data[Biogenic CO2 emissions '[kg CO2']],0)</f>
        <v>0</v>
      </c>
      <c r="H667" s="583">
        <f>$D667*_xlfn.XLOOKUP($I667,BG_Data[Product],BG_Data[Total env. impact (Ecological Scarcity 2021) '[UBP']],0)</f>
        <v>0</v>
      </c>
      <c r="I667" s="500" t="s">
        <v>27274</v>
      </c>
      <c r="J667" s="500" t="s">
        <v>27213</v>
      </c>
      <c r="K667" s="248"/>
    </row>
    <row r="668" spans="2:18" x14ac:dyDescent="0.2">
      <c r="B668" s="249"/>
      <c r="C668" s="506" t="str">
        <f>'2 Data Inputs'!C360</f>
        <v>Essence</v>
      </c>
      <c r="D668" s="532">
        <f>'2 Data Inputs'!F360</f>
        <v>0</v>
      </c>
      <c r="E668" s="532">
        <f>_xlfn.XLOOKUP($I668,BG_Data[Product],BG_Data[GHG emissions (IPCC 2021) '[kg CO2 eq']],0)</f>
        <v>2.3997895709136201</v>
      </c>
      <c r="F668" s="532">
        <f t="shared" si="47"/>
        <v>0</v>
      </c>
      <c r="G668" s="532">
        <f>$D668*_xlfn.XLOOKUP($I668,BG_Data[Product],BG_Data[Biogenic CO2 emissions '[kg CO2']],0)</f>
        <v>0</v>
      </c>
      <c r="H668" s="581">
        <f>$D668*_xlfn.XLOOKUP($I668,BG_Data[Product],BG_Data[Total env. impact (Ecological Scarcity 2021) '[UBP']],0)</f>
        <v>0</v>
      </c>
      <c r="I668" s="506" t="s">
        <v>27275</v>
      </c>
      <c r="J668" s="506" t="s">
        <v>27213</v>
      </c>
      <c r="K668" s="248"/>
    </row>
    <row r="669" spans="2:18" ht="15" x14ac:dyDescent="0.25">
      <c r="B669" s="249"/>
      <c r="C669" s="507" t="s">
        <v>2616</v>
      </c>
      <c r="D669" s="508">
        <f>SUM(D667:D668)</f>
        <v>0</v>
      </c>
      <c r="E669" s="508"/>
      <c r="F669" s="508">
        <f>SUM(F667:F668)</f>
        <v>0</v>
      </c>
      <c r="G669" s="508">
        <f>SUM(G667:G668)</f>
        <v>0</v>
      </c>
      <c r="H669" s="580">
        <f>SUM(H667:H668)</f>
        <v>0</v>
      </c>
      <c r="I669" s="507"/>
      <c r="J669" s="507"/>
      <c r="K669" s="248"/>
    </row>
    <row r="670" spans="2:18" x14ac:dyDescent="0.2">
      <c r="B670" s="249"/>
      <c r="C670" s="509"/>
      <c r="D670" s="509"/>
      <c r="E670" s="509"/>
      <c r="F670" s="509"/>
      <c r="G670" s="523"/>
      <c r="H670" s="582"/>
      <c r="I670" s="533"/>
      <c r="J670" s="533"/>
      <c r="K670" s="248"/>
    </row>
    <row r="671" spans="2:18" s="686" customFormat="1" ht="33" x14ac:dyDescent="0.25">
      <c r="B671" s="681"/>
      <c r="C671" s="682" t="s">
        <v>28598</v>
      </c>
      <c r="D671" s="683" t="s">
        <v>28536</v>
      </c>
      <c r="E671" s="683" t="s">
        <v>27208</v>
      </c>
      <c r="F671" s="683" t="s">
        <v>27588</v>
      </c>
      <c r="G671" s="683" t="s">
        <v>27589</v>
      </c>
      <c r="H671" s="683" t="s">
        <v>27209</v>
      </c>
      <c r="I671" s="682" t="s">
        <v>27210</v>
      </c>
      <c r="J671" s="682" t="s">
        <v>27211</v>
      </c>
      <c r="K671" s="685"/>
      <c r="M671" s="687"/>
      <c r="N671" s="687"/>
      <c r="O671" s="687"/>
      <c r="P671" s="687"/>
      <c r="Q671" s="687"/>
      <c r="R671" s="687"/>
    </row>
    <row r="672" spans="2:18" x14ac:dyDescent="0.2">
      <c r="B672" s="249"/>
      <c r="C672" s="500">
        <f>IF('2 Data Inputs'!G366="l",'2 Data Inputs'!C366,0)</f>
        <v>0</v>
      </c>
      <c r="D672" s="535">
        <f>IF('2 Data Inputs'!G366="l",'2 Data Inputs'!F366,0)</f>
        <v>0</v>
      </c>
      <c r="E672" s="535">
        <f>_xlfn.XLOOKUP($I672,BG_Data[Product],BG_Data[GHG emissions (IPCC 2021) '[kg CO2 eq']],0)</f>
        <v>0</v>
      </c>
      <c r="F672" s="535">
        <f t="shared" ref="F672:F684" si="48">$D672*$E672</f>
        <v>0</v>
      </c>
      <c r="G672" s="535">
        <f>$D672*_xlfn.XLOOKUP($I672,BG_Data[Product],BG_Data[Biogenic CO2 emissions '[kg CO2']],0)</f>
        <v>0</v>
      </c>
      <c r="H672" s="583">
        <f>$D672*_xlfn.XLOOKUP($I672,BG_Data[Product],BG_Data[Total env. impact (Ecological Scarcity 2021) '[UBP']],0)</f>
        <v>0</v>
      </c>
      <c r="I672" s="500" cm="1">
        <f t="array" ref="I672">_xlfn.XLOOKUP(
     C672,
     _xlfn.TOCOL(_xlfn.HSTACK(Lists_S1_Fleet_direct[DE Name],Lists_S1_Fleet_direct[FR Name],Lists_S1_Fleet_direct[IT Name]),1),
     _xlfn.TOCOL(_xlfn.HSTACK(Lists_S1_Fleet_direct[BG Data],Lists_S1_Fleet_direct[BG Data],Lists_S1_Fleet_direct[BG Data]),1) &amp; " Direct",
     0)</f>
        <v>0</v>
      </c>
      <c r="J672" s="500" t="s">
        <v>27212</v>
      </c>
      <c r="K672" s="248"/>
    </row>
    <row r="673" spans="2:11" x14ac:dyDescent="0.2">
      <c r="B673" s="249"/>
      <c r="C673" s="503">
        <f>IF('2 Data Inputs'!G367="l",'2 Data Inputs'!C367,0)</f>
        <v>0</v>
      </c>
      <c r="D673" s="537">
        <f>IF('2 Data Inputs'!G367="l",'2 Data Inputs'!F367,0)</f>
        <v>0</v>
      </c>
      <c r="E673" s="537">
        <f>_xlfn.XLOOKUP($I673,BG_Data[Product],BG_Data[GHG emissions (IPCC 2021) '[kg CO2 eq']],0)</f>
        <v>0</v>
      </c>
      <c r="F673" s="537">
        <f t="shared" si="48"/>
        <v>0</v>
      </c>
      <c r="G673" s="537">
        <f>$D673*_xlfn.XLOOKUP($I673,BG_Data[Product],BG_Data[Biogenic CO2 emissions '[kg CO2']],0)</f>
        <v>0</v>
      </c>
      <c r="H673" s="584">
        <f>$D673*_xlfn.XLOOKUP($I673,BG_Data[Product],BG_Data[Total env. impact (Ecological Scarcity 2021) '[UBP']],0)</f>
        <v>0</v>
      </c>
      <c r="I673" s="503" cm="1">
        <f t="array" ref="I673">_xlfn.XLOOKUP(
     C673,
     _xlfn.TOCOL(_xlfn.HSTACK(Lists_S1_Fleet_direct[DE Name],Lists_S1_Fleet_direct[FR Name],Lists_S1_Fleet_direct[IT Name]),1),
     _xlfn.TOCOL(_xlfn.HSTACK(Lists_S1_Fleet_direct[BG Data],Lists_S1_Fleet_direct[BG Data],Lists_S1_Fleet_direct[BG Data]),1) &amp; " Direct",
     0)</f>
        <v>0</v>
      </c>
      <c r="J673" s="503" t="s">
        <v>27212</v>
      </c>
      <c r="K673" s="248"/>
    </row>
    <row r="674" spans="2:11" x14ac:dyDescent="0.2">
      <c r="B674" s="249"/>
      <c r="C674" s="503">
        <f>IF('2 Data Inputs'!G368="l",'2 Data Inputs'!C368,0)</f>
        <v>0</v>
      </c>
      <c r="D674" s="537">
        <f>IF('2 Data Inputs'!G368="l",'2 Data Inputs'!F368,0)</f>
        <v>0</v>
      </c>
      <c r="E674" s="537">
        <f>_xlfn.XLOOKUP($I674,BG_Data[Product],BG_Data[GHG emissions (IPCC 2021) '[kg CO2 eq']],0)</f>
        <v>0</v>
      </c>
      <c r="F674" s="537">
        <f t="shared" si="48"/>
        <v>0</v>
      </c>
      <c r="G674" s="537">
        <f>$D674*_xlfn.XLOOKUP($I674,BG_Data[Product],BG_Data[Biogenic CO2 emissions '[kg CO2']],0)</f>
        <v>0</v>
      </c>
      <c r="H674" s="584">
        <f>$D674*_xlfn.XLOOKUP($I674,BG_Data[Product],BG_Data[Total env. impact (Ecological Scarcity 2021) '[UBP']],0)</f>
        <v>0</v>
      </c>
      <c r="I674" s="503" cm="1">
        <f t="array" ref="I674">_xlfn.XLOOKUP(
     C674,
     _xlfn.TOCOL(_xlfn.HSTACK(Lists_S1_Fleet_direct[DE Name],Lists_S1_Fleet_direct[FR Name],Lists_S1_Fleet_direct[IT Name]),1),
     _xlfn.TOCOL(_xlfn.HSTACK(Lists_S1_Fleet_direct[BG Data],Lists_S1_Fleet_direct[BG Data],Lists_S1_Fleet_direct[BG Data]),1) &amp; " Direct",
     0)</f>
        <v>0</v>
      </c>
      <c r="J674" s="503" t="s">
        <v>27212</v>
      </c>
      <c r="K674" s="248"/>
    </row>
    <row r="675" spans="2:11" x14ac:dyDescent="0.2">
      <c r="B675" s="249"/>
      <c r="C675" s="503">
        <f>IF('2 Data Inputs'!G369="l",'2 Data Inputs'!C369,0)</f>
        <v>0</v>
      </c>
      <c r="D675" s="537">
        <f>IF('2 Data Inputs'!G369="l",'2 Data Inputs'!F369,0)</f>
        <v>0</v>
      </c>
      <c r="E675" s="537">
        <f>_xlfn.XLOOKUP($I675,BG_Data[Product],BG_Data[GHG emissions (IPCC 2021) '[kg CO2 eq']],0)</f>
        <v>0</v>
      </c>
      <c r="F675" s="537">
        <f t="shared" si="48"/>
        <v>0</v>
      </c>
      <c r="G675" s="537">
        <f>$D675*_xlfn.XLOOKUP($I675,BG_Data[Product],BG_Data[Biogenic CO2 emissions '[kg CO2']],0)</f>
        <v>0</v>
      </c>
      <c r="H675" s="584">
        <f>$D675*_xlfn.XLOOKUP($I675,BG_Data[Product],BG_Data[Total env. impact (Ecological Scarcity 2021) '[UBP']],0)</f>
        <v>0</v>
      </c>
      <c r="I675" s="503" cm="1">
        <f t="array" ref="I675">_xlfn.XLOOKUP(
     C675,
     _xlfn.TOCOL(_xlfn.HSTACK(Lists_S1_Fleet_direct[DE Name],Lists_S1_Fleet_direct[FR Name],Lists_S1_Fleet_direct[IT Name]),1),
     _xlfn.TOCOL(_xlfn.HSTACK(Lists_S1_Fleet_direct[BG Data],Lists_S1_Fleet_direct[BG Data],Lists_S1_Fleet_direct[BG Data]),1) &amp; " Direct",
     0)</f>
        <v>0</v>
      </c>
      <c r="J675" s="503" t="s">
        <v>27212</v>
      </c>
      <c r="K675" s="248"/>
    </row>
    <row r="676" spans="2:11" x14ac:dyDescent="0.2">
      <c r="B676" s="249"/>
      <c r="C676" s="503">
        <f>IF('2 Data Inputs'!G370="l",'2 Data Inputs'!C370,0)</f>
        <v>0</v>
      </c>
      <c r="D676" s="537">
        <f>IF('2 Data Inputs'!G370="l",'2 Data Inputs'!F370,0)</f>
        <v>0</v>
      </c>
      <c r="E676" s="537">
        <f>_xlfn.XLOOKUP($I676,BG_Data[Product],BG_Data[GHG emissions (IPCC 2021) '[kg CO2 eq']],0)</f>
        <v>0</v>
      </c>
      <c r="F676" s="537">
        <f t="shared" si="48"/>
        <v>0</v>
      </c>
      <c r="G676" s="537">
        <f>$D676*_xlfn.XLOOKUP($I676,BG_Data[Product],BG_Data[Biogenic CO2 emissions '[kg CO2']],0)</f>
        <v>0</v>
      </c>
      <c r="H676" s="584">
        <f>$D676*_xlfn.XLOOKUP($I676,BG_Data[Product],BG_Data[Total env. impact (Ecological Scarcity 2021) '[UBP']],0)</f>
        <v>0</v>
      </c>
      <c r="I676" s="503" cm="1">
        <f t="array" ref="I676">_xlfn.XLOOKUP(
     C676,
     _xlfn.TOCOL(_xlfn.HSTACK(Lists_S1_Fleet_direct[DE Name],Lists_S1_Fleet_direct[FR Name],Lists_S1_Fleet_direct[IT Name]),1),
     _xlfn.TOCOL(_xlfn.HSTACK(Lists_S1_Fleet_direct[BG Data],Lists_S1_Fleet_direct[BG Data],Lists_S1_Fleet_direct[BG Data]),1) &amp; " Direct",
     0)</f>
        <v>0</v>
      </c>
      <c r="J676" s="503" t="s">
        <v>27212</v>
      </c>
      <c r="K676" s="248"/>
    </row>
    <row r="677" spans="2:11" x14ac:dyDescent="0.2">
      <c r="B677" s="249"/>
      <c r="C677" s="503">
        <f>IF('2 Data Inputs'!G371="l",'2 Data Inputs'!C371,0)</f>
        <v>0</v>
      </c>
      <c r="D677" s="537">
        <f>IF('2 Data Inputs'!G371="l",'2 Data Inputs'!F371,0)</f>
        <v>0</v>
      </c>
      <c r="E677" s="537">
        <f>_xlfn.XLOOKUP($I677,BG_Data[Product],BG_Data[GHG emissions (IPCC 2021) '[kg CO2 eq']],0)</f>
        <v>0</v>
      </c>
      <c r="F677" s="537">
        <f t="shared" si="48"/>
        <v>0</v>
      </c>
      <c r="G677" s="537">
        <f>$D677*_xlfn.XLOOKUP($I677,BG_Data[Product],BG_Data[Biogenic CO2 emissions '[kg CO2']],0)</f>
        <v>0</v>
      </c>
      <c r="H677" s="584">
        <f>$D677*_xlfn.XLOOKUP($I677,BG_Data[Product],BG_Data[Total env. impact (Ecological Scarcity 2021) '[UBP']],0)</f>
        <v>0</v>
      </c>
      <c r="I677" s="503" cm="1">
        <f t="array" ref="I677">_xlfn.XLOOKUP(
     C677,
     _xlfn.TOCOL(_xlfn.HSTACK(Lists_S1_Fleet_direct[DE Name],Lists_S1_Fleet_direct[FR Name],Lists_S1_Fleet_direct[IT Name]),1),
     _xlfn.TOCOL(_xlfn.HSTACK(Lists_S1_Fleet_direct[BG Data],Lists_S1_Fleet_direct[BG Data],Lists_S1_Fleet_direct[BG Data]),1) &amp; " Direct",
     0)</f>
        <v>0</v>
      </c>
      <c r="J677" s="503" t="s">
        <v>27212</v>
      </c>
      <c r="K677" s="248"/>
    </row>
    <row r="678" spans="2:11" x14ac:dyDescent="0.2">
      <c r="B678" s="249"/>
      <c r="C678" s="503">
        <f>IF('2 Data Inputs'!G372="l",'2 Data Inputs'!C372,0)</f>
        <v>0</v>
      </c>
      <c r="D678" s="537">
        <f>IF('2 Data Inputs'!G372="l",'2 Data Inputs'!F372,0)</f>
        <v>0</v>
      </c>
      <c r="E678" s="537">
        <f>_xlfn.XLOOKUP($I678,BG_Data[Product],BG_Data[GHG emissions (IPCC 2021) '[kg CO2 eq']],0)</f>
        <v>0</v>
      </c>
      <c r="F678" s="537">
        <f t="shared" si="48"/>
        <v>0</v>
      </c>
      <c r="G678" s="537">
        <f>$D678*_xlfn.XLOOKUP($I678,BG_Data[Product],BG_Data[Biogenic CO2 emissions '[kg CO2']],0)</f>
        <v>0</v>
      </c>
      <c r="H678" s="584">
        <f>$D678*_xlfn.XLOOKUP($I678,BG_Data[Product],BG_Data[Total env. impact (Ecological Scarcity 2021) '[UBP']],0)</f>
        <v>0</v>
      </c>
      <c r="I678" s="503" cm="1">
        <f t="array" ref="I678">_xlfn.XLOOKUP(
     C678,
     _xlfn.TOCOL(_xlfn.HSTACK(Lists_S1_Fleet_direct[DE Name],Lists_S1_Fleet_direct[FR Name],Lists_S1_Fleet_direct[IT Name]),1),
     _xlfn.TOCOL(_xlfn.HSTACK(Lists_S1_Fleet_direct[BG Data],Lists_S1_Fleet_direct[BG Data],Lists_S1_Fleet_direct[BG Data]),1) &amp; " Direct",
     0)</f>
        <v>0</v>
      </c>
      <c r="J678" s="503" t="s">
        <v>27212</v>
      </c>
      <c r="K678" s="248"/>
    </row>
    <row r="679" spans="2:11" x14ac:dyDescent="0.2">
      <c r="B679" s="249"/>
      <c r="C679" s="503">
        <f>IF('2 Data Inputs'!G373="l",'2 Data Inputs'!C373,0)</f>
        <v>0</v>
      </c>
      <c r="D679" s="537">
        <f>IF('2 Data Inputs'!G373="l",'2 Data Inputs'!F373,0)</f>
        <v>0</v>
      </c>
      <c r="E679" s="537">
        <f>_xlfn.XLOOKUP($I679,BG_Data[Product],BG_Data[GHG emissions (IPCC 2021) '[kg CO2 eq']],0)</f>
        <v>0</v>
      </c>
      <c r="F679" s="537">
        <f t="shared" si="48"/>
        <v>0</v>
      </c>
      <c r="G679" s="537">
        <f>$D679*_xlfn.XLOOKUP($I679,BG_Data[Product],BG_Data[Biogenic CO2 emissions '[kg CO2']],0)</f>
        <v>0</v>
      </c>
      <c r="H679" s="584">
        <f>$D679*_xlfn.XLOOKUP($I679,BG_Data[Product],BG_Data[Total env. impact (Ecological Scarcity 2021) '[UBP']],0)</f>
        <v>0</v>
      </c>
      <c r="I679" s="503" cm="1">
        <f t="array" ref="I679">_xlfn.XLOOKUP(
     C679,
     _xlfn.TOCOL(_xlfn.HSTACK(Lists_S1_Fleet_direct[DE Name],Lists_S1_Fleet_direct[FR Name],Lists_S1_Fleet_direct[IT Name]),1),
     _xlfn.TOCOL(_xlfn.HSTACK(Lists_S1_Fleet_direct[BG Data],Lists_S1_Fleet_direct[BG Data],Lists_S1_Fleet_direct[BG Data]),1) &amp; " Direct",
     0)</f>
        <v>0</v>
      </c>
      <c r="J679" s="503" t="s">
        <v>27212</v>
      </c>
      <c r="K679" s="248"/>
    </row>
    <row r="680" spans="2:11" x14ac:dyDescent="0.2">
      <c r="B680" s="249"/>
      <c r="C680" s="503">
        <f>IF('2 Data Inputs'!G374="l",'2 Data Inputs'!C374,0)</f>
        <v>0</v>
      </c>
      <c r="D680" s="537">
        <f>IF('2 Data Inputs'!G374="l",'2 Data Inputs'!F374,0)</f>
        <v>0</v>
      </c>
      <c r="E680" s="537">
        <f>_xlfn.XLOOKUP($I680,BG_Data[Product],BG_Data[GHG emissions (IPCC 2021) '[kg CO2 eq']],0)</f>
        <v>0</v>
      </c>
      <c r="F680" s="537">
        <f t="shared" si="48"/>
        <v>0</v>
      </c>
      <c r="G680" s="537">
        <f>$D680*_xlfn.XLOOKUP($I680,BG_Data[Product],BG_Data[Biogenic CO2 emissions '[kg CO2']],0)</f>
        <v>0</v>
      </c>
      <c r="H680" s="584">
        <f>$D680*_xlfn.XLOOKUP($I680,BG_Data[Product],BG_Data[Total env. impact (Ecological Scarcity 2021) '[UBP']],0)</f>
        <v>0</v>
      </c>
      <c r="I680" s="503" cm="1">
        <f t="array" ref="I680">_xlfn.XLOOKUP(
     C680,
     _xlfn.TOCOL(_xlfn.HSTACK(Lists_S1_Fleet_direct[DE Name],Lists_S1_Fleet_direct[FR Name],Lists_S1_Fleet_direct[IT Name]),1),
     _xlfn.TOCOL(_xlfn.HSTACK(Lists_S1_Fleet_direct[BG Data],Lists_S1_Fleet_direct[BG Data],Lists_S1_Fleet_direct[BG Data]),1) &amp; " Direct",
     0)</f>
        <v>0</v>
      </c>
      <c r="J680" s="503" t="s">
        <v>27212</v>
      </c>
      <c r="K680" s="248"/>
    </row>
    <row r="681" spans="2:11" x14ac:dyDescent="0.2">
      <c r="B681" s="249"/>
      <c r="C681" s="503">
        <f>IF('2 Data Inputs'!G375="l",'2 Data Inputs'!C375,0)</f>
        <v>0</v>
      </c>
      <c r="D681" s="537">
        <f>IF('2 Data Inputs'!G375="l",'2 Data Inputs'!F375,0)</f>
        <v>0</v>
      </c>
      <c r="E681" s="537">
        <f>_xlfn.XLOOKUP($I681,BG_Data[Product],BG_Data[GHG emissions (IPCC 2021) '[kg CO2 eq']],0)</f>
        <v>0</v>
      </c>
      <c r="F681" s="537">
        <f t="shared" si="48"/>
        <v>0</v>
      </c>
      <c r="G681" s="537">
        <f>$D681*_xlfn.XLOOKUP($I681,BG_Data[Product],BG_Data[Biogenic CO2 emissions '[kg CO2']],0)</f>
        <v>0</v>
      </c>
      <c r="H681" s="584">
        <f>$D681*_xlfn.XLOOKUP($I681,BG_Data[Product],BG_Data[Total env. impact (Ecological Scarcity 2021) '[UBP']],0)</f>
        <v>0</v>
      </c>
      <c r="I681" s="503" cm="1">
        <f t="array" ref="I681">_xlfn.XLOOKUP(
     C681,
     _xlfn.TOCOL(_xlfn.HSTACK(Lists_S1_Fleet_direct[DE Name],Lists_S1_Fleet_direct[FR Name],Lists_S1_Fleet_direct[IT Name]),1),
     _xlfn.TOCOL(_xlfn.HSTACK(Lists_S1_Fleet_direct[BG Data],Lists_S1_Fleet_direct[BG Data],Lists_S1_Fleet_direct[BG Data]),1) &amp; " Direct",
     0)</f>
        <v>0</v>
      </c>
      <c r="J681" s="503" t="s">
        <v>27212</v>
      </c>
      <c r="K681" s="248"/>
    </row>
    <row r="682" spans="2:11" x14ac:dyDescent="0.2">
      <c r="B682" s="249"/>
      <c r="C682" s="503">
        <f>IF('2 Data Inputs'!G376="l",'2 Data Inputs'!C376,0)</f>
        <v>0</v>
      </c>
      <c r="D682" s="537">
        <f>IF('2 Data Inputs'!G376="l",'2 Data Inputs'!F376,0)</f>
        <v>0</v>
      </c>
      <c r="E682" s="537">
        <f>_xlfn.XLOOKUP($I682,BG_Data[Product],BG_Data[GHG emissions (IPCC 2021) '[kg CO2 eq']],0)</f>
        <v>0</v>
      </c>
      <c r="F682" s="537">
        <f t="shared" si="48"/>
        <v>0</v>
      </c>
      <c r="G682" s="537">
        <f>$D682*_xlfn.XLOOKUP($I682,BG_Data[Product],BG_Data[Biogenic CO2 emissions '[kg CO2']],0)</f>
        <v>0</v>
      </c>
      <c r="H682" s="584">
        <f>$D682*_xlfn.XLOOKUP($I682,BG_Data[Product],BG_Data[Total env. impact (Ecological Scarcity 2021) '[UBP']],0)</f>
        <v>0</v>
      </c>
      <c r="I682" s="503" cm="1">
        <f t="array" ref="I682">_xlfn.XLOOKUP(
     C682,
     _xlfn.TOCOL(_xlfn.HSTACK(Lists_S1_Fleet_direct[DE Name],Lists_S1_Fleet_direct[FR Name],Lists_S1_Fleet_direct[IT Name]),1),
     _xlfn.TOCOL(_xlfn.HSTACK(Lists_S1_Fleet_direct[BG Data],Lists_S1_Fleet_direct[BG Data],Lists_S1_Fleet_direct[BG Data]),1) &amp; " Direct",
     0)</f>
        <v>0</v>
      </c>
      <c r="J682" s="503" t="s">
        <v>27212</v>
      </c>
      <c r="K682" s="248"/>
    </row>
    <row r="683" spans="2:11" x14ac:dyDescent="0.2">
      <c r="B683" s="249"/>
      <c r="C683" s="503">
        <f>IF('2 Data Inputs'!G377="l",'2 Data Inputs'!C377,0)</f>
        <v>0</v>
      </c>
      <c r="D683" s="537">
        <f>IF('2 Data Inputs'!G377="l",'2 Data Inputs'!F377,0)</f>
        <v>0</v>
      </c>
      <c r="E683" s="537">
        <f>_xlfn.XLOOKUP($I683,BG_Data[Product],BG_Data[GHG emissions (IPCC 2021) '[kg CO2 eq']],0)</f>
        <v>0</v>
      </c>
      <c r="F683" s="537">
        <f t="shared" si="48"/>
        <v>0</v>
      </c>
      <c r="G683" s="537">
        <f>$D683*_xlfn.XLOOKUP($I683,BG_Data[Product],BG_Data[Biogenic CO2 emissions '[kg CO2']],0)</f>
        <v>0</v>
      </c>
      <c r="H683" s="584">
        <f>$D683*_xlfn.XLOOKUP($I683,BG_Data[Product],BG_Data[Total env. impact (Ecological Scarcity 2021) '[UBP']],0)</f>
        <v>0</v>
      </c>
      <c r="I683" s="503" cm="1">
        <f t="array" ref="I683">_xlfn.XLOOKUP(
     C683,
     _xlfn.TOCOL(_xlfn.HSTACK(Lists_S1_Fleet_direct[DE Name],Lists_S1_Fleet_direct[FR Name],Lists_S1_Fleet_direct[IT Name]),1),
     _xlfn.TOCOL(_xlfn.HSTACK(Lists_S1_Fleet_direct[BG Data],Lists_S1_Fleet_direct[BG Data],Lists_S1_Fleet_direct[BG Data]),1) &amp; " Direct",
     0)</f>
        <v>0</v>
      </c>
      <c r="J683" s="503" t="s">
        <v>27212</v>
      </c>
      <c r="K683" s="248"/>
    </row>
    <row r="684" spans="2:11" x14ac:dyDescent="0.2">
      <c r="B684" s="249"/>
      <c r="C684" s="506">
        <f>IF('2 Data Inputs'!G378="l",'2 Data Inputs'!C378,0)</f>
        <v>0</v>
      </c>
      <c r="D684" s="532">
        <f>IF('2 Data Inputs'!G378="l",'2 Data Inputs'!F378,0)</f>
        <v>0</v>
      </c>
      <c r="E684" s="532">
        <f>_xlfn.XLOOKUP($I684,BG_Data[Product],BG_Data[GHG emissions (IPCC 2021) '[kg CO2 eq']],0)</f>
        <v>0</v>
      </c>
      <c r="F684" s="532">
        <f t="shared" si="48"/>
        <v>0</v>
      </c>
      <c r="G684" s="532">
        <f>$D684*_xlfn.XLOOKUP($I684,BG_Data[Product],BG_Data[Biogenic CO2 emissions '[kg CO2']],0)</f>
        <v>0</v>
      </c>
      <c r="H684" s="581">
        <f>$D684*_xlfn.XLOOKUP($I684,BG_Data[Product],BG_Data[Total env. impact (Ecological Scarcity 2021) '[UBP']],0)</f>
        <v>0</v>
      </c>
      <c r="I684" s="506" cm="1">
        <f t="array" ref="I684">_xlfn.XLOOKUP(
     C684,
     _xlfn.TOCOL(_xlfn.HSTACK(Lists_S1_Fleet_direct[DE Name],Lists_S1_Fleet_direct[FR Name],Lists_S1_Fleet_direct[IT Name]),1),
     _xlfn.TOCOL(_xlfn.HSTACK(Lists_S1_Fleet_direct[BG Data],Lists_S1_Fleet_direct[BG Data],Lists_S1_Fleet_direct[BG Data]),1) &amp; " Direct",
     0)</f>
        <v>0</v>
      </c>
      <c r="J684" s="506" t="s">
        <v>27212</v>
      </c>
      <c r="K684" s="248"/>
    </row>
    <row r="685" spans="2:11" ht="15" x14ac:dyDescent="0.25">
      <c r="B685" s="249"/>
      <c r="C685" s="507" t="s">
        <v>2616</v>
      </c>
      <c r="D685" s="508">
        <f>SUM(D672:D684)</f>
        <v>0</v>
      </c>
      <c r="E685" s="508"/>
      <c r="F685" s="508">
        <f>SUM(F672:F684)</f>
        <v>0</v>
      </c>
      <c r="G685" s="508">
        <f>SUM(G672:G684)</f>
        <v>0</v>
      </c>
      <c r="H685" s="580">
        <f>SUM(H672:H684)</f>
        <v>0</v>
      </c>
      <c r="I685" s="507"/>
      <c r="J685" s="507"/>
      <c r="K685" s="248"/>
    </row>
    <row r="686" spans="2:11" x14ac:dyDescent="0.2">
      <c r="B686" s="254"/>
      <c r="C686" s="539"/>
      <c r="D686" s="540"/>
      <c r="E686" s="540"/>
      <c r="F686" s="540"/>
      <c r="G686" s="540"/>
      <c r="H686" s="588"/>
      <c r="I686" s="539"/>
      <c r="J686" s="539"/>
      <c r="K686" s="256"/>
    </row>
    <row r="687" spans="2:11" ht="15" x14ac:dyDescent="0.25">
      <c r="B687" s="258"/>
    </row>
    <row r="688" spans="2:11" x14ac:dyDescent="0.2">
      <c r="B688" s="246"/>
      <c r="C688" s="527"/>
      <c r="D688" s="528"/>
      <c r="E688" s="528"/>
      <c r="F688" s="528"/>
      <c r="G688" s="547"/>
      <c r="H688" s="589"/>
      <c r="I688" s="548"/>
      <c r="J688" s="548"/>
      <c r="K688" s="247" t="str">
        <f>Calc_Hyperlink_Lessee</f>
        <v>Upstream leases</v>
      </c>
    </row>
    <row r="689" spans="2:18" ht="15" x14ac:dyDescent="0.25">
      <c r="B689" s="249"/>
      <c r="C689" s="531" t="str">
        <f>n3Calculation_35Upstream_MobileCombustionIndirect</f>
        <v>Combustion mobile (flotte) - Indirecte</v>
      </c>
      <c r="D689" s="511" t="str">
        <f>"Control approach = " &amp; GenInp_ConsolAppr &amp; " ; Lease type = " &amp; GenInp_LeaseType &amp; " → Indirect emissions reported in " &amp; IF(GenInp_LeaseType="Operating Lease","Scope 3.6","Scope 3.3")</f>
        <v>Control approach = missing input ; Lease type = missing input → Indirect emissions reported in Scope 3.3</v>
      </c>
      <c r="E689" s="510"/>
      <c r="F689" s="510"/>
      <c r="G689" s="510"/>
      <c r="H689" s="571"/>
      <c r="I689" s="511"/>
      <c r="J689" s="511"/>
      <c r="K689" s="248"/>
      <c r="M689" s="299" t="s">
        <v>27870</v>
      </c>
    </row>
    <row r="690" spans="2:18" x14ac:dyDescent="0.2">
      <c r="B690" s="249"/>
      <c r="C690" s="740"/>
      <c r="D690" s="740"/>
      <c r="E690" s="740"/>
      <c r="F690" s="740"/>
      <c r="G690" s="510"/>
      <c r="H690" s="571"/>
      <c r="I690" s="511"/>
      <c r="J690" s="511"/>
      <c r="K690" s="248"/>
    </row>
    <row r="691" spans="2:18" s="686" customFormat="1" ht="33" x14ac:dyDescent="0.25">
      <c r="B691" s="681"/>
      <c r="C691" s="682" t="s">
        <v>27272</v>
      </c>
      <c r="D691" s="683" t="s">
        <v>28536</v>
      </c>
      <c r="E691" s="683" t="s">
        <v>27208</v>
      </c>
      <c r="F691" s="683" t="s">
        <v>27588</v>
      </c>
      <c r="G691" s="683" t="s">
        <v>27589</v>
      </c>
      <c r="H691" s="683" t="s">
        <v>27209</v>
      </c>
      <c r="I691" s="682" t="s">
        <v>27210</v>
      </c>
      <c r="J691" s="682" t="s">
        <v>27211</v>
      </c>
      <c r="K691" s="685"/>
      <c r="M691" s="687"/>
      <c r="N691" s="687"/>
      <c r="O691" s="687"/>
      <c r="P691" s="687"/>
      <c r="Q691" s="687"/>
      <c r="R691" s="687"/>
    </row>
    <row r="692" spans="2:18" x14ac:dyDescent="0.2">
      <c r="B692" s="249"/>
      <c r="C692" s="500" t="str">
        <f>'2 Data Inputs'!C359</f>
        <v>Diesel</v>
      </c>
      <c r="D692" s="535">
        <f>'2 Data Inputs'!F359</f>
        <v>0</v>
      </c>
      <c r="E692" s="535">
        <f>_xlfn.XLOOKUP($I692,BG_Data[Product],BG_Data[GHG emissions (IPCC 2021) '[kg CO2 eq']],0)</f>
        <v>0.67028987670958395</v>
      </c>
      <c r="F692" s="535">
        <f t="shared" ref="F692:F693" si="49">$D692*$E692</f>
        <v>0</v>
      </c>
      <c r="G692" s="535">
        <f>$D692*_xlfn.XLOOKUP($I692,BG_Data[Product],BG_Data[Biogenic CO2 emissions '[kg CO2']],0)</f>
        <v>0</v>
      </c>
      <c r="H692" s="583">
        <f>$D692*_xlfn.XLOOKUP($I692,BG_Data[Product],BG_Data[Total env. impact (Ecological Scarcity 2021) '[UBP']],0)</f>
        <v>0</v>
      </c>
      <c r="I692" s="500" t="s">
        <v>27348</v>
      </c>
      <c r="J692" s="500" t="s">
        <v>27213</v>
      </c>
      <c r="K692" s="248"/>
    </row>
    <row r="693" spans="2:18" x14ac:dyDescent="0.2">
      <c r="B693" s="249"/>
      <c r="C693" s="506" t="str">
        <f>'2 Data Inputs'!C360</f>
        <v>Essence</v>
      </c>
      <c r="D693" s="532">
        <f>'2 Data Inputs'!F360</f>
        <v>0</v>
      </c>
      <c r="E693" s="532">
        <f>_xlfn.XLOOKUP($I693,BG_Data[Product],BG_Data[GHG emissions (IPCC 2021) '[kg CO2 eq']],0)</f>
        <v>0.6996802466887404</v>
      </c>
      <c r="F693" s="532">
        <f t="shared" si="49"/>
        <v>0</v>
      </c>
      <c r="G693" s="532">
        <f>$D693*_xlfn.XLOOKUP($I693,BG_Data[Product],BG_Data[Biogenic CO2 emissions '[kg CO2']],0)</f>
        <v>0</v>
      </c>
      <c r="H693" s="581">
        <f>$D693*_xlfn.XLOOKUP($I693,BG_Data[Product],BG_Data[Total env. impact (Ecological Scarcity 2021) '[UBP']],0)</f>
        <v>0</v>
      </c>
      <c r="I693" s="506" t="s">
        <v>27291</v>
      </c>
      <c r="J693" s="506" t="s">
        <v>27213</v>
      </c>
      <c r="K693" s="248"/>
    </row>
    <row r="694" spans="2:18" ht="15" x14ac:dyDescent="0.25">
      <c r="B694" s="249"/>
      <c r="C694" s="507" t="s">
        <v>2616</v>
      </c>
      <c r="D694" s="508">
        <f>SUM(D692:D693)</f>
        <v>0</v>
      </c>
      <c r="E694" s="508"/>
      <c r="F694" s="508">
        <f>SUM(F692:F693)</f>
        <v>0</v>
      </c>
      <c r="G694" s="508">
        <f>SUM(G692:G693)</f>
        <v>0</v>
      </c>
      <c r="H694" s="580">
        <f>SUM(H692:H693)</f>
        <v>0</v>
      </c>
      <c r="I694" s="507"/>
      <c r="J694" s="507"/>
      <c r="K694" s="248"/>
    </row>
    <row r="695" spans="2:18" x14ac:dyDescent="0.2">
      <c r="B695" s="249"/>
      <c r="C695" s="509"/>
      <c r="D695" s="509"/>
      <c r="E695" s="509"/>
      <c r="F695" s="509"/>
      <c r="G695" s="523"/>
      <c r="H695" s="582"/>
      <c r="I695" s="533"/>
      <c r="J695" s="533"/>
      <c r="K695" s="248"/>
    </row>
    <row r="696" spans="2:18" s="686" customFormat="1" ht="33" x14ac:dyDescent="0.25">
      <c r="B696" s="681"/>
      <c r="C696" s="682" t="s">
        <v>28598</v>
      </c>
      <c r="D696" s="683" t="s">
        <v>28536</v>
      </c>
      <c r="E696" s="683" t="s">
        <v>27208</v>
      </c>
      <c r="F696" s="683" t="s">
        <v>27588</v>
      </c>
      <c r="G696" s="683" t="s">
        <v>27589</v>
      </c>
      <c r="H696" s="683" t="s">
        <v>27209</v>
      </c>
      <c r="I696" s="682" t="s">
        <v>27210</v>
      </c>
      <c r="J696" s="682" t="s">
        <v>27211</v>
      </c>
      <c r="K696" s="685"/>
      <c r="M696" s="687"/>
      <c r="N696" s="687"/>
      <c r="O696" s="687"/>
      <c r="P696" s="687"/>
      <c r="Q696" s="687"/>
      <c r="R696" s="687"/>
    </row>
    <row r="697" spans="2:18" x14ac:dyDescent="0.2">
      <c r="B697" s="249"/>
      <c r="C697" s="500">
        <f>IF('2 Data Inputs'!G366="l",'2 Data Inputs'!C366,0)</f>
        <v>0</v>
      </c>
      <c r="D697" s="535">
        <f>IF('2 Data Inputs'!G366="l",'2 Data Inputs'!F366,0)</f>
        <v>0</v>
      </c>
      <c r="E697" s="535">
        <f>_xlfn.XLOOKUP($I697,BG_Data[Product],BG_Data[GHG emissions (IPCC 2021) '[kg CO2 eq']],0)</f>
        <v>0</v>
      </c>
      <c r="F697" s="535">
        <f t="shared" ref="F697:F709" si="50">$D697*$E697</f>
        <v>0</v>
      </c>
      <c r="G697" s="535">
        <f>$D697*_xlfn.XLOOKUP($I697,BG_Data[Product],BG_Data[Biogenic CO2 emissions '[kg CO2']],0)</f>
        <v>0</v>
      </c>
      <c r="H697" s="583">
        <f>$D697*_xlfn.XLOOKUP($I697,BG_Data[Product],BG_Data[Total env. impact (Ecological Scarcity 2021) '[UBP']],0)</f>
        <v>0</v>
      </c>
      <c r="I697" s="500" cm="1">
        <f t="array" ref="I697">_xlfn.XLOOKUP(
     C697,
     _xlfn.TOCOL(_xlfn.HSTACK(Lists_S1_Fleet_direct[DE Name],Lists_S1_Fleet_direct[FR Name],Lists_S1_Fleet_direct[IT Name]),1),
     _xlfn.TOCOL(_xlfn.HSTACK(Lists_S1_Fleet_direct[BG Data],Lists_S1_Fleet_direct[BG Data],Lists_S1_Fleet_direct[BG Data]),1) &amp; " Indirect",
     0)</f>
        <v>0</v>
      </c>
      <c r="J697" s="500" t="s">
        <v>27212</v>
      </c>
      <c r="K697" s="248"/>
    </row>
    <row r="698" spans="2:18" x14ac:dyDescent="0.2">
      <c r="B698" s="249"/>
      <c r="C698" s="503">
        <f>IF('2 Data Inputs'!G367="l",'2 Data Inputs'!C367,0)</f>
        <v>0</v>
      </c>
      <c r="D698" s="537">
        <f>IF('2 Data Inputs'!G367="l",'2 Data Inputs'!F367,0)</f>
        <v>0</v>
      </c>
      <c r="E698" s="537">
        <f>_xlfn.XLOOKUP($I698,BG_Data[Product],BG_Data[GHG emissions (IPCC 2021) '[kg CO2 eq']],0)</f>
        <v>0</v>
      </c>
      <c r="F698" s="537">
        <f t="shared" si="50"/>
        <v>0</v>
      </c>
      <c r="G698" s="537">
        <f>$D698*_xlfn.XLOOKUP($I698,BG_Data[Product],BG_Data[Biogenic CO2 emissions '[kg CO2']],0)</f>
        <v>0</v>
      </c>
      <c r="H698" s="584">
        <f>$D698*_xlfn.XLOOKUP($I698,BG_Data[Product],BG_Data[Total env. impact (Ecological Scarcity 2021) '[UBP']],0)</f>
        <v>0</v>
      </c>
      <c r="I698" s="503" cm="1">
        <f t="array" ref="I698">_xlfn.XLOOKUP(
     C698,
     _xlfn.TOCOL(_xlfn.HSTACK(Lists_S1_Fleet_direct[DE Name],Lists_S1_Fleet_direct[FR Name],Lists_S1_Fleet_direct[IT Name]),1),
     _xlfn.TOCOL(_xlfn.HSTACK(Lists_S1_Fleet_direct[BG Data],Lists_S1_Fleet_direct[BG Data],Lists_S1_Fleet_direct[BG Data]),1) &amp; " Indirect",
     0)</f>
        <v>0</v>
      </c>
      <c r="J698" s="503" t="s">
        <v>27212</v>
      </c>
      <c r="K698" s="248"/>
    </row>
    <row r="699" spans="2:18" x14ac:dyDescent="0.2">
      <c r="B699" s="249"/>
      <c r="C699" s="503">
        <f>IF('2 Data Inputs'!G368="l",'2 Data Inputs'!C368,0)</f>
        <v>0</v>
      </c>
      <c r="D699" s="537">
        <f>IF('2 Data Inputs'!G368="l",'2 Data Inputs'!F368,0)</f>
        <v>0</v>
      </c>
      <c r="E699" s="537">
        <f>_xlfn.XLOOKUP($I699,BG_Data[Product],BG_Data[GHG emissions (IPCC 2021) '[kg CO2 eq']],0)</f>
        <v>0</v>
      </c>
      <c r="F699" s="537">
        <f t="shared" si="50"/>
        <v>0</v>
      </c>
      <c r="G699" s="537">
        <f>$D699*_xlfn.XLOOKUP($I699,BG_Data[Product],BG_Data[Biogenic CO2 emissions '[kg CO2']],0)</f>
        <v>0</v>
      </c>
      <c r="H699" s="584">
        <f>$D699*_xlfn.XLOOKUP($I699,BG_Data[Product],BG_Data[Total env. impact (Ecological Scarcity 2021) '[UBP']],0)</f>
        <v>0</v>
      </c>
      <c r="I699" s="503" cm="1">
        <f t="array" ref="I699">_xlfn.XLOOKUP(
     C699,
     _xlfn.TOCOL(_xlfn.HSTACK(Lists_S1_Fleet_direct[DE Name],Lists_S1_Fleet_direct[FR Name],Lists_S1_Fleet_direct[IT Name]),1),
     _xlfn.TOCOL(_xlfn.HSTACK(Lists_S1_Fleet_direct[BG Data],Lists_S1_Fleet_direct[BG Data],Lists_S1_Fleet_direct[BG Data]),1) &amp; " Indirect",
     0)</f>
        <v>0</v>
      </c>
      <c r="J699" s="503" t="s">
        <v>27212</v>
      </c>
      <c r="K699" s="248"/>
    </row>
    <row r="700" spans="2:18" x14ac:dyDescent="0.2">
      <c r="B700" s="249"/>
      <c r="C700" s="503">
        <f>IF('2 Data Inputs'!G369="l",'2 Data Inputs'!C369,0)</f>
        <v>0</v>
      </c>
      <c r="D700" s="537">
        <f>IF('2 Data Inputs'!G369="l",'2 Data Inputs'!F369,0)</f>
        <v>0</v>
      </c>
      <c r="E700" s="537">
        <f>_xlfn.XLOOKUP($I700,BG_Data[Product],BG_Data[GHG emissions (IPCC 2021) '[kg CO2 eq']],0)</f>
        <v>0</v>
      </c>
      <c r="F700" s="537">
        <f t="shared" si="50"/>
        <v>0</v>
      </c>
      <c r="G700" s="537">
        <f>$D700*_xlfn.XLOOKUP($I700,BG_Data[Product],BG_Data[Biogenic CO2 emissions '[kg CO2']],0)</f>
        <v>0</v>
      </c>
      <c r="H700" s="584">
        <f>$D700*_xlfn.XLOOKUP($I700,BG_Data[Product],BG_Data[Total env. impact (Ecological Scarcity 2021) '[UBP']],0)</f>
        <v>0</v>
      </c>
      <c r="I700" s="503" cm="1">
        <f t="array" ref="I700">_xlfn.XLOOKUP(
     C700,
     _xlfn.TOCOL(_xlfn.HSTACK(Lists_S1_Fleet_direct[DE Name],Lists_S1_Fleet_direct[FR Name],Lists_S1_Fleet_direct[IT Name]),1),
     _xlfn.TOCOL(_xlfn.HSTACK(Lists_S1_Fleet_direct[BG Data],Lists_S1_Fleet_direct[BG Data],Lists_S1_Fleet_direct[BG Data]),1) &amp; " Indirect",
     0)</f>
        <v>0</v>
      </c>
      <c r="J700" s="503" t="s">
        <v>27212</v>
      </c>
      <c r="K700" s="248"/>
    </row>
    <row r="701" spans="2:18" x14ac:dyDescent="0.2">
      <c r="B701" s="249"/>
      <c r="C701" s="503">
        <f>IF('2 Data Inputs'!G370="l",'2 Data Inputs'!C370,0)</f>
        <v>0</v>
      </c>
      <c r="D701" s="537">
        <f>IF('2 Data Inputs'!G370="l",'2 Data Inputs'!F370,0)</f>
        <v>0</v>
      </c>
      <c r="E701" s="537">
        <f>_xlfn.XLOOKUP($I701,BG_Data[Product],BG_Data[GHG emissions (IPCC 2021) '[kg CO2 eq']],0)</f>
        <v>0</v>
      </c>
      <c r="F701" s="537">
        <f t="shared" si="50"/>
        <v>0</v>
      </c>
      <c r="G701" s="537">
        <f>$D701*_xlfn.XLOOKUP($I701,BG_Data[Product],BG_Data[Biogenic CO2 emissions '[kg CO2']],0)</f>
        <v>0</v>
      </c>
      <c r="H701" s="584">
        <f>$D701*_xlfn.XLOOKUP($I701,BG_Data[Product],BG_Data[Total env. impact (Ecological Scarcity 2021) '[UBP']],0)</f>
        <v>0</v>
      </c>
      <c r="I701" s="503" cm="1">
        <f t="array" ref="I701">_xlfn.XLOOKUP(
     C701,
     _xlfn.TOCOL(_xlfn.HSTACK(Lists_S1_Fleet_direct[DE Name],Lists_S1_Fleet_direct[FR Name],Lists_S1_Fleet_direct[IT Name]),1),
     _xlfn.TOCOL(_xlfn.HSTACK(Lists_S1_Fleet_direct[BG Data],Lists_S1_Fleet_direct[BG Data],Lists_S1_Fleet_direct[BG Data]),1) &amp; " Indirect",
     0)</f>
        <v>0</v>
      </c>
      <c r="J701" s="503" t="s">
        <v>27212</v>
      </c>
      <c r="K701" s="248"/>
    </row>
    <row r="702" spans="2:18" x14ac:dyDescent="0.2">
      <c r="B702" s="249"/>
      <c r="C702" s="503">
        <f>IF('2 Data Inputs'!G371="l",'2 Data Inputs'!C371,0)</f>
        <v>0</v>
      </c>
      <c r="D702" s="537">
        <f>IF('2 Data Inputs'!G371="l",'2 Data Inputs'!F371,0)</f>
        <v>0</v>
      </c>
      <c r="E702" s="537">
        <f>_xlfn.XLOOKUP($I702,BG_Data[Product],BG_Data[GHG emissions (IPCC 2021) '[kg CO2 eq']],0)</f>
        <v>0</v>
      </c>
      <c r="F702" s="537">
        <f t="shared" si="50"/>
        <v>0</v>
      </c>
      <c r="G702" s="537">
        <f>$D702*_xlfn.XLOOKUP($I702,BG_Data[Product],BG_Data[Biogenic CO2 emissions '[kg CO2']],0)</f>
        <v>0</v>
      </c>
      <c r="H702" s="584">
        <f>$D702*_xlfn.XLOOKUP($I702,BG_Data[Product],BG_Data[Total env. impact (Ecological Scarcity 2021) '[UBP']],0)</f>
        <v>0</v>
      </c>
      <c r="I702" s="503" cm="1">
        <f t="array" ref="I702">_xlfn.XLOOKUP(
     C702,
     _xlfn.TOCOL(_xlfn.HSTACK(Lists_S1_Fleet_direct[DE Name],Lists_S1_Fleet_direct[FR Name],Lists_S1_Fleet_direct[IT Name]),1),
     _xlfn.TOCOL(_xlfn.HSTACK(Lists_S1_Fleet_direct[BG Data],Lists_S1_Fleet_direct[BG Data],Lists_S1_Fleet_direct[BG Data]),1) &amp; " Indirect",
     0)</f>
        <v>0</v>
      </c>
      <c r="J702" s="503" t="s">
        <v>27212</v>
      </c>
      <c r="K702" s="248"/>
    </row>
    <row r="703" spans="2:18" x14ac:dyDescent="0.2">
      <c r="B703" s="249"/>
      <c r="C703" s="503">
        <f>IF('2 Data Inputs'!G372="l",'2 Data Inputs'!C372,0)</f>
        <v>0</v>
      </c>
      <c r="D703" s="537">
        <f>IF('2 Data Inputs'!G372="l",'2 Data Inputs'!F372,0)</f>
        <v>0</v>
      </c>
      <c r="E703" s="537">
        <f>_xlfn.XLOOKUP($I703,BG_Data[Product],BG_Data[GHG emissions (IPCC 2021) '[kg CO2 eq']],0)</f>
        <v>0</v>
      </c>
      <c r="F703" s="537">
        <f t="shared" si="50"/>
        <v>0</v>
      </c>
      <c r="G703" s="537">
        <f>$D703*_xlfn.XLOOKUP($I703,BG_Data[Product],BG_Data[Biogenic CO2 emissions '[kg CO2']],0)</f>
        <v>0</v>
      </c>
      <c r="H703" s="584">
        <f>$D703*_xlfn.XLOOKUP($I703,BG_Data[Product],BG_Data[Total env. impact (Ecological Scarcity 2021) '[UBP']],0)</f>
        <v>0</v>
      </c>
      <c r="I703" s="503" cm="1">
        <f t="array" ref="I703">_xlfn.XLOOKUP(
     C703,
     _xlfn.TOCOL(_xlfn.HSTACK(Lists_S1_Fleet_direct[DE Name],Lists_S1_Fleet_direct[FR Name],Lists_S1_Fleet_direct[IT Name]),1),
     _xlfn.TOCOL(_xlfn.HSTACK(Lists_S1_Fleet_direct[BG Data],Lists_S1_Fleet_direct[BG Data],Lists_S1_Fleet_direct[BG Data]),1) &amp; " Indirect",
     0)</f>
        <v>0</v>
      </c>
      <c r="J703" s="503" t="s">
        <v>27212</v>
      </c>
      <c r="K703" s="248"/>
    </row>
    <row r="704" spans="2:18" x14ac:dyDescent="0.2">
      <c r="B704" s="249"/>
      <c r="C704" s="503">
        <f>IF('2 Data Inputs'!G373="l",'2 Data Inputs'!C373,0)</f>
        <v>0</v>
      </c>
      <c r="D704" s="537">
        <f>IF('2 Data Inputs'!G373="l",'2 Data Inputs'!F373,0)</f>
        <v>0</v>
      </c>
      <c r="E704" s="537">
        <f>_xlfn.XLOOKUP($I704,BG_Data[Product],BG_Data[GHG emissions (IPCC 2021) '[kg CO2 eq']],0)</f>
        <v>0</v>
      </c>
      <c r="F704" s="537">
        <f t="shared" si="50"/>
        <v>0</v>
      </c>
      <c r="G704" s="537">
        <f>$D704*_xlfn.XLOOKUP($I704,BG_Data[Product],BG_Data[Biogenic CO2 emissions '[kg CO2']],0)</f>
        <v>0</v>
      </c>
      <c r="H704" s="584">
        <f>$D704*_xlfn.XLOOKUP($I704,BG_Data[Product],BG_Data[Total env. impact (Ecological Scarcity 2021) '[UBP']],0)</f>
        <v>0</v>
      </c>
      <c r="I704" s="503" cm="1">
        <f t="array" ref="I704">_xlfn.XLOOKUP(
     C704,
     _xlfn.TOCOL(_xlfn.HSTACK(Lists_S1_Fleet_direct[DE Name],Lists_S1_Fleet_direct[FR Name],Lists_S1_Fleet_direct[IT Name]),1),
     _xlfn.TOCOL(_xlfn.HSTACK(Lists_S1_Fleet_direct[BG Data],Lists_S1_Fleet_direct[BG Data],Lists_S1_Fleet_direct[BG Data]),1) &amp; " Indirect",
     0)</f>
        <v>0</v>
      </c>
      <c r="J704" s="503" t="s">
        <v>27212</v>
      </c>
      <c r="K704" s="248"/>
    </row>
    <row r="705" spans="1:18" x14ac:dyDescent="0.2">
      <c r="B705" s="249"/>
      <c r="C705" s="503">
        <f>IF('2 Data Inputs'!G374="l",'2 Data Inputs'!C374,0)</f>
        <v>0</v>
      </c>
      <c r="D705" s="537">
        <f>IF('2 Data Inputs'!G374="l",'2 Data Inputs'!F374,0)</f>
        <v>0</v>
      </c>
      <c r="E705" s="537">
        <f>_xlfn.XLOOKUP($I705,BG_Data[Product],BG_Data[GHG emissions (IPCC 2021) '[kg CO2 eq']],0)</f>
        <v>0</v>
      </c>
      <c r="F705" s="537">
        <f t="shared" si="50"/>
        <v>0</v>
      </c>
      <c r="G705" s="537">
        <f>$D705*_xlfn.XLOOKUP($I705,BG_Data[Product],BG_Data[Biogenic CO2 emissions '[kg CO2']],0)</f>
        <v>0</v>
      </c>
      <c r="H705" s="584">
        <f>$D705*_xlfn.XLOOKUP($I705,BG_Data[Product],BG_Data[Total env. impact (Ecological Scarcity 2021) '[UBP']],0)</f>
        <v>0</v>
      </c>
      <c r="I705" s="503" cm="1">
        <f t="array" ref="I705">_xlfn.XLOOKUP(
     C705,
     _xlfn.TOCOL(_xlfn.HSTACK(Lists_S1_Fleet_direct[DE Name],Lists_S1_Fleet_direct[FR Name],Lists_S1_Fleet_direct[IT Name]),1),
     _xlfn.TOCOL(_xlfn.HSTACK(Lists_S1_Fleet_direct[BG Data],Lists_S1_Fleet_direct[BG Data],Lists_S1_Fleet_direct[BG Data]),1) &amp; " Indirect",
     0)</f>
        <v>0</v>
      </c>
      <c r="J705" s="503" t="s">
        <v>27212</v>
      </c>
      <c r="K705" s="248"/>
    </row>
    <row r="706" spans="1:18" x14ac:dyDescent="0.2">
      <c r="B706" s="249"/>
      <c r="C706" s="503">
        <f>IF('2 Data Inputs'!G375="l",'2 Data Inputs'!C375,0)</f>
        <v>0</v>
      </c>
      <c r="D706" s="537">
        <f>IF('2 Data Inputs'!G375="l",'2 Data Inputs'!F375,0)</f>
        <v>0</v>
      </c>
      <c r="E706" s="537">
        <f>_xlfn.XLOOKUP($I706,BG_Data[Product],BG_Data[GHG emissions (IPCC 2021) '[kg CO2 eq']],0)</f>
        <v>0</v>
      </c>
      <c r="F706" s="537">
        <f t="shared" si="50"/>
        <v>0</v>
      </c>
      <c r="G706" s="537">
        <f>$D706*_xlfn.XLOOKUP($I706,BG_Data[Product],BG_Data[Biogenic CO2 emissions '[kg CO2']],0)</f>
        <v>0</v>
      </c>
      <c r="H706" s="584">
        <f>$D706*_xlfn.XLOOKUP($I706,BG_Data[Product],BG_Data[Total env. impact (Ecological Scarcity 2021) '[UBP']],0)</f>
        <v>0</v>
      </c>
      <c r="I706" s="503" cm="1">
        <f t="array" ref="I706">_xlfn.XLOOKUP(
     C706,
     _xlfn.TOCOL(_xlfn.HSTACK(Lists_S1_Fleet_direct[DE Name],Lists_S1_Fleet_direct[FR Name],Lists_S1_Fleet_direct[IT Name]),1),
     _xlfn.TOCOL(_xlfn.HSTACK(Lists_S1_Fleet_direct[BG Data],Lists_S1_Fleet_direct[BG Data],Lists_S1_Fleet_direct[BG Data]),1) &amp; " Indirect",
     0)</f>
        <v>0</v>
      </c>
      <c r="J706" s="503" t="s">
        <v>27212</v>
      </c>
      <c r="K706" s="248"/>
    </row>
    <row r="707" spans="1:18" x14ac:dyDescent="0.2">
      <c r="B707" s="249"/>
      <c r="C707" s="503">
        <f>IF('2 Data Inputs'!G376="l",'2 Data Inputs'!C376,0)</f>
        <v>0</v>
      </c>
      <c r="D707" s="537">
        <f>IF('2 Data Inputs'!G376="l",'2 Data Inputs'!F376,0)</f>
        <v>0</v>
      </c>
      <c r="E707" s="537">
        <f>_xlfn.XLOOKUP($I707,BG_Data[Product],BG_Data[GHG emissions (IPCC 2021) '[kg CO2 eq']],0)</f>
        <v>0</v>
      </c>
      <c r="F707" s="537">
        <f t="shared" si="50"/>
        <v>0</v>
      </c>
      <c r="G707" s="537">
        <f>$D707*_xlfn.XLOOKUP($I707,BG_Data[Product],BG_Data[Biogenic CO2 emissions '[kg CO2']],0)</f>
        <v>0</v>
      </c>
      <c r="H707" s="584">
        <f>$D707*_xlfn.XLOOKUP($I707,BG_Data[Product],BG_Data[Total env. impact (Ecological Scarcity 2021) '[UBP']],0)</f>
        <v>0</v>
      </c>
      <c r="I707" s="503" cm="1">
        <f t="array" ref="I707">_xlfn.XLOOKUP(
     C707,
     _xlfn.TOCOL(_xlfn.HSTACK(Lists_S1_Fleet_direct[DE Name],Lists_S1_Fleet_direct[FR Name],Lists_S1_Fleet_direct[IT Name]),1),
     _xlfn.TOCOL(_xlfn.HSTACK(Lists_S1_Fleet_direct[BG Data],Lists_S1_Fleet_direct[BG Data],Lists_S1_Fleet_direct[BG Data]),1) &amp; " Indirect",
     0)</f>
        <v>0</v>
      </c>
      <c r="J707" s="503" t="s">
        <v>27212</v>
      </c>
      <c r="K707" s="248"/>
    </row>
    <row r="708" spans="1:18" x14ac:dyDescent="0.2">
      <c r="B708" s="249"/>
      <c r="C708" s="503">
        <f>IF('2 Data Inputs'!G377="l",'2 Data Inputs'!C377,0)</f>
        <v>0</v>
      </c>
      <c r="D708" s="537">
        <f>IF('2 Data Inputs'!G377="l",'2 Data Inputs'!F377,0)</f>
        <v>0</v>
      </c>
      <c r="E708" s="537">
        <f>_xlfn.XLOOKUP($I708,BG_Data[Product],BG_Data[GHG emissions (IPCC 2021) '[kg CO2 eq']],0)</f>
        <v>0</v>
      </c>
      <c r="F708" s="537">
        <f t="shared" si="50"/>
        <v>0</v>
      </c>
      <c r="G708" s="537">
        <f>$D708*_xlfn.XLOOKUP($I708,BG_Data[Product],BG_Data[Biogenic CO2 emissions '[kg CO2']],0)</f>
        <v>0</v>
      </c>
      <c r="H708" s="584">
        <f>$D708*_xlfn.XLOOKUP($I708,BG_Data[Product],BG_Data[Total env. impact (Ecological Scarcity 2021) '[UBP']],0)</f>
        <v>0</v>
      </c>
      <c r="I708" s="503" cm="1">
        <f t="array" ref="I708">_xlfn.XLOOKUP(
     C708,
     _xlfn.TOCOL(_xlfn.HSTACK(Lists_S1_Fleet_direct[DE Name],Lists_S1_Fleet_direct[FR Name],Lists_S1_Fleet_direct[IT Name]),1),
     _xlfn.TOCOL(_xlfn.HSTACK(Lists_S1_Fleet_direct[BG Data],Lists_S1_Fleet_direct[BG Data],Lists_S1_Fleet_direct[BG Data]),1) &amp; " Indirect",
     0)</f>
        <v>0</v>
      </c>
      <c r="J708" s="503" t="s">
        <v>27212</v>
      </c>
      <c r="K708" s="248"/>
    </row>
    <row r="709" spans="1:18" x14ac:dyDescent="0.2">
      <c r="B709" s="249"/>
      <c r="C709" s="506">
        <f>IF('2 Data Inputs'!G378="l",'2 Data Inputs'!C378,0)</f>
        <v>0</v>
      </c>
      <c r="D709" s="532">
        <f>IF('2 Data Inputs'!G378="l",'2 Data Inputs'!F378,0)</f>
        <v>0</v>
      </c>
      <c r="E709" s="532">
        <f>_xlfn.XLOOKUP($I709,BG_Data[Product],BG_Data[GHG emissions (IPCC 2021) '[kg CO2 eq']],0)</f>
        <v>0</v>
      </c>
      <c r="F709" s="532">
        <f t="shared" si="50"/>
        <v>0</v>
      </c>
      <c r="G709" s="532">
        <f>$D709*_xlfn.XLOOKUP($I709,BG_Data[Product],BG_Data[Biogenic CO2 emissions '[kg CO2']],0)</f>
        <v>0</v>
      </c>
      <c r="H709" s="581">
        <f>$D709*_xlfn.XLOOKUP($I709,BG_Data[Product],BG_Data[Total env. impact (Ecological Scarcity 2021) '[UBP']],0)</f>
        <v>0</v>
      </c>
      <c r="I709" s="506" cm="1">
        <f t="array" ref="I709">_xlfn.XLOOKUP(
     C709,
     _xlfn.TOCOL(_xlfn.HSTACK(Lists_S1_Fleet_direct[DE Name],Lists_S1_Fleet_direct[FR Name],Lists_S1_Fleet_direct[IT Name]),1),
     _xlfn.TOCOL(_xlfn.HSTACK(Lists_S1_Fleet_direct[BG Data],Lists_S1_Fleet_direct[BG Data],Lists_S1_Fleet_direct[BG Data]),1) &amp; " Indirect",
     0)</f>
        <v>0</v>
      </c>
      <c r="J709" s="506" t="s">
        <v>27212</v>
      </c>
      <c r="K709" s="248"/>
    </row>
    <row r="710" spans="1:18" ht="15" x14ac:dyDescent="0.25">
      <c r="B710" s="249"/>
      <c r="C710" s="507" t="s">
        <v>2616</v>
      </c>
      <c r="D710" s="508">
        <f>SUM(D697:D709)</f>
        <v>0</v>
      </c>
      <c r="E710" s="508"/>
      <c r="F710" s="508">
        <f>SUM(F697:F709)</f>
        <v>0</v>
      </c>
      <c r="G710" s="508">
        <f>SUM(G697:G709)</f>
        <v>0</v>
      </c>
      <c r="H710" s="580">
        <f>SUM(H697:H709)</f>
        <v>0</v>
      </c>
      <c r="I710" s="507"/>
      <c r="J710" s="507"/>
      <c r="K710" s="248"/>
    </row>
    <row r="711" spans="1:18" x14ac:dyDescent="0.2">
      <c r="B711" s="254"/>
      <c r="C711" s="539"/>
      <c r="D711" s="540"/>
      <c r="E711" s="540"/>
      <c r="F711" s="540"/>
      <c r="G711" s="540"/>
      <c r="H711" s="588"/>
      <c r="I711" s="539"/>
      <c r="J711" s="539"/>
      <c r="K711" s="256"/>
    </row>
    <row r="713" spans="1:18" x14ac:dyDescent="0.2">
      <c r="B713" s="246"/>
      <c r="C713" s="527"/>
      <c r="D713" s="528"/>
      <c r="E713" s="528"/>
      <c r="F713" s="528"/>
      <c r="G713" s="547"/>
      <c r="H713" s="589"/>
      <c r="I713" s="548"/>
      <c r="J713" s="548"/>
      <c r="K713" s="247" t="str">
        <f>Calc_Hyperlink_Lessee</f>
        <v>Upstream leases</v>
      </c>
    </row>
    <row r="714" spans="1:18" ht="15" x14ac:dyDescent="0.25">
      <c r="A714" s="257"/>
      <c r="B714" s="249"/>
      <c r="C714" s="531" t="str">
        <f>n3Calculation_36.1Upstream_elFleetDirectMarket</f>
        <v>Flotte électrique - Basé sur le marché - Direct</v>
      </c>
      <c r="D714" s="511" t="str">
        <f>"Control approach = " &amp; GenInp_ConsolAppr &amp; " ; Lease type = " &amp; GenInp_LeaseType &amp; " → Direct emissions reported in " &amp; IF(GenInp_LeaseType="Operating Lease","Scope 3.8 ","Scope 2")</f>
        <v>Control approach = missing input ; Lease type = missing input → Direct emissions reported in Scope 2</v>
      </c>
      <c r="E714" s="510"/>
      <c r="F714" s="510"/>
      <c r="G714" s="510"/>
      <c r="H714" s="571"/>
      <c r="I714" s="511"/>
      <c r="J714" s="511"/>
      <c r="K714" s="248"/>
      <c r="M714" s="299" t="s">
        <v>28334</v>
      </c>
    </row>
    <row r="715" spans="1:18" ht="15" customHeight="1" x14ac:dyDescent="0.2">
      <c r="A715" s="257"/>
      <c r="B715" s="249"/>
      <c r="C715" s="740"/>
      <c r="D715" s="740"/>
      <c r="E715" s="740"/>
      <c r="F715" s="740"/>
      <c r="G715" s="510"/>
      <c r="H715" s="571"/>
      <c r="I715" s="511"/>
      <c r="J715" s="511"/>
      <c r="K715" s="248"/>
    </row>
    <row r="716" spans="1:18" s="686" customFormat="1" ht="33" x14ac:dyDescent="0.25">
      <c r="A716" s="693"/>
      <c r="B716" s="681"/>
      <c r="C716" s="682" t="s">
        <v>28598</v>
      </c>
      <c r="D716" s="683" t="s">
        <v>28537</v>
      </c>
      <c r="E716" s="683" t="s">
        <v>27208</v>
      </c>
      <c r="F716" s="683" t="s">
        <v>27588</v>
      </c>
      <c r="G716" s="683" t="s">
        <v>27589</v>
      </c>
      <c r="H716" s="683" t="s">
        <v>27209</v>
      </c>
      <c r="I716" s="682" t="s">
        <v>27210</v>
      </c>
      <c r="J716" s="682" t="s">
        <v>27211</v>
      </c>
      <c r="K716" s="685"/>
      <c r="M716" s="687"/>
      <c r="N716" s="687"/>
      <c r="O716" s="687"/>
      <c r="P716" s="687"/>
      <c r="Q716" s="687"/>
      <c r="R716" s="687"/>
    </row>
    <row r="717" spans="1:18" x14ac:dyDescent="0.2">
      <c r="A717" s="257"/>
      <c r="B717" s="249"/>
      <c r="C717" s="524" t="s">
        <v>28275</v>
      </c>
      <c r="D717" s="525">
        <f>'2 Data Inputs'!F361</f>
        <v>0</v>
      </c>
      <c r="E717" s="535">
        <f>_xlfn.XLOOKUP($I717,BG_Data[Product],BG_Data[GHG emissions (IPCC 2021) '[kg CO2 eq']],0)</f>
        <v>5.625548261860136E-2</v>
      </c>
      <c r="F717" s="535">
        <f t="shared" ref="F717:F729" si="51">$D717*$E717</f>
        <v>0</v>
      </c>
      <c r="G717" s="535">
        <f>$D717*_xlfn.XLOOKUP($I717,BG_Data[Product],BG_Data[Biogenic CO2 emissions '[kg CO2']],0)</f>
        <v>0</v>
      </c>
      <c r="H717" s="583">
        <f>$D717*_xlfn.XLOOKUP($I717,BG_Data[Product],BG_Data[Total env. impact (Ecological Scarcity 2021) '[UBP']],0)</f>
        <v>0</v>
      </c>
      <c r="I717" s="500" t="s">
        <v>2804</v>
      </c>
      <c r="J717" s="500" t="s">
        <v>27213</v>
      </c>
      <c r="K717" s="248"/>
    </row>
    <row r="718" spans="1:18" x14ac:dyDescent="0.2">
      <c r="A718" s="257"/>
      <c r="B718" s="249"/>
      <c r="C718" s="503">
        <f>IF('2 Data Inputs'!G366="kWh",'2 Data Inputs'!C366,0)</f>
        <v>0</v>
      </c>
      <c r="D718" s="537">
        <f>IF('2 Data Inputs'!G366="kWh",'2 Data Inputs'!F366,0)</f>
        <v>0</v>
      </c>
      <c r="E718" s="535">
        <f>_xlfn.XLOOKUP($I718,BG_Data[Product],BG_Data[GHG emissions (IPCC 2021) '[kg CO2 eq']],0)</f>
        <v>5.625548261860136E-2</v>
      </c>
      <c r="F718" s="535">
        <f t="shared" si="51"/>
        <v>0</v>
      </c>
      <c r="G718" s="535">
        <f>$D718*_xlfn.XLOOKUP($I718,BG_Data[Product],BG_Data[Biogenic CO2 emissions '[kg CO2']],0)</f>
        <v>0</v>
      </c>
      <c r="H718" s="583">
        <f>$D718*_xlfn.XLOOKUP($I718,BG_Data[Product],BG_Data[Total env. impact (Ecological Scarcity 2021) '[UBP']],0)</f>
        <v>0</v>
      </c>
      <c r="I718" s="500" t="s">
        <v>2804</v>
      </c>
      <c r="J718" s="500" t="s">
        <v>27213</v>
      </c>
      <c r="K718" s="248"/>
    </row>
    <row r="719" spans="1:18" x14ac:dyDescent="0.2">
      <c r="A719" s="257"/>
      <c r="B719" s="249"/>
      <c r="C719" s="503">
        <f>IF('2 Data Inputs'!G367="kWh",'2 Data Inputs'!C367,0)</f>
        <v>0</v>
      </c>
      <c r="D719" s="537">
        <f>IF('2 Data Inputs'!G367="kWh",'2 Data Inputs'!F367,0)</f>
        <v>0</v>
      </c>
      <c r="E719" s="537">
        <f>_xlfn.XLOOKUP($I719,BG_Data[Product],BG_Data[GHG emissions (IPCC 2021) '[kg CO2 eq']],0)</f>
        <v>5.625548261860136E-2</v>
      </c>
      <c r="F719" s="537">
        <f t="shared" si="51"/>
        <v>0</v>
      </c>
      <c r="G719" s="537">
        <f>$D719*_xlfn.XLOOKUP($I719,BG_Data[Product],BG_Data[Biogenic CO2 emissions '[kg CO2']],0)</f>
        <v>0</v>
      </c>
      <c r="H719" s="584">
        <f>$D719*_xlfn.XLOOKUP($I719,BG_Data[Product],BG_Data[Total env. impact (Ecological Scarcity 2021) '[UBP']],0)</f>
        <v>0</v>
      </c>
      <c r="I719" s="503" t="s">
        <v>2804</v>
      </c>
      <c r="J719" s="503" t="s">
        <v>27213</v>
      </c>
      <c r="K719" s="248"/>
    </row>
    <row r="720" spans="1:18" x14ac:dyDescent="0.2">
      <c r="A720" s="257"/>
      <c r="B720" s="249"/>
      <c r="C720" s="503">
        <f>IF('2 Data Inputs'!G368="kWh",'2 Data Inputs'!C368,0)</f>
        <v>0</v>
      </c>
      <c r="D720" s="537">
        <f>IF('2 Data Inputs'!G368="kWh",'2 Data Inputs'!F368,0)</f>
        <v>0</v>
      </c>
      <c r="E720" s="537">
        <f>_xlfn.XLOOKUP($I720,BG_Data[Product],BG_Data[GHG emissions (IPCC 2021) '[kg CO2 eq']],0)</f>
        <v>5.625548261860136E-2</v>
      </c>
      <c r="F720" s="537">
        <f t="shared" si="51"/>
        <v>0</v>
      </c>
      <c r="G720" s="537">
        <f>$D720*_xlfn.XLOOKUP($I720,BG_Data[Product],BG_Data[Biogenic CO2 emissions '[kg CO2']],0)</f>
        <v>0</v>
      </c>
      <c r="H720" s="584">
        <f>$D720*_xlfn.XLOOKUP($I720,BG_Data[Product],BG_Data[Total env. impact (Ecological Scarcity 2021) '[UBP']],0)</f>
        <v>0</v>
      </c>
      <c r="I720" s="503" t="s">
        <v>2804</v>
      </c>
      <c r="J720" s="503" t="s">
        <v>27213</v>
      </c>
      <c r="K720" s="248"/>
    </row>
    <row r="721" spans="1:18" x14ac:dyDescent="0.2">
      <c r="A721" s="257"/>
      <c r="B721" s="249"/>
      <c r="C721" s="503">
        <f>IF('2 Data Inputs'!G369="kWh",'2 Data Inputs'!C369,0)</f>
        <v>0</v>
      </c>
      <c r="D721" s="537">
        <f>IF('2 Data Inputs'!G369="kWh",'2 Data Inputs'!F369,0)</f>
        <v>0</v>
      </c>
      <c r="E721" s="537">
        <f>_xlfn.XLOOKUP($I721,BG_Data[Product],BG_Data[GHG emissions (IPCC 2021) '[kg CO2 eq']],0)</f>
        <v>5.625548261860136E-2</v>
      </c>
      <c r="F721" s="537">
        <f t="shared" si="51"/>
        <v>0</v>
      </c>
      <c r="G721" s="537">
        <f>$D721*_xlfn.XLOOKUP($I721,BG_Data[Product],BG_Data[Biogenic CO2 emissions '[kg CO2']],0)</f>
        <v>0</v>
      </c>
      <c r="H721" s="584">
        <f>$D721*_xlfn.XLOOKUP($I721,BG_Data[Product],BG_Data[Total env. impact (Ecological Scarcity 2021) '[UBP']],0)</f>
        <v>0</v>
      </c>
      <c r="I721" s="503" t="s">
        <v>2804</v>
      </c>
      <c r="J721" s="503" t="s">
        <v>27213</v>
      </c>
      <c r="K721" s="248"/>
    </row>
    <row r="722" spans="1:18" x14ac:dyDescent="0.2">
      <c r="A722" s="257"/>
      <c r="B722" s="249"/>
      <c r="C722" s="503">
        <f>IF('2 Data Inputs'!G370="kWh",'2 Data Inputs'!C370,0)</f>
        <v>0</v>
      </c>
      <c r="D722" s="537">
        <f>IF('2 Data Inputs'!G370="kWh",'2 Data Inputs'!F370,0)</f>
        <v>0</v>
      </c>
      <c r="E722" s="537">
        <f>_xlfn.XLOOKUP($I722,BG_Data[Product],BG_Data[GHG emissions (IPCC 2021) '[kg CO2 eq']],0)</f>
        <v>5.625548261860136E-2</v>
      </c>
      <c r="F722" s="537">
        <f t="shared" si="51"/>
        <v>0</v>
      </c>
      <c r="G722" s="537">
        <f>$D722*_xlfn.XLOOKUP($I722,BG_Data[Product],BG_Data[Biogenic CO2 emissions '[kg CO2']],0)</f>
        <v>0</v>
      </c>
      <c r="H722" s="584">
        <f>$D722*_xlfn.XLOOKUP($I722,BG_Data[Product],BG_Data[Total env. impact (Ecological Scarcity 2021) '[UBP']],0)</f>
        <v>0</v>
      </c>
      <c r="I722" s="503" t="s">
        <v>2804</v>
      </c>
      <c r="J722" s="503" t="s">
        <v>27213</v>
      </c>
      <c r="K722" s="248"/>
    </row>
    <row r="723" spans="1:18" x14ac:dyDescent="0.2">
      <c r="A723" s="257"/>
      <c r="B723" s="249"/>
      <c r="C723" s="503">
        <f>IF('2 Data Inputs'!G371="kWh",'2 Data Inputs'!C371,0)</f>
        <v>0</v>
      </c>
      <c r="D723" s="537">
        <f>IF('2 Data Inputs'!G371="kWh",'2 Data Inputs'!F371,0)</f>
        <v>0</v>
      </c>
      <c r="E723" s="537">
        <f>_xlfn.XLOOKUP($I723,BG_Data[Product],BG_Data[GHG emissions (IPCC 2021) '[kg CO2 eq']],0)</f>
        <v>5.625548261860136E-2</v>
      </c>
      <c r="F723" s="537">
        <f t="shared" si="51"/>
        <v>0</v>
      </c>
      <c r="G723" s="537">
        <f>$D723*_xlfn.XLOOKUP($I723,BG_Data[Product],BG_Data[Biogenic CO2 emissions '[kg CO2']],0)</f>
        <v>0</v>
      </c>
      <c r="H723" s="584">
        <f>$D723*_xlfn.XLOOKUP($I723,BG_Data[Product],BG_Data[Total env. impact (Ecological Scarcity 2021) '[UBP']],0)</f>
        <v>0</v>
      </c>
      <c r="I723" s="503" t="s">
        <v>2804</v>
      </c>
      <c r="J723" s="503" t="s">
        <v>27213</v>
      </c>
      <c r="K723" s="248"/>
    </row>
    <row r="724" spans="1:18" ht="15" customHeight="1" x14ac:dyDescent="0.2">
      <c r="A724" s="257"/>
      <c r="B724" s="249"/>
      <c r="C724" s="503">
        <f>IF('2 Data Inputs'!G372="kWh",'2 Data Inputs'!C372,0)</f>
        <v>0</v>
      </c>
      <c r="D724" s="537">
        <f>IF('2 Data Inputs'!G372="kWh",'2 Data Inputs'!F372,0)</f>
        <v>0</v>
      </c>
      <c r="E724" s="537">
        <f>_xlfn.XLOOKUP($I724,BG_Data[Product],BG_Data[GHG emissions (IPCC 2021) '[kg CO2 eq']],0)</f>
        <v>5.625548261860136E-2</v>
      </c>
      <c r="F724" s="537">
        <f t="shared" si="51"/>
        <v>0</v>
      </c>
      <c r="G724" s="537">
        <f>$D724*_xlfn.XLOOKUP($I724,BG_Data[Product],BG_Data[Biogenic CO2 emissions '[kg CO2']],0)</f>
        <v>0</v>
      </c>
      <c r="H724" s="584">
        <f>$D724*_xlfn.XLOOKUP($I724,BG_Data[Product],BG_Data[Total env. impact (Ecological Scarcity 2021) '[UBP']],0)</f>
        <v>0</v>
      </c>
      <c r="I724" s="503" t="s">
        <v>2804</v>
      </c>
      <c r="J724" s="503" t="s">
        <v>27213</v>
      </c>
      <c r="K724" s="248"/>
    </row>
    <row r="725" spans="1:18" x14ac:dyDescent="0.2">
      <c r="A725" s="257"/>
      <c r="B725" s="249"/>
      <c r="C725" s="503">
        <f>IF('2 Data Inputs'!G373="kWh",'2 Data Inputs'!C373,0)</f>
        <v>0</v>
      </c>
      <c r="D725" s="537">
        <f>IF('2 Data Inputs'!G373="kWh",'2 Data Inputs'!F373,0)</f>
        <v>0</v>
      </c>
      <c r="E725" s="537">
        <f>_xlfn.XLOOKUP($I725,BG_Data[Product],BG_Data[GHG emissions (IPCC 2021) '[kg CO2 eq']],0)</f>
        <v>5.625548261860136E-2</v>
      </c>
      <c r="F725" s="537">
        <f t="shared" si="51"/>
        <v>0</v>
      </c>
      <c r="G725" s="537">
        <f>$D725*_xlfn.XLOOKUP($I725,BG_Data[Product],BG_Data[Biogenic CO2 emissions '[kg CO2']],0)</f>
        <v>0</v>
      </c>
      <c r="H725" s="584">
        <f>$D725*_xlfn.XLOOKUP($I725,BG_Data[Product],BG_Data[Total env. impact (Ecological Scarcity 2021) '[UBP']],0)</f>
        <v>0</v>
      </c>
      <c r="I725" s="503" t="s">
        <v>2804</v>
      </c>
      <c r="J725" s="503" t="s">
        <v>27213</v>
      </c>
      <c r="K725" s="248"/>
    </row>
    <row r="726" spans="1:18" x14ac:dyDescent="0.2">
      <c r="A726" s="257"/>
      <c r="B726" s="249"/>
      <c r="C726" s="503">
        <f>IF('2 Data Inputs'!G374="kWh",'2 Data Inputs'!C374,0)</f>
        <v>0</v>
      </c>
      <c r="D726" s="537">
        <f>IF('2 Data Inputs'!G374="kWh",'2 Data Inputs'!F374,0)</f>
        <v>0</v>
      </c>
      <c r="E726" s="537">
        <f>_xlfn.XLOOKUP($I726,BG_Data[Product],BG_Data[GHG emissions (IPCC 2021) '[kg CO2 eq']],0)</f>
        <v>5.625548261860136E-2</v>
      </c>
      <c r="F726" s="537">
        <f t="shared" si="51"/>
        <v>0</v>
      </c>
      <c r="G726" s="537">
        <f>$D726*_xlfn.XLOOKUP($I726,BG_Data[Product],BG_Data[Biogenic CO2 emissions '[kg CO2']],0)</f>
        <v>0</v>
      </c>
      <c r="H726" s="584">
        <f>$D726*_xlfn.XLOOKUP($I726,BG_Data[Product],BG_Data[Total env. impact (Ecological Scarcity 2021) '[UBP']],0)</f>
        <v>0</v>
      </c>
      <c r="I726" s="503" t="s">
        <v>2804</v>
      </c>
      <c r="J726" s="503" t="s">
        <v>27213</v>
      </c>
      <c r="K726" s="248"/>
    </row>
    <row r="727" spans="1:18" x14ac:dyDescent="0.2">
      <c r="A727" s="257"/>
      <c r="B727" s="249"/>
      <c r="C727" s="503">
        <f>IF('2 Data Inputs'!G375="kWh",'2 Data Inputs'!C375,0)</f>
        <v>0</v>
      </c>
      <c r="D727" s="537">
        <f>IF('2 Data Inputs'!G375="kWh",'2 Data Inputs'!F375,0)</f>
        <v>0</v>
      </c>
      <c r="E727" s="537">
        <f>_xlfn.XLOOKUP($I727,BG_Data[Product],BG_Data[GHG emissions (IPCC 2021) '[kg CO2 eq']],0)</f>
        <v>5.625548261860136E-2</v>
      </c>
      <c r="F727" s="537">
        <f t="shared" si="51"/>
        <v>0</v>
      </c>
      <c r="G727" s="537">
        <f>$D727*_xlfn.XLOOKUP($I727,BG_Data[Product],BG_Data[Biogenic CO2 emissions '[kg CO2']],0)</f>
        <v>0</v>
      </c>
      <c r="H727" s="584">
        <f>$D727*_xlfn.XLOOKUP($I727,BG_Data[Product],BG_Data[Total env. impact (Ecological Scarcity 2021) '[UBP']],0)</f>
        <v>0</v>
      </c>
      <c r="I727" s="503" t="s">
        <v>2804</v>
      </c>
      <c r="J727" s="503" t="s">
        <v>27213</v>
      </c>
      <c r="K727" s="248"/>
    </row>
    <row r="728" spans="1:18" x14ac:dyDescent="0.2">
      <c r="A728" s="257"/>
      <c r="B728" s="249"/>
      <c r="C728" s="503">
        <f>IF('2 Data Inputs'!G376="kWh",'2 Data Inputs'!C376,0)</f>
        <v>0</v>
      </c>
      <c r="D728" s="537">
        <f>IF('2 Data Inputs'!G376="kWh",'2 Data Inputs'!F376,0)</f>
        <v>0</v>
      </c>
      <c r="E728" s="537">
        <f>_xlfn.XLOOKUP($I728,BG_Data[Product],BG_Data[GHG emissions (IPCC 2021) '[kg CO2 eq']],0)</f>
        <v>5.625548261860136E-2</v>
      </c>
      <c r="F728" s="537">
        <f t="shared" si="51"/>
        <v>0</v>
      </c>
      <c r="G728" s="537">
        <f>$D728*_xlfn.XLOOKUP($I728,BG_Data[Product],BG_Data[Biogenic CO2 emissions '[kg CO2']],0)</f>
        <v>0</v>
      </c>
      <c r="H728" s="584">
        <f>$D728*_xlfn.XLOOKUP($I728,BG_Data[Product],BG_Data[Total env. impact (Ecological Scarcity 2021) '[UBP']],0)</f>
        <v>0</v>
      </c>
      <c r="I728" s="503" t="s">
        <v>2804</v>
      </c>
      <c r="J728" s="503" t="s">
        <v>27213</v>
      </c>
      <c r="K728" s="248"/>
    </row>
    <row r="729" spans="1:18" x14ac:dyDescent="0.2">
      <c r="A729" s="257"/>
      <c r="B729" s="249"/>
      <c r="C729" s="506">
        <f>IF('2 Data Inputs'!G377="kWh",'2 Data Inputs'!C377,0)</f>
        <v>0</v>
      </c>
      <c r="D729" s="532">
        <f>IF('2 Data Inputs'!G377="kWh",'2 Data Inputs'!F377,0)</f>
        <v>0</v>
      </c>
      <c r="E729" s="532">
        <f>_xlfn.XLOOKUP($I729,BG_Data[Product],BG_Data[GHG emissions (IPCC 2021) '[kg CO2 eq']],0)</f>
        <v>5.625548261860136E-2</v>
      </c>
      <c r="F729" s="532">
        <f t="shared" si="51"/>
        <v>0</v>
      </c>
      <c r="G729" s="532">
        <f>$D729*_xlfn.XLOOKUP($I729,BG_Data[Product],BG_Data[Biogenic CO2 emissions '[kg CO2']],0)</f>
        <v>0</v>
      </c>
      <c r="H729" s="581">
        <f>$D729*_xlfn.XLOOKUP($I729,BG_Data[Product],BG_Data[Total env. impact (Ecological Scarcity 2021) '[UBP']],0)</f>
        <v>0</v>
      </c>
      <c r="I729" s="506" t="s">
        <v>2804</v>
      </c>
      <c r="J729" s="506" t="s">
        <v>27213</v>
      </c>
      <c r="K729" s="248"/>
    </row>
    <row r="730" spans="1:18" ht="15" x14ac:dyDescent="0.25">
      <c r="A730" s="257"/>
      <c r="B730" s="249"/>
      <c r="C730" s="507" t="s">
        <v>2616</v>
      </c>
      <c r="D730" s="508">
        <f>SUM(D717:D729)</f>
        <v>0</v>
      </c>
      <c r="E730" s="508"/>
      <c r="F730" s="508">
        <f>SUM(F717:F729)</f>
        <v>0</v>
      </c>
      <c r="G730" s="508">
        <f>SUM(G717:G729)</f>
        <v>0</v>
      </c>
      <c r="H730" s="580">
        <f>SUM(H717:H729)</f>
        <v>0</v>
      </c>
      <c r="I730" s="507"/>
      <c r="J730" s="507"/>
      <c r="K730" s="248"/>
    </row>
    <row r="731" spans="1:18" x14ac:dyDescent="0.2">
      <c r="B731" s="249"/>
      <c r="C731" s="511"/>
      <c r="D731" s="510"/>
      <c r="E731" s="510"/>
      <c r="F731" s="510"/>
      <c r="G731" s="510"/>
      <c r="H731" s="571"/>
      <c r="I731" s="511"/>
      <c r="J731" s="511"/>
      <c r="K731" s="248"/>
    </row>
    <row r="732" spans="1:18" ht="15" x14ac:dyDescent="0.25">
      <c r="B732" s="249"/>
      <c r="C732" s="531" t="str">
        <f>n3Calculation_36.2Upstream_elFleetDirectLocation</f>
        <v>Flotte électrique - Basé sur la localisation - Direct</v>
      </c>
      <c r="D732" s="546"/>
      <c r="E732" s="546"/>
      <c r="F732" s="546"/>
      <c r="G732" s="546"/>
      <c r="H732" s="587"/>
      <c r="I732" s="545"/>
      <c r="J732" s="545"/>
      <c r="K732" s="248"/>
      <c r="M732" s="299" t="s">
        <v>28333</v>
      </c>
    </row>
    <row r="733" spans="1:18" ht="15" x14ac:dyDescent="0.25">
      <c r="B733" s="249"/>
      <c r="C733" s="531"/>
      <c r="D733" s="546"/>
      <c r="E733" s="546"/>
      <c r="F733" s="546"/>
      <c r="G733" s="546"/>
      <c r="H733" s="587"/>
      <c r="I733" s="545"/>
      <c r="J733" s="545"/>
      <c r="K733" s="248"/>
    </row>
    <row r="734" spans="1:18" s="686" customFormat="1" ht="33" x14ac:dyDescent="0.25">
      <c r="B734" s="681"/>
      <c r="C734" s="682" t="s">
        <v>27888</v>
      </c>
      <c r="D734" s="683" t="s">
        <v>28537</v>
      </c>
      <c r="E734" s="683" t="s">
        <v>27208</v>
      </c>
      <c r="F734" s="683" t="s">
        <v>27588</v>
      </c>
      <c r="G734" s="683" t="s">
        <v>27589</v>
      </c>
      <c r="H734" s="683" t="s">
        <v>27214</v>
      </c>
      <c r="I734" s="682" t="s">
        <v>27210</v>
      </c>
      <c r="J734" s="682" t="s">
        <v>27211</v>
      </c>
      <c r="K734" s="685"/>
      <c r="M734" s="687"/>
      <c r="N734" s="687"/>
      <c r="O734" s="687"/>
      <c r="P734" s="687"/>
      <c r="Q734" s="687"/>
      <c r="R734" s="687"/>
    </row>
    <row r="735" spans="1:18" x14ac:dyDescent="0.2">
      <c r="B735" s="249"/>
      <c r="C735" s="543" t="s">
        <v>27877</v>
      </c>
      <c r="D735" s="544">
        <f>SUM(SUMIF('2 Data Inputs'!G366:G375,"kWh",'2 Data Inputs'!F366:F375),'2 Data Inputs'!F361)</f>
        <v>0</v>
      </c>
      <c r="E735" s="544">
        <f>_xlfn.XLOOKUP($I735,BG_Data[Product],BG_Data[GHG emissions (IPCC 2021) '[kg CO2 eq']],0)</f>
        <v>5.625548261860136E-2</v>
      </c>
      <c r="F735" s="544">
        <f t="shared" ref="F735" si="52">$D735*$E735</f>
        <v>0</v>
      </c>
      <c r="G735" s="544">
        <f>$D735*_xlfn.XLOOKUP($I735,BG_Data[Product],BG_Data[Biogenic CO2 emissions '[kg CO2']],0)</f>
        <v>0</v>
      </c>
      <c r="H735" s="586">
        <f>$D735*_xlfn.XLOOKUP($I735,BG_Data[Product],BG_Data[Total env. impact (Ecological Scarcity 2021) '[UBP']],0)</f>
        <v>0</v>
      </c>
      <c r="I735" s="544" t="s">
        <v>2804</v>
      </c>
      <c r="J735" s="543" t="s">
        <v>27213</v>
      </c>
      <c r="K735" s="248"/>
    </row>
    <row r="736" spans="1:18" x14ac:dyDescent="0.2">
      <c r="B736" s="254"/>
      <c r="C736" s="539"/>
      <c r="D736" s="540"/>
      <c r="E736" s="540"/>
      <c r="F736" s="540"/>
      <c r="G736" s="540"/>
      <c r="H736" s="588"/>
      <c r="I736" s="539"/>
      <c r="J736" s="539"/>
      <c r="K736" s="256"/>
    </row>
    <row r="738" spans="1:18" ht="15" x14ac:dyDescent="0.25">
      <c r="B738" s="258"/>
    </row>
    <row r="739" spans="1:18" x14ac:dyDescent="0.2">
      <c r="B739" s="246"/>
      <c r="C739" s="527"/>
      <c r="D739" s="528"/>
      <c r="E739" s="528"/>
      <c r="F739" s="528"/>
      <c r="G739" s="547"/>
      <c r="H739" s="589"/>
      <c r="I739" s="548"/>
      <c r="J739" s="548"/>
      <c r="K739" s="247" t="str">
        <f>Calc_Hyperlink_Lessee</f>
        <v>Upstream leases</v>
      </c>
    </row>
    <row r="740" spans="1:18" ht="15" x14ac:dyDescent="0.25">
      <c r="A740" s="257"/>
      <c r="B740" s="249"/>
      <c r="C740" s="531" t="str">
        <f>n3Calculation_37.1Upstream_elFleetIndirectMarket</f>
        <v>Flotte électrique - Basé sur le marché - Indirect</v>
      </c>
      <c r="D740" s="511"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740" s="510"/>
      <c r="F740" s="510"/>
      <c r="G740" s="510"/>
      <c r="H740" s="571"/>
      <c r="I740" s="511"/>
      <c r="J740" s="511"/>
      <c r="K740" s="248"/>
      <c r="M740" s="299" t="s">
        <v>28332</v>
      </c>
    </row>
    <row r="741" spans="1:18" ht="15" customHeight="1" x14ac:dyDescent="0.2">
      <c r="A741" s="257"/>
      <c r="B741" s="249"/>
      <c r="C741" s="740"/>
      <c r="D741" s="740"/>
      <c r="E741" s="740"/>
      <c r="F741" s="740"/>
      <c r="G741" s="510"/>
      <c r="H741" s="571"/>
      <c r="I741" s="511"/>
      <c r="J741" s="511"/>
      <c r="K741" s="248"/>
    </row>
    <row r="742" spans="1:18" s="686" customFormat="1" ht="33" x14ac:dyDescent="0.25">
      <c r="A742" s="693"/>
      <c r="B742" s="681"/>
      <c r="C742" s="682" t="s">
        <v>28598</v>
      </c>
      <c r="D742" s="683" t="s">
        <v>28537</v>
      </c>
      <c r="E742" s="683" t="s">
        <v>27208</v>
      </c>
      <c r="F742" s="683" t="s">
        <v>27588</v>
      </c>
      <c r="G742" s="683" t="s">
        <v>27589</v>
      </c>
      <c r="H742" s="683" t="s">
        <v>27209</v>
      </c>
      <c r="I742" s="682" t="s">
        <v>27210</v>
      </c>
      <c r="J742" s="682" t="s">
        <v>27211</v>
      </c>
      <c r="K742" s="685"/>
      <c r="M742" s="687"/>
      <c r="N742" s="687"/>
      <c r="O742" s="687"/>
      <c r="P742" s="687"/>
      <c r="Q742" s="687"/>
      <c r="R742" s="687"/>
    </row>
    <row r="743" spans="1:18" x14ac:dyDescent="0.2">
      <c r="A743" s="257"/>
      <c r="B743" s="249"/>
      <c r="C743" s="524" t="s">
        <v>28275</v>
      </c>
      <c r="D743" s="525">
        <f>'2 Data Inputs'!F361</f>
        <v>0</v>
      </c>
      <c r="E743" s="535">
        <f>_xlfn.XLOOKUP($I743,BG_Data[Product],BG_Data[GHG emissions (IPCC 2021) '[kg CO2 eq']],0)</f>
        <v>4.0754008540141134E-2</v>
      </c>
      <c r="F743" s="535">
        <f t="shared" ref="F743:F755" si="53">$D743*$E743</f>
        <v>0</v>
      </c>
      <c r="G743" s="535">
        <f>$D743*_xlfn.XLOOKUP($I743,BG_Data[Product],BG_Data[Biogenic CO2 emissions '[kg CO2']],0)</f>
        <v>0</v>
      </c>
      <c r="H743" s="583">
        <f>$D743*_xlfn.XLOOKUP($I743,BG_Data[Product],BG_Data[Total env. impact (Ecological Scarcity 2021) '[UBP']],0)</f>
        <v>0</v>
      </c>
      <c r="I743" s="500" t="s">
        <v>3146</v>
      </c>
      <c r="J743" s="500" t="s">
        <v>27213</v>
      </c>
      <c r="K743" s="248"/>
    </row>
    <row r="744" spans="1:18" x14ac:dyDescent="0.2">
      <c r="A744" s="257"/>
      <c r="B744" s="249"/>
      <c r="C744" s="503">
        <f>IF('2 Data Inputs'!G366="kWh",'2 Data Inputs'!C366,0)</f>
        <v>0</v>
      </c>
      <c r="D744" s="537">
        <f>IF('2 Data Inputs'!G366="kWh",'2 Data Inputs'!F366,0)</f>
        <v>0</v>
      </c>
      <c r="E744" s="535">
        <f>_xlfn.XLOOKUP($I744,BG_Data[Product],BG_Data[GHG emissions (IPCC 2021) '[kg CO2 eq']],0)</f>
        <v>4.0754008540141134E-2</v>
      </c>
      <c r="F744" s="535">
        <f t="shared" si="53"/>
        <v>0</v>
      </c>
      <c r="G744" s="535">
        <f>$D744*_xlfn.XLOOKUP($I744,BG_Data[Product],BG_Data[Biogenic CO2 emissions '[kg CO2']],0)</f>
        <v>0</v>
      </c>
      <c r="H744" s="583">
        <f>$D744*_xlfn.XLOOKUP($I744,BG_Data[Product],BG_Data[Total env. impact (Ecological Scarcity 2021) '[UBP']],0)</f>
        <v>0</v>
      </c>
      <c r="I744" s="500" t="s">
        <v>3146</v>
      </c>
      <c r="J744" s="500" t="s">
        <v>27213</v>
      </c>
      <c r="K744" s="248"/>
    </row>
    <row r="745" spans="1:18" x14ac:dyDescent="0.2">
      <c r="A745" s="257"/>
      <c r="B745" s="249"/>
      <c r="C745" s="503">
        <f>IF('2 Data Inputs'!G367="kWh",'2 Data Inputs'!C367,0)</f>
        <v>0</v>
      </c>
      <c r="D745" s="537">
        <f>IF('2 Data Inputs'!G367="kWh",'2 Data Inputs'!F367,0)</f>
        <v>0</v>
      </c>
      <c r="E745" s="537">
        <f>_xlfn.XLOOKUP($I745,BG_Data[Product],BG_Data[GHG emissions (IPCC 2021) '[kg CO2 eq']],0)</f>
        <v>4.0754008540141134E-2</v>
      </c>
      <c r="F745" s="537">
        <f t="shared" si="53"/>
        <v>0</v>
      </c>
      <c r="G745" s="537">
        <f>$D745*_xlfn.XLOOKUP($I745,BG_Data[Product],BG_Data[Biogenic CO2 emissions '[kg CO2']],0)</f>
        <v>0</v>
      </c>
      <c r="H745" s="584">
        <f>$D745*_xlfn.XLOOKUP($I745,BG_Data[Product],BG_Data[Total env. impact (Ecological Scarcity 2021) '[UBP']],0)</f>
        <v>0</v>
      </c>
      <c r="I745" s="503" t="s">
        <v>3146</v>
      </c>
      <c r="J745" s="503" t="s">
        <v>27213</v>
      </c>
      <c r="K745" s="248"/>
    </row>
    <row r="746" spans="1:18" x14ac:dyDescent="0.2">
      <c r="A746" s="257"/>
      <c r="B746" s="249"/>
      <c r="C746" s="503">
        <f>IF('2 Data Inputs'!G368="kWh",'2 Data Inputs'!C368,0)</f>
        <v>0</v>
      </c>
      <c r="D746" s="537">
        <f>IF('2 Data Inputs'!G368="kWh",'2 Data Inputs'!F368,0)</f>
        <v>0</v>
      </c>
      <c r="E746" s="537">
        <f>_xlfn.XLOOKUP($I746,BG_Data[Product],BG_Data[GHG emissions (IPCC 2021) '[kg CO2 eq']],0)</f>
        <v>4.0754008540141134E-2</v>
      </c>
      <c r="F746" s="537">
        <f t="shared" si="53"/>
        <v>0</v>
      </c>
      <c r="G746" s="537">
        <f>$D746*_xlfn.XLOOKUP($I746,BG_Data[Product],BG_Data[Biogenic CO2 emissions '[kg CO2']],0)</f>
        <v>0</v>
      </c>
      <c r="H746" s="584">
        <f>$D746*_xlfn.XLOOKUP($I746,BG_Data[Product],BG_Data[Total env. impact (Ecological Scarcity 2021) '[UBP']],0)</f>
        <v>0</v>
      </c>
      <c r="I746" s="503" t="s">
        <v>3146</v>
      </c>
      <c r="J746" s="503" t="s">
        <v>27213</v>
      </c>
      <c r="K746" s="248"/>
    </row>
    <row r="747" spans="1:18" x14ac:dyDescent="0.2">
      <c r="A747" s="257"/>
      <c r="B747" s="249"/>
      <c r="C747" s="503">
        <f>IF('2 Data Inputs'!G369="kWh",'2 Data Inputs'!C369,0)</f>
        <v>0</v>
      </c>
      <c r="D747" s="537">
        <f>IF('2 Data Inputs'!G369="kWh",'2 Data Inputs'!F369,0)</f>
        <v>0</v>
      </c>
      <c r="E747" s="537">
        <f>_xlfn.XLOOKUP($I747,BG_Data[Product],BG_Data[GHG emissions (IPCC 2021) '[kg CO2 eq']],0)</f>
        <v>4.0754008540141134E-2</v>
      </c>
      <c r="F747" s="537">
        <f t="shared" si="53"/>
        <v>0</v>
      </c>
      <c r="G747" s="537">
        <f>$D747*_xlfn.XLOOKUP($I747,BG_Data[Product],BG_Data[Biogenic CO2 emissions '[kg CO2']],0)</f>
        <v>0</v>
      </c>
      <c r="H747" s="584">
        <f>$D747*_xlfn.XLOOKUP($I747,BG_Data[Product],BG_Data[Total env. impact (Ecological Scarcity 2021) '[UBP']],0)</f>
        <v>0</v>
      </c>
      <c r="I747" s="503" t="s">
        <v>3146</v>
      </c>
      <c r="J747" s="503" t="s">
        <v>27213</v>
      </c>
      <c r="K747" s="248"/>
    </row>
    <row r="748" spans="1:18" x14ac:dyDescent="0.2">
      <c r="A748" s="257"/>
      <c r="B748" s="249"/>
      <c r="C748" s="503">
        <f>IF('2 Data Inputs'!G370="kWh",'2 Data Inputs'!C370,0)</f>
        <v>0</v>
      </c>
      <c r="D748" s="537">
        <f>IF('2 Data Inputs'!G370="kWh",'2 Data Inputs'!F370,0)</f>
        <v>0</v>
      </c>
      <c r="E748" s="537">
        <f>_xlfn.XLOOKUP($I748,BG_Data[Product],BG_Data[GHG emissions (IPCC 2021) '[kg CO2 eq']],0)</f>
        <v>4.0754008540141134E-2</v>
      </c>
      <c r="F748" s="537">
        <f t="shared" si="53"/>
        <v>0</v>
      </c>
      <c r="G748" s="537">
        <f>$D748*_xlfn.XLOOKUP($I748,BG_Data[Product],BG_Data[Biogenic CO2 emissions '[kg CO2']],0)</f>
        <v>0</v>
      </c>
      <c r="H748" s="584">
        <f>$D748*_xlfn.XLOOKUP($I748,BG_Data[Product],BG_Data[Total env. impact (Ecological Scarcity 2021) '[UBP']],0)</f>
        <v>0</v>
      </c>
      <c r="I748" s="503" t="s">
        <v>3146</v>
      </c>
      <c r="J748" s="503" t="s">
        <v>27213</v>
      </c>
      <c r="K748" s="248"/>
    </row>
    <row r="749" spans="1:18" x14ac:dyDescent="0.2">
      <c r="A749" s="257"/>
      <c r="B749" s="249"/>
      <c r="C749" s="503">
        <f>IF('2 Data Inputs'!G371="kWh",'2 Data Inputs'!C371,0)</f>
        <v>0</v>
      </c>
      <c r="D749" s="537">
        <f>IF('2 Data Inputs'!G371="kWh",'2 Data Inputs'!F371,0)</f>
        <v>0</v>
      </c>
      <c r="E749" s="537">
        <f>_xlfn.XLOOKUP($I749,BG_Data[Product],BG_Data[GHG emissions (IPCC 2021) '[kg CO2 eq']],0)</f>
        <v>4.0754008540141134E-2</v>
      </c>
      <c r="F749" s="537">
        <f t="shared" si="53"/>
        <v>0</v>
      </c>
      <c r="G749" s="537">
        <f>$D749*_xlfn.XLOOKUP($I749,BG_Data[Product],BG_Data[Biogenic CO2 emissions '[kg CO2']],0)</f>
        <v>0</v>
      </c>
      <c r="H749" s="584">
        <f>$D749*_xlfn.XLOOKUP($I749,BG_Data[Product],BG_Data[Total env. impact (Ecological Scarcity 2021) '[UBP']],0)</f>
        <v>0</v>
      </c>
      <c r="I749" s="503" t="s">
        <v>3146</v>
      </c>
      <c r="J749" s="503" t="s">
        <v>27213</v>
      </c>
      <c r="K749" s="248"/>
    </row>
    <row r="750" spans="1:18" ht="15" customHeight="1" x14ac:dyDescent="0.2">
      <c r="A750" s="257"/>
      <c r="B750" s="249"/>
      <c r="C750" s="503">
        <f>IF('2 Data Inputs'!G372="kWh",'2 Data Inputs'!C372,0)</f>
        <v>0</v>
      </c>
      <c r="D750" s="537">
        <f>IF('2 Data Inputs'!G372="kWh",'2 Data Inputs'!F372,0)</f>
        <v>0</v>
      </c>
      <c r="E750" s="537">
        <f>_xlfn.XLOOKUP($I750,BG_Data[Product],BG_Data[GHG emissions (IPCC 2021) '[kg CO2 eq']],0)</f>
        <v>4.0754008540141134E-2</v>
      </c>
      <c r="F750" s="537">
        <f t="shared" si="53"/>
        <v>0</v>
      </c>
      <c r="G750" s="537">
        <f>$D750*_xlfn.XLOOKUP($I750,BG_Data[Product],BG_Data[Biogenic CO2 emissions '[kg CO2']],0)</f>
        <v>0</v>
      </c>
      <c r="H750" s="584">
        <f>$D750*_xlfn.XLOOKUP($I750,BG_Data[Product],BG_Data[Total env. impact (Ecological Scarcity 2021) '[UBP']],0)</f>
        <v>0</v>
      </c>
      <c r="I750" s="503" t="s">
        <v>3146</v>
      </c>
      <c r="J750" s="503" t="s">
        <v>27213</v>
      </c>
      <c r="K750" s="248"/>
    </row>
    <row r="751" spans="1:18" x14ac:dyDescent="0.2">
      <c r="A751" s="257"/>
      <c r="B751" s="249"/>
      <c r="C751" s="503">
        <f>IF('2 Data Inputs'!G373="kWh",'2 Data Inputs'!C373,0)</f>
        <v>0</v>
      </c>
      <c r="D751" s="537">
        <f>IF('2 Data Inputs'!G373="kWh",'2 Data Inputs'!F373,0)</f>
        <v>0</v>
      </c>
      <c r="E751" s="537">
        <f>_xlfn.XLOOKUP($I751,BG_Data[Product],BG_Data[GHG emissions (IPCC 2021) '[kg CO2 eq']],0)</f>
        <v>4.0754008540141134E-2</v>
      </c>
      <c r="F751" s="537">
        <f t="shared" si="53"/>
        <v>0</v>
      </c>
      <c r="G751" s="537">
        <f>$D751*_xlfn.XLOOKUP($I751,BG_Data[Product],BG_Data[Biogenic CO2 emissions '[kg CO2']],0)</f>
        <v>0</v>
      </c>
      <c r="H751" s="584">
        <f>$D751*_xlfn.XLOOKUP($I751,BG_Data[Product],BG_Data[Total env. impact (Ecological Scarcity 2021) '[UBP']],0)</f>
        <v>0</v>
      </c>
      <c r="I751" s="503" t="s">
        <v>3146</v>
      </c>
      <c r="J751" s="503" t="s">
        <v>27213</v>
      </c>
      <c r="K751" s="248"/>
    </row>
    <row r="752" spans="1:18" x14ac:dyDescent="0.2">
      <c r="A752" s="257"/>
      <c r="B752" s="249"/>
      <c r="C752" s="503">
        <f>IF('2 Data Inputs'!G374="kWh",'2 Data Inputs'!C374,0)</f>
        <v>0</v>
      </c>
      <c r="D752" s="537">
        <f>IF('2 Data Inputs'!G374="kWh",'2 Data Inputs'!F374,0)</f>
        <v>0</v>
      </c>
      <c r="E752" s="537">
        <f>_xlfn.XLOOKUP($I752,BG_Data[Product],BG_Data[GHG emissions (IPCC 2021) '[kg CO2 eq']],0)</f>
        <v>4.0754008540141134E-2</v>
      </c>
      <c r="F752" s="537">
        <f t="shared" si="53"/>
        <v>0</v>
      </c>
      <c r="G752" s="537">
        <f>$D752*_xlfn.XLOOKUP($I752,BG_Data[Product],BG_Data[Biogenic CO2 emissions '[kg CO2']],0)</f>
        <v>0</v>
      </c>
      <c r="H752" s="584">
        <f>$D752*_xlfn.XLOOKUP($I752,BG_Data[Product],BG_Data[Total env. impact (Ecological Scarcity 2021) '[UBP']],0)</f>
        <v>0</v>
      </c>
      <c r="I752" s="503" t="s">
        <v>3146</v>
      </c>
      <c r="J752" s="503" t="s">
        <v>27213</v>
      </c>
      <c r="K752" s="248"/>
    </row>
    <row r="753" spans="1:18" x14ac:dyDescent="0.2">
      <c r="A753" s="257"/>
      <c r="B753" s="249"/>
      <c r="C753" s="503">
        <f>IF('2 Data Inputs'!G375="kWh",'2 Data Inputs'!C375,0)</f>
        <v>0</v>
      </c>
      <c r="D753" s="537">
        <f>IF('2 Data Inputs'!G375="kWh",'2 Data Inputs'!F375,0)</f>
        <v>0</v>
      </c>
      <c r="E753" s="537">
        <f>_xlfn.XLOOKUP($I753,BG_Data[Product],BG_Data[GHG emissions (IPCC 2021) '[kg CO2 eq']],0)</f>
        <v>4.0754008540141134E-2</v>
      </c>
      <c r="F753" s="537">
        <f t="shared" si="53"/>
        <v>0</v>
      </c>
      <c r="G753" s="537">
        <f>$D753*_xlfn.XLOOKUP($I753,BG_Data[Product],BG_Data[Biogenic CO2 emissions '[kg CO2']],0)</f>
        <v>0</v>
      </c>
      <c r="H753" s="584">
        <f>$D753*_xlfn.XLOOKUP($I753,BG_Data[Product],BG_Data[Total env. impact (Ecological Scarcity 2021) '[UBP']],0)</f>
        <v>0</v>
      </c>
      <c r="I753" s="503" t="s">
        <v>3146</v>
      </c>
      <c r="J753" s="503" t="s">
        <v>27213</v>
      </c>
      <c r="K753" s="248"/>
    </row>
    <row r="754" spans="1:18" x14ac:dyDescent="0.2">
      <c r="A754" s="257"/>
      <c r="B754" s="249"/>
      <c r="C754" s="503">
        <f>IF('2 Data Inputs'!G376="kWh",'2 Data Inputs'!C376,0)</f>
        <v>0</v>
      </c>
      <c r="D754" s="537">
        <f>IF('2 Data Inputs'!G376="kWh",'2 Data Inputs'!F376,0)</f>
        <v>0</v>
      </c>
      <c r="E754" s="537">
        <f>_xlfn.XLOOKUP($I754,BG_Data[Product],BG_Data[GHG emissions (IPCC 2021) '[kg CO2 eq']],0)</f>
        <v>4.0754008540141134E-2</v>
      </c>
      <c r="F754" s="537">
        <f t="shared" si="53"/>
        <v>0</v>
      </c>
      <c r="G754" s="537">
        <f>$D754*_xlfn.XLOOKUP($I754,BG_Data[Product],BG_Data[Biogenic CO2 emissions '[kg CO2']],0)</f>
        <v>0</v>
      </c>
      <c r="H754" s="584">
        <f>$D754*_xlfn.XLOOKUP($I754,BG_Data[Product],BG_Data[Total env. impact (Ecological Scarcity 2021) '[UBP']],0)</f>
        <v>0</v>
      </c>
      <c r="I754" s="503" t="s">
        <v>3146</v>
      </c>
      <c r="J754" s="503" t="s">
        <v>27213</v>
      </c>
      <c r="K754" s="248"/>
    </row>
    <row r="755" spans="1:18" x14ac:dyDescent="0.2">
      <c r="A755" s="257"/>
      <c r="B755" s="249"/>
      <c r="C755" s="503">
        <f>IF('2 Data Inputs'!G377="kWh",'2 Data Inputs'!C377,0)</f>
        <v>0</v>
      </c>
      <c r="D755" s="537">
        <f>IF('2 Data Inputs'!G377="kWh",'2 Data Inputs'!F377,0)</f>
        <v>0</v>
      </c>
      <c r="E755" s="532">
        <f>_xlfn.XLOOKUP($I755,BG_Data[Product],BG_Data[GHG emissions (IPCC 2021) '[kg CO2 eq']],0)</f>
        <v>4.0754008540141134E-2</v>
      </c>
      <c r="F755" s="532">
        <f t="shared" si="53"/>
        <v>0</v>
      </c>
      <c r="G755" s="532">
        <f>$D755*_xlfn.XLOOKUP($I755,BG_Data[Product],BG_Data[Biogenic CO2 emissions '[kg CO2']],0)</f>
        <v>0</v>
      </c>
      <c r="H755" s="581">
        <f>$D755*_xlfn.XLOOKUP($I755,BG_Data[Product],BG_Data[Total env. impact (Ecological Scarcity 2021) '[UBP']],0)</f>
        <v>0</v>
      </c>
      <c r="I755" s="506" t="s">
        <v>3146</v>
      </c>
      <c r="J755" s="506" t="s">
        <v>27213</v>
      </c>
      <c r="K755" s="248"/>
    </row>
    <row r="756" spans="1:18" ht="15" x14ac:dyDescent="0.25">
      <c r="A756" s="257"/>
      <c r="B756" s="249"/>
      <c r="C756" s="507" t="s">
        <v>2616</v>
      </c>
      <c r="D756" s="508">
        <f>SUM(D743:D755)</f>
        <v>0</v>
      </c>
      <c r="E756" s="508"/>
      <c r="F756" s="508">
        <f>SUM(F743:F755)</f>
        <v>0</v>
      </c>
      <c r="G756" s="508">
        <f>SUM(G743:G755)</f>
        <v>0</v>
      </c>
      <c r="H756" s="580">
        <f>SUM(H743:H755)</f>
        <v>0</v>
      </c>
      <c r="I756" s="507"/>
      <c r="J756" s="507"/>
      <c r="K756" s="248"/>
    </row>
    <row r="757" spans="1:18" x14ac:dyDescent="0.2">
      <c r="B757" s="249"/>
      <c r="C757" s="511"/>
      <c r="D757" s="510"/>
      <c r="E757" s="510"/>
      <c r="F757" s="510"/>
      <c r="G757" s="510"/>
      <c r="H757" s="571"/>
      <c r="I757" s="511"/>
      <c r="J757" s="511"/>
      <c r="K757" s="248"/>
    </row>
    <row r="758" spans="1:18" ht="15" x14ac:dyDescent="0.25">
      <c r="B758" s="249"/>
      <c r="C758" s="531" t="str">
        <f>n3Calculation_37.2Upstream_elFleetIndirectLocation</f>
        <v>Flotte électrique - Basé sur la localisation - Indirect</v>
      </c>
      <c r="D758" s="546"/>
      <c r="E758" s="546"/>
      <c r="F758" s="546"/>
      <c r="G758" s="546"/>
      <c r="H758" s="587"/>
      <c r="I758" s="545"/>
      <c r="J758" s="545"/>
      <c r="K758" s="248"/>
      <c r="M758" s="299" t="s">
        <v>28331</v>
      </c>
    </row>
    <row r="759" spans="1:18" ht="15" x14ac:dyDescent="0.25">
      <c r="B759" s="249"/>
      <c r="C759" s="531"/>
      <c r="D759" s="546"/>
      <c r="E759" s="546"/>
      <c r="F759" s="546"/>
      <c r="G759" s="546"/>
      <c r="H759" s="587"/>
      <c r="I759" s="545"/>
      <c r="J759" s="545"/>
      <c r="K759" s="248"/>
    </row>
    <row r="760" spans="1:18" s="686" customFormat="1" ht="33" x14ac:dyDescent="0.25">
      <c r="B760" s="681"/>
      <c r="C760" s="682" t="s">
        <v>27888</v>
      </c>
      <c r="D760" s="683" t="s">
        <v>28537</v>
      </c>
      <c r="E760" s="683" t="s">
        <v>27208</v>
      </c>
      <c r="F760" s="683" t="s">
        <v>27588</v>
      </c>
      <c r="G760" s="683" t="s">
        <v>27589</v>
      </c>
      <c r="H760" s="683" t="s">
        <v>27214</v>
      </c>
      <c r="I760" s="682" t="s">
        <v>27210</v>
      </c>
      <c r="J760" s="682" t="s">
        <v>27211</v>
      </c>
      <c r="K760" s="685"/>
      <c r="M760" s="687"/>
      <c r="N760" s="687"/>
      <c r="O760" s="687"/>
      <c r="P760" s="687"/>
      <c r="Q760" s="687"/>
      <c r="R760" s="687"/>
    </row>
    <row r="761" spans="1:18" x14ac:dyDescent="0.2">
      <c r="B761" s="249"/>
      <c r="C761" s="543" t="s">
        <v>27877</v>
      </c>
      <c r="D761" s="544">
        <f>SUM(SUMIF('2 Data Inputs'!G366:G375,"kWh",'2 Data Inputs'!F366:F375),'2 Data Inputs'!F361)</f>
        <v>0</v>
      </c>
      <c r="E761" s="544">
        <f>_xlfn.XLOOKUP($I761,BG_Data[Product],BG_Data[GHG emissions (IPCC 2021) '[kg CO2 eq']],0)</f>
        <v>4.0754008540141134E-2</v>
      </c>
      <c r="F761" s="544">
        <f t="shared" ref="F761" si="54">$D761*$E761</f>
        <v>0</v>
      </c>
      <c r="G761" s="544">
        <f>$D761*_xlfn.XLOOKUP($I761,BG_Data[Product],BG_Data[Biogenic CO2 emissions '[kg CO2']],0)</f>
        <v>0</v>
      </c>
      <c r="H761" s="586">
        <f>$D761*_xlfn.XLOOKUP($I761,BG_Data[Product],BG_Data[Total env. impact (Ecological Scarcity 2021) '[UBP']],0)</f>
        <v>0</v>
      </c>
      <c r="I761" s="544" t="s">
        <v>3146</v>
      </c>
      <c r="J761" s="543" t="s">
        <v>27213</v>
      </c>
      <c r="K761" s="248"/>
    </row>
    <row r="762" spans="1:18" x14ac:dyDescent="0.2">
      <c r="B762" s="254"/>
      <c r="C762" s="539"/>
      <c r="D762" s="540"/>
      <c r="E762" s="540"/>
      <c r="F762" s="540"/>
      <c r="G762" s="540"/>
      <c r="H762" s="588"/>
      <c r="I762" s="539"/>
      <c r="J762" s="539"/>
      <c r="K762" s="256"/>
    </row>
    <row r="765" spans="1:18" ht="30" customHeight="1" x14ac:dyDescent="0.2">
      <c r="B765" s="199" t="s">
        <v>28846</v>
      </c>
    </row>
    <row r="766" spans="1:18" x14ac:dyDescent="0.2">
      <c r="B766" s="246"/>
      <c r="C766" s="527"/>
      <c r="D766" s="528"/>
      <c r="E766" s="528"/>
      <c r="F766" s="528"/>
      <c r="G766" s="547"/>
      <c r="H766" s="589"/>
      <c r="I766" s="548"/>
      <c r="J766" s="548"/>
      <c r="K766" s="247" t="str">
        <f>Calc_Hyperlink_Lessor</f>
        <v>Downstream leases</v>
      </c>
    </row>
    <row r="767" spans="1:18" ht="15" x14ac:dyDescent="0.25">
      <c r="B767" s="249"/>
      <c r="C767" s="531" t="str">
        <f>n3Calculation_38Downstream_StationaryDirect</f>
        <v>Combustion stationnaire - Direct</v>
      </c>
      <c r="D767" s="511" t="str">
        <f>"Control approach = " &amp; GenInp_ConsolAppr &amp; " ; Lease type = " &amp; GenInp_LeaseType &amp; " → Direct emissions reported in " &amp; IF(GenInp_LeaseType="Operating Lease","Scope 1","Scope 3.13 (direct &amp;indirect)")</f>
        <v>Control approach = missing input ; Lease type = missing input → Direct emissions reported in Scope 3.13 (direct &amp;indirect)</v>
      </c>
      <c r="E767" s="510"/>
      <c r="F767" s="510"/>
      <c r="G767" s="510"/>
      <c r="H767" s="571"/>
      <c r="I767" s="511"/>
      <c r="J767" s="511"/>
      <c r="K767" s="248"/>
      <c r="M767" s="299" t="s">
        <v>27871</v>
      </c>
    </row>
    <row r="768" spans="1:18" x14ac:dyDescent="0.2">
      <c r="B768" s="249"/>
      <c r="C768" s="740"/>
      <c r="D768" s="740"/>
      <c r="E768" s="740"/>
      <c r="F768" s="740"/>
      <c r="G768" s="510"/>
      <c r="H768" s="571"/>
      <c r="I768" s="511"/>
      <c r="J768" s="511"/>
      <c r="K768" s="248"/>
    </row>
    <row r="769" spans="2:18" s="686" customFormat="1" ht="33" x14ac:dyDescent="0.25">
      <c r="B769" s="681"/>
      <c r="C769" s="682" t="s">
        <v>27179</v>
      </c>
      <c r="D769" s="683" t="s">
        <v>28534</v>
      </c>
      <c r="E769" s="683" t="s">
        <v>27208</v>
      </c>
      <c r="F769" s="683" t="s">
        <v>27588</v>
      </c>
      <c r="G769" s="683" t="s">
        <v>27589</v>
      </c>
      <c r="H769" s="683" t="s">
        <v>27209</v>
      </c>
      <c r="I769" s="682" t="s">
        <v>27210</v>
      </c>
      <c r="J769" s="682" t="s">
        <v>27211</v>
      </c>
      <c r="K769" s="685"/>
      <c r="M769" s="687"/>
      <c r="N769" s="687"/>
      <c r="O769" s="687"/>
      <c r="P769" s="687"/>
      <c r="Q769" s="687"/>
      <c r="R769" s="687"/>
    </row>
    <row r="770" spans="2:18" x14ac:dyDescent="0.2">
      <c r="B770" s="249"/>
      <c r="C770" s="500">
        <f>'2 Data Inputs'!C179</f>
        <v>0</v>
      </c>
      <c r="D770" s="535">
        <f>'2 Data Inputs'!F179</f>
        <v>0</v>
      </c>
      <c r="E770" s="535">
        <f>_xlfn.XLOOKUP($I770,BG_Data[Product],BG_Data[GHG emissions (IPCC 2021) '[kg CO2 eq']],0)</f>
        <v>0</v>
      </c>
      <c r="F770" s="535">
        <f t="shared" ref="F770:F779" si="55">$D770*$E770</f>
        <v>0</v>
      </c>
      <c r="G770" s="535">
        <f>$D770*_xlfn.XLOOKUP($I770,BG_Data[Product],BG_Data[Biogenic CO2 emissions '[kg CO2']],0)</f>
        <v>0</v>
      </c>
      <c r="H770" s="583">
        <f>$D770*_xlfn.XLOOKUP($I770,BG_Data[Product],BG_Data[Total env. impact (Ecological Scarcity 2021) '[UBP']],0)</f>
        <v>0</v>
      </c>
      <c r="I770" s="500" cm="1">
        <f t="array" ref="I770">_xlfn.XLOOKUP(
     C770,
     _xlfn.TOCOL(_xlfn.HSTACK(Lists_S1_StationaryComb[DE Name],Lists_S1_StationaryComb[FR Name],Lists_S1_StationaryComb[IT Name]),1),
     _xlfn.TOCOL(_xlfn.HSTACK(Lists_S1_StationaryComb[BG Data],Lists_S1_StationaryComb[BG Data],Lists_S1_StationaryComb[BG Data]),1) &amp;" Direct",
     0
)</f>
        <v>0</v>
      </c>
      <c r="J770" s="500" t="s">
        <v>27212</v>
      </c>
      <c r="K770" s="248"/>
    </row>
    <row r="771" spans="2:18" x14ac:dyDescent="0.2">
      <c r="B771" s="249"/>
      <c r="C771" s="503">
        <f>'2 Data Inputs'!C180</f>
        <v>0</v>
      </c>
      <c r="D771" s="537">
        <f>'2 Data Inputs'!F180</f>
        <v>0</v>
      </c>
      <c r="E771" s="537">
        <f>_xlfn.XLOOKUP($I771,BG_Data[Product],BG_Data[GHG emissions (IPCC 2021) '[kg CO2 eq']],0)</f>
        <v>0</v>
      </c>
      <c r="F771" s="537">
        <f t="shared" si="55"/>
        <v>0</v>
      </c>
      <c r="G771" s="537">
        <f>$D771*_xlfn.XLOOKUP($I771,BG_Data[Product],BG_Data[Biogenic CO2 emissions '[kg CO2']],0)</f>
        <v>0</v>
      </c>
      <c r="H771" s="584">
        <f>$D771*_xlfn.XLOOKUP($I771,BG_Data[Product],BG_Data[Total env. impact (Ecological Scarcity 2021) '[UBP']],0)</f>
        <v>0</v>
      </c>
      <c r="I771" s="503" cm="1">
        <f t="array" ref="I771">_xlfn.XLOOKUP(
     C771,
     _xlfn.TOCOL(_xlfn.HSTACK(Lists_S1_StationaryComb[DE Name],Lists_S1_StationaryComb[FR Name],Lists_S1_StationaryComb[IT Name]),1),
     _xlfn.TOCOL(_xlfn.HSTACK(Lists_S1_StationaryComb[BG Data],Lists_S1_StationaryComb[BG Data],Lists_S1_StationaryComb[BG Data]),1) &amp;" Direct",
     0
)</f>
        <v>0</v>
      </c>
      <c r="J771" s="503" t="s">
        <v>27212</v>
      </c>
      <c r="K771" s="248"/>
    </row>
    <row r="772" spans="2:18" x14ac:dyDescent="0.2">
      <c r="B772" s="249"/>
      <c r="C772" s="503">
        <f>'2 Data Inputs'!C181</f>
        <v>0</v>
      </c>
      <c r="D772" s="537">
        <f>'2 Data Inputs'!F181</f>
        <v>0</v>
      </c>
      <c r="E772" s="537">
        <f>_xlfn.XLOOKUP($I772,BG_Data[Product],BG_Data[GHG emissions (IPCC 2021) '[kg CO2 eq']],0)</f>
        <v>0</v>
      </c>
      <c r="F772" s="537">
        <f t="shared" si="55"/>
        <v>0</v>
      </c>
      <c r="G772" s="537">
        <f>$D772*_xlfn.XLOOKUP($I772,BG_Data[Product],BG_Data[Biogenic CO2 emissions '[kg CO2']],0)</f>
        <v>0</v>
      </c>
      <c r="H772" s="584">
        <f>$D772*_xlfn.XLOOKUP($I772,BG_Data[Product],BG_Data[Total env. impact (Ecological Scarcity 2021) '[UBP']],0)</f>
        <v>0</v>
      </c>
      <c r="I772" s="503" cm="1">
        <f t="array" ref="I772">_xlfn.XLOOKUP(
     C772,
     _xlfn.TOCOL(_xlfn.HSTACK(Lists_S1_StationaryComb[DE Name],Lists_S1_StationaryComb[FR Name],Lists_S1_StationaryComb[IT Name]),1),
     _xlfn.TOCOL(_xlfn.HSTACK(Lists_S1_StationaryComb[BG Data],Lists_S1_StationaryComb[BG Data],Lists_S1_StationaryComb[BG Data]),1) &amp;" Direct",
     0
)</f>
        <v>0</v>
      </c>
      <c r="J772" s="503" t="s">
        <v>27212</v>
      </c>
      <c r="K772" s="248"/>
    </row>
    <row r="773" spans="2:18" x14ac:dyDescent="0.2">
      <c r="B773" s="249"/>
      <c r="C773" s="503">
        <f>'2 Data Inputs'!C182</f>
        <v>0</v>
      </c>
      <c r="D773" s="537">
        <f>'2 Data Inputs'!F182</f>
        <v>0</v>
      </c>
      <c r="E773" s="537">
        <f>_xlfn.XLOOKUP($I773,BG_Data[Product],BG_Data[GHG emissions (IPCC 2021) '[kg CO2 eq']],0)</f>
        <v>0</v>
      </c>
      <c r="F773" s="537">
        <f t="shared" si="55"/>
        <v>0</v>
      </c>
      <c r="G773" s="537">
        <f>$D773*_xlfn.XLOOKUP($I773,BG_Data[Product],BG_Data[Biogenic CO2 emissions '[kg CO2']],0)</f>
        <v>0</v>
      </c>
      <c r="H773" s="584">
        <f>$D773*_xlfn.XLOOKUP($I773,BG_Data[Product],BG_Data[Total env. impact (Ecological Scarcity 2021) '[UBP']],0)</f>
        <v>0</v>
      </c>
      <c r="I773" s="503" cm="1">
        <f t="array" ref="I773">_xlfn.XLOOKUP(
     C773,
     _xlfn.TOCOL(_xlfn.HSTACK(Lists_S1_StationaryComb[DE Name],Lists_S1_StationaryComb[FR Name],Lists_S1_StationaryComb[IT Name]),1),
     _xlfn.TOCOL(_xlfn.HSTACK(Lists_S1_StationaryComb[BG Data],Lists_S1_StationaryComb[BG Data],Lists_S1_StationaryComb[BG Data]),1) &amp;" Direct",
     0
)</f>
        <v>0</v>
      </c>
      <c r="J773" s="503" t="s">
        <v>27212</v>
      </c>
      <c r="K773" s="248"/>
    </row>
    <row r="774" spans="2:18" x14ac:dyDescent="0.2">
      <c r="B774" s="249"/>
      <c r="C774" s="503">
        <f>'2 Data Inputs'!C183</f>
        <v>0</v>
      </c>
      <c r="D774" s="537">
        <f>'2 Data Inputs'!F183</f>
        <v>0</v>
      </c>
      <c r="E774" s="537">
        <f>_xlfn.XLOOKUP($I774,BG_Data[Product],BG_Data[GHG emissions (IPCC 2021) '[kg CO2 eq']],0)</f>
        <v>0</v>
      </c>
      <c r="F774" s="537">
        <f t="shared" si="55"/>
        <v>0</v>
      </c>
      <c r="G774" s="537">
        <f>$D774*_xlfn.XLOOKUP($I774,BG_Data[Product],BG_Data[Biogenic CO2 emissions '[kg CO2']],0)</f>
        <v>0</v>
      </c>
      <c r="H774" s="584">
        <f>$D774*_xlfn.XLOOKUP($I774,BG_Data[Product],BG_Data[Total env. impact (Ecological Scarcity 2021) '[UBP']],0)</f>
        <v>0</v>
      </c>
      <c r="I774" s="503" cm="1">
        <f t="array" ref="I774">_xlfn.XLOOKUP(
     C774,
     _xlfn.TOCOL(_xlfn.HSTACK(Lists_S1_StationaryComb[DE Name],Lists_S1_StationaryComb[FR Name],Lists_S1_StationaryComb[IT Name]),1),
     _xlfn.TOCOL(_xlfn.HSTACK(Lists_S1_StationaryComb[BG Data],Lists_S1_StationaryComb[BG Data],Lists_S1_StationaryComb[BG Data]),1) &amp;" Direct",
     0
)</f>
        <v>0</v>
      </c>
      <c r="J774" s="503" t="s">
        <v>27212</v>
      </c>
      <c r="K774" s="248"/>
    </row>
    <row r="775" spans="2:18" x14ac:dyDescent="0.2">
      <c r="B775" s="249"/>
      <c r="C775" s="503">
        <f>'2 Data Inputs'!C184</f>
        <v>0</v>
      </c>
      <c r="D775" s="537">
        <f>'2 Data Inputs'!F184</f>
        <v>0</v>
      </c>
      <c r="E775" s="537">
        <f>_xlfn.XLOOKUP($I775,BG_Data[Product],BG_Data[GHG emissions (IPCC 2021) '[kg CO2 eq']],0)</f>
        <v>0</v>
      </c>
      <c r="F775" s="537">
        <f t="shared" si="55"/>
        <v>0</v>
      </c>
      <c r="G775" s="537">
        <f>$D775*_xlfn.XLOOKUP($I775,BG_Data[Product],BG_Data[Biogenic CO2 emissions '[kg CO2']],0)</f>
        <v>0</v>
      </c>
      <c r="H775" s="584">
        <f>$D775*_xlfn.XLOOKUP($I775,BG_Data[Product],BG_Data[Total env. impact (Ecological Scarcity 2021) '[UBP']],0)</f>
        <v>0</v>
      </c>
      <c r="I775" s="503" cm="1">
        <f t="array" ref="I775">_xlfn.XLOOKUP(
     C775,
     _xlfn.TOCOL(_xlfn.HSTACK(Lists_S1_StationaryComb[DE Name],Lists_S1_StationaryComb[FR Name],Lists_S1_StationaryComb[IT Name]),1),
     _xlfn.TOCOL(_xlfn.HSTACK(Lists_S1_StationaryComb[BG Data],Lists_S1_StationaryComb[BG Data],Lists_S1_StationaryComb[BG Data]),1) &amp;" Direct",
     0
)</f>
        <v>0</v>
      </c>
      <c r="J775" s="503" t="s">
        <v>27212</v>
      </c>
      <c r="K775" s="248"/>
    </row>
    <row r="776" spans="2:18" x14ac:dyDescent="0.2">
      <c r="B776" s="249"/>
      <c r="C776" s="503">
        <f>'2 Data Inputs'!C185</f>
        <v>0</v>
      </c>
      <c r="D776" s="537">
        <f>'2 Data Inputs'!F185</f>
        <v>0</v>
      </c>
      <c r="E776" s="537">
        <f>_xlfn.XLOOKUP($I776,BG_Data[Product],BG_Data[GHG emissions (IPCC 2021) '[kg CO2 eq']],0)</f>
        <v>0</v>
      </c>
      <c r="F776" s="537">
        <f t="shared" si="55"/>
        <v>0</v>
      </c>
      <c r="G776" s="537">
        <f>$D776*_xlfn.XLOOKUP($I776,BG_Data[Product],BG_Data[Biogenic CO2 emissions '[kg CO2']],0)</f>
        <v>0</v>
      </c>
      <c r="H776" s="584">
        <f>$D776*_xlfn.XLOOKUP($I776,BG_Data[Product],BG_Data[Total env. impact (Ecological Scarcity 2021) '[UBP']],0)</f>
        <v>0</v>
      </c>
      <c r="I776" s="503" cm="1">
        <f t="array" ref="I776">_xlfn.XLOOKUP(
     C776,
     _xlfn.TOCOL(_xlfn.HSTACK(Lists_S1_StationaryComb[DE Name],Lists_S1_StationaryComb[FR Name],Lists_S1_StationaryComb[IT Name]),1),
     _xlfn.TOCOL(_xlfn.HSTACK(Lists_S1_StationaryComb[BG Data],Lists_S1_StationaryComb[BG Data],Lists_S1_StationaryComb[BG Data]),1) &amp;" Direct",
     0
)</f>
        <v>0</v>
      </c>
      <c r="J776" s="503" t="s">
        <v>27212</v>
      </c>
      <c r="K776" s="248"/>
    </row>
    <row r="777" spans="2:18" x14ac:dyDescent="0.2">
      <c r="B777" s="249"/>
      <c r="C777" s="503">
        <f>'2 Data Inputs'!C186</f>
        <v>0</v>
      </c>
      <c r="D777" s="537">
        <f>'2 Data Inputs'!F186</f>
        <v>0</v>
      </c>
      <c r="E777" s="537">
        <f>_xlfn.XLOOKUP($I777,BG_Data[Product],BG_Data[GHG emissions (IPCC 2021) '[kg CO2 eq']],0)</f>
        <v>0</v>
      </c>
      <c r="F777" s="537">
        <f t="shared" si="55"/>
        <v>0</v>
      </c>
      <c r="G777" s="537">
        <f>$D777*_xlfn.XLOOKUP($I777,BG_Data[Product],BG_Data[Biogenic CO2 emissions '[kg CO2']],0)</f>
        <v>0</v>
      </c>
      <c r="H777" s="584">
        <f>$D777*_xlfn.XLOOKUP($I777,BG_Data[Product],BG_Data[Total env. impact (Ecological Scarcity 2021) '[UBP']],0)</f>
        <v>0</v>
      </c>
      <c r="I777" s="503" cm="1">
        <f t="array" ref="I777">_xlfn.XLOOKUP(
     C777,
     _xlfn.TOCOL(_xlfn.HSTACK(Lists_S1_StationaryComb[DE Name],Lists_S1_StationaryComb[FR Name],Lists_S1_StationaryComb[IT Name]),1),
     _xlfn.TOCOL(_xlfn.HSTACK(Lists_S1_StationaryComb[BG Data],Lists_S1_StationaryComb[BG Data],Lists_S1_StationaryComb[BG Data]),1) &amp;" Direct",
     0
)</f>
        <v>0</v>
      </c>
      <c r="J777" s="503" t="s">
        <v>27212</v>
      </c>
      <c r="K777" s="248"/>
    </row>
    <row r="778" spans="2:18" x14ac:dyDescent="0.2">
      <c r="B778" s="249"/>
      <c r="C778" s="503">
        <f>'2 Data Inputs'!C187</f>
        <v>0</v>
      </c>
      <c r="D778" s="537">
        <f>'2 Data Inputs'!F187</f>
        <v>0</v>
      </c>
      <c r="E778" s="537">
        <f>_xlfn.XLOOKUP($I778,BG_Data[Product],BG_Data[GHG emissions (IPCC 2021) '[kg CO2 eq']],0)</f>
        <v>0</v>
      </c>
      <c r="F778" s="537">
        <f t="shared" si="55"/>
        <v>0</v>
      </c>
      <c r="G778" s="537">
        <f>$D778*_xlfn.XLOOKUP($I778,BG_Data[Product],BG_Data[Biogenic CO2 emissions '[kg CO2']],0)</f>
        <v>0</v>
      </c>
      <c r="H778" s="584">
        <f>$D778*_xlfn.XLOOKUP($I778,BG_Data[Product],BG_Data[Total env. impact (Ecological Scarcity 2021) '[UBP']],0)</f>
        <v>0</v>
      </c>
      <c r="I778" s="503" cm="1">
        <f t="array" ref="I778">_xlfn.XLOOKUP(
     C778,
     _xlfn.TOCOL(_xlfn.HSTACK(Lists_S1_StationaryComb[DE Name],Lists_S1_StationaryComb[FR Name],Lists_S1_StationaryComb[IT Name]),1),
     _xlfn.TOCOL(_xlfn.HSTACK(Lists_S1_StationaryComb[BG Data],Lists_S1_StationaryComb[BG Data],Lists_S1_StationaryComb[BG Data]),1) &amp;" Direct",
     0
)</f>
        <v>0</v>
      </c>
      <c r="J778" s="503" t="s">
        <v>27212</v>
      </c>
      <c r="K778" s="248"/>
    </row>
    <row r="779" spans="2:18" x14ac:dyDescent="0.2">
      <c r="B779" s="249"/>
      <c r="C779" s="506">
        <f>'2 Data Inputs'!C188</f>
        <v>0</v>
      </c>
      <c r="D779" s="532">
        <f>'2 Data Inputs'!F188</f>
        <v>0</v>
      </c>
      <c r="E779" s="532">
        <f>_xlfn.XLOOKUP($I779,BG_Data[Product],BG_Data[GHG emissions (IPCC 2021) '[kg CO2 eq']],0)</f>
        <v>0</v>
      </c>
      <c r="F779" s="532">
        <f t="shared" si="55"/>
        <v>0</v>
      </c>
      <c r="G779" s="532">
        <f>$D779*_xlfn.XLOOKUP($I779,BG_Data[Product],BG_Data[Biogenic CO2 emissions '[kg CO2']],0)</f>
        <v>0</v>
      </c>
      <c r="H779" s="581">
        <f>$D779*_xlfn.XLOOKUP($I779,BG_Data[Product],BG_Data[Total env. impact (Ecological Scarcity 2021) '[UBP']],0)</f>
        <v>0</v>
      </c>
      <c r="I779" s="506" cm="1">
        <f t="array" ref="I779">_xlfn.XLOOKUP(
     C779,
     _xlfn.TOCOL(_xlfn.HSTACK(Lists_S1_StationaryComb[DE Name],Lists_S1_StationaryComb[FR Name],Lists_S1_StationaryComb[IT Name]),1),
     _xlfn.TOCOL(_xlfn.HSTACK(Lists_S1_StationaryComb[BG Data],Lists_S1_StationaryComb[BG Data],Lists_S1_StationaryComb[BG Data]),1) &amp;" Direct",
     0
)</f>
        <v>0</v>
      </c>
      <c r="J779" s="506" t="s">
        <v>27212</v>
      </c>
      <c r="K779" s="248"/>
    </row>
    <row r="780" spans="2:18" ht="15" x14ac:dyDescent="0.25">
      <c r="B780" s="249"/>
      <c r="C780" s="507" t="s">
        <v>2616</v>
      </c>
      <c r="D780" s="508">
        <f>SUM(D770:D779)</f>
        <v>0</v>
      </c>
      <c r="E780" s="508"/>
      <c r="F780" s="508">
        <f>SUM(F770:F779)</f>
        <v>0</v>
      </c>
      <c r="G780" s="508">
        <f>SUM(G770:G779)</f>
        <v>0</v>
      </c>
      <c r="H780" s="580">
        <f>SUM(H770:H779)</f>
        <v>0</v>
      </c>
      <c r="I780" s="507"/>
      <c r="J780" s="507"/>
      <c r="K780" s="248"/>
    </row>
    <row r="781" spans="2:18" x14ac:dyDescent="0.2">
      <c r="B781" s="254"/>
      <c r="C781" s="539"/>
      <c r="D781" s="540"/>
      <c r="E781" s="540"/>
      <c r="F781" s="540"/>
      <c r="G781" s="540"/>
      <c r="H781" s="588"/>
      <c r="I781" s="539"/>
      <c r="J781" s="539"/>
      <c r="K781" s="256"/>
    </row>
    <row r="783" spans="2:18" x14ac:dyDescent="0.2">
      <c r="B783" s="246"/>
      <c r="C783" s="527"/>
      <c r="D783" s="528"/>
      <c r="E783" s="528"/>
      <c r="F783" s="528"/>
      <c r="G783" s="547"/>
      <c r="H783" s="589"/>
      <c r="I783" s="548"/>
      <c r="J783" s="548"/>
      <c r="K783" s="247" t="str">
        <f>Calc_Hyperlink_Lessor</f>
        <v>Downstream leases</v>
      </c>
    </row>
    <row r="784" spans="2:18" ht="15" x14ac:dyDescent="0.25">
      <c r="B784" s="249"/>
      <c r="C784" s="531" t="str">
        <f>n3Calculation_39Downstream_StationaryIndirect</f>
        <v>Combustion stationnaire - Indirect</v>
      </c>
      <c r="D784" s="511"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784" s="510"/>
      <c r="F784" s="510"/>
      <c r="G784" s="510"/>
      <c r="H784" s="571"/>
      <c r="I784" s="511"/>
      <c r="J784" s="511"/>
      <c r="K784" s="248"/>
      <c r="M784" s="299" t="s">
        <v>27872</v>
      </c>
    </row>
    <row r="785" spans="2:18" x14ac:dyDescent="0.2">
      <c r="B785" s="249"/>
      <c r="C785" s="740"/>
      <c r="D785" s="740"/>
      <c r="E785" s="740"/>
      <c r="F785" s="740"/>
      <c r="G785" s="510"/>
      <c r="H785" s="571"/>
      <c r="I785" s="511"/>
      <c r="J785" s="511"/>
      <c r="K785" s="248"/>
    </row>
    <row r="786" spans="2:18" s="686" customFormat="1" ht="33" x14ac:dyDescent="0.25">
      <c r="B786" s="681"/>
      <c r="C786" s="682" t="s">
        <v>27179</v>
      </c>
      <c r="D786" s="683" t="s">
        <v>28534</v>
      </c>
      <c r="E786" s="683" t="s">
        <v>27208</v>
      </c>
      <c r="F786" s="683" t="s">
        <v>27588</v>
      </c>
      <c r="G786" s="683" t="s">
        <v>27589</v>
      </c>
      <c r="H786" s="683" t="s">
        <v>27209</v>
      </c>
      <c r="I786" s="682" t="s">
        <v>27210</v>
      </c>
      <c r="J786" s="682" t="s">
        <v>27211</v>
      </c>
      <c r="K786" s="685"/>
      <c r="M786" s="687"/>
      <c r="N786" s="687"/>
      <c r="O786" s="687"/>
      <c r="P786" s="687"/>
      <c r="Q786" s="687"/>
      <c r="R786" s="687"/>
    </row>
    <row r="787" spans="2:18" x14ac:dyDescent="0.2">
      <c r="B787" s="249"/>
      <c r="C787" s="500">
        <f>'2 Data Inputs'!C179</f>
        <v>0</v>
      </c>
      <c r="D787" s="535">
        <f>'2 Data Inputs'!F179</f>
        <v>0</v>
      </c>
      <c r="E787" s="535">
        <f>_xlfn.XLOOKUP($I787,BG_Data[Product],BG_Data[GHG emissions (IPCC 2021) '[kg CO2 eq']],0)</f>
        <v>0</v>
      </c>
      <c r="F787" s="535">
        <f t="shared" ref="F787:F796" si="56">$D787*$E787</f>
        <v>0</v>
      </c>
      <c r="G787" s="535">
        <f>$D787*_xlfn.XLOOKUP($I787,BG_Data[Product],BG_Data[Biogenic CO2 emissions '[kg CO2']],0)</f>
        <v>0</v>
      </c>
      <c r="H787" s="583">
        <f>$D787*_xlfn.XLOOKUP($I787,BG_Data[Product],BG_Data[Total env. impact (Ecological Scarcity 2021) '[UBP']],0)</f>
        <v>0</v>
      </c>
      <c r="I787" s="500" cm="1">
        <f t="array" ref="I787">_xlfn.XLOOKUP(
     C787,
     _xlfn.TOCOL(_xlfn.HSTACK(Lists_S1_StationaryComb[DE Name],Lists_S1_StationaryComb[FR Name],Lists_S1_StationaryComb[IT Name]),1),
     _xlfn.TOCOL(_xlfn.HSTACK(Lists_S1_StationaryComb[BG Data],Lists_S1_StationaryComb[BG Data],Lists_S1_StationaryComb[BG Data]),1) &amp;" Indirect",
     0
)</f>
        <v>0</v>
      </c>
      <c r="J787" s="500" t="s">
        <v>27212</v>
      </c>
      <c r="K787" s="248"/>
    </row>
    <row r="788" spans="2:18" x14ac:dyDescent="0.2">
      <c r="B788" s="249"/>
      <c r="C788" s="503">
        <f>'2 Data Inputs'!C180</f>
        <v>0</v>
      </c>
      <c r="D788" s="537">
        <f>'2 Data Inputs'!F180</f>
        <v>0</v>
      </c>
      <c r="E788" s="537">
        <f>_xlfn.XLOOKUP($I788,BG_Data[Product],BG_Data[GHG emissions (IPCC 2021) '[kg CO2 eq']],0)</f>
        <v>0</v>
      </c>
      <c r="F788" s="537">
        <f t="shared" si="56"/>
        <v>0</v>
      </c>
      <c r="G788" s="537">
        <f>$D788*_xlfn.XLOOKUP($I788,BG_Data[Product],BG_Data[Biogenic CO2 emissions '[kg CO2']],0)</f>
        <v>0</v>
      </c>
      <c r="H788" s="584">
        <f>$D788*_xlfn.XLOOKUP($I788,BG_Data[Product],BG_Data[Total env. impact (Ecological Scarcity 2021) '[UBP']],0)</f>
        <v>0</v>
      </c>
      <c r="I788" s="503" cm="1">
        <f t="array" ref="I788">_xlfn.XLOOKUP(
     C788,
     _xlfn.TOCOL(_xlfn.HSTACK(Lists_S1_StationaryComb[DE Name],Lists_S1_StationaryComb[FR Name],Lists_S1_StationaryComb[IT Name]),1),
     _xlfn.TOCOL(_xlfn.HSTACK(Lists_S1_StationaryComb[BG Data],Lists_S1_StationaryComb[BG Data],Lists_S1_StationaryComb[BG Data]),1) &amp;" Indirect",
     0
)</f>
        <v>0</v>
      </c>
      <c r="J788" s="503" t="s">
        <v>27212</v>
      </c>
      <c r="K788" s="248"/>
    </row>
    <row r="789" spans="2:18" x14ac:dyDescent="0.2">
      <c r="B789" s="249"/>
      <c r="C789" s="503">
        <f>'2 Data Inputs'!C181</f>
        <v>0</v>
      </c>
      <c r="D789" s="537">
        <f>'2 Data Inputs'!F181</f>
        <v>0</v>
      </c>
      <c r="E789" s="537">
        <f>_xlfn.XLOOKUP($I789,BG_Data[Product],BG_Data[GHG emissions (IPCC 2021) '[kg CO2 eq']],0)</f>
        <v>0</v>
      </c>
      <c r="F789" s="537">
        <f t="shared" si="56"/>
        <v>0</v>
      </c>
      <c r="G789" s="537">
        <f>$D789*_xlfn.XLOOKUP($I789,BG_Data[Product],BG_Data[Biogenic CO2 emissions '[kg CO2']],0)</f>
        <v>0</v>
      </c>
      <c r="H789" s="584">
        <f>$D789*_xlfn.XLOOKUP($I789,BG_Data[Product],BG_Data[Total env. impact (Ecological Scarcity 2021) '[UBP']],0)</f>
        <v>0</v>
      </c>
      <c r="I789" s="503" cm="1">
        <f t="array" ref="I789">_xlfn.XLOOKUP(
     C789,
     _xlfn.TOCOL(_xlfn.HSTACK(Lists_S1_StationaryComb[DE Name],Lists_S1_StationaryComb[FR Name],Lists_S1_StationaryComb[IT Name]),1),
     _xlfn.TOCOL(_xlfn.HSTACK(Lists_S1_StationaryComb[BG Data],Lists_S1_StationaryComb[BG Data],Lists_S1_StationaryComb[BG Data]),1) &amp;" Indirect",
     0
)</f>
        <v>0</v>
      </c>
      <c r="J789" s="503" t="s">
        <v>27212</v>
      </c>
      <c r="K789" s="248"/>
    </row>
    <row r="790" spans="2:18" x14ac:dyDescent="0.2">
      <c r="B790" s="249"/>
      <c r="C790" s="503">
        <f>'2 Data Inputs'!C182</f>
        <v>0</v>
      </c>
      <c r="D790" s="537">
        <f>'2 Data Inputs'!F182</f>
        <v>0</v>
      </c>
      <c r="E790" s="537">
        <f>_xlfn.XLOOKUP($I790,BG_Data[Product],BG_Data[GHG emissions (IPCC 2021) '[kg CO2 eq']],0)</f>
        <v>0</v>
      </c>
      <c r="F790" s="537">
        <f t="shared" si="56"/>
        <v>0</v>
      </c>
      <c r="G790" s="537">
        <f>$D790*_xlfn.XLOOKUP($I790,BG_Data[Product],BG_Data[Biogenic CO2 emissions '[kg CO2']],0)</f>
        <v>0</v>
      </c>
      <c r="H790" s="584">
        <f>$D790*_xlfn.XLOOKUP($I790,BG_Data[Product],BG_Data[Total env. impact (Ecological Scarcity 2021) '[UBP']],0)</f>
        <v>0</v>
      </c>
      <c r="I790" s="503" cm="1">
        <f t="array" ref="I790">_xlfn.XLOOKUP(
     C790,
     _xlfn.TOCOL(_xlfn.HSTACK(Lists_S1_StationaryComb[DE Name],Lists_S1_StationaryComb[FR Name],Lists_S1_StationaryComb[IT Name]),1),
     _xlfn.TOCOL(_xlfn.HSTACK(Lists_S1_StationaryComb[BG Data],Lists_S1_StationaryComb[BG Data],Lists_S1_StationaryComb[BG Data]),1) &amp;" Indirect",
     0
)</f>
        <v>0</v>
      </c>
      <c r="J790" s="503" t="s">
        <v>27212</v>
      </c>
      <c r="K790" s="248"/>
    </row>
    <row r="791" spans="2:18" x14ac:dyDescent="0.2">
      <c r="B791" s="249"/>
      <c r="C791" s="503">
        <f>'2 Data Inputs'!C183</f>
        <v>0</v>
      </c>
      <c r="D791" s="537">
        <f>'2 Data Inputs'!F183</f>
        <v>0</v>
      </c>
      <c r="E791" s="537">
        <f>_xlfn.XLOOKUP($I791,BG_Data[Product],BG_Data[GHG emissions (IPCC 2021) '[kg CO2 eq']],0)</f>
        <v>0</v>
      </c>
      <c r="F791" s="537">
        <f t="shared" si="56"/>
        <v>0</v>
      </c>
      <c r="G791" s="537">
        <f>$D791*_xlfn.XLOOKUP($I791,BG_Data[Product],BG_Data[Biogenic CO2 emissions '[kg CO2']],0)</f>
        <v>0</v>
      </c>
      <c r="H791" s="584">
        <f>$D791*_xlfn.XLOOKUP($I791,BG_Data[Product],BG_Data[Total env. impact (Ecological Scarcity 2021) '[UBP']],0)</f>
        <v>0</v>
      </c>
      <c r="I791" s="503" cm="1">
        <f t="array" ref="I791">_xlfn.XLOOKUP(
     C791,
     _xlfn.TOCOL(_xlfn.HSTACK(Lists_S1_StationaryComb[DE Name],Lists_S1_StationaryComb[FR Name],Lists_S1_StationaryComb[IT Name]),1),
     _xlfn.TOCOL(_xlfn.HSTACK(Lists_S1_StationaryComb[BG Data],Lists_S1_StationaryComb[BG Data],Lists_S1_StationaryComb[BG Data]),1) &amp;" Indirect",
     0
)</f>
        <v>0</v>
      </c>
      <c r="J791" s="503" t="s">
        <v>27212</v>
      </c>
      <c r="K791" s="248"/>
    </row>
    <row r="792" spans="2:18" x14ac:dyDescent="0.2">
      <c r="B792" s="249"/>
      <c r="C792" s="503">
        <f>'2 Data Inputs'!C184</f>
        <v>0</v>
      </c>
      <c r="D792" s="537">
        <f>'2 Data Inputs'!F184</f>
        <v>0</v>
      </c>
      <c r="E792" s="537">
        <f>_xlfn.XLOOKUP($I792,BG_Data[Product],BG_Data[GHG emissions (IPCC 2021) '[kg CO2 eq']],0)</f>
        <v>0</v>
      </c>
      <c r="F792" s="537">
        <f t="shared" si="56"/>
        <v>0</v>
      </c>
      <c r="G792" s="537">
        <f>$D792*_xlfn.XLOOKUP($I792,BG_Data[Product],BG_Data[Biogenic CO2 emissions '[kg CO2']],0)</f>
        <v>0</v>
      </c>
      <c r="H792" s="584">
        <f>$D792*_xlfn.XLOOKUP($I792,BG_Data[Product],BG_Data[Total env. impact (Ecological Scarcity 2021) '[UBP']],0)</f>
        <v>0</v>
      </c>
      <c r="I792" s="503" cm="1">
        <f t="array" ref="I792">_xlfn.XLOOKUP(
     C792,
     _xlfn.TOCOL(_xlfn.HSTACK(Lists_S1_StationaryComb[DE Name],Lists_S1_StationaryComb[FR Name],Lists_S1_StationaryComb[IT Name]),1),
     _xlfn.TOCOL(_xlfn.HSTACK(Lists_S1_StationaryComb[BG Data],Lists_S1_StationaryComb[BG Data],Lists_S1_StationaryComb[BG Data]),1) &amp;" Indirect",
     0
)</f>
        <v>0</v>
      </c>
      <c r="J792" s="503" t="s">
        <v>27212</v>
      </c>
      <c r="K792" s="248"/>
    </row>
    <row r="793" spans="2:18" x14ac:dyDescent="0.2">
      <c r="B793" s="249"/>
      <c r="C793" s="503">
        <f>'2 Data Inputs'!C185</f>
        <v>0</v>
      </c>
      <c r="D793" s="537">
        <f>'2 Data Inputs'!F185</f>
        <v>0</v>
      </c>
      <c r="E793" s="537">
        <f>_xlfn.XLOOKUP($I793,BG_Data[Product],BG_Data[GHG emissions (IPCC 2021) '[kg CO2 eq']],0)</f>
        <v>0</v>
      </c>
      <c r="F793" s="537">
        <f t="shared" si="56"/>
        <v>0</v>
      </c>
      <c r="G793" s="537">
        <f>$D793*_xlfn.XLOOKUP($I793,BG_Data[Product],BG_Data[Biogenic CO2 emissions '[kg CO2']],0)</f>
        <v>0</v>
      </c>
      <c r="H793" s="584">
        <f>$D793*_xlfn.XLOOKUP($I793,BG_Data[Product],BG_Data[Total env. impact (Ecological Scarcity 2021) '[UBP']],0)</f>
        <v>0</v>
      </c>
      <c r="I793" s="503" cm="1">
        <f t="array" ref="I793">_xlfn.XLOOKUP(
     C793,
     _xlfn.TOCOL(_xlfn.HSTACK(Lists_S1_StationaryComb[DE Name],Lists_S1_StationaryComb[FR Name],Lists_S1_StationaryComb[IT Name]),1),
     _xlfn.TOCOL(_xlfn.HSTACK(Lists_S1_StationaryComb[BG Data],Lists_S1_StationaryComb[BG Data],Lists_S1_StationaryComb[BG Data]),1) &amp;" Indirect",
     0
)</f>
        <v>0</v>
      </c>
      <c r="J793" s="503" t="s">
        <v>27212</v>
      </c>
      <c r="K793" s="248"/>
    </row>
    <row r="794" spans="2:18" x14ac:dyDescent="0.2">
      <c r="B794" s="249"/>
      <c r="C794" s="503">
        <f>'2 Data Inputs'!C186</f>
        <v>0</v>
      </c>
      <c r="D794" s="537">
        <f>'2 Data Inputs'!F186</f>
        <v>0</v>
      </c>
      <c r="E794" s="537">
        <f>_xlfn.XLOOKUP($I794,BG_Data[Product],BG_Data[GHG emissions (IPCC 2021) '[kg CO2 eq']],0)</f>
        <v>0</v>
      </c>
      <c r="F794" s="537">
        <f t="shared" si="56"/>
        <v>0</v>
      </c>
      <c r="G794" s="537">
        <f>$D794*_xlfn.XLOOKUP($I794,BG_Data[Product],BG_Data[Biogenic CO2 emissions '[kg CO2']],0)</f>
        <v>0</v>
      </c>
      <c r="H794" s="584">
        <f>$D794*_xlfn.XLOOKUP($I794,BG_Data[Product],BG_Data[Total env. impact (Ecological Scarcity 2021) '[UBP']],0)</f>
        <v>0</v>
      </c>
      <c r="I794" s="503" cm="1">
        <f t="array" ref="I794">_xlfn.XLOOKUP(
     C794,
     _xlfn.TOCOL(_xlfn.HSTACK(Lists_S1_StationaryComb[DE Name],Lists_S1_StationaryComb[FR Name],Lists_S1_StationaryComb[IT Name]),1),
     _xlfn.TOCOL(_xlfn.HSTACK(Lists_S1_StationaryComb[BG Data],Lists_S1_StationaryComb[BG Data],Lists_S1_StationaryComb[BG Data]),1) &amp;" Indirect",
     0
)</f>
        <v>0</v>
      </c>
      <c r="J794" s="503" t="s">
        <v>27212</v>
      </c>
      <c r="K794" s="248"/>
    </row>
    <row r="795" spans="2:18" x14ac:dyDescent="0.2">
      <c r="B795" s="249"/>
      <c r="C795" s="503">
        <f>'2 Data Inputs'!C187</f>
        <v>0</v>
      </c>
      <c r="D795" s="537">
        <f>'2 Data Inputs'!F187</f>
        <v>0</v>
      </c>
      <c r="E795" s="537">
        <f>_xlfn.XLOOKUP($I795,BG_Data[Product],BG_Data[GHG emissions (IPCC 2021) '[kg CO2 eq']],0)</f>
        <v>0</v>
      </c>
      <c r="F795" s="537">
        <f t="shared" si="56"/>
        <v>0</v>
      </c>
      <c r="G795" s="537">
        <f>$D795*_xlfn.XLOOKUP($I795,BG_Data[Product],BG_Data[Biogenic CO2 emissions '[kg CO2']],0)</f>
        <v>0</v>
      </c>
      <c r="H795" s="584">
        <f>$D795*_xlfn.XLOOKUP($I795,BG_Data[Product],BG_Data[Total env. impact (Ecological Scarcity 2021) '[UBP']],0)</f>
        <v>0</v>
      </c>
      <c r="I795" s="503" cm="1">
        <f t="array" ref="I795">_xlfn.XLOOKUP(
     C795,
     _xlfn.TOCOL(_xlfn.HSTACK(Lists_S1_StationaryComb[DE Name],Lists_S1_StationaryComb[FR Name],Lists_S1_StationaryComb[IT Name]),1),
     _xlfn.TOCOL(_xlfn.HSTACK(Lists_S1_StationaryComb[BG Data],Lists_S1_StationaryComb[BG Data],Lists_S1_StationaryComb[BG Data]),1) &amp;" Indirect",
     0
)</f>
        <v>0</v>
      </c>
      <c r="J795" s="503" t="s">
        <v>27212</v>
      </c>
      <c r="K795" s="248"/>
    </row>
    <row r="796" spans="2:18" x14ac:dyDescent="0.2">
      <c r="B796" s="249"/>
      <c r="C796" s="506">
        <f>'2 Data Inputs'!C188</f>
        <v>0</v>
      </c>
      <c r="D796" s="532">
        <f>'2 Data Inputs'!F188</f>
        <v>0</v>
      </c>
      <c r="E796" s="532">
        <f>_xlfn.XLOOKUP($I796,BG_Data[Product],BG_Data[GHG emissions (IPCC 2021) '[kg CO2 eq']],0)</f>
        <v>0</v>
      </c>
      <c r="F796" s="532">
        <f t="shared" si="56"/>
        <v>0</v>
      </c>
      <c r="G796" s="532">
        <f>$D796*_xlfn.XLOOKUP($I796,BG_Data[Product],BG_Data[Biogenic CO2 emissions '[kg CO2']],0)</f>
        <v>0</v>
      </c>
      <c r="H796" s="581">
        <f>$D796*_xlfn.XLOOKUP($I796,BG_Data[Product],BG_Data[Total env. impact (Ecological Scarcity 2021) '[UBP']],0)</f>
        <v>0</v>
      </c>
      <c r="I796" s="506" cm="1">
        <f t="array" ref="I796">_xlfn.XLOOKUP(
     C796,
     _xlfn.TOCOL(_xlfn.HSTACK(Lists_S1_StationaryComb[DE Name],Lists_S1_StationaryComb[FR Name],Lists_S1_StationaryComb[IT Name]),1),
     _xlfn.TOCOL(_xlfn.HSTACK(Lists_S1_StationaryComb[BG Data],Lists_S1_StationaryComb[BG Data],Lists_S1_StationaryComb[BG Data]),1) &amp;" Indirect",
     0
)</f>
        <v>0</v>
      </c>
      <c r="J796" s="506" t="s">
        <v>27212</v>
      </c>
      <c r="K796" s="248"/>
    </row>
    <row r="797" spans="2:18" ht="15" x14ac:dyDescent="0.25">
      <c r="B797" s="249"/>
      <c r="C797" s="507" t="s">
        <v>2616</v>
      </c>
      <c r="D797" s="508">
        <f>SUM(D787:D796)</f>
        <v>0</v>
      </c>
      <c r="E797" s="508"/>
      <c r="F797" s="508">
        <f>SUM(F787:F796)</f>
        <v>0</v>
      </c>
      <c r="G797" s="508">
        <f>SUM(G787:G796)</f>
        <v>0</v>
      </c>
      <c r="H797" s="580">
        <f>SUM(H787:H796)</f>
        <v>0</v>
      </c>
      <c r="I797" s="507"/>
      <c r="J797" s="507"/>
      <c r="K797" s="248"/>
    </row>
    <row r="798" spans="2:18" x14ac:dyDescent="0.2">
      <c r="B798" s="254"/>
      <c r="C798" s="539"/>
      <c r="D798" s="540"/>
      <c r="E798" s="540"/>
      <c r="F798" s="540"/>
      <c r="G798" s="540"/>
      <c r="H798" s="588"/>
      <c r="I798" s="539"/>
      <c r="J798" s="539"/>
      <c r="K798" s="256"/>
    </row>
    <row r="800" spans="2:18" x14ac:dyDescent="0.2">
      <c r="B800" s="246"/>
      <c r="C800" s="527"/>
      <c r="D800" s="528"/>
      <c r="E800" s="528"/>
      <c r="F800" s="528"/>
      <c r="G800" s="547"/>
      <c r="H800" s="589"/>
      <c r="I800" s="548"/>
      <c r="J800" s="548"/>
      <c r="K800" s="247" t="str">
        <f>Calc_Hyperlink_Lessor</f>
        <v>Downstream leases</v>
      </c>
    </row>
    <row r="801" spans="2:18" ht="15" x14ac:dyDescent="0.25">
      <c r="B801" s="249"/>
      <c r="C801" s="531" t="str">
        <f>n3Calculation_40Downstream_DistrictDirect</f>
        <v>Chauffage à distance et vapeur - Direct</v>
      </c>
      <c r="D801" s="511" t="str">
        <f>"Control approach = " &amp; GenInp_ConsolAppr &amp; " ; Lease type = " &amp; GenInp_LeaseType &amp; " → Direct emissions reported in " &amp; IF(GenInp_LeaseType="Operating Lease","Scope 2","Scope 3.13 (direct &amp;indirect)")</f>
        <v>Control approach = missing input ; Lease type = missing input → Direct emissions reported in Scope 3.13 (direct &amp;indirect)</v>
      </c>
      <c r="E801" s="510"/>
      <c r="F801" s="510"/>
      <c r="G801" s="510"/>
      <c r="H801" s="571"/>
      <c r="I801" s="511"/>
      <c r="J801" s="511"/>
      <c r="K801" s="248"/>
      <c r="M801" s="299" t="s">
        <v>27873</v>
      </c>
    </row>
    <row r="802" spans="2:18" x14ac:dyDescent="0.2">
      <c r="B802" s="249"/>
      <c r="C802" s="740"/>
      <c r="D802" s="740"/>
      <c r="E802" s="740"/>
      <c r="F802" s="740"/>
      <c r="G802" s="510"/>
      <c r="H802" s="571"/>
      <c r="I802" s="511"/>
      <c r="J802" s="511"/>
      <c r="K802" s="248"/>
    </row>
    <row r="803" spans="2:18" s="686" customFormat="1" ht="33" x14ac:dyDescent="0.25">
      <c r="B803" s="681"/>
      <c r="C803" s="682" t="s">
        <v>28599</v>
      </c>
      <c r="D803" s="683" t="s">
        <v>28534</v>
      </c>
      <c r="E803" s="683" t="s">
        <v>27208</v>
      </c>
      <c r="F803" s="683" t="s">
        <v>27588</v>
      </c>
      <c r="G803" s="683" t="s">
        <v>27589</v>
      </c>
      <c r="H803" s="683" t="s">
        <v>27209</v>
      </c>
      <c r="I803" s="682" t="s">
        <v>27210</v>
      </c>
      <c r="J803" s="682" t="s">
        <v>27211</v>
      </c>
      <c r="K803" s="685"/>
      <c r="M803" s="687"/>
      <c r="N803" s="687"/>
      <c r="O803" s="687"/>
      <c r="P803" s="687"/>
      <c r="Q803" s="687"/>
      <c r="R803" s="687"/>
    </row>
    <row r="804" spans="2:18" x14ac:dyDescent="0.2">
      <c r="B804" s="249"/>
      <c r="C804" s="500">
        <f>'2 Data Inputs'!C208</f>
        <v>0</v>
      </c>
      <c r="D804" s="535">
        <f>'2 Data Inputs'!F208</f>
        <v>0</v>
      </c>
      <c r="E804" s="535">
        <f>_xlfn.XLOOKUP($I804,BG_Data[Product],BG_Data[GHG emissions (IPCC 2021) '[kg CO2 eq']],0)</f>
        <v>0</v>
      </c>
      <c r="F804" s="535">
        <f t="shared" ref="F804:F813" si="57">$D804*$E804</f>
        <v>0</v>
      </c>
      <c r="G804" s="535">
        <f>$D804*_xlfn.XLOOKUP($I804,BG_Data[Product],BG_Data[Biogenic CO2 emissions '[kg CO2']],0)</f>
        <v>0</v>
      </c>
      <c r="H804" s="583">
        <f>$D804*_xlfn.XLOOKUP($I804,BG_Data[Product],BG_Data[Total env. impact (Ecological Scarcity 2021) '[UBP']],0)</f>
        <v>0</v>
      </c>
      <c r="I804" s="500" cm="1">
        <f t="array" ref="I804">_xlfn.XLOOKUP(
     C804,
     _xlfn.TOCOL(_xlfn.HSTACK(Lists_S2_DistrictHeat[DE Name],Lists_S2_DistrictHeat[FR Name],Lists_S2_DistrictHeat[IT Name]),1),
     _xlfn.TOCOL(_xlfn.HSTACK(Lists_S2_DistrictHeat[BG Data],Lists_S2_DistrictHeat[BG Data],Lists_S2_DistrictHeat[BG Data]),1) &amp;" Direct",
     0)</f>
        <v>0</v>
      </c>
      <c r="J804" s="500" t="s">
        <v>27212</v>
      </c>
      <c r="K804" s="248"/>
    </row>
    <row r="805" spans="2:18" x14ac:dyDescent="0.2">
      <c r="B805" s="249"/>
      <c r="C805" s="503">
        <f>'2 Data Inputs'!C209</f>
        <v>0</v>
      </c>
      <c r="D805" s="537">
        <f>'2 Data Inputs'!F209</f>
        <v>0</v>
      </c>
      <c r="E805" s="537">
        <f>_xlfn.XLOOKUP($I805,BG_Data[Product],BG_Data[GHG emissions (IPCC 2021) '[kg CO2 eq']],0)</f>
        <v>0</v>
      </c>
      <c r="F805" s="537">
        <f t="shared" si="57"/>
        <v>0</v>
      </c>
      <c r="G805" s="537">
        <f>$D805*_xlfn.XLOOKUP($I805,BG_Data[Product],BG_Data[Biogenic CO2 emissions '[kg CO2']],0)</f>
        <v>0</v>
      </c>
      <c r="H805" s="584">
        <f>$D805*_xlfn.XLOOKUP($I805,BG_Data[Product],BG_Data[Total env. impact (Ecological Scarcity 2021) '[UBP']],0)</f>
        <v>0</v>
      </c>
      <c r="I805" s="503" cm="1">
        <f t="array" ref="I805">_xlfn.XLOOKUP(
     C805,
     _xlfn.TOCOL(_xlfn.HSTACK(Lists_S2_DistrictHeat[DE Name],Lists_S2_DistrictHeat[FR Name],Lists_S2_DistrictHeat[IT Name]),1),
     _xlfn.TOCOL(_xlfn.HSTACK(Lists_S2_DistrictHeat[BG Data],Lists_S2_DistrictHeat[BG Data],Lists_S2_DistrictHeat[BG Data]),1) &amp;" Direct",
     0)</f>
        <v>0</v>
      </c>
      <c r="J805" s="503" t="s">
        <v>27212</v>
      </c>
      <c r="K805" s="248"/>
    </row>
    <row r="806" spans="2:18" x14ac:dyDescent="0.2">
      <c r="B806" s="249"/>
      <c r="C806" s="503">
        <f>'2 Data Inputs'!C210</f>
        <v>0</v>
      </c>
      <c r="D806" s="537">
        <f>'2 Data Inputs'!F210</f>
        <v>0</v>
      </c>
      <c r="E806" s="537">
        <f>_xlfn.XLOOKUP($I806,BG_Data[Product],BG_Data[GHG emissions (IPCC 2021) '[kg CO2 eq']],0)</f>
        <v>0</v>
      </c>
      <c r="F806" s="537">
        <f t="shared" si="57"/>
        <v>0</v>
      </c>
      <c r="G806" s="537">
        <f>$D806*_xlfn.XLOOKUP($I806,BG_Data[Product],BG_Data[Biogenic CO2 emissions '[kg CO2']],0)</f>
        <v>0</v>
      </c>
      <c r="H806" s="584">
        <f>$D806*_xlfn.XLOOKUP($I806,BG_Data[Product],BG_Data[Total env. impact (Ecological Scarcity 2021) '[UBP']],0)</f>
        <v>0</v>
      </c>
      <c r="I806" s="503" cm="1">
        <f t="array" ref="I806">_xlfn.XLOOKUP(
     C806,
     _xlfn.TOCOL(_xlfn.HSTACK(Lists_S2_DistrictHeat[DE Name],Lists_S2_DistrictHeat[FR Name],Lists_S2_DistrictHeat[IT Name]),1),
     _xlfn.TOCOL(_xlfn.HSTACK(Lists_S2_DistrictHeat[BG Data],Lists_S2_DistrictHeat[BG Data],Lists_S2_DistrictHeat[BG Data]),1) &amp;" Direct",
     0)</f>
        <v>0</v>
      </c>
      <c r="J806" s="503" t="s">
        <v>27212</v>
      </c>
      <c r="K806" s="248"/>
    </row>
    <row r="807" spans="2:18" x14ac:dyDescent="0.2">
      <c r="B807" s="249"/>
      <c r="C807" s="503">
        <f>'2 Data Inputs'!C211</f>
        <v>0</v>
      </c>
      <c r="D807" s="537">
        <f>'2 Data Inputs'!F211</f>
        <v>0</v>
      </c>
      <c r="E807" s="537">
        <f>_xlfn.XLOOKUP($I807,BG_Data[Product],BG_Data[GHG emissions (IPCC 2021) '[kg CO2 eq']],0)</f>
        <v>0</v>
      </c>
      <c r="F807" s="537">
        <f t="shared" si="57"/>
        <v>0</v>
      </c>
      <c r="G807" s="537">
        <f>$D807*_xlfn.XLOOKUP($I807,BG_Data[Product],BG_Data[Biogenic CO2 emissions '[kg CO2']],0)</f>
        <v>0</v>
      </c>
      <c r="H807" s="584">
        <f>$D807*_xlfn.XLOOKUP($I807,BG_Data[Product],BG_Data[Total env. impact (Ecological Scarcity 2021) '[UBP']],0)</f>
        <v>0</v>
      </c>
      <c r="I807" s="503" cm="1">
        <f t="array" ref="I807">_xlfn.XLOOKUP(
     C807,
     _xlfn.TOCOL(_xlfn.HSTACK(Lists_S2_DistrictHeat[DE Name],Lists_S2_DistrictHeat[FR Name],Lists_S2_DistrictHeat[IT Name]),1),
     _xlfn.TOCOL(_xlfn.HSTACK(Lists_S2_DistrictHeat[BG Data],Lists_S2_DistrictHeat[BG Data],Lists_S2_DistrictHeat[BG Data]),1) &amp;" Direct",
     0)</f>
        <v>0</v>
      </c>
      <c r="J807" s="503" t="s">
        <v>27212</v>
      </c>
      <c r="K807" s="248"/>
    </row>
    <row r="808" spans="2:18" x14ac:dyDescent="0.2">
      <c r="B808" s="249"/>
      <c r="C808" s="503">
        <f>'2 Data Inputs'!C212</f>
        <v>0</v>
      </c>
      <c r="D808" s="537">
        <f>'2 Data Inputs'!F212</f>
        <v>0</v>
      </c>
      <c r="E808" s="537">
        <f>_xlfn.XLOOKUP($I808,BG_Data[Product],BG_Data[GHG emissions (IPCC 2021) '[kg CO2 eq']],0)</f>
        <v>0</v>
      </c>
      <c r="F808" s="537">
        <f t="shared" si="57"/>
        <v>0</v>
      </c>
      <c r="G808" s="537">
        <f>$D808*_xlfn.XLOOKUP($I808,BG_Data[Product],BG_Data[Biogenic CO2 emissions '[kg CO2']],0)</f>
        <v>0</v>
      </c>
      <c r="H808" s="584">
        <f>$D808*_xlfn.XLOOKUP($I808,BG_Data[Product],BG_Data[Total env. impact (Ecological Scarcity 2021) '[UBP']],0)</f>
        <v>0</v>
      </c>
      <c r="I808" s="503" cm="1">
        <f t="array" ref="I808">_xlfn.XLOOKUP(
     C808,
     _xlfn.TOCOL(_xlfn.HSTACK(Lists_S2_DistrictHeat[DE Name],Lists_S2_DistrictHeat[FR Name],Lists_S2_DistrictHeat[IT Name]),1),
     _xlfn.TOCOL(_xlfn.HSTACK(Lists_S2_DistrictHeat[BG Data],Lists_S2_DistrictHeat[BG Data],Lists_S2_DistrictHeat[BG Data]),1) &amp;" Direct",
     0)</f>
        <v>0</v>
      </c>
      <c r="J808" s="503" t="s">
        <v>27212</v>
      </c>
      <c r="K808" s="248"/>
    </row>
    <row r="809" spans="2:18" x14ac:dyDescent="0.2">
      <c r="B809" s="249"/>
      <c r="C809" s="503">
        <f>'2 Data Inputs'!C213</f>
        <v>0</v>
      </c>
      <c r="D809" s="537">
        <f>'2 Data Inputs'!F213</f>
        <v>0</v>
      </c>
      <c r="E809" s="537">
        <f>_xlfn.XLOOKUP($I809,BG_Data[Product],BG_Data[GHG emissions (IPCC 2021) '[kg CO2 eq']],0)</f>
        <v>0</v>
      </c>
      <c r="F809" s="537">
        <f t="shared" si="57"/>
        <v>0</v>
      </c>
      <c r="G809" s="537">
        <f>$D809*_xlfn.XLOOKUP($I809,BG_Data[Product],BG_Data[Biogenic CO2 emissions '[kg CO2']],0)</f>
        <v>0</v>
      </c>
      <c r="H809" s="584">
        <f>$D809*_xlfn.XLOOKUP($I809,BG_Data[Product],BG_Data[Total env. impact (Ecological Scarcity 2021) '[UBP']],0)</f>
        <v>0</v>
      </c>
      <c r="I809" s="503" cm="1">
        <f t="array" ref="I809">_xlfn.XLOOKUP(
     C809,
     _xlfn.TOCOL(_xlfn.HSTACK(Lists_S2_DistrictHeat[DE Name],Lists_S2_DistrictHeat[FR Name],Lists_S2_DistrictHeat[IT Name]),1),
     _xlfn.TOCOL(_xlfn.HSTACK(Lists_S2_DistrictHeat[BG Data],Lists_S2_DistrictHeat[BG Data],Lists_S2_DistrictHeat[BG Data]),1) &amp;" Direct",
     0)</f>
        <v>0</v>
      </c>
      <c r="J809" s="503" t="s">
        <v>27212</v>
      </c>
      <c r="K809" s="248"/>
    </row>
    <row r="810" spans="2:18" x14ac:dyDescent="0.2">
      <c r="B810" s="249"/>
      <c r="C810" s="503">
        <f>'2 Data Inputs'!C214</f>
        <v>0</v>
      </c>
      <c r="D810" s="537">
        <f>'2 Data Inputs'!F214</f>
        <v>0</v>
      </c>
      <c r="E810" s="537">
        <f>_xlfn.XLOOKUP($I810,BG_Data[Product],BG_Data[GHG emissions (IPCC 2021) '[kg CO2 eq']],0)</f>
        <v>0</v>
      </c>
      <c r="F810" s="537">
        <f t="shared" si="57"/>
        <v>0</v>
      </c>
      <c r="G810" s="537">
        <f>$D810*_xlfn.XLOOKUP($I810,BG_Data[Product],BG_Data[Biogenic CO2 emissions '[kg CO2']],0)</f>
        <v>0</v>
      </c>
      <c r="H810" s="584">
        <f>$D810*_xlfn.XLOOKUP($I810,BG_Data[Product],BG_Data[Total env. impact (Ecological Scarcity 2021) '[UBP']],0)</f>
        <v>0</v>
      </c>
      <c r="I810" s="503" cm="1">
        <f t="array" ref="I810">_xlfn.XLOOKUP(
     C810,
     _xlfn.TOCOL(_xlfn.HSTACK(Lists_S2_DistrictHeat[DE Name],Lists_S2_DistrictHeat[FR Name],Lists_S2_DistrictHeat[IT Name]),1),
     _xlfn.TOCOL(_xlfn.HSTACK(Lists_S2_DistrictHeat[BG Data],Lists_S2_DistrictHeat[BG Data],Lists_S2_DistrictHeat[BG Data]),1) &amp;" Direct",
     0)</f>
        <v>0</v>
      </c>
      <c r="J810" s="503" t="s">
        <v>27212</v>
      </c>
      <c r="K810" s="248"/>
    </row>
    <row r="811" spans="2:18" x14ac:dyDescent="0.2">
      <c r="B811" s="249"/>
      <c r="C811" s="503">
        <f>'2 Data Inputs'!C215</f>
        <v>0</v>
      </c>
      <c r="D811" s="537">
        <f>'2 Data Inputs'!F215</f>
        <v>0</v>
      </c>
      <c r="E811" s="537">
        <f>_xlfn.XLOOKUP($I811,BG_Data[Product],BG_Data[GHG emissions (IPCC 2021) '[kg CO2 eq']],0)</f>
        <v>0</v>
      </c>
      <c r="F811" s="537">
        <f t="shared" si="57"/>
        <v>0</v>
      </c>
      <c r="G811" s="537">
        <f>$D811*_xlfn.XLOOKUP($I811,BG_Data[Product],BG_Data[Biogenic CO2 emissions '[kg CO2']],0)</f>
        <v>0</v>
      </c>
      <c r="H811" s="584">
        <f>$D811*_xlfn.XLOOKUP($I811,BG_Data[Product],BG_Data[Total env. impact (Ecological Scarcity 2021) '[UBP']],0)</f>
        <v>0</v>
      </c>
      <c r="I811" s="503" cm="1">
        <f t="array" ref="I811">_xlfn.XLOOKUP(
     C811,
     _xlfn.TOCOL(_xlfn.HSTACK(Lists_S2_DistrictHeat[DE Name],Lists_S2_DistrictHeat[FR Name],Lists_S2_DistrictHeat[IT Name]),1),
     _xlfn.TOCOL(_xlfn.HSTACK(Lists_S2_DistrictHeat[BG Data],Lists_S2_DistrictHeat[BG Data],Lists_S2_DistrictHeat[BG Data]),1) &amp;" Direct",
     0)</f>
        <v>0</v>
      </c>
      <c r="J811" s="503" t="s">
        <v>27212</v>
      </c>
      <c r="K811" s="248"/>
    </row>
    <row r="812" spans="2:18" x14ac:dyDescent="0.2">
      <c r="B812" s="249"/>
      <c r="C812" s="503">
        <f>'2 Data Inputs'!C216</f>
        <v>0</v>
      </c>
      <c r="D812" s="537">
        <f>'2 Data Inputs'!F216</f>
        <v>0</v>
      </c>
      <c r="E812" s="537">
        <f>_xlfn.XLOOKUP($I812,BG_Data[Product],BG_Data[GHG emissions (IPCC 2021) '[kg CO2 eq']],0)</f>
        <v>0</v>
      </c>
      <c r="F812" s="537">
        <f t="shared" si="57"/>
        <v>0</v>
      </c>
      <c r="G812" s="537">
        <f>$D812*_xlfn.XLOOKUP($I812,BG_Data[Product],BG_Data[Biogenic CO2 emissions '[kg CO2']],0)</f>
        <v>0</v>
      </c>
      <c r="H812" s="584">
        <f>$D812*_xlfn.XLOOKUP($I812,BG_Data[Product],BG_Data[Total env. impact (Ecological Scarcity 2021) '[UBP']],0)</f>
        <v>0</v>
      </c>
      <c r="I812" s="503" cm="1">
        <f t="array" ref="I812">_xlfn.XLOOKUP(
     C812,
     _xlfn.TOCOL(_xlfn.HSTACK(Lists_S2_DistrictHeat[DE Name],Lists_S2_DistrictHeat[FR Name],Lists_S2_DistrictHeat[IT Name]),1),
     _xlfn.TOCOL(_xlfn.HSTACK(Lists_S2_DistrictHeat[BG Data],Lists_S2_DistrictHeat[BG Data],Lists_S2_DistrictHeat[BG Data]),1) &amp;" Direct",
     0)</f>
        <v>0</v>
      </c>
      <c r="J812" s="503" t="s">
        <v>27212</v>
      </c>
      <c r="K812" s="248"/>
    </row>
    <row r="813" spans="2:18" x14ac:dyDescent="0.2">
      <c r="B813" s="249"/>
      <c r="C813" s="506">
        <f>'2 Data Inputs'!C217</f>
        <v>0</v>
      </c>
      <c r="D813" s="532">
        <f>'2 Data Inputs'!F217</f>
        <v>0</v>
      </c>
      <c r="E813" s="532">
        <f>_xlfn.XLOOKUP($I813,BG_Data[Product],BG_Data[GHG emissions (IPCC 2021) '[kg CO2 eq']],0)</f>
        <v>0</v>
      </c>
      <c r="F813" s="532">
        <f t="shared" si="57"/>
        <v>0</v>
      </c>
      <c r="G813" s="532">
        <f>$D813*_xlfn.XLOOKUP($I813,BG_Data[Product],BG_Data[Biogenic CO2 emissions '[kg CO2']],0)</f>
        <v>0</v>
      </c>
      <c r="H813" s="581">
        <f>$D813*_xlfn.XLOOKUP($I813,BG_Data[Product],BG_Data[Total env. impact (Ecological Scarcity 2021) '[UBP']],0)</f>
        <v>0</v>
      </c>
      <c r="I813" s="506" cm="1">
        <f t="array" ref="I813">_xlfn.XLOOKUP(
     C813,
     _xlfn.TOCOL(_xlfn.HSTACK(Lists_S2_DistrictHeat[DE Name],Lists_S2_DistrictHeat[FR Name],Lists_S2_DistrictHeat[IT Name]),1),
     _xlfn.TOCOL(_xlfn.HSTACK(Lists_S2_DistrictHeat[BG Data],Lists_S2_DistrictHeat[BG Data],Lists_S2_DistrictHeat[BG Data]),1) &amp;" Direct",
     0)</f>
        <v>0</v>
      </c>
      <c r="J813" s="506" t="s">
        <v>27212</v>
      </c>
      <c r="K813" s="248"/>
    </row>
    <row r="814" spans="2:18" ht="15" x14ac:dyDescent="0.25">
      <c r="B814" s="249"/>
      <c r="C814" s="507" t="s">
        <v>2616</v>
      </c>
      <c r="D814" s="508">
        <f>SUM(D804:D813)</f>
        <v>0</v>
      </c>
      <c r="E814" s="508"/>
      <c r="F814" s="508">
        <f>SUM(F804:F813)</f>
        <v>0</v>
      </c>
      <c r="G814" s="508">
        <f>SUM(G804:G813)</f>
        <v>0</v>
      </c>
      <c r="H814" s="580">
        <f>SUM(H804:H813)</f>
        <v>0</v>
      </c>
      <c r="I814" s="507"/>
      <c r="J814" s="507"/>
      <c r="K814" s="248"/>
    </row>
    <row r="815" spans="2:18" x14ac:dyDescent="0.2">
      <c r="B815" s="254"/>
      <c r="C815" s="539"/>
      <c r="D815" s="540"/>
      <c r="E815" s="540"/>
      <c r="F815" s="540"/>
      <c r="G815" s="540"/>
      <c r="H815" s="588"/>
      <c r="I815" s="539"/>
      <c r="J815" s="539"/>
      <c r="K815" s="256"/>
    </row>
    <row r="817" spans="2:18" x14ac:dyDescent="0.2">
      <c r="B817" s="246"/>
      <c r="C817" s="527"/>
      <c r="D817" s="528"/>
      <c r="E817" s="528"/>
      <c r="F817" s="528"/>
      <c r="G817" s="547"/>
      <c r="H817" s="589"/>
      <c r="I817" s="548"/>
      <c r="J817" s="548"/>
      <c r="K817" s="247" t="str">
        <f>Calc_Hyperlink_Lessor</f>
        <v>Downstream leases</v>
      </c>
    </row>
    <row r="818" spans="2:18" ht="15" x14ac:dyDescent="0.25">
      <c r="B818" s="249"/>
      <c r="C818" s="531" t="str">
        <f>n3Calculation_41Downstream_DistrictIndirect</f>
        <v>Chauffage à distance et vapeur - Indirect</v>
      </c>
      <c r="D818" s="511"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818" s="510"/>
      <c r="F818" s="510"/>
      <c r="G818" s="510"/>
      <c r="H818" s="571"/>
      <c r="I818" s="511"/>
      <c r="J818" s="511"/>
      <c r="K818" s="248"/>
      <c r="M818" s="299" t="s">
        <v>27874</v>
      </c>
    </row>
    <row r="819" spans="2:18" x14ac:dyDescent="0.2">
      <c r="B819" s="249"/>
      <c r="C819" s="740"/>
      <c r="D819" s="740"/>
      <c r="E819" s="740"/>
      <c r="F819" s="740"/>
      <c r="G819" s="510"/>
      <c r="H819" s="571"/>
      <c r="I819" s="511"/>
      <c r="J819" s="511"/>
      <c r="K819" s="248"/>
    </row>
    <row r="820" spans="2:18" s="686" customFormat="1" ht="33" x14ac:dyDescent="0.25">
      <c r="B820" s="681"/>
      <c r="C820" s="682" t="s">
        <v>28599</v>
      </c>
      <c r="D820" s="683" t="s">
        <v>28534</v>
      </c>
      <c r="E820" s="683" t="s">
        <v>27208</v>
      </c>
      <c r="F820" s="683" t="s">
        <v>27588</v>
      </c>
      <c r="G820" s="683" t="s">
        <v>27589</v>
      </c>
      <c r="H820" s="683" t="s">
        <v>27209</v>
      </c>
      <c r="I820" s="682" t="s">
        <v>27210</v>
      </c>
      <c r="J820" s="682" t="s">
        <v>27211</v>
      </c>
      <c r="K820" s="685"/>
      <c r="M820" s="687"/>
      <c r="N820" s="687"/>
      <c r="O820" s="687"/>
      <c r="P820" s="687"/>
      <c r="Q820" s="687"/>
      <c r="R820" s="687"/>
    </row>
    <row r="821" spans="2:18" x14ac:dyDescent="0.2">
      <c r="B821" s="249"/>
      <c r="C821" s="500">
        <f>'2 Data Inputs'!C208</f>
        <v>0</v>
      </c>
      <c r="D821" s="535">
        <f>'2 Data Inputs'!F208</f>
        <v>0</v>
      </c>
      <c r="E821" s="535">
        <f>_xlfn.XLOOKUP($I821,BG_Data[Product],BG_Data[GHG emissions (IPCC 2021) '[kg CO2 eq']],0)</f>
        <v>0</v>
      </c>
      <c r="F821" s="535">
        <f t="shared" ref="F821:F830" si="58">$D821*$E821</f>
        <v>0</v>
      </c>
      <c r="G821" s="535">
        <f>$D821*_xlfn.XLOOKUP($I821,BG_Data[Product],BG_Data[Biogenic CO2 emissions '[kg CO2']],0)</f>
        <v>0</v>
      </c>
      <c r="H821" s="583">
        <f>$D821*_xlfn.XLOOKUP($I821,BG_Data[Product],BG_Data[Total env. impact (Ecological Scarcity 2021) '[UBP']],0)</f>
        <v>0</v>
      </c>
      <c r="I821" s="500" cm="1">
        <f t="array" ref="I821">_xlfn.XLOOKUP(
     C821,
     _xlfn.TOCOL(_xlfn.HSTACK(Lists_S2_DistrictHeat[DE Name],Lists_S2_DistrictHeat[FR Name],Lists_S2_DistrictHeat[IT Name]),1),
     _xlfn.TOCOL(_xlfn.HSTACK(Lists_S2_DistrictHeat[BG Data],Lists_S2_DistrictHeat[BG Data],Lists_S2_DistrictHeat[BG Data]),1) &amp;" Indirect",
     0)</f>
        <v>0</v>
      </c>
      <c r="J821" s="500" t="s">
        <v>27212</v>
      </c>
      <c r="K821" s="248"/>
    </row>
    <row r="822" spans="2:18" x14ac:dyDescent="0.2">
      <c r="B822" s="249"/>
      <c r="C822" s="503">
        <f>'2 Data Inputs'!C209</f>
        <v>0</v>
      </c>
      <c r="D822" s="537">
        <f>'2 Data Inputs'!F209</f>
        <v>0</v>
      </c>
      <c r="E822" s="537">
        <f>_xlfn.XLOOKUP($I822,BG_Data[Product],BG_Data[GHG emissions (IPCC 2021) '[kg CO2 eq']],0)</f>
        <v>0</v>
      </c>
      <c r="F822" s="537">
        <f t="shared" si="58"/>
        <v>0</v>
      </c>
      <c r="G822" s="537">
        <f>$D822*_xlfn.XLOOKUP($I822,BG_Data[Product],BG_Data[Biogenic CO2 emissions '[kg CO2']],0)</f>
        <v>0</v>
      </c>
      <c r="H822" s="584">
        <f>$D822*_xlfn.XLOOKUP($I822,BG_Data[Product],BG_Data[Total env. impact (Ecological Scarcity 2021) '[UBP']],0)</f>
        <v>0</v>
      </c>
      <c r="I822" s="503" cm="1">
        <f t="array" ref="I822">_xlfn.XLOOKUP(
     C822,
     _xlfn.TOCOL(_xlfn.HSTACK(Lists_S2_DistrictHeat[DE Name],Lists_S2_DistrictHeat[FR Name],Lists_S2_DistrictHeat[IT Name]),1),
     _xlfn.TOCOL(_xlfn.HSTACK(Lists_S2_DistrictHeat[BG Data],Lists_S2_DistrictHeat[BG Data],Lists_S2_DistrictHeat[BG Data]),1) &amp;" Indirect",
     0)</f>
        <v>0</v>
      </c>
      <c r="J822" s="503" t="s">
        <v>27212</v>
      </c>
      <c r="K822" s="248"/>
    </row>
    <row r="823" spans="2:18" x14ac:dyDescent="0.2">
      <c r="B823" s="249"/>
      <c r="C823" s="503">
        <f>'2 Data Inputs'!C210</f>
        <v>0</v>
      </c>
      <c r="D823" s="537">
        <f>'2 Data Inputs'!F210</f>
        <v>0</v>
      </c>
      <c r="E823" s="537">
        <f>_xlfn.XLOOKUP($I823,BG_Data[Product],BG_Data[GHG emissions (IPCC 2021) '[kg CO2 eq']],0)</f>
        <v>0</v>
      </c>
      <c r="F823" s="537">
        <f t="shared" si="58"/>
        <v>0</v>
      </c>
      <c r="G823" s="537">
        <f>$D823*_xlfn.XLOOKUP($I823,BG_Data[Product],BG_Data[Biogenic CO2 emissions '[kg CO2']],0)</f>
        <v>0</v>
      </c>
      <c r="H823" s="584">
        <f>$D823*_xlfn.XLOOKUP($I823,BG_Data[Product],BG_Data[Total env. impact (Ecological Scarcity 2021) '[UBP']],0)</f>
        <v>0</v>
      </c>
      <c r="I823" s="503" cm="1">
        <f t="array" ref="I823">_xlfn.XLOOKUP(
     C823,
     _xlfn.TOCOL(_xlfn.HSTACK(Lists_S2_DistrictHeat[DE Name],Lists_S2_DistrictHeat[FR Name],Lists_S2_DistrictHeat[IT Name]),1),
     _xlfn.TOCOL(_xlfn.HSTACK(Lists_S2_DistrictHeat[BG Data],Lists_S2_DistrictHeat[BG Data],Lists_S2_DistrictHeat[BG Data]),1) &amp;" Indirect",
     0)</f>
        <v>0</v>
      </c>
      <c r="J823" s="503" t="s">
        <v>27212</v>
      </c>
      <c r="K823" s="248"/>
    </row>
    <row r="824" spans="2:18" x14ac:dyDescent="0.2">
      <c r="B824" s="249"/>
      <c r="C824" s="503">
        <f>'2 Data Inputs'!C211</f>
        <v>0</v>
      </c>
      <c r="D824" s="537">
        <f>'2 Data Inputs'!F211</f>
        <v>0</v>
      </c>
      <c r="E824" s="537">
        <f>_xlfn.XLOOKUP($I824,BG_Data[Product],BG_Data[GHG emissions (IPCC 2021) '[kg CO2 eq']],0)</f>
        <v>0</v>
      </c>
      <c r="F824" s="537">
        <f t="shared" si="58"/>
        <v>0</v>
      </c>
      <c r="G824" s="537">
        <f>$D824*_xlfn.XLOOKUP($I824,BG_Data[Product],BG_Data[Biogenic CO2 emissions '[kg CO2']],0)</f>
        <v>0</v>
      </c>
      <c r="H824" s="584">
        <f>$D824*_xlfn.XLOOKUP($I824,BG_Data[Product],BG_Data[Total env. impact (Ecological Scarcity 2021) '[UBP']],0)</f>
        <v>0</v>
      </c>
      <c r="I824" s="503" cm="1">
        <f t="array" ref="I824">_xlfn.XLOOKUP(
     C824,
     _xlfn.TOCOL(_xlfn.HSTACK(Lists_S2_DistrictHeat[DE Name],Lists_S2_DistrictHeat[FR Name],Lists_S2_DistrictHeat[IT Name]),1),
     _xlfn.TOCOL(_xlfn.HSTACK(Lists_S2_DistrictHeat[BG Data],Lists_S2_DistrictHeat[BG Data],Lists_S2_DistrictHeat[BG Data]),1) &amp;" Indirect",
     0)</f>
        <v>0</v>
      </c>
      <c r="J824" s="503" t="s">
        <v>27212</v>
      </c>
      <c r="K824" s="248"/>
    </row>
    <row r="825" spans="2:18" x14ac:dyDescent="0.2">
      <c r="B825" s="249"/>
      <c r="C825" s="503">
        <f>'2 Data Inputs'!C212</f>
        <v>0</v>
      </c>
      <c r="D825" s="537">
        <f>'2 Data Inputs'!F212</f>
        <v>0</v>
      </c>
      <c r="E825" s="537">
        <f>_xlfn.XLOOKUP($I825,BG_Data[Product],BG_Data[GHG emissions (IPCC 2021) '[kg CO2 eq']],0)</f>
        <v>0</v>
      </c>
      <c r="F825" s="537">
        <f t="shared" si="58"/>
        <v>0</v>
      </c>
      <c r="G825" s="537">
        <f>$D825*_xlfn.XLOOKUP($I825,BG_Data[Product],BG_Data[Biogenic CO2 emissions '[kg CO2']],0)</f>
        <v>0</v>
      </c>
      <c r="H825" s="584">
        <f>$D825*_xlfn.XLOOKUP($I825,BG_Data[Product],BG_Data[Total env. impact (Ecological Scarcity 2021) '[UBP']],0)</f>
        <v>0</v>
      </c>
      <c r="I825" s="503" cm="1">
        <f t="array" ref="I825">_xlfn.XLOOKUP(
     C825,
     _xlfn.TOCOL(_xlfn.HSTACK(Lists_S2_DistrictHeat[DE Name],Lists_S2_DistrictHeat[FR Name],Lists_S2_DistrictHeat[IT Name]),1),
     _xlfn.TOCOL(_xlfn.HSTACK(Lists_S2_DistrictHeat[BG Data],Lists_S2_DistrictHeat[BG Data],Lists_S2_DistrictHeat[BG Data]),1) &amp;" Indirect",
     0)</f>
        <v>0</v>
      </c>
      <c r="J825" s="503" t="s">
        <v>27212</v>
      </c>
      <c r="K825" s="248"/>
    </row>
    <row r="826" spans="2:18" x14ac:dyDescent="0.2">
      <c r="B826" s="249"/>
      <c r="C826" s="503">
        <f>'2 Data Inputs'!C213</f>
        <v>0</v>
      </c>
      <c r="D826" s="537">
        <f>'2 Data Inputs'!F213</f>
        <v>0</v>
      </c>
      <c r="E826" s="537">
        <f>_xlfn.XLOOKUP($I826,BG_Data[Product],BG_Data[GHG emissions (IPCC 2021) '[kg CO2 eq']],0)</f>
        <v>0</v>
      </c>
      <c r="F826" s="537">
        <f t="shared" si="58"/>
        <v>0</v>
      </c>
      <c r="G826" s="537">
        <f>$D826*_xlfn.XLOOKUP($I826,BG_Data[Product],BG_Data[Biogenic CO2 emissions '[kg CO2']],0)</f>
        <v>0</v>
      </c>
      <c r="H826" s="584">
        <f>$D826*_xlfn.XLOOKUP($I826,BG_Data[Product],BG_Data[Total env. impact (Ecological Scarcity 2021) '[UBP']],0)</f>
        <v>0</v>
      </c>
      <c r="I826" s="503" cm="1">
        <f t="array" ref="I826">_xlfn.XLOOKUP(
     C826,
     _xlfn.TOCOL(_xlfn.HSTACK(Lists_S2_DistrictHeat[DE Name],Lists_S2_DistrictHeat[FR Name],Lists_S2_DistrictHeat[IT Name]),1),
     _xlfn.TOCOL(_xlfn.HSTACK(Lists_S2_DistrictHeat[BG Data],Lists_S2_DistrictHeat[BG Data],Lists_S2_DistrictHeat[BG Data]),1) &amp;" Indirect",
     0)</f>
        <v>0</v>
      </c>
      <c r="J826" s="503" t="s">
        <v>27212</v>
      </c>
      <c r="K826" s="248"/>
    </row>
    <row r="827" spans="2:18" x14ac:dyDescent="0.2">
      <c r="B827" s="249"/>
      <c r="C827" s="503">
        <f>'2 Data Inputs'!C214</f>
        <v>0</v>
      </c>
      <c r="D827" s="537">
        <f>'2 Data Inputs'!F214</f>
        <v>0</v>
      </c>
      <c r="E827" s="537">
        <f>_xlfn.XLOOKUP($I827,BG_Data[Product],BG_Data[GHG emissions (IPCC 2021) '[kg CO2 eq']],0)</f>
        <v>0</v>
      </c>
      <c r="F827" s="537">
        <f t="shared" si="58"/>
        <v>0</v>
      </c>
      <c r="G827" s="537">
        <f>$D827*_xlfn.XLOOKUP($I827,BG_Data[Product],BG_Data[Biogenic CO2 emissions '[kg CO2']],0)</f>
        <v>0</v>
      </c>
      <c r="H827" s="584">
        <f>$D827*_xlfn.XLOOKUP($I827,BG_Data[Product],BG_Data[Total env. impact (Ecological Scarcity 2021) '[UBP']],0)</f>
        <v>0</v>
      </c>
      <c r="I827" s="503" cm="1">
        <f t="array" ref="I827">_xlfn.XLOOKUP(
     C827,
     _xlfn.TOCOL(_xlfn.HSTACK(Lists_S2_DistrictHeat[DE Name],Lists_S2_DistrictHeat[FR Name],Lists_S2_DistrictHeat[IT Name]),1),
     _xlfn.TOCOL(_xlfn.HSTACK(Lists_S2_DistrictHeat[BG Data],Lists_S2_DistrictHeat[BG Data],Lists_S2_DistrictHeat[BG Data]),1) &amp;" Indirect",
     0)</f>
        <v>0</v>
      </c>
      <c r="J827" s="503" t="s">
        <v>27212</v>
      </c>
      <c r="K827" s="248"/>
    </row>
    <row r="828" spans="2:18" x14ac:dyDescent="0.2">
      <c r="B828" s="249"/>
      <c r="C828" s="503">
        <f>'2 Data Inputs'!C215</f>
        <v>0</v>
      </c>
      <c r="D828" s="537">
        <f>'2 Data Inputs'!F215</f>
        <v>0</v>
      </c>
      <c r="E828" s="537">
        <f>_xlfn.XLOOKUP($I828,BG_Data[Product],BG_Data[GHG emissions (IPCC 2021) '[kg CO2 eq']],0)</f>
        <v>0</v>
      </c>
      <c r="F828" s="537">
        <f t="shared" si="58"/>
        <v>0</v>
      </c>
      <c r="G828" s="537">
        <f>$D828*_xlfn.XLOOKUP($I828,BG_Data[Product],BG_Data[Biogenic CO2 emissions '[kg CO2']],0)</f>
        <v>0</v>
      </c>
      <c r="H828" s="584">
        <f>$D828*_xlfn.XLOOKUP($I828,BG_Data[Product],BG_Data[Total env. impact (Ecological Scarcity 2021) '[UBP']],0)</f>
        <v>0</v>
      </c>
      <c r="I828" s="503" cm="1">
        <f t="array" ref="I828">_xlfn.XLOOKUP(
     C828,
     _xlfn.TOCOL(_xlfn.HSTACK(Lists_S2_DistrictHeat[DE Name],Lists_S2_DistrictHeat[FR Name],Lists_S2_DistrictHeat[IT Name]),1),
     _xlfn.TOCOL(_xlfn.HSTACK(Lists_S2_DistrictHeat[BG Data],Lists_S2_DistrictHeat[BG Data],Lists_S2_DistrictHeat[BG Data]),1) &amp;" Indirect",
     0)</f>
        <v>0</v>
      </c>
      <c r="J828" s="503" t="s">
        <v>27212</v>
      </c>
      <c r="K828" s="248"/>
    </row>
    <row r="829" spans="2:18" x14ac:dyDescent="0.2">
      <c r="B829" s="249"/>
      <c r="C829" s="503">
        <f>'2 Data Inputs'!C216</f>
        <v>0</v>
      </c>
      <c r="D829" s="537">
        <f>'2 Data Inputs'!F216</f>
        <v>0</v>
      </c>
      <c r="E829" s="537">
        <f>_xlfn.XLOOKUP($I829,BG_Data[Product],BG_Data[GHG emissions (IPCC 2021) '[kg CO2 eq']],0)</f>
        <v>0</v>
      </c>
      <c r="F829" s="537">
        <f t="shared" si="58"/>
        <v>0</v>
      </c>
      <c r="G829" s="537">
        <f>$D829*_xlfn.XLOOKUP($I829,BG_Data[Product],BG_Data[Biogenic CO2 emissions '[kg CO2']],0)</f>
        <v>0</v>
      </c>
      <c r="H829" s="584">
        <f>$D829*_xlfn.XLOOKUP($I829,BG_Data[Product],BG_Data[Total env. impact (Ecological Scarcity 2021) '[UBP']],0)</f>
        <v>0</v>
      </c>
      <c r="I829" s="503" cm="1">
        <f t="array" ref="I829">_xlfn.XLOOKUP(
     C829,
     _xlfn.TOCOL(_xlfn.HSTACK(Lists_S2_DistrictHeat[DE Name],Lists_S2_DistrictHeat[FR Name],Lists_S2_DistrictHeat[IT Name]),1),
     _xlfn.TOCOL(_xlfn.HSTACK(Lists_S2_DistrictHeat[BG Data],Lists_S2_DistrictHeat[BG Data],Lists_S2_DistrictHeat[BG Data]),1) &amp;" Indirect",
     0)</f>
        <v>0</v>
      </c>
      <c r="J829" s="503" t="s">
        <v>27212</v>
      </c>
      <c r="K829" s="248"/>
    </row>
    <row r="830" spans="2:18" x14ac:dyDescent="0.2">
      <c r="B830" s="249"/>
      <c r="C830" s="506">
        <f>'2 Data Inputs'!C217</f>
        <v>0</v>
      </c>
      <c r="D830" s="532">
        <f>'2 Data Inputs'!F217</f>
        <v>0</v>
      </c>
      <c r="E830" s="532">
        <f>_xlfn.XLOOKUP($I830,BG_Data[Product],BG_Data[GHG emissions (IPCC 2021) '[kg CO2 eq']],0)</f>
        <v>0</v>
      </c>
      <c r="F830" s="532">
        <f t="shared" si="58"/>
        <v>0</v>
      </c>
      <c r="G830" s="532">
        <f>$D830*_xlfn.XLOOKUP($I830,BG_Data[Product],BG_Data[Biogenic CO2 emissions '[kg CO2']],0)</f>
        <v>0</v>
      </c>
      <c r="H830" s="581">
        <f>$D830*_xlfn.XLOOKUP($I830,BG_Data[Product],BG_Data[Total env. impact (Ecological Scarcity 2021) '[UBP']],0)</f>
        <v>0</v>
      </c>
      <c r="I830" s="506" cm="1">
        <f t="array" ref="I830">_xlfn.XLOOKUP(
     C830,
     _xlfn.TOCOL(_xlfn.HSTACK(Lists_S2_DistrictHeat[DE Name],Lists_S2_DistrictHeat[FR Name],Lists_S2_DistrictHeat[IT Name]),1),
     _xlfn.TOCOL(_xlfn.HSTACK(Lists_S2_DistrictHeat[BG Data],Lists_S2_DistrictHeat[BG Data],Lists_S2_DistrictHeat[BG Data]),1) &amp;" Indirect",
     0)</f>
        <v>0</v>
      </c>
      <c r="J830" s="506" t="s">
        <v>27212</v>
      </c>
      <c r="K830" s="248"/>
    </row>
    <row r="831" spans="2:18" ht="15" x14ac:dyDescent="0.25">
      <c r="B831" s="249"/>
      <c r="C831" s="507" t="s">
        <v>2616</v>
      </c>
      <c r="D831" s="508">
        <f>SUM(D821:D830)</f>
        <v>0</v>
      </c>
      <c r="E831" s="508"/>
      <c r="F831" s="508">
        <f>SUM(F821:F830)</f>
        <v>0</v>
      </c>
      <c r="G831" s="508">
        <f>SUM(G821:G830)</f>
        <v>0</v>
      </c>
      <c r="H831" s="580">
        <f>SUM(H821:H830)</f>
        <v>0</v>
      </c>
      <c r="I831" s="507"/>
      <c r="J831" s="507"/>
      <c r="K831" s="248"/>
    </row>
    <row r="832" spans="2:18" x14ac:dyDescent="0.2">
      <c r="B832" s="254"/>
      <c r="C832" s="539"/>
      <c r="D832" s="540"/>
      <c r="E832" s="540"/>
      <c r="F832" s="540"/>
      <c r="G832" s="540"/>
      <c r="H832" s="588"/>
      <c r="I832" s="539"/>
      <c r="J832" s="539"/>
      <c r="K832" s="256"/>
    </row>
    <row r="834" spans="2:18" x14ac:dyDescent="0.2">
      <c r="B834" s="246"/>
      <c r="C834" s="527"/>
      <c r="D834" s="528"/>
      <c r="E834" s="528"/>
      <c r="F834" s="528"/>
      <c r="G834" s="547"/>
      <c r="H834" s="589"/>
      <c r="I834" s="548"/>
      <c r="J834" s="548"/>
      <c r="K834" s="247" t="str">
        <f>Calc_Hyperlink_Lessor</f>
        <v>Downstream leases</v>
      </c>
    </row>
    <row r="835" spans="2:18" ht="15" x14ac:dyDescent="0.25">
      <c r="B835" s="249"/>
      <c r="C835" s="531" t="str">
        <f>n3Calculation_42.1Downstream_ElectricityDirectMarket</f>
        <v>Électricité - Basée sur le marché - Direct</v>
      </c>
      <c r="D835" s="511" t="str">
        <f>"Control approach = " &amp; GenInp_ConsolAppr &amp; " ; Lease type = " &amp; GenInp_LeaseType &amp; " → Direct emissions reported in " &amp; IF(GenInp_LeaseType="Operating Lease","Scope 2","Scope 3.13 (direct &amp;indirect)")</f>
        <v>Control approach = missing input ; Lease type = missing input → Direct emissions reported in Scope 3.13 (direct &amp;indirect)</v>
      </c>
      <c r="E835" s="510"/>
      <c r="F835" s="510"/>
      <c r="G835" s="510"/>
      <c r="H835" s="571"/>
      <c r="I835" s="511"/>
      <c r="J835" s="511"/>
      <c r="K835" s="248"/>
      <c r="M835" s="299" t="s">
        <v>28323</v>
      </c>
    </row>
    <row r="836" spans="2:18" x14ac:dyDescent="0.2">
      <c r="B836" s="249"/>
      <c r="C836" s="740"/>
      <c r="D836" s="740"/>
      <c r="E836" s="740"/>
      <c r="F836" s="740"/>
      <c r="G836" s="510"/>
      <c r="H836" s="571"/>
      <c r="I836" s="511"/>
      <c r="J836" s="511"/>
      <c r="K836" s="248"/>
    </row>
    <row r="837" spans="2:18" s="686" customFormat="1" ht="33" x14ac:dyDescent="0.25">
      <c r="B837" s="681"/>
      <c r="C837" s="682" t="s">
        <v>27380</v>
      </c>
      <c r="D837" s="683" t="s">
        <v>28537</v>
      </c>
      <c r="E837" s="683" t="s">
        <v>27208</v>
      </c>
      <c r="F837" s="683" t="s">
        <v>27588</v>
      </c>
      <c r="G837" s="683" t="s">
        <v>27589</v>
      </c>
      <c r="H837" s="683" t="s">
        <v>27209</v>
      </c>
      <c r="I837" s="682" t="s">
        <v>27210</v>
      </c>
      <c r="J837" s="682" t="s">
        <v>27211</v>
      </c>
      <c r="K837" s="685"/>
      <c r="M837" s="687"/>
      <c r="N837" s="687"/>
      <c r="O837" s="687"/>
      <c r="P837" s="687"/>
      <c r="Q837" s="687"/>
      <c r="R837" s="687"/>
    </row>
    <row r="838" spans="2:18" x14ac:dyDescent="0.2">
      <c r="B838" s="249"/>
      <c r="C838" s="524" t="str">
        <f>'2 Data Inputs'!C505</f>
        <v>Électricité achetée sans garantie d'origine</v>
      </c>
      <c r="D838" s="525">
        <f>'2 Data Inputs'!F505</f>
        <v>0</v>
      </c>
      <c r="E838" s="525">
        <f>_xlfn.XLOOKUP($I838,BG_Data[Product],BG_Data[GHG emissions (IPCC 2021) '[kg CO2 eq']],0)</f>
        <v>5.625548261860136E-2</v>
      </c>
      <c r="F838" s="525">
        <f t="shared" ref="F838" si="59">$D838*$E838</f>
        <v>0</v>
      </c>
      <c r="G838" s="525">
        <f>$D838*_xlfn.XLOOKUP($I838,BG_Data[Product],BG_Data[Biogenic CO2 emissions '[kg CO2']],0)</f>
        <v>0</v>
      </c>
      <c r="H838" s="574">
        <f>$D838*_xlfn.XLOOKUP($I838,BG_Data[Product],BG_Data[Total env. impact (Ecological Scarcity 2021) '[UBP']],0)</f>
        <v>0</v>
      </c>
      <c r="I838" s="524" t="str">
        <f>IF('2 Data Inputs'!J505="Niederspannung","Electricity, low voltage, at grid {CH} kWh Direct","Electricity, medium voltage, at grid {CH} kWh Direct")</f>
        <v>Electricity, low voltage, at grid {CH} kWh Direct</v>
      </c>
      <c r="J838" s="524" t="s">
        <v>27212</v>
      </c>
      <c r="K838" s="248"/>
    </row>
    <row r="839" spans="2:18" x14ac:dyDescent="0.2">
      <c r="B839" s="249"/>
      <c r="C839" s="740"/>
      <c r="D839" s="740"/>
      <c r="E839" s="740"/>
      <c r="F839" s="740"/>
      <c r="G839" s="510"/>
      <c r="H839" s="571"/>
      <c r="I839" s="511"/>
      <c r="J839" s="511"/>
      <c r="K839" s="248"/>
    </row>
    <row r="840" spans="2:18" s="686" customFormat="1" ht="33" x14ac:dyDescent="0.25">
      <c r="B840" s="681"/>
      <c r="C840" s="682" t="s">
        <v>2607</v>
      </c>
      <c r="D840" s="683" t="s">
        <v>28537</v>
      </c>
      <c r="E840" s="683" t="s">
        <v>27208</v>
      </c>
      <c r="F840" s="683" t="s">
        <v>27588</v>
      </c>
      <c r="G840" s="683" t="s">
        <v>27589</v>
      </c>
      <c r="H840" s="683" t="s">
        <v>27209</v>
      </c>
      <c r="I840" s="682" t="s">
        <v>27210</v>
      </c>
      <c r="J840" s="682" t="s">
        <v>27211</v>
      </c>
      <c r="K840" s="685"/>
      <c r="M840" s="687"/>
      <c r="N840" s="687"/>
      <c r="O840" s="687"/>
      <c r="P840" s="687"/>
      <c r="Q840" s="687"/>
      <c r="R840" s="687"/>
    </row>
    <row r="841" spans="2:18" x14ac:dyDescent="0.2">
      <c r="B841" s="249"/>
      <c r="C841" s="500">
        <f>'2 Data Inputs'!C507</f>
        <v>0</v>
      </c>
      <c r="D841" s="535">
        <f>'2 Data Inputs'!F507</f>
        <v>0</v>
      </c>
      <c r="E841" s="535">
        <f>_xlfn.XLOOKUP($I841,BG_Data[Product],BG_Data[GHG emissions (IPCC 2021) '[kg CO2 eq']],0)</f>
        <v>0</v>
      </c>
      <c r="F841" s="535">
        <f t="shared" ref="F841:F850" si="60">$D841*$E841</f>
        <v>0</v>
      </c>
      <c r="G841" s="535">
        <f>$D841*_xlfn.XLOOKUP($I841,BG_Data[Product],BG_Data[Biogenic CO2 emissions '[kg CO2']],0)</f>
        <v>0</v>
      </c>
      <c r="H841" s="583">
        <f>$D841*_xlfn.XLOOKUP($I841,BG_Data[Product],BG_Data[Total env. impact (Ecological Scarcity 2021) '[UBP']],0)</f>
        <v>0</v>
      </c>
      <c r="I841" s="535">
        <f>IF(Calc_Lessor_Electricity_Direct2[[#This Row],[Source]]=0,0,
  _xlfn.XLOOKUP('2 Data Inputs'!I507,
     Lists_S2_Electricity[Category DE],
     Lists_S2_Electricity[BG Data],
     "") &amp; " Direct"
)</f>
        <v>0</v>
      </c>
      <c r="J841" s="500" t="s">
        <v>27212</v>
      </c>
      <c r="K841" s="248"/>
    </row>
    <row r="842" spans="2:18" x14ac:dyDescent="0.2">
      <c r="B842" s="249"/>
      <c r="C842" s="503">
        <f>'2 Data Inputs'!C508</f>
        <v>0</v>
      </c>
      <c r="D842" s="537">
        <f>'2 Data Inputs'!F508</f>
        <v>0</v>
      </c>
      <c r="E842" s="537">
        <f>_xlfn.XLOOKUP($I842,BG_Data[Product],BG_Data[GHG emissions (IPCC 2021) '[kg CO2 eq']],0)</f>
        <v>0</v>
      </c>
      <c r="F842" s="537">
        <f t="shared" si="60"/>
        <v>0</v>
      </c>
      <c r="G842" s="537">
        <f>$D842*_xlfn.XLOOKUP($I842,BG_Data[Product],BG_Data[Biogenic CO2 emissions '[kg CO2']],0)</f>
        <v>0</v>
      </c>
      <c r="H842" s="584">
        <f>$D842*_xlfn.XLOOKUP($I842,BG_Data[Product],BG_Data[Total env. impact (Ecological Scarcity 2021) '[UBP']],0)</f>
        <v>0</v>
      </c>
      <c r="I842" s="537">
        <f>IF(Calc_Lessor_Electricity_Direct2[[#This Row],[Source]]=0,0,
  _xlfn.XLOOKUP('2 Data Inputs'!I508,
     Lists_S2_Electricity[Category DE],
     Lists_S2_Electricity[BG Data],
     "") &amp; " Direct"
)</f>
        <v>0</v>
      </c>
      <c r="J842" s="503" t="s">
        <v>27212</v>
      </c>
      <c r="K842" s="248"/>
    </row>
    <row r="843" spans="2:18" x14ac:dyDescent="0.2">
      <c r="B843" s="249"/>
      <c r="C843" s="503">
        <f>'2 Data Inputs'!C509</f>
        <v>0</v>
      </c>
      <c r="D843" s="537">
        <f>'2 Data Inputs'!F509</f>
        <v>0</v>
      </c>
      <c r="E843" s="537">
        <f>_xlfn.XLOOKUP($I843,BG_Data[Product],BG_Data[GHG emissions (IPCC 2021) '[kg CO2 eq']],0)</f>
        <v>0</v>
      </c>
      <c r="F843" s="537">
        <f t="shared" si="60"/>
        <v>0</v>
      </c>
      <c r="G843" s="537">
        <f>$D843*_xlfn.XLOOKUP($I843,BG_Data[Product],BG_Data[Biogenic CO2 emissions '[kg CO2']],0)</f>
        <v>0</v>
      </c>
      <c r="H843" s="584">
        <f>$D843*_xlfn.XLOOKUP($I843,BG_Data[Product],BG_Data[Total env. impact (Ecological Scarcity 2021) '[UBP']],0)</f>
        <v>0</v>
      </c>
      <c r="I843" s="537">
        <f>IF(Calc_Lessor_Electricity_Direct2[[#This Row],[Source]]=0,0,
  _xlfn.XLOOKUP('2 Data Inputs'!I509,
     Lists_S2_Electricity[Category DE],
     Lists_S2_Electricity[BG Data],
     "") &amp; " Direct"
)</f>
        <v>0</v>
      </c>
      <c r="J843" s="503" t="s">
        <v>27212</v>
      </c>
      <c r="K843" s="248"/>
    </row>
    <row r="844" spans="2:18" x14ac:dyDescent="0.2">
      <c r="B844" s="249"/>
      <c r="C844" s="503">
        <f>'2 Data Inputs'!C510</f>
        <v>0</v>
      </c>
      <c r="D844" s="537">
        <f>'2 Data Inputs'!F510</f>
        <v>0</v>
      </c>
      <c r="E844" s="537">
        <f>_xlfn.XLOOKUP($I844,BG_Data[Product],BG_Data[GHG emissions (IPCC 2021) '[kg CO2 eq']],0)</f>
        <v>0</v>
      </c>
      <c r="F844" s="537">
        <f t="shared" si="60"/>
        <v>0</v>
      </c>
      <c r="G844" s="537">
        <f>$D844*_xlfn.XLOOKUP($I844,BG_Data[Product],BG_Data[Biogenic CO2 emissions '[kg CO2']],0)</f>
        <v>0</v>
      </c>
      <c r="H844" s="584">
        <f>$D844*_xlfn.XLOOKUP($I844,BG_Data[Product],BG_Data[Total env. impact (Ecological Scarcity 2021) '[UBP']],0)</f>
        <v>0</v>
      </c>
      <c r="I844" s="537">
        <f>IF(Calc_Lessor_Electricity_Direct2[[#This Row],[Source]]=0,0,
  _xlfn.XLOOKUP('2 Data Inputs'!I510,
     Lists_S2_Electricity[Category DE],
     Lists_S2_Electricity[BG Data],
     "") &amp; " Direct"
)</f>
        <v>0</v>
      </c>
      <c r="J844" s="503" t="s">
        <v>27212</v>
      </c>
      <c r="K844" s="248"/>
    </row>
    <row r="845" spans="2:18" x14ac:dyDescent="0.2">
      <c r="B845" s="249"/>
      <c r="C845" s="503">
        <f>'2 Data Inputs'!C511</f>
        <v>0</v>
      </c>
      <c r="D845" s="537">
        <f>'2 Data Inputs'!F511</f>
        <v>0</v>
      </c>
      <c r="E845" s="537">
        <f>_xlfn.XLOOKUP($I845,BG_Data[Product],BG_Data[GHG emissions (IPCC 2021) '[kg CO2 eq']],0)</f>
        <v>0</v>
      </c>
      <c r="F845" s="537">
        <f t="shared" si="60"/>
        <v>0</v>
      </c>
      <c r="G845" s="537">
        <f>$D845*_xlfn.XLOOKUP($I845,BG_Data[Product],BG_Data[Biogenic CO2 emissions '[kg CO2']],0)</f>
        <v>0</v>
      </c>
      <c r="H845" s="584">
        <f>$D845*_xlfn.XLOOKUP($I845,BG_Data[Product],BG_Data[Total env. impact (Ecological Scarcity 2021) '[UBP']],0)</f>
        <v>0</v>
      </c>
      <c r="I845" s="537">
        <f>IF(Calc_Lessor_Electricity_Direct2[[#This Row],[Source]]=0,0,
  _xlfn.XLOOKUP('2 Data Inputs'!I511,
     Lists_S2_Electricity[Category DE],
     Lists_S2_Electricity[BG Data],
     "") &amp; " Direct"
)</f>
        <v>0</v>
      </c>
      <c r="J845" s="503" t="s">
        <v>27212</v>
      </c>
      <c r="K845" s="248"/>
    </row>
    <row r="846" spans="2:18" x14ac:dyDescent="0.2">
      <c r="B846" s="249"/>
      <c r="C846" s="503">
        <f>'2 Data Inputs'!C512</f>
        <v>0</v>
      </c>
      <c r="D846" s="537">
        <f>'2 Data Inputs'!F512</f>
        <v>0</v>
      </c>
      <c r="E846" s="537">
        <f>_xlfn.XLOOKUP($I846,BG_Data[Product],BG_Data[GHG emissions (IPCC 2021) '[kg CO2 eq']],0)</f>
        <v>0</v>
      </c>
      <c r="F846" s="537">
        <f t="shared" si="60"/>
        <v>0</v>
      </c>
      <c r="G846" s="537">
        <f>$D846*_xlfn.XLOOKUP($I846,BG_Data[Product],BG_Data[Biogenic CO2 emissions '[kg CO2']],0)</f>
        <v>0</v>
      </c>
      <c r="H846" s="584">
        <f>$D846*_xlfn.XLOOKUP($I846,BG_Data[Product],BG_Data[Total env. impact (Ecological Scarcity 2021) '[UBP']],0)</f>
        <v>0</v>
      </c>
      <c r="I846" s="537">
        <f>IF(Calc_Lessor_Electricity_Direct2[[#This Row],[Source]]=0,0,
  _xlfn.XLOOKUP('2 Data Inputs'!I512,
     Lists_S2_Electricity[Category DE],
     Lists_S2_Electricity[BG Data],
     "") &amp; " Direct"
)</f>
        <v>0</v>
      </c>
      <c r="J846" s="503" t="s">
        <v>27212</v>
      </c>
      <c r="K846" s="248"/>
    </row>
    <row r="847" spans="2:18" x14ac:dyDescent="0.2">
      <c r="B847" s="249"/>
      <c r="C847" s="503">
        <f>'2 Data Inputs'!C513</f>
        <v>0</v>
      </c>
      <c r="D847" s="537">
        <f>'2 Data Inputs'!F513</f>
        <v>0</v>
      </c>
      <c r="E847" s="537">
        <f>_xlfn.XLOOKUP($I847,BG_Data[Product],BG_Data[GHG emissions (IPCC 2021) '[kg CO2 eq']],0)</f>
        <v>0</v>
      </c>
      <c r="F847" s="537">
        <f t="shared" si="60"/>
        <v>0</v>
      </c>
      <c r="G847" s="537">
        <f>$D847*_xlfn.XLOOKUP($I847,BG_Data[Product],BG_Data[Biogenic CO2 emissions '[kg CO2']],0)</f>
        <v>0</v>
      </c>
      <c r="H847" s="584">
        <f>$D847*_xlfn.XLOOKUP($I847,BG_Data[Product],BG_Data[Total env. impact (Ecological Scarcity 2021) '[UBP']],0)</f>
        <v>0</v>
      </c>
      <c r="I847" s="537">
        <f>IF(Calc_Lessor_Electricity_Direct2[[#This Row],[Source]]=0,0,
  _xlfn.XLOOKUP('2 Data Inputs'!I513,
     Lists_S2_Electricity[Category DE],
     Lists_S2_Electricity[BG Data],
     "") &amp; " Direct"
)</f>
        <v>0</v>
      </c>
      <c r="J847" s="503" t="s">
        <v>27212</v>
      </c>
      <c r="K847" s="248"/>
    </row>
    <row r="848" spans="2:18" x14ac:dyDescent="0.2">
      <c r="B848" s="249"/>
      <c r="C848" s="503">
        <f>'2 Data Inputs'!C514</f>
        <v>0</v>
      </c>
      <c r="D848" s="537">
        <f>'2 Data Inputs'!F514</f>
        <v>0</v>
      </c>
      <c r="E848" s="537">
        <f>_xlfn.XLOOKUP($I848,BG_Data[Product],BG_Data[GHG emissions (IPCC 2021) '[kg CO2 eq']],0)</f>
        <v>0</v>
      </c>
      <c r="F848" s="537">
        <f t="shared" si="60"/>
        <v>0</v>
      </c>
      <c r="G848" s="537">
        <f>$D848*_xlfn.XLOOKUP($I848,BG_Data[Product],BG_Data[Biogenic CO2 emissions '[kg CO2']],0)</f>
        <v>0</v>
      </c>
      <c r="H848" s="584">
        <f>$D848*_xlfn.XLOOKUP($I848,BG_Data[Product],BG_Data[Total env. impact (Ecological Scarcity 2021) '[UBP']],0)</f>
        <v>0</v>
      </c>
      <c r="I848" s="537">
        <f>IF(Calc_Lessor_Electricity_Direct2[[#This Row],[Source]]=0,0,
  _xlfn.XLOOKUP('2 Data Inputs'!I514,
     Lists_S2_Electricity[Category DE],
     Lists_S2_Electricity[BG Data],
     "") &amp; " Direct"
)</f>
        <v>0</v>
      </c>
      <c r="J848" s="503" t="s">
        <v>27212</v>
      </c>
      <c r="K848" s="248"/>
    </row>
    <row r="849" spans="2:18" x14ac:dyDescent="0.2">
      <c r="B849" s="249"/>
      <c r="C849" s="503">
        <f>'2 Data Inputs'!C515</f>
        <v>0</v>
      </c>
      <c r="D849" s="537">
        <f>'2 Data Inputs'!F515</f>
        <v>0</v>
      </c>
      <c r="E849" s="537">
        <f>_xlfn.XLOOKUP($I849,BG_Data[Product],BG_Data[GHG emissions (IPCC 2021) '[kg CO2 eq']],0)</f>
        <v>0</v>
      </c>
      <c r="F849" s="537">
        <f t="shared" si="60"/>
        <v>0</v>
      </c>
      <c r="G849" s="537">
        <f>$D849*_xlfn.XLOOKUP($I849,BG_Data[Product],BG_Data[Biogenic CO2 emissions '[kg CO2']],0)</f>
        <v>0</v>
      </c>
      <c r="H849" s="584">
        <f>$D849*_xlfn.XLOOKUP($I849,BG_Data[Product],BG_Data[Total env. impact (Ecological Scarcity 2021) '[UBP']],0)</f>
        <v>0</v>
      </c>
      <c r="I849" s="537">
        <f>IF(Calc_Lessor_Electricity_Direct2[[#This Row],[Source]]=0,0,
  _xlfn.XLOOKUP('2 Data Inputs'!I515,
     Lists_S2_Electricity[Category DE],
     Lists_S2_Electricity[BG Data],
     "") &amp; " Direct"
)</f>
        <v>0</v>
      </c>
      <c r="J849" s="503" t="s">
        <v>27212</v>
      </c>
      <c r="K849" s="248"/>
    </row>
    <row r="850" spans="2:18" x14ac:dyDescent="0.2">
      <c r="B850" s="249"/>
      <c r="C850" s="506">
        <f>'2 Data Inputs'!C516</f>
        <v>0</v>
      </c>
      <c r="D850" s="532">
        <f>'2 Data Inputs'!F516</f>
        <v>0</v>
      </c>
      <c r="E850" s="532">
        <f>_xlfn.XLOOKUP($I850,BG_Data[Product],BG_Data[GHG emissions (IPCC 2021) '[kg CO2 eq']],0)</f>
        <v>0</v>
      </c>
      <c r="F850" s="532">
        <f t="shared" si="60"/>
        <v>0</v>
      </c>
      <c r="G850" s="532">
        <f>$D850*_xlfn.XLOOKUP($I850,BG_Data[Product],BG_Data[Biogenic CO2 emissions '[kg CO2']],0)</f>
        <v>0</v>
      </c>
      <c r="H850" s="581">
        <f>$D850*_xlfn.XLOOKUP($I850,BG_Data[Product],BG_Data[Total env. impact (Ecological Scarcity 2021) '[UBP']],0)</f>
        <v>0</v>
      </c>
      <c r="I850" s="532">
        <f>IF(Calc_Lessor_Electricity_Direct2[[#This Row],[Source]]=0,0,
  _xlfn.XLOOKUP('2 Data Inputs'!I516,
     Lists_S2_Electricity[Category DE],
     Lists_S2_Electricity[BG Data],
     "") &amp; " Direct"
)</f>
        <v>0</v>
      </c>
      <c r="J850" s="506" t="s">
        <v>27212</v>
      </c>
      <c r="K850" s="248"/>
    </row>
    <row r="851" spans="2:18" ht="15" x14ac:dyDescent="0.25">
      <c r="B851" s="249"/>
      <c r="C851" s="507" t="s">
        <v>2616</v>
      </c>
      <c r="D851" s="508">
        <f>SUM(D841:D850)</f>
        <v>0</v>
      </c>
      <c r="E851" s="508"/>
      <c r="F851" s="508">
        <f>SUM(F841:F850)</f>
        <v>0</v>
      </c>
      <c r="G851" s="508">
        <f>SUM(G841:G850)</f>
        <v>0</v>
      </c>
      <c r="H851" s="580">
        <f>SUM(H841:H850)</f>
        <v>0</v>
      </c>
      <c r="I851" s="507"/>
      <c r="J851" s="507"/>
      <c r="K851" s="248"/>
    </row>
    <row r="852" spans="2:18" x14ac:dyDescent="0.2">
      <c r="B852" s="249"/>
      <c r="C852" s="511"/>
      <c r="D852" s="510"/>
      <c r="E852" s="510"/>
      <c r="F852" s="510"/>
      <c r="G852" s="510"/>
      <c r="H852" s="571"/>
      <c r="I852" s="511"/>
      <c r="J852" s="511"/>
      <c r="K852" s="248"/>
    </row>
    <row r="853" spans="2:18" ht="15" x14ac:dyDescent="0.25">
      <c r="B853" s="249"/>
      <c r="C853" s="531" t="str">
        <f>n3Calculation_42.2Downstream_ElectricityDirectLocation</f>
        <v>Électricité - Basée sur la localisation - Direct</v>
      </c>
      <c r="D853" s="546"/>
      <c r="E853" s="546"/>
      <c r="F853" s="546"/>
      <c r="G853" s="546"/>
      <c r="H853" s="587"/>
      <c r="I853" s="545"/>
      <c r="J853" s="545"/>
      <c r="K853" s="248"/>
      <c r="M853" s="299" t="s">
        <v>28324</v>
      </c>
    </row>
    <row r="854" spans="2:18" ht="15" x14ac:dyDescent="0.25">
      <c r="B854" s="249"/>
      <c r="C854" s="531"/>
      <c r="D854" s="546"/>
      <c r="E854" s="546"/>
      <c r="F854" s="546"/>
      <c r="G854" s="546"/>
      <c r="H854" s="587"/>
      <c r="I854" s="545"/>
      <c r="J854" s="545"/>
      <c r="K854" s="248"/>
    </row>
    <row r="855" spans="2:18" s="686" customFormat="1" ht="33" x14ac:dyDescent="0.25">
      <c r="B855" s="681"/>
      <c r="C855" s="682" t="s">
        <v>27888</v>
      </c>
      <c r="D855" s="683" t="s">
        <v>28537</v>
      </c>
      <c r="E855" s="683" t="s">
        <v>27208</v>
      </c>
      <c r="F855" s="683" t="s">
        <v>27588</v>
      </c>
      <c r="G855" s="683" t="s">
        <v>27589</v>
      </c>
      <c r="H855" s="683" t="s">
        <v>27214</v>
      </c>
      <c r="I855" s="682" t="s">
        <v>27210</v>
      </c>
      <c r="J855" s="682" t="s">
        <v>27211</v>
      </c>
      <c r="K855" s="685"/>
      <c r="M855" s="687"/>
      <c r="N855" s="687"/>
      <c r="O855" s="687"/>
      <c r="P855" s="687"/>
      <c r="Q855" s="687"/>
      <c r="R855" s="687"/>
    </row>
    <row r="856" spans="2:18" x14ac:dyDescent="0.2">
      <c r="B856" s="249"/>
      <c r="C856" s="500" t="s">
        <v>27877</v>
      </c>
      <c r="D856" s="535">
        <f>SUMIF('2 Data Inputs'!$J$505:$J$516,"Niederspannung",'2 Data Inputs'!$F$505:$F$516)</f>
        <v>0</v>
      </c>
      <c r="E856" s="535">
        <f>_xlfn.XLOOKUP($I856,BG_Data[Product],BG_Data[GHG emissions (IPCC 2021) '[kg CO2 eq']],0)</f>
        <v>5.625548261860136E-2</v>
      </c>
      <c r="F856" s="535">
        <f t="shared" ref="F856:F857" si="61">$D856*$E856</f>
        <v>0</v>
      </c>
      <c r="G856" s="535">
        <f>$D856*_xlfn.XLOOKUP($I856,BG_Data[Product],BG_Data[Biogenic CO2 emissions '[kg CO2']],0)</f>
        <v>0</v>
      </c>
      <c r="H856" s="583">
        <f>$D856*_xlfn.XLOOKUP($I856,BG_Data[Product],BG_Data[Total env. impact (Ecological Scarcity 2021) '[UBP']],0)</f>
        <v>0</v>
      </c>
      <c r="I856" s="535" t="s">
        <v>2804</v>
      </c>
      <c r="J856" s="524" t="s">
        <v>27213</v>
      </c>
      <c r="K856" s="248"/>
    </row>
    <row r="857" spans="2:18" x14ac:dyDescent="0.2">
      <c r="B857" s="249"/>
      <c r="C857" s="506" t="s">
        <v>27877</v>
      </c>
      <c r="D857" s="532">
        <f>SUMIF('2 Data Inputs'!$J$505:$J$516,"Mittelspannung",'2 Data Inputs'!$F$505:$F$516)</f>
        <v>0</v>
      </c>
      <c r="E857" s="532">
        <f>_xlfn.XLOOKUP($I857,BG_Data[Product],BG_Data[GHG emissions (IPCC 2021) '[kg CO2 eq']],0)</f>
        <v>5.625548261860136E-2</v>
      </c>
      <c r="F857" s="532">
        <f t="shared" si="61"/>
        <v>0</v>
      </c>
      <c r="G857" s="532">
        <f>$D857*_xlfn.XLOOKUP($I857,BG_Data[Product],BG_Data[Biogenic CO2 emissions '[kg CO2']],0)</f>
        <v>0</v>
      </c>
      <c r="H857" s="581">
        <f>$D857*_xlfn.XLOOKUP($I857,BG_Data[Product],BG_Data[Total env. impact (Ecological Scarcity 2021) '[UBP']],0)</f>
        <v>0</v>
      </c>
      <c r="I857" s="532" t="s">
        <v>2807</v>
      </c>
      <c r="J857" s="506" t="s">
        <v>27213</v>
      </c>
      <c r="K857" s="248"/>
    </row>
    <row r="858" spans="2:18" ht="15" x14ac:dyDescent="0.25">
      <c r="B858" s="249"/>
      <c r="C858" s="507" t="s">
        <v>2616</v>
      </c>
      <c r="D858" s="508">
        <f>SUM(D856:D857)</f>
        <v>0</v>
      </c>
      <c r="E858" s="508"/>
      <c r="F858" s="508">
        <f>SUM(F856:F857)</f>
        <v>0</v>
      </c>
      <c r="G858" s="508">
        <f>SUM(G856:G857)</f>
        <v>0</v>
      </c>
      <c r="H858" s="580">
        <f>SUM(H856:H857)</f>
        <v>0</v>
      </c>
      <c r="I858" s="507"/>
      <c r="J858" s="507"/>
      <c r="K858" s="248"/>
    </row>
    <row r="859" spans="2:18" x14ac:dyDescent="0.2">
      <c r="B859" s="254"/>
      <c r="C859" s="539"/>
      <c r="D859" s="540"/>
      <c r="E859" s="540"/>
      <c r="F859" s="540"/>
      <c r="G859" s="540"/>
      <c r="H859" s="588"/>
      <c r="I859" s="539"/>
      <c r="J859" s="539"/>
      <c r="K859" s="256"/>
    </row>
    <row r="860" spans="2:18" ht="15" x14ac:dyDescent="0.25">
      <c r="B860" s="258"/>
    </row>
    <row r="861" spans="2:18" x14ac:dyDescent="0.2">
      <c r="B861" s="246"/>
      <c r="C861" s="527"/>
      <c r="D861" s="528"/>
      <c r="E861" s="528"/>
      <c r="F861" s="528"/>
      <c r="G861" s="547"/>
      <c r="H861" s="589"/>
      <c r="I861" s="548"/>
      <c r="J861" s="548"/>
      <c r="K861" s="247" t="str">
        <f>Calc_Hyperlink_Lessor</f>
        <v>Downstream leases</v>
      </c>
    </row>
    <row r="862" spans="2:18" ht="15" x14ac:dyDescent="0.25">
      <c r="B862" s="249"/>
      <c r="C862" s="531" t="str">
        <f>n3Calculation_43.1Downstream_ElectricityIndirectMarket</f>
        <v>Électricité - Basée sur le marché - Indirect</v>
      </c>
      <c r="D862" s="511"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862" s="510"/>
      <c r="F862" s="510"/>
      <c r="G862" s="510"/>
      <c r="H862" s="571"/>
      <c r="I862" s="511"/>
      <c r="J862" s="511"/>
      <c r="K862" s="248"/>
      <c r="M862" s="299" t="s">
        <v>28325</v>
      </c>
    </row>
    <row r="863" spans="2:18" ht="15" x14ac:dyDescent="0.25">
      <c r="B863" s="249"/>
      <c r="C863" s="531"/>
      <c r="D863" s="510"/>
      <c r="E863" s="510"/>
      <c r="F863" s="510"/>
      <c r="G863" s="510"/>
      <c r="H863" s="571"/>
      <c r="I863" s="511"/>
      <c r="J863" s="511"/>
      <c r="K863" s="248"/>
    </row>
    <row r="864" spans="2:18" s="686" customFormat="1" ht="33" x14ac:dyDescent="0.25">
      <c r="B864" s="681"/>
      <c r="C864" s="682" t="s">
        <v>27380</v>
      </c>
      <c r="D864" s="683" t="s">
        <v>28537</v>
      </c>
      <c r="E864" s="683" t="s">
        <v>27208</v>
      </c>
      <c r="F864" s="683" t="s">
        <v>27588</v>
      </c>
      <c r="G864" s="683" t="s">
        <v>27589</v>
      </c>
      <c r="H864" s="683" t="s">
        <v>27209</v>
      </c>
      <c r="I864" s="682" t="s">
        <v>27210</v>
      </c>
      <c r="J864" s="682" t="s">
        <v>27211</v>
      </c>
      <c r="K864" s="685"/>
      <c r="M864" s="687"/>
      <c r="N864" s="687"/>
      <c r="O864" s="687"/>
      <c r="P864" s="687"/>
      <c r="Q864" s="687"/>
      <c r="R864" s="687"/>
    </row>
    <row r="865" spans="2:18" x14ac:dyDescent="0.2">
      <c r="B865" s="249"/>
      <c r="C865" s="524" t="str">
        <f>'2 Data Inputs'!C505</f>
        <v>Électricité achetée sans garantie d'origine</v>
      </c>
      <c r="D865" s="525">
        <f>'2 Data Inputs'!F505</f>
        <v>0</v>
      </c>
      <c r="E865" s="525">
        <f>_xlfn.XLOOKUP($I865,BG_Data[Product],BG_Data[GHG emissions (IPCC 2021) '[kg CO2 eq']],0)</f>
        <v>4.0754008540141134E-2</v>
      </c>
      <c r="F865" s="525">
        <f t="shared" ref="F865" si="62">$D865*$E865</f>
        <v>0</v>
      </c>
      <c r="G865" s="525">
        <f>$D865*_xlfn.XLOOKUP($I865,BG_Data[Product],BG_Data[Biogenic CO2 emissions '[kg CO2']],0)</f>
        <v>0</v>
      </c>
      <c r="H865" s="574">
        <f>$D865*_xlfn.XLOOKUP($I865,BG_Data[Product],BG_Data[Total env. impact (Ecological Scarcity 2021) '[UBP']],0)</f>
        <v>0</v>
      </c>
      <c r="I865" s="524" t="str">
        <f>IF('2 Data Inputs'!J505="Niederspannung","Electricity, low voltage, at grid {CH} kWh Indirect","Electricity, medium voltage, at grid {CH} kWh Indirect")</f>
        <v>Electricity, low voltage, at grid {CH} kWh Indirect</v>
      </c>
      <c r="J865" s="524" t="s">
        <v>27212</v>
      </c>
      <c r="K865" s="248"/>
    </row>
    <row r="866" spans="2:18" x14ac:dyDescent="0.2">
      <c r="B866" s="249"/>
      <c r="C866" s="740"/>
      <c r="D866" s="740"/>
      <c r="E866" s="740"/>
      <c r="F866" s="740"/>
      <c r="G866" s="510"/>
      <c r="H866" s="571"/>
      <c r="I866" s="511"/>
      <c r="J866" s="511"/>
      <c r="K866" s="248"/>
    </row>
    <row r="867" spans="2:18" s="686" customFormat="1" ht="33" x14ac:dyDescent="0.25">
      <c r="B867" s="681"/>
      <c r="C867" s="682" t="s">
        <v>2607</v>
      </c>
      <c r="D867" s="683" t="s">
        <v>28537</v>
      </c>
      <c r="E867" s="683" t="s">
        <v>27208</v>
      </c>
      <c r="F867" s="683" t="s">
        <v>27588</v>
      </c>
      <c r="G867" s="683" t="s">
        <v>27589</v>
      </c>
      <c r="H867" s="683" t="s">
        <v>27209</v>
      </c>
      <c r="I867" s="682" t="s">
        <v>27210</v>
      </c>
      <c r="J867" s="682" t="s">
        <v>27211</v>
      </c>
      <c r="K867" s="685"/>
      <c r="M867" s="687"/>
      <c r="N867" s="687"/>
      <c r="O867" s="687"/>
      <c r="P867" s="687"/>
      <c r="Q867" s="687"/>
      <c r="R867" s="687"/>
    </row>
    <row r="868" spans="2:18" x14ac:dyDescent="0.2">
      <c r="B868" s="249"/>
      <c r="C868" s="500">
        <f>'2 Data Inputs'!C507</f>
        <v>0</v>
      </c>
      <c r="D868" s="535">
        <f>'2 Data Inputs'!F507</f>
        <v>0</v>
      </c>
      <c r="E868" s="535">
        <f>_xlfn.XLOOKUP($I868,BG_Data[Product],BG_Data[GHG emissions (IPCC 2021) '[kg CO2 eq']],0)</f>
        <v>0</v>
      </c>
      <c r="F868" s="535">
        <f t="shared" ref="F868:F877" si="63">$D868*$E868</f>
        <v>0</v>
      </c>
      <c r="G868" s="535">
        <f>$D868*_xlfn.XLOOKUP($I868,BG_Data[Product],BG_Data[Biogenic CO2 emissions '[kg CO2']],0)</f>
        <v>0</v>
      </c>
      <c r="H868" s="583">
        <f>$D868*_xlfn.XLOOKUP($I868,BG_Data[Product],BG_Data[Total env. impact (Ecological Scarcity 2021) '[UBP']],0)</f>
        <v>0</v>
      </c>
      <c r="I868" s="535">
        <f>IF(Calc_Lessor_Electricity_Indirect2[[#This Row],[Source]]=0,0,
  _xlfn.XLOOKUP('2 Data Inputs'!I507,
     Lists_S2_Electricity[Category DE],
     Lists_S2_Electricity[BG Data],
     "") &amp; " Indirect"
)</f>
        <v>0</v>
      </c>
      <c r="J868" s="500" t="s">
        <v>27212</v>
      </c>
      <c r="K868" s="248"/>
    </row>
    <row r="869" spans="2:18" x14ac:dyDescent="0.2">
      <c r="B869" s="249"/>
      <c r="C869" s="503">
        <f>'2 Data Inputs'!C508</f>
        <v>0</v>
      </c>
      <c r="D869" s="537">
        <f>'2 Data Inputs'!F508</f>
        <v>0</v>
      </c>
      <c r="E869" s="537">
        <f>_xlfn.XLOOKUP($I869,BG_Data[Product],BG_Data[GHG emissions (IPCC 2021) '[kg CO2 eq']],0)</f>
        <v>0</v>
      </c>
      <c r="F869" s="537">
        <f t="shared" si="63"/>
        <v>0</v>
      </c>
      <c r="G869" s="537">
        <f>$D869*_xlfn.XLOOKUP($I869,BG_Data[Product],BG_Data[Biogenic CO2 emissions '[kg CO2']],0)</f>
        <v>0</v>
      </c>
      <c r="H869" s="584">
        <f>$D869*_xlfn.XLOOKUP($I869,BG_Data[Product],BG_Data[Total env. impact (Ecological Scarcity 2021) '[UBP']],0)</f>
        <v>0</v>
      </c>
      <c r="I869" s="537">
        <f>IF(Calc_Lessor_Electricity_Indirect2[[#This Row],[Source]]=0,0,
  _xlfn.XLOOKUP('2 Data Inputs'!I508,
     Lists_S2_Electricity[Category DE],
     Lists_S2_Electricity[BG Data],
     "") &amp; " Indirect"
)</f>
        <v>0</v>
      </c>
      <c r="J869" s="503" t="s">
        <v>27212</v>
      </c>
      <c r="K869" s="248"/>
    </row>
    <row r="870" spans="2:18" x14ac:dyDescent="0.2">
      <c r="B870" s="249"/>
      <c r="C870" s="503">
        <f>'2 Data Inputs'!C509</f>
        <v>0</v>
      </c>
      <c r="D870" s="537">
        <f>'2 Data Inputs'!F509</f>
        <v>0</v>
      </c>
      <c r="E870" s="537">
        <f>_xlfn.XLOOKUP($I870,BG_Data[Product],BG_Data[GHG emissions (IPCC 2021) '[kg CO2 eq']],0)</f>
        <v>0</v>
      </c>
      <c r="F870" s="537">
        <f t="shared" si="63"/>
        <v>0</v>
      </c>
      <c r="G870" s="537">
        <f>$D870*_xlfn.XLOOKUP($I870,BG_Data[Product],BG_Data[Biogenic CO2 emissions '[kg CO2']],0)</f>
        <v>0</v>
      </c>
      <c r="H870" s="584">
        <f>$D870*_xlfn.XLOOKUP($I870,BG_Data[Product],BG_Data[Total env. impact (Ecological Scarcity 2021) '[UBP']],0)</f>
        <v>0</v>
      </c>
      <c r="I870" s="537">
        <f>IF(Calc_Lessor_Electricity_Indirect2[[#This Row],[Source]]=0,0,
  _xlfn.XLOOKUP('2 Data Inputs'!I509,
     Lists_S2_Electricity[Category DE],
     Lists_S2_Electricity[BG Data],
     "") &amp; " Indirect"
)</f>
        <v>0</v>
      </c>
      <c r="J870" s="503" t="s">
        <v>27212</v>
      </c>
      <c r="K870" s="248"/>
    </row>
    <row r="871" spans="2:18" x14ac:dyDescent="0.2">
      <c r="B871" s="249"/>
      <c r="C871" s="503">
        <f>'2 Data Inputs'!C510</f>
        <v>0</v>
      </c>
      <c r="D871" s="537">
        <f>'2 Data Inputs'!F510</f>
        <v>0</v>
      </c>
      <c r="E871" s="537">
        <f>_xlfn.XLOOKUP($I871,BG_Data[Product],BG_Data[GHG emissions (IPCC 2021) '[kg CO2 eq']],0)</f>
        <v>0</v>
      </c>
      <c r="F871" s="537">
        <f t="shared" si="63"/>
        <v>0</v>
      </c>
      <c r="G871" s="537">
        <f>$D871*_xlfn.XLOOKUP($I871,BG_Data[Product],BG_Data[Biogenic CO2 emissions '[kg CO2']],0)</f>
        <v>0</v>
      </c>
      <c r="H871" s="584">
        <f>$D871*_xlfn.XLOOKUP($I871,BG_Data[Product],BG_Data[Total env. impact (Ecological Scarcity 2021) '[UBP']],0)</f>
        <v>0</v>
      </c>
      <c r="I871" s="537">
        <f>IF(Calc_Lessor_Electricity_Indirect2[[#This Row],[Source]]=0,0,
  _xlfn.XLOOKUP('2 Data Inputs'!I510,
     Lists_S2_Electricity[Category DE],
     Lists_S2_Electricity[BG Data],
     "") &amp; " Indirect"
)</f>
        <v>0</v>
      </c>
      <c r="J871" s="503" t="s">
        <v>27212</v>
      </c>
      <c r="K871" s="248"/>
    </row>
    <row r="872" spans="2:18" x14ac:dyDescent="0.2">
      <c r="B872" s="249"/>
      <c r="C872" s="503">
        <f>'2 Data Inputs'!C511</f>
        <v>0</v>
      </c>
      <c r="D872" s="537">
        <f>'2 Data Inputs'!F511</f>
        <v>0</v>
      </c>
      <c r="E872" s="537">
        <f>_xlfn.XLOOKUP($I872,BG_Data[Product],BG_Data[GHG emissions (IPCC 2021) '[kg CO2 eq']],0)</f>
        <v>0</v>
      </c>
      <c r="F872" s="537">
        <f t="shared" si="63"/>
        <v>0</v>
      </c>
      <c r="G872" s="537">
        <f>$D872*_xlfn.XLOOKUP($I872,BG_Data[Product],BG_Data[Biogenic CO2 emissions '[kg CO2']],0)</f>
        <v>0</v>
      </c>
      <c r="H872" s="584">
        <f>$D872*_xlfn.XLOOKUP($I872,BG_Data[Product],BG_Data[Total env. impact (Ecological Scarcity 2021) '[UBP']],0)</f>
        <v>0</v>
      </c>
      <c r="I872" s="537">
        <f>IF(Calc_Lessor_Electricity_Indirect2[[#This Row],[Source]]=0,0,
  _xlfn.XLOOKUP('2 Data Inputs'!I511,
     Lists_S2_Electricity[Category DE],
     Lists_S2_Electricity[BG Data],
     "") &amp; " Indirect"
)</f>
        <v>0</v>
      </c>
      <c r="J872" s="503" t="s">
        <v>27212</v>
      </c>
      <c r="K872" s="248"/>
    </row>
    <row r="873" spans="2:18" x14ac:dyDescent="0.2">
      <c r="B873" s="249"/>
      <c r="C873" s="503">
        <f>'2 Data Inputs'!C512</f>
        <v>0</v>
      </c>
      <c r="D873" s="537">
        <f>'2 Data Inputs'!F512</f>
        <v>0</v>
      </c>
      <c r="E873" s="537">
        <f>_xlfn.XLOOKUP($I873,BG_Data[Product],BG_Data[GHG emissions (IPCC 2021) '[kg CO2 eq']],0)</f>
        <v>0</v>
      </c>
      <c r="F873" s="537">
        <f t="shared" si="63"/>
        <v>0</v>
      </c>
      <c r="G873" s="537">
        <f>$D873*_xlfn.XLOOKUP($I873,BG_Data[Product],BG_Data[Biogenic CO2 emissions '[kg CO2']],0)</f>
        <v>0</v>
      </c>
      <c r="H873" s="584">
        <f>$D873*_xlfn.XLOOKUP($I873,BG_Data[Product],BG_Data[Total env. impact (Ecological Scarcity 2021) '[UBP']],0)</f>
        <v>0</v>
      </c>
      <c r="I873" s="537">
        <f>IF(Calc_Lessor_Electricity_Indirect2[[#This Row],[Source]]=0,0,
  _xlfn.XLOOKUP('2 Data Inputs'!I512,
     Lists_S2_Electricity[Category DE],
     Lists_S2_Electricity[BG Data],
     "") &amp; " Indirect"
)</f>
        <v>0</v>
      </c>
      <c r="J873" s="503" t="s">
        <v>27212</v>
      </c>
      <c r="K873" s="248"/>
    </row>
    <row r="874" spans="2:18" x14ac:dyDescent="0.2">
      <c r="B874" s="249"/>
      <c r="C874" s="503">
        <f>'2 Data Inputs'!C513</f>
        <v>0</v>
      </c>
      <c r="D874" s="537">
        <f>'2 Data Inputs'!F513</f>
        <v>0</v>
      </c>
      <c r="E874" s="537">
        <f>_xlfn.XLOOKUP($I874,BG_Data[Product],BG_Data[GHG emissions (IPCC 2021) '[kg CO2 eq']],0)</f>
        <v>0</v>
      </c>
      <c r="F874" s="537">
        <f t="shared" si="63"/>
        <v>0</v>
      </c>
      <c r="G874" s="537">
        <f>$D874*_xlfn.XLOOKUP($I874,BG_Data[Product],BG_Data[Biogenic CO2 emissions '[kg CO2']],0)</f>
        <v>0</v>
      </c>
      <c r="H874" s="584">
        <f>$D874*_xlfn.XLOOKUP($I874,BG_Data[Product],BG_Data[Total env. impact (Ecological Scarcity 2021) '[UBP']],0)</f>
        <v>0</v>
      </c>
      <c r="I874" s="537">
        <f>IF(Calc_Lessor_Electricity_Indirect2[[#This Row],[Source]]=0,0,
  _xlfn.XLOOKUP('2 Data Inputs'!I513,
     Lists_S2_Electricity[Category DE],
     Lists_S2_Electricity[BG Data],
     "") &amp; " Indirect"
)</f>
        <v>0</v>
      </c>
      <c r="J874" s="503" t="s">
        <v>27212</v>
      </c>
      <c r="K874" s="248"/>
    </row>
    <row r="875" spans="2:18" x14ac:dyDescent="0.2">
      <c r="B875" s="249"/>
      <c r="C875" s="503">
        <f>'2 Data Inputs'!C514</f>
        <v>0</v>
      </c>
      <c r="D875" s="537">
        <f>'2 Data Inputs'!F514</f>
        <v>0</v>
      </c>
      <c r="E875" s="537">
        <f>_xlfn.XLOOKUP($I875,BG_Data[Product],BG_Data[GHG emissions (IPCC 2021) '[kg CO2 eq']],0)</f>
        <v>0</v>
      </c>
      <c r="F875" s="537">
        <f t="shared" si="63"/>
        <v>0</v>
      </c>
      <c r="G875" s="537">
        <f>$D875*_xlfn.XLOOKUP($I875,BG_Data[Product],BG_Data[Biogenic CO2 emissions '[kg CO2']],0)</f>
        <v>0</v>
      </c>
      <c r="H875" s="584">
        <f>$D875*_xlfn.XLOOKUP($I875,BG_Data[Product],BG_Data[Total env. impact (Ecological Scarcity 2021) '[UBP']],0)</f>
        <v>0</v>
      </c>
      <c r="I875" s="537">
        <f>IF(Calc_Lessor_Electricity_Indirect2[[#This Row],[Source]]=0,0,
  _xlfn.XLOOKUP('2 Data Inputs'!I514,
     Lists_S2_Electricity[Category DE],
     Lists_S2_Electricity[BG Data],
     "") &amp; " Indirect"
)</f>
        <v>0</v>
      </c>
      <c r="J875" s="503" t="s">
        <v>27212</v>
      </c>
      <c r="K875" s="248"/>
    </row>
    <row r="876" spans="2:18" x14ac:dyDescent="0.2">
      <c r="B876" s="249"/>
      <c r="C876" s="503">
        <f>'2 Data Inputs'!C515</f>
        <v>0</v>
      </c>
      <c r="D876" s="537">
        <f>'2 Data Inputs'!F515</f>
        <v>0</v>
      </c>
      <c r="E876" s="537">
        <f>_xlfn.XLOOKUP($I876,BG_Data[Product],BG_Data[GHG emissions (IPCC 2021) '[kg CO2 eq']],0)</f>
        <v>0</v>
      </c>
      <c r="F876" s="537">
        <f t="shared" si="63"/>
        <v>0</v>
      </c>
      <c r="G876" s="537">
        <f>$D876*_xlfn.XLOOKUP($I876,BG_Data[Product],BG_Data[Biogenic CO2 emissions '[kg CO2']],0)</f>
        <v>0</v>
      </c>
      <c r="H876" s="584">
        <f>$D876*_xlfn.XLOOKUP($I876,BG_Data[Product],BG_Data[Total env. impact (Ecological Scarcity 2021) '[UBP']],0)</f>
        <v>0</v>
      </c>
      <c r="I876" s="537">
        <f>IF(Calc_Lessor_Electricity_Indirect2[[#This Row],[Source]]=0,0,
  _xlfn.XLOOKUP('2 Data Inputs'!I515,
     Lists_S2_Electricity[Category DE],
     Lists_S2_Electricity[BG Data],
     "") &amp; " Indirect"
)</f>
        <v>0</v>
      </c>
      <c r="J876" s="503" t="s">
        <v>27212</v>
      </c>
      <c r="K876" s="248"/>
    </row>
    <row r="877" spans="2:18" x14ac:dyDescent="0.2">
      <c r="B877" s="249"/>
      <c r="C877" s="506">
        <f>'2 Data Inputs'!C516</f>
        <v>0</v>
      </c>
      <c r="D877" s="532">
        <f>'2 Data Inputs'!F516</f>
        <v>0</v>
      </c>
      <c r="E877" s="532">
        <f>_xlfn.XLOOKUP($I877,BG_Data[Product],BG_Data[GHG emissions (IPCC 2021) '[kg CO2 eq']],0)</f>
        <v>0</v>
      </c>
      <c r="F877" s="532">
        <f t="shared" si="63"/>
        <v>0</v>
      </c>
      <c r="G877" s="532">
        <f>$D877*_xlfn.XLOOKUP($I877,BG_Data[Product],BG_Data[Biogenic CO2 emissions '[kg CO2']],0)</f>
        <v>0</v>
      </c>
      <c r="H877" s="581">
        <f>$D877*_xlfn.XLOOKUP($I877,BG_Data[Product],BG_Data[Total env. impact (Ecological Scarcity 2021) '[UBP']],0)</f>
        <v>0</v>
      </c>
      <c r="I877" s="532">
        <f>IF(Calc_Lessor_Electricity_Indirect2[[#This Row],[Source]]=0,0,
  _xlfn.XLOOKUP('2 Data Inputs'!I516,
     Lists_S2_Electricity[Category DE],
     Lists_S2_Electricity[BG Data],
     "") &amp; " Indirect"
)</f>
        <v>0</v>
      </c>
      <c r="J877" s="506" t="s">
        <v>27212</v>
      </c>
      <c r="K877" s="248"/>
    </row>
    <row r="878" spans="2:18" ht="15" x14ac:dyDescent="0.25">
      <c r="B878" s="249"/>
      <c r="C878" s="507" t="s">
        <v>2616</v>
      </c>
      <c r="D878" s="508">
        <f>SUM(D868:D877)</f>
        <v>0</v>
      </c>
      <c r="E878" s="508"/>
      <c r="F878" s="508">
        <f>SUM(F868:F877)</f>
        <v>0</v>
      </c>
      <c r="G878" s="508">
        <f>SUM(G868:G877)</f>
        <v>0</v>
      </c>
      <c r="H878" s="580">
        <f>SUM(H868:H877)</f>
        <v>0</v>
      </c>
      <c r="I878" s="507"/>
      <c r="J878" s="507"/>
      <c r="K878" s="248"/>
    </row>
    <row r="879" spans="2:18" x14ac:dyDescent="0.2">
      <c r="B879" s="249"/>
      <c r="C879" s="511"/>
      <c r="D879" s="510"/>
      <c r="E879" s="510"/>
      <c r="F879" s="510"/>
      <c r="G879" s="510"/>
      <c r="H879" s="571"/>
      <c r="I879" s="511"/>
      <c r="J879" s="511"/>
      <c r="K879" s="248"/>
    </row>
    <row r="880" spans="2:18" ht="15" x14ac:dyDescent="0.25">
      <c r="B880" s="249"/>
      <c r="C880" s="531" t="str">
        <f>n3Calculation_43.2Downstream_ElectricityIndirectLocation</f>
        <v>Électricité - Basée sur la localisation - Indirect</v>
      </c>
      <c r="D880" s="546"/>
      <c r="E880" s="546"/>
      <c r="F880" s="546"/>
      <c r="G880" s="546"/>
      <c r="H880" s="587"/>
      <c r="I880" s="545"/>
      <c r="J880" s="545"/>
      <c r="K880" s="248"/>
      <c r="M880" s="299" t="s">
        <v>28326</v>
      </c>
    </row>
    <row r="881" spans="2:18" ht="15" x14ac:dyDescent="0.25">
      <c r="B881" s="249"/>
      <c r="C881" s="531"/>
      <c r="D881" s="546"/>
      <c r="E881" s="546"/>
      <c r="F881" s="546"/>
      <c r="G881" s="546"/>
      <c r="H881" s="587"/>
      <c r="I881" s="545"/>
      <c r="J881" s="545"/>
      <c r="K881" s="248"/>
    </row>
    <row r="882" spans="2:18" s="686" customFormat="1" ht="33" x14ac:dyDescent="0.25">
      <c r="B882" s="681"/>
      <c r="C882" s="682" t="s">
        <v>27888</v>
      </c>
      <c r="D882" s="683" t="s">
        <v>28537</v>
      </c>
      <c r="E882" s="683" t="s">
        <v>27208</v>
      </c>
      <c r="F882" s="683" t="s">
        <v>27588</v>
      </c>
      <c r="G882" s="683" t="s">
        <v>27589</v>
      </c>
      <c r="H882" s="683" t="s">
        <v>27214</v>
      </c>
      <c r="I882" s="682" t="s">
        <v>27210</v>
      </c>
      <c r="J882" s="682" t="s">
        <v>27211</v>
      </c>
      <c r="K882" s="685"/>
      <c r="M882" s="687"/>
      <c r="N882" s="687"/>
      <c r="O882" s="687"/>
      <c r="P882" s="687"/>
      <c r="Q882" s="687"/>
      <c r="R882" s="687"/>
    </row>
    <row r="883" spans="2:18" x14ac:dyDescent="0.2">
      <c r="B883" s="249"/>
      <c r="C883" s="500" t="s">
        <v>27877</v>
      </c>
      <c r="D883" s="535">
        <f>SUMIF('2 Data Inputs'!$J$505:$J$516,"Niederspannung",'2 Data Inputs'!$F$505:$F$516)</f>
        <v>0</v>
      </c>
      <c r="E883" s="535">
        <f>_xlfn.XLOOKUP($I883,BG_Data[Product],BG_Data[GHG emissions (IPCC 2021) '[kg CO2 eq']],0)</f>
        <v>4.0754008540141134E-2</v>
      </c>
      <c r="F883" s="535">
        <f t="shared" ref="F883:F884" si="64">$D883*$E883</f>
        <v>0</v>
      </c>
      <c r="G883" s="535">
        <f>$D883*_xlfn.XLOOKUP($I883,BG_Data[Product],BG_Data[Biogenic CO2 emissions '[kg CO2']],0)</f>
        <v>0</v>
      </c>
      <c r="H883" s="583">
        <f>$D883*_xlfn.XLOOKUP($I883,BG_Data[Product],BG_Data[Total env. impact (Ecological Scarcity 2021) '[UBP']],0)</f>
        <v>0</v>
      </c>
      <c r="I883" s="535" t="s">
        <v>3146</v>
      </c>
      <c r="J883" s="524" t="s">
        <v>27213</v>
      </c>
      <c r="K883" s="248"/>
    </row>
    <row r="884" spans="2:18" x14ac:dyDescent="0.2">
      <c r="B884" s="249"/>
      <c r="C884" s="506" t="s">
        <v>27877</v>
      </c>
      <c r="D884" s="532">
        <f>SUMIF('2 Data Inputs'!$J$505:$J$516,"Mittelspannung",'2 Data Inputs'!$F$505:$F$516)</f>
        <v>0</v>
      </c>
      <c r="E884" s="532">
        <f>_xlfn.XLOOKUP($I884,BG_Data[Product],BG_Data[GHG emissions (IPCC 2021) '[kg CO2 eq']],0)</f>
        <v>3.3270578933333961E-2</v>
      </c>
      <c r="F884" s="532">
        <f t="shared" si="64"/>
        <v>0</v>
      </c>
      <c r="G884" s="532">
        <f>$D884*_xlfn.XLOOKUP($I884,BG_Data[Product],BG_Data[Biogenic CO2 emissions '[kg CO2']],0)</f>
        <v>0</v>
      </c>
      <c r="H884" s="581">
        <f>$D884*_xlfn.XLOOKUP($I884,BG_Data[Product],BG_Data[Total env. impact (Ecological Scarcity 2021) '[UBP']],0)</f>
        <v>0</v>
      </c>
      <c r="I884" s="532" t="s">
        <v>3148</v>
      </c>
      <c r="J884" s="506" t="s">
        <v>27213</v>
      </c>
      <c r="K884" s="248"/>
    </row>
    <row r="885" spans="2:18" ht="15" x14ac:dyDescent="0.25">
      <c r="B885" s="249"/>
      <c r="C885" s="507" t="s">
        <v>2616</v>
      </c>
      <c r="D885" s="508">
        <f>SUM(D883:D884)</f>
        <v>0</v>
      </c>
      <c r="E885" s="508"/>
      <c r="F885" s="508">
        <f>SUM(F883:F884)</f>
        <v>0</v>
      </c>
      <c r="G885" s="508">
        <f>SUM(G883:G884)</f>
        <v>0</v>
      </c>
      <c r="H885" s="580">
        <f>SUM(H883:H884)</f>
        <v>0</v>
      </c>
      <c r="I885" s="507"/>
      <c r="J885" s="507"/>
      <c r="K885" s="248"/>
    </row>
    <row r="886" spans="2:18" x14ac:dyDescent="0.2">
      <c r="B886" s="254"/>
      <c r="C886" s="539"/>
      <c r="D886" s="540"/>
      <c r="E886" s="540"/>
      <c r="F886" s="540"/>
      <c r="G886" s="540"/>
      <c r="H886" s="588"/>
      <c r="I886" s="539"/>
      <c r="J886" s="539"/>
      <c r="K886" s="256"/>
    </row>
    <row r="887" spans="2:18" ht="15.75" customHeight="1" x14ac:dyDescent="0.25">
      <c r="B887" s="258"/>
    </row>
    <row r="888" spans="2:18" x14ac:dyDescent="0.2">
      <c r="B888" s="246"/>
      <c r="C888" s="527"/>
      <c r="D888" s="528"/>
      <c r="E888" s="528"/>
      <c r="F888" s="528"/>
      <c r="G888" s="547"/>
      <c r="H888" s="589"/>
      <c r="I888" s="548"/>
      <c r="J888" s="548"/>
      <c r="K888" s="247" t="str">
        <f>Calc_Hyperlink_Lessor</f>
        <v>Downstream leases</v>
      </c>
    </row>
    <row r="889" spans="2:18" ht="15" x14ac:dyDescent="0.25">
      <c r="B889" s="249"/>
      <c r="C889" s="531" t="str">
        <f>n3Calculation_44Downstream_MobileCombustionDirect</f>
        <v>Combustion mobile (flotte) - Direct</v>
      </c>
      <c r="D889" s="511" t="str">
        <f>"Control approach = " &amp; GenInp_ConsolAppr &amp; " ; Lease type = " &amp; GenInp_LeaseType &amp; " → Direct emissions reported in " &amp; IF(GenInp_LeaseType="Operating Lease","Scope 1","Scope 3.13 (direct &amp;indirect)")</f>
        <v>Control approach = missing input ; Lease type = missing input → Direct emissions reported in Scope 3.13 (direct &amp;indirect)</v>
      </c>
      <c r="E889" s="510"/>
      <c r="F889" s="510"/>
      <c r="G889" s="510"/>
      <c r="H889" s="571"/>
      <c r="I889" s="511"/>
      <c r="J889" s="511"/>
      <c r="K889" s="248"/>
      <c r="M889" s="299" t="s">
        <v>27875</v>
      </c>
    </row>
    <row r="890" spans="2:18" x14ac:dyDescent="0.2">
      <c r="B890" s="249"/>
      <c r="C890" s="740"/>
      <c r="D890" s="740"/>
      <c r="E890" s="740"/>
      <c r="F890" s="740"/>
      <c r="G890" s="510"/>
      <c r="H890" s="571"/>
      <c r="I890" s="511"/>
      <c r="J890" s="511"/>
      <c r="K890" s="248"/>
    </row>
    <row r="891" spans="2:18" s="686" customFormat="1" ht="33" x14ac:dyDescent="0.25">
      <c r="B891" s="681"/>
      <c r="C891" s="682" t="s">
        <v>27272</v>
      </c>
      <c r="D891" s="683" t="s">
        <v>28536</v>
      </c>
      <c r="E891" s="683" t="s">
        <v>27208</v>
      </c>
      <c r="F891" s="683" t="s">
        <v>27588</v>
      </c>
      <c r="G891" s="683" t="s">
        <v>27589</v>
      </c>
      <c r="H891" s="683" t="s">
        <v>27209</v>
      </c>
      <c r="I891" s="682" t="s">
        <v>27210</v>
      </c>
      <c r="J891" s="682" t="s">
        <v>27211</v>
      </c>
      <c r="K891" s="685"/>
      <c r="M891" s="687"/>
      <c r="N891" s="687"/>
      <c r="O891" s="687"/>
      <c r="P891" s="687"/>
      <c r="Q891" s="687"/>
      <c r="R891" s="687"/>
    </row>
    <row r="892" spans="2:18" x14ac:dyDescent="0.2">
      <c r="B892" s="249"/>
      <c r="C892" s="500" t="str">
        <f>'2 Data Inputs'!C396</f>
        <v>Diesel</v>
      </c>
      <c r="D892" s="535">
        <f>'2 Data Inputs'!F396</f>
        <v>0</v>
      </c>
      <c r="E892" s="535">
        <f>_xlfn.XLOOKUP($I892,BG_Data[Product],BG_Data[GHG emissions (IPCC 2021) '[kg CO2 eq']],0)</f>
        <v>2.7414393951548237</v>
      </c>
      <c r="F892" s="535">
        <f t="shared" ref="F892:F893" si="65">$D892*$E892</f>
        <v>0</v>
      </c>
      <c r="G892" s="535">
        <f>$D892*_xlfn.XLOOKUP($I892,BG_Data[Product],BG_Data[Biogenic CO2 emissions '[kg CO2']],0)</f>
        <v>0</v>
      </c>
      <c r="H892" s="583">
        <f>$D892*_xlfn.XLOOKUP($I892,BG_Data[Product],BG_Data[Total env. impact (Ecological Scarcity 2021) '[UBP']],0)</f>
        <v>0</v>
      </c>
      <c r="I892" s="500" t="s">
        <v>27274</v>
      </c>
      <c r="J892" s="500" t="s">
        <v>27213</v>
      </c>
      <c r="K892" s="248"/>
    </row>
    <row r="893" spans="2:18" x14ac:dyDescent="0.2">
      <c r="B893" s="249"/>
      <c r="C893" s="506" t="str">
        <f>'2 Data Inputs'!C397</f>
        <v>Essence</v>
      </c>
      <c r="D893" s="532">
        <f>'2 Data Inputs'!F397</f>
        <v>0</v>
      </c>
      <c r="E893" s="532">
        <f>_xlfn.XLOOKUP($I893,BG_Data[Product],BG_Data[GHG emissions (IPCC 2021) '[kg CO2 eq']],0)</f>
        <v>2.3997895709136201</v>
      </c>
      <c r="F893" s="532">
        <f t="shared" si="65"/>
        <v>0</v>
      </c>
      <c r="G893" s="532">
        <f>$D893*_xlfn.XLOOKUP($I893,BG_Data[Product],BG_Data[Biogenic CO2 emissions '[kg CO2']],0)</f>
        <v>0</v>
      </c>
      <c r="H893" s="581">
        <f>$D893*_xlfn.XLOOKUP($I893,BG_Data[Product],BG_Data[Total env. impact (Ecological Scarcity 2021) '[UBP']],0)</f>
        <v>0</v>
      </c>
      <c r="I893" s="506" t="s">
        <v>27275</v>
      </c>
      <c r="J893" s="506" t="s">
        <v>27213</v>
      </c>
      <c r="K893" s="248"/>
    </row>
    <row r="894" spans="2:18" ht="15" x14ac:dyDescent="0.25">
      <c r="B894" s="249"/>
      <c r="C894" s="507" t="s">
        <v>2616</v>
      </c>
      <c r="D894" s="508">
        <f>SUM(D892:D893)</f>
        <v>0</v>
      </c>
      <c r="E894" s="508"/>
      <c r="F894" s="508">
        <f>SUM(F892:F893)</f>
        <v>0</v>
      </c>
      <c r="G894" s="508">
        <f>SUM(G892:G893)</f>
        <v>0</v>
      </c>
      <c r="H894" s="580">
        <f>SUM(H892:H893)</f>
        <v>0</v>
      </c>
      <c r="I894" s="507"/>
      <c r="J894" s="507"/>
      <c r="K894" s="248"/>
    </row>
    <row r="895" spans="2:18" x14ac:dyDescent="0.2">
      <c r="B895" s="249"/>
      <c r="C895" s="509"/>
      <c r="D895" s="509"/>
      <c r="E895" s="509">
        <f>_xlfn.XLOOKUP($I895,BG_Data[Product],BG_Data[GHG emissions (IPCC 2021) '[kg CO2 eq']],0)</f>
        <v>0</v>
      </c>
      <c r="F895" s="509"/>
      <c r="G895" s="523"/>
      <c r="H895" s="582"/>
      <c r="I895" s="533"/>
      <c r="J895" s="533"/>
      <c r="K895" s="248"/>
    </row>
    <row r="896" spans="2:18" s="686" customFormat="1" ht="33" x14ac:dyDescent="0.25">
      <c r="B896" s="681"/>
      <c r="C896" s="682" t="s">
        <v>28598</v>
      </c>
      <c r="D896" s="683" t="s">
        <v>28536</v>
      </c>
      <c r="E896" s="683" t="s">
        <v>27208</v>
      </c>
      <c r="F896" s="683" t="s">
        <v>27588</v>
      </c>
      <c r="G896" s="683" t="s">
        <v>27589</v>
      </c>
      <c r="H896" s="683" t="s">
        <v>27209</v>
      </c>
      <c r="I896" s="682" t="s">
        <v>27210</v>
      </c>
      <c r="J896" s="682" t="s">
        <v>27211</v>
      </c>
      <c r="K896" s="685"/>
      <c r="M896" s="687"/>
      <c r="N896" s="687"/>
      <c r="O896" s="687"/>
      <c r="P896" s="687"/>
      <c r="Q896" s="687"/>
      <c r="R896" s="687"/>
    </row>
    <row r="897" spans="1:11" x14ac:dyDescent="0.2">
      <c r="A897" s="739"/>
      <c r="B897" s="249"/>
      <c r="C897" s="500">
        <f>IF('2 Data Inputs'!G403="l",'2 Data Inputs'!C403,0)</f>
        <v>0</v>
      </c>
      <c r="D897" s="535">
        <f>IF('2 Data Inputs'!G403="l",'2 Data Inputs'!F403,0)</f>
        <v>0</v>
      </c>
      <c r="E897" s="535">
        <f>_xlfn.XLOOKUP($I897,BG_Data[Product],BG_Data[GHG emissions (IPCC 2021) '[kg CO2 eq']],0)</f>
        <v>0</v>
      </c>
      <c r="F897" s="535">
        <f t="shared" ref="F897:F909" si="66">$D897*$E897</f>
        <v>0</v>
      </c>
      <c r="G897" s="535">
        <f>$D897*_xlfn.XLOOKUP($I897,BG_Data[Product],BG_Data[Biogenic CO2 emissions '[kg CO2']],0)</f>
        <v>0</v>
      </c>
      <c r="H897" s="583">
        <f>$D897*_xlfn.XLOOKUP($I897,BG_Data[Product],BG_Data[Total env. impact (Ecological Scarcity 2021) '[UBP']],0)</f>
        <v>0</v>
      </c>
      <c r="I897" s="500" cm="1">
        <f t="array" ref="I897">_xlfn.XLOOKUP(
     C897,
     _xlfn.TOCOL(_xlfn.HSTACK(Lists_S1_Fleet_direct[DE Name],Lists_S1_Fleet_direct[FR Name],Lists_S1_Fleet_direct[IT Name]),1),
     _xlfn.TOCOL(_xlfn.HSTACK(Lists_S1_Fleet_direct[BG Data],Lists_S1_Fleet_direct[BG Data],Lists_S1_Fleet_direct[BG Data]),1) &amp; " Direct",
     0)</f>
        <v>0</v>
      </c>
      <c r="J897" s="500" t="s">
        <v>27212</v>
      </c>
      <c r="K897" s="248"/>
    </row>
    <row r="898" spans="1:11" x14ac:dyDescent="0.2">
      <c r="A898" s="739"/>
      <c r="B898" s="249"/>
      <c r="C898" s="503">
        <f>IF('2 Data Inputs'!G404="l",'2 Data Inputs'!C404,0)</f>
        <v>0</v>
      </c>
      <c r="D898" s="537">
        <f>IF('2 Data Inputs'!G404="l",'2 Data Inputs'!F404,0)</f>
        <v>0</v>
      </c>
      <c r="E898" s="537">
        <f>_xlfn.XLOOKUP($I898,BG_Data[Product],BG_Data[GHG emissions (IPCC 2021) '[kg CO2 eq']],0)</f>
        <v>0</v>
      </c>
      <c r="F898" s="537">
        <f t="shared" si="66"/>
        <v>0</v>
      </c>
      <c r="G898" s="537">
        <f>$D898*_xlfn.XLOOKUP($I898,BG_Data[Product],BG_Data[Biogenic CO2 emissions '[kg CO2']],0)</f>
        <v>0</v>
      </c>
      <c r="H898" s="584">
        <f>$D898*_xlfn.XLOOKUP($I898,BG_Data[Product],BG_Data[Total env. impact (Ecological Scarcity 2021) '[UBP']],0)</f>
        <v>0</v>
      </c>
      <c r="I898" s="503" cm="1">
        <f t="array" ref="I898">_xlfn.XLOOKUP(
     C898,
     _xlfn.TOCOL(_xlfn.HSTACK(Lists_S1_Fleet_direct[DE Name],Lists_S1_Fleet_direct[FR Name],Lists_S1_Fleet_direct[IT Name]),1),
     _xlfn.TOCOL(_xlfn.HSTACK(Lists_S1_Fleet_direct[BG Data],Lists_S1_Fleet_direct[BG Data],Lists_S1_Fleet_direct[BG Data]),1) &amp; " Direct",
     0)</f>
        <v>0</v>
      </c>
      <c r="J898" s="503" t="s">
        <v>27212</v>
      </c>
      <c r="K898" s="248"/>
    </row>
    <row r="899" spans="1:11" x14ac:dyDescent="0.2">
      <c r="A899" s="739"/>
      <c r="B899" s="249"/>
      <c r="C899" s="503">
        <f>IF('2 Data Inputs'!G405="l",'2 Data Inputs'!C405,0)</f>
        <v>0</v>
      </c>
      <c r="D899" s="537">
        <f>IF('2 Data Inputs'!G405="l",'2 Data Inputs'!F405,0)</f>
        <v>0</v>
      </c>
      <c r="E899" s="537">
        <f>_xlfn.XLOOKUP($I899,BG_Data[Product],BG_Data[GHG emissions (IPCC 2021) '[kg CO2 eq']],0)</f>
        <v>0</v>
      </c>
      <c r="F899" s="537">
        <f t="shared" si="66"/>
        <v>0</v>
      </c>
      <c r="G899" s="537">
        <f>$D899*_xlfn.XLOOKUP($I899,BG_Data[Product],BG_Data[Biogenic CO2 emissions '[kg CO2']],0)</f>
        <v>0</v>
      </c>
      <c r="H899" s="584">
        <f>$D899*_xlfn.XLOOKUP($I899,BG_Data[Product],BG_Data[Total env. impact (Ecological Scarcity 2021) '[UBP']],0)</f>
        <v>0</v>
      </c>
      <c r="I899" s="503" cm="1">
        <f t="array" ref="I899">_xlfn.XLOOKUP(
     C899,
     _xlfn.TOCOL(_xlfn.HSTACK(Lists_S1_Fleet_direct[DE Name],Lists_S1_Fleet_direct[FR Name],Lists_S1_Fleet_direct[IT Name]),1),
     _xlfn.TOCOL(_xlfn.HSTACK(Lists_S1_Fleet_direct[BG Data],Lists_S1_Fleet_direct[BG Data],Lists_S1_Fleet_direct[BG Data]),1) &amp; " Direct",
     0)</f>
        <v>0</v>
      </c>
      <c r="J899" s="503" t="s">
        <v>27212</v>
      </c>
      <c r="K899" s="248"/>
    </row>
    <row r="900" spans="1:11" x14ac:dyDescent="0.2">
      <c r="A900" s="739"/>
      <c r="B900" s="249"/>
      <c r="C900" s="503">
        <f>IF('2 Data Inputs'!G406="l",'2 Data Inputs'!C406,0)</f>
        <v>0</v>
      </c>
      <c r="D900" s="537">
        <f>IF('2 Data Inputs'!G406="l",'2 Data Inputs'!F406,0)</f>
        <v>0</v>
      </c>
      <c r="E900" s="537">
        <f>_xlfn.XLOOKUP($I900,BG_Data[Product],BG_Data[GHG emissions (IPCC 2021) '[kg CO2 eq']],0)</f>
        <v>0</v>
      </c>
      <c r="F900" s="537">
        <f t="shared" si="66"/>
        <v>0</v>
      </c>
      <c r="G900" s="537">
        <f>$D900*_xlfn.XLOOKUP($I900,BG_Data[Product],BG_Data[Biogenic CO2 emissions '[kg CO2']],0)</f>
        <v>0</v>
      </c>
      <c r="H900" s="584">
        <f>$D900*_xlfn.XLOOKUP($I900,BG_Data[Product],BG_Data[Total env. impact (Ecological Scarcity 2021) '[UBP']],0)</f>
        <v>0</v>
      </c>
      <c r="I900" s="503" cm="1">
        <f t="array" ref="I900">_xlfn.XLOOKUP(
     C900,
     _xlfn.TOCOL(_xlfn.HSTACK(Lists_S1_Fleet_direct[DE Name],Lists_S1_Fleet_direct[FR Name],Lists_S1_Fleet_direct[IT Name]),1),
     _xlfn.TOCOL(_xlfn.HSTACK(Lists_S1_Fleet_direct[BG Data],Lists_S1_Fleet_direct[BG Data],Lists_S1_Fleet_direct[BG Data]),1) &amp; " Direct",
     0)</f>
        <v>0</v>
      </c>
      <c r="J900" s="503" t="s">
        <v>27212</v>
      </c>
      <c r="K900" s="248"/>
    </row>
    <row r="901" spans="1:11" x14ac:dyDescent="0.2">
      <c r="B901" s="249"/>
      <c r="C901" s="503">
        <f>IF('2 Data Inputs'!G407="l",'2 Data Inputs'!C407,0)</f>
        <v>0</v>
      </c>
      <c r="D901" s="537">
        <f>IF('2 Data Inputs'!G407="l",'2 Data Inputs'!F407,0)</f>
        <v>0</v>
      </c>
      <c r="E901" s="537">
        <f>_xlfn.XLOOKUP($I901,BG_Data[Product],BG_Data[GHG emissions (IPCC 2021) '[kg CO2 eq']],0)</f>
        <v>0</v>
      </c>
      <c r="F901" s="537">
        <f t="shared" si="66"/>
        <v>0</v>
      </c>
      <c r="G901" s="537">
        <f>$D901*_xlfn.XLOOKUP($I901,BG_Data[Product],BG_Data[Biogenic CO2 emissions '[kg CO2']],0)</f>
        <v>0</v>
      </c>
      <c r="H901" s="584">
        <f>$D901*_xlfn.XLOOKUP($I901,BG_Data[Product],BG_Data[Total env. impact (Ecological Scarcity 2021) '[UBP']],0)</f>
        <v>0</v>
      </c>
      <c r="I901" s="503" cm="1">
        <f t="array" ref="I901">_xlfn.XLOOKUP(
     C901,
     _xlfn.TOCOL(_xlfn.HSTACK(Lists_S1_Fleet_direct[DE Name],Lists_S1_Fleet_direct[FR Name],Lists_S1_Fleet_direct[IT Name]),1),
     _xlfn.TOCOL(_xlfn.HSTACK(Lists_S1_Fleet_direct[BG Data],Lists_S1_Fleet_direct[BG Data],Lists_S1_Fleet_direct[BG Data]),1) &amp; " Direct",
     0)</f>
        <v>0</v>
      </c>
      <c r="J901" s="503" t="s">
        <v>27212</v>
      </c>
      <c r="K901" s="248"/>
    </row>
    <row r="902" spans="1:11" x14ac:dyDescent="0.2">
      <c r="B902" s="249"/>
      <c r="C902" s="503">
        <f>IF('2 Data Inputs'!G408="l",'2 Data Inputs'!C408,0)</f>
        <v>0</v>
      </c>
      <c r="D902" s="537">
        <f>IF('2 Data Inputs'!G408="l",'2 Data Inputs'!F408,0)</f>
        <v>0</v>
      </c>
      <c r="E902" s="537">
        <f>_xlfn.XLOOKUP($I902,BG_Data[Product],BG_Data[GHG emissions (IPCC 2021) '[kg CO2 eq']],0)</f>
        <v>0</v>
      </c>
      <c r="F902" s="537">
        <f t="shared" si="66"/>
        <v>0</v>
      </c>
      <c r="G902" s="537">
        <f>$D902*_xlfn.XLOOKUP($I902,BG_Data[Product],BG_Data[Biogenic CO2 emissions '[kg CO2']],0)</f>
        <v>0</v>
      </c>
      <c r="H902" s="584">
        <f>$D902*_xlfn.XLOOKUP($I902,BG_Data[Product],BG_Data[Total env. impact (Ecological Scarcity 2021) '[UBP']],0)</f>
        <v>0</v>
      </c>
      <c r="I902" s="503" cm="1">
        <f t="array" ref="I902">_xlfn.XLOOKUP(
     C902,
     _xlfn.TOCOL(_xlfn.HSTACK(Lists_S1_Fleet_direct[DE Name],Lists_S1_Fleet_direct[FR Name],Lists_S1_Fleet_direct[IT Name]),1),
     _xlfn.TOCOL(_xlfn.HSTACK(Lists_S1_Fleet_direct[BG Data],Lists_S1_Fleet_direct[BG Data],Lists_S1_Fleet_direct[BG Data]),1) &amp; " Direct",
     0)</f>
        <v>0</v>
      </c>
      <c r="J902" s="503" t="s">
        <v>27212</v>
      </c>
      <c r="K902" s="248"/>
    </row>
    <row r="903" spans="1:11" x14ac:dyDescent="0.2">
      <c r="B903" s="249"/>
      <c r="C903" s="503">
        <f>IF('2 Data Inputs'!G409="l",'2 Data Inputs'!C409,0)</f>
        <v>0</v>
      </c>
      <c r="D903" s="537">
        <f>IF('2 Data Inputs'!G409="l",'2 Data Inputs'!F409,0)</f>
        <v>0</v>
      </c>
      <c r="E903" s="537">
        <f>_xlfn.XLOOKUP($I903,BG_Data[Product],BG_Data[GHG emissions (IPCC 2021) '[kg CO2 eq']],0)</f>
        <v>0</v>
      </c>
      <c r="F903" s="537">
        <f t="shared" si="66"/>
        <v>0</v>
      </c>
      <c r="G903" s="537">
        <f>$D903*_xlfn.XLOOKUP($I903,BG_Data[Product],BG_Data[Biogenic CO2 emissions '[kg CO2']],0)</f>
        <v>0</v>
      </c>
      <c r="H903" s="584">
        <f>$D903*_xlfn.XLOOKUP($I903,BG_Data[Product],BG_Data[Total env. impact (Ecological Scarcity 2021) '[UBP']],0)</f>
        <v>0</v>
      </c>
      <c r="I903" s="503" cm="1">
        <f t="array" ref="I903">_xlfn.XLOOKUP(
     C903,
     _xlfn.TOCOL(_xlfn.HSTACK(Lists_S1_Fleet_direct[DE Name],Lists_S1_Fleet_direct[FR Name],Lists_S1_Fleet_direct[IT Name]),1),
     _xlfn.TOCOL(_xlfn.HSTACK(Lists_S1_Fleet_direct[BG Data],Lists_S1_Fleet_direct[BG Data],Lists_S1_Fleet_direct[BG Data]),1) &amp; " Direct",
     0)</f>
        <v>0</v>
      </c>
      <c r="J903" s="503" t="s">
        <v>27212</v>
      </c>
      <c r="K903" s="248"/>
    </row>
    <row r="904" spans="1:11" x14ac:dyDescent="0.2">
      <c r="B904" s="249"/>
      <c r="C904" s="503">
        <f>IF('2 Data Inputs'!G410="l",'2 Data Inputs'!C410,0)</f>
        <v>0</v>
      </c>
      <c r="D904" s="537">
        <f>IF('2 Data Inputs'!G410="l",'2 Data Inputs'!F410,0)</f>
        <v>0</v>
      </c>
      <c r="E904" s="537">
        <f>_xlfn.XLOOKUP($I904,BG_Data[Product],BG_Data[GHG emissions (IPCC 2021) '[kg CO2 eq']],0)</f>
        <v>0</v>
      </c>
      <c r="F904" s="537">
        <f t="shared" si="66"/>
        <v>0</v>
      </c>
      <c r="G904" s="537">
        <f>$D904*_xlfn.XLOOKUP($I904,BG_Data[Product],BG_Data[Biogenic CO2 emissions '[kg CO2']],0)</f>
        <v>0</v>
      </c>
      <c r="H904" s="584">
        <f>$D904*_xlfn.XLOOKUP($I904,BG_Data[Product],BG_Data[Total env. impact (Ecological Scarcity 2021) '[UBP']],0)</f>
        <v>0</v>
      </c>
      <c r="I904" s="503" cm="1">
        <f t="array" ref="I904">_xlfn.XLOOKUP(
     C904,
     _xlfn.TOCOL(_xlfn.HSTACK(Lists_S1_Fleet_direct[DE Name],Lists_S1_Fleet_direct[FR Name],Lists_S1_Fleet_direct[IT Name]),1),
     _xlfn.TOCOL(_xlfn.HSTACK(Lists_S1_Fleet_direct[BG Data],Lists_S1_Fleet_direct[BG Data],Lists_S1_Fleet_direct[BG Data]),1) &amp; " Direct",
     0)</f>
        <v>0</v>
      </c>
      <c r="J904" s="503" t="s">
        <v>27212</v>
      </c>
      <c r="K904" s="248"/>
    </row>
    <row r="905" spans="1:11" x14ac:dyDescent="0.2">
      <c r="B905" s="249"/>
      <c r="C905" s="503">
        <f>IF('2 Data Inputs'!G411="l",'2 Data Inputs'!C411,0)</f>
        <v>0</v>
      </c>
      <c r="D905" s="537">
        <f>IF('2 Data Inputs'!G411="l",'2 Data Inputs'!F411,0)</f>
        <v>0</v>
      </c>
      <c r="E905" s="537">
        <f>_xlfn.XLOOKUP($I905,BG_Data[Product],BG_Data[GHG emissions (IPCC 2021) '[kg CO2 eq']],0)</f>
        <v>0</v>
      </c>
      <c r="F905" s="537">
        <f t="shared" si="66"/>
        <v>0</v>
      </c>
      <c r="G905" s="537">
        <f>$D905*_xlfn.XLOOKUP($I905,BG_Data[Product],BG_Data[Biogenic CO2 emissions '[kg CO2']],0)</f>
        <v>0</v>
      </c>
      <c r="H905" s="584">
        <f>$D905*_xlfn.XLOOKUP($I905,BG_Data[Product],BG_Data[Total env. impact (Ecological Scarcity 2021) '[UBP']],0)</f>
        <v>0</v>
      </c>
      <c r="I905" s="503" cm="1">
        <f t="array" ref="I905">_xlfn.XLOOKUP(
     C905,
     _xlfn.TOCOL(_xlfn.HSTACK(Lists_S1_Fleet_direct[DE Name],Lists_S1_Fleet_direct[FR Name],Lists_S1_Fleet_direct[IT Name]),1),
     _xlfn.TOCOL(_xlfn.HSTACK(Lists_S1_Fleet_direct[BG Data],Lists_S1_Fleet_direct[BG Data],Lists_S1_Fleet_direct[BG Data]),1) &amp; " Direct",
     0)</f>
        <v>0</v>
      </c>
      <c r="J905" s="503" t="s">
        <v>27212</v>
      </c>
      <c r="K905" s="248"/>
    </row>
    <row r="906" spans="1:11" x14ac:dyDescent="0.2">
      <c r="B906" s="249"/>
      <c r="C906" s="503">
        <f>IF('2 Data Inputs'!G412="l",'2 Data Inputs'!C412,0)</f>
        <v>0</v>
      </c>
      <c r="D906" s="537">
        <f>IF('2 Data Inputs'!G412="l",'2 Data Inputs'!F412,0)</f>
        <v>0</v>
      </c>
      <c r="E906" s="537">
        <f>_xlfn.XLOOKUP($I906,BG_Data[Product],BG_Data[GHG emissions (IPCC 2021) '[kg CO2 eq']],0)</f>
        <v>0</v>
      </c>
      <c r="F906" s="537">
        <f t="shared" si="66"/>
        <v>0</v>
      </c>
      <c r="G906" s="537">
        <f>$D906*_xlfn.XLOOKUP($I906,BG_Data[Product],BG_Data[Biogenic CO2 emissions '[kg CO2']],0)</f>
        <v>0</v>
      </c>
      <c r="H906" s="584">
        <f>$D906*_xlfn.XLOOKUP($I906,BG_Data[Product],BG_Data[Total env. impact (Ecological Scarcity 2021) '[UBP']],0)</f>
        <v>0</v>
      </c>
      <c r="I906" s="503" cm="1">
        <f t="array" ref="I906">_xlfn.XLOOKUP(
     C906,
     _xlfn.TOCOL(_xlfn.HSTACK(Lists_S1_Fleet_direct[DE Name],Lists_S1_Fleet_direct[FR Name],Lists_S1_Fleet_direct[IT Name]),1),
     _xlfn.TOCOL(_xlfn.HSTACK(Lists_S1_Fleet_direct[BG Data],Lists_S1_Fleet_direct[BG Data],Lists_S1_Fleet_direct[BG Data]),1) &amp; " Direct",
     0)</f>
        <v>0</v>
      </c>
      <c r="J906" s="503" t="s">
        <v>27212</v>
      </c>
      <c r="K906" s="248"/>
    </row>
    <row r="907" spans="1:11" x14ac:dyDescent="0.2">
      <c r="B907" s="249"/>
      <c r="C907" s="503">
        <f>IF('2 Data Inputs'!G413="l",'2 Data Inputs'!C413,0)</f>
        <v>0</v>
      </c>
      <c r="D907" s="537">
        <f>IF('2 Data Inputs'!G413="l",'2 Data Inputs'!F413,0)</f>
        <v>0</v>
      </c>
      <c r="E907" s="537">
        <f>_xlfn.XLOOKUP($I907,BG_Data[Product],BG_Data[GHG emissions (IPCC 2021) '[kg CO2 eq']],0)</f>
        <v>0</v>
      </c>
      <c r="F907" s="537">
        <f t="shared" si="66"/>
        <v>0</v>
      </c>
      <c r="G907" s="537">
        <f>$D907*_xlfn.XLOOKUP($I907,BG_Data[Product],BG_Data[Biogenic CO2 emissions '[kg CO2']],0)</f>
        <v>0</v>
      </c>
      <c r="H907" s="584">
        <f>$D907*_xlfn.XLOOKUP($I907,BG_Data[Product],BG_Data[Total env. impact (Ecological Scarcity 2021) '[UBP']],0)</f>
        <v>0</v>
      </c>
      <c r="I907" s="503" cm="1">
        <f t="array" ref="I907">_xlfn.XLOOKUP(
     C907,
     _xlfn.TOCOL(_xlfn.HSTACK(Lists_S1_Fleet_direct[DE Name],Lists_S1_Fleet_direct[FR Name],Lists_S1_Fleet_direct[IT Name]),1),
     _xlfn.TOCOL(_xlfn.HSTACK(Lists_S1_Fleet_direct[BG Data],Lists_S1_Fleet_direct[BG Data],Lists_S1_Fleet_direct[BG Data]),1) &amp; " Direct",
     0)</f>
        <v>0</v>
      </c>
      <c r="J907" s="503" t="s">
        <v>27212</v>
      </c>
      <c r="K907" s="248"/>
    </row>
    <row r="908" spans="1:11" x14ac:dyDescent="0.2">
      <c r="B908" s="249"/>
      <c r="C908" s="503">
        <f>IF('2 Data Inputs'!G414="l",'2 Data Inputs'!C414,0)</f>
        <v>0</v>
      </c>
      <c r="D908" s="537">
        <f>IF('2 Data Inputs'!G414="l",'2 Data Inputs'!F414,0)</f>
        <v>0</v>
      </c>
      <c r="E908" s="537">
        <f>_xlfn.XLOOKUP($I908,BG_Data[Product],BG_Data[GHG emissions (IPCC 2021) '[kg CO2 eq']],0)</f>
        <v>0</v>
      </c>
      <c r="F908" s="537">
        <f t="shared" si="66"/>
        <v>0</v>
      </c>
      <c r="G908" s="537">
        <f>$D908*_xlfn.XLOOKUP($I908,BG_Data[Product],BG_Data[Biogenic CO2 emissions '[kg CO2']],0)</f>
        <v>0</v>
      </c>
      <c r="H908" s="584">
        <f>$D908*_xlfn.XLOOKUP($I908,BG_Data[Product],BG_Data[Total env. impact (Ecological Scarcity 2021) '[UBP']],0)</f>
        <v>0</v>
      </c>
      <c r="I908" s="503" cm="1">
        <f t="array" ref="I908">_xlfn.XLOOKUP(
     C908,
     _xlfn.TOCOL(_xlfn.HSTACK(Lists_S1_Fleet_direct[DE Name],Lists_S1_Fleet_direct[FR Name],Lists_S1_Fleet_direct[IT Name]),1),
     _xlfn.TOCOL(_xlfn.HSTACK(Lists_S1_Fleet_direct[BG Data],Lists_S1_Fleet_direct[BG Data],Lists_S1_Fleet_direct[BG Data]),1) &amp; " Direct",
     0)</f>
        <v>0</v>
      </c>
      <c r="J908" s="503" t="s">
        <v>27212</v>
      </c>
      <c r="K908" s="248"/>
    </row>
    <row r="909" spans="1:11" x14ac:dyDescent="0.2">
      <c r="B909" s="249"/>
      <c r="C909" s="506">
        <f>IF('2 Data Inputs'!G415="l",'2 Data Inputs'!C415,0)</f>
        <v>0</v>
      </c>
      <c r="D909" s="532">
        <f>IF('2 Data Inputs'!G415="l",'2 Data Inputs'!F415,0)</f>
        <v>0</v>
      </c>
      <c r="E909" s="532">
        <f>_xlfn.XLOOKUP($I909,BG_Data[Product],BG_Data[GHG emissions (IPCC 2021) '[kg CO2 eq']],0)</f>
        <v>0</v>
      </c>
      <c r="F909" s="532">
        <f t="shared" si="66"/>
        <v>0</v>
      </c>
      <c r="G909" s="532">
        <f>$D909*_xlfn.XLOOKUP($I909,BG_Data[Product],BG_Data[Biogenic CO2 emissions '[kg CO2']],0)</f>
        <v>0</v>
      </c>
      <c r="H909" s="581">
        <f>$D909*_xlfn.XLOOKUP($I909,BG_Data[Product],BG_Data[Total env. impact (Ecological Scarcity 2021) '[UBP']],0)</f>
        <v>0</v>
      </c>
      <c r="I909" s="506" cm="1">
        <f t="array" ref="I909">_xlfn.XLOOKUP(
     C909,
     _xlfn.TOCOL(_xlfn.HSTACK(Lists_S1_Fleet_direct[DE Name],Lists_S1_Fleet_direct[FR Name],Lists_S1_Fleet_direct[IT Name]),1),
     _xlfn.TOCOL(_xlfn.HSTACK(Lists_S1_Fleet_direct[BG Data],Lists_S1_Fleet_direct[BG Data],Lists_S1_Fleet_direct[BG Data]),1) &amp; " Direct",
     0)</f>
        <v>0</v>
      </c>
      <c r="J909" s="506" t="s">
        <v>27212</v>
      </c>
      <c r="K909" s="248"/>
    </row>
    <row r="910" spans="1:11" ht="15" x14ac:dyDescent="0.25">
      <c r="B910" s="249"/>
      <c r="C910" s="507" t="s">
        <v>2616</v>
      </c>
      <c r="D910" s="508">
        <f>SUM(D897:D909)</f>
        <v>0</v>
      </c>
      <c r="E910" s="508"/>
      <c r="F910" s="508">
        <f>SUM(F897:F909)</f>
        <v>0</v>
      </c>
      <c r="G910" s="508">
        <f>SUM(G897:G909)</f>
        <v>0</v>
      </c>
      <c r="H910" s="580">
        <f>SUM(H897:H909)</f>
        <v>0</v>
      </c>
      <c r="I910" s="507"/>
      <c r="J910" s="507"/>
      <c r="K910" s="248"/>
    </row>
    <row r="911" spans="1:11" x14ac:dyDescent="0.2">
      <c r="B911" s="249"/>
      <c r="C911" s="511"/>
      <c r="D911" s="510"/>
      <c r="E911" s="510"/>
      <c r="F911" s="510"/>
      <c r="G911" s="510"/>
      <c r="H911" s="571"/>
      <c r="I911" s="511"/>
      <c r="J911" s="511"/>
      <c r="K911" s="248"/>
    </row>
    <row r="912" spans="1:11" x14ac:dyDescent="0.2">
      <c r="B912" s="254"/>
      <c r="C912" s="539"/>
      <c r="D912" s="540"/>
      <c r="E912" s="540"/>
      <c r="F912" s="540"/>
      <c r="G912" s="540"/>
      <c r="H912" s="588"/>
      <c r="I912" s="539"/>
      <c r="J912" s="539"/>
      <c r="K912" s="256"/>
    </row>
    <row r="913" spans="1:18" ht="15.75" customHeight="1" x14ac:dyDescent="0.25">
      <c r="B913" s="258"/>
    </row>
    <row r="914" spans="1:18" x14ac:dyDescent="0.2">
      <c r="B914" s="246"/>
      <c r="C914" s="527"/>
      <c r="D914" s="528"/>
      <c r="E914" s="528"/>
      <c r="F914" s="528"/>
      <c r="G914" s="547"/>
      <c r="H914" s="589"/>
      <c r="I914" s="548"/>
      <c r="J914" s="548"/>
      <c r="K914" s="247" t="str">
        <f>Calc_Hyperlink_Lessor</f>
        <v>Downstream leases</v>
      </c>
    </row>
    <row r="915" spans="1:18" ht="15" x14ac:dyDescent="0.25">
      <c r="B915" s="249"/>
      <c r="C915" s="531" t="str">
        <f>n3Calculation_45Downstream_MobileCombustionIndirect</f>
        <v>Combustion mobile (flotte) - Indirect</v>
      </c>
      <c r="D915" s="511"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915" s="510"/>
      <c r="F915" s="510"/>
      <c r="G915" s="510"/>
      <c r="H915" s="571"/>
      <c r="I915" s="511"/>
      <c r="J915" s="511"/>
      <c r="K915" s="248"/>
      <c r="M915" s="299" t="s">
        <v>27876</v>
      </c>
    </row>
    <row r="916" spans="1:18" x14ac:dyDescent="0.2">
      <c r="B916" s="249"/>
      <c r="C916" s="740"/>
      <c r="D916" s="740"/>
      <c r="E916" s="740"/>
      <c r="F916" s="740"/>
      <c r="G916" s="510"/>
      <c r="H916" s="571"/>
      <c r="I916" s="511"/>
      <c r="J916" s="511"/>
      <c r="K916" s="248"/>
    </row>
    <row r="917" spans="1:18" s="686" customFormat="1" ht="33" x14ac:dyDescent="0.25">
      <c r="B917" s="681"/>
      <c r="C917" s="682" t="s">
        <v>27272</v>
      </c>
      <c r="D917" s="683" t="s">
        <v>28536</v>
      </c>
      <c r="E917" s="683" t="s">
        <v>27208</v>
      </c>
      <c r="F917" s="683" t="s">
        <v>27588</v>
      </c>
      <c r="G917" s="683" t="s">
        <v>27589</v>
      </c>
      <c r="H917" s="683" t="s">
        <v>27209</v>
      </c>
      <c r="I917" s="682" t="s">
        <v>27210</v>
      </c>
      <c r="J917" s="682" t="s">
        <v>27211</v>
      </c>
      <c r="K917" s="685"/>
      <c r="M917" s="687"/>
      <c r="N917" s="687"/>
      <c r="O917" s="687"/>
      <c r="P917" s="687"/>
      <c r="Q917" s="687"/>
      <c r="R917" s="687"/>
    </row>
    <row r="918" spans="1:18" x14ac:dyDescent="0.2">
      <c r="B918" s="249"/>
      <c r="C918" s="500" t="str">
        <f>'2 Data Inputs'!C396</f>
        <v>Diesel</v>
      </c>
      <c r="D918" s="535">
        <f>'2 Data Inputs'!F396</f>
        <v>0</v>
      </c>
      <c r="E918" s="535">
        <f>_xlfn.XLOOKUP($I918,BG_Data[Product],BG_Data[GHG emissions (IPCC 2021) '[kg CO2 eq']],0)</f>
        <v>0.67028987670958395</v>
      </c>
      <c r="F918" s="535">
        <f t="shared" ref="F918:F919" si="67">$D918*$E918</f>
        <v>0</v>
      </c>
      <c r="G918" s="535">
        <f>$D918*_xlfn.XLOOKUP($I918,BG_Data[Product],BG_Data[Biogenic CO2 emissions '[kg CO2']],0)</f>
        <v>0</v>
      </c>
      <c r="H918" s="583">
        <f>$D918*_xlfn.XLOOKUP($I918,BG_Data[Product],BG_Data[Total env. impact (Ecological Scarcity 2021) '[UBP']],0)</f>
        <v>0</v>
      </c>
      <c r="I918" s="500" t="s">
        <v>27348</v>
      </c>
      <c r="J918" s="500" t="s">
        <v>27213</v>
      </c>
      <c r="K918" s="248"/>
    </row>
    <row r="919" spans="1:18" x14ac:dyDescent="0.2">
      <c r="B919" s="249"/>
      <c r="C919" s="506" t="str">
        <f>'2 Data Inputs'!C397</f>
        <v>Essence</v>
      </c>
      <c r="D919" s="532">
        <f>'2 Data Inputs'!F397</f>
        <v>0</v>
      </c>
      <c r="E919" s="532">
        <f>_xlfn.XLOOKUP($I919,BG_Data[Product],BG_Data[GHG emissions (IPCC 2021) '[kg CO2 eq']],0)</f>
        <v>0.6996802466887404</v>
      </c>
      <c r="F919" s="532">
        <f t="shared" si="67"/>
        <v>0</v>
      </c>
      <c r="G919" s="532">
        <f>$D919*_xlfn.XLOOKUP($I919,BG_Data[Product],BG_Data[Biogenic CO2 emissions '[kg CO2']],0)</f>
        <v>0</v>
      </c>
      <c r="H919" s="581">
        <f>$D919*_xlfn.XLOOKUP($I919,BG_Data[Product],BG_Data[Total env. impact (Ecological Scarcity 2021) '[UBP']],0)</f>
        <v>0</v>
      </c>
      <c r="I919" s="506" t="s">
        <v>27291</v>
      </c>
      <c r="J919" s="506" t="s">
        <v>27213</v>
      </c>
      <c r="K919" s="248"/>
    </row>
    <row r="920" spans="1:18" ht="15" x14ac:dyDescent="0.25">
      <c r="B920" s="249"/>
      <c r="C920" s="507" t="s">
        <v>2616</v>
      </c>
      <c r="D920" s="508">
        <f>SUM(D918:D919)</f>
        <v>0</v>
      </c>
      <c r="E920" s="508"/>
      <c r="F920" s="508">
        <f>SUM(F918:F919)</f>
        <v>0</v>
      </c>
      <c r="G920" s="508">
        <f>SUM(G918:G919)</f>
        <v>0</v>
      </c>
      <c r="H920" s="580">
        <f>SUM(H918:H919)</f>
        <v>0</v>
      </c>
      <c r="I920" s="507"/>
      <c r="J920" s="507"/>
      <c r="K920" s="248"/>
    </row>
    <row r="921" spans="1:18" x14ac:dyDescent="0.2">
      <c r="B921" s="249"/>
      <c r="C921" s="509"/>
      <c r="D921" s="509"/>
      <c r="E921" s="509"/>
      <c r="F921" s="509"/>
      <c r="G921" s="523"/>
      <c r="H921" s="582"/>
      <c r="I921" s="533"/>
      <c r="J921" s="533"/>
      <c r="K921" s="248"/>
    </row>
    <row r="922" spans="1:18" s="686" customFormat="1" ht="33" x14ac:dyDescent="0.25">
      <c r="B922" s="681"/>
      <c r="C922" s="682" t="s">
        <v>28598</v>
      </c>
      <c r="D922" s="683" t="s">
        <v>28536</v>
      </c>
      <c r="E922" s="683" t="s">
        <v>27208</v>
      </c>
      <c r="F922" s="683" t="s">
        <v>27588</v>
      </c>
      <c r="G922" s="683" t="s">
        <v>27589</v>
      </c>
      <c r="H922" s="683" t="s">
        <v>27209</v>
      </c>
      <c r="I922" s="682" t="s">
        <v>27210</v>
      </c>
      <c r="J922" s="682" t="s">
        <v>27211</v>
      </c>
      <c r="K922" s="685"/>
      <c r="M922" s="687"/>
      <c r="N922" s="687"/>
      <c r="O922" s="687"/>
      <c r="P922" s="687"/>
      <c r="Q922" s="687"/>
      <c r="R922" s="687"/>
    </row>
    <row r="923" spans="1:18" x14ac:dyDescent="0.2">
      <c r="A923" s="739"/>
      <c r="B923" s="249"/>
      <c r="C923" s="500">
        <f>IF('2 Data Inputs'!G403="l",'2 Data Inputs'!C403,0)</f>
        <v>0</v>
      </c>
      <c r="D923" s="535">
        <f>IF('2 Data Inputs'!G403="l",'2 Data Inputs'!F403,0)</f>
        <v>0</v>
      </c>
      <c r="E923" s="535">
        <f>_xlfn.XLOOKUP($I923,BG_Data[Product],BG_Data[GHG emissions (IPCC 2021) '[kg CO2 eq']],0)</f>
        <v>0</v>
      </c>
      <c r="F923" s="535">
        <f t="shared" ref="F923:F935" si="68">$D923*$E923</f>
        <v>0</v>
      </c>
      <c r="G923" s="535">
        <f>$D923*_xlfn.XLOOKUP($I923,BG_Data[Product],BG_Data[Biogenic CO2 emissions '[kg CO2']],0)</f>
        <v>0</v>
      </c>
      <c r="H923" s="583">
        <f>$D923*_xlfn.XLOOKUP($I923,BG_Data[Product],BG_Data[Total env. impact (Ecological Scarcity 2021) '[UBP']],0)</f>
        <v>0</v>
      </c>
      <c r="I923" s="500" cm="1">
        <f t="array" ref="I923">_xlfn.XLOOKUP(
     C923,
     _xlfn.TOCOL(_xlfn.HSTACK(Lists_S1_Fleet_direct[DE Name],Lists_S1_Fleet_direct[FR Name],Lists_S1_Fleet_direct[IT Name]),1),
     _xlfn.TOCOL(_xlfn.HSTACK(Lists_S1_Fleet_direct[BG Data],Lists_S1_Fleet_direct[BG Data],Lists_S1_Fleet_direct[BG Data]),1) &amp; " Indirect",
     0)</f>
        <v>0</v>
      </c>
      <c r="J923" s="500" t="s">
        <v>27212</v>
      </c>
      <c r="K923" s="248"/>
    </row>
    <row r="924" spans="1:18" x14ac:dyDescent="0.2">
      <c r="A924" s="739"/>
      <c r="B924" s="249"/>
      <c r="C924" s="503">
        <f>IF('2 Data Inputs'!G404="l",'2 Data Inputs'!C404,0)</f>
        <v>0</v>
      </c>
      <c r="D924" s="537">
        <f>IF('2 Data Inputs'!G404="l",'2 Data Inputs'!F404,0)</f>
        <v>0</v>
      </c>
      <c r="E924" s="537">
        <f>_xlfn.XLOOKUP($I924,BG_Data[Product],BG_Data[GHG emissions (IPCC 2021) '[kg CO2 eq']],0)</f>
        <v>0</v>
      </c>
      <c r="F924" s="537">
        <f t="shared" si="68"/>
        <v>0</v>
      </c>
      <c r="G924" s="537">
        <f>$D924*_xlfn.XLOOKUP($I924,BG_Data[Product],BG_Data[Biogenic CO2 emissions '[kg CO2']],0)</f>
        <v>0</v>
      </c>
      <c r="H924" s="584">
        <f>$D924*_xlfn.XLOOKUP($I924,BG_Data[Product],BG_Data[Total env. impact (Ecological Scarcity 2021) '[UBP']],0)</f>
        <v>0</v>
      </c>
      <c r="I924" s="503" cm="1">
        <f t="array" ref="I924">_xlfn.XLOOKUP(
     C924,
     _xlfn.TOCOL(_xlfn.HSTACK(Lists_S1_Fleet_direct[DE Name],Lists_S1_Fleet_direct[FR Name],Lists_S1_Fleet_direct[IT Name]),1),
     _xlfn.TOCOL(_xlfn.HSTACK(Lists_S1_Fleet_direct[BG Data],Lists_S1_Fleet_direct[BG Data],Lists_S1_Fleet_direct[BG Data]),1) &amp; " Indirect",
     0)</f>
        <v>0</v>
      </c>
      <c r="J924" s="503" t="s">
        <v>27212</v>
      </c>
      <c r="K924" s="248"/>
    </row>
    <row r="925" spans="1:18" x14ac:dyDescent="0.2">
      <c r="A925" s="739"/>
      <c r="B925" s="249"/>
      <c r="C925" s="503">
        <f>IF('2 Data Inputs'!G405="l",'2 Data Inputs'!C405,0)</f>
        <v>0</v>
      </c>
      <c r="D925" s="537">
        <f>IF('2 Data Inputs'!G405="l",'2 Data Inputs'!F405,0)</f>
        <v>0</v>
      </c>
      <c r="E925" s="537">
        <f>_xlfn.XLOOKUP($I925,BG_Data[Product],BG_Data[GHG emissions (IPCC 2021) '[kg CO2 eq']],0)</f>
        <v>0</v>
      </c>
      <c r="F925" s="537">
        <f t="shared" si="68"/>
        <v>0</v>
      </c>
      <c r="G925" s="537">
        <f>$D925*_xlfn.XLOOKUP($I925,BG_Data[Product],BG_Data[Biogenic CO2 emissions '[kg CO2']],0)</f>
        <v>0</v>
      </c>
      <c r="H925" s="584">
        <f>$D925*_xlfn.XLOOKUP($I925,BG_Data[Product],BG_Data[Total env. impact (Ecological Scarcity 2021) '[UBP']],0)</f>
        <v>0</v>
      </c>
      <c r="I925" s="503" cm="1">
        <f t="array" ref="I925">_xlfn.XLOOKUP(
     C925,
     _xlfn.TOCOL(_xlfn.HSTACK(Lists_S1_Fleet_direct[DE Name],Lists_S1_Fleet_direct[FR Name],Lists_S1_Fleet_direct[IT Name]),1),
     _xlfn.TOCOL(_xlfn.HSTACK(Lists_S1_Fleet_direct[BG Data],Lists_S1_Fleet_direct[BG Data],Lists_S1_Fleet_direct[BG Data]),1) &amp; " Indirect",
     0)</f>
        <v>0</v>
      </c>
      <c r="J925" s="503" t="s">
        <v>27212</v>
      </c>
      <c r="K925" s="248"/>
    </row>
    <row r="926" spans="1:18" x14ac:dyDescent="0.2">
      <c r="A926" s="739"/>
      <c r="B926" s="249"/>
      <c r="C926" s="503">
        <f>IF('2 Data Inputs'!G406="l",'2 Data Inputs'!C406,0)</f>
        <v>0</v>
      </c>
      <c r="D926" s="537">
        <f>IF('2 Data Inputs'!G406="l",'2 Data Inputs'!F406,0)</f>
        <v>0</v>
      </c>
      <c r="E926" s="537">
        <f>_xlfn.XLOOKUP($I926,BG_Data[Product],BG_Data[GHG emissions (IPCC 2021) '[kg CO2 eq']],0)</f>
        <v>0</v>
      </c>
      <c r="F926" s="537">
        <f t="shared" si="68"/>
        <v>0</v>
      </c>
      <c r="G926" s="537">
        <f>$D926*_xlfn.XLOOKUP($I926,BG_Data[Product],BG_Data[Biogenic CO2 emissions '[kg CO2']],0)</f>
        <v>0</v>
      </c>
      <c r="H926" s="584">
        <f>$D926*_xlfn.XLOOKUP($I926,BG_Data[Product],BG_Data[Total env. impact (Ecological Scarcity 2021) '[UBP']],0)</f>
        <v>0</v>
      </c>
      <c r="I926" s="503" cm="1">
        <f t="array" ref="I926">_xlfn.XLOOKUP(
     C926,
     _xlfn.TOCOL(_xlfn.HSTACK(Lists_S1_Fleet_direct[DE Name],Lists_S1_Fleet_direct[FR Name],Lists_S1_Fleet_direct[IT Name]),1),
     _xlfn.TOCOL(_xlfn.HSTACK(Lists_S1_Fleet_direct[BG Data],Lists_S1_Fleet_direct[BG Data],Lists_S1_Fleet_direct[BG Data]),1) &amp; " Indirect",
     0)</f>
        <v>0</v>
      </c>
      <c r="J926" s="503" t="s">
        <v>27212</v>
      </c>
      <c r="K926" s="248"/>
    </row>
    <row r="927" spans="1:18" x14ac:dyDescent="0.2">
      <c r="B927" s="249"/>
      <c r="C927" s="503">
        <f>IF('2 Data Inputs'!G407="l",'2 Data Inputs'!C407,0)</f>
        <v>0</v>
      </c>
      <c r="D927" s="537">
        <f>IF('2 Data Inputs'!G407="l",'2 Data Inputs'!F407,0)</f>
        <v>0</v>
      </c>
      <c r="E927" s="537">
        <f>_xlfn.XLOOKUP($I927,BG_Data[Product],BG_Data[GHG emissions (IPCC 2021) '[kg CO2 eq']],0)</f>
        <v>0</v>
      </c>
      <c r="F927" s="537">
        <f t="shared" si="68"/>
        <v>0</v>
      </c>
      <c r="G927" s="537">
        <f>$D927*_xlfn.XLOOKUP($I927,BG_Data[Product],BG_Data[Biogenic CO2 emissions '[kg CO2']],0)</f>
        <v>0</v>
      </c>
      <c r="H927" s="584">
        <f>$D927*_xlfn.XLOOKUP($I927,BG_Data[Product],BG_Data[Total env. impact (Ecological Scarcity 2021) '[UBP']],0)</f>
        <v>0</v>
      </c>
      <c r="I927" s="503" cm="1">
        <f t="array" ref="I927">_xlfn.XLOOKUP(
     C927,
     _xlfn.TOCOL(_xlfn.HSTACK(Lists_S1_Fleet_direct[DE Name],Lists_S1_Fleet_direct[FR Name],Lists_S1_Fleet_direct[IT Name]),1),
     _xlfn.TOCOL(_xlfn.HSTACK(Lists_S1_Fleet_direct[BG Data],Lists_S1_Fleet_direct[BG Data],Lists_S1_Fleet_direct[BG Data]),1) &amp; " Indirect",
     0)</f>
        <v>0</v>
      </c>
      <c r="J927" s="503" t="s">
        <v>27212</v>
      </c>
      <c r="K927" s="248"/>
    </row>
    <row r="928" spans="1:18" x14ac:dyDescent="0.2">
      <c r="B928" s="249"/>
      <c r="C928" s="503">
        <f>IF('2 Data Inputs'!G408="l",'2 Data Inputs'!C408,0)</f>
        <v>0</v>
      </c>
      <c r="D928" s="537">
        <f>IF('2 Data Inputs'!G408="l",'2 Data Inputs'!F408,0)</f>
        <v>0</v>
      </c>
      <c r="E928" s="537">
        <f>_xlfn.XLOOKUP($I928,BG_Data[Product],BG_Data[GHG emissions (IPCC 2021) '[kg CO2 eq']],0)</f>
        <v>0</v>
      </c>
      <c r="F928" s="537">
        <f t="shared" si="68"/>
        <v>0</v>
      </c>
      <c r="G928" s="537">
        <f>$D928*_xlfn.XLOOKUP($I928,BG_Data[Product],BG_Data[Biogenic CO2 emissions '[kg CO2']],0)</f>
        <v>0</v>
      </c>
      <c r="H928" s="584">
        <f>$D928*_xlfn.XLOOKUP($I928,BG_Data[Product],BG_Data[Total env. impact (Ecological Scarcity 2021) '[UBP']],0)</f>
        <v>0</v>
      </c>
      <c r="I928" s="503" cm="1">
        <f t="array" ref="I928">_xlfn.XLOOKUP(
     C928,
     _xlfn.TOCOL(_xlfn.HSTACK(Lists_S1_Fleet_direct[DE Name],Lists_S1_Fleet_direct[FR Name],Lists_S1_Fleet_direct[IT Name]),1),
     _xlfn.TOCOL(_xlfn.HSTACK(Lists_S1_Fleet_direct[BG Data],Lists_S1_Fleet_direct[BG Data],Lists_S1_Fleet_direct[BG Data]),1) &amp; " Indirect",
     0)</f>
        <v>0</v>
      </c>
      <c r="J928" s="503" t="s">
        <v>27212</v>
      </c>
      <c r="K928" s="248"/>
    </row>
    <row r="929" spans="1:18" x14ac:dyDescent="0.2">
      <c r="B929" s="249"/>
      <c r="C929" s="503">
        <f>IF('2 Data Inputs'!G409="l",'2 Data Inputs'!C409,0)</f>
        <v>0</v>
      </c>
      <c r="D929" s="537">
        <f>IF('2 Data Inputs'!G409="l",'2 Data Inputs'!F409,0)</f>
        <v>0</v>
      </c>
      <c r="E929" s="537">
        <f>_xlfn.XLOOKUP($I929,BG_Data[Product],BG_Data[GHG emissions (IPCC 2021) '[kg CO2 eq']],0)</f>
        <v>0</v>
      </c>
      <c r="F929" s="537">
        <f t="shared" si="68"/>
        <v>0</v>
      </c>
      <c r="G929" s="537">
        <f>$D929*_xlfn.XLOOKUP($I929,BG_Data[Product],BG_Data[Biogenic CO2 emissions '[kg CO2']],0)</f>
        <v>0</v>
      </c>
      <c r="H929" s="584">
        <f>$D929*_xlfn.XLOOKUP($I929,BG_Data[Product],BG_Data[Total env. impact (Ecological Scarcity 2021) '[UBP']],0)</f>
        <v>0</v>
      </c>
      <c r="I929" s="503" cm="1">
        <f t="array" ref="I929">_xlfn.XLOOKUP(
     C929,
     _xlfn.TOCOL(_xlfn.HSTACK(Lists_S1_Fleet_direct[DE Name],Lists_S1_Fleet_direct[FR Name],Lists_S1_Fleet_direct[IT Name]),1),
     _xlfn.TOCOL(_xlfn.HSTACK(Lists_S1_Fleet_direct[BG Data],Lists_S1_Fleet_direct[BG Data],Lists_S1_Fleet_direct[BG Data]),1) &amp; " Indirect",
     0)</f>
        <v>0</v>
      </c>
      <c r="J929" s="503" t="s">
        <v>27212</v>
      </c>
      <c r="K929" s="248"/>
    </row>
    <row r="930" spans="1:18" x14ac:dyDescent="0.2">
      <c r="B930" s="249"/>
      <c r="C930" s="503">
        <f>IF('2 Data Inputs'!G410="l",'2 Data Inputs'!C410,0)</f>
        <v>0</v>
      </c>
      <c r="D930" s="537">
        <f>IF('2 Data Inputs'!G410="l",'2 Data Inputs'!F410,0)</f>
        <v>0</v>
      </c>
      <c r="E930" s="537">
        <f>_xlfn.XLOOKUP($I930,BG_Data[Product],BG_Data[GHG emissions (IPCC 2021) '[kg CO2 eq']],0)</f>
        <v>0</v>
      </c>
      <c r="F930" s="537">
        <f t="shared" si="68"/>
        <v>0</v>
      </c>
      <c r="G930" s="537">
        <f>$D930*_xlfn.XLOOKUP($I930,BG_Data[Product],BG_Data[Biogenic CO2 emissions '[kg CO2']],0)</f>
        <v>0</v>
      </c>
      <c r="H930" s="584">
        <f>$D930*_xlfn.XLOOKUP($I930,BG_Data[Product],BG_Data[Total env. impact (Ecological Scarcity 2021) '[UBP']],0)</f>
        <v>0</v>
      </c>
      <c r="I930" s="503" cm="1">
        <f t="array" ref="I930">_xlfn.XLOOKUP(
     C930,
     _xlfn.TOCOL(_xlfn.HSTACK(Lists_S1_Fleet_direct[DE Name],Lists_S1_Fleet_direct[FR Name],Lists_S1_Fleet_direct[IT Name]),1),
     _xlfn.TOCOL(_xlfn.HSTACK(Lists_S1_Fleet_direct[BG Data],Lists_S1_Fleet_direct[BG Data],Lists_S1_Fleet_direct[BG Data]),1) &amp; " Indirect",
     0)</f>
        <v>0</v>
      </c>
      <c r="J930" s="503" t="s">
        <v>27212</v>
      </c>
      <c r="K930" s="248"/>
    </row>
    <row r="931" spans="1:18" x14ac:dyDescent="0.2">
      <c r="B931" s="249"/>
      <c r="C931" s="503">
        <f>IF('2 Data Inputs'!G411="l",'2 Data Inputs'!C411,0)</f>
        <v>0</v>
      </c>
      <c r="D931" s="537">
        <f>IF('2 Data Inputs'!G411="l",'2 Data Inputs'!F411,0)</f>
        <v>0</v>
      </c>
      <c r="E931" s="537">
        <f>_xlfn.XLOOKUP($I931,BG_Data[Product],BG_Data[GHG emissions (IPCC 2021) '[kg CO2 eq']],0)</f>
        <v>0</v>
      </c>
      <c r="F931" s="537">
        <f t="shared" si="68"/>
        <v>0</v>
      </c>
      <c r="G931" s="537">
        <f>$D931*_xlfn.XLOOKUP($I931,BG_Data[Product],BG_Data[Biogenic CO2 emissions '[kg CO2']],0)</f>
        <v>0</v>
      </c>
      <c r="H931" s="584">
        <f>$D931*_xlfn.XLOOKUP($I931,BG_Data[Product],BG_Data[Total env. impact (Ecological Scarcity 2021) '[UBP']],0)</f>
        <v>0</v>
      </c>
      <c r="I931" s="503" cm="1">
        <f t="array" ref="I931">_xlfn.XLOOKUP(
     C931,
     _xlfn.TOCOL(_xlfn.HSTACK(Lists_S1_Fleet_direct[DE Name],Lists_S1_Fleet_direct[FR Name],Lists_S1_Fleet_direct[IT Name]),1),
     _xlfn.TOCOL(_xlfn.HSTACK(Lists_S1_Fleet_direct[BG Data],Lists_S1_Fleet_direct[BG Data],Lists_S1_Fleet_direct[BG Data]),1) &amp; " Indirect",
     0)</f>
        <v>0</v>
      </c>
      <c r="J931" s="503" t="s">
        <v>27212</v>
      </c>
      <c r="K931" s="248"/>
    </row>
    <row r="932" spans="1:18" x14ac:dyDescent="0.2">
      <c r="B932" s="249"/>
      <c r="C932" s="503">
        <f>IF('2 Data Inputs'!G412="l",'2 Data Inputs'!C412,0)</f>
        <v>0</v>
      </c>
      <c r="D932" s="537">
        <f>IF('2 Data Inputs'!G412="l",'2 Data Inputs'!F412,0)</f>
        <v>0</v>
      </c>
      <c r="E932" s="537">
        <f>_xlfn.XLOOKUP($I932,BG_Data[Product],BG_Data[GHG emissions (IPCC 2021) '[kg CO2 eq']],0)</f>
        <v>0</v>
      </c>
      <c r="F932" s="537">
        <f t="shared" si="68"/>
        <v>0</v>
      </c>
      <c r="G932" s="537">
        <f>$D932*_xlfn.XLOOKUP($I932,BG_Data[Product],BG_Data[Biogenic CO2 emissions '[kg CO2']],0)</f>
        <v>0</v>
      </c>
      <c r="H932" s="584">
        <f>$D932*_xlfn.XLOOKUP($I932,BG_Data[Product],BG_Data[Total env. impact (Ecological Scarcity 2021) '[UBP']],0)</f>
        <v>0</v>
      </c>
      <c r="I932" s="503" cm="1">
        <f t="array" ref="I932">_xlfn.XLOOKUP(
     C932,
     _xlfn.TOCOL(_xlfn.HSTACK(Lists_S1_Fleet_direct[DE Name],Lists_S1_Fleet_direct[FR Name],Lists_S1_Fleet_direct[IT Name]),1),
     _xlfn.TOCOL(_xlfn.HSTACK(Lists_S1_Fleet_direct[BG Data],Lists_S1_Fleet_direct[BG Data],Lists_S1_Fleet_direct[BG Data]),1) &amp; " Indirect",
     0)</f>
        <v>0</v>
      </c>
      <c r="J932" s="503" t="s">
        <v>27212</v>
      </c>
      <c r="K932" s="248"/>
    </row>
    <row r="933" spans="1:18" x14ac:dyDescent="0.2">
      <c r="B933" s="249"/>
      <c r="C933" s="503">
        <f>IF('2 Data Inputs'!G413="l",'2 Data Inputs'!C413,0)</f>
        <v>0</v>
      </c>
      <c r="D933" s="537">
        <f>IF('2 Data Inputs'!G413="l",'2 Data Inputs'!F413,0)</f>
        <v>0</v>
      </c>
      <c r="E933" s="537">
        <f>_xlfn.XLOOKUP($I933,BG_Data[Product],BG_Data[GHG emissions (IPCC 2021) '[kg CO2 eq']],0)</f>
        <v>0</v>
      </c>
      <c r="F933" s="537">
        <f t="shared" si="68"/>
        <v>0</v>
      </c>
      <c r="G933" s="537">
        <f>$D933*_xlfn.XLOOKUP($I933,BG_Data[Product],BG_Data[Biogenic CO2 emissions '[kg CO2']],0)</f>
        <v>0</v>
      </c>
      <c r="H933" s="584">
        <f>$D933*_xlfn.XLOOKUP($I933,BG_Data[Product],BG_Data[Total env. impact (Ecological Scarcity 2021) '[UBP']],0)</f>
        <v>0</v>
      </c>
      <c r="I933" s="503" cm="1">
        <f t="array" ref="I933">_xlfn.XLOOKUP(
     C933,
     _xlfn.TOCOL(_xlfn.HSTACK(Lists_S1_Fleet_direct[DE Name],Lists_S1_Fleet_direct[FR Name],Lists_S1_Fleet_direct[IT Name]),1),
     _xlfn.TOCOL(_xlfn.HSTACK(Lists_S1_Fleet_direct[BG Data],Lists_S1_Fleet_direct[BG Data],Lists_S1_Fleet_direct[BG Data]),1) &amp; " Indirect",
     0)</f>
        <v>0</v>
      </c>
      <c r="J933" s="503" t="s">
        <v>27212</v>
      </c>
      <c r="K933" s="248"/>
    </row>
    <row r="934" spans="1:18" x14ac:dyDescent="0.2">
      <c r="B934" s="249"/>
      <c r="C934" s="503">
        <f>IF('2 Data Inputs'!G414="l",'2 Data Inputs'!C414,0)</f>
        <v>0</v>
      </c>
      <c r="D934" s="537">
        <f>IF('2 Data Inputs'!G414="l",'2 Data Inputs'!F414,0)</f>
        <v>0</v>
      </c>
      <c r="E934" s="537">
        <f>_xlfn.XLOOKUP($I934,BG_Data[Product],BG_Data[GHG emissions (IPCC 2021) '[kg CO2 eq']],0)</f>
        <v>0</v>
      </c>
      <c r="F934" s="537">
        <f t="shared" si="68"/>
        <v>0</v>
      </c>
      <c r="G934" s="537">
        <f>$D934*_xlfn.XLOOKUP($I934,BG_Data[Product],BG_Data[Biogenic CO2 emissions '[kg CO2']],0)</f>
        <v>0</v>
      </c>
      <c r="H934" s="584">
        <f>$D934*_xlfn.XLOOKUP($I934,BG_Data[Product],BG_Data[Total env. impact (Ecological Scarcity 2021) '[UBP']],0)</f>
        <v>0</v>
      </c>
      <c r="I934" s="503" cm="1">
        <f t="array" ref="I934">_xlfn.XLOOKUP(
     C934,
     _xlfn.TOCOL(_xlfn.HSTACK(Lists_S1_Fleet_direct[DE Name],Lists_S1_Fleet_direct[FR Name],Lists_S1_Fleet_direct[IT Name]),1),
     _xlfn.TOCOL(_xlfn.HSTACK(Lists_S1_Fleet_direct[BG Data],Lists_S1_Fleet_direct[BG Data],Lists_S1_Fleet_direct[BG Data]),1) &amp; " Indirect",
     0)</f>
        <v>0</v>
      </c>
      <c r="J934" s="503" t="s">
        <v>27212</v>
      </c>
      <c r="K934" s="248"/>
    </row>
    <row r="935" spans="1:18" x14ac:dyDescent="0.2">
      <c r="B935" s="249"/>
      <c r="C935" s="506">
        <f>IF('2 Data Inputs'!G415="l",'2 Data Inputs'!C415,0)</f>
        <v>0</v>
      </c>
      <c r="D935" s="532">
        <f>IF('2 Data Inputs'!G415="l",'2 Data Inputs'!F415,0)</f>
        <v>0</v>
      </c>
      <c r="E935" s="532">
        <f>_xlfn.XLOOKUP($I935,BG_Data[Product],BG_Data[GHG emissions (IPCC 2021) '[kg CO2 eq']],0)</f>
        <v>0</v>
      </c>
      <c r="F935" s="532">
        <f t="shared" si="68"/>
        <v>0</v>
      </c>
      <c r="G935" s="532">
        <f>$D935*_xlfn.XLOOKUP($I935,BG_Data[Product],BG_Data[Biogenic CO2 emissions '[kg CO2']],0)</f>
        <v>0</v>
      </c>
      <c r="H935" s="581">
        <f>$D935*_xlfn.XLOOKUP($I935,BG_Data[Product],BG_Data[Total env. impact (Ecological Scarcity 2021) '[UBP']],0)</f>
        <v>0</v>
      </c>
      <c r="I935" s="506" cm="1">
        <f t="array" ref="I935">_xlfn.XLOOKUP(
     C935,
     _xlfn.TOCOL(_xlfn.HSTACK(Lists_S1_Fleet_direct[DE Name],Lists_S1_Fleet_direct[FR Name],Lists_S1_Fleet_direct[IT Name]),1),
     _xlfn.TOCOL(_xlfn.HSTACK(Lists_S1_Fleet_direct[BG Data],Lists_S1_Fleet_direct[BG Data],Lists_S1_Fleet_direct[BG Data]),1) &amp; " Indirect",
     0)</f>
        <v>0</v>
      </c>
      <c r="J935" s="506" t="s">
        <v>27212</v>
      </c>
      <c r="K935" s="248"/>
    </row>
    <row r="936" spans="1:18" ht="15" x14ac:dyDescent="0.25">
      <c r="B936" s="249"/>
      <c r="C936" s="507" t="s">
        <v>2616</v>
      </c>
      <c r="D936" s="508">
        <f>SUM(D923:D935)</f>
        <v>0</v>
      </c>
      <c r="E936" s="508"/>
      <c r="F936" s="508">
        <f>SUM(F923:F935)</f>
        <v>0</v>
      </c>
      <c r="G936" s="508">
        <f>SUM(G923:G935)</f>
        <v>0</v>
      </c>
      <c r="H936" s="580">
        <f>SUM(H923:H935)</f>
        <v>0</v>
      </c>
      <c r="I936" s="507"/>
      <c r="J936" s="507"/>
      <c r="K936" s="248"/>
    </row>
    <row r="937" spans="1:18" x14ac:dyDescent="0.2">
      <c r="B937" s="254"/>
      <c r="C937" s="539"/>
      <c r="D937" s="540"/>
      <c r="E937" s="540"/>
      <c r="F937" s="540"/>
      <c r="G937" s="540"/>
      <c r="H937" s="588"/>
      <c r="I937" s="539"/>
      <c r="J937" s="539"/>
      <c r="K937" s="256"/>
    </row>
    <row r="938" spans="1:18" ht="15" x14ac:dyDescent="0.25">
      <c r="B938" s="258"/>
    </row>
    <row r="939" spans="1:18" x14ac:dyDescent="0.2">
      <c r="B939" s="246"/>
      <c r="C939" s="527"/>
      <c r="D939" s="528"/>
      <c r="E939" s="528"/>
      <c r="F939" s="528"/>
      <c r="G939" s="547"/>
      <c r="H939" s="589"/>
      <c r="I939" s="548"/>
      <c r="J939" s="548"/>
      <c r="K939" s="247" t="str">
        <f>Calc_Hyperlink_Lessor</f>
        <v>Downstream leases</v>
      </c>
    </row>
    <row r="940" spans="1:18" ht="15" x14ac:dyDescent="0.25">
      <c r="A940" s="257"/>
      <c r="B940" s="249"/>
      <c r="C940" s="531" t="str">
        <f>n3Calculation_46.1Downstream_elFleetDirectMarket</f>
        <v>Flotte électrique - Basé sur le marché - Direct</v>
      </c>
      <c r="D940" s="511" t="str">
        <f>"Control approach = " &amp; GenInp_ConsolAppr &amp; " ; Lease type = " &amp; GenInp_LeaseType &amp; " → Direct emissions reported in " &amp; IF(GenInp_LeaseType="Operating Lease","Scope 2","Scope 3.13 (direct &amp;indirect)")</f>
        <v>Control approach = missing input ; Lease type = missing input → Direct emissions reported in Scope 3.13 (direct &amp;indirect)</v>
      </c>
      <c r="E940" s="510"/>
      <c r="F940" s="510"/>
      <c r="G940" s="510"/>
      <c r="H940" s="571"/>
      <c r="I940" s="511"/>
      <c r="J940" s="511"/>
      <c r="K940" s="248"/>
      <c r="M940" s="299" t="s">
        <v>28330</v>
      </c>
    </row>
    <row r="941" spans="1:18" ht="15" customHeight="1" x14ac:dyDescent="0.2">
      <c r="A941" s="257"/>
      <c r="B941" s="249"/>
      <c r="C941" s="740"/>
      <c r="D941" s="740"/>
      <c r="E941" s="740"/>
      <c r="F941" s="740"/>
      <c r="G941" s="510"/>
      <c r="H941" s="571"/>
      <c r="I941" s="511"/>
      <c r="J941" s="511"/>
      <c r="K941" s="248"/>
    </row>
    <row r="942" spans="1:18" s="686" customFormat="1" ht="33" x14ac:dyDescent="0.25">
      <c r="A942" s="693"/>
      <c r="B942" s="681"/>
      <c r="C942" s="682" t="s">
        <v>28598</v>
      </c>
      <c r="D942" s="683" t="s">
        <v>28537</v>
      </c>
      <c r="E942" s="683" t="s">
        <v>27208</v>
      </c>
      <c r="F942" s="683" t="s">
        <v>27588</v>
      </c>
      <c r="G942" s="683" t="s">
        <v>27589</v>
      </c>
      <c r="H942" s="683" t="s">
        <v>27209</v>
      </c>
      <c r="I942" s="682" t="s">
        <v>27210</v>
      </c>
      <c r="J942" s="682" t="s">
        <v>27211</v>
      </c>
      <c r="K942" s="685"/>
      <c r="M942" s="687"/>
      <c r="N942" s="687"/>
      <c r="O942" s="687"/>
      <c r="P942" s="687"/>
      <c r="Q942" s="687"/>
      <c r="R942" s="687"/>
    </row>
    <row r="943" spans="1:18" x14ac:dyDescent="0.2">
      <c r="A943" s="257"/>
      <c r="B943" s="249"/>
      <c r="C943" s="524" t="s">
        <v>28275</v>
      </c>
      <c r="D943" s="525">
        <f>'2 Data Inputs'!F398</f>
        <v>0</v>
      </c>
      <c r="E943" s="535">
        <f>_xlfn.XLOOKUP($I943,BG_Data[Product],BG_Data[GHG emissions (IPCC 2021) '[kg CO2 eq']],0)</f>
        <v>5.625548261860136E-2</v>
      </c>
      <c r="F943" s="535">
        <f t="shared" ref="F943:F955" si="69">$D943*$E943</f>
        <v>0</v>
      </c>
      <c r="G943" s="535">
        <f>$D943*_xlfn.XLOOKUP($I943,BG_Data[Product],BG_Data[Biogenic CO2 emissions '[kg CO2']],0)</f>
        <v>0</v>
      </c>
      <c r="H943" s="583">
        <f>$D943*_xlfn.XLOOKUP($I943,BG_Data[Product],BG_Data[Total env. impact (Ecological Scarcity 2021) '[UBP']],0)</f>
        <v>0</v>
      </c>
      <c r="I943" s="500" t="s">
        <v>2804</v>
      </c>
      <c r="J943" s="500" t="s">
        <v>27213</v>
      </c>
      <c r="K943" s="248"/>
    </row>
    <row r="944" spans="1:18" x14ac:dyDescent="0.2">
      <c r="A944" s="257"/>
      <c r="B944" s="249"/>
      <c r="C944" s="503">
        <f>IF('2 Data Inputs'!G403="kWh",'2 Data Inputs'!C403,0)</f>
        <v>0</v>
      </c>
      <c r="D944" s="537">
        <f>IF('2 Data Inputs'!G403="kWh",'2 Data Inputs'!F403,0)</f>
        <v>0</v>
      </c>
      <c r="E944" s="535">
        <f>_xlfn.XLOOKUP($I944,BG_Data[Product],BG_Data[GHG emissions (IPCC 2021) '[kg CO2 eq']],0)</f>
        <v>5.625548261860136E-2</v>
      </c>
      <c r="F944" s="535">
        <f t="shared" si="69"/>
        <v>0</v>
      </c>
      <c r="G944" s="535">
        <f>$D944*_xlfn.XLOOKUP($I944,BG_Data[Product],BG_Data[Biogenic CO2 emissions '[kg CO2']],0)</f>
        <v>0</v>
      </c>
      <c r="H944" s="583">
        <f>$D944*_xlfn.XLOOKUP($I944,BG_Data[Product],BG_Data[Total env. impact (Ecological Scarcity 2021) '[UBP']],0)</f>
        <v>0</v>
      </c>
      <c r="I944" s="500" t="s">
        <v>2804</v>
      </c>
      <c r="J944" s="500" t="s">
        <v>27213</v>
      </c>
      <c r="K944" s="248"/>
    </row>
    <row r="945" spans="1:18" x14ac:dyDescent="0.2">
      <c r="A945" s="257"/>
      <c r="B945" s="249"/>
      <c r="C945" s="503">
        <f>IF('2 Data Inputs'!G404="kWh",'2 Data Inputs'!C404,0)</f>
        <v>0</v>
      </c>
      <c r="D945" s="537">
        <f>IF('2 Data Inputs'!G404="kWh",'2 Data Inputs'!F404,0)</f>
        <v>0</v>
      </c>
      <c r="E945" s="537">
        <f>_xlfn.XLOOKUP($I945,BG_Data[Product],BG_Data[GHG emissions (IPCC 2021) '[kg CO2 eq']],0)</f>
        <v>5.625548261860136E-2</v>
      </c>
      <c r="F945" s="537">
        <f t="shared" si="69"/>
        <v>0</v>
      </c>
      <c r="G945" s="537">
        <f>$D945*_xlfn.XLOOKUP($I945,BG_Data[Product],BG_Data[Biogenic CO2 emissions '[kg CO2']],0)</f>
        <v>0</v>
      </c>
      <c r="H945" s="584">
        <f>$D945*_xlfn.XLOOKUP($I945,BG_Data[Product],BG_Data[Total env. impact (Ecological Scarcity 2021) '[UBP']],0)</f>
        <v>0</v>
      </c>
      <c r="I945" s="503" t="s">
        <v>2804</v>
      </c>
      <c r="J945" s="503" t="s">
        <v>27213</v>
      </c>
      <c r="K945" s="248"/>
    </row>
    <row r="946" spans="1:18" x14ac:dyDescent="0.2">
      <c r="A946" s="257"/>
      <c r="B946" s="249"/>
      <c r="C946" s="503">
        <f>IF('2 Data Inputs'!G405="kWh",'2 Data Inputs'!C405,0)</f>
        <v>0</v>
      </c>
      <c r="D946" s="537">
        <f>IF('2 Data Inputs'!G405="kWh",'2 Data Inputs'!F405,0)</f>
        <v>0</v>
      </c>
      <c r="E946" s="537">
        <f>_xlfn.XLOOKUP($I946,BG_Data[Product],BG_Data[GHG emissions (IPCC 2021) '[kg CO2 eq']],0)</f>
        <v>5.625548261860136E-2</v>
      </c>
      <c r="F946" s="537">
        <f t="shared" si="69"/>
        <v>0</v>
      </c>
      <c r="G946" s="537">
        <f>$D946*_xlfn.XLOOKUP($I946,BG_Data[Product],BG_Data[Biogenic CO2 emissions '[kg CO2']],0)</f>
        <v>0</v>
      </c>
      <c r="H946" s="584">
        <f>$D946*_xlfn.XLOOKUP($I946,BG_Data[Product],BG_Data[Total env. impact (Ecological Scarcity 2021) '[UBP']],0)</f>
        <v>0</v>
      </c>
      <c r="I946" s="503" t="s">
        <v>2804</v>
      </c>
      <c r="J946" s="503" t="s">
        <v>27213</v>
      </c>
      <c r="K946" s="248"/>
    </row>
    <row r="947" spans="1:18" x14ac:dyDescent="0.2">
      <c r="A947" s="257"/>
      <c r="B947" s="249"/>
      <c r="C947" s="503">
        <f>IF('2 Data Inputs'!G406="kWh",'2 Data Inputs'!C406,0)</f>
        <v>0</v>
      </c>
      <c r="D947" s="537">
        <f>IF('2 Data Inputs'!G406="kWh",'2 Data Inputs'!F406,0)</f>
        <v>0</v>
      </c>
      <c r="E947" s="537">
        <f>_xlfn.XLOOKUP($I947,BG_Data[Product],BG_Data[GHG emissions (IPCC 2021) '[kg CO2 eq']],0)</f>
        <v>5.625548261860136E-2</v>
      </c>
      <c r="F947" s="537">
        <f t="shared" si="69"/>
        <v>0</v>
      </c>
      <c r="G947" s="537">
        <f>$D947*_xlfn.XLOOKUP($I947,BG_Data[Product],BG_Data[Biogenic CO2 emissions '[kg CO2']],0)</f>
        <v>0</v>
      </c>
      <c r="H947" s="584">
        <f>$D947*_xlfn.XLOOKUP($I947,BG_Data[Product],BG_Data[Total env. impact (Ecological Scarcity 2021) '[UBP']],0)</f>
        <v>0</v>
      </c>
      <c r="I947" s="503" t="s">
        <v>2804</v>
      </c>
      <c r="J947" s="503" t="s">
        <v>27213</v>
      </c>
      <c r="K947" s="248"/>
    </row>
    <row r="948" spans="1:18" x14ac:dyDescent="0.2">
      <c r="A948" s="257"/>
      <c r="B948" s="249"/>
      <c r="C948" s="503">
        <f>IF('2 Data Inputs'!G407="kWh",'2 Data Inputs'!C407,0)</f>
        <v>0</v>
      </c>
      <c r="D948" s="537">
        <f>IF('2 Data Inputs'!G407="kWh",'2 Data Inputs'!F407,0)</f>
        <v>0</v>
      </c>
      <c r="E948" s="537">
        <f>_xlfn.XLOOKUP($I948,BG_Data[Product],BG_Data[GHG emissions (IPCC 2021) '[kg CO2 eq']],0)</f>
        <v>5.625548261860136E-2</v>
      </c>
      <c r="F948" s="537">
        <f t="shared" si="69"/>
        <v>0</v>
      </c>
      <c r="G948" s="537">
        <f>$D948*_xlfn.XLOOKUP($I948,BG_Data[Product],BG_Data[Biogenic CO2 emissions '[kg CO2']],0)</f>
        <v>0</v>
      </c>
      <c r="H948" s="584">
        <f>$D948*_xlfn.XLOOKUP($I948,BG_Data[Product],BG_Data[Total env. impact (Ecological Scarcity 2021) '[UBP']],0)</f>
        <v>0</v>
      </c>
      <c r="I948" s="503" t="s">
        <v>2804</v>
      </c>
      <c r="J948" s="503" t="s">
        <v>27213</v>
      </c>
      <c r="K948" s="248"/>
    </row>
    <row r="949" spans="1:18" x14ac:dyDescent="0.2">
      <c r="A949" s="257"/>
      <c r="B949" s="249"/>
      <c r="C949" s="503">
        <f>IF('2 Data Inputs'!G408="kWh",'2 Data Inputs'!C408,0)</f>
        <v>0</v>
      </c>
      <c r="D949" s="537">
        <f>IF('2 Data Inputs'!G408="kWh",'2 Data Inputs'!F408,0)</f>
        <v>0</v>
      </c>
      <c r="E949" s="537">
        <f>_xlfn.XLOOKUP($I949,BG_Data[Product],BG_Data[GHG emissions (IPCC 2021) '[kg CO2 eq']],0)</f>
        <v>5.625548261860136E-2</v>
      </c>
      <c r="F949" s="537">
        <f t="shared" si="69"/>
        <v>0</v>
      </c>
      <c r="G949" s="537">
        <f>$D949*_xlfn.XLOOKUP($I949,BG_Data[Product],BG_Data[Biogenic CO2 emissions '[kg CO2']],0)</f>
        <v>0</v>
      </c>
      <c r="H949" s="584">
        <f>$D949*_xlfn.XLOOKUP($I949,BG_Data[Product],BG_Data[Total env. impact (Ecological Scarcity 2021) '[UBP']],0)</f>
        <v>0</v>
      </c>
      <c r="I949" s="503" t="s">
        <v>2804</v>
      </c>
      <c r="J949" s="503" t="s">
        <v>27213</v>
      </c>
      <c r="K949" s="248"/>
    </row>
    <row r="950" spans="1:18" ht="15" customHeight="1" x14ac:dyDescent="0.2">
      <c r="A950" s="257"/>
      <c r="B950" s="249"/>
      <c r="C950" s="503">
        <f>IF('2 Data Inputs'!G409="kWh",'2 Data Inputs'!C409,0)</f>
        <v>0</v>
      </c>
      <c r="D950" s="537">
        <f>IF('2 Data Inputs'!G409="kWh",'2 Data Inputs'!F409,0)</f>
        <v>0</v>
      </c>
      <c r="E950" s="537">
        <f>_xlfn.XLOOKUP($I950,BG_Data[Product],BG_Data[GHG emissions (IPCC 2021) '[kg CO2 eq']],0)</f>
        <v>5.625548261860136E-2</v>
      </c>
      <c r="F950" s="537">
        <f t="shared" si="69"/>
        <v>0</v>
      </c>
      <c r="G950" s="537">
        <f>$D950*_xlfn.XLOOKUP($I950,BG_Data[Product],BG_Data[Biogenic CO2 emissions '[kg CO2']],0)</f>
        <v>0</v>
      </c>
      <c r="H950" s="584">
        <f>$D950*_xlfn.XLOOKUP($I950,BG_Data[Product],BG_Data[Total env. impact (Ecological Scarcity 2021) '[UBP']],0)</f>
        <v>0</v>
      </c>
      <c r="I950" s="503" t="s">
        <v>2804</v>
      </c>
      <c r="J950" s="503" t="s">
        <v>27213</v>
      </c>
      <c r="K950" s="248"/>
    </row>
    <row r="951" spans="1:18" x14ac:dyDescent="0.2">
      <c r="A951" s="257"/>
      <c r="B951" s="249"/>
      <c r="C951" s="503">
        <f>IF('2 Data Inputs'!G410="kWh",'2 Data Inputs'!C410,0)</f>
        <v>0</v>
      </c>
      <c r="D951" s="537">
        <f>IF('2 Data Inputs'!G410="kWh",'2 Data Inputs'!F410,0)</f>
        <v>0</v>
      </c>
      <c r="E951" s="537">
        <f>_xlfn.XLOOKUP($I951,BG_Data[Product],BG_Data[GHG emissions (IPCC 2021) '[kg CO2 eq']],0)</f>
        <v>5.625548261860136E-2</v>
      </c>
      <c r="F951" s="537">
        <f t="shared" si="69"/>
        <v>0</v>
      </c>
      <c r="G951" s="537">
        <f>$D951*_xlfn.XLOOKUP($I951,BG_Data[Product],BG_Data[Biogenic CO2 emissions '[kg CO2']],0)</f>
        <v>0</v>
      </c>
      <c r="H951" s="584">
        <f>$D951*_xlfn.XLOOKUP($I951,BG_Data[Product],BG_Data[Total env. impact (Ecological Scarcity 2021) '[UBP']],0)</f>
        <v>0</v>
      </c>
      <c r="I951" s="503" t="s">
        <v>2804</v>
      </c>
      <c r="J951" s="503" t="s">
        <v>27213</v>
      </c>
      <c r="K951" s="248"/>
    </row>
    <row r="952" spans="1:18" x14ac:dyDescent="0.2">
      <c r="A952" s="257"/>
      <c r="B952" s="249"/>
      <c r="C952" s="503">
        <f>IF('2 Data Inputs'!G411="kWh",'2 Data Inputs'!C411,0)</f>
        <v>0</v>
      </c>
      <c r="D952" s="537">
        <f>IF('2 Data Inputs'!G411="kWh",'2 Data Inputs'!F411,0)</f>
        <v>0</v>
      </c>
      <c r="E952" s="537">
        <f>_xlfn.XLOOKUP($I952,BG_Data[Product],BG_Data[GHG emissions (IPCC 2021) '[kg CO2 eq']],0)</f>
        <v>5.625548261860136E-2</v>
      </c>
      <c r="F952" s="537">
        <f t="shared" si="69"/>
        <v>0</v>
      </c>
      <c r="G952" s="537">
        <f>$D952*_xlfn.XLOOKUP($I952,BG_Data[Product],BG_Data[Biogenic CO2 emissions '[kg CO2']],0)</f>
        <v>0</v>
      </c>
      <c r="H952" s="584">
        <f>$D952*_xlfn.XLOOKUP($I952,BG_Data[Product],BG_Data[Total env. impact (Ecological Scarcity 2021) '[UBP']],0)</f>
        <v>0</v>
      </c>
      <c r="I952" s="503" t="s">
        <v>2804</v>
      </c>
      <c r="J952" s="503" t="s">
        <v>27213</v>
      </c>
      <c r="K952" s="248"/>
    </row>
    <row r="953" spans="1:18" x14ac:dyDescent="0.2">
      <c r="A953" s="257"/>
      <c r="B953" s="249"/>
      <c r="C953" s="503">
        <f>IF('2 Data Inputs'!G412="kWh",'2 Data Inputs'!C412,0)</f>
        <v>0</v>
      </c>
      <c r="D953" s="537">
        <f>IF('2 Data Inputs'!G412="kWh",'2 Data Inputs'!F412,0)</f>
        <v>0</v>
      </c>
      <c r="E953" s="537">
        <f>_xlfn.XLOOKUP($I953,BG_Data[Product],BG_Data[GHG emissions (IPCC 2021) '[kg CO2 eq']],0)</f>
        <v>5.625548261860136E-2</v>
      </c>
      <c r="F953" s="537">
        <f t="shared" si="69"/>
        <v>0</v>
      </c>
      <c r="G953" s="537">
        <f>$D953*_xlfn.XLOOKUP($I953,BG_Data[Product],BG_Data[Biogenic CO2 emissions '[kg CO2']],0)</f>
        <v>0</v>
      </c>
      <c r="H953" s="584">
        <f>$D953*_xlfn.XLOOKUP($I953,BG_Data[Product],BG_Data[Total env. impact (Ecological Scarcity 2021) '[UBP']],0)</f>
        <v>0</v>
      </c>
      <c r="I953" s="503" t="s">
        <v>2804</v>
      </c>
      <c r="J953" s="503" t="s">
        <v>27213</v>
      </c>
      <c r="K953" s="248"/>
    </row>
    <row r="954" spans="1:18" x14ac:dyDescent="0.2">
      <c r="A954" s="257"/>
      <c r="B954" s="249"/>
      <c r="C954" s="503">
        <f>IF('2 Data Inputs'!G413="kWh",'2 Data Inputs'!C413,0)</f>
        <v>0</v>
      </c>
      <c r="D954" s="537">
        <f>IF('2 Data Inputs'!G413="kWh",'2 Data Inputs'!F413,0)</f>
        <v>0</v>
      </c>
      <c r="E954" s="537">
        <f>_xlfn.XLOOKUP($I954,BG_Data[Product],BG_Data[GHG emissions (IPCC 2021) '[kg CO2 eq']],0)</f>
        <v>5.625548261860136E-2</v>
      </c>
      <c r="F954" s="537">
        <f t="shared" si="69"/>
        <v>0</v>
      </c>
      <c r="G954" s="537">
        <f>$D954*_xlfn.XLOOKUP($I954,BG_Data[Product],BG_Data[Biogenic CO2 emissions '[kg CO2']],0)</f>
        <v>0</v>
      </c>
      <c r="H954" s="584">
        <f>$D954*_xlfn.XLOOKUP($I954,BG_Data[Product],BG_Data[Total env. impact (Ecological Scarcity 2021) '[UBP']],0)</f>
        <v>0</v>
      </c>
      <c r="I954" s="503" t="s">
        <v>2804</v>
      </c>
      <c r="J954" s="503" t="s">
        <v>27213</v>
      </c>
      <c r="K954" s="248"/>
    </row>
    <row r="955" spans="1:18" x14ac:dyDescent="0.2">
      <c r="A955" s="257"/>
      <c r="B955" s="249"/>
      <c r="C955" s="506">
        <f>IF('2 Data Inputs'!G414="kWh",'2 Data Inputs'!C414,0)</f>
        <v>0</v>
      </c>
      <c r="D955" s="532">
        <f>IF('2 Data Inputs'!G414="kWh",'2 Data Inputs'!F414,0)</f>
        <v>0</v>
      </c>
      <c r="E955" s="532">
        <f>_xlfn.XLOOKUP($I955,BG_Data[Product],BG_Data[GHG emissions (IPCC 2021) '[kg CO2 eq']],0)</f>
        <v>5.625548261860136E-2</v>
      </c>
      <c r="F955" s="532">
        <f t="shared" si="69"/>
        <v>0</v>
      </c>
      <c r="G955" s="532">
        <f>$D955*_xlfn.XLOOKUP($I955,BG_Data[Product],BG_Data[Biogenic CO2 emissions '[kg CO2']],0)</f>
        <v>0</v>
      </c>
      <c r="H955" s="581">
        <f>$D955*_xlfn.XLOOKUP($I955,BG_Data[Product],BG_Data[Total env. impact (Ecological Scarcity 2021) '[UBP']],0)</f>
        <v>0</v>
      </c>
      <c r="I955" s="506" t="s">
        <v>2804</v>
      </c>
      <c r="J955" s="506" t="s">
        <v>27213</v>
      </c>
      <c r="K955" s="248"/>
    </row>
    <row r="956" spans="1:18" ht="15" x14ac:dyDescent="0.25">
      <c r="A956" s="257"/>
      <c r="B956" s="249"/>
      <c r="C956" s="507" t="s">
        <v>2616</v>
      </c>
      <c r="D956" s="508">
        <f>SUM(D943:D955)</f>
        <v>0</v>
      </c>
      <c r="E956" s="508"/>
      <c r="F956" s="508">
        <f>SUM(F943:F955)</f>
        <v>0</v>
      </c>
      <c r="G956" s="508">
        <f>SUM(G943:G955)</f>
        <v>0</v>
      </c>
      <c r="H956" s="580">
        <f>SUM(H943:H955)</f>
        <v>0</v>
      </c>
      <c r="I956" s="507"/>
      <c r="J956" s="507"/>
      <c r="K956" s="248"/>
    </row>
    <row r="957" spans="1:18" x14ac:dyDescent="0.2">
      <c r="B957" s="249"/>
      <c r="C957" s="511"/>
      <c r="D957" s="510"/>
      <c r="E957" s="510"/>
      <c r="F957" s="510"/>
      <c r="G957" s="510"/>
      <c r="H957" s="571"/>
      <c r="I957" s="511"/>
      <c r="J957" s="511"/>
      <c r="K957" s="248"/>
    </row>
    <row r="958" spans="1:18" ht="15" x14ac:dyDescent="0.25">
      <c r="B958" s="249"/>
      <c r="C958" s="531" t="str">
        <f>n3Calculation_46.2Downstream_elFleetDirectLoation</f>
        <v>Flotte électrique - Basé sur la localisation - Direct</v>
      </c>
      <c r="D958" s="546"/>
      <c r="E958" s="546"/>
      <c r="F958" s="546"/>
      <c r="G958" s="546"/>
      <c r="H958" s="587"/>
      <c r="I958" s="545"/>
      <c r="J958" s="545"/>
      <c r="K958" s="248"/>
      <c r="M958" s="299" t="s">
        <v>28329</v>
      </c>
    </row>
    <row r="959" spans="1:18" ht="15" x14ac:dyDescent="0.25">
      <c r="B959" s="249"/>
      <c r="C959" s="531"/>
      <c r="D959" s="546"/>
      <c r="E959" s="546"/>
      <c r="F959" s="546"/>
      <c r="G959" s="546"/>
      <c r="H959" s="587"/>
      <c r="I959" s="545"/>
      <c r="J959" s="545"/>
      <c r="K959" s="248"/>
    </row>
    <row r="960" spans="1:18" s="686" customFormat="1" ht="33" x14ac:dyDescent="0.25">
      <c r="B960" s="681"/>
      <c r="C960" s="682" t="s">
        <v>27888</v>
      </c>
      <c r="D960" s="683" t="s">
        <v>28537</v>
      </c>
      <c r="E960" s="683" t="s">
        <v>27208</v>
      </c>
      <c r="F960" s="683" t="s">
        <v>27588</v>
      </c>
      <c r="G960" s="683" t="s">
        <v>27589</v>
      </c>
      <c r="H960" s="683" t="s">
        <v>27214</v>
      </c>
      <c r="I960" s="682" t="s">
        <v>27210</v>
      </c>
      <c r="J960" s="682" t="s">
        <v>27211</v>
      </c>
      <c r="K960" s="685"/>
      <c r="M960" s="687"/>
      <c r="N960" s="687"/>
      <c r="O960" s="687"/>
      <c r="P960" s="687"/>
      <c r="Q960" s="687"/>
      <c r="R960" s="687"/>
    </row>
    <row r="961" spans="1:18" x14ac:dyDescent="0.2">
      <c r="B961" s="249"/>
      <c r="C961" s="543" t="s">
        <v>27877</v>
      </c>
      <c r="D961" s="544">
        <f>SUM(SUMIF('2 Data Inputs'!G403:G412,"kWh",'2 Data Inputs'!F403:F412),'2 Data Inputs'!F398)</f>
        <v>0</v>
      </c>
      <c r="E961" s="544">
        <f>_xlfn.XLOOKUP($I961,BG_Data[Product],BG_Data[GHG emissions (IPCC 2021) '[kg CO2 eq']],0)</f>
        <v>5.625548261860136E-2</v>
      </c>
      <c r="F961" s="544">
        <f t="shared" ref="F961" si="70">$D961*$E961</f>
        <v>0</v>
      </c>
      <c r="G961" s="544">
        <f>$D961*_xlfn.XLOOKUP($I961,BG_Data[Product],BG_Data[Biogenic CO2 emissions '[kg CO2']],0)</f>
        <v>0</v>
      </c>
      <c r="H961" s="586">
        <f>$D961*_xlfn.XLOOKUP($I961,BG_Data[Product],BG_Data[Total env. impact (Ecological Scarcity 2021) '[UBP']],0)</f>
        <v>0</v>
      </c>
      <c r="I961" s="544" t="s">
        <v>2804</v>
      </c>
      <c r="J961" s="543" t="s">
        <v>27213</v>
      </c>
      <c r="K961" s="248"/>
    </row>
    <row r="962" spans="1:18" x14ac:dyDescent="0.2">
      <c r="B962" s="254"/>
      <c r="C962" s="539"/>
      <c r="D962" s="540"/>
      <c r="E962" s="540"/>
      <c r="F962" s="540"/>
      <c r="G962" s="540"/>
      <c r="H962" s="588"/>
      <c r="I962" s="539"/>
      <c r="J962" s="539"/>
      <c r="K962" s="256"/>
    </row>
    <row r="963" spans="1:18" ht="15" x14ac:dyDescent="0.25">
      <c r="B963" s="258"/>
    </row>
    <row r="964" spans="1:18" x14ac:dyDescent="0.2">
      <c r="B964" s="246"/>
      <c r="C964" s="527"/>
      <c r="D964" s="528"/>
      <c r="E964" s="528"/>
      <c r="F964" s="528"/>
      <c r="G964" s="547"/>
      <c r="H964" s="589"/>
      <c r="I964" s="548"/>
      <c r="J964" s="548"/>
      <c r="K964" s="247" t="str">
        <f>Calc_Hyperlink_Lessor</f>
        <v>Downstream leases</v>
      </c>
    </row>
    <row r="965" spans="1:18" ht="15" x14ac:dyDescent="0.25">
      <c r="A965" s="257"/>
      <c r="B965" s="249"/>
      <c r="C965" s="531" t="str">
        <f>n3Calculation_47.1Downstream_elFleetIndirectMarket</f>
        <v>Flotte électrique - Basé sur le marché - Indirect</v>
      </c>
      <c r="D965" s="511"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965" s="510"/>
      <c r="F965" s="510"/>
      <c r="G965" s="510"/>
      <c r="H965" s="571"/>
      <c r="I965" s="511"/>
      <c r="J965" s="511"/>
      <c r="K965" s="248"/>
      <c r="M965" s="299" t="s">
        <v>28328</v>
      </c>
    </row>
    <row r="966" spans="1:18" ht="15" customHeight="1" x14ac:dyDescent="0.2">
      <c r="A966" s="257"/>
      <c r="B966" s="249"/>
      <c r="C966" s="740"/>
      <c r="D966" s="740"/>
      <c r="E966" s="740"/>
      <c r="F966" s="740"/>
      <c r="G966" s="510"/>
      <c r="H966" s="571"/>
      <c r="I966" s="511"/>
      <c r="J966" s="511"/>
      <c r="K966" s="248"/>
    </row>
    <row r="967" spans="1:18" s="686" customFormat="1" ht="33" x14ac:dyDescent="0.25">
      <c r="A967" s="693"/>
      <c r="B967" s="681"/>
      <c r="C967" s="682" t="s">
        <v>28598</v>
      </c>
      <c r="D967" s="683" t="s">
        <v>28537</v>
      </c>
      <c r="E967" s="683" t="s">
        <v>27208</v>
      </c>
      <c r="F967" s="683" t="s">
        <v>27588</v>
      </c>
      <c r="G967" s="683" t="s">
        <v>27589</v>
      </c>
      <c r="H967" s="683" t="s">
        <v>27209</v>
      </c>
      <c r="I967" s="682" t="s">
        <v>27210</v>
      </c>
      <c r="J967" s="682" t="s">
        <v>27211</v>
      </c>
      <c r="K967" s="685"/>
      <c r="M967" s="687"/>
      <c r="N967" s="687"/>
      <c r="O967" s="687"/>
      <c r="P967" s="687"/>
      <c r="Q967" s="687"/>
      <c r="R967" s="687"/>
    </row>
    <row r="968" spans="1:18" x14ac:dyDescent="0.2">
      <c r="A968" s="257"/>
      <c r="B968" s="249"/>
      <c r="C968" s="524" t="s">
        <v>28275</v>
      </c>
      <c r="D968" s="525">
        <f>'2 Data Inputs'!F398</f>
        <v>0</v>
      </c>
      <c r="E968" s="535">
        <f>_xlfn.XLOOKUP($I968,BG_Data[Product],BG_Data[GHG emissions (IPCC 2021) '[kg CO2 eq']],0)</f>
        <v>4.0754008540141134E-2</v>
      </c>
      <c r="F968" s="535">
        <f t="shared" ref="F968:F980" si="71">$D968*$E968</f>
        <v>0</v>
      </c>
      <c r="G968" s="535">
        <f>$D968*_xlfn.XLOOKUP($I968,BG_Data[Product],BG_Data[Biogenic CO2 emissions '[kg CO2']],0)</f>
        <v>0</v>
      </c>
      <c r="H968" s="583">
        <f>$D968*_xlfn.XLOOKUP($I968,BG_Data[Product],BG_Data[Total env. impact (Ecological Scarcity 2021) '[UBP']],0)</f>
        <v>0</v>
      </c>
      <c r="I968" s="500" t="s">
        <v>3146</v>
      </c>
      <c r="J968" s="500" t="s">
        <v>27213</v>
      </c>
      <c r="K968" s="248"/>
    </row>
    <row r="969" spans="1:18" x14ac:dyDescent="0.2">
      <c r="A969" s="257"/>
      <c r="B969" s="249"/>
      <c r="C969" s="503">
        <f>IF('2 Data Inputs'!G403="kWh",'2 Data Inputs'!C403,0)</f>
        <v>0</v>
      </c>
      <c r="D969" s="537">
        <f>IF('2 Data Inputs'!G403="kWh",'2 Data Inputs'!F403,0)</f>
        <v>0</v>
      </c>
      <c r="E969" s="535">
        <f>_xlfn.XLOOKUP($I969,BG_Data[Product],BG_Data[GHG emissions (IPCC 2021) '[kg CO2 eq']],0)</f>
        <v>4.0754008540141134E-2</v>
      </c>
      <c r="F969" s="535">
        <f t="shared" si="71"/>
        <v>0</v>
      </c>
      <c r="G969" s="535">
        <f>$D969*_xlfn.XLOOKUP($I969,BG_Data[Product],BG_Data[Biogenic CO2 emissions '[kg CO2']],0)</f>
        <v>0</v>
      </c>
      <c r="H969" s="583">
        <f>$D969*_xlfn.XLOOKUP($I969,BG_Data[Product],BG_Data[Total env. impact (Ecological Scarcity 2021) '[UBP']],0)</f>
        <v>0</v>
      </c>
      <c r="I969" s="500" t="s">
        <v>3146</v>
      </c>
      <c r="J969" s="500" t="s">
        <v>27213</v>
      </c>
      <c r="K969" s="248"/>
    </row>
    <row r="970" spans="1:18" x14ac:dyDescent="0.2">
      <c r="A970" s="257"/>
      <c r="B970" s="249"/>
      <c r="C970" s="503">
        <f>IF('2 Data Inputs'!G404="kWh",'2 Data Inputs'!C404,0)</f>
        <v>0</v>
      </c>
      <c r="D970" s="537">
        <f>IF('2 Data Inputs'!G404="kWh",'2 Data Inputs'!F404,0)</f>
        <v>0</v>
      </c>
      <c r="E970" s="537">
        <f>_xlfn.XLOOKUP($I970,BG_Data[Product],BG_Data[GHG emissions (IPCC 2021) '[kg CO2 eq']],0)</f>
        <v>4.0754008540141134E-2</v>
      </c>
      <c r="F970" s="537">
        <f t="shared" si="71"/>
        <v>0</v>
      </c>
      <c r="G970" s="537">
        <f>$D970*_xlfn.XLOOKUP($I970,BG_Data[Product],BG_Data[Biogenic CO2 emissions '[kg CO2']],0)</f>
        <v>0</v>
      </c>
      <c r="H970" s="584">
        <f>$D970*_xlfn.XLOOKUP($I970,BG_Data[Product],BG_Data[Total env. impact (Ecological Scarcity 2021) '[UBP']],0)</f>
        <v>0</v>
      </c>
      <c r="I970" s="503" t="s">
        <v>3146</v>
      </c>
      <c r="J970" s="503" t="s">
        <v>27213</v>
      </c>
      <c r="K970" s="248"/>
    </row>
    <row r="971" spans="1:18" x14ac:dyDescent="0.2">
      <c r="A971" s="257"/>
      <c r="B971" s="249"/>
      <c r="C971" s="503">
        <f>IF('2 Data Inputs'!G405="kWh",'2 Data Inputs'!C405,0)</f>
        <v>0</v>
      </c>
      <c r="D971" s="537">
        <f>IF('2 Data Inputs'!G405="kWh",'2 Data Inputs'!F405,0)</f>
        <v>0</v>
      </c>
      <c r="E971" s="537">
        <f>_xlfn.XLOOKUP($I971,BG_Data[Product],BG_Data[GHG emissions (IPCC 2021) '[kg CO2 eq']],0)</f>
        <v>4.0754008540141134E-2</v>
      </c>
      <c r="F971" s="537">
        <f t="shared" si="71"/>
        <v>0</v>
      </c>
      <c r="G971" s="537">
        <f>$D971*_xlfn.XLOOKUP($I971,BG_Data[Product],BG_Data[Biogenic CO2 emissions '[kg CO2']],0)</f>
        <v>0</v>
      </c>
      <c r="H971" s="584">
        <f>$D971*_xlfn.XLOOKUP($I971,BG_Data[Product],BG_Data[Total env. impact (Ecological Scarcity 2021) '[UBP']],0)</f>
        <v>0</v>
      </c>
      <c r="I971" s="503" t="s">
        <v>3146</v>
      </c>
      <c r="J971" s="503" t="s">
        <v>27213</v>
      </c>
      <c r="K971" s="248"/>
    </row>
    <row r="972" spans="1:18" x14ac:dyDescent="0.2">
      <c r="A972" s="257"/>
      <c r="B972" s="249"/>
      <c r="C972" s="503">
        <f>IF('2 Data Inputs'!G406="kWh",'2 Data Inputs'!C406,0)</f>
        <v>0</v>
      </c>
      <c r="D972" s="537">
        <f>IF('2 Data Inputs'!G406="kWh",'2 Data Inputs'!F406,0)</f>
        <v>0</v>
      </c>
      <c r="E972" s="537">
        <f>_xlfn.XLOOKUP($I972,BG_Data[Product],BG_Data[GHG emissions (IPCC 2021) '[kg CO2 eq']],0)</f>
        <v>4.0754008540141134E-2</v>
      </c>
      <c r="F972" s="537">
        <f t="shared" si="71"/>
        <v>0</v>
      </c>
      <c r="G972" s="537">
        <f>$D972*_xlfn.XLOOKUP($I972,BG_Data[Product],BG_Data[Biogenic CO2 emissions '[kg CO2']],0)</f>
        <v>0</v>
      </c>
      <c r="H972" s="584">
        <f>$D972*_xlfn.XLOOKUP($I972,BG_Data[Product],BG_Data[Total env. impact (Ecological Scarcity 2021) '[UBP']],0)</f>
        <v>0</v>
      </c>
      <c r="I972" s="503" t="s">
        <v>3146</v>
      </c>
      <c r="J972" s="503" t="s">
        <v>27213</v>
      </c>
      <c r="K972" s="248"/>
    </row>
    <row r="973" spans="1:18" x14ac:dyDescent="0.2">
      <c r="A973" s="257"/>
      <c r="B973" s="249"/>
      <c r="C973" s="503">
        <f>IF('2 Data Inputs'!G407="kWh",'2 Data Inputs'!C407,0)</f>
        <v>0</v>
      </c>
      <c r="D973" s="537">
        <f>IF('2 Data Inputs'!G407="kWh",'2 Data Inputs'!F407,0)</f>
        <v>0</v>
      </c>
      <c r="E973" s="537">
        <f>_xlfn.XLOOKUP($I973,BG_Data[Product],BG_Data[GHG emissions (IPCC 2021) '[kg CO2 eq']],0)</f>
        <v>4.0754008540141134E-2</v>
      </c>
      <c r="F973" s="537">
        <f t="shared" si="71"/>
        <v>0</v>
      </c>
      <c r="G973" s="537">
        <f>$D973*_xlfn.XLOOKUP($I973,BG_Data[Product],BG_Data[Biogenic CO2 emissions '[kg CO2']],0)</f>
        <v>0</v>
      </c>
      <c r="H973" s="584">
        <f>$D973*_xlfn.XLOOKUP($I973,BG_Data[Product],BG_Data[Total env. impact (Ecological Scarcity 2021) '[UBP']],0)</f>
        <v>0</v>
      </c>
      <c r="I973" s="503" t="s">
        <v>3146</v>
      </c>
      <c r="J973" s="503" t="s">
        <v>27213</v>
      </c>
      <c r="K973" s="248"/>
    </row>
    <row r="974" spans="1:18" x14ac:dyDescent="0.2">
      <c r="A974" s="257"/>
      <c r="B974" s="249"/>
      <c r="C974" s="503">
        <f>IF('2 Data Inputs'!G408="kWh",'2 Data Inputs'!C408,0)</f>
        <v>0</v>
      </c>
      <c r="D974" s="537">
        <f>IF('2 Data Inputs'!G408="kWh",'2 Data Inputs'!F408,0)</f>
        <v>0</v>
      </c>
      <c r="E974" s="537">
        <f>_xlfn.XLOOKUP($I974,BG_Data[Product],BG_Data[GHG emissions (IPCC 2021) '[kg CO2 eq']],0)</f>
        <v>4.0754008540141134E-2</v>
      </c>
      <c r="F974" s="537">
        <f t="shared" si="71"/>
        <v>0</v>
      </c>
      <c r="G974" s="537">
        <f>$D974*_xlfn.XLOOKUP($I974,BG_Data[Product],BG_Data[Biogenic CO2 emissions '[kg CO2']],0)</f>
        <v>0</v>
      </c>
      <c r="H974" s="584">
        <f>$D974*_xlfn.XLOOKUP($I974,BG_Data[Product],BG_Data[Total env. impact (Ecological Scarcity 2021) '[UBP']],0)</f>
        <v>0</v>
      </c>
      <c r="I974" s="503" t="s">
        <v>3146</v>
      </c>
      <c r="J974" s="503" t="s">
        <v>27213</v>
      </c>
      <c r="K974" s="248"/>
    </row>
    <row r="975" spans="1:18" ht="15" customHeight="1" x14ac:dyDescent="0.2">
      <c r="A975" s="257"/>
      <c r="B975" s="249"/>
      <c r="C975" s="503">
        <f>IF('2 Data Inputs'!G409="kWh",'2 Data Inputs'!C409,0)</f>
        <v>0</v>
      </c>
      <c r="D975" s="537">
        <f>IF('2 Data Inputs'!G409="kWh",'2 Data Inputs'!F409,0)</f>
        <v>0</v>
      </c>
      <c r="E975" s="537">
        <f>_xlfn.XLOOKUP($I975,BG_Data[Product],BG_Data[GHG emissions (IPCC 2021) '[kg CO2 eq']],0)</f>
        <v>4.0754008540141134E-2</v>
      </c>
      <c r="F975" s="537">
        <f t="shared" si="71"/>
        <v>0</v>
      </c>
      <c r="G975" s="537">
        <f>$D975*_xlfn.XLOOKUP($I975,BG_Data[Product],BG_Data[Biogenic CO2 emissions '[kg CO2']],0)</f>
        <v>0</v>
      </c>
      <c r="H975" s="584">
        <f>$D975*_xlfn.XLOOKUP($I975,BG_Data[Product],BG_Data[Total env. impact (Ecological Scarcity 2021) '[UBP']],0)</f>
        <v>0</v>
      </c>
      <c r="I975" s="503" t="s">
        <v>3146</v>
      </c>
      <c r="J975" s="503" t="s">
        <v>27213</v>
      </c>
      <c r="K975" s="248"/>
    </row>
    <row r="976" spans="1:18" x14ac:dyDescent="0.2">
      <c r="A976" s="257"/>
      <c r="B976" s="249"/>
      <c r="C976" s="503">
        <f>IF('2 Data Inputs'!G410="kWh",'2 Data Inputs'!C410,0)</f>
        <v>0</v>
      </c>
      <c r="D976" s="537">
        <f>IF('2 Data Inputs'!G410="kWh",'2 Data Inputs'!F410,0)</f>
        <v>0</v>
      </c>
      <c r="E976" s="537">
        <f>_xlfn.XLOOKUP($I976,BG_Data[Product],BG_Data[GHG emissions (IPCC 2021) '[kg CO2 eq']],0)</f>
        <v>4.0754008540141134E-2</v>
      </c>
      <c r="F976" s="537">
        <f t="shared" si="71"/>
        <v>0</v>
      </c>
      <c r="G976" s="537">
        <f>$D976*_xlfn.XLOOKUP($I976,BG_Data[Product],BG_Data[Biogenic CO2 emissions '[kg CO2']],0)</f>
        <v>0</v>
      </c>
      <c r="H976" s="584">
        <f>$D976*_xlfn.XLOOKUP($I976,BG_Data[Product],BG_Data[Total env. impact (Ecological Scarcity 2021) '[UBP']],0)</f>
        <v>0</v>
      </c>
      <c r="I976" s="503" t="s">
        <v>3146</v>
      </c>
      <c r="J976" s="503" t="s">
        <v>27213</v>
      </c>
      <c r="K976" s="248"/>
    </row>
    <row r="977" spans="1:18" x14ac:dyDescent="0.2">
      <c r="A977" s="257"/>
      <c r="B977" s="249"/>
      <c r="C977" s="503">
        <f>IF('2 Data Inputs'!G411="kWh",'2 Data Inputs'!C411,0)</f>
        <v>0</v>
      </c>
      <c r="D977" s="537">
        <f>IF('2 Data Inputs'!G411="kWh",'2 Data Inputs'!F411,0)</f>
        <v>0</v>
      </c>
      <c r="E977" s="537">
        <f>_xlfn.XLOOKUP($I977,BG_Data[Product],BG_Data[GHG emissions (IPCC 2021) '[kg CO2 eq']],0)</f>
        <v>4.0754008540141134E-2</v>
      </c>
      <c r="F977" s="537">
        <f t="shared" si="71"/>
        <v>0</v>
      </c>
      <c r="G977" s="537">
        <f>$D977*_xlfn.XLOOKUP($I977,BG_Data[Product],BG_Data[Biogenic CO2 emissions '[kg CO2']],0)</f>
        <v>0</v>
      </c>
      <c r="H977" s="584">
        <f>$D977*_xlfn.XLOOKUP($I977,BG_Data[Product],BG_Data[Total env. impact (Ecological Scarcity 2021) '[UBP']],0)</f>
        <v>0</v>
      </c>
      <c r="I977" s="503" t="s">
        <v>3146</v>
      </c>
      <c r="J977" s="503" t="s">
        <v>27213</v>
      </c>
      <c r="K977" s="248"/>
    </row>
    <row r="978" spans="1:18" x14ac:dyDescent="0.2">
      <c r="A978" s="257"/>
      <c r="B978" s="249"/>
      <c r="C978" s="503">
        <f>IF('2 Data Inputs'!G412="kWh",'2 Data Inputs'!C412,0)</f>
        <v>0</v>
      </c>
      <c r="D978" s="537">
        <f>IF('2 Data Inputs'!G412="kWh",'2 Data Inputs'!F412,0)</f>
        <v>0</v>
      </c>
      <c r="E978" s="537">
        <f>_xlfn.XLOOKUP($I978,BG_Data[Product],BG_Data[GHG emissions (IPCC 2021) '[kg CO2 eq']],0)</f>
        <v>4.0754008540141134E-2</v>
      </c>
      <c r="F978" s="537">
        <f t="shared" si="71"/>
        <v>0</v>
      </c>
      <c r="G978" s="537">
        <f>$D978*_xlfn.XLOOKUP($I978,BG_Data[Product],BG_Data[Biogenic CO2 emissions '[kg CO2']],0)</f>
        <v>0</v>
      </c>
      <c r="H978" s="584">
        <f>$D978*_xlfn.XLOOKUP($I978,BG_Data[Product],BG_Data[Total env. impact (Ecological Scarcity 2021) '[UBP']],0)</f>
        <v>0</v>
      </c>
      <c r="I978" s="503" t="s">
        <v>3146</v>
      </c>
      <c r="J978" s="503" t="s">
        <v>27213</v>
      </c>
      <c r="K978" s="248"/>
    </row>
    <row r="979" spans="1:18" x14ac:dyDescent="0.2">
      <c r="A979" s="257"/>
      <c r="B979" s="249"/>
      <c r="C979" s="503">
        <f>IF('2 Data Inputs'!G413="kWh",'2 Data Inputs'!C413,0)</f>
        <v>0</v>
      </c>
      <c r="D979" s="537">
        <f>IF('2 Data Inputs'!G413="kWh",'2 Data Inputs'!F413,0)</f>
        <v>0</v>
      </c>
      <c r="E979" s="537">
        <f>_xlfn.XLOOKUP($I979,BG_Data[Product],BG_Data[GHG emissions (IPCC 2021) '[kg CO2 eq']],0)</f>
        <v>4.0754008540141134E-2</v>
      </c>
      <c r="F979" s="537">
        <f t="shared" si="71"/>
        <v>0</v>
      </c>
      <c r="G979" s="537">
        <f>$D979*_xlfn.XLOOKUP($I979,BG_Data[Product],BG_Data[Biogenic CO2 emissions '[kg CO2']],0)</f>
        <v>0</v>
      </c>
      <c r="H979" s="584">
        <f>$D979*_xlfn.XLOOKUP($I979,BG_Data[Product],BG_Data[Total env. impact (Ecological Scarcity 2021) '[UBP']],0)</f>
        <v>0</v>
      </c>
      <c r="I979" s="503" t="s">
        <v>3146</v>
      </c>
      <c r="J979" s="503" t="s">
        <v>27213</v>
      </c>
      <c r="K979" s="248"/>
    </row>
    <row r="980" spans="1:18" x14ac:dyDescent="0.2">
      <c r="A980" s="257"/>
      <c r="B980" s="249"/>
      <c r="C980" s="506">
        <f>IF('2 Data Inputs'!G414="kWh",'2 Data Inputs'!C414,0)</f>
        <v>0</v>
      </c>
      <c r="D980" s="532">
        <f>IF('2 Data Inputs'!G414="kWh",'2 Data Inputs'!F414,0)</f>
        <v>0</v>
      </c>
      <c r="E980" s="532">
        <f>_xlfn.XLOOKUP($I980,BG_Data[Product],BG_Data[GHG emissions (IPCC 2021) '[kg CO2 eq']],0)</f>
        <v>4.0754008540141134E-2</v>
      </c>
      <c r="F980" s="532">
        <f t="shared" si="71"/>
        <v>0</v>
      </c>
      <c r="G980" s="532">
        <f>$D980*_xlfn.XLOOKUP($I980,BG_Data[Product],BG_Data[Biogenic CO2 emissions '[kg CO2']],0)</f>
        <v>0</v>
      </c>
      <c r="H980" s="581">
        <f>$D980*_xlfn.XLOOKUP($I980,BG_Data[Product],BG_Data[Total env. impact (Ecological Scarcity 2021) '[UBP']],0)</f>
        <v>0</v>
      </c>
      <c r="I980" s="506" t="s">
        <v>3146</v>
      </c>
      <c r="J980" s="506" t="s">
        <v>27213</v>
      </c>
      <c r="K980" s="248"/>
    </row>
    <row r="981" spans="1:18" ht="15" x14ac:dyDescent="0.25">
      <c r="A981" s="257"/>
      <c r="B981" s="249"/>
      <c r="C981" s="507" t="s">
        <v>2616</v>
      </c>
      <c r="D981" s="508">
        <f>SUM(D968:D980)</f>
        <v>0</v>
      </c>
      <c r="E981" s="508"/>
      <c r="F981" s="508">
        <f>SUM(F968:F980)</f>
        <v>0</v>
      </c>
      <c r="G981" s="508">
        <f>SUM(G968:G980)</f>
        <v>0</v>
      </c>
      <c r="H981" s="580">
        <f>SUM(H968:H980)</f>
        <v>0</v>
      </c>
      <c r="I981" s="507"/>
      <c r="J981" s="507"/>
      <c r="K981" s="248"/>
    </row>
    <row r="982" spans="1:18" x14ac:dyDescent="0.2">
      <c r="B982" s="249"/>
      <c r="C982" s="511"/>
      <c r="D982" s="510"/>
      <c r="E982" s="510"/>
      <c r="F982" s="510"/>
      <c r="G982" s="510"/>
      <c r="H982" s="571"/>
      <c r="I982" s="511"/>
      <c r="J982" s="511"/>
      <c r="K982" s="248"/>
    </row>
    <row r="983" spans="1:18" ht="15" x14ac:dyDescent="0.25">
      <c r="B983" s="249"/>
      <c r="C983" s="531" t="str">
        <f>n3Calculation_47.2Downstream_elFleetIndirectLocation</f>
        <v>Flotte électrique - Basé sur la localisation - Indirect</v>
      </c>
      <c r="D983" s="546"/>
      <c r="E983" s="546"/>
      <c r="F983" s="546"/>
      <c r="G983" s="546"/>
      <c r="H983" s="587"/>
      <c r="I983" s="545"/>
      <c r="J983" s="545"/>
      <c r="K983" s="248"/>
      <c r="M983" s="299" t="s">
        <v>28327</v>
      </c>
    </row>
    <row r="984" spans="1:18" ht="15" x14ac:dyDescent="0.25">
      <c r="B984" s="249"/>
      <c r="C984" s="531"/>
      <c r="D984" s="546"/>
      <c r="E984" s="546"/>
      <c r="F984" s="546"/>
      <c r="G984" s="546"/>
      <c r="H984" s="587"/>
      <c r="I984" s="545"/>
      <c r="J984" s="545"/>
      <c r="K984" s="248"/>
    </row>
    <row r="985" spans="1:18" s="688" customFormat="1" ht="33" x14ac:dyDescent="0.25">
      <c r="B985" s="689"/>
      <c r="C985" s="682" t="s">
        <v>27888</v>
      </c>
      <c r="D985" s="683" t="s">
        <v>28537</v>
      </c>
      <c r="E985" s="683" t="s">
        <v>27208</v>
      </c>
      <c r="F985" s="683" t="s">
        <v>27588</v>
      </c>
      <c r="G985" s="683" t="s">
        <v>27589</v>
      </c>
      <c r="H985" s="683" t="s">
        <v>27214</v>
      </c>
      <c r="I985" s="682" t="s">
        <v>27210</v>
      </c>
      <c r="J985" s="682" t="s">
        <v>27211</v>
      </c>
      <c r="K985" s="690"/>
      <c r="M985" s="691"/>
      <c r="N985" s="691"/>
      <c r="O985" s="691"/>
      <c r="P985" s="691"/>
      <c r="Q985" s="691"/>
      <c r="R985" s="691"/>
    </row>
    <row r="986" spans="1:18" x14ac:dyDescent="0.2">
      <c r="B986" s="249"/>
      <c r="C986" s="543" t="s">
        <v>27877</v>
      </c>
      <c r="D986" s="544">
        <f>SUM(SUMIF('2 Data Inputs'!G403:G412,"kWh",'2 Data Inputs'!F403:F412),'2 Data Inputs'!F398)</f>
        <v>0</v>
      </c>
      <c r="E986" s="544">
        <f>_xlfn.XLOOKUP($I986,BG_Data[Product],BG_Data[GHG emissions (IPCC 2021) '[kg CO2 eq']],0)</f>
        <v>5.625548261860136E-2</v>
      </c>
      <c r="F986" s="544">
        <f t="shared" ref="F986" si="72">$D986*$E986</f>
        <v>0</v>
      </c>
      <c r="G986" s="544">
        <f>$D986*_xlfn.XLOOKUP($I986,BG_Data[Product],BG_Data[Biogenic CO2 emissions '[kg CO2']],0)</f>
        <v>0</v>
      </c>
      <c r="H986" s="586">
        <f>$D986*_xlfn.XLOOKUP($I986,BG_Data[Product],BG_Data[Total env. impact (Ecological Scarcity 2021) '[UBP']],0)</f>
        <v>0</v>
      </c>
      <c r="I986" s="544" t="s">
        <v>2804</v>
      </c>
      <c r="J986" s="543" t="s">
        <v>27213</v>
      </c>
      <c r="K986" s="248"/>
    </row>
    <row r="987" spans="1:18" x14ac:dyDescent="0.2">
      <c r="B987" s="254"/>
      <c r="C987" s="539"/>
      <c r="D987" s="540"/>
      <c r="E987" s="540"/>
      <c r="F987" s="540"/>
      <c r="G987" s="540"/>
      <c r="H987" s="588"/>
      <c r="I987" s="539"/>
      <c r="J987" s="539"/>
      <c r="K987" s="256"/>
    </row>
    <row r="989" spans="1:18" ht="15" x14ac:dyDescent="0.25">
      <c r="B989" s="258"/>
    </row>
  </sheetData>
  <sheetProtection sheet="1" objects="1" scenarios="1"/>
  <dataConsolidate/>
  <mergeCells count="60">
    <mergeCell ref="A61:A62"/>
    <mergeCell ref="C177:F177"/>
    <mergeCell ref="B7:H7"/>
    <mergeCell ref="B10:H10"/>
    <mergeCell ref="E13:F17"/>
    <mergeCell ref="C24:F24"/>
    <mergeCell ref="C42:F42"/>
    <mergeCell ref="C81:F81"/>
    <mergeCell ref="A110:A111"/>
    <mergeCell ref="C110:F110"/>
    <mergeCell ref="C134:F134"/>
    <mergeCell ref="C151:F151"/>
    <mergeCell ref="B13:C13"/>
    <mergeCell ref="B14:C14"/>
    <mergeCell ref="B15:C15"/>
    <mergeCell ref="B16:C16"/>
    <mergeCell ref="C204:F204"/>
    <mergeCell ref="C232:F232"/>
    <mergeCell ref="C251:F251"/>
    <mergeCell ref="C267:F267"/>
    <mergeCell ref="B17:C17"/>
    <mergeCell ref="C285:F285"/>
    <mergeCell ref="A516:A518"/>
    <mergeCell ref="C330:F330"/>
    <mergeCell ref="C354:F354"/>
    <mergeCell ref="C366:F366"/>
    <mergeCell ref="C386:F386"/>
    <mergeCell ref="C420:F420"/>
    <mergeCell ref="C437:F437"/>
    <mergeCell ref="C456:F456"/>
    <mergeCell ref="C461:F461"/>
    <mergeCell ref="C480:F480"/>
    <mergeCell ref="C500:F500"/>
    <mergeCell ref="C513:F513"/>
    <mergeCell ref="C543:F543"/>
    <mergeCell ref="C560:F560"/>
    <mergeCell ref="C577:F577"/>
    <mergeCell ref="C594:F594"/>
    <mergeCell ref="C611:F611"/>
    <mergeCell ref="C941:F941"/>
    <mergeCell ref="C966:F966"/>
    <mergeCell ref="C866:F866"/>
    <mergeCell ref="C890:F890"/>
    <mergeCell ref="C839:F839"/>
    <mergeCell ref="G2:H2"/>
    <mergeCell ref="A897:A900"/>
    <mergeCell ref="C916:F916"/>
    <mergeCell ref="A923:A926"/>
    <mergeCell ref="C819:F819"/>
    <mergeCell ref="C836:F836"/>
    <mergeCell ref="C715:F715"/>
    <mergeCell ref="C768:F768"/>
    <mergeCell ref="C785:F785"/>
    <mergeCell ref="C802:F802"/>
    <mergeCell ref="C741:F741"/>
    <mergeCell ref="C614:F614"/>
    <mergeCell ref="C638:F638"/>
    <mergeCell ref="C641:F641"/>
    <mergeCell ref="C665:F665"/>
    <mergeCell ref="C690:F690"/>
  </mergeCells>
  <phoneticPr fontId="64" type="noConversion"/>
  <hyperlinks>
    <hyperlink ref="B14" location="Calc_Hyperlink_S2" display="Scope2" xr:uid="{E5477DDE-2D6F-42AB-A8F8-33E6BB2DA5FB}"/>
    <hyperlink ref="B15" location="Calc_Hyperlink_S3" display="Scope3" xr:uid="{B77FB962-8CD9-4665-9EA3-5C5DF84EE55C}"/>
    <hyperlink ref="B16" location="Calc_Hyperlink_Lessee" display="Lessee" xr:uid="{358BE2D8-9C04-4142-A340-9F8CB76393B8}"/>
    <hyperlink ref="B13" location="Calc_Hyperlink_S1" display="Scope 1" xr:uid="{53120B7C-6704-48DA-8D4D-EE2CAAE924DD}"/>
    <hyperlink ref="B17" location="Calc_Hyperlink_Lessor" display="Lessor" xr:uid="{D077B47E-F574-4B29-BBEC-A435BF23AF76}"/>
    <hyperlink ref="G2" location="'3 Calculation'!A6" display="▲ Back to top" xr:uid="{4E5437B4-FA26-444C-9B3D-08B95DD3541A}"/>
  </hyperlinks>
  <pageMargins left="0.7" right="0.7" top="0.78740157499999996" bottom="0.78740157499999996" header="0.3" footer="0.3"/>
  <pageSetup paperSize="9" orientation="portrait" verticalDpi="4294967293" r:id="rId1"/>
  <tableParts count="7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0BD3-352C-420A-8CD1-61638E2A08C4}">
  <sheetPr codeName="Sheet6">
    <tabColor rgb="FFFFD5D5"/>
  </sheetPr>
  <dimension ref="B1:X515"/>
  <sheetViews>
    <sheetView zoomScaleNormal="100" workbookViewId="0">
      <pane ySplit="4" topLeftCell="A5" activePane="bottomLeft" state="frozen"/>
      <selection activeCell="B35" sqref="B35:E35"/>
      <selection pane="bottomLeft" activeCell="A6" sqref="A6"/>
    </sheetView>
  </sheetViews>
  <sheetFormatPr defaultColWidth="11.42578125" defaultRowHeight="14.25" x14ac:dyDescent="0.2"/>
  <cols>
    <col min="1" max="1" width="5.7109375" style="92" customWidth="1"/>
    <col min="2" max="2" width="11.7109375" style="92" customWidth="1"/>
    <col min="3" max="3" width="41.5703125" style="93" customWidth="1"/>
    <col min="4" max="9" width="20.7109375" style="92" customWidth="1"/>
    <col min="10" max="10" width="11.42578125" style="92"/>
    <col min="11" max="11" width="38.42578125" style="92" hidden="1" customWidth="1"/>
    <col min="12" max="18" width="11.42578125" style="92"/>
    <col min="19" max="19" width="10" style="107" customWidth="1"/>
    <col min="20" max="20" width="22.7109375" style="107" customWidth="1"/>
    <col min="21" max="21" width="25.140625" style="107" customWidth="1"/>
    <col min="22" max="22" width="11.42578125" style="107"/>
    <col min="23" max="23" width="37.28515625" style="107" customWidth="1"/>
    <col min="24" max="24" width="11.42578125" style="107"/>
    <col min="25" max="16384" width="11.42578125" style="92"/>
  </cols>
  <sheetData>
    <row r="1" spans="2:24" s="1" customFormat="1" ht="5.0999999999999996" customHeight="1" x14ac:dyDescent="0.2">
      <c r="S1" s="61"/>
      <c r="T1" s="61"/>
      <c r="U1" s="61"/>
      <c r="V1" s="61"/>
      <c r="W1" s="61"/>
      <c r="X1" s="61"/>
    </row>
    <row r="2" spans="2:24" s="1" customFormat="1" ht="20.100000000000001" customHeight="1" x14ac:dyDescent="0.2">
      <c r="C2" s="62"/>
      <c r="D2" s="63"/>
      <c r="E2" s="183"/>
      <c r="G2" s="768" t="s">
        <v>28812</v>
      </c>
      <c r="H2" s="281"/>
      <c r="I2" s="281"/>
      <c r="J2" s="281"/>
      <c r="S2" s="679"/>
      <c r="T2" s="679"/>
      <c r="U2" s="61"/>
      <c r="V2" s="61"/>
      <c r="W2" s="61"/>
      <c r="X2" s="61"/>
    </row>
    <row r="3" spans="2:24" s="1" customFormat="1" ht="5.0999999999999996" customHeight="1" x14ac:dyDescent="0.2">
      <c r="S3" s="61"/>
      <c r="T3" s="61"/>
      <c r="U3" s="61"/>
      <c r="V3" s="61"/>
      <c r="W3" s="61"/>
      <c r="X3" s="61"/>
    </row>
    <row r="4" spans="2:24" s="64" customFormat="1" ht="5.0999999999999996" customHeight="1" x14ac:dyDescent="0.2">
      <c r="S4" s="680"/>
      <c r="T4" s="680"/>
      <c r="U4" s="680"/>
      <c r="V4" s="680"/>
      <c r="W4" s="680"/>
      <c r="X4" s="680"/>
    </row>
    <row r="5" spans="2:24" s="10" customFormat="1" ht="9.9499999999999993" customHeight="1" x14ac:dyDescent="0.2">
      <c r="C5" s="70"/>
      <c r="S5" s="224"/>
      <c r="T5" s="224"/>
      <c r="U5" s="224"/>
      <c r="V5" s="224"/>
      <c r="W5" s="224"/>
      <c r="X5" s="224"/>
    </row>
    <row r="6" spans="2:24" s="10" customFormat="1" ht="30" x14ac:dyDescent="0.4">
      <c r="B6" s="14" t="str">
        <f>n4Dashboard</f>
        <v>Résultats</v>
      </c>
      <c r="C6" s="70"/>
      <c r="K6" s="13" t="s">
        <v>27441</v>
      </c>
      <c r="S6" s="224"/>
      <c r="T6" s="224"/>
      <c r="U6" s="224"/>
      <c r="V6" s="224"/>
      <c r="W6" s="224"/>
      <c r="X6" s="224"/>
    </row>
    <row r="7" spans="2:24" s="10" customFormat="1" x14ac:dyDescent="0.2">
      <c r="B7" s="10" t="str">
        <f>n4Dashboard_Text1</f>
        <v>Les résultats du calcul des émissions sont présentés ici. La classification s'effectue selon les Scopes définis dans le GHG Protocol.</v>
      </c>
      <c r="C7" s="70"/>
      <c r="K7" s="13" t="s">
        <v>27442</v>
      </c>
      <c r="S7" s="224"/>
      <c r="T7" s="224"/>
      <c r="U7" s="224"/>
      <c r="V7" s="224"/>
      <c r="W7" s="224"/>
      <c r="X7" s="224"/>
    </row>
    <row r="8" spans="2:24" s="10" customFormat="1" ht="9.9499999999999993" customHeight="1" x14ac:dyDescent="0.2">
      <c r="C8" s="70"/>
      <c r="K8" s="13"/>
      <c r="S8" s="224"/>
      <c r="T8" s="224"/>
      <c r="U8" s="224"/>
      <c r="V8" s="224"/>
      <c r="W8" s="224"/>
      <c r="X8" s="224"/>
    </row>
    <row r="9" spans="2:24" s="10" customFormat="1" ht="16.149999999999999" customHeight="1" x14ac:dyDescent="0.25">
      <c r="B9" s="497" t="str">
        <f>n4Dashboard_1Instruction</f>
        <v>Instructions</v>
      </c>
      <c r="C9" s="18"/>
      <c r="D9" s="18"/>
      <c r="E9" s="18"/>
      <c r="F9" s="18"/>
      <c r="G9" s="18"/>
      <c r="H9" s="18"/>
      <c r="I9" s="18"/>
      <c r="J9" s="18"/>
      <c r="K9" s="13" t="s">
        <v>27443</v>
      </c>
      <c r="L9" s="18"/>
      <c r="M9" s="18"/>
      <c r="N9" s="18"/>
      <c r="O9" s="18"/>
      <c r="P9" s="18"/>
      <c r="Q9" s="18"/>
      <c r="R9" s="18"/>
      <c r="S9" s="224"/>
      <c r="T9" s="224"/>
      <c r="U9" s="224"/>
      <c r="V9" s="224"/>
      <c r="W9" s="224"/>
      <c r="X9" s="224"/>
    </row>
    <row r="10" spans="2:24" s="10" customFormat="1" ht="77.25" customHeight="1" x14ac:dyDescent="0.2">
      <c r="B10" s="747" t="str">
        <f>n4Dashboard_1Instruction_Text1</f>
        <v>Vous n’avez rien à faire dans cette feuille. Les résultats peuvent être copiés ici et réutilisés, par exemple pour la déclaration de durabilité, une feuille de route net-zero ou autres.
Pour plus d'informations sur l'interprétation des résultats, référez-vous au User Manual (chap. 5). 
Les graphiques présentant les résultats peuvent être paramétrés pour présenter les résultats selon le périmètre du bilan, l'approche de calcul, et la méthode d'impact.</v>
      </c>
      <c r="C10" s="747"/>
      <c r="D10" s="747"/>
      <c r="E10" s="747"/>
      <c r="F10" s="747"/>
      <c r="K10" s="13" t="s">
        <v>27444</v>
      </c>
      <c r="S10" s="224"/>
      <c r="T10" s="224"/>
      <c r="U10" s="224"/>
      <c r="V10" s="224"/>
      <c r="W10" s="224"/>
      <c r="X10" s="224"/>
    </row>
    <row r="11" spans="2:24" s="10" customFormat="1" ht="15" customHeight="1" x14ac:dyDescent="0.2">
      <c r="B11" s="18"/>
      <c r="C11" s="74"/>
      <c r="D11" s="74"/>
      <c r="E11" s="74"/>
      <c r="F11" s="74"/>
      <c r="G11" s="74"/>
      <c r="H11" s="74"/>
      <c r="I11" s="74"/>
      <c r="J11" s="74"/>
      <c r="K11" s="74"/>
      <c r="L11" s="74"/>
      <c r="M11" s="74"/>
      <c r="N11" s="74"/>
      <c r="O11" s="74"/>
      <c r="P11" s="74"/>
      <c r="Q11" s="74"/>
      <c r="R11" s="74"/>
      <c r="S11" s="224"/>
      <c r="T11" s="224"/>
      <c r="U11" s="224"/>
      <c r="V11" s="224"/>
      <c r="W11" s="224"/>
      <c r="X11" s="224"/>
    </row>
    <row r="12" spans="2:24" ht="15" customHeight="1" x14ac:dyDescent="0.2">
      <c r="B12" s="199"/>
      <c r="C12" s="98"/>
      <c r="D12" s="98"/>
      <c r="E12" s="98"/>
      <c r="F12" s="98"/>
      <c r="G12" s="98"/>
      <c r="H12" s="98"/>
      <c r="I12" s="98"/>
      <c r="J12" s="98"/>
      <c r="K12" s="98"/>
      <c r="L12" s="98"/>
      <c r="M12" s="98"/>
      <c r="N12" s="98"/>
      <c r="O12" s="98"/>
      <c r="P12" s="98"/>
      <c r="Q12" s="98"/>
      <c r="R12" s="98"/>
    </row>
    <row r="13" spans="2:24" ht="19.5" x14ac:dyDescent="0.2">
      <c r="B13" s="199" t="str">
        <f>n4Dashboard_3Graphs</f>
        <v>Visualisation des résultats</v>
      </c>
      <c r="K13" s="181" t="s">
        <v>28927</v>
      </c>
    </row>
    <row r="15" spans="2:24" ht="15" x14ac:dyDescent="0.25">
      <c r="B15" s="200"/>
      <c r="C15" s="566"/>
      <c r="D15" s="129"/>
      <c r="E15" s="106"/>
      <c r="S15" s="659" t="s">
        <v>28920</v>
      </c>
      <c r="T15" s="660"/>
      <c r="U15" s="661" t="s">
        <v>28919</v>
      </c>
      <c r="V15" s="661" t="s">
        <v>28914</v>
      </c>
      <c r="W15" s="661" t="s">
        <v>28915</v>
      </c>
      <c r="X15" s="662" t="s">
        <v>28917</v>
      </c>
    </row>
    <row r="16" spans="2:24" ht="15" x14ac:dyDescent="0.25">
      <c r="B16" s="204"/>
      <c r="C16" s="180" t="str">
        <f>n4Dashboard_3Graphs_Text1</f>
        <v>Périmètre du bilan</v>
      </c>
      <c r="D16" s="10"/>
      <c r="E16" s="108"/>
      <c r="K16" s="181" t="s">
        <v>28933</v>
      </c>
      <c r="S16" s="663">
        <f>MAX(COUNT(U16:U36),1)</f>
        <v>21</v>
      </c>
      <c r="U16" s="664" cm="1">
        <f t="array" ref="U16:U36">_xlfn._xlws.FILTER($S$40:$S$165,(T$40:T$165=$C$26)*(U$40:U$165=$C$30))</f>
        <v>64</v>
      </c>
      <c r="V16" s="107" t="s">
        <v>27158</v>
      </c>
      <c r="W16" s="107" t="str">
        <f>C80</f>
        <v>Combustion stationnaire</v>
      </c>
      <c r="X16" s="665">
        <f>IF($B$18,_xlfn.XLOOKUP($U16,$S$40:$S$165,X$40:X$165,""),0)</f>
        <v>0</v>
      </c>
    </row>
    <row r="17" spans="2:24" ht="5.45" customHeight="1" x14ac:dyDescent="0.2">
      <c r="B17" s="204"/>
      <c r="C17" s="70"/>
      <c r="D17" s="10"/>
      <c r="E17" s="108"/>
      <c r="S17" s="666"/>
      <c r="U17" s="664">
        <v>65</v>
      </c>
      <c r="W17" s="107" t="str">
        <f t="shared" ref="W17:W19" si="0">C81</f>
        <v>Émissions fugitives</v>
      </c>
      <c r="X17" s="665">
        <f t="shared" ref="X17:X19" si="1">IF($B$18,_xlfn.XLOOKUP($U17,$S$40:$S$165,X$40:X$165,""),0)</f>
        <v>0</v>
      </c>
    </row>
    <row r="18" spans="2:24" ht="15" x14ac:dyDescent="0.25">
      <c r="B18" s="590" t="b">
        <v>1</v>
      </c>
      <c r="C18" s="592" t="s">
        <v>27158</v>
      </c>
      <c r="D18" s="593" t="str">
        <f>TEXT(T31,"0")&amp;" "&amp;$S$27</f>
        <v>0 [t CO2 eq]</v>
      </c>
      <c r="E18" s="108"/>
      <c r="S18" s="666"/>
      <c r="U18" s="664">
        <v>66</v>
      </c>
      <c r="V18" s="107" t="s">
        <v>1392</v>
      </c>
      <c r="W18" s="107" t="str">
        <f t="shared" si="0"/>
        <v>Flotte</v>
      </c>
      <c r="X18" s="665">
        <f t="shared" si="1"/>
        <v>0</v>
      </c>
    </row>
    <row r="19" spans="2:24" ht="5.45" customHeight="1" x14ac:dyDescent="0.2">
      <c r="B19" s="204"/>
      <c r="C19" s="70"/>
      <c r="D19" s="10"/>
      <c r="E19" s="108"/>
      <c r="S19" s="666"/>
      <c r="U19" s="664">
        <v>67</v>
      </c>
      <c r="W19" s="107" t="str">
        <f t="shared" si="0"/>
        <v>Émissions liées aux processus</v>
      </c>
      <c r="X19" s="665">
        <f t="shared" si="1"/>
        <v>0</v>
      </c>
    </row>
    <row r="20" spans="2:24" ht="15" x14ac:dyDescent="0.25">
      <c r="B20" s="590" t="b">
        <v>1</v>
      </c>
      <c r="C20" s="592" t="s">
        <v>27159</v>
      </c>
      <c r="D20" s="593" t="str">
        <f>TEXT(T32,"0")&amp;" "&amp;$S$27</f>
        <v>0 [t CO2 eq]</v>
      </c>
      <c r="E20" s="108"/>
      <c r="K20" s="181" t="s">
        <v>28936</v>
      </c>
      <c r="S20" s="666"/>
      <c r="U20" s="664">
        <v>68</v>
      </c>
      <c r="V20" s="107" t="s">
        <v>27159</v>
      </c>
      <c r="W20" s="107" t="str">
        <f>C85</f>
        <v>Électricité (+ flotte électrique propre)</v>
      </c>
      <c r="X20" s="665">
        <f>IF($B$20,_xlfn.XLOOKUP($U20,$S$40:$S$165,X$40:X$165,""),0)</f>
        <v>0</v>
      </c>
    </row>
    <row r="21" spans="2:24" ht="5.45" customHeight="1" x14ac:dyDescent="0.2">
      <c r="B21" s="204"/>
      <c r="C21" s="70"/>
      <c r="D21" s="591"/>
      <c r="E21" s="108"/>
      <c r="K21" s="181"/>
      <c r="S21" s="666"/>
      <c r="U21" s="664">
        <v>69</v>
      </c>
      <c r="W21" s="107" t="str">
        <f t="shared" ref="W21" si="2">C86</f>
        <v>Chauffage à distance et vapeur</v>
      </c>
      <c r="X21" s="665">
        <f>IF($B$20,_xlfn.XLOOKUP($U21,$S$40:$S$165,X$40:X$165,""),0)</f>
        <v>0</v>
      </c>
    </row>
    <row r="22" spans="2:24" ht="15" x14ac:dyDescent="0.25">
      <c r="B22" s="590" t="b">
        <v>1</v>
      </c>
      <c r="C22" s="592" t="s">
        <v>2059</v>
      </c>
      <c r="D22" s="593" t="str">
        <f>TEXT(T33,"0")&amp;" "&amp;$S$27</f>
        <v>0 [t CO2 eq]</v>
      </c>
      <c r="E22" s="108"/>
      <c r="K22" s="567" t="str">
        <f>n4Dashboard_3Graphs_Text4</f>
        <v>Résultats par Scope</v>
      </c>
      <c r="S22" s="667" t="s">
        <v>28923</v>
      </c>
      <c r="U22" s="664">
        <v>70</v>
      </c>
      <c r="V22" s="107" t="s">
        <v>2059</v>
      </c>
      <c r="W22" s="107" t="str">
        <f>C88</f>
        <v>3.1 Biens et services</v>
      </c>
      <c r="X22" s="665">
        <f>IF($B$22,_xlfn.XLOOKUP($U22,$S$40:$S$165,X$40:X$165,""),0)</f>
        <v>0</v>
      </c>
    </row>
    <row r="23" spans="2:24" ht="5.45" customHeight="1" x14ac:dyDescent="0.2">
      <c r="B23" s="204"/>
      <c r="C23" s="70"/>
      <c r="D23" s="10"/>
      <c r="E23" s="108"/>
      <c r="K23" s="181"/>
      <c r="S23" s="666" t="str">
        <f>C30 &amp;" "&amp; S27</f>
        <v>Émissions GES (IPCC 2021) [t CO2 eq]</v>
      </c>
      <c r="U23" s="664">
        <v>71</v>
      </c>
      <c r="W23" s="107" t="str">
        <f t="shared" ref="W23:W36" si="3">C89</f>
        <v>3.2 Biens d’équipement</v>
      </c>
      <c r="X23" s="665">
        <f t="shared" ref="X23:X36" si="4">IF($B$22,_xlfn.XLOOKUP($U23,$S$40:$S$165,X$40:X$165,""),0)</f>
        <v>0</v>
      </c>
    </row>
    <row r="24" spans="2:24" ht="15" x14ac:dyDescent="0.25">
      <c r="B24" s="204"/>
      <c r="C24" s="180" t="str">
        <f>n4Dashboard_3Graphs_Text2</f>
        <v>Approche de calcul de l'électricité</v>
      </c>
      <c r="D24" s="10"/>
      <c r="E24" s="108"/>
      <c r="K24" s="181" t="s">
        <v>28934</v>
      </c>
      <c r="S24" s="666"/>
      <c r="U24" s="664">
        <v>72</v>
      </c>
      <c r="W24" s="107" t="str">
        <f t="shared" si="3"/>
        <v>3.3 Émissions indirectes de l'énergie</v>
      </c>
      <c r="X24" s="665">
        <f t="shared" si="4"/>
        <v>0</v>
      </c>
    </row>
    <row r="25" spans="2:24" ht="5.45" customHeight="1" x14ac:dyDescent="0.2">
      <c r="B25" s="204"/>
      <c r="C25" s="70"/>
      <c r="D25" s="10"/>
      <c r="E25" s="108"/>
      <c r="S25" s="666"/>
      <c r="U25" s="664">
        <v>73</v>
      </c>
      <c r="W25" s="107" t="str">
        <f t="shared" si="3"/>
        <v>3.4 Transport en amont</v>
      </c>
      <c r="X25" s="665">
        <f t="shared" si="4"/>
        <v>0</v>
      </c>
    </row>
    <row r="26" spans="2:24" ht="15" customHeight="1" x14ac:dyDescent="0.25">
      <c r="B26" s="204"/>
      <c r="C26" s="745" t="s">
        <v>28816</v>
      </c>
      <c r="D26" s="746"/>
      <c r="E26" s="108"/>
      <c r="S26" s="667" t="s">
        <v>28921</v>
      </c>
      <c r="U26" s="664">
        <v>74</v>
      </c>
      <c r="W26" s="107" t="str">
        <f t="shared" si="3"/>
        <v>3.5 Déchets d'exploitation</v>
      </c>
      <c r="X26" s="665">
        <f t="shared" si="4"/>
        <v>0</v>
      </c>
    </row>
    <row r="27" spans="2:24" ht="5.45" customHeight="1" x14ac:dyDescent="0.2">
      <c r="B27" s="204"/>
      <c r="C27" s="23"/>
      <c r="D27" s="10"/>
      <c r="E27" s="108"/>
      <c r="S27" s="666" t="str">
        <f>_xlfn.XLOOKUP(C30,G77:I77,G78:I78)</f>
        <v>[t CO2 eq]</v>
      </c>
      <c r="U27" s="664">
        <v>75</v>
      </c>
      <c r="W27" s="107" t="str">
        <f t="shared" si="3"/>
        <v>3.6 Voyages d’affaires</v>
      </c>
      <c r="X27" s="665">
        <f t="shared" si="4"/>
        <v>0</v>
      </c>
    </row>
    <row r="28" spans="2:24" ht="15" x14ac:dyDescent="0.25">
      <c r="B28" s="204"/>
      <c r="C28" s="180" t="str">
        <f>n4Dashboard_3Graphs_Text3</f>
        <v>Méthode d'impact</v>
      </c>
      <c r="D28" s="10"/>
      <c r="E28" s="108"/>
      <c r="K28" s="181" t="s">
        <v>28935</v>
      </c>
      <c r="S28" s="666"/>
      <c r="U28" s="664">
        <v>76</v>
      </c>
      <c r="W28" s="107" t="str">
        <f t="shared" si="3"/>
        <v>3.7 Trajets pendulaires</v>
      </c>
      <c r="X28" s="665">
        <f t="shared" si="4"/>
        <v>0</v>
      </c>
    </row>
    <row r="29" spans="2:24" ht="5.45" customHeight="1" x14ac:dyDescent="0.2">
      <c r="B29" s="204"/>
      <c r="C29" s="70"/>
      <c r="D29" s="10"/>
      <c r="E29" s="108"/>
      <c r="S29" s="666"/>
      <c r="U29" s="664">
        <v>77</v>
      </c>
      <c r="W29" s="107" t="str">
        <f t="shared" si="3"/>
        <v>3.8 Actifs loués en amont</v>
      </c>
      <c r="X29" s="665">
        <f t="shared" si="4"/>
        <v>0</v>
      </c>
    </row>
    <row r="30" spans="2:24" ht="15" customHeight="1" x14ac:dyDescent="0.25">
      <c r="B30" s="204"/>
      <c r="C30" s="745" t="str">
        <f>G77</f>
        <v>Émissions GES (IPCC 2021)</v>
      </c>
      <c r="D30" s="746"/>
      <c r="E30" s="108"/>
      <c r="S30" s="667" t="s">
        <v>28922</v>
      </c>
      <c r="U30" s="664">
        <v>78</v>
      </c>
      <c r="W30" s="107" t="str">
        <f t="shared" si="3"/>
        <v>3.9 Transport en aval</v>
      </c>
      <c r="X30" s="665">
        <f t="shared" si="4"/>
        <v>0</v>
      </c>
    </row>
    <row r="31" spans="2:24" x14ac:dyDescent="0.2">
      <c r="B31" s="171"/>
      <c r="C31" s="173"/>
      <c r="D31" s="172"/>
      <c r="E31" s="120"/>
      <c r="K31" s="181"/>
      <c r="S31" s="666" t="s">
        <v>27158</v>
      </c>
      <c r="T31" s="668">
        <f>IF(S31&lt;&gt;"",SUM(INDEX($X$16:$X$36,MATCH($S31,$V$16:$V$36,0)):INDEX($X$16:$X$36,IF($S32&lt;&gt;"",MATCH($S32,$V$16:$V$36,0)-1,graph_count))),"")</f>
        <v>0</v>
      </c>
      <c r="U31" s="664">
        <v>79</v>
      </c>
      <c r="W31" s="107" t="str">
        <f t="shared" si="3"/>
        <v>3.10 Transformation des biens vendus</v>
      </c>
      <c r="X31" s="665">
        <f t="shared" si="4"/>
        <v>0</v>
      </c>
    </row>
    <row r="32" spans="2:24" x14ac:dyDescent="0.2">
      <c r="K32" s="181"/>
      <c r="S32" s="666" t="s">
        <v>27159</v>
      </c>
      <c r="T32" s="668">
        <f>IF(S32&lt;&gt;"",SUM(INDEX($X$16:$X$36,MATCH($S32,$V$16:$V$36,0)):INDEX($X$16:$X$36,IF($S33&lt;&gt;"",MATCH($S33,$V$16:$V$36,0)-1,graph_count))),"")</f>
        <v>0</v>
      </c>
      <c r="U32" s="664">
        <v>80</v>
      </c>
      <c r="W32" s="107" t="str">
        <f t="shared" si="3"/>
        <v>3.11 Utilisation des biens vendus</v>
      </c>
      <c r="X32" s="665">
        <f t="shared" si="4"/>
        <v>0</v>
      </c>
    </row>
    <row r="33" spans="4:24" x14ac:dyDescent="0.2">
      <c r="K33" s="181"/>
      <c r="S33" s="666" t="s">
        <v>2059</v>
      </c>
      <c r="T33" s="668">
        <f>IF(S33&lt;&gt;"",SUM(INDEX($X$16:$X$36,MATCH($S33,$V$16:$V$36,0)):INDEX($X$16:$X$36,IF($S34&lt;&gt;"",MATCH($S34,$V$16:$V$36,0)-1,graph_count))),"")</f>
        <v>0</v>
      </c>
      <c r="U33" s="664">
        <v>81</v>
      </c>
      <c r="W33" s="107" t="str">
        <f t="shared" si="3"/>
        <v>3.12 Élimination des produits vendus</v>
      </c>
      <c r="X33" s="665">
        <f t="shared" si="4"/>
        <v>0</v>
      </c>
    </row>
    <row r="34" spans="4:24" x14ac:dyDescent="0.2">
      <c r="K34" s="181" t="s">
        <v>28937</v>
      </c>
      <c r="S34" s="666" t="str">
        <f>""</f>
        <v/>
      </c>
      <c r="T34" s="668"/>
      <c r="U34" s="664">
        <v>82</v>
      </c>
      <c r="W34" s="107" t="str">
        <f t="shared" si="3"/>
        <v>3.13 Actifs loués en aval</v>
      </c>
      <c r="X34" s="665">
        <f t="shared" si="4"/>
        <v>0</v>
      </c>
    </row>
    <row r="35" spans="4:24" x14ac:dyDescent="0.2">
      <c r="K35" s="567" t="str">
        <f>n4Dashboard_3Graphs_Text5</f>
        <v>Résultats par catégorie</v>
      </c>
      <c r="S35" s="666" t="s">
        <v>28254</v>
      </c>
      <c r="T35" s="668">
        <f>SUM(T31:T33)</f>
        <v>0</v>
      </c>
      <c r="U35" s="664">
        <v>83</v>
      </c>
      <c r="W35" s="107" t="str">
        <f t="shared" si="3"/>
        <v>3.14 Franchises</v>
      </c>
      <c r="X35" s="665">
        <f t="shared" si="4"/>
        <v>0</v>
      </c>
    </row>
    <row r="36" spans="4:24" x14ac:dyDescent="0.2">
      <c r="K36" s="181"/>
      <c r="S36" s="666"/>
      <c r="U36" s="664">
        <v>84</v>
      </c>
      <c r="W36" s="107" t="str">
        <f t="shared" si="3"/>
        <v>3.15 Investissements</v>
      </c>
      <c r="X36" s="665">
        <f t="shared" si="4"/>
        <v>0</v>
      </c>
    </row>
    <row r="37" spans="4:24" x14ac:dyDescent="0.2">
      <c r="G37" s="565"/>
      <c r="K37" s="181"/>
      <c r="S37" s="666"/>
      <c r="X37" s="669"/>
    </row>
    <row r="38" spans="4:24" x14ac:dyDescent="0.2">
      <c r="G38" s="565"/>
      <c r="K38" s="181"/>
      <c r="S38" s="666"/>
      <c r="X38" s="669"/>
    </row>
    <row r="39" spans="4:24" ht="15" x14ac:dyDescent="0.25">
      <c r="G39" s="565"/>
      <c r="K39" s="181"/>
      <c r="S39" s="670" t="s">
        <v>28919</v>
      </c>
      <c r="T39" s="671" t="s">
        <v>28918</v>
      </c>
      <c r="U39" s="671" t="s">
        <v>28916</v>
      </c>
      <c r="V39" s="671" t="s">
        <v>28914</v>
      </c>
      <c r="W39" s="671" t="s">
        <v>28915</v>
      </c>
      <c r="X39" s="672" t="s">
        <v>28917</v>
      </c>
    </row>
    <row r="40" spans="4:24" x14ac:dyDescent="0.2">
      <c r="D40" s="170"/>
      <c r="G40" s="565"/>
      <c r="K40" s="181"/>
      <c r="S40" s="673">
        <v>1</v>
      </c>
      <c r="T40" s="107" t="str">
        <f t="shared" ref="T40:T71" si="5">$G$74</f>
        <v>Market-based</v>
      </c>
      <c r="U40" s="107" t="str">
        <f t="shared" ref="U40:U60" si="6">$G$77</f>
        <v>Émissions GES (IPCC 2021)</v>
      </c>
      <c r="V40" s="107" t="str">
        <f>$B$79</f>
        <v>Scope 1</v>
      </c>
      <c r="W40" s="107" t="str">
        <f>$C$80</f>
        <v>Combustion stationnaire</v>
      </c>
      <c r="X40" s="674">
        <f>$G$80</f>
        <v>0</v>
      </c>
    </row>
    <row r="41" spans="4:24" x14ac:dyDescent="0.2">
      <c r="D41" s="170"/>
      <c r="G41" s="565"/>
      <c r="K41" s="181"/>
      <c r="S41" s="673">
        <v>2</v>
      </c>
      <c r="T41" s="107" t="str">
        <f t="shared" si="5"/>
        <v>Market-based</v>
      </c>
      <c r="U41" s="107" t="str">
        <f t="shared" si="6"/>
        <v>Émissions GES (IPCC 2021)</v>
      </c>
      <c r="V41" s="107" t="str">
        <f>$B$79</f>
        <v>Scope 1</v>
      </c>
      <c r="W41" s="107" t="str">
        <f>$C$81</f>
        <v>Émissions fugitives</v>
      </c>
      <c r="X41" s="674">
        <f>$G$81</f>
        <v>0</v>
      </c>
    </row>
    <row r="42" spans="4:24" x14ac:dyDescent="0.2">
      <c r="D42" s="170"/>
      <c r="G42" s="565"/>
      <c r="K42" s="181"/>
      <c r="S42" s="673">
        <v>3</v>
      </c>
      <c r="T42" s="107" t="str">
        <f t="shared" si="5"/>
        <v>Market-based</v>
      </c>
      <c r="U42" s="107" t="str">
        <f t="shared" si="6"/>
        <v>Émissions GES (IPCC 2021)</v>
      </c>
      <c r="V42" s="107" t="str">
        <f>$B$79</f>
        <v>Scope 1</v>
      </c>
      <c r="W42" s="107" t="str">
        <f>$C$82</f>
        <v>Flotte</v>
      </c>
      <c r="X42" s="674">
        <f>$G$82</f>
        <v>0</v>
      </c>
    </row>
    <row r="43" spans="4:24" x14ac:dyDescent="0.2">
      <c r="D43" s="170"/>
      <c r="G43" s="565"/>
      <c r="K43" s="181"/>
      <c r="S43" s="673">
        <v>4</v>
      </c>
      <c r="T43" s="107" t="str">
        <f t="shared" si="5"/>
        <v>Market-based</v>
      </c>
      <c r="U43" s="107" t="str">
        <f t="shared" si="6"/>
        <v>Émissions GES (IPCC 2021)</v>
      </c>
      <c r="V43" s="107" t="str">
        <f>$B$79</f>
        <v>Scope 1</v>
      </c>
      <c r="W43" s="107" t="str">
        <f>$C$83</f>
        <v>Émissions liées aux processus</v>
      </c>
      <c r="X43" s="674">
        <f>$G$83</f>
        <v>0</v>
      </c>
    </row>
    <row r="44" spans="4:24" x14ac:dyDescent="0.2">
      <c r="D44" s="170"/>
      <c r="G44" s="565"/>
      <c r="K44" s="181"/>
      <c r="S44" s="673">
        <v>5</v>
      </c>
      <c r="T44" s="107" t="str">
        <f t="shared" si="5"/>
        <v>Market-based</v>
      </c>
      <c r="U44" s="107" t="str">
        <f t="shared" si="6"/>
        <v>Émissions GES (IPCC 2021)</v>
      </c>
      <c r="V44" s="107" t="str">
        <f>$B$84</f>
        <v>Scope 2</v>
      </c>
      <c r="W44" s="107" t="str">
        <f>$C$85</f>
        <v>Électricité (+ flotte électrique propre)</v>
      </c>
      <c r="X44" s="674">
        <f>$G$85</f>
        <v>0</v>
      </c>
    </row>
    <row r="45" spans="4:24" x14ac:dyDescent="0.2">
      <c r="D45" s="170"/>
      <c r="G45" s="565"/>
      <c r="K45" s="181"/>
      <c r="S45" s="673">
        <v>6</v>
      </c>
      <c r="T45" s="107" t="str">
        <f t="shared" si="5"/>
        <v>Market-based</v>
      </c>
      <c r="U45" s="107" t="str">
        <f t="shared" si="6"/>
        <v>Émissions GES (IPCC 2021)</v>
      </c>
      <c r="V45" s="107" t="str">
        <f>$B$84</f>
        <v>Scope 2</v>
      </c>
      <c r="W45" s="107" t="str">
        <f>$C$86</f>
        <v>Chauffage à distance et vapeur</v>
      </c>
      <c r="X45" s="674">
        <f>$G$86</f>
        <v>0</v>
      </c>
    </row>
    <row r="46" spans="4:24" x14ac:dyDescent="0.2">
      <c r="D46" s="170"/>
      <c r="G46" s="565"/>
      <c r="K46" s="181"/>
      <c r="S46" s="673">
        <v>7</v>
      </c>
      <c r="T46" s="107" t="str">
        <f t="shared" si="5"/>
        <v>Market-based</v>
      </c>
      <c r="U46" s="107" t="str">
        <f t="shared" si="6"/>
        <v>Émissions GES (IPCC 2021)</v>
      </c>
      <c r="V46" s="107" t="str">
        <f t="shared" ref="V46:V60" si="7">$B$87</f>
        <v>Scope 3</v>
      </c>
      <c r="W46" s="107" t="str">
        <f>$C$88</f>
        <v>3.1 Biens et services</v>
      </c>
      <c r="X46" s="674">
        <f>$G$88</f>
        <v>0</v>
      </c>
    </row>
    <row r="47" spans="4:24" x14ac:dyDescent="0.2">
      <c r="D47" s="170"/>
      <c r="G47" s="565"/>
      <c r="K47" s="181"/>
      <c r="S47" s="673">
        <v>8</v>
      </c>
      <c r="T47" s="107" t="str">
        <f t="shared" si="5"/>
        <v>Market-based</v>
      </c>
      <c r="U47" s="107" t="str">
        <f t="shared" si="6"/>
        <v>Émissions GES (IPCC 2021)</v>
      </c>
      <c r="V47" s="107" t="str">
        <f t="shared" si="7"/>
        <v>Scope 3</v>
      </c>
      <c r="W47" s="107" t="str">
        <f>$C$89</f>
        <v>3.2 Biens d’équipement</v>
      </c>
      <c r="X47" s="674">
        <f>$G$89</f>
        <v>0</v>
      </c>
    </row>
    <row r="48" spans="4:24" x14ac:dyDescent="0.2">
      <c r="D48" s="170"/>
      <c r="G48" s="565"/>
      <c r="K48" s="181"/>
      <c r="S48" s="673">
        <v>9</v>
      </c>
      <c r="T48" s="107" t="str">
        <f t="shared" si="5"/>
        <v>Market-based</v>
      </c>
      <c r="U48" s="107" t="str">
        <f t="shared" si="6"/>
        <v>Émissions GES (IPCC 2021)</v>
      </c>
      <c r="V48" s="107" t="str">
        <f t="shared" si="7"/>
        <v>Scope 3</v>
      </c>
      <c r="W48" s="107" t="str">
        <f>$C$90</f>
        <v>3.3 Émissions indirectes de l'énergie</v>
      </c>
      <c r="X48" s="674">
        <f>$G$90</f>
        <v>0</v>
      </c>
    </row>
    <row r="49" spans="4:24" x14ac:dyDescent="0.2">
      <c r="D49" s="170"/>
      <c r="G49" s="565"/>
      <c r="K49" s="181"/>
      <c r="S49" s="673">
        <v>10</v>
      </c>
      <c r="T49" s="107" t="str">
        <f t="shared" si="5"/>
        <v>Market-based</v>
      </c>
      <c r="U49" s="107" t="str">
        <f t="shared" si="6"/>
        <v>Émissions GES (IPCC 2021)</v>
      </c>
      <c r="V49" s="107" t="str">
        <f t="shared" si="7"/>
        <v>Scope 3</v>
      </c>
      <c r="W49" s="107" t="str">
        <f>$C$91</f>
        <v>3.4 Transport en amont</v>
      </c>
      <c r="X49" s="674">
        <f>$G$91</f>
        <v>0</v>
      </c>
    </row>
    <row r="50" spans="4:24" x14ac:dyDescent="0.2">
      <c r="D50" s="170"/>
      <c r="G50" s="565"/>
      <c r="K50" s="181"/>
      <c r="S50" s="673">
        <v>11</v>
      </c>
      <c r="T50" s="107" t="str">
        <f t="shared" si="5"/>
        <v>Market-based</v>
      </c>
      <c r="U50" s="107" t="str">
        <f t="shared" si="6"/>
        <v>Émissions GES (IPCC 2021)</v>
      </c>
      <c r="V50" s="107" t="str">
        <f t="shared" si="7"/>
        <v>Scope 3</v>
      </c>
      <c r="W50" s="107" t="str">
        <f>$C$92</f>
        <v>3.5 Déchets d'exploitation</v>
      </c>
      <c r="X50" s="674">
        <f>$G$92</f>
        <v>0</v>
      </c>
    </row>
    <row r="51" spans="4:24" x14ac:dyDescent="0.2">
      <c r="D51" s="170"/>
      <c r="G51" s="565"/>
      <c r="K51" s="181"/>
      <c r="S51" s="673">
        <v>12</v>
      </c>
      <c r="T51" s="107" t="str">
        <f t="shared" si="5"/>
        <v>Market-based</v>
      </c>
      <c r="U51" s="107" t="str">
        <f t="shared" si="6"/>
        <v>Émissions GES (IPCC 2021)</v>
      </c>
      <c r="V51" s="107" t="str">
        <f t="shared" si="7"/>
        <v>Scope 3</v>
      </c>
      <c r="W51" s="107" t="str">
        <f>$C$93</f>
        <v>3.6 Voyages d’affaires</v>
      </c>
      <c r="X51" s="674">
        <f>$G$93</f>
        <v>0</v>
      </c>
    </row>
    <row r="52" spans="4:24" x14ac:dyDescent="0.2">
      <c r="D52" s="170"/>
      <c r="G52" s="565"/>
      <c r="K52" s="181"/>
      <c r="S52" s="673">
        <v>13</v>
      </c>
      <c r="T52" s="107" t="str">
        <f t="shared" si="5"/>
        <v>Market-based</v>
      </c>
      <c r="U52" s="107" t="str">
        <f t="shared" si="6"/>
        <v>Émissions GES (IPCC 2021)</v>
      </c>
      <c r="V52" s="107" t="str">
        <f t="shared" si="7"/>
        <v>Scope 3</v>
      </c>
      <c r="W52" s="107" t="str">
        <f>$C$94</f>
        <v>3.7 Trajets pendulaires</v>
      </c>
      <c r="X52" s="674">
        <f>$G$94</f>
        <v>0</v>
      </c>
    </row>
    <row r="53" spans="4:24" x14ac:dyDescent="0.2">
      <c r="D53" s="170"/>
      <c r="G53" s="565"/>
      <c r="K53" s="181"/>
      <c r="S53" s="673">
        <v>14</v>
      </c>
      <c r="T53" s="107" t="str">
        <f t="shared" si="5"/>
        <v>Market-based</v>
      </c>
      <c r="U53" s="107" t="str">
        <f t="shared" si="6"/>
        <v>Émissions GES (IPCC 2021)</v>
      </c>
      <c r="V53" s="107" t="str">
        <f t="shared" si="7"/>
        <v>Scope 3</v>
      </c>
      <c r="W53" s="107" t="str">
        <f>$C$95</f>
        <v>3.8 Actifs loués en amont</v>
      </c>
      <c r="X53" s="674">
        <f>$G$95</f>
        <v>0</v>
      </c>
    </row>
    <row r="54" spans="4:24" x14ac:dyDescent="0.2">
      <c r="D54" s="170"/>
      <c r="G54" s="565"/>
      <c r="K54" s="181"/>
      <c r="S54" s="673">
        <v>15</v>
      </c>
      <c r="T54" s="107" t="str">
        <f t="shared" si="5"/>
        <v>Market-based</v>
      </c>
      <c r="U54" s="107" t="str">
        <f t="shared" si="6"/>
        <v>Émissions GES (IPCC 2021)</v>
      </c>
      <c r="V54" s="107" t="str">
        <f t="shared" si="7"/>
        <v>Scope 3</v>
      </c>
      <c r="W54" s="107" t="str">
        <f>$C$96</f>
        <v>3.9 Transport en aval</v>
      </c>
      <c r="X54" s="674">
        <f>$G$96</f>
        <v>0</v>
      </c>
    </row>
    <row r="55" spans="4:24" x14ac:dyDescent="0.2">
      <c r="D55" s="170"/>
      <c r="G55" s="565"/>
      <c r="K55" s="181"/>
      <c r="S55" s="673">
        <v>16</v>
      </c>
      <c r="T55" s="107" t="str">
        <f t="shared" si="5"/>
        <v>Market-based</v>
      </c>
      <c r="U55" s="107" t="str">
        <f t="shared" si="6"/>
        <v>Émissions GES (IPCC 2021)</v>
      </c>
      <c r="V55" s="107" t="str">
        <f t="shared" si="7"/>
        <v>Scope 3</v>
      </c>
      <c r="W55" s="107" t="str">
        <f>$C$97</f>
        <v>3.10 Transformation des biens vendus</v>
      </c>
      <c r="X55" s="674">
        <f>$G$97</f>
        <v>0</v>
      </c>
    </row>
    <row r="56" spans="4:24" x14ac:dyDescent="0.2">
      <c r="D56" s="170"/>
      <c r="G56" s="565"/>
      <c r="K56" s="181"/>
      <c r="S56" s="673">
        <v>17</v>
      </c>
      <c r="T56" s="107" t="str">
        <f t="shared" si="5"/>
        <v>Market-based</v>
      </c>
      <c r="U56" s="107" t="str">
        <f t="shared" si="6"/>
        <v>Émissions GES (IPCC 2021)</v>
      </c>
      <c r="V56" s="107" t="str">
        <f t="shared" si="7"/>
        <v>Scope 3</v>
      </c>
      <c r="W56" s="107" t="str">
        <f>$C$98</f>
        <v>3.11 Utilisation des biens vendus</v>
      </c>
      <c r="X56" s="674">
        <f>$G$98</f>
        <v>0</v>
      </c>
    </row>
    <row r="57" spans="4:24" x14ac:dyDescent="0.2">
      <c r="D57" s="170"/>
      <c r="G57" s="565"/>
      <c r="K57" s="181"/>
      <c r="S57" s="673">
        <v>18</v>
      </c>
      <c r="T57" s="107" t="str">
        <f t="shared" si="5"/>
        <v>Market-based</v>
      </c>
      <c r="U57" s="107" t="str">
        <f t="shared" si="6"/>
        <v>Émissions GES (IPCC 2021)</v>
      </c>
      <c r="V57" s="107" t="str">
        <f t="shared" si="7"/>
        <v>Scope 3</v>
      </c>
      <c r="W57" s="107" t="str">
        <f>$C$99</f>
        <v>3.12 Élimination des produits vendus</v>
      </c>
      <c r="X57" s="674">
        <f>$G$99</f>
        <v>0</v>
      </c>
    </row>
    <row r="58" spans="4:24" x14ac:dyDescent="0.2">
      <c r="D58" s="170"/>
      <c r="G58" s="565"/>
      <c r="K58" s="181"/>
      <c r="S58" s="673">
        <v>19</v>
      </c>
      <c r="T58" s="107" t="str">
        <f t="shared" si="5"/>
        <v>Market-based</v>
      </c>
      <c r="U58" s="107" t="str">
        <f t="shared" si="6"/>
        <v>Émissions GES (IPCC 2021)</v>
      </c>
      <c r="V58" s="107" t="str">
        <f t="shared" si="7"/>
        <v>Scope 3</v>
      </c>
      <c r="W58" s="107" t="str">
        <f>$C$100</f>
        <v>3.13 Actifs loués en aval</v>
      </c>
      <c r="X58" s="674">
        <f>$G$100</f>
        <v>0</v>
      </c>
    </row>
    <row r="59" spans="4:24" x14ac:dyDescent="0.2">
      <c r="D59" s="170"/>
      <c r="G59" s="565"/>
      <c r="K59" s="181"/>
      <c r="S59" s="673">
        <v>20</v>
      </c>
      <c r="T59" s="107" t="str">
        <f t="shared" si="5"/>
        <v>Market-based</v>
      </c>
      <c r="U59" s="107" t="str">
        <f t="shared" si="6"/>
        <v>Émissions GES (IPCC 2021)</v>
      </c>
      <c r="V59" s="107" t="str">
        <f t="shared" si="7"/>
        <v>Scope 3</v>
      </c>
      <c r="W59" s="107" t="str">
        <f>$C$101</f>
        <v>3.14 Franchises</v>
      </c>
      <c r="X59" s="674">
        <f>$G$101</f>
        <v>0</v>
      </c>
    </row>
    <row r="60" spans="4:24" x14ac:dyDescent="0.2">
      <c r="D60" s="170"/>
      <c r="G60" s="565"/>
      <c r="K60" s="181"/>
      <c r="S60" s="673">
        <v>21</v>
      </c>
      <c r="T60" s="107" t="str">
        <f t="shared" si="5"/>
        <v>Market-based</v>
      </c>
      <c r="U60" s="107" t="str">
        <f t="shared" si="6"/>
        <v>Émissions GES (IPCC 2021)</v>
      </c>
      <c r="V60" s="107" t="str">
        <f t="shared" si="7"/>
        <v>Scope 3</v>
      </c>
      <c r="W60" s="107" t="str">
        <f>$C$102</f>
        <v>3.15 Investissements</v>
      </c>
      <c r="X60" s="674">
        <f>$G$102</f>
        <v>0</v>
      </c>
    </row>
    <row r="61" spans="4:24" x14ac:dyDescent="0.2">
      <c r="D61" s="170"/>
      <c r="G61" s="565"/>
      <c r="K61" s="181"/>
      <c r="S61" s="673">
        <v>22</v>
      </c>
      <c r="T61" s="107" t="str">
        <f t="shared" si="5"/>
        <v>Market-based</v>
      </c>
      <c r="U61" s="107" t="str">
        <f t="shared" ref="U61:U81" si="8">$H$77</f>
        <v>Émissions CO2 biogénique</v>
      </c>
      <c r="V61" s="107" t="str">
        <f>$B$79</f>
        <v>Scope 1</v>
      </c>
      <c r="W61" s="107" t="str">
        <f>$C$80</f>
        <v>Combustion stationnaire</v>
      </c>
      <c r="X61" s="674">
        <f>$H$80</f>
        <v>0</v>
      </c>
    </row>
    <row r="62" spans="4:24" x14ac:dyDescent="0.2">
      <c r="D62" s="170"/>
      <c r="G62" s="565"/>
      <c r="K62" s="181"/>
      <c r="S62" s="673">
        <v>23</v>
      </c>
      <c r="T62" s="107" t="str">
        <f t="shared" si="5"/>
        <v>Market-based</v>
      </c>
      <c r="U62" s="107" t="str">
        <f t="shared" si="8"/>
        <v>Émissions CO2 biogénique</v>
      </c>
      <c r="V62" s="107" t="str">
        <f>$B$79</f>
        <v>Scope 1</v>
      </c>
      <c r="W62" s="107" t="str">
        <f>$C$81</f>
        <v>Émissions fugitives</v>
      </c>
      <c r="X62" s="674">
        <f>$H$81</f>
        <v>0</v>
      </c>
    </row>
    <row r="63" spans="4:24" x14ac:dyDescent="0.2">
      <c r="D63" s="170"/>
      <c r="G63" s="565"/>
      <c r="K63" s="181"/>
      <c r="S63" s="673">
        <v>24</v>
      </c>
      <c r="T63" s="107" t="str">
        <f t="shared" si="5"/>
        <v>Market-based</v>
      </c>
      <c r="U63" s="107" t="str">
        <f t="shared" si="8"/>
        <v>Émissions CO2 biogénique</v>
      </c>
      <c r="V63" s="107" t="str">
        <f>$B$79</f>
        <v>Scope 1</v>
      </c>
      <c r="W63" s="107" t="str">
        <f>$C$82</f>
        <v>Flotte</v>
      </c>
      <c r="X63" s="674">
        <f>$H$82</f>
        <v>0</v>
      </c>
    </row>
    <row r="64" spans="4:24" x14ac:dyDescent="0.2">
      <c r="D64" s="170"/>
      <c r="G64" s="565"/>
      <c r="K64" s="181"/>
      <c r="S64" s="673">
        <v>25</v>
      </c>
      <c r="T64" s="107" t="str">
        <f t="shared" si="5"/>
        <v>Market-based</v>
      </c>
      <c r="U64" s="107" t="str">
        <f t="shared" si="8"/>
        <v>Émissions CO2 biogénique</v>
      </c>
      <c r="V64" s="107" t="str">
        <f>$B$79</f>
        <v>Scope 1</v>
      </c>
      <c r="W64" s="107" t="str">
        <f>$C$83</f>
        <v>Émissions liées aux processus</v>
      </c>
      <c r="X64" s="674">
        <f>$H$83</f>
        <v>0</v>
      </c>
    </row>
    <row r="65" spans="2:24" x14ac:dyDescent="0.2">
      <c r="D65" s="170"/>
      <c r="G65" s="565"/>
      <c r="K65" s="181"/>
      <c r="S65" s="673">
        <v>26</v>
      </c>
      <c r="T65" s="107" t="str">
        <f t="shared" si="5"/>
        <v>Market-based</v>
      </c>
      <c r="U65" s="107" t="str">
        <f t="shared" si="8"/>
        <v>Émissions CO2 biogénique</v>
      </c>
      <c r="V65" s="107" t="str">
        <f>$B$84</f>
        <v>Scope 2</v>
      </c>
      <c r="W65" s="107" t="str">
        <f>$C$85</f>
        <v>Électricité (+ flotte électrique propre)</v>
      </c>
      <c r="X65" s="674">
        <f>$H$85</f>
        <v>0</v>
      </c>
    </row>
    <row r="66" spans="2:24" x14ac:dyDescent="0.2">
      <c r="D66" s="170"/>
      <c r="G66" s="565"/>
      <c r="K66" s="181"/>
      <c r="S66" s="673">
        <v>27</v>
      </c>
      <c r="T66" s="107" t="str">
        <f t="shared" si="5"/>
        <v>Market-based</v>
      </c>
      <c r="U66" s="107" t="str">
        <f t="shared" si="8"/>
        <v>Émissions CO2 biogénique</v>
      </c>
      <c r="V66" s="107" t="str">
        <f>$B$84</f>
        <v>Scope 2</v>
      </c>
      <c r="W66" s="107" t="str">
        <f>$C$86</f>
        <v>Chauffage à distance et vapeur</v>
      </c>
      <c r="X66" s="674">
        <f>$H$86</f>
        <v>0</v>
      </c>
    </row>
    <row r="67" spans="2:24" x14ac:dyDescent="0.2">
      <c r="D67" s="170"/>
      <c r="G67" s="565"/>
      <c r="K67" s="181"/>
      <c r="S67" s="673">
        <v>28</v>
      </c>
      <c r="T67" s="107" t="str">
        <f t="shared" si="5"/>
        <v>Market-based</v>
      </c>
      <c r="U67" s="107" t="str">
        <f t="shared" si="8"/>
        <v>Émissions CO2 biogénique</v>
      </c>
      <c r="V67" s="107" t="str">
        <f t="shared" ref="V67:V81" si="9">$B$87</f>
        <v>Scope 3</v>
      </c>
      <c r="W67" s="107" t="str">
        <f>$C$88</f>
        <v>3.1 Biens et services</v>
      </c>
      <c r="X67" s="674">
        <f>$H$88</f>
        <v>0</v>
      </c>
    </row>
    <row r="68" spans="2:24" x14ac:dyDescent="0.2">
      <c r="D68" s="170"/>
      <c r="G68" s="565"/>
      <c r="K68" s="181"/>
      <c r="S68" s="673">
        <v>29</v>
      </c>
      <c r="T68" s="107" t="str">
        <f t="shared" si="5"/>
        <v>Market-based</v>
      </c>
      <c r="U68" s="107" t="str">
        <f t="shared" si="8"/>
        <v>Émissions CO2 biogénique</v>
      </c>
      <c r="V68" s="107" t="str">
        <f t="shared" si="9"/>
        <v>Scope 3</v>
      </c>
      <c r="W68" s="107" t="str">
        <f>$C$89</f>
        <v>3.2 Biens d’équipement</v>
      </c>
      <c r="X68" s="674">
        <f>$H$89</f>
        <v>0</v>
      </c>
    </row>
    <row r="69" spans="2:24" x14ac:dyDescent="0.2">
      <c r="D69" s="170"/>
      <c r="G69" s="565"/>
      <c r="K69" s="181"/>
      <c r="S69" s="673">
        <v>30</v>
      </c>
      <c r="T69" s="107" t="str">
        <f t="shared" si="5"/>
        <v>Market-based</v>
      </c>
      <c r="U69" s="107" t="str">
        <f t="shared" si="8"/>
        <v>Émissions CO2 biogénique</v>
      </c>
      <c r="V69" s="107" t="str">
        <f t="shared" si="9"/>
        <v>Scope 3</v>
      </c>
      <c r="W69" s="107" t="str">
        <f>$C$90</f>
        <v>3.3 Émissions indirectes de l'énergie</v>
      </c>
      <c r="X69" s="674">
        <f>$H$90</f>
        <v>0</v>
      </c>
    </row>
    <row r="70" spans="2:24" x14ac:dyDescent="0.2">
      <c r="D70" s="170"/>
      <c r="G70" s="565"/>
      <c r="K70" s="181"/>
      <c r="S70" s="673">
        <v>31</v>
      </c>
      <c r="T70" s="107" t="str">
        <f t="shared" si="5"/>
        <v>Market-based</v>
      </c>
      <c r="U70" s="107" t="str">
        <f t="shared" si="8"/>
        <v>Émissions CO2 biogénique</v>
      </c>
      <c r="V70" s="107" t="str">
        <f t="shared" si="9"/>
        <v>Scope 3</v>
      </c>
      <c r="W70" s="107" t="str">
        <f>$C$91</f>
        <v>3.4 Transport en amont</v>
      </c>
      <c r="X70" s="674">
        <f>$H$91</f>
        <v>0</v>
      </c>
    </row>
    <row r="71" spans="2:24" x14ac:dyDescent="0.2">
      <c r="D71" s="170"/>
      <c r="G71" s="565"/>
      <c r="K71" s="181"/>
      <c r="S71" s="673">
        <v>32</v>
      </c>
      <c r="T71" s="107" t="str">
        <f t="shared" si="5"/>
        <v>Market-based</v>
      </c>
      <c r="U71" s="107" t="str">
        <f t="shared" si="8"/>
        <v>Émissions CO2 biogénique</v>
      </c>
      <c r="V71" s="107" t="str">
        <f t="shared" si="9"/>
        <v>Scope 3</v>
      </c>
      <c r="W71" s="107" t="str">
        <f>$C$92</f>
        <v>3.5 Déchets d'exploitation</v>
      </c>
      <c r="X71" s="674">
        <f>$H$92</f>
        <v>0</v>
      </c>
    </row>
    <row r="72" spans="2:24" ht="19.5" x14ac:dyDescent="0.2">
      <c r="B72" s="199" t="str">
        <f>n4Dashboard_2TotalEmissions</f>
        <v>Tableau des résultats</v>
      </c>
      <c r="K72" s="181"/>
      <c r="S72" s="673">
        <v>33</v>
      </c>
      <c r="T72" s="107" t="str">
        <f t="shared" ref="T72:T102" si="10">$G$74</f>
        <v>Market-based</v>
      </c>
      <c r="U72" s="107" t="str">
        <f t="shared" si="8"/>
        <v>Émissions CO2 biogénique</v>
      </c>
      <c r="V72" s="107" t="str">
        <f t="shared" si="9"/>
        <v>Scope 3</v>
      </c>
      <c r="W72" s="107" t="str">
        <f>$C$93</f>
        <v>3.6 Voyages d’affaires</v>
      </c>
      <c r="X72" s="674">
        <f>$H$93</f>
        <v>0</v>
      </c>
    </row>
    <row r="73" spans="2:24" ht="19.5" x14ac:dyDescent="0.2">
      <c r="B73" s="199"/>
      <c r="K73" s="181"/>
      <c r="S73" s="673">
        <v>34</v>
      </c>
      <c r="T73" s="107" t="str">
        <f t="shared" si="10"/>
        <v>Market-based</v>
      </c>
      <c r="U73" s="107" t="str">
        <f t="shared" si="8"/>
        <v>Émissions CO2 biogénique</v>
      </c>
      <c r="V73" s="107" t="str">
        <f t="shared" si="9"/>
        <v>Scope 3</v>
      </c>
      <c r="W73" s="107" t="str">
        <f>$C$94</f>
        <v>3.7 Trajets pendulaires</v>
      </c>
      <c r="X73" s="674">
        <f>$H$94</f>
        <v>0</v>
      </c>
    </row>
    <row r="74" spans="2:24" ht="18" x14ac:dyDescent="0.25">
      <c r="C74" s="282"/>
      <c r="D74" s="751" t="s">
        <v>28816</v>
      </c>
      <c r="E74" s="752"/>
      <c r="F74" s="753"/>
      <c r="G74" s="748" t="s">
        <v>28815</v>
      </c>
      <c r="H74" s="749"/>
      <c r="I74" s="750"/>
      <c r="K74" s="181"/>
      <c r="S74" s="673">
        <v>35</v>
      </c>
      <c r="T74" s="107" t="str">
        <f t="shared" si="10"/>
        <v>Market-based</v>
      </c>
      <c r="U74" s="107" t="str">
        <f t="shared" si="8"/>
        <v>Émissions CO2 biogénique</v>
      </c>
      <c r="V74" s="107" t="str">
        <f t="shared" si="9"/>
        <v>Scope 3</v>
      </c>
      <c r="W74" s="107" t="str">
        <f>$C$95</f>
        <v>3.8 Actifs loués en amont</v>
      </c>
      <c r="X74" s="674">
        <f>$H$95</f>
        <v>0</v>
      </c>
    </row>
    <row r="75" spans="2:24" ht="18" x14ac:dyDescent="0.25">
      <c r="C75" s="282"/>
      <c r="D75" s="757" t="str">
        <f>n4Dashboard_2TotalEmissions_location</f>
        <v>(en considérant le mix de consommation suisse)</v>
      </c>
      <c r="E75" s="758"/>
      <c r="F75" s="759"/>
      <c r="G75" s="754" t="str">
        <f>n4Dashboard_2TotalEmissions_market</f>
        <v>(en intégrant les GO suisses)</v>
      </c>
      <c r="H75" s="755"/>
      <c r="I75" s="756"/>
      <c r="K75" s="181"/>
      <c r="S75" s="673">
        <v>36</v>
      </c>
      <c r="T75" s="107" t="str">
        <f t="shared" si="10"/>
        <v>Market-based</v>
      </c>
      <c r="U75" s="107" t="str">
        <f t="shared" si="8"/>
        <v>Émissions CO2 biogénique</v>
      </c>
      <c r="V75" s="107" t="str">
        <f t="shared" si="9"/>
        <v>Scope 3</v>
      </c>
      <c r="W75" s="107" t="str">
        <f>$C$96</f>
        <v>3.9 Transport en aval</v>
      </c>
      <c r="X75" s="674">
        <f>$H$96</f>
        <v>0</v>
      </c>
    </row>
    <row r="76" spans="2:24" ht="5.0999999999999996" customHeight="1" x14ac:dyDescent="0.2">
      <c r="B76" s="637"/>
      <c r="C76" s="638"/>
      <c r="D76" s="639"/>
      <c r="E76" s="640"/>
      <c r="F76" s="641"/>
      <c r="G76" s="639"/>
      <c r="H76" s="640"/>
      <c r="I76" s="641"/>
      <c r="K76" s="181"/>
      <c r="S76" s="673">
        <v>37</v>
      </c>
      <c r="T76" s="107" t="str">
        <f t="shared" si="10"/>
        <v>Market-based</v>
      </c>
      <c r="U76" s="107" t="str">
        <f t="shared" si="8"/>
        <v>Émissions CO2 biogénique</v>
      </c>
      <c r="V76" s="107" t="str">
        <f t="shared" si="9"/>
        <v>Scope 3</v>
      </c>
      <c r="W76" s="107" t="str">
        <f>$C$97</f>
        <v>3.10 Transformation des biens vendus</v>
      </c>
      <c r="X76" s="674">
        <f>$H$97</f>
        <v>0</v>
      </c>
    </row>
    <row r="77" spans="2:24" ht="45" x14ac:dyDescent="0.2">
      <c r="B77" s="642"/>
      <c r="C77" s="626" t="str">
        <f>n4Dashboard_2TotalEmissions_Text1</f>
        <v>Catégorie</v>
      </c>
      <c r="D77" s="643" t="str" cm="1">
        <f t="array" ref="D77">n4Dashboard_2TotalEmissions_metric1</f>
        <v>Émissions GES (IPCC 2021)</v>
      </c>
      <c r="E77" s="644" t="str">
        <f>n4Dashboard_2TotalEmissions_metric2</f>
        <v>Émissions CO2 biogénique</v>
      </c>
      <c r="F77" s="645" t="str">
        <f>n4Dashboard_2TotalEmissions_metric3</f>
        <v>Impact env. total (Ecological Scarcity 2021)</v>
      </c>
      <c r="G77" s="643" t="str" cm="1">
        <f t="array" ref="G77">n4Dashboard_2TotalEmissions_metric1</f>
        <v>Émissions GES (IPCC 2021)</v>
      </c>
      <c r="H77" s="644" t="str">
        <f>n4Dashboard_2TotalEmissions_metric2</f>
        <v>Émissions CO2 biogénique</v>
      </c>
      <c r="I77" s="645" t="str">
        <f>n4Dashboard_2TotalEmissions_metric3</f>
        <v>Impact env. total (Ecological Scarcity 2021)</v>
      </c>
      <c r="K77" s="181"/>
      <c r="S77" s="673">
        <v>38</v>
      </c>
      <c r="T77" s="107" t="str">
        <f t="shared" si="10"/>
        <v>Market-based</v>
      </c>
      <c r="U77" s="107" t="str">
        <f t="shared" si="8"/>
        <v>Émissions CO2 biogénique</v>
      </c>
      <c r="V77" s="107" t="str">
        <f t="shared" si="9"/>
        <v>Scope 3</v>
      </c>
      <c r="W77" s="107" t="str">
        <f>$C$98</f>
        <v>3.11 Utilisation des biens vendus</v>
      </c>
      <c r="X77" s="674">
        <f>$H$98</f>
        <v>0</v>
      </c>
    </row>
    <row r="78" spans="2:24" ht="16.5" x14ac:dyDescent="0.2">
      <c r="B78" s="646"/>
      <c r="C78" s="647"/>
      <c r="D78" s="648" t="s">
        <v>28953</v>
      </c>
      <c r="E78" s="649" t="s">
        <v>28954</v>
      </c>
      <c r="F78" s="650" t="s">
        <v>28924</v>
      </c>
      <c r="G78" s="648" t="s">
        <v>28953</v>
      </c>
      <c r="H78" s="649" t="s">
        <v>28954</v>
      </c>
      <c r="I78" s="650" t="s">
        <v>28924</v>
      </c>
      <c r="K78" s="181"/>
      <c r="S78" s="673">
        <v>39</v>
      </c>
      <c r="T78" s="107" t="str">
        <f t="shared" si="10"/>
        <v>Market-based</v>
      </c>
      <c r="U78" s="107" t="str">
        <f t="shared" si="8"/>
        <v>Émissions CO2 biogénique</v>
      </c>
      <c r="V78" s="107" t="str">
        <f t="shared" si="9"/>
        <v>Scope 3</v>
      </c>
      <c r="W78" s="107" t="str">
        <f>$C$99</f>
        <v>3.12 Élimination des produits vendus</v>
      </c>
      <c r="X78" s="674">
        <f>$H$99</f>
        <v>0</v>
      </c>
    </row>
    <row r="79" spans="2:24" ht="15" x14ac:dyDescent="0.25">
      <c r="B79" s="594" t="s">
        <v>27158</v>
      </c>
      <c r="C79" s="595" t="s">
        <v>2616</v>
      </c>
      <c r="D79" s="596">
        <f t="shared" ref="D79:I79" si="11">SUM(D80:D83)</f>
        <v>0</v>
      </c>
      <c r="E79" s="597">
        <f t="shared" si="11"/>
        <v>0</v>
      </c>
      <c r="F79" s="598">
        <f t="shared" si="11"/>
        <v>0</v>
      </c>
      <c r="G79" s="596">
        <f t="shared" si="11"/>
        <v>0</v>
      </c>
      <c r="H79" s="597">
        <f t="shared" si="11"/>
        <v>0</v>
      </c>
      <c r="I79" s="598">
        <f t="shared" si="11"/>
        <v>0</v>
      </c>
      <c r="K79" s="181"/>
      <c r="S79" s="673">
        <v>40</v>
      </c>
      <c r="T79" s="107" t="str">
        <f t="shared" si="10"/>
        <v>Market-based</v>
      </c>
      <c r="U79" s="107" t="str">
        <f t="shared" si="8"/>
        <v>Émissions CO2 biogénique</v>
      </c>
      <c r="V79" s="107" t="str">
        <f t="shared" si="9"/>
        <v>Scope 3</v>
      </c>
      <c r="W79" s="107" t="str">
        <f>$C$100</f>
        <v>3.13 Actifs loués en aval</v>
      </c>
      <c r="X79" s="674">
        <f>$H$100</f>
        <v>0</v>
      </c>
    </row>
    <row r="80" spans="2:24" x14ac:dyDescent="0.2">
      <c r="B80" s="609"/>
      <c r="C80" s="610" t="str">
        <f>n4Dashboard_2TotalEmissions_Text2</f>
        <v>Combustion stationnaire</v>
      </c>
      <c r="D80" s="611">
        <f>IF(GenInp_LeaseType="Operating Lease",'Dashboard Leased Assets'!K13,'Dashboard Leased Assets'!J13)/1000</f>
        <v>0</v>
      </c>
      <c r="E80" s="612">
        <f>IF(GenInp_LeaseType="Operating Lease",'Dashboard Leased Assets'!K40,'Dashboard Leased Assets'!J40)/1000</f>
        <v>0</v>
      </c>
      <c r="F80" s="613">
        <f>IF(GenInp_LeaseType="Operating Lease",'Dashboard Leased Assets'!K67,'Dashboard Leased Assets'!J67)/1000000</f>
        <v>0</v>
      </c>
      <c r="G80" s="611">
        <f>IF(GenInp_LeaseType="Operating Lease",'Dashboard Leased Assets'!G13,'Dashboard Leased Assets'!F13)/1000</f>
        <v>0</v>
      </c>
      <c r="H80" s="612">
        <f>IF(GenInp_LeaseType="Operating Lease",'Dashboard Leased Assets'!G40,'Dashboard Leased Assets'!F40)/1000</f>
        <v>0</v>
      </c>
      <c r="I80" s="613">
        <f>IF(GenInp_LeaseType="Operating Lease",'Dashboard Leased Assets'!G67,'Dashboard Leased Assets'!F67)/1000000</f>
        <v>0</v>
      </c>
      <c r="K80" s="181"/>
      <c r="S80" s="673">
        <v>41</v>
      </c>
      <c r="T80" s="107" t="str">
        <f t="shared" si="10"/>
        <v>Market-based</v>
      </c>
      <c r="U80" s="107" t="str">
        <f t="shared" si="8"/>
        <v>Émissions CO2 biogénique</v>
      </c>
      <c r="V80" s="107" t="str">
        <f t="shared" si="9"/>
        <v>Scope 3</v>
      </c>
      <c r="W80" s="107" t="str">
        <f>$C$101</f>
        <v>3.14 Franchises</v>
      </c>
      <c r="X80" s="674">
        <f>$H$101</f>
        <v>0</v>
      </c>
    </row>
    <row r="81" spans="2:24" x14ac:dyDescent="0.2">
      <c r="B81" s="609"/>
      <c r="C81" s="610" t="str">
        <f>n4Dashboard_2TotalEmissions_Text3</f>
        <v>Émissions fugitives</v>
      </c>
      <c r="D81" s="611">
        <f>'Dashboard Leased Assets'!I14/1000</f>
        <v>0</v>
      </c>
      <c r="E81" s="612">
        <f>'Dashboard Leased Assets'!I41/1000</f>
        <v>0</v>
      </c>
      <c r="F81" s="613">
        <f>'Dashboard Leased Assets'!I68/1000000</f>
        <v>0</v>
      </c>
      <c r="G81" s="611">
        <f>'Dashboard Leased Assets'!E14/1000</f>
        <v>0</v>
      </c>
      <c r="H81" s="612">
        <f>'Dashboard Leased Assets'!E41/1000</f>
        <v>0</v>
      </c>
      <c r="I81" s="613">
        <f>'Dashboard Leased Assets'!E68/1000000</f>
        <v>0</v>
      </c>
      <c r="K81" s="181"/>
      <c r="S81" s="673">
        <v>42</v>
      </c>
      <c r="T81" s="107" t="str">
        <f t="shared" si="10"/>
        <v>Market-based</v>
      </c>
      <c r="U81" s="107" t="str">
        <f t="shared" si="8"/>
        <v>Émissions CO2 biogénique</v>
      </c>
      <c r="V81" s="107" t="str">
        <f t="shared" si="9"/>
        <v>Scope 3</v>
      </c>
      <c r="W81" s="107" t="str">
        <f>$C$102</f>
        <v>3.15 Investissements</v>
      </c>
      <c r="X81" s="674">
        <f>$H$102</f>
        <v>0</v>
      </c>
    </row>
    <row r="82" spans="2:24" x14ac:dyDescent="0.2">
      <c r="B82" s="609"/>
      <c r="C82" s="610" t="str">
        <f>n4Dashboard_2TotalEmissions_Text4</f>
        <v>Flotte</v>
      </c>
      <c r="D82" s="611">
        <f>IF(GenInp_LeaseType="Operating Lease",'Dashboard Leased Assets'!K15,'Dashboard Leased Assets'!J15)/1000</f>
        <v>0</v>
      </c>
      <c r="E82" s="612">
        <f>IF(GenInp_LeaseType="Operating Lease",'Dashboard Leased Assets'!K42,'Dashboard Leased Assets'!J42)/1000</f>
        <v>0</v>
      </c>
      <c r="F82" s="613">
        <f>IF(GenInp_LeaseType="Operating Lease",'Dashboard Leased Assets'!K69,'Dashboard Leased Assets'!J69)/1000000</f>
        <v>0</v>
      </c>
      <c r="G82" s="611">
        <f>IF(GenInp_LeaseType="Operating Lease",'Dashboard Leased Assets'!G15,'Dashboard Leased Assets'!F15)/1000</f>
        <v>0</v>
      </c>
      <c r="H82" s="612">
        <f>IF(GenInp_LeaseType="Operating Lease",'Dashboard Leased Assets'!G42,'Dashboard Leased Assets'!F42)/1000</f>
        <v>0</v>
      </c>
      <c r="I82" s="613">
        <f>IF(GenInp_LeaseType="Operating Lease",'Dashboard Leased Assets'!G69,'Dashboard Leased Assets'!F69)/1000000</f>
        <v>0</v>
      </c>
      <c r="K82" s="181"/>
      <c r="S82" s="673">
        <v>43</v>
      </c>
      <c r="T82" s="107" t="str">
        <f t="shared" si="10"/>
        <v>Market-based</v>
      </c>
      <c r="U82" s="107" t="str">
        <f t="shared" ref="U82:U102" si="12">$I$77</f>
        <v>Impact env. total (Ecological Scarcity 2021)</v>
      </c>
      <c r="V82" s="107" t="str">
        <f>$B$79</f>
        <v>Scope 1</v>
      </c>
      <c r="W82" s="107" t="str">
        <f>$C$80</f>
        <v>Combustion stationnaire</v>
      </c>
      <c r="X82" s="674">
        <f>$I$80</f>
        <v>0</v>
      </c>
    </row>
    <row r="83" spans="2:24" x14ac:dyDescent="0.2">
      <c r="B83" s="614"/>
      <c r="C83" s="615" t="str">
        <f>n4Dashboard_2TotalEmissions_Text5</f>
        <v>Émissions liées aux processus</v>
      </c>
      <c r="D83" s="616">
        <f>'Dashboard Leased Assets'!I16/1000</f>
        <v>0</v>
      </c>
      <c r="E83" s="617">
        <f>'Dashboard Leased Assets'!I43/1000</f>
        <v>0</v>
      </c>
      <c r="F83" s="618">
        <f>'Dashboard Leased Assets'!I70/1000000</f>
        <v>0</v>
      </c>
      <c r="G83" s="616">
        <f>'Dashboard Leased Assets'!E16/1000</f>
        <v>0</v>
      </c>
      <c r="H83" s="617">
        <f>'Dashboard Leased Assets'!E43/1000</f>
        <v>0</v>
      </c>
      <c r="I83" s="618">
        <f>'Dashboard Leased Assets'!E70/1000000</f>
        <v>0</v>
      </c>
      <c r="K83" s="181"/>
      <c r="S83" s="673">
        <v>44</v>
      </c>
      <c r="T83" s="107" t="str">
        <f t="shared" si="10"/>
        <v>Market-based</v>
      </c>
      <c r="U83" s="107" t="str">
        <f t="shared" si="12"/>
        <v>Impact env. total (Ecological Scarcity 2021)</v>
      </c>
      <c r="V83" s="107" t="str">
        <f>$B$79</f>
        <v>Scope 1</v>
      </c>
      <c r="W83" s="107" t="str">
        <f>$C$81</f>
        <v>Émissions fugitives</v>
      </c>
      <c r="X83" s="674">
        <f>$I$81</f>
        <v>0</v>
      </c>
    </row>
    <row r="84" spans="2:24" ht="15" x14ac:dyDescent="0.2">
      <c r="B84" s="604" t="s">
        <v>27159</v>
      </c>
      <c r="C84" s="605" t="s">
        <v>2616</v>
      </c>
      <c r="D84" s="606">
        <f t="shared" ref="D84:I84" si="13">SUM(D85:D86)</f>
        <v>0</v>
      </c>
      <c r="E84" s="607">
        <f t="shared" si="13"/>
        <v>0</v>
      </c>
      <c r="F84" s="608">
        <f t="shared" si="13"/>
        <v>0</v>
      </c>
      <c r="G84" s="606">
        <f t="shared" si="13"/>
        <v>0</v>
      </c>
      <c r="H84" s="607">
        <f t="shared" si="13"/>
        <v>0</v>
      </c>
      <c r="I84" s="608">
        <f t="shared" si="13"/>
        <v>0</v>
      </c>
      <c r="K84" s="181"/>
      <c r="S84" s="673">
        <v>45</v>
      </c>
      <c r="T84" s="107" t="str">
        <f t="shared" si="10"/>
        <v>Market-based</v>
      </c>
      <c r="U84" s="107" t="str">
        <f t="shared" si="12"/>
        <v>Impact env. total (Ecological Scarcity 2021)</v>
      </c>
      <c r="V84" s="107" t="str">
        <f>$B$79</f>
        <v>Scope 1</v>
      </c>
      <c r="W84" s="107" t="str">
        <f>$C$82</f>
        <v>Flotte</v>
      </c>
      <c r="X84" s="674">
        <f>$I$82</f>
        <v>0</v>
      </c>
    </row>
    <row r="85" spans="2:24" x14ac:dyDescent="0.2">
      <c r="B85" s="609"/>
      <c r="C85" s="610" t="str">
        <f>n4Dashboard_2TotalEmissions_Text6</f>
        <v>Électricité (+ flotte électrique propre)</v>
      </c>
      <c r="D85" s="611">
        <f>IF(GenInp_LeaseType="Operating Lease",'Dashboard Leased Assets'!K17,'Dashboard Leased Assets'!J17)/1000</f>
        <v>0</v>
      </c>
      <c r="E85" s="612">
        <f>IF(GenInp_LeaseType="Operating Lease",'Dashboard Leased Assets'!K44,'Dashboard Leased Assets'!J44)/1000</f>
        <v>0</v>
      </c>
      <c r="F85" s="613">
        <f>IF(GenInp_LeaseType="Operating Lease",'Dashboard Leased Assets'!K71,'Dashboard Leased Assets'!J71)/1000000</f>
        <v>0</v>
      </c>
      <c r="G85" s="611">
        <f>IF(GenInp_LeaseType="Operating Lease",'Dashboard Leased Assets'!G17,'Dashboard Leased Assets'!F17)/1000</f>
        <v>0</v>
      </c>
      <c r="H85" s="612">
        <f>IF(GenInp_LeaseType="Operating Lease",'Dashboard Leased Assets'!G44,'Dashboard Leased Assets'!F44)/1000</f>
        <v>0</v>
      </c>
      <c r="I85" s="613">
        <f>IF(GenInp_LeaseType="Operating Lease",'Dashboard Leased Assets'!G71,'Dashboard Leased Assets'!F71)/1000000</f>
        <v>0</v>
      </c>
      <c r="K85" s="181"/>
      <c r="S85" s="673">
        <v>46</v>
      </c>
      <c r="T85" s="107" t="str">
        <f t="shared" si="10"/>
        <v>Market-based</v>
      </c>
      <c r="U85" s="107" t="str">
        <f t="shared" si="12"/>
        <v>Impact env. total (Ecological Scarcity 2021)</v>
      </c>
      <c r="V85" s="107" t="str">
        <f>$B$79</f>
        <v>Scope 1</v>
      </c>
      <c r="W85" s="107" t="str">
        <f>$C$83</f>
        <v>Émissions liées aux processus</v>
      </c>
      <c r="X85" s="674">
        <f>$I$83</f>
        <v>0</v>
      </c>
    </row>
    <row r="86" spans="2:24" x14ac:dyDescent="0.2">
      <c r="B86" s="614"/>
      <c r="C86" s="615" t="str">
        <f>n4Dashboard_2TotalEmissions_Text7</f>
        <v>Chauffage à distance et vapeur</v>
      </c>
      <c r="D86" s="616">
        <f>IF(GenInp_LeaseType="Operating Lease",'Dashboard Leased Assets'!K18,'Dashboard Leased Assets'!J18)/1000</f>
        <v>0</v>
      </c>
      <c r="E86" s="617">
        <f>IF(GenInp_LeaseType="Operating Lease",'Dashboard Leased Assets'!K45,'Dashboard Leased Assets'!J45)/1000</f>
        <v>0</v>
      </c>
      <c r="F86" s="618">
        <f>IF(GenInp_LeaseType="Operating Lease",'Dashboard Leased Assets'!K72,'Dashboard Leased Assets'!J72)/1000000</f>
        <v>0</v>
      </c>
      <c r="G86" s="616">
        <f>IF(GenInp_LeaseType="Operating Lease",'Dashboard Leased Assets'!G18,'Dashboard Leased Assets'!F18)/1000</f>
        <v>0</v>
      </c>
      <c r="H86" s="617">
        <f>IF(GenInp_LeaseType="Operating Lease",'Dashboard Leased Assets'!G45,'Dashboard Leased Assets'!F45)/1000</f>
        <v>0</v>
      </c>
      <c r="I86" s="618">
        <f>IF(GenInp_LeaseType="Operating Lease",'Dashboard Leased Assets'!G72,'Dashboard Leased Assets'!F72)/1000000</f>
        <v>0</v>
      </c>
      <c r="K86" s="181"/>
      <c r="S86" s="673">
        <v>47</v>
      </c>
      <c r="T86" s="107" t="str">
        <f t="shared" si="10"/>
        <v>Market-based</v>
      </c>
      <c r="U86" s="107" t="str">
        <f t="shared" si="12"/>
        <v>Impact env. total (Ecological Scarcity 2021)</v>
      </c>
      <c r="V86" s="107" t="str">
        <f>$B$84</f>
        <v>Scope 2</v>
      </c>
      <c r="W86" s="107" t="str">
        <f>$C$85</f>
        <v>Électricité (+ flotte électrique propre)</v>
      </c>
      <c r="X86" s="674">
        <f>$I$85</f>
        <v>0</v>
      </c>
    </row>
    <row r="87" spans="2:24" ht="15" x14ac:dyDescent="0.2">
      <c r="B87" s="599" t="s">
        <v>2059</v>
      </c>
      <c r="C87" s="600" t="s">
        <v>2616</v>
      </c>
      <c r="D87" s="601">
        <f t="shared" ref="D87:I87" si="14">SUM(D88:D102)</f>
        <v>0</v>
      </c>
      <c r="E87" s="602">
        <f t="shared" si="14"/>
        <v>0</v>
      </c>
      <c r="F87" s="603">
        <f t="shared" si="14"/>
        <v>0</v>
      </c>
      <c r="G87" s="601">
        <f t="shared" si="14"/>
        <v>0</v>
      </c>
      <c r="H87" s="602">
        <f t="shared" si="14"/>
        <v>0</v>
      </c>
      <c r="I87" s="603">
        <f t="shared" si="14"/>
        <v>0</v>
      </c>
      <c r="K87" s="181"/>
      <c r="S87" s="673">
        <v>48</v>
      </c>
      <c r="T87" s="107" t="str">
        <f t="shared" si="10"/>
        <v>Market-based</v>
      </c>
      <c r="U87" s="107" t="str">
        <f t="shared" si="12"/>
        <v>Impact env. total (Ecological Scarcity 2021)</v>
      </c>
      <c r="V87" s="107" t="str">
        <f>$B$84</f>
        <v>Scope 2</v>
      </c>
      <c r="W87" s="107" t="str">
        <f>$C$86</f>
        <v>Chauffage à distance et vapeur</v>
      </c>
      <c r="X87" s="674">
        <f>$I$86</f>
        <v>0</v>
      </c>
    </row>
    <row r="88" spans="2:24" x14ac:dyDescent="0.2">
      <c r="B88" s="609"/>
      <c r="C88" s="610" t="str">
        <f>n4Dashboard_2TotalEmissions_Text8</f>
        <v>3.1 Biens et services</v>
      </c>
      <c r="D88" s="611">
        <f>'Dashboard Leased Assets'!I19/1000</f>
        <v>0</v>
      </c>
      <c r="E88" s="612">
        <f>'Dashboard Leased Assets'!I46/1000</f>
        <v>0</v>
      </c>
      <c r="F88" s="613">
        <f>'Dashboard Leased Assets'!I73/1000000</f>
        <v>0</v>
      </c>
      <c r="G88" s="611">
        <f>'Dashboard Leased Assets'!E19/1000</f>
        <v>0</v>
      </c>
      <c r="H88" s="612">
        <f>'Dashboard Leased Assets'!E46/1000</f>
        <v>0</v>
      </c>
      <c r="I88" s="613">
        <f>'Dashboard Leased Assets'!E73/1000000</f>
        <v>0</v>
      </c>
      <c r="K88" s="181"/>
      <c r="S88" s="673">
        <v>49</v>
      </c>
      <c r="T88" s="107" t="str">
        <f t="shared" si="10"/>
        <v>Market-based</v>
      </c>
      <c r="U88" s="107" t="str">
        <f t="shared" si="12"/>
        <v>Impact env. total (Ecological Scarcity 2021)</v>
      </c>
      <c r="V88" s="107" t="str">
        <f t="shared" ref="V88:V102" si="15">$B$87</f>
        <v>Scope 3</v>
      </c>
      <c r="W88" s="107" t="str">
        <f>$C$88</f>
        <v>3.1 Biens et services</v>
      </c>
      <c r="X88" s="674">
        <f>$I$88</f>
        <v>0</v>
      </c>
    </row>
    <row r="89" spans="2:24" x14ac:dyDescent="0.2">
      <c r="B89" s="609"/>
      <c r="C89" s="610" t="str">
        <f>n4Dashboard_2TotalEmissions_Text9</f>
        <v>3.2 Biens d’équipement</v>
      </c>
      <c r="D89" s="611">
        <f>'Dashboard Leased Assets'!I20/1000</f>
        <v>0</v>
      </c>
      <c r="E89" s="612">
        <f>'Dashboard Leased Assets'!I47/1000</f>
        <v>0</v>
      </c>
      <c r="F89" s="613">
        <f>'Dashboard Leased Assets'!I74/1000000</f>
        <v>0</v>
      </c>
      <c r="G89" s="611">
        <f>'Dashboard Leased Assets'!E20/1000</f>
        <v>0</v>
      </c>
      <c r="H89" s="612">
        <f>'Dashboard Leased Assets'!E47/1000</f>
        <v>0</v>
      </c>
      <c r="I89" s="613">
        <f>'Dashboard Leased Assets'!E74/1000000</f>
        <v>0</v>
      </c>
      <c r="K89" s="181"/>
      <c r="S89" s="673">
        <v>50</v>
      </c>
      <c r="T89" s="107" t="str">
        <f t="shared" si="10"/>
        <v>Market-based</v>
      </c>
      <c r="U89" s="107" t="str">
        <f t="shared" si="12"/>
        <v>Impact env. total (Ecological Scarcity 2021)</v>
      </c>
      <c r="V89" s="107" t="str">
        <f t="shared" si="15"/>
        <v>Scope 3</v>
      </c>
      <c r="W89" s="107" t="str">
        <f>$C$89</f>
        <v>3.2 Biens d’équipement</v>
      </c>
      <c r="X89" s="674">
        <f>$I$89</f>
        <v>0</v>
      </c>
    </row>
    <row r="90" spans="2:24" x14ac:dyDescent="0.2">
      <c r="B90" s="609"/>
      <c r="C90" s="610" t="str">
        <f>n4Dashboard_2TotalEmissions_Text10</f>
        <v>3.3 Émissions indirectes de l'énergie</v>
      </c>
      <c r="D90" s="611">
        <f>IF(GenInp_LeaseType="Operating Lease",'Dashboard Leased Assets'!K21,'Dashboard Leased Assets'!J21)/1000</f>
        <v>0</v>
      </c>
      <c r="E90" s="612">
        <f>IF(GenInp_LeaseType="Operating Lease",'Dashboard Leased Assets'!K48,'Dashboard Leased Assets'!J48)/1000</f>
        <v>0</v>
      </c>
      <c r="F90" s="613">
        <f>IF(GenInp_LeaseType="Operating Lease",'Dashboard Leased Assets'!K75,'Dashboard Leased Assets'!J75)/1000000</f>
        <v>0</v>
      </c>
      <c r="G90" s="611">
        <f>IF(GenInp_LeaseType="Operating Lease",'Dashboard Leased Assets'!G21,'Dashboard Leased Assets'!F21)/1000</f>
        <v>0</v>
      </c>
      <c r="H90" s="612">
        <f>IF(GenInp_LeaseType="Operating Lease",'Dashboard Leased Assets'!G48,'Dashboard Leased Assets'!F48)/1000</f>
        <v>0</v>
      </c>
      <c r="I90" s="613">
        <f>IF(GenInp_LeaseType="Operating Lease",'Dashboard Leased Assets'!G75,'Dashboard Leased Assets'!F75)/1000000</f>
        <v>0</v>
      </c>
      <c r="K90" s="181"/>
      <c r="S90" s="673">
        <v>51</v>
      </c>
      <c r="T90" s="107" t="str">
        <f t="shared" si="10"/>
        <v>Market-based</v>
      </c>
      <c r="U90" s="107" t="str">
        <f t="shared" si="12"/>
        <v>Impact env. total (Ecological Scarcity 2021)</v>
      </c>
      <c r="V90" s="107" t="str">
        <f t="shared" si="15"/>
        <v>Scope 3</v>
      </c>
      <c r="W90" s="107" t="str">
        <f>$C$90</f>
        <v>3.3 Émissions indirectes de l'énergie</v>
      </c>
      <c r="X90" s="674">
        <f>$I$90</f>
        <v>0</v>
      </c>
    </row>
    <row r="91" spans="2:24" x14ac:dyDescent="0.2">
      <c r="B91" s="609"/>
      <c r="C91" s="610" t="str">
        <f>n4Dashboard_2TotalEmissions_Text11</f>
        <v>3.4 Transport en amont</v>
      </c>
      <c r="D91" s="611">
        <f>'Dashboard Leased Assets'!I22/1000</f>
        <v>0</v>
      </c>
      <c r="E91" s="612">
        <f>'Dashboard Leased Assets'!I49/1000</f>
        <v>0</v>
      </c>
      <c r="F91" s="613">
        <f>'Dashboard Leased Assets'!I76/1000000</f>
        <v>0</v>
      </c>
      <c r="G91" s="611">
        <f>'Dashboard Leased Assets'!E22/1000</f>
        <v>0</v>
      </c>
      <c r="H91" s="612">
        <f>'Dashboard Leased Assets'!E49/1000</f>
        <v>0</v>
      </c>
      <c r="I91" s="613">
        <f>'Dashboard Leased Assets'!E76/1000000</f>
        <v>0</v>
      </c>
      <c r="K91" s="181"/>
      <c r="S91" s="673">
        <v>52</v>
      </c>
      <c r="T91" s="107" t="str">
        <f t="shared" si="10"/>
        <v>Market-based</v>
      </c>
      <c r="U91" s="107" t="str">
        <f t="shared" si="12"/>
        <v>Impact env. total (Ecological Scarcity 2021)</v>
      </c>
      <c r="V91" s="107" t="str">
        <f t="shared" si="15"/>
        <v>Scope 3</v>
      </c>
      <c r="W91" s="107" t="str">
        <f>$C$91</f>
        <v>3.4 Transport en amont</v>
      </c>
      <c r="X91" s="674">
        <f>$I$91</f>
        <v>0</v>
      </c>
    </row>
    <row r="92" spans="2:24" x14ac:dyDescent="0.2">
      <c r="B92" s="609"/>
      <c r="C92" s="610" t="str">
        <f>n4Dashboard_2TotalEmissions_Text12</f>
        <v>3.5 Déchets d'exploitation</v>
      </c>
      <c r="D92" s="611">
        <f>'Dashboard Leased Assets'!I23/1000</f>
        <v>0</v>
      </c>
      <c r="E92" s="612">
        <f>'Dashboard Leased Assets'!I50/1000</f>
        <v>0</v>
      </c>
      <c r="F92" s="613">
        <f>'Dashboard Leased Assets'!I77/1000000</f>
        <v>0</v>
      </c>
      <c r="G92" s="611">
        <f>'Dashboard Leased Assets'!E23/1000</f>
        <v>0</v>
      </c>
      <c r="H92" s="612">
        <f>'Dashboard Leased Assets'!E50/1000</f>
        <v>0</v>
      </c>
      <c r="I92" s="613">
        <f>'Dashboard Leased Assets'!E77/1000000</f>
        <v>0</v>
      </c>
      <c r="K92" s="181"/>
      <c r="S92" s="673">
        <v>53</v>
      </c>
      <c r="T92" s="107" t="str">
        <f t="shared" si="10"/>
        <v>Market-based</v>
      </c>
      <c r="U92" s="107" t="str">
        <f t="shared" si="12"/>
        <v>Impact env. total (Ecological Scarcity 2021)</v>
      </c>
      <c r="V92" s="107" t="str">
        <f t="shared" si="15"/>
        <v>Scope 3</v>
      </c>
      <c r="W92" s="107" t="str">
        <f>$C$92</f>
        <v>3.5 Déchets d'exploitation</v>
      </c>
      <c r="X92" s="674">
        <f>$I$92</f>
        <v>0</v>
      </c>
    </row>
    <row r="93" spans="2:24" x14ac:dyDescent="0.2">
      <c r="B93" s="609"/>
      <c r="C93" s="610" t="str">
        <f>n4Dashboard_2TotalEmissions_Text13</f>
        <v>3.6 Voyages d’affaires</v>
      </c>
      <c r="D93" s="611">
        <f>'Dashboard Leased Assets'!I24/1000</f>
        <v>0</v>
      </c>
      <c r="E93" s="612">
        <f>'Dashboard Leased Assets'!I51/1000</f>
        <v>0</v>
      </c>
      <c r="F93" s="613">
        <f>IF(GenInp_LeaseType="Operating Lease",'Dashboard Leased Assets'!K78,'Dashboard Leased Assets'!I78)/1000000</f>
        <v>0</v>
      </c>
      <c r="G93" s="611">
        <f>'Dashboard Leased Assets'!E24/1000</f>
        <v>0</v>
      </c>
      <c r="H93" s="612">
        <f>'Dashboard Leased Assets'!E51/1000</f>
        <v>0</v>
      </c>
      <c r="I93" s="613">
        <f>IF(GenInp_LeaseType="Operating Lease",'Dashboard Leased Assets'!G78,'Dashboard Leased Assets'!E78)/1000000</f>
        <v>0</v>
      </c>
      <c r="K93" s="181"/>
      <c r="S93" s="673">
        <v>54</v>
      </c>
      <c r="T93" s="107" t="str">
        <f t="shared" si="10"/>
        <v>Market-based</v>
      </c>
      <c r="U93" s="107" t="str">
        <f t="shared" si="12"/>
        <v>Impact env. total (Ecological Scarcity 2021)</v>
      </c>
      <c r="V93" s="107" t="str">
        <f t="shared" si="15"/>
        <v>Scope 3</v>
      </c>
      <c r="W93" s="107" t="str">
        <f>$C$93</f>
        <v>3.6 Voyages d’affaires</v>
      </c>
      <c r="X93" s="674">
        <f>$I$93</f>
        <v>0</v>
      </c>
    </row>
    <row r="94" spans="2:24" x14ac:dyDescent="0.2">
      <c r="B94" s="609"/>
      <c r="C94" s="610" t="str">
        <f>n4Dashboard_2TotalEmissions_Text14</f>
        <v>3.7 Trajets pendulaires</v>
      </c>
      <c r="D94" s="611">
        <f>'Dashboard Leased Assets'!I25/1000</f>
        <v>0</v>
      </c>
      <c r="E94" s="612">
        <f>'Dashboard Leased Assets'!I52/1000</f>
        <v>0</v>
      </c>
      <c r="F94" s="613">
        <f>'Dashboard Leased Assets'!I78/1000000</f>
        <v>0</v>
      </c>
      <c r="G94" s="611">
        <f>'Dashboard Leased Assets'!E25/1000</f>
        <v>0</v>
      </c>
      <c r="H94" s="612">
        <f>'Dashboard Leased Assets'!E52/1000</f>
        <v>0</v>
      </c>
      <c r="I94" s="613">
        <f>'Dashboard Leased Assets'!E78/1000000</f>
        <v>0</v>
      </c>
      <c r="K94" s="181"/>
      <c r="S94" s="673">
        <v>55</v>
      </c>
      <c r="T94" s="107" t="str">
        <f t="shared" si="10"/>
        <v>Market-based</v>
      </c>
      <c r="U94" s="107" t="str">
        <f t="shared" si="12"/>
        <v>Impact env. total (Ecological Scarcity 2021)</v>
      </c>
      <c r="V94" s="107" t="str">
        <f t="shared" si="15"/>
        <v>Scope 3</v>
      </c>
      <c r="W94" s="107" t="str">
        <f>$C$94</f>
        <v>3.7 Trajets pendulaires</v>
      </c>
      <c r="X94" s="674">
        <f>$I$94</f>
        <v>0</v>
      </c>
    </row>
    <row r="95" spans="2:24" x14ac:dyDescent="0.2">
      <c r="B95" s="609"/>
      <c r="C95" s="610" t="str">
        <f>n4Dashboard_2TotalEmissions_Text15</f>
        <v>3.8 Actifs loués en amont</v>
      </c>
      <c r="D95" s="611">
        <f>IF(GenInp_LeaseType="Operating Lease",'Dashboard Leased Assets'!K26,'Dashboard Leased Assets'!I26)/1000</f>
        <v>0</v>
      </c>
      <c r="E95" s="612">
        <f>IF(GenInp_LeaseType="Operating Lease",'Dashboard Leased Assets'!K53,'Dashboard Leased Assets'!I53)/1000</f>
        <v>0</v>
      </c>
      <c r="F95" s="613">
        <f>IF(GenInp_LeaseType="Operating Lease",'Dashboard Leased Assets'!K80,'Dashboard Leased Assets'!I80)/1000000</f>
        <v>0</v>
      </c>
      <c r="G95" s="611">
        <f>IF(GenInp_LeaseType="Operating Lease",'Dashboard Leased Assets'!G26,'Dashboard Leased Assets'!E26)/1000</f>
        <v>0</v>
      </c>
      <c r="H95" s="612">
        <f>IF(GenInp_LeaseType="Operating Lease",'Dashboard Leased Assets'!G53,'Dashboard Leased Assets'!E53)/1000</f>
        <v>0</v>
      </c>
      <c r="I95" s="613">
        <f>IF(GenInp_LeaseType="Operating Lease",'Dashboard Leased Assets'!G80,'Dashboard Leased Assets'!E80)/1000000</f>
        <v>0</v>
      </c>
      <c r="K95" s="181"/>
      <c r="S95" s="673">
        <v>56</v>
      </c>
      <c r="T95" s="107" t="str">
        <f t="shared" si="10"/>
        <v>Market-based</v>
      </c>
      <c r="U95" s="107" t="str">
        <f t="shared" si="12"/>
        <v>Impact env. total (Ecological Scarcity 2021)</v>
      </c>
      <c r="V95" s="107" t="str">
        <f t="shared" si="15"/>
        <v>Scope 3</v>
      </c>
      <c r="W95" s="107" t="str">
        <f>$C$95</f>
        <v>3.8 Actifs loués en amont</v>
      </c>
      <c r="X95" s="674">
        <f>$I$95</f>
        <v>0</v>
      </c>
    </row>
    <row r="96" spans="2:24" x14ac:dyDescent="0.2">
      <c r="B96" s="609"/>
      <c r="C96" s="610" t="str">
        <f>n4Dashboard_2TotalEmissions_Text16</f>
        <v>3.9 Transport en aval</v>
      </c>
      <c r="D96" s="611">
        <f>'Dashboard Leased Assets'!I27/1000</f>
        <v>0</v>
      </c>
      <c r="E96" s="612">
        <f>'Dashboard Leased Assets'!I54/1000</f>
        <v>0</v>
      </c>
      <c r="F96" s="613">
        <f>'Dashboard Leased Assets'!I81/1000000</f>
        <v>0</v>
      </c>
      <c r="G96" s="611">
        <f>'Dashboard Leased Assets'!E27/1000</f>
        <v>0</v>
      </c>
      <c r="H96" s="612">
        <f>'Dashboard Leased Assets'!E54/1000</f>
        <v>0</v>
      </c>
      <c r="I96" s="613">
        <f>'Dashboard Leased Assets'!E81/1000000</f>
        <v>0</v>
      </c>
      <c r="K96" s="181"/>
      <c r="S96" s="673">
        <v>57</v>
      </c>
      <c r="T96" s="107" t="str">
        <f t="shared" si="10"/>
        <v>Market-based</v>
      </c>
      <c r="U96" s="107" t="str">
        <f t="shared" si="12"/>
        <v>Impact env. total (Ecological Scarcity 2021)</v>
      </c>
      <c r="V96" s="107" t="str">
        <f t="shared" si="15"/>
        <v>Scope 3</v>
      </c>
      <c r="W96" s="107" t="str">
        <f>$C$96</f>
        <v>3.9 Transport en aval</v>
      </c>
      <c r="X96" s="674">
        <f>$I$96</f>
        <v>0</v>
      </c>
    </row>
    <row r="97" spans="2:24" x14ac:dyDescent="0.2">
      <c r="B97" s="619"/>
      <c r="C97" s="620" t="str">
        <f>n4Dashboard_2TotalEmissions_Text17</f>
        <v>3.10 Transformation des biens vendus</v>
      </c>
      <c r="D97" s="611">
        <f>'Dashboard Leased Assets'!I28/1000</f>
        <v>0</v>
      </c>
      <c r="E97" s="612">
        <f>'Dashboard Leased Assets'!I55/1000</f>
        <v>0</v>
      </c>
      <c r="F97" s="613">
        <f>'Dashboard Leased Assets'!I82/1000000</f>
        <v>0</v>
      </c>
      <c r="G97" s="611">
        <f>'Dashboard Leased Assets'!E28/1000</f>
        <v>0</v>
      </c>
      <c r="H97" s="612">
        <f>'Dashboard Leased Assets'!E55/1000</f>
        <v>0</v>
      </c>
      <c r="I97" s="613">
        <f>'Dashboard Leased Assets'!E82/1000000</f>
        <v>0</v>
      </c>
      <c r="K97" s="181"/>
      <c r="S97" s="673">
        <v>58</v>
      </c>
      <c r="T97" s="107" t="str">
        <f t="shared" si="10"/>
        <v>Market-based</v>
      </c>
      <c r="U97" s="107" t="str">
        <f t="shared" si="12"/>
        <v>Impact env. total (Ecological Scarcity 2021)</v>
      </c>
      <c r="V97" s="107" t="str">
        <f t="shared" si="15"/>
        <v>Scope 3</v>
      </c>
      <c r="W97" s="107" t="str">
        <f>$C$97</f>
        <v>3.10 Transformation des biens vendus</v>
      </c>
      <c r="X97" s="674">
        <f>$I$97</f>
        <v>0</v>
      </c>
    </row>
    <row r="98" spans="2:24" x14ac:dyDescent="0.2">
      <c r="B98" s="619"/>
      <c r="C98" s="620" t="str">
        <f>n4Dashboard_2TotalEmissions_Text18</f>
        <v>3.11 Utilisation des biens vendus</v>
      </c>
      <c r="D98" s="611">
        <f>'Dashboard Leased Assets'!I29/1000</f>
        <v>0</v>
      </c>
      <c r="E98" s="612">
        <f>'Dashboard Leased Assets'!I56/1000</f>
        <v>0</v>
      </c>
      <c r="F98" s="613">
        <f>'Dashboard Leased Assets'!I83/1000000</f>
        <v>0</v>
      </c>
      <c r="G98" s="611">
        <f>'Dashboard Leased Assets'!E29/1000</f>
        <v>0</v>
      </c>
      <c r="H98" s="612">
        <f>'Dashboard Leased Assets'!E56/1000</f>
        <v>0</v>
      </c>
      <c r="I98" s="613">
        <f>'Dashboard Leased Assets'!E83/1000000</f>
        <v>0</v>
      </c>
      <c r="K98" s="181"/>
      <c r="S98" s="673">
        <v>59</v>
      </c>
      <c r="T98" s="107" t="str">
        <f t="shared" si="10"/>
        <v>Market-based</v>
      </c>
      <c r="U98" s="107" t="str">
        <f t="shared" si="12"/>
        <v>Impact env. total (Ecological Scarcity 2021)</v>
      </c>
      <c r="V98" s="107" t="str">
        <f t="shared" si="15"/>
        <v>Scope 3</v>
      </c>
      <c r="W98" s="107" t="str">
        <f>$C$98</f>
        <v>3.11 Utilisation des biens vendus</v>
      </c>
      <c r="X98" s="674">
        <f>$I$98</f>
        <v>0</v>
      </c>
    </row>
    <row r="99" spans="2:24" x14ac:dyDescent="0.2">
      <c r="B99" s="619"/>
      <c r="C99" s="620" t="str">
        <f>n4Dashboard_2TotalEmissions_Text19</f>
        <v>3.12 Élimination des produits vendus</v>
      </c>
      <c r="D99" s="611">
        <f>'Dashboard Leased Assets'!I30/1000</f>
        <v>0</v>
      </c>
      <c r="E99" s="612">
        <f>'Dashboard Leased Assets'!I57/1000</f>
        <v>0</v>
      </c>
      <c r="F99" s="613">
        <f>'Dashboard Leased Assets'!I84/1000000</f>
        <v>0</v>
      </c>
      <c r="G99" s="611">
        <f>'Dashboard Leased Assets'!E30/1000</f>
        <v>0</v>
      </c>
      <c r="H99" s="612">
        <f>'Dashboard Leased Assets'!E57/1000</f>
        <v>0</v>
      </c>
      <c r="I99" s="613">
        <f>'Dashboard Leased Assets'!E84/1000000</f>
        <v>0</v>
      </c>
      <c r="K99" s="181"/>
      <c r="S99" s="673">
        <v>60</v>
      </c>
      <c r="T99" s="107" t="str">
        <f t="shared" si="10"/>
        <v>Market-based</v>
      </c>
      <c r="U99" s="107" t="str">
        <f t="shared" si="12"/>
        <v>Impact env. total (Ecological Scarcity 2021)</v>
      </c>
      <c r="V99" s="107" t="str">
        <f t="shared" si="15"/>
        <v>Scope 3</v>
      </c>
      <c r="W99" s="107" t="str">
        <f>$C$99</f>
        <v>3.12 Élimination des produits vendus</v>
      </c>
      <c r="X99" s="674">
        <f>$I$99</f>
        <v>0</v>
      </c>
    </row>
    <row r="100" spans="2:24" x14ac:dyDescent="0.2">
      <c r="B100" s="619"/>
      <c r="C100" s="610" t="str">
        <f>n4Dashboard_2TotalEmissions_Text20</f>
        <v>3.13 Actifs loués en aval</v>
      </c>
      <c r="D100" s="611">
        <f>IF(GenInp_LeaseType="Operating Lease",'Dashboard Leased Assets'!I31,'Dashboard Leased Assets'!J31)/1000</f>
        <v>0</v>
      </c>
      <c r="E100" s="612">
        <f>IF(GenInp_LeaseType="Operating Lease",'Dashboard Leased Assets'!I58,'Dashboard Leased Assets'!J58)/1000</f>
        <v>0</v>
      </c>
      <c r="F100" s="613">
        <f>IF(GenInp_LeaseType="Operating Lease",'Dashboard Leased Assets'!I85,'Dashboard Leased Assets'!J85)/1000000</f>
        <v>0</v>
      </c>
      <c r="G100" s="611">
        <f>IF(GenInp_LeaseType="Operating Lease",'Dashboard Leased Assets'!E31,'Dashboard Leased Assets'!F31)/1000</f>
        <v>0</v>
      </c>
      <c r="H100" s="612">
        <f>IF(GenInp_LeaseType="Operating Lease",'Dashboard Leased Assets'!E58,'Dashboard Leased Assets'!F58)/1000</f>
        <v>0</v>
      </c>
      <c r="I100" s="613">
        <f>IF(GenInp_LeaseType="Operating Lease",'Dashboard Leased Assets'!E85,'Dashboard Leased Assets'!F85)/1000000</f>
        <v>0</v>
      </c>
      <c r="K100" s="181"/>
      <c r="S100" s="673">
        <v>61</v>
      </c>
      <c r="T100" s="107" t="str">
        <f t="shared" si="10"/>
        <v>Market-based</v>
      </c>
      <c r="U100" s="107" t="str">
        <f t="shared" si="12"/>
        <v>Impact env. total (Ecological Scarcity 2021)</v>
      </c>
      <c r="V100" s="107" t="str">
        <f t="shared" si="15"/>
        <v>Scope 3</v>
      </c>
      <c r="W100" s="107" t="str">
        <f>$C$100</f>
        <v>3.13 Actifs loués en aval</v>
      </c>
      <c r="X100" s="674">
        <f>$I$100</f>
        <v>0</v>
      </c>
    </row>
    <row r="101" spans="2:24" x14ac:dyDescent="0.2">
      <c r="B101" s="619"/>
      <c r="C101" s="620" t="str">
        <f>n4Dashboard_2TotalEmissions_Text21</f>
        <v>3.14 Franchises</v>
      </c>
      <c r="D101" s="611">
        <f>'Dashboard Leased Assets'!I32/1000</f>
        <v>0</v>
      </c>
      <c r="E101" s="612">
        <f>'Dashboard Leased Assets'!I59/1000</f>
        <v>0</v>
      </c>
      <c r="F101" s="613">
        <f>'Dashboard Leased Assets'!I86/1000000</f>
        <v>0</v>
      </c>
      <c r="G101" s="611">
        <f>'Dashboard Leased Assets'!E32/1000</f>
        <v>0</v>
      </c>
      <c r="H101" s="612">
        <f>'Dashboard Leased Assets'!E59/1000</f>
        <v>0</v>
      </c>
      <c r="I101" s="613">
        <f>'Dashboard Leased Assets'!E86/1000000</f>
        <v>0</v>
      </c>
      <c r="K101" s="181"/>
      <c r="S101" s="673">
        <v>62</v>
      </c>
      <c r="T101" s="107" t="str">
        <f t="shared" si="10"/>
        <v>Market-based</v>
      </c>
      <c r="U101" s="107" t="str">
        <f t="shared" si="12"/>
        <v>Impact env. total (Ecological Scarcity 2021)</v>
      </c>
      <c r="V101" s="107" t="str">
        <f t="shared" si="15"/>
        <v>Scope 3</v>
      </c>
      <c r="W101" s="107" t="str">
        <f>$C$101</f>
        <v>3.14 Franchises</v>
      </c>
      <c r="X101" s="674">
        <f>$I$101</f>
        <v>0</v>
      </c>
    </row>
    <row r="102" spans="2:24" x14ac:dyDescent="0.2">
      <c r="B102" s="621"/>
      <c r="C102" s="622" t="str">
        <f>n4Dashboard_2TotalEmissions_Text22</f>
        <v>3.15 Investissements</v>
      </c>
      <c r="D102" s="623">
        <f>'Dashboard Leased Assets'!I33/1000</f>
        <v>0</v>
      </c>
      <c r="E102" s="624">
        <f>'Dashboard Leased Assets'!I60/1000</f>
        <v>0</v>
      </c>
      <c r="F102" s="625">
        <f>'Dashboard Leased Assets'!I87/1000000</f>
        <v>0</v>
      </c>
      <c r="G102" s="623">
        <f>'Dashboard Leased Assets'!E33/1000</f>
        <v>0</v>
      </c>
      <c r="H102" s="624">
        <f>'Dashboard Leased Assets'!E60/1000</f>
        <v>0</v>
      </c>
      <c r="I102" s="625">
        <f>'Dashboard Leased Assets'!E87/1000000</f>
        <v>0</v>
      </c>
      <c r="K102" s="181"/>
      <c r="S102" s="673">
        <v>63</v>
      </c>
      <c r="T102" s="107" t="str">
        <f t="shared" si="10"/>
        <v>Market-based</v>
      </c>
      <c r="U102" s="107" t="str">
        <f t="shared" si="12"/>
        <v>Impact env. total (Ecological Scarcity 2021)</v>
      </c>
      <c r="V102" s="107" t="str">
        <f t="shared" si="15"/>
        <v>Scope 3</v>
      </c>
      <c r="W102" s="107" t="str">
        <f>$C$102</f>
        <v>3.15 Investissements</v>
      </c>
      <c r="X102" s="674">
        <f>$I$102</f>
        <v>0</v>
      </c>
    </row>
    <row r="103" spans="2:24" ht="5.0999999999999996" customHeight="1" x14ac:dyDescent="0.25">
      <c r="B103" s="627"/>
      <c r="C103" s="628"/>
      <c r="D103" s="629"/>
      <c r="E103" s="630"/>
      <c r="F103" s="631"/>
      <c r="G103" s="629"/>
      <c r="H103" s="630"/>
      <c r="I103" s="631"/>
      <c r="K103" s="181"/>
      <c r="S103" s="673">
        <v>64</v>
      </c>
      <c r="T103" s="107" t="str">
        <f t="shared" ref="T103:T134" si="16">$D$74</f>
        <v>Location-based</v>
      </c>
      <c r="U103" s="107" t="str">
        <f t="shared" ref="U103:U123" si="17">$D$77</f>
        <v>Émissions GES (IPCC 2021)</v>
      </c>
      <c r="V103" s="107" t="str">
        <f>$B$79</f>
        <v>Scope 1</v>
      </c>
      <c r="W103" s="107" t="str">
        <f>$C$80</f>
        <v>Combustion stationnaire</v>
      </c>
      <c r="X103" s="674">
        <f>$D$80</f>
        <v>0</v>
      </c>
    </row>
    <row r="104" spans="2:24" ht="15" x14ac:dyDescent="0.25">
      <c r="B104" s="632" t="s">
        <v>28254</v>
      </c>
      <c r="C104" s="633"/>
      <c r="D104" s="634">
        <f t="shared" ref="D104:I104" si="18">SUM(D79,D84,D87)</f>
        <v>0</v>
      </c>
      <c r="E104" s="635">
        <f t="shared" si="18"/>
        <v>0</v>
      </c>
      <c r="F104" s="636">
        <f t="shared" si="18"/>
        <v>0</v>
      </c>
      <c r="G104" s="634">
        <f t="shared" si="18"/>
        <v>0</v>
      </c>
      <c r="H104" s="635">
        <f t="shared" si="18"/>
        <v>0</v>
      </c>
      <c r="I104" s="636">
        <f t="shared" si="18"/>
        <v>0</v>
      </c>
      <c r="K104" s="181"/>
      <c r="S104" s="673">
        <v>65</v>
      </c>
      <c r="T104" s="107" t="str">
        <f t="shared" si="16"/>
        <v>Location-based</v>
      </c>
      <c r="U104" s="107" t="str">
        <f t="shared" si="17"/>
        <v>Émissions GES (IPCC 2021)</v>
      </c>
      <c r="V104" s="107" t="str">
        <f>$B$79</f>
        <v>Scope 1</v>
      </c>
      <c r="W104" s="107" t="str">
        <f>$C$81</f>
        <v>Émissions fugitives</v>
      </c>
      <c r="X104" s="674">
        <f>$D$81</f>
        <v>0</v>
      </c>
    </row>
    <row r="105" spans="2:24" x14ac:dyDescent="0.2">
      <c r="D105" s="170"/>
      <c r="G105" s="565"/>
      <c r="K105" s="181"/>
      <c r="S105" s="673">
        <v>66</v>
      </c>
      <c r="T105" s="107" t="str">
        <f t="shared" si="16"/>
        <v>Location-based</v>
      </c>
      <c r="U105" s="107" t="str">
        <f t="shared" si="17"/>
        <v>Émissions GES (IPCC 2021)</v>
      </c>
      <c r="V105" s="107" t="str">
        <f>$B$79</f>
        <v>Scope 1</v>
      </c>
      <c r="W105" s="107" t="str">
        <f>$C$82</f>
        <v>Flotte</v>
      </c>
      <c r="X105" s="674">
        <f>$D$82</f>
        <v>0</v>
      </c>
    </row>
    <row r="106" spans="2:24" x14ac:dyDescent="0.2">
      <c r="G106" s="565"/>
      <c r="K106" s="181"/>
      <c r="S106" s="673">
        <v>67</v>
      </c>
      <c r="T106" s="107" t="str">
        <f t="shared" si="16"/>
        <v>Location-based</v>
      </c>
      <c r="U106" s="107" t="str">
        <f t="shared" si="17"/>
        <v>Émissions GES (IPCC 2021)</v>
      </c>
      <c r="V106" s="107" t="str">
        <f>$B$79</f>
        <v>Scope 1</v>
      </c>
      <c r="W106" s="107" t="str">
        <f>$C$83</f>
        <v>Émissions liées aux processus</v>
      </c>
      <c r="X106" s="674">
        <f>$D$83</f>
        <v>0</v>
      </c>
    </row>
    <row r="107" spans="2:24" x14ac:dyDescent="0.2">
      <c r="G107" s="565"/>
      <c r="K107" s="181"/>
      <c r="S107" s="673">
        <v>68</v>
      </c>
      <c r="T107" s="107" t="str">
        <f t="shared" si="16"/>
        <v>Location-based</v>
      </c>
      <c r="U107" s="107" t="str">
        <f t="shared" si="17"/>
        <v>Émissions GES (IPCC 2021)</v>
      </c>
      <c r="V107" s="107" t="str">
        <f>$B$84</f>
        <v>Scope 2</v>
      </c>
      <c r="W107" s="107" t="str">
        <f>$C$85</f>
        <v>Électricité (+ flotte électrique propre)</v>
      </c>
      <c r="X107" s="674">
        <f>$D$85</f>
        <v>0</v>
      </c>
    </row>
    <row r="108" spans="2:24" x14ac:dyDescent="0.2">
      <c r="G108" s="565"/>
      <c r="K108" s="181"/>
      <c r="S108" s="673">
        <v>69</v>
      </c>
      <c r="T108" s="107" t="str">
        <f t="shared" si="16"/>
        <v>Location-based</v>
      </c>
      <c r="U108" s="107" t="str">
        <f t="shared" si="17"/>
        <v>Émissions GES (IPCC 2021)</v>
      </c>
      <c r="V108" s="107" t="str">
        <f>$B$84</f>
        <v>Scope 2</v>
      </c>
      <c r="W108" s="107" t="str">
        <f>$C$86</f>
        <v>Chauffage à distance et vapeur</v>
      </c>
      <c r="X108" s="674">
        <f>$D$86</f>
        <v>0</v>
      </c>
    </row>
    <row r="109" spans="2:24" x14ac:dyDescent="0.2">
      <c r="G109" s="565"/>
      <c r="K109" s="181"/>
      <c r="S109" s="673">
        <v>70</v>
      </c>
      <c r="T109" s="107" t="str">
        <f t="shared" si="16"/>
        <v>Location-based</v>
      </c>
      <c r="U109" s="107" t="str">
        <f t="shared" si="17"/>
        <v>Émissions GES (IPCC 2021)</v>
      </c>
      <c r="V109" s="107" t="str">
        <f t="shared" ref="V109:V123" si="19">$B$87</f>
        <v>Scope 3</v>
      </c>
      <c r="W109" s="107" t="str">
        <f>$C$88</f>
        <v>3.1 Biens et services</v>
      </c>
      <c r="X109" s="674">
        <f>$D$88</f>
        <v>0</v>
      </c>
    </row>
    <row r="110" spans="2:24" x14ac:dyDescent="0.2">
      <c r="G110" s="565"/>
      <c r="K110" s="181"/>
      <c r="S110" s="673">
        <v>71</v>
      </c>
      <c r="T110" s="107" t="str">
        <f t="shared" si="16"/>
        <v>Location-based</v>
      </c>
      <c r="U110" s="107" t="str">
        <f t="shared" si="17"/>
        <v>Émissions GES (IPCC 2021)</v>
      </c>
      <c r="V110" s="107" t="str">
        <f t="shared" si="19"/>
        <v>Scope 3</v>
      </c>
      <c r="W110" s="107" t="str">
        <f>$C$89</f>
        <v>3.2 Biens d’équipement</v>
      </c>
      <c r="X110" s="674">
        <f>$D$89</f>
        <v>0</v>
      </c>
    </row>
    <row r="111" spans="2:24" x14ac:dyDescent="0.2">
      <c r="G111" s="565"/>
      <c r="K111" s="181"/>
      <c r="S111" s="673">
        <v>72</v>
      </c>
      <c r="T111" s="107" t="str">
        <f t="shared" si="16"/>
        <v>Location-based</v>
      </c>
      <c r="U111" s="107" t="str">
        <f t="shared" si="17"/>
        <v>Émissions GES (IPCC 2021)</v>
      </c>
      <c r="V111" s="107" t="str">
        <f t="shared" si="19"/>
        <v>Scope 3</v>
      </c>
      <c r="W111" s="107" t="str">
        <f>$C$90</f>
        <v>3.3 Émissions indirectes de l'énergie</v>
      </c>
      <c r="X111" s="674">
        <f>$D$90</f>
        <v>0</v>
      </c>
    </row>
    <row r="112" spans="2:24" x14ac:dyDescent="0.2">
      <c r="G112" s="565"/>
      <c r="K112" s="181"/>
      <c r="S112" s="673">
        <v>73</v>
      </c>
      <c r="T112" s="107" t="str">
        <f t="shared" si="16"/>
        <v>Location-based</v>
      </c>
      <c r="U112" s="107" t="str">
        <f t="shared" si="17"/>
        <v>Émissions GES (IPCC 2021)</v>
      </c>
      <c r="V112" s="107" t="str">
        <f t="shared" si="19"/>
        <v>Scope 3</v>
      </c>
      <c r="W112" s="107" t="str">
        <f>$C$91</f>
        <v>3.4 Transport en amont</v>
      </c>
      <c r="X112" s="674">
        <f>$D$91</f>
        <v>0</v>
      </c>
    </row>
    <row r="113" spans="7:24" x14ac:dyDescent="0.2">
      <c r="G113" s="565"/>
      <c r="K113" s="181"/>
      <c r="S113" s="673">
        <v>74</v>
      </c>
      <c r="T113" s="107" t="str">
        <f t="shared" si="16"/>
        <v>Location-based</v>
      </c>
      <c r="U113" s="107" t="str">
        <f t="shared" si="17"/>
        <v>Émissions GES (IPCC 2021)</v>
      </c>
      <c r="V113" s="107" t="str">
        <f t="shared" si="19"/>
        <v>Scope 3</v>
      </c>
      <c r="W113" s="107" t="str">
        <f>$C$92</f>
        <v>3.5 Déchets d'exploitation</v>
      </c>
      <c r="X113" s="674">
        <f>$D$92</f>
        <v>0</v>
      </c>
    </row>
    <row r="114" spans="7:24" x14ac:dyDescent="0.2">
      <c r="G114" s="565"/>
      <c r="K114" s="181"/>
      <c r="S114" s="673">
        <v>75</v>
      </c>
      <c r="T114" s="107" t="str">
        <f t="shared" si="16"/>
        <v>Location-based</v>
      </c>
      <c r="U114" s="107" t="str">
        <f t="shared" si="17"/>
        <v>Émissions GES (IPCC 2021)</v>
      </c>
      <c r="V114" s="107" t="str">
        <f t="shared" si="19"/>
        <v>Scope 3</v>
      </c>
      <c r="W114" s="107" t="str">
        <f>$C$93</f>
        <v>3.6 Voyages d’affaires</v>
      </c>
      <c r="X114" s="674">
        <f>$D$93</f>
        <v>0</v>
      </c>
    </row>
    <row r="115" spans="7:24" x14ac:dyDescent="0.2">
      <c r="G115" s="565"/>
      <c r="K115" s="181"/>
      <c r="S115" s="673">
        <v>76</v>
      </c>
      <c r="T115" s="107" t="str">
        <f t="shared" si="16"/>
        <v>Location-based</v>
      </c>
      <c r="U115" s="107" t="str">
        <f t="shared" si="17"/>
        <v>Émissions GES (IPCC 2021)</v>
      </c>
      <c r="V115" s="107" t="str">
        <f t="shared" si="19"/>
        <v>Scope 3</v>
      </c>
      <c r="W115" s="107" t="str">
        <f>$C$94</f>
        <v>3.7 Trajets pendulaires</v>
      </c>
      <c r="X115" s="674">
        <f>$D$94</f>
        <v>0</v>
      </c>
    </row>
    <row r="116" spans="7:24" x14ac:dyDescent="0.2">
      <c r="G116" s="565"/>
      <c r="K116" s="181"/>
      <c r="S116" s="673">
        <v>77</v>
      </c>
      <c r="T116" s="107" t="str">
        <f t="shared" si="16"/>
        <v>Location-based</v>
      </c>
      <c r="U116" s="107" t="str">
        <f t="shared" si="17"/>
        <v>Émissions GES (IPCC 2021)</v>
      </c>
      <c r="V116" s="107" t="str">
        <f t="shared" si="19"/>
        <v>Scope 3</v>
      </c>
      <c r="W116" s="107" t="str">
        <f>$C$95</f>
        <v>3.8 Actifs loués en amont</v>
      </c>
      <c r="X116" s="674">
        <f>$D$95</f>
        <v>0</v>
      </c>
    </row>
    <row r="117" spans="7:24" x14ac:dyDescent="0.2">
      <c r="G117" s="565"/>
      <c r="K117" s="181"/>
      <c r="S117" s="673">
        <v>78</v>
      </c>
      <c r="T117" s="107" t="str">
        <f t="shared" si="16"/>
        <v>Location-based</v>
      </c>
      <c r="U117" s="107" t="str">
        <f t="shared" si="17"/>
        <v>Émissions GES (IPCC 2021)</v>
      </c>
      <c r="V117" s="107" t="str">
        <f t="shared" si="19"/>
        <v>Scope 3</v>
      </c>
      <c r="W117" s="107" t="str">
        <f>$C$96</f>
        <v>3.9 Transport en aval</v>
      </c>
      <c r="X117" s="674">
        <f>$D$96</f>
        <v>0</v>
      </c>
    </row>
    <row r="118" spans="7:24" x14ac:dyDescent="0.2">
      <c r="G118" s="565"/>
      <c r="K118" s="181"/>
      <c r="S118" s="673">
        <v>79</v>
      </c>
      <c r="T118" s="107" t="str">
        <f t="shared" si="16"/>
        <v>Location-based</v>
      </c>
      <c r="U118" s="107" t="str">
        <f t="shared" si="17"/>
        <v>Émissions GES (IPCC 2021)</v>
      </c>
      <c r="V118" s="107" t="str">
        <f t="shared" si="19"/>
        <v>Scope 3</v>
      </c>
      <c r="W118" s="107" t="str">
        <f>$C$97</f>
        <v>3.10 Transformation des biens vendus</v>
      </c>
      <c r="X118" s="674">
        <f>$D$97</f>
        <v>0</v>
      </c>
    </row>
    <row r="119" spans="7:24" x14ac:dyDescent="0.2">
      <c r="G119" s="565"/>
      <c r="K119" s="181"/>
      <c r="S119" s="673">
        <v>80</v>
      </c>
      <c r="T119" s="107" t="str">
        <f t="shared" si="16"/>
        <v>Location-based</v>
      </c>
      <c r="U119" s="107" t="str">
        <f t="shared" si="17"/>
        <v>Émissions GES (IPCC 2021)</v>
      </c>
      <c r="V119" s="107" t="str">
        <f t="shared" si="19"/>
        <v>Scope 3</v>
      </c>
      <c r="W119" s="107" t="str">
        <f>$C$98</f>
        <v>3.11 Utilisation des biens vendus</v>
      </c>
      <c r="X119" s="674">
        <f>$D$98</f>
        <v>0</v>
      </c>
    </row>
    <row r="120" spans="7:24" x14ac:dyDescent="0.2">
      <c r="G120" s="565"/>
      <c r="K120" s="181"/>
      <c r="S120" s="673">
        <v>81</v>
      </c>
      <c r="T120" s="107" t="str">
        <f t="shared" si="16"/>
        <v>Location-based</v>
      </c>
      <c r="U120" s="107" t="str">
        <f t="shared" si="17"/>
        <v>Émissions GES (IPCC 2021)</v>
      </c>
      <c r="V120" s="107" t="str">
        <f t="shared" si="19"/>
        <v>Scope 3</v>
      </c>
      <c r="W120" s="107" t="str">
        <f>$C$99</f>
        <v>3.12 Élimination des produits vendus</v>
      </c>
      <c r="X120" s="674">
        <f>$D$99</f>
        <v>0</v>
      </c>
    </row>
    <row r="121" spans="7:24" x14ac:dyDescent="0.2">
      <c r="G121" s="565"/>
      <c r="K121" s="181"/>
      <c r="S121" s="673">
        <v>82</v>
      </c>
      <c r="T121" s="107" t="str">
        <f t="shared" si="16"/>
        <v>Location-based</v>
      </c>
      <c r="U121" s="107" t="str">
        <f t="shared" si="17"/>
        <v>Émissions GES (IPCC 2021)</v>
      </c>
      <c r="V121" s="107" t="str">
        <f t="shared" si="19"/>
        <v>Scope 3</v>
      </c>
      <c r="W121" s="107" t="str">
        <f>$C$100</f>
        <v>3.13 Actifs loués en aval</v>
      </c>
      <c r="X121" s="674">
        <f>$D$100</f>
        <v>0</v>
      </c>
    </row>
    <row r="122" spans="7:24" x14ac:dyDescent="0.2">
      <c r="G122" s="565"/>
      <c r="K122" s="181"/>
      <c r="S122" s="673">
        <v>83</v>
      </c>
      <c r="T122" s="107" t="str">
        <f t="shared" si="16"/>
        <v>Location-based</v>
      </c>
      <c r="U122" s="107" t="str">
        <f t="shared" si="17"/>
        <v>Émissions GES (IPCC 2021)</v>
      </c>
      <c r="V122" s="107" t="str">
        <f t="shared" si="19"/>
        <v>Scope 3</v>
      </c>
      <c r="W122" s="107" t="str">
        <f>$C$101</f>
        <v>3.14 Franchises</v>
      </c>
      <c r="X122" s="674">
        <f>$D$101</f>
        <v>0</v>
      </c>
    </row>
    <row r="123" spans="7:24" x14ac:dyDescent="0.2">
      <c r="G123" s="565"/>
      <c r="K123" s="181"/>
      <c r="S123" s="673">
        <v>84</v>
      </c>
      <c r="T123" s="107" t="str">
        <f t="shared" si="16"/>
        <v>Location-based</v>
      </c>
      <c r="U123" s="107" t="str">
        <f t="shared" si="17"/>
        <v>Émissions GES (IPCC 2021)</v>
      </c>
      <c r="V123" s="107" t="str">
        <f t="shared" si="19"/>
        <v>Scope 3</v>
      </c>
      <c r="W123" s="107" t="str">
        <f>$C$102</f>
        <v>3.15 Investissements</v>
      </c>
      <c r="X123" s="674">
        <f>$D$102</f>
        <v>0</v>
      </c>
    </row>
    <row r="124" spans="7:24" x14ac:dyDescent="0.2">
      <c r="G124" s="565"/>
      <c r="K124" s="181"/>
      <c r="S124" s="673">
        <v>85</v>
      </c>
      <c r="T124" s="107" t="str">
        <f t="shared" si="16"/>
        <v>Location-based</v>
      </c>
      <c r="U124" s="107" t="str">
        <f t="shared" ref="U124:U144" si="20">$E$77</f>
        <v>Émissions CO2 biogénique</v>
      </c>
      <c r="V124" s="107" t="str">
        <f>$B$79</f>
        <v>Scope 1</v>
      </c>
      <c r="W124" s="107" t="str">
        <f>$C$80</f>
        <v>Combustion stationnaire</v>
      </c>
      <c r="X124" s="674">
        <f>$E$80</f>
        <v>0</v>
      </c>
    </row>
    <row r="125" spans="7:24" x14ac:dyDescent="0.2">
      <c r="G125" s="565"/>
      <c r="K125" s="181"/>
      <c r="S125" s="673">
        <v>86</v>
      </c>
      <c r="T125" s="107" t="str">
        <f t="shared" si="16"/>
        <v>Location-based</v>
      </c>
      <c r="U125" s="107" t="str">
        <f t="shared" si="20"/>
        <v>Émissions CO2 biogénique</v>
      </c>
      <c r="V125" s="107" t="str">
        <f>$B$79</f>
        <v>Scope 1</v>
      </c>
      <c r="W125" s="107" t="str">
        <f>$C$81</f>
        <v>Émissions fugitives</v>
      </c>
      <c r="X125" s="674">
        <f>$E$81</f>
        <v>0</v>
      </c>
    </row>
    <row r="126" spans="7:24" x14ac:dyDescent="0.2">
      <c r="G126" s="565"/>
      <c r="K126" s="181"/>
      <c r="S126" s="673">
        <v>87</v>
      </c>
      <c r="T126" s="107" t="str">
        <f t="shared" si="16"/>
        <v>Location-based</v>
      </c>
      <c r="U126" s="107" t="str">
        <f t="shared" si="20"/>
        <v>Émissions CO2 biogénique</v>
      </c>
      <c r="V126" s="107" t="str">
        <f>$B$79</f>
        <v>Scope 1</v>
      </c>
      <c r="W126" s="107" t="str">
        <f>$C$82</f>
        <v>Flotte</v>
      </c>
      <c r="X126" s="674">
        <f>$E$82</f>
        <v>0</v>
      </c>
    </row>
    <row r="127" spans="7:24" x14ac:dyDescent="0.2">
      <c r="G127" s="565"/>
      <c r="K127" s="181"/>
      <c r="S127" s="673">
        <v>88</v>
      </c>
      <c r="T127" s="107" t="str">
        <f t="shared" si="16"/>
        <v>Location-based</v>
      </c>
      <c r="U127" s="107" t="str">
        <f t="shared" si="20"/>
        <v>Émissions CO2 biogénique</v>
      </c>
      <c r="V127" s="107" t="str">
        <f>$B$79</f>
        <v>Scope 1</v>
      </c>
      <c r="W127" s="107" t="str">
        <f>$C$83</f>
        <v>Émissions liées aux processus</v>
      </c>
      <c r="X127" s="674">
        <f>$E$83</f>
        <v>0</v>
      </c>
    </row>
    <row r="128" spans="7:24" x14ac:dyDescent="0.2">
      <c r="G128" s="565"/>
      <c r="K128" s="181"/>
      <c r="S128" s="673">
        <v>89</v>
      </c>
      <c r="T128" s="107" t="str">
        <f t="shared" si="16"/>
        <v>Location-based</v>
      </c>
      <c r="U128" s="107" t="str">
        <f t="shared" si="20"/>
        <v>Émissions CO2 biogénique</v>
      </c>
      <c r="V128" s="107" t="str">
        <f>$B$84</f>
        <v>Scope 2</v>
      </c>
      <c r="W128" s="107" t="str">
        <f>$C$85</f>
        <v>Électricité (+ flotte électrique propre)</v>
      </c>
      <c r="X128" s="674">
        <f>$E$85</f>
        <v>0</v>
      </c>
    </row>
    <row r="129" spans="4:24" x14ac:dyDescent="0.2">
      <c r="G129" s="565"/>
      <c r="K129" s="181"/>
      <c r="S129" s="673">
        <v>90</v>
      </c>
      <c r="T129" s="107" t="str">
        <f t="shared" si="16"/>
        <v>Location-based</v>
      </c>
      <c r="U129" s="107" t="str">
        <f t="shared" si="20"/>
        <v>Émissions CO2 biogénique</v>
      </c>
      <c r="V129" s="107" t="str">
        <f>$B$84</f>
        <v>Scope 2</v>
      </c>
      <c r="W129" s="107" t="str">
        <f>$C$86</f>
        <v>Chauffage à distance et vapeur</v>
      </c>
      <c r="X129" s="674">
        <f>$E$86</f>
        <v>0</v>
      </c>
    </row>
    <row r="130" spans="4:24" x14ac:dyDescent="0.2">
      <c r="G130" s="565"/>
      <c r="K130" s="181"/>
      <c r="S130" s="673">
        <v>91</v>
      </c>
      <c r="T130" s="107" t="str">
        <f t="shared" si="16"/>
        <v>Location-based</v>
      </c>
      <c r="U130" s="107" t="str">
        <f t="shared" si="20"/>
        <v>Émissions CO2 biogénique</v>
      </c>
      <c r="V130" s="107" t="str">
        <f t="shared" ref="V130:V144" si="21">$B$87</f>
        <v>Scope 3</v>
      </c>
      <c r="W130" s="107" t="str">
        <f>$C$88</f>
        <v>3.1 Biens et services</v>
      </c>
      <c r="X130" s="674">
        <f>$E$88</f>
        <v>0</v>
      </c>
    </row>
    <row r="131" spans="4:24" x14ac:dyDescent="0.2">
      <c r="G131" s="565"/>
      <c r="K131" s="181"/>
      <c r="S131" s="673">
        <v>92</v>
      </c>
      <c r="T131" s="107" t="str">
        <f t="shared" si="16"/>
        <v>Location-based</v>
      </c>
      <c r="U131" s="107" t="str">
        <f t="shared" si="20"/>
        <v>Émissions CO2 biogénique</v>
      </c>
      <c r="V131" s="107" t="str">
        <f t="shared" si="21"/>
        <v>Scope 3</v>
      </c>
      <c r="W131" s="107" t="str">
        <f>$C$89</f>
        <v>3.2 Biens d’équipement</v>
      </c>
      <c r="X131" s="674">
        <f>$E$89</f>
        <v>0</v>
      </c>
    </row>
    <row r="132" spans="4:24" x14ac:dyDescent="0.2">
      <c r="G132" s="565"/>
      <c r="K132" s="181"/>
      <c r="S132" s="673">
        <v>93</v>
      </c>
      <c r="T132" s="107" t="str">
        <f t="shared" si="16"/>
        <v>Location-based</v>
      </c>
      <c r="U132" s="107" t="str">
        <f t="shared" si="20"/>
        <v>Émissions CO2 biogénique</v>
      </c>
      <c r="V132" s="107" t="str">
        <f t="shared" si="21"/>
        <v>Scope 3</v>
      </c>
      <c r="W132" s="107" t="str">
        <f>$C$90</f>
        <v>3.3 Émissions indirectes de l'énergie</v>
      </c>
      <c r="X132" s="674">
        <f>$E$90</f>
        <v>0</v>
      </c>
    </row>
    <row r="133" spans="4:24" x14ac:dyDescent="0.2">
      <c r="G133" s="565"/>
      <c r="K133" s="181"/>
      <c r="S133" s="673">
        <v>94</v>
      </c>
      <c r="T133" s="107" t="str">
        <f t="shared" si="16"/>
        <v>Location-based</v>
      </c>
      <c r="U133" s="107" t="str">
        <f t="shared" si="20"/>
        <v>Émissions CO2 biogénique</v>
      </c>
      <c r="V133" s="107" t="str">
        <f t="shared" si="21"/>
        <v>Scope 3</v>
      </c>
      <c r="W133" s="107" t="str">
        <f>$C$91</f>
        <v>3.4 Transport en amont</v>
      </c>
      <c r="X133" s="674">
        <f>$E$91</f>
        <v>0</v>
      </c>
    </row>
    <row r="134" spans="4:24" x14ac:dyDescent="0.2">
      <c r="G134" s="565"/>
      <c r="K134" s="181"/>
      <c r="S134" s="673">
        <v>95</v>
      </c>
      <c r="T134" s="107" t="str">
        <f t="shared" si="16"/>
        <v>Location-based</v>
      </c>
      <c r="U134" s="107" t="str">
        <f t="shared" si="20"/>
        <v>Émissions CO2 biogénique</v>
      </c>
      <c r="V134" s="107" t="str">
        <f t="shared" si="21"/>
        <v>Scope 3</v>
      </c>
      <c r="W134" s="107" t="str">
        <f>$C$92</f>
        <v>3.5 Déchets d'exploitation</v>
      </c>
      <c r="X134" s="674">
        <f>$E$92</f>
        <v>0</v>
      </c>
    </row>
    <row r="135" spans="4:24" x14ac:dyDescent="0.2">
      <c r="G135" s="565"/>
      <c r="K135" s="181"/>
      <c r="S135" s="673">
        <v>96</v>
      </c>
      <c r="T135" s="107" t="str">
        <f t="shared" ref="T135:T165" si="22">$D$74</f>
        <v>Location-based</v>
      </c>
      <c r="U135" s="107" t="str">
        <f t="shared" si="20"/>
        <v>Émissions CO2 biogénique</v>
      </c>
      <c r="V135" s="107" t="str">
        <f t="shared" si="21"/>
        <v>Scope 3</v>
      </c>
      <c r="W135" s="107" t="str">
        <f>$C$93</f>
        <v>3.6 Voyages d’affaires</v>
      </c>
      <c r="X135" s="674">
        <f>$E$93</f>
        <v>0</v>
      </c>
    </row>
    <row r="136" spans="4:24" x14ac:dyDescent="0.2">
      <c r="G136" s="565"/>
      <c r="K136" s="181"/>
      <c r="S136" s="673">
        <v>97</v>
      </c>
      <c r="T136" s="107" t="str">
        <f t="shared" si="22"/>
        <v>Location-based</v>
      </c>
      <c r="U136" s="107" t="str">
        <f t="shared" si="20"/>
        <v>Émissions CO2 biogénique</v>
      </c>
      <c r="V136" s="107" t="str">
        <f t="shared" si="21"/>
        <v>Scope 3</v>
      </c>
      <c r="W136" s="107" t="str">
        <f>$C$94</f>
        <v>3.7 Trajets pendulaires</v>
      </c>
      <c r="X136" s="674">
        <f>$E$94</f>
        <v>0</v>
      </c>
    </row>
    <row r="137" spans="4:24" x14ac:dyDescent="0.2">
      <c r="D137" s="170"/>
      <c r="G137" s="565"/>
      <c r="K137" s="181"/>
      <c r="S137" s="673">
        <v>98</v>
      </c>
      <c r="T137" s="107" t="str">
        <f t="shared" si="22"/>
        <v>Location-based</v>
      </c>
      <c r="U137" s="107" t="str">
        <f t="shared" si="20"/>
        <v>Émissions CO2 biogénique</v>
      </c>
      <c r="V137" s="107" t="str">
        <f t="shared" si="21"/>
        <v>Scope 3</v>
      </c>
      <c r="W137" s="107" t="str">
        <f>$C$95</f>
        <v>3.8 Actifs loués en amont</v>
      </c>
      <c r="X137" s="674">
        <f>$E$95</f>
        <v>0</v>
      </c>
    </row>
    <row r="138" spans="4:24" x14ac:dyDescent="0.2">
      <c r="D138" s="170"/>
      <c r="G138" s="565"/>
      <c r="K138" s="181"/>
      <c r="S138" s="673">
        <v>99</v>
      </c>
      <c r="T138" s="107" t="str">
        <f t="shared" si="22"/>
        <v>Location-based</v>
      </c>
      <c r="U138" s="107" t="str">
        <f t="shared" si="20"/>
        <v>Émissions CO2 biogénique</v>
      </c>
      <c r="V138" s="107" t="str">
        <f t="shared" si="21"/>
        <v>Scope 3</v>
      </c>
      <c r="W138" s="107" t="str">
        <f>$C$96</f>
        <v>3.9 Transport en aval</v>
      </c>
      <c r="X138" s="674">
        <f>$E$96</f>
        <v>0</v>
      </c>
    </row>
    <row r="139" spans="4:24" x14ac:dyDescent="0.2">
      <c r="D139" s="170"/>
      <c r="G139" s="565"/>
      <c r="K139" s="181"/>
      <c r="S139" s="673">
        <v>100</v>
      </c>
      <c r="T139" s="107" t="str">
        <f t="shared" si="22"/>
        <v>Location-based</v>
      </c>
      <c r="U139" s="107" t="str">
        <f t="shared" si="20"/>
        <v>Émissions CO2 biogénique</v>
      </c>
      <c r="V139" s="107" t="str">
        <f t="shared" si="21"/>
        <v>Scope 3</v>
      </c>
      <c r="W139" s="107" t="str">
        <f>$C$97</f>
        <v>3.10 Transformation des biens vendus</v>
      </c>
      <c r="X139" s="674">
        <f>$E$97</f>
        <v>0</v>
      </c>
    </row>
    <row r="140" spans="4:24" x14ac:dyDescent="0.2">
      <c r="D140" s="170"/>
      <c r="G140" s="565"/>
      <c r="K140" s="181"/>
      <c r="S140" s="673">
        <v>101</v>
      </c>
      <c r="T140" s="107" t="str">
        <f t="shared" si="22"/>
        <v>Location-based</v>
      </c>
      <c r="U140" s="107" t="str">
        <f t="shared" si="20"/>
        <v>Émissions CO2 biogénique</v>
      </c>
      <c r="V140" s="107" t="str">
        <f t="shared" si="21"/>
        <v>Scope 3</v>
      </c>
      <c r="W140" s="107" t="str">
        <f>$C$98</f>
        <v>3.11 Utilisation des biens vendus</v>
      </c>
      <c r="X140" s="674">
        <f>$E$98</f>
        <v>0</v>
      </c>
    </row>
    <row r="141" spans="4:24" x14ac:dyDescent="0.2">
      <c r="D141" s="170"/>
      <c r="G141" s="565"/>
      <c r="K141" s="181"/>
      <c r="S141" s="673">
        <v>102</v>
      </c>
      <c r="T141" s="107" t="str">
        <f t="shared" si="22"/>
        <v>Location-based</v>
      </c>
      <c r="U141" s="107" t="str">
        <f t="shared" si="20"/>
        <v>Émissions CO2 biogénique</v>
      </c>
      <c r="V141" s="107" t="str">
        <f t="shared" si="21"/>
        <v>Scope 3</v>
      </c>
      <c r="W141" s="107" t="str">
        <f>$C$99</f>
        <v>3.12 Élimination des produits vendus</v>
      </c>
      <c r="X141" s="674">
        <f>$E$99</f>
        <v>0</v>
      </c>
    </row>
    <row r="142" spans="4:24" x14ac:dyDescent="0.2">
      <c r="H142" s="565"/>
      <c r="K142" s="181"/>
      <c r="S142" s="673">
        <v>103</v>
      </c>
      <c r="T142" s="107" t="str">
        <f t="shared" si="22"/>
        <v>Location-based</v>
      </c>
      <c r="U142" s="107" t="str">
        <f t="shared" si="20"/>
        <v>Émissions CO2 biogénique</v>
      </c>
      <c r="V142" s="107" t="str">
        <f t="shared" si="21"/>
        <v>Scope 3</v>
      </c>
      <c r="W142" s="107" t="str">
        <f>$C$100</f>
        <v>3.13 Actifs loués en aval</v>
      </c>
      <c r="X142" s="674">
        <f>$E$100</f>
        <v>0</v>
      </c>
    </row>
    <row r="143" spans="4:24" x14ac:dyDescent="0.2">
      <c r="H143" s="565"/>
      <c r="K143" s="181"/>
      <c r="S143" s="673">
        <v>104</v>
      </c>
      <c r="T143" s="107" t="str">
        <f t="shared" si="22"/>
        <v>Location-based</v>
      </c>
      <c r="U143" s="107" t="str">
        <f t="shared" si="20"/>
        <v>Émissions CO2 biogénique</v>
      </c>
      <c r="V143" s="107" t="str">
        <f t="shared" si="21"/>
        <v>Scope 3</v>
      </c>
      <c r="W143" s="107" t="str">
        <f>$C$101</f>
        <v>3.14 Franchises</v>
      </c>
      <c r="X143" s="674">
        <f>$E$101</f>
        <v>0</v>
      </c>
    </row>
    <row r="144" spans="4:24" x14ac:dyDescent="0.2">
      <c r="H144" s="565"/>
      <c r="K144" s="181"/>
      <c r="S144" s="673">
        <v>105</v>
      </c>
      <c r="T144" s="107" t="str">
        <f t="shared" si="22"/>
        <v>Location-based</v>
      </c>
      <c r="U144" s="107" t="str">
        <f t="shared" si="20"/>
        <v>Émissions CO2 biogénique</v>
      </c>
      <c r="V144" s="107" t="str">
        <f t="shared" si="21"/>
        <v>Scope 3</v>
      </c>
      <c r="W144" s="107" t="str">
        <f>$C$102</f>
        <v>3.15 Investissements</v>
      </c>
      <c r="X144" s="674">
        <f>$E$102</f>
        <v>0</v>
      </c>
    </row>
    <row r="145" spans="8:24" x14ac:dyDescent="0.2">
      <c r="H145" s="565"/>
      <c r="K145" s="181"/>
      <c r="S145" s="673">
        <v>106</v>
      </c>
      <c r="T145" s="107" t="str">
        <f t="shared" si="22"/>
        <v>Location-based</v>
      </c>
      <c r="U145" s="107" t="str">
        <f t="shared" ref="U145:U165" si="23">$F$77</f>
        <v>Impact env. total (Ecological Scarcity 2021)</v>
      </c>
      <c r="V145" s="107" t="str">
        <f>$B$79</f>
        <v>Scope 1</v>
      </c>
      <c r="W145" s="107" t="str">
        <f>$C$80</f>
        <v>Combustion stationnaire</v>
      </c>
      <c r="X145" s="674">
        <f>$F$80</f>
        <v>0</v>
      </c>
    </row>
    <row r="146" spans="8:24" x14ac:dyDescent="0.2">
      <c r="H146" s="565"/>
      <c r="K146" s="181"/>
      <c r="S146" s="673">
        <v>107</v>
      </c>
      <c r="T146" s="107" t="str">
        <f t="shared" si="22"/>
        <v>Location-based</v>
      </c>
      <c r="U146" s="107" t="str">
        <f t="shared" si="23"/>
        <v>Impact env. total (Ecological Scarcity 2021)</v>
      </c>
      <c r="V146" s="107" t="str">
        <f>$B$79</f>
        <v>Scope 1</v>
      </c>
      <c r="W146" s="107" t="str">
        <f>$C$81</f>
        <v>Émissions fugitives</v>
      </c>
      <c r="X146" s="674">
        <f>$F$81</f>
        <v>0</v>
      </c>
    </row>
    <row r="147" spans="8:24" x14ac:dyDescent="0.2">
      <c r="H147" s="565"/>
      <c r="K147" s="181"/>
      <c r="S147" s="673">
        <v>108</v>
      </c>
      <c r="T147" s="107" t="str">
        <f t="shared" si="22"/>
        <v>Location-based</v>
      </c>
      <c r="U147" s="107" t="str">
        <f t="shared" si="23"/>
        <v>Impact env. total (Ecological Scarcity 2021)</v>
      </c>
      <c r="V147" s="107" t="str">
        <f>$B$79</f>
        <v>Scope 1</v>
      </c>
      <c r="W147" s="107" t="str">
        <f>$C$82</f>
        <v>Flotte</v>
      </c>
      <c r="X147" s="674">
        <f>$F$82</f>
        <v>0</v>
      </c>
    </row>
    <row r="148" spans="8:24" x14ac:dyDescent="0.2">
      <c r="H148" s="565"/>
      <c r="K148" s="181"/>
      <c r="S148" s="673">
        <v>109</v>
      </c>
      <c r="T148" s="107" t="str">
        <f t="shared" si="22"/>
        <v>Location-based</v>
      </c>
      <c r="U148" s="107" t="str">
        <f t="shared" si="23"/>
        <v>Impact env. total (Ecological Scarcity 2021)</v>
      </c>
      <c r="V148" s="107" t="str">
        <f>$B$79</f>
        <v>Scope 1</v>
      </c>
      <c r="W148" s="107" t="str">
        <f>$C$83</f>
        <v>Émissions liées aux processus</v>
      </c>
      <c r="X148" s="674">
        <f>$F$83</f>
        <v>0</v>
      </c>
    </row>
    <row r="149" spans="8:24" x14ac:dyDescent="0.2">
      <c r="H149" s="565"/>
      <c r="K149" s="181"/>
      <c r="S149" s="673">
        <v>110</v>
      </c>
      <c r="T149" s="107" t="str">
        <f t="shared" si="22"/>
        <v>Location-based</v>
      </c>
      <c r="U149" s="107" t="str">
        <f t="shared" si="23"/>
        <v>Impact env. total (Ecological Scarcity 2021)</v>
      </c>
      <c r="V149" s="107" t="str">
        <f>$B$84</f>
        <v>Scope 2</v>
      </c>
      <c r="W149" s="107" t="str">
        <f>$C$85</f>
        <v>Électricité (+ flotte électrique propre)</v>
      </c>
      <c r="X149" s="674">
        <f>$F$85</f>
        <v>0</v>
      </c>
    </row>
    <row r="150" spans="8:24" x14ac:dyDescent="0.2">
      <c r="H150" s="565"/>
      <c r="K150" s="181"/>
      <c r="S150" s="673">
        <v>111</v>
      </c>
      <c r="T150" s="107" t="str">
        <f t="shared" si="22"/>
        <v>Location-based</v>
      </c>
      <c r="U150" s="107" t="str">
        <f t="shared" si="23"/>
        <v>Impact env. total (Ecological Scarcity 2021)</v>
      </c>
      <c r="V150" s="107" t="str">
        <f>$B$84</f>
        <v>Scope 2</v>
      </c>
      <c r="W150" s="107" t="str">
        <f>$C$86</f>
        <v>Chauffage à distance et vapeur</v>
      </c>
      <c r="X150" s="674">
        <f>$F$86</f>
        <v>0</v>
      </c>
    </row>
    <row r="151" spans="8:24" x14ac:dyDescent="0.2">
      <c r="H151" s="565"/>
      <c r="K151" s="181"/>
      <c r="S151" s="673">
        <v>112</v>
      </c>
      <c r="T151" s="107" t="str">
        <f t="shared" si="22"/>
        <v>Location-based</v>
      </c>
      <c r="U151" s="107" t="str">
        <f t="shared" si="23"/>
        <v>Impact env. total (Ecological Scarcity 2021)</v>
      </c>
      <c r="V151" s="107" t="str">
        <f t="shared" ref="V151:V165" si="24">$B$87</f>
        <v>Scope 3</v>
      </c>
      <c r="W151" s="107" t="str">
        <f>$C$88</f>
        <v>3.1 Biens et services</v>
      </c>
      <c r="X151" s="674">
        <f>$F$88</f>
        <v>0</v>
      </c>
    </row>
    <row r="152" spans="8:24" x14ac:dyDescent="0.2">
      <c r="H152" s="565"/>
      <c r="K152" s="181"/>
      <c r="S152" s="673">
        <v>113</v>
      </c>
      <c r="T152" s="107" t="str">
        <f t="shared" si="22"/>
        <v>Location-based</v>
      </c>
      <c r="U152" s="107" t="str">
        <f t="shared" si="23"/>
        <v>Impact env. total (Ecological Scarcity 2021)</v>
      </c>
      <c r="V152" s="107" t="str">
        <f t="shared" si="24"/>
        <v>Scope 3</v>
      </c>
      <c r="W152" s="107" t="str">
        <f>$C$89</f>
        <v>3.2 Biens d’équipement</v>
      </c>
      <c r="X152" s="674">
        <f>$F$89</f>
        <v>0</v>
      </c>
    </row>
    <row r="153" spans="8:24" x14ac:dyDescent="0.2">
      <c r="H153" s="565"/>
      <c r="K153" s="181"/>
      <c r="S153" s="673">
        <v>114</v>
      </c>
      <c r="T153" s="107" t="str">
        <f t="shared" si="22"/>
        <v>Location-based</v>
      </c>
      <c r="U153" s="107" t="str">
        <f t="shared" si="23"/>
        <v>Impact env. total (Ecological Scarcity 2021)</v>
      </c>
      <c r="V153" s="107" t="str">
        <f t="shared" si="24"/>
        <v>Scope 3</v>
      </c>
      <c r="W153" s="107" t="str">
        <f>$C$90</f>
        <v>3.3 Émissions indirectes de l'énergie</v>
      </c>
      <c r="X153" s="674">
        <f>$F$90</f>
        <v>0</v>
      </c>
    </row>
    <row r="154" spans="8:24" x14ac:dyDescent="0.2">
      <c r="H154" s="565"/>
      <c r="K154" s="181"/>
      <c r="S154" s="673">
        <v>115</v>
      </c>
      <c r="T154" s="107" t="str">
        <f t="shared" si="22"/>
        <v>Location-based</v>
      </c>
      <c r="U154" s="107" t="str">
        <f t="shared" si="23"/>
        <v>Impact env. total (Ecological Scarcity 2021)</v>
      </c>
      <c r="V154" s="107" t="str">
        <f t="shared" si="24"/>
        <v>Scope 3</v>
      </c>
      <c r="W154" s="107" t="str">
        <f>$C$91</f>
        <v>3.4 Transport en amont</v>
      </c>
      <c r="X154" s="674">
        <f>$F$91</f>
        <v>0</v>
      </c>
    </row>
    <row r="155" spans="8:24" x14ac:dyDescent="0.2">
      <c r="H155" s="565"/>
      <c r="K155" s="181"/>
      <c r="S155" s="673">
        <v>116</v>
      </c>
      <c r="T155" s="107" t="str">
        <f t="shared" si="22"/>
        <v>Location-based</v>
      </c>
      <c r="U155" s="107" t="str">
        <f t="shared" si="23"/>
        <v>Impact env. total (Ecological Scarcity 2021)</v>
      </c>
      <c r="V155" s="107" t="str">
        <f t="shared" si="24"/>
        <v>Scope 3</v>
      </c>
      <c r="W155" s="107" t="str">
        <f>$C$92</f>
        <v>3.5 Déchets d'exploitation</v>
      </c>
      <c r="X155" s="674">
        <f>$F$92</f>
        <v>0</v>
      </c>
    </row>
    <row r="156" spans="8:24" x14ac:dyDescent="0.2">
      <c r="H156" s="565"/>
      <c r="K156" s="181"/>
      <c r="S156" s="673">
        <v>117</v>
      </c>
      <c r="T156" s="107" t="str">
        <f t="shared" si="22"/>
        <v>Location-based</v>
      </c>
      <c r="U156" s="107" t="str">
        <f t="shared" si="23"/>
        <v>Impact env. total (Ecological Scarcity 2021)</v>
      </c>
      <c r="V156" s="107" t="str">
        <f t="shared" si="24"/>
        <v>Scope 3</v>
      </c>
      <c r="W156" s="107" t="str">
        <f>$C$93</f>
        <v>3.6 Voyages d’affaires</v>
      </c>
      <c r="X156" s="674">
        <f>$F$93</f>
        <v>0</v>
      </c>
    </row>
    <row r="157" spans="8:24" x14ac:dyDescent="0.2">
      <c r="H157" s="565"/>
      <c r="K157" s="181"/>
      <c r="S157" s="673">
        <v>118</v>
      </c>
      <c r="T157" s="107" t="str">
        <f t="shared" si="22"/>
        <v>Location-based</v>
      </c>
      <c r="U157" s="107" t="str">
        <f t="shared" si="23"/>
        <v>Impact env. total (Ecological Scarcity 2021)</v>
      </c>
      <c r="V157" s="107" t="str">
        <f t="shared" si="24"/>
        <v>Scope 3</v>
      </c>
      <c r="W157" s="107" t="str">
        <f>$C$94</f>
        <v>3.7 Trajets pendulaires</v>
      </c>
      <c r="X157" s="674">
        <f>$F$94</f>
        <v>0</v>
      </c>
    </row>
    <row r="158" spans="8:24" x14ac:dyDescent="0.2">
      <c r="H158" s="565"/>
      <c r="K158" s="181"/>
      <c r="S158" s="673">
        <v>119</v>
      </c>
      <c r="T158" s="107" t="str">
        <f t="shared" si="22"/>
        <v>Location-based</v>
      </c>
      <c r="U158" s="107" t="str">
        <f t="shared" si="23"/>
        <v>Impact env. total (Ecological Scarcity 2021)</v>
      </c>
      <c r="V158" s="107" t="str">
        <f t="shared" si="24"/>
        <v>Scope 3</v>
      </c>
      <c r="W158" s="107" t="str">
        <f>$C$95</f>
        <v>3.8 Actifs loués en amont</v>
      </c>
      <c r="X158" s="674">
        <f>$F$95</f>
        <v>0</v>
      </c>
    </row>
    <row r="159" spans="8:24" x14ac:dyDescent="0.2">
      <c r="H159" s="565"/>
      <c r="K159" s="181"/>
      <c r="S159" s="673">
        <v>120</v>
      </c>
      <c r="T159" s="107" t="str">
        <f t="shared" si="22"/>
        <v>Location-based</v>
      </c>
      <c r="U159" s="107" t="str">
        <f t="shared" si="23"/>
        <v>Impact env. total (Ecological Scarcity 2021)</v>
      </c>
      <c r="V159" s="107" t="str">
        <f t="shared" si="24"/>
        <v>Scope 3</v>
      </c>
      <c r="W159" s="107" t="str">
        <f>$C$96</f>
        <v>3.9 Transport en aval</v>
      </c>
      <c r="X159" s="674">
        <f>$F$96</f>
        <v>0</v>
      </c>
    </row>
    <row r="160" spans="8:24" x14ac:dyDescent="0.2">
      <c r="H160" s="565"/>
      <c r="K160" s="181"/>
      <c r="S160" s="673">
        <v>121</v>
      </c>
      <c r="T160" s="107" t="str">
        <f t="shared" si="22"/>
        <v>Location-based</v>
      </c>
      <c r="U160" s="107" t="str">
        <f t="shared" si="23"/>
        <v>Impact env. total (Ecological Scarcity 2021)</v>
      </c>
      <c r="V160" s="107" t="str">
        <f t="shared" si="24"/>
        <v>Scope 3</v>
      </c>
      <c r="W160" s="107" t="str">
        <f>$C$97</f>
        <v>3.10 Transformation des biens vendus</v>
      </c>
      <c r="X160" s="674">
        <f>$F$97</f>
        <v>0</v>
      </c>
    </row>
    <row r="161" spans="8:24" x14ac:dyDescent="0.2">
      <c r="H161" s="565"/>
      <c r="K161" s="181"/>
      <c r="S161" s="673">
        <v>122</v>
      </c>
      <c r="T161" s="107" t="str">
        <f t="shared" si="22"/>
        <v>Location-based</v>
      </c>
      <c r="U161" s="107" t="str">
        <f t="shared" si="23"/>
        <v>Impact env. total (Ecological Scarcity 2021)</v>
      </c>
      <c r="V161" s="107" t="str">
        <f t="shared" si="24"/>
        <v>Scope 3</v>
      </c>
      <c r="W161" s="107" t="str">
        <f>$C$98</f>
        <v>3.11 Utilisation des biens vendus</v>
      </c>
      <c r="X161" s="674">
        <f>$F$98</f>
        <v>0</v>
      </c>
    </row>
    <row r="162" spans="8:24" x14ac:dyDescent="0.2">
      <c r="H162" s="565"/>
      <c r="K162" s="181"/>
      <c r="S162" s="673">
        <v>123</v>
      </c>
      <c r="T162" s="107" t="str">
        <f t="shared" si="22"/>
        <v>Location-based</v>
      </c>
      <c r="U162" s="107" t="str">
        <f t="shared" si="23"/>
        <v>Impact env. total (Ecological Scarcity 2021)</v>
      </c>
      <c r="V162" s="107" t="str">
        <f t="shared" si="24"/>
        <v>Scope 3</v>
      </c>
      <c r="W162" s="107" t="str">
        <f>$C$99</f>
        <v>3.12 Élimination des produits vendus</v>
      </c>
      <c r="X162" s="674">
        <f>$F$99</f>
        <v>0</v>
      </c>
    </row>
    <row r="163" spans="8:24" x14ac:dyDescent="0.2">
      <c r="H163" s="565"/>
      <c r="K163" s="181"/>
      <c r="S163" s="673">
        <v>124</v>
      </c>
      <c r="T163" s="107" t="str">
        <f t="shared" si="22"/>
        <v>Location-based</v>
      </c>
      <c r="U163" s="107" t="str">
        <f t="shared" si="23"/>
        <v>Impact env. total (Ecological Scarcity 2021)</v>
      </c>
      <c r="V163" s="107" t="str">
        <f t="shared" si="24"/>
        <v>Scope 3</v>
      </c>
      <c r="W163" s="107" t="str">
        <f>$C$100</f>
        <v>3.13 Actifs loués en aval</v>
      </c>
      <c r="X163" s="674">
        <f>$F$100</f>
        <v>0</v>
      </c>
    </row>
    <row r="164" spans="8:24" x14ac:dyDescent="0.2">
      <c r="H164" s="565"/>
      <c r="K164" s="181"/>
      <c r="S164" s="673">
        <v>125</v>
      </c>
      <c r="T164" s="107" t="str">
        <f t="shared" si="22"/>
        <v>Location-based</v>
      </c>
      <c r="U164" s="107" t="str">
        <f t="shared" si="23"/>
        <v>Impact env. total (Ecological Scarcity 2021)</v>
      </c>
      <c r="V164" s="107" t="str">
        <f t="shared" si="24"/>
        <v>Scope 3</v>
      </c>
      <c r="W164" s="107" t="str">
        <f>$C$101</f>
        <v>3.14 Franchises</v>
      </c>
      <c r="X164" s="674">
        <f>$F$101</f>
        <v>0</v>
      </c>
    </row>
    <row r="165" spans="8:24" x14ac:dyDescent="0.2">
      <c r="H165" s="565"/>
      <c r="K165" s="181"/>
      <c r="S165" s="675">
        <v>126</v>
      </c>
      <c r="T165" s="676" t="str">
        <f t="shared" si="22"/>
        <v>Location-based</v>
      </c>
      <c r="U165" s="676" t="str">
        <f t="shared" si="23"/>
        <v>Impact env. total (Ecological Scarcity 2021)</v>
      </c>
      <c r="V165" s="676" t="str">
        <f t="shared" si="24"/>
        <v>Scope 3</v>
      </c>
      <c r="W165" s="676" t="str">
        <f>$C$102</f>
        <v>3.15 Investissements</v>
      </c>
      <c r="X165" s="677">
        <f>$F$102</f>
        <v>0</v>
      </c>
    </row>
    <row r="166" spans="8:24" x14ac:dyDescent="0.2">
      <c r="H166" s="565"/>
      <c r="K166" s="181"/>
    </row>
    <row r="167" spans="8:24" x14ac:dyDescent="0.2">
      <c r="H167" s="565"/>
      <c r="K167" s="181"/>
    </row>
    <row r="168" spans="8:24" x14ac:dyDescent="0.2">
      <c r="H168" s="565"/>
      <c r="K168" s="181"/>
    </row>
    <row r="169" spans="8:24" x14ac:dyDescent="0.2">
      <c r="H169" s="565"/>
      <c r="K169" s="181"/>
    </row>
    <row r="170" spans="8:24" x14ac:dyDescent="0.2">
      <c r="H170" s="565"/>
      <c r="K170" s="181"/>
    </row>
    <row r="171" spans="8:24" x14ac:dyDescent="0.2">
      <c r="H171" s="565"/>
      <c r="K171" s="181"/>
    </row>
    <row r="172" spans="8:24" x14ac:dyDescent="0.2">
      <c r="H172" s="565"/>
      <c r="K172" s="181"/>
    </row>
    <row r="173" spans="8:24" x14ac:dyDescent="0.2">
      <c r="H173" s="565"/>
      <c r="K173" s="181"/>
    </row>
    <row r="174" spans="8:24" x14ac:dyDescent="0.2">
      <c r="H174" s="565"/>
      <c r="K174" s="181"/>
    </row>
    <row r="175" spans="8:24" x14ac:dyDescent="0.2">
      <c r="H175" s="565"/>
      <c r="K175" s="181"/>
    </row>
    <row r="176" spans="8:24" x14ac:dyDescent="0.2">
      <c r="H176" s="565"/>
      <c r="K176" s="181"/>
    </row>
    <row r="177" spans="8:11" x14ac:dyDescent="0.2">
      <c r="H177" s="565"/>
      <c r="K177" s="181"/>
    </row>
    <row r="178" spans="8:11" x14ac:dyDescent="0.2">
      <c r="H178" s="565"/>
      <c r="K178" s="181"/>
    </row>
    <row r="179" spans="8:11" x14ac:dyDescent="0.2">
      <c r="H179" s="565"/>
      <c r="K179" s="181"/>
    </row>
    <row r="180" spans="8:11" x14ac:dyDescent="0.2">
      <c r="H180" s="565"/>
      <c r="K180" s="181"/>
    </row>
    <row r="181" spans="8:11" x14ac:dyDescent="0.2">
      <c r="H181" s="565"/>
      <c r="K181" s="181"/>
    </row>
    <row r="182" spans="8:11" x14ac:dyDescent="0.2">
      <c r="H182" s="565"/>
      <c r="K182" s="181"/>
    </row>
    <row r="183" spans="8:11" x14ac:dyDescent="0.2">
      <c r="H183" s="565"/>
      <c r="K183" s="181"/>
    </row>
    <row r="184" spans="8:11" x14ac:dyDescent="0.2">
      <c r="H184" s="565"/>
      <c r="K184" s="181"/>
    </row>
    <row r="185" spans="8:11" x14ac:dyDescent="0.2">
      <c r="H185" s="565"/>
      <c r="K185" s="181"/>
    </row>
    <row r="186" spans="8:11" x14ac:dyDescent="0.2">
      <c r="H186" s="565"/>
      <c r="K186" s="181"/>
    </row>
    <row r="187" spans="8:11" x14ac:dyDescent="0.2">
      <c r="H187" s="565"/>
      <c r="K187" s="181"/>
    </row>
    <row r="188" spans="8:11" x14ac:dyDescent="0.2">
      <c r="H188" s="565"/>
      <c r="K188" s="181"/>
    </row>
    <row r="189" spans="8:11" x14ac:dyDescent="0.2">
      <c r="H189" s="565"/>
      <c r="K189" s="181"/>
    </row>
    <row r="190" spans="8:11" x14ac:dyDescent="0.2">
      <c r="H190" s="565"/>
      <c r="K190" s="181"/>
    </row>
    <row r="191" spans="8:11" x14ac:dyDescent="0.2">
      <c r="H191" s="565"/>
      <c r="K191" s="181"/>
    </row>
    <row r="192" spans="8:11" x14ac:dyDescent="0.2">
      <c r="H192" s="565"/>
      <c r="K192" s="181"/>
    </row>
    <row r="193" spans="8:11" x14ac:dyDescent="0.2">
      <c r="H193" s="565"/>
      <c r="K193" s="181"/>
    </row>
    <row r="194" spans="8:11" x14ac:dyDescent="0.2">
      <c r="H194" s="565"/>
      <c r="K194" s="181"/>
    </row>
    <row r="195" spans="8:11" x14ac:dyDescent="0.2">
      <c r="H195" s="565"/>
      <c r="K195" s="181"/>
    </row>
    <row r="196" spans="8:11" x14ac:dyDescent="0.2">
      <c r="H196" s="565"/>
      <c r="K196" s="181"/>
    </row>
    <row r="197" spans="8:11" x14ac:dyDescent="0.2">
      <c r="H197" s="565"/>
      <c r="K197" s="181"/>
    </row>
    <row r="198" spans="8:11" x14ac:dyDescent="0.2">
      <c r="H198" s="565"/>
      <c r="K198" s="181"/>
    </row>
    <row r="199" spans="8:11" x14ac:dyDescent="0.2">
      <c r="H199" s="565"/>
      <c r="K199" s="181"/>
    </row>
    <row r="200" spans="8:11" x14ac:dyDescent="0.2">
      <c r="H200" s="565"/>
      <c r="K200" s="181"/>
    </row>
    <row r="201" spans="8:11" x14ac:dyDescent="0.2">
      <c r="H201" s="565"/>
      <c r="K201" s="181"/>
    </row>
    <row r="202" spans="8:11" x14ac:dyDescent="0.2">
      <c r="H202" s="565"/>
      <c r="K202" s="181"/>
    </row>
    <row r="203" spans="8:11" x14ac:dyDescent="0.2">
      <c r="H203" s="565"/>
      <c r="K203" s="181"/>
    </row>
    <row r="204" spans="8:11" x14ac:dyDescent="0.2">
      <c r="H204" s="565"/>
      <c r="K204" s="181"/>
    </row>
    <row r="205" spans="8:11" x14ac:dyDescent="0.2">
      <c r="H205" s="565"/>
      <c r="K205" s="181"/>
    </row>
    <row r="206" spans="8:11" x14ac:dyDescent="0.2">
      <c r="H206" s="565"/>
      <c r="K206" s="181"/>
    </row>
    <row r="207" spans="8:11" x14ac:dyDescent="0.2">
      <c r="H207" s="565"/>
      <c r="K207" s="181"/>
    </row>
    <row r="208" spans="8:11" x14ac:dyDescent="0.2">
      <c r="H208" s="565"/>
      <c r="K208" s="181"/>
    </row>
    <row r="209" spans="8:11" x14ac:dyDescent="0.2">
      <c r="H209" s="565"/>
      <c r="K209" s="181"/>
    </row>
    <row r="210" spans="8:11" x14ac:dyDescent="0.2">
      <c r="H210" s="565"/>
      <c r="K210" s="181"/>
    </row>
    <row r="211" spans="8:11" x14ac:dyDescent="0.2">
      <c r="H211" s="565"/>
      <c r="K211" s="181"/>
    </row>
    <row r="212" spans="8:11" x14ac:dyDescent="0.2">
      <c r="H212" s="565"/>
      <c r="K212" s="181"/>
    </row>
    <row r="213" spans="8:11" x14ac:dyDescent="0.2">
      <c r="H213" s="565"/>
      <c r="K213" s="181"/>
    </row>
    <row r="214" spans="8:11" x14ac:dyDescent="0.2">
      <c r="H214" s="565"/>
      <c r="K214" s="181"/>
    </row>
    <row r="215" spans="8:11" x14ac:dyDescent="0.2">
      <c r="H215" s="565"/>
      <c r="K215" s="181"/>
    </row>
    <row r="216" spans="8:11" x14ac:dyDescent="0.2">
      <c r="H216" s="565"/>
      <c r="K216" s="181"/>
    </row>
    <row r="217" spans="8:11" x14ac:dyDescent="0.2">
      <c r="H217" s="565"/>
      <c r="K217" s="181"/>
    </row>
    <row r="218" spans="8:11" x14ac:dyDescent="0.2">
      <c r="H218" s="565"/>
      <c r="K218" s="181"/>
    </row>
    <row r="219" spans="8:11" x14ac:dyDescent="0.2">
      <c r="H219" s="565"/>
      <c r="K219" s="181"/>
    </row>
    <row r="220" spans="8:11" x14ac:dyDescent="0.2">
      <c r="H220" s="565"/>
      <c r="K220" s="181"/>
    </row>
    <row r="221" spans="8:11" x14ac:dyDescent="0.2">
      <c r="H221" s="565"/>
      <c r="K221" s="181"/>
    </row>
    <row r="222" spans="8:11" x14ac:dyDescent="0.2">
      <c r="H222" s="565"/>
      <c r="K222" s="181"/>
    </row>
    <row r="223" spans="8:11" x14ac:dyDescent="0.2">
      <c r="H223" s="565"/>
      <c r="K223" s="181"/>
    </row>
    <row r="224" spans="8:11" x14ac:dyDescent="0.2">
      <c r="H224" s="565"/>
      <c r="K224" s="181"/>
    </row>
    <row r="225" spans="8:11" x14ac:dyDescent="0.2">
      <c r="H225" s="565"/>
      <c r="K225" s="181"/>
    </row>
    <row r="226" spans="8:11" x14ac:dyDescent="0.2">
      <c r="H226" s="565"/>
      <c r="K226" s="181"/>
    </row>
    <row r="227" spans="8:11" x14ac:dyDescent="0.2">
      <c r="H227" s="565"/>
      <c r="K227" s="181"/>
    </row>
    <row r="228" spans="8:11" x14ac:dyDescent="0.2">
      <c r="H228" s="565"/>
      <c r="K228" s="181"/>
    </row>
    <row r="229" spans="8:11" x14ac:dyDescent="0.2">
      <c r="H229" s="565"/>
      <c r="K229" s="181"/>
    </row>
    <row r="230" spans="8:11" x14ac:dyDescent="0.2">
      <c r="H230" s="565"/>
      <c r="K230" s="181"/>
    </row>
    <row r="231" spans="8:11" x14ac:dyDescent="0.2">
      <c r="H231" s="565"/>
      <c r="K231" s="181"/>
    </row>
    <row r="232" spans="8:11" x14ac:dyDescent="0.2">
      <c r="H232" s="565"/>
      <c r="K232" s="181"/>
    </row>
    <row r="233" spans="8:11" x14ac:dyDescent="0.2">
      <c r="H233" s="565"/>
      <c r="K233" s="181"/>
    </row>
    <row r="234" spans="8:11" x14ac:dyDescent="0.2">
      <c r="H234" s="565"/>
      <c r="K234" s="181"/>
    </row>
    <row r="235" spans="8:11" x14ac:dyDescent="0.2">
      <c r="H235" s="565"/>
      <c r="K235" s="181"/>
    </row>
    <row r="236" spans="8:11" x14ac:dyDescent="0.2">
      <c r="H236" s="565"/>
      <c r="K236" s="181"/>
    </row>
    <row r="237" spans="8:11" x14ac:dyDescent="0.2">
      <c r="H237" s="565"/>
      <c r="K237" s="181"/>
    </row>
    <row r="238" spans="8:11" x14ac:dyDescent="0.2">
      <c r="H238" s="565"/>
      <c r="K238" s="181"/>
    </row>
    <row r="239" spans="8:11" x14ac:dyDescent="0.2">
      <c r="H239" s="565"/>
      <c r="K239" s="181"/>
    </row>
    <row r="240" spans="8:11" x14ac:dyDescent="0.2">
      <c r="H240" s="565"/>
      <c r="K240" s="181"/>
    </row>
    <row r="241" spans="8:11" x14ac:dyDescent="0.2">
      <c r="H241" s="565"/>
      <c r="K241" s="181"/>
    </row>
    <row r="242" spans="8:11" x14ac:dyDescent="0.2">
      <c r="H242" s="565"/>
      <c r="K242" s="181"/>
    </row>
    <row r="243" spans="8:11" x14ac:dyDescent="0.2">
      <c r="H243" s="565"/>
      <c r="K243" s="181"/>
    </row>
    <row r="244" spans="8:11" x14ac:dyDescent="0.2">
      <c r="H244" s="565"/>
      <c r="K244" s="181"/>
    </row>
    <row r="245" spans="8:11" x14ac:dyDescent="0.2">
      <c r="H245" s="565"/>
      <c r="K245" s="181"/>
    </row>
    <row r="246" spans="8:11" x14ac:dyDescent="0.2">
      <c r="H246" s="565"/>
      <c r="K246" s="181"/>
    </row>
    <row r="247" spans="8:11" x14ac:dyDescent="0.2">
      <c r="H247" s="565"/>
      <c r="K247" s="181"/>
    </row>
    <row r="248" spans="8:11" x14ac:dyDescent="0.2">
      <c r="H248" s="565"/>
      <c r="K248" s="181"/>
    </row>
    <row r="249" spans="8:11" x14ac:dyDescent="0.2">
      <c r="H249" s="565"/>
      <c r="K249" s="181"/>
    </row>
    <row r="250" spans="8:11" x14ac:dyDescent="0.2">
      <c r="H250" s="565"/>
      <c r="K250" s="181"/>
    </row>
    <row r="251" spans="8:11" x14ac:dyDescent="0.2">
      <c r="H251" s="565"/>
      <c r="K251" s="181"/>
    </row>
    <row r="252" spans="8:11" x14ac:dyDescent="0.2">
      <c r="H252" s="565"/>
      <c r="K252" s="181"/>
    </row>
    <row r="253" spans="8:11" x14ac:dyDescent="0.2">
      <c r="H253" s="565"/>
      <c r="K253" s="181"/>
    </row>
    <row r="254" spans="8:11" x14ac:dyDescent="0.2">
      <c r="H254" s="565"/>
      <c r="K254" s="181"/>
    </row>
    <row r="255" spans="8:11" x14ac:dyDescent="0.2">
      <c r="H255" s="565"/>
      <c r="K255" s="181"/>
    </row>
    <row r="256" spans="8:11" x14ac:dyDescent="0.2">
      <c r="H256" s="565"/>
      <c r="K256" s="181"/>
    </row>
    <row r="257" spans="8:11" x14ac:dyDescent="0.2">
      <c r="H257" s="565"/>
      <c r="K257" s="181"/>
    </row>
    <row r="258" spans="8:11" x14ac:dyDescent="0.2">
      <c r="H258" s="565"/>
      <c r="K258" s="181"/>
    </row>
    <row r="259" spans="8:11" x14ac:dyDescent="0.2">
      <c r="H259" s="565"/>
      <c r="K259" s="181"/>
    </row>
    <row r="260" spans="8:11" x14ac:dyDescent="0.2">
      <c r="H260" s="565"/>
      <c r="K260" s="181"/>
    </row>
    <row r="261" spans="8:11" x14ac:dyDescent="0.2">
      <c r="H261" s="565"/>
      <c r="K261" s="181"/>
    </row>
    <row r="262" spans="8:11" x14ac:dyDescent="0.2">
      <c r="H262" s="565"/>
      <c r="K262" s="181"/>
    </row>
    <row r="263" spans="8:11" x14ac:dyDescent="0.2">
      <c r="H263" s="565"/>
      <c r="K263" s="181"/>
    </row>
    <row r="264" spans="8:11" x14ac:dyDescent="0.2">
      <c r="H264" s="565"/>
      <c r="K264" s="181"/>
    </row>
    <row r="265" spans="8:11" x14ac:dyDescent="0.2">
      <c r="H265" s="565"/>
      <c r="K265" s="181"/>
    </row>
    <row r="266" spans="8:11" x14ac:dyDescent="0.2">
      <c r="H266" s="565"/>
      <c r="K266" s="181"/>
    </row>
    <row r="267" spans="8:11" x14ac:dyDescent="0.2">
      <c r="H267" s="565"/>
      <c r="K267" s="181"/>
    </row>
    <row r="268" spans="8:11" x14ac:dyDescent="0.2">
      <c r="H268" s="565"/>
      <c r="K268" s="181"/>
    </row>
    <row r="269" spans="8:11" x14ac:dyDescent="0.2">
      <c r="H269" s="565"/>
      <c r="K269" s="181"/>
    </row>
    <row r="270" spans="8:11" x14ac:dyDescent="0.2">
      <c r="H270" s="565"/>
      <c r="K270" s="181"/>
    </row>
    <row r="271" spans="8:11" x14ac:dyDescent="0.2">
      <c r="H271" s="565"/>
      <c r="K271" s="181"/>
    </row>
    <row r="272" spans="8:11" x14ac:dyDescent="0.2">
      <c r="H272" s="565"/>
      <c r="K272" s="181"/>
    </row>
    <row r="273" spans="8:11" x14ac:dyDescent="0.2">
      <c r="H273" s="565"/>
      <c r="K273" s="181"/>
    </row>
    <row r="274" spans="8:11" x14ac:dyDescent="0.2">
      <c r="H274" s="565"/>
      <c r="K274" s="181"/>
    </row>
    <row r="275" spans="8:11" x14ac:dyDescent="0.2">
      <c r="H275" s="565"/>
      <c r="K275" s="181"/>
    </row>
    <row r="276" spans="8:11" x14ac:dyDescent="0.2">
      <c r="H276" s="565"/>
      <c r="K276" s="181"/>
    </row>
    <row r="277" spans="8:11" x14ac:dyDescent="0.2">
      <c r="H277" s="565"/>
      <c r="K277" s="181"/>
    </row>
    <row r="278" spans="8:11" x14ac:dyDescent="0.2">
      <c r="H278" s="565"/>
      <c r="K278" s="181"/>
    </row>
    <row r="279" spans="8:11" x14ac:dyDescent="0.2">
      <c r="H279" s="565"/>
      <c r="K279" s="181"/>
    </row>
    <row r="280" spans="8:11" x14ac:dyDescent="0.2">
      <c r="H280" s="565"/>
      <c r="K280" s="181"/>
    </row>
    <row r="281" spans="8:11" x14ac:dyDescent="0.2">
      <c r="H281" s="565"/>
      <c r="K281" s="181"/>
    </row>
    <row r="282" spans="8:11" x14ac:dyDescent="0.2">
      <c r="H282" s="565"/>
      <c r="K282" s="181"/>
    </row>
    <row r="283" spans="8:11" x14ac:dyDescent="0.2">
      <c r="H283" s="565"/>
      <c r="K283" s="181"/>
    </row>
    <row r="284" spans="8:11" x14ac:dyDescent="0.2">
      <c r="H284" s="565"/>
      <c r="K284" s="181"/>
    </row>
    <row r="285" spans="8:11" x14ac:dyDescent="0.2">
      <c r="H285" s="565"/>
      <c r="K285" s="181"/>
    </row>
    <row r="286" spans="8:11" x14ac:dyDescent="0.2">
      <c r="H286" s="565"/>
      <c r="K286" s="181"/>
    </row>
    <row r="287" spans="8:11" x14ac:dyDescent="0.2">
      <c r="H287" s="565"/>
      <c r="K287" s="181"/>
    </row>
    <row r="288" spans="8:11" x14ac:dyDescent="0.2">
      <c r="H288" s="565"/>
      <c r="K288" s="181"/>
    </row>
    <row r="289" spans="8:11" x14ac:dyDescent="0.2">
      <c r="H289" s="565"/>
      <c r="K289" s="181"/>
    </row>
    <row r="290" spans="8:11" x14ac:dyDescent="0.2">
      <c r="H290" s="565"/>
      <c r="K290" s="181"/>
    </row>
    <row r="291" spans="8:11" x14ac:dyDescent="0.2">
      <c r="H291" s="565"/>
      <c r="K291" s="181"/>
    </row>
    <row r="292" spans="8:11" x14ac:dyDescent="0.2">
      <c r="H292" s="565"/>
      <c r="K292" s="181"/>
    </row>
    <row r="293" spans="8:11" x14ac:dyDescent="0.2">
      <c r="H293" s="565"/>
      <c r="K293" s="181"/>
    </row>
    <row r="294" spans="8:11" x14ac:dyDescent="0.2">
      <c r="H294" s="565"/>
      <c r="K294" s="181"/>
    </row>
    <row r="295" spans="8:11" x14ac:dyDescent="0.2">
      <c r="H295" s="565"/>
      <c r="K295" s="181"/>
    </row>
    <row r="296" spans="8:11" x14ac:dyDescent="0.2">
      <c r="H296" s="565"/>
      <c r="K296" s="181"/>
    </row>
    <row r="297" spans="8:11" x14ac:dyDescent="0.2">
      <c r="H297" s="565"/>
      <c r="K297" s="181"/>
    </row>
    <row r="298" spans="8:11" x14ac:dyDescent="0.2">
      <c r="H298" s="565"/>
      <c r="K298" s="181"/>
    </row>
    <row r="299" spans="8:11" x14ac:dyDescent="0.2">
      <c r="H299" s="565"/>
      <c r="K299" s="181"/>
    </row>
    <row r="300" spans="8:11" x14ac:dyDescent="0.2">
      <c r="H300" s="565"/>
      <c r="K300" s="181"/>
    </row>
    <row r="301" spans="8:11" x14ac:dyDescent="0.2">
      <c r="H301" s="565"/>
      <c r="K301" s="181"/>
    </row>
    <row r="302" spans="8:11" x14ac:dyDescent="0.2">
      <c r="H302" s="565"/>
      <c r="K302" s="181"/>
    </row>
    <row r="303" spans="8:11" x14ac:dyDescent="0.2">
      <c r="H303" s="565"/>
      <c r="K303" s="181"/>
    </row>
    <row r="304" spans="8:11" x14ac:dyDescent="0.2">
      <c r="H304" s="565"/>
      <c r="K304" s="181"/>
    </row>
    <row r="305" spans="8:11" x14ac:dyDescent="0.2">
      <c r="H305" s="565"/>
      <c r="K305" s="181"/>
    </row>
    <row r="306" spans="8:11" x14ac:dyDescent="0.2">
      <c r="H306" s="565"/>
      <c r="K306" s="181"/>
    </row>
    <row r="307" spans="8:11" x14ac:dyDescent="0.2">
      <c r="H307" s="565"/>
      <c r="K307" s="181"/>
    </row>
    <row r="308" spans="8:11" x14ac:dyDescent="0.2">
      <c r="H308" s="565"/>
      <c r="K308" s="181"/>
    </row>
    <row r="309" spans="8:11" x14ac:dyDescent="0.2">
      <c r="H309" s="565"/>
      <c r="K309" s="181"/>
    </row>
    <row r="310" spans="8:11" x14ac:dyDescent="0.2">
      <c r="H310" s="565"/>
      <c r="K310" s="181"/>
    </row>
    <row r="311" spans="8:11" x14ac:dyDescent="0.2">
      <c r="H311" s="565"/>
      <c r="K311" s="181"/>
    </row>
    <row r="312" spans="8:11" x14ac:dyDescent="0.2">
      <c r="H312" s="565"/>
      <c r="K312" s="181"/>
    </row>
    <row r="313" spans="8:11" x14ac:dyDescent="0.2">
      <c r="H313" s="565"/>
      <c r="K313" s="181"/>
    </row>
    <row r="314" spans="8:11" x14ac:dyDescent="0.2">
      <c r="H314" s="565"/>
      <c r="K314" s="181"/>
    </row>
    <row r="315" spans="8:11" x14ac:dyDescent="0.2">
      <c r="H315" s="565"/>
      <c r="K315" s="181"/>
    </row>
    <row r="316" spans="8:11" x14ac:dyDescent="0.2">
      <c r="H316" s="565"/>
      <c r="K316" s="181"/>
    </row>
    <row r="317" spans="8:11" x14ac:dyDescent="0.2">
      <c r="H317" s="565"/>
      <c r="K317" s="181"/>
    </row>
    <row r="318" spans="8:11" x14ac:dyDescent="0.2">
      <c r="H318" s="565"/>
      <c r="K318" s="181"/>
    </row>
    <row r="319" spans="8:11" x14ac:dyDescent="0.2">
      <c r="H319" s="565"/>
      <c r="K319" s="181"/>
    </row>
    <row r="320" spans="8:11" x14ac:dyDescent="0.2">
      <c r="H320" s="565"/>
      <c r="K320" s="181"/>
    </row>
    <row r="321" spans="8:11" x14ac:dyDescent="0.2">
      <c r="H321" s="565"/>
      <c r="K321" s="181"/>
    </row>
    <row r="322" spans="8:11" x14ac:dyDescent="0.2">
      <c r="H322" s="565"/>
      <c r="K322" s="181"/>
    </row>
    <row r="323" spans="8:11" x14ac:dyDescent="0.2">
      <c r="H323" s="565"/>
      <c r="K323" s="181"/>
    </row>
    <row r="324" spans="8:11" x14ac:dyDescent="0.2">
      <c r="H324" s="565"/>
      <c r="K324" s="181"/>
    </row>
    <row r="325" spans="8:11" x14ac:dyDescent="0.2">
      <c r="H325" s="565"/>
      <c r="K325" s="181"/>
    </row>
    <row r="326" spans="8:11" x14ac:dyDescent="0.2">
      <c r="H326" s="565"/>
      <c r="K326" s="181"/>
    </row>
    <row r="327" spans="8:11" x14ac:dyDescent="0.2">
      <c r="H327" s="565"/>
      <c r="K327" s="181"/>
    </row>
    <row r="328" spans="8:11" x14ac:dyDescent="0.2">
      <c r="H328" s="565"/>
      <c r="K328" s="181"/>
    </row>
    <row r="329" spans="8:11" x14ac:dyDescent="0.2">
      <c r="H329" s="565"/>
      <c r="K329" s="181"/>
    </row>
    <row r="330" spans="8:11" x14ac:dyDescent="0.2">
      <c r="H330" s="565"/>
      <c r="K330" s="181"/>
    </row>
    <row r="331" spans="8:11" x14ac:dyDescent="0.2">
      <c r="H331" s="565"/>
      <c r="K331" s="181"/>
    </row>
    <row r="332" spans="8:11" x14ac:dyDescent="0.2">
      <c r="H332" s="565"/>
      <c r="K332" s="181"/>
    </row>
    <row r="333" spans="8:11" x14ac:dyDescent="0.2">
      <c r="H333" s="565"/>
      <c r="K333" s="181"/>
    </row>
    <row r="334" spans="8:11" x14ac:dyDescent="0.2">
      <c r="H334" s="565"/>
      <c r="K334" s="181"/>
    </row>
    <row r="335" spans="8:11" x14ac:dyDescent="0.2">
      <c r="H335" s="565"/>
      <c r="K335" s="181"/>
    </row>
    <row r="336" spans="8:11" x14ac:dyDescent="0.2">
      <c r="H336" s="565"/>
      <c r="K336" s="181"/>
    </row>
    <row r="337" spans="8:11" x14ac:dyDescent="0.2">
      <c r="H337" s="565"/>
      <c r="K337" s="181"/>
    </row>
    <row r="338" spans="8:11" x14ac:dyDescent="0.2">
      <c r="H338" s="565"/>
      <c r="K338" s="181"/>
    </row>
    <row r="339" spans="8:11" x14ac:dyDescent="0.2">
      <c r="H339" s="565"/>
      <c r="K339" s="181"/>
    </row>
    <row r="340" spans="8:11" x14ac:dyDescent="0.2">
      <c r="H340" s="565"/>
      <c r="K340" s="181"/>
    </row>
    <row r="341" spans="8:11" x14ac:dyDescent="0.2">
      <c r="H341" s="565"/>
      <c r="K341" s="181"/>
    </row>
    <row r="342" spans="8:11" x14ac:dyDescent="0.2">
      <c r="H342" s="565"/>
      <c r="K342" s="181"/>
    </row>
    <row r="343" spans="8:11" x14ac:dyDescent="0.2">
      <c r="H343" s="565"/>
      <c r="K343" s="181"/>
    </row>
    <row r="344" spans="8:11" x14ac:dyDescent="0.2">
      <c r="H344" s="565"/>
      <c r="K344" s="181"/>
    </row>
    <row r="345" spans="8:11" x14ac:dyDescent="0.2">
      <c r="H345" s="565"/>
      <c r="K345" s="181"/>
    </row>
    <row r="346" spans="8:11" x14ac:dyDescent="0.2">
      <c r="H346" s="565"/>
      <c r="K346" s="181"/>
    </row>
    <row r="347" spans="8:11" x14ac:dyDescent="0.2">
      <c r="H347" s="565"/>
      <c r="K347" s="181"/>
    </row>
    <row r="348" spans="8:11" x14ac:dyDescent="0.2">
      <c r="H348" s="565"/>
      <c r="K348" s="181"/>
    </row>
    <row r="349" spans="8:11" x14ac:dyDescent="0.2">
      <c r="H349" s="565"/>
      <c r="K349" s="181"/>
    </row>
    <row r="350" spans="8:11" x14ac:dyDescent="0.2">
      <c r="H350" s="565"/>
      <c r="K350" s="181"/>
    </row>
    <row r="351" spans="8:11" x14ac:dyDescent="0.2">
      <c r="H351" s="565"/>
      <c r="K351" s="181"/>
    </row>
    <row r="352" spans="8:11" x14ac:dyDescent="0.2">
      <c r="H352" s="565"/>
      <c r="K352" s="181"/>
    </row>
    <row r="353" spans="8:11" x14ac:dyDescent="0.2">
      <c r="H353" s="565"/>
      <c r="K353" s="181"/>
    </row>
    <row r="354" spans="8:11" x14ac:dyDescent="0.2">
      <c r="H354" s="565"/>
      <c r="K354" s="181"/>
    </row>
    <row r="355" spans="8:11" x14ac:dyDescent="0.2">
      <c r="H355" s="565"/>
      <c r="K355" s="181"/>
    </row>
    <row r="356" spans="8:11" x14ac:dyDescent="0.2">
      <c r="H356" s="565"/>
      <c r="K356" s="181"/>
    </row>
    <row r="357" spans="8:11" x14ac:dyDescent="0.2">
      <c r="H357" s="565"/>
      <c r="K357" s="181"/>
    </row>
    <row r="358" spans="8:11" x14ac:dyDescent="0.2">
      <c r="H358" s="565"/>
      <c r="K358" s="181"/>
    </row>
    <row r="359" spans="8:11" x14ac:dyDescent="0.2">
      <c r="H359" s="565"/>
      <c r="K359" s="181"/>
    </row>
    <row r="360" spans="8:11" x14ac:dyDescent="0.2">
      <c r="H360" s="565"/>
      <c r="K360" s="181"/>
    </row>
    <row r="361" spans="8:11" x14ac:dyDescent="0.2">
      <c r="H361" s="565"/>
      <c r="K361" s="181"/>
    </row>
    <row r="362" spans="8:11" x14ac:dyDescent="0.2">
      <c r="H362" s="565"/>
      <c r="K362" s="181"/>
    </row>
    <row r="363" spans="8:11" x14ac:dyDescent="0.2">
      <c r="H363" s="565"/>
      <c r="K363" s="181"/>
    </row>
    <row r="364" spans="8:11" x14ac:dyDescent="0.2">
      <c r="H364" s="565"/>
      <c r="K364" s="181"/>
    </row>
    <row r="365" spans="8:11" x14ac:dyDescent="0.2">
      <c r="H365" s="565"/>
      <c r="K365" s="181"/>
    </row>
    <row r="366" spans="8:11" x14ac:dyDescent="0.2">
      <c r="H366" s="565"/>
      <c r="K366" s="181"/>
    </row>
    <row r="367" spans="8:11" x14ac:dyDescent="0.2">
      <c r="H367" s="565"/>
      <c r="K367" s="181"/>
    </row>
    <row r="368" spans="8:11" x14ac:dyDescent="0.2">
      <c r="H368" s="565"/>
      <c r="K368" s="181"/>
    </row>
    <row r="369" spans="8:11" x14ac:dyDescent="0.2">
      <c r="H369" s="565"/>
      <c r="K369" s="181"/>
    </row>
    <row r="370" spans="8:11" x14ac:dyDescent="0.2">
      <c r="H370" s="565"/>
      <c r="K370" s="181"/>
    </row>
    <row r="371" spans="8:11" x14ac:dyDescent="0.2">
      <c r="H371" s="565"/>
      <c r="K371" s="181"/>
    </row>
    <row r="372" spans="8:11" x14ac:dyDescent="0.2">
      <c r="H372" s="565"/>
      <c r="K372" s="181"/>
    </row>
    <row r="373" spans="8:11" x14ac:dyDescent="0.2">
      <c r="H373" s="565"/>
      <c r="K373" s="181"/>
    </row>
    <row r="374" spans="8:11" x14ac:dyDescent="0.2">
      <c r="H374" s="565"/>
      <c r="K374" s="181"/>
    </row>
    <row r="375" spans="8:11" x14ac:dyDescent="0.2">
      <c r="H375" s="565"/>
      <c r="K375" s="181"/>
    </row>
    <row r="376" spans="8:11" x14ac:dyDescent="0.2">
      <c r="H376" s="565"/>
      <c r="K376" s="181"/>
    </row>
    <row r="377" spans="8:11" x14ac:dyDescent="0.2">
      <c r="H377" s="565"/>
      <c r="K377" s="181"/>
    </row>
    <row r="378" spans="8:11" x14ac:dyDescent="0.2">
      <c r="H378" s="565"/>
      <c r="K378" s="181"/>
    </row>
    <row r="379" spans="8:11" x14ac:dyDescent="0.2">
      <c r="H379" s="565"/>
      <c r="K379" s="181"/>
    </row>
    <row r="380" spans="8:11" x14ac:dyDescent="0.2">
      <c r="H380" s="565"/>
      <c r="K380" s="181"/>
    </row>
    <row r="381" spans="8:11" x14ac:dyDescent="0.2">
      <c r="H381" s="565"/>
      <c r="K381" s="181"/>
    </row>
    <row r="382" spans="8:11" x14ac:dyDescent="0.2">
      <c r="H382" s="565"/>
      <c r="K382" s="181"/>
    </row>
    <row r="383" spans="8:11" x14ac:dyDescent="0.2">
      <c r="H383" s="565"/>
      <c r="K383" s="181"/>
    </row>
    <row r="384" spans="8:11" x14ac:dyDescent="0.2">
      <c r="H384" s="565"/>
      <c r="K384" s="181"/>
    </row>
    <row r="385" spans="8:11" x14ac:dyDescent="0.2">
      <c r="H385" s="565"/>
      <c r="K385" s="181"/>
    </row>
    <row r="386" spans="8:11" x14ac:dyDescent="0.2">
      <c r="H386" s="565"/>
      <c r="K386" s="181"/>
    </row>
    <row r="387" spans="8:11" x14ac:dyDescent="0.2">
      <c r="H387" s="565"/>
      <c r="K387" s="181"/>
    </row>
    <row r="388" spans="8:11" x14ac:dyDescent="0.2">
      <c r="H388" s="565"/>
      <c r="K388" s="181"/>
    </row>
    <row r="389" spans="8:11" x14ac:dyDescent="0.2">
      <c r="H389" s="565"/>
      <c r="K389" s="181"/>
    </row>
    <row r="390" spans="8:11" x14ac:dyDescent="0.2">
      <c r="H390" s="565"/>
      <c r="K390" s="181"/>
    </row>
    <row r="391" spans="8:11" x14ac:dyDescent="0.2">
      <c r="H391" s="565"/>
      <c r="K391" s="181"/>
    </row>
    <row r="392" spans="8:11" x14ac:dyDescent="0.2">
      <c r="H392" s="565"/>
      <c r="K392" s="181"/>
    </row>
    <row r="393" spans="8:11" x14ac:dyDescent="0.2">
      <c r="H393" s="565"/>
      <c r="K393" s="181"/>
    </row>
    <row r="394" spans="8:11" x14ac:dyDescent="0.2">
      <c r="H394" s="565"/>
      <c r="K394" s="181"/>
    </row>
    <row r="395" spans="8:11" x14ac:dyDescent="0.2">
      <c r="H395" s="565"/>
      <c r="K395" s="181"/>
    </row>
    <row r="396" spans="8:11" x14ac:dyDescent="0.2">
      <c r="H396" s="565"/>
      <c r="K396" s="181"/>
    </row>
    <row r="397" spans="8:11" x14ac:dyDescent="0.2">
      <c r="H397" s="565"/>
      <c r="K397" s="181"/>
    </row>
    <row r="398" spans="8:11" x14ac:dyDescent="0.2">
      <c r="H398" s="565"/>
      <c r="K398" s="181"/>
    </row>
    <row r="399" spans="8:11" x14ac:dyDescent="0.2">
      <c r="H399" s="565"/>
      <c r="K399" s="181"/>
    </row>
    <row r="400" spans="8:11" x14ac:dyDescent="0.2">
      <c r="H400" s="565"/>
      <c r="K400" s="181"/>
    </row>
    <row r="401" spans="8:11" x14ac:dyDescent="0.2">
      <c r="H401" s="565"/>
      <c r="K401" s="181"/>
    </row>
    <row r="402" spans="8:11" x14ac:dyDescent="0.2">
      <c r="H402" s="565"/>
      <c r="K402" s="181"/>
    </row>
    <row r="403" spans="8:11" x14ac:dyDescent="0.2">
      <c r="H403" s="565"/>
      <c r="K403" s="181"/>
    </row>
    <row r="404" spans="8:11" x14ac:dyDescent="0.2">
      <c r="H404" s="565"/>
      <c r="K404" s="181"/>
    </row>
    <row r="405" spans="8:11" x14ac:dyDescent="0.2">
      <c r="H405" s="565"/>
      <c r="K405" s="181"/>
    </row>
    <row r="406" spans="8:11" x14ac:dyDescent="0.2">
      <c r="H406" s="565"/>
      <c r="K406" s="181"/>
    </row>
    <row r="407" spans="8:11" x14ac:dyDescent="0.2">
      <c r="H407" s="565"/>
      <c r="K407" s="181"/>
    </row>
    <row r="408" spans="8:11" x14ac:dyDescent="0.2">
      <c r="H408" s="565"/>
      <c r="K408" s="181"/>
    </row>
    <row r="409" spans="8:11" x14ac:dyDescent="0.2">
      <c r="H409" s="565"/>
      <c r="K409" s="181"/>
    </row>
    <row r="410" spans="8:11" x14ac:dyDescent="0.2">
      <c r="H410" s="565"/>
      <c r="K410" s="181"/>
    </row>
    <row r="411" spans="8:11" x14ac:dyDescent="0.2">
      <c r="H411" s="565"/>
      <c r="K411" s="181"/>
    </row>
    <row r="412" spans="8:11" x14ac:dyDescent="0.2">
      <c r="H412" s="565"/>
      <c r="K412" s="181"/>
    </row>
    <row r="413" spans="8:11" x14ac:dyDescent="0.2">
      <c r="H413" s="565"/>
      <c r="K413" s="181"/>
    </row>
    <row r="414" spans="8:11" x14ac:dyDescent="0.2">
      <c r="H414" s="565"/>
      <c r="K414" s="181"/>
    </row>
    <row r="415" spans="8:11" x14ac:dyDescent="0.2">
      <c r="H415" s="565"/>
      <c r="K415" s="181"/>
    </row>
    <row r="416" spans="8:11" x14ac:dyDescent="0.2">
      <c r="H416" s="565"/>
      <c r="K416" s="181"/>
    </row>
    <row r="417" spans="8:11" x14ac:dyDescent="0.2">
      <c r="H417" s="565"/>
      <c r="K417" s="181"/>
    </row>
    <row r="418" spans="8:11" x14ac:dyDescent="0.2">
      <c r="H418" s="565"/>
      <c r="K418" s="181"/>
    </row>
    <row r="419" spans="8:11" x14ac:dyDescent="0.2">
      <c r="H419" s="565"/>
      <c r="K419" s="181"/>
    </row>
    <row r="420" spans="8:11" x14ac:dyDescent="0.2">
      <c r="H420" s="565"/>
      <c r="K420" s="181"/>
    </row>
    <row r="421" spans="8:11" x14ac:dyDescent="0.2">
      <c r="H421" s="565"/>
      <c r="K421" s="181"/>
    </row>
    <row r="422" spans="8:11" x14ac:dyDescent="0.2">
      <c r="H422" s="565"/>
      <c r="K422" s="181"/>
    </row>
    <row r="423" spans="8:11" x14ac:dyDescent="0.2">
      <c r="H423" s="565"/>
      <c r="K423" s="181"/>
    </row>
    <row r="424" spans="8:11" x14ac:dyDescent="0.2">
      <c r="H424" s="565"/>
      <c r="K424" s="181"/>
    </row>
    <row r="425" spans="8:11" x14ac:dyDescent="0.2">
      <c r="H425" s="565"/>
      <c r="K425" s="181"/>
    </row>
    <row r="426" spans="8:11" x14ac:dyDescent="0.2">
      <c r="H426" s="565"/>
      <c r="K426" s="181"/>
    </row>
    <row r="427" spans="8:11" x14ac:dyDescent="0.2">
      <c r="H427" s="565"/>
      <c r="K427" s="181"/>
    </row>
    <row r="428" spans="8:11" x14ac:dyDescent="0.2">
      <c r="H428" s="565"/>
      <c r="K428" s="181"/>
    </row>
    <row r="429" spans="8:11" x14ac:dyDescent="0.2">
      <c r="H429" s="565"/>
      <c r="K429" s="181"/>
    </row>
    <row r="430" spans="8:11" x14ac:dyDescent="0.2">
      <c r="H430" s="565"/>
      <c r="K430" s="181"/>
    </row>
    <row r="431" spans="8:11" x14ac:dyDescent="0.2">
      <c r="H431" s="565"/>
      <c r="K431" s="181"/>
    </row>
    <row r="432" spans="8:11" x14ac:dyDescent="0.2">
      <c r="H432" s="565"/>
      <c r="K432" s="181"/>
    </row>
    <row r="433" spans="8:11" x14ac:dyDescent="0.2">
      <c r="H433" s="565"/>
      <c r="K433" s="181"/>
    </row>
    <row r="434" spans="8:11" x14ac:dyDescent="0.2">
      <c r="H434" s="565"/>
      <c r="K434" s="181"/>
    </row>
    <row r="435" spans="8:11" x14ac:dyDescent="0.2">
      <c r="H435" s="565"/>
      <c r="K435" s="181"/>
    </row>
    <row r="436" spans="8:11" x14ac:dyDescent="0.2">
      <c r="H436" s="565"/>
      <c r="K436" s="181"/>
    </row>
    <row r="437" spans="8:11" x14ac:dyDescent="0.2">
      <c r="H437" s="565"/>
      <c r="K437" s="181"/>
    </row>
    <row r="438" spans="8:11" x14ac:dyDescent="0.2">
      <c r="H438" s="565"/>
      <c r="K438" s="181"/>
    </row>
    <row r="439" spans="8:11" x14ac:dyDescent="0.2">
      <c r="H439" s="565"/>
      <c r="K439" s="181"/>
    </row>
    <row r="440" spans="8:11" x14ac:dyDescent="0.2">
      <c r="H440" s="565"/>
      <c r="K440" s="181"/>
    </row>
    <row r="441" spans="8:11" x14ac:dyDescent="0.2">
      <c r="H441" s="565"/>
      <c r="K441" s="181"/>
    </row>
    <row r="442" spans="8:11" x14ac:dyDescent="0.2">
      <c r="H442" s="565"/>
      <c r="K442" s="181"/>
    </row>
    <row r="443" spans="8:11" x14ac:dyDescent="0.2">
      <c r="H443" s="565"/>
      <c r="K443" s="181"/>
    </row>
    <row r="444" spans="8:11" x14ac:dyDescent="0.2">
      <c r="H444" s="565"/>
      <c r="K444" s="181"/>
    </row>
    <row r="445" spans="8:11" x14ac:dyDescent="0.2">
      <c r="H445" s="565"/>
      <c r="K445" s="181"/>
    </row>
    <row r="446" spans="8:11" x14ac:dyDescent="0.2">
      <c r="H446" s="565"/>
      <c r="K446" s="181"/>
    </row>
    <row r="447" spans="8:11" x14ac:dyDescent="0.2">
      <c r="H447" s="565"/>
      <c r="K447" s="181"/>
    </row>
    <row r="448" spans="8:11" x14ac:dyDescent="0.2">
      <c r="H448" s="565"/>
      <c r="K448" s="181"/>
    </row>
    <row r="449" spans="8:11" x14ac:dyDescent="0.2">
      <c r="H449" s="565"/>
      <c r="K449" s="181"/>
    </row>
    <row r="450" spans="8:11" x14ac:dyDescent="0.2">
      <c r="H450" s="565"/>
      <c r="K450" s="181"/>
    </row>
    <row r="451" spans="8:11" x14ac:dyDescent="0.2">
      <c r="H451" s="565"/>
      <c r="K451" s="181"/>
    </row>
    <row r="452" spans="8:11" x14ac:dyDescent="0.2">
      <c r="H452" s="565"/>
      <c r="K452" s="181"/>
    </row>
    <row r="453" spans="8:11" x14ac:dyDescent="0.2">
      <c r="H453" s="565"/>
      <c r="K453" s="181"/>
    </row>
    <row r="454" spans="8:11" x14ac:dyDescent="0.2">
      <c r="H454" s="565"/>
      <c r="K454" s="181"/>
    </row>
    <row r="455" spans="8:11" x14ac:dyDescent="0.2">
      <c r="H455" s="565"/>
      <c r="K455" s="181"/>
    </row>
    <row r="456" spans="8:11" x14ac:dyDescent="0.2">
      <c r="H456" s="565"/>
      <c r="K456" s="181"/>
    </row>
    <row r="457" spans="8:11" x14ac:dyDescent="0.2">
      <c r="H457" s="565"/>
      <c r="K457" s="181"/>
    </row>
    <row r="458" spans="8:11" x14ac:dyDescent="0.2">
      <c r="H458" s="565"/>
      <c r="K458" s="181"/>
    </row>
    <row r="459" spans="8:11" x14ac:dyDescent="0.2">
      <c r="H459" s="565"/>
      <c r="K459" s="181"/>
    </row>
    <row r="460" spans="8:11" x14ac:dyDescent="0.2">
      <c r="H460" s="565"/>
      <c r="K460" s="181"/>
    </row>
    <row r="461" spans="8:11" x14ac:dyDescent="0.2">
      <c r="H461" s="565"/>
      <c r="K461" s="181"/>
    </row>
    <row r="462" spans="8:11" x14ac:dyDescent="0.2">
      <c r="H462" s="565"/>
      <c r="K462" s="181"/>
    </row>
    <row r="463" spans="8:11" x14ac:dyDescent="0.2">
      <c r="H463" s="565"/>
      <c r="K463" s="181"/>
    </row>
    <row r="464" spans="8:11" x14ac:dyDescent="0.2">
      <c r="H464" s="565"/>
      <c r="K464" s="181"/>
    </row>
    <row r="465" spans="8:11" x14ac:dyDescent="0.2">
      <c r="H465" s="565"/>
      <c r="K465" s="181"/>
    </row>
    <row r="466" spans="8:11" x14ac:dyDescent="0.2">
      <c r="H466" s="565"/>
      <c r="K466" s="181"/>
    </row>
    <row r="467" spans="8:11" x14ac:dyDescent="0.2">
      <c r="H467" s="565"/>
      <c r="K467" s="181"/>
    </row>
    <row r="468" spans="8:11" x14ac:dyDescent="0.2">
      <c r="H468" s="565"/>
      <c r="K468" s="181"/>
    </row>
    <row r="469" spans="8:11" x14ac:dyDescent="0.2">
      <c r="H469" s="565"/>
      <c r="K469" s="181"/>
    </row>
    <row r="470" spans="8:11" x14ac:dyDescent="0.2">
      <c r="H470" s="565"/>
      <c r="K470" s="181"/>
    </row>
    <row r="471" spans="8:11" x14ac:dyDescent="0.2">
      <c r="H471" s="565"/>
      <c r="K471" s="181"/>
    </row>
    <row r="472" spans="8:11" x14ac:dyDescent="0.2">
      <c r="H472" s="565"/>
      <c r="K472" s="181"/>
    </row>
    <row r="473" spans="8:11" x14ac:dyDescent="0.2">
      <c r="H473" s="565"/>
      <c r="K473" s="181"/>
    </row>
    <row r="474" spans="8:11" x14ac:dyDescent="0.2">
      <c r="H474" s="565"/>
      <c r="K474" s="181"/>
    </row>
    <row r="475" spans="8:11" x14ac:dyDescent="0.2">
      <c r="H475" s="565"/>
      <c r="K475" s="181"/>
    </row>
    <row r="476" spans="8:11" x14ac:dyDescent="0.2">
      <c r="H476" s="565"/>
      <c r="K476" s="181"/>
    </row>
    <row r="477" spans="8:11" x14ac:dyDescent="0.2">
      <c r="H477" s="565"/>
      <c r="K477" s="181"/>
    </row>
    <row r="478" spans="8:11" x14ac:dyDescent="0.2">
      <c r="H478" s="565"/>
      <c r="K478" s="181"/>
    </row>
    <row r="479" spans="8:11" x14ac:dyDescent="0.2">
      <c r="H479" s="565"/>
      <c r="K479" s="181"/>
    </row>
    <row r="480" spans="8:11" x14ac:dyDescent="0.2">
      <c r="H480" s="565"/>
      <c r="K480" s="181"/>
    </row>
    <row r="481" spans="8:11" x14ac:dyDescent="0.2">
      <c r="H481" s="565"/>
      <c r="K481" s="181"/>
    </row>
    <row r="482" spans="8:11" x14ac:dyDescent="0.2">
      <c r="H482" s="565"/>
      <c r="K482" s="181"/>
    </row>
    <row r="483" spans="8:11" x14ac:dyDescent="0.2">
      <c r="H483" s="565"/>
      <c r="K483" s="181"/>
    </row>
    <row r="484" spans="8:11" x14ac:dyDescent="0.2">
      <c r="H484" s="565"/>
      <c r="K484" s="181"/>
    </row>
    <row r="485" spans="8:11" x14ac:dyDescent="0.2">
      <c r="H485" s="565"/>
      <c r="K485" s="181"/>
    </row>
    <row r="486" spans="8:11" x14ac:dyDescent="0.2">
      <c r="H486" s="565"/>
      <c r="K486" s="181"/>
    </row>
    <row r="487" spans="8:11" x14ac:dyDescent="0.2">
      <c r="H487" s="565"/>
      <c r="K487" s="181"/>
    </row>
    <row r="488" spans="8:11" x14ac:dyDescent="0.2">
      <c r="H488" s="565"/>
      <c r="K488" s="181"/>
    </row>
    <row r="489" spans="8:11" x14ac:dyDescent="0.2">
      <c r="H489" s="565"/>
      <c r="K489" s="181"/>
    </row>
    <row r="490" spans="8:11" x14ac:dyDescent="0.2">
      <c r="H490" s="565"/>
      <c r="K490" s="181"/>
    </row>
    <row r="491" spans="8:11" x14ac:dyDescent="0.2">
      <c r="H491" s="565"/>
      <c r="K491" s="181"/>
    </row>
    <row r="492" spans="8:11" x14ac:dyDescent="0.2">
      <c r="H492" s="565"/>
      <c r="K492" s="181"/>
    </row>
    <row r="493" spans="8:11" x14ac:dyDescent="0.2">
      <c r="H493" s="565"/>
      <c r="K493" s="181"/>
    </row>
    <row r="494" spans="8:11" x14ac:dyDescent="0.2">
      <c r="H494" s="565"/>
      <c r="K494" s="181"/>
    </row>
    <row r="495" spans="8:11" x14ac:dyDescent="0.2">
      <c r="H495" s="565"/>
      <c r="K495" s="181"/>
    </row>
    <row r="496" spans="8:11" x14ac:dyDescent="0.2">
      <c r="H496" s="565"/>
      <c r="K496" s="181"/>
    </row>
    <row r="497" spans="8:11" x14ac:dyDescent="0.2">
      <c r="H497" s="565"/>
      <c r="K497" s="181"/>
    </row>
    <row r="498" spans="8:11" x14ac:dyDescent="0.2">
      <c r="H498" s="565"/>
      <c r="K498" s="181"/>
    </row>
    <row r="499" spans="8:11" x14ac:dyDescent="0.2">
      <c r="H499" s="565"/>
      <c r="K499" s="181"/>
    </row>
    <row r="500" spans="8:11" x14ac:dyDescent="0.2">
      <c r="H500" s="565"/>
      <c r="K500" s="181"/>
    </row>
    <row r="501" spans="8:11" x14ac:dyDescent="0.2">
      <c r="K501" s="181"/>
    </row>
    <row r="502" spans="8:11" x14ac:dyDescent="0.2">
      <c r="K502" s="181"/>
    </row>
    <row r="503" spans="8:11" x14ac:dyDescent="0.2">
      <c r="K503" s="181"/>
    </row>
    <row r="504" spans="8:11" x14ac:dyDescent="0.2">
      <c r="K504" s="181"/>
    </row>
    <row r="505" spans="8:11" x14ac:dyDescent="0.2">
      <c r="K505" s="181"/>
    </row>
    <row r="506" spans="8:11" x14ac:dyDescent="0.2">
      <c r="K506" s="181"/>
    </row>
    <row r="507" spans="8:11" x14ac:dyDescent="0.2">
      <c r="K507" s="181"/>
    </row>
    <row r="508" spans="8:11" x14ac:dyDescent="0.2">
      <c r="K508" s="181"/>
    </row>
    <row r="509" spans="8:11" x14ac:dyDescent="0.2">
      <c r="K509" s="181"/>
    </row>
    <row r="510" spans="8:11" x14ac:dyDescent="0.2">
      <c r="K510" s="181"/>
    </row>
    <row r="511" spans="8:11" x14ac:dyDescent="0.2">
      <c r="K511" s="181"/>
    </row>
    <row r="512" spans="8:11" x14ac:dyDescent="0.2">
      <c r="K512" s="181"/>
    </row>
    <row r="513" spans="11:11" x14ac:dyDescent="0.2">
      <c r="K513" s="181"/>
    </row>
    <row r="514" spans="11:11" x14ac:dyDescent="0.2">
      <c r="K514" s="181"/>
    </row>
    <row r="515" spans="11:11" x14ac:dyDescent="0.2">
      <c r="K515" s="181"/>
    </row>
  </sheetData>
  <sheetProtection sheet="1" objects="1" scenarios="1"/>
  <mergeCells count="7">
    <mergeCell ref="C30:D30"/>
    <mergeCell ref="B10:F10"/>
    <mergeCell ref="G74:I74"/>
    <mergeCell ref="D74:F74"/>
    <mergeCell ref="G75:I75"/>
    <mergeCell ref="D75:F75"/>
    <mergeCell ref="C26:D26"/>
  </mergeCells>
  <phoneticPr fontId="64" type="noConversion"/>
  <dataValidations count="2">
    <dataValidation type="list" allowBlank="1" showInputMessage="1" showErrorMessage="1" sqref="C26" xr:uid="{1BBD4E90-65E1-4AA0-B545-E1533FAD488D}">
      <formula1>"Location-based, Market-based"</formula1>
    </dataValidation>
    <dataValidation type="list" allowBlank="1" showInputMessage="1" showErrorMessage="1" sqref="C30" xr:uid="{47B7D8CA-CA0A-4FE1-8F72-47FF5135B745}">
      <formula1>$G$77:$I$77</formula1>
    </dataValidation>
  </dataValidations>
  <hyperlinks>
    <hyperlink ref="G2" location="'4 Dashboard'!A6" display="▲ Back to top" xr:uid="{A96E3B1B-7BF2-4E1D-B2EB-50ADD8BCF15A}"/>
  </hyperlinks>
  <pageMargins left="0.7" right="0.7" top="0.78740157499999996" bottom="0.78740157499999996" header="0.3" footer="0.3"/>
  <pageSetup paperSize="9" orientation="portrait" r:id="rId1"/>
  <ignoredErrors>
    <ignoredError sqref="C3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F2AF-FD2D-4B2E-BA2E-EAEE52E33E67}">
  <sheetPr codeName="Sheet7">
    <tabColor rgb="FFFFD5D5"/>
  </sheetPr>
  <dimension ref="A1:N12459"/>
  <sheetViews>
    <sheetView zoomScaleNormal="100" workbookViewId="0">
      <pane ySplit="5" topLeftCell="A6" activePane="bottomLeft" state="frozen"/>
      <selection activeCell="B35" sqref="B35:E35"/>
      <selection pane="bottomLeft" activeCell="A6" sqref="A6"/>
    </sheetView>
  </sheetViews>
  <sheetFormatPr defaultColWidth="10.7109375" defaultRowHeight="15" x14ac:dyDescent="0.25"/>
  <cols>
    <col min="1" max="1" width="23.85546875" style="30" bestFit="1" customWidth="1"/>
    <col min="2" max="2" width="20.7109375" style="30" customWidth="1"/>
    <col min="3" max="3" width="82" style="36" customWidth="1"/>
    <col min="4" max="4" width="11.7109375" style="30" customWidth="1"/>
    <col min="5" max="5" width="18.7109375" style="36" customWidth="1"/>
    <col min="6" max="6" width="20.7109375" style="36" customWidth="1"/>
    <col min="7" max="7" width="20.7109375" style="30" customWidth="1"/>
    <col min="8" max="8" width="11.42578125" style="30" customWidth="1"/>
    <col min="9" max="9" width="27.5703125" style="36" customWidth="1"/>
    <col min="10" max="10" width="31" style="36" customWidth="1"/>
    <col min="11" max="11" width="18" style="36" customWidth="1"/>
    <col min="12" max="12" width="17" style="30" customWidth="1"/>
    <col min="13" max="13" width="21.28515625" style="30" customWidth="1"/>
    <col min="14" max="14" width="10.7109375" style="30"/>
    <col min="15" max="15" width="25.7109375" style="30" customWidth="1"/>
    <col min="16" max="16" width="15.42578125" style="30" customWidth="1"/>
    <col min="17" max="17" width="14.7109375" style="30" customWidth="1"/>
    <col min="18" max="18" width="20.5703125" style="30" customWidth="1"/>
    <col min="19" max="19" width="13.7109375" style="30" customWidth="1"/>
    <col min="20" max="20" width="14.28515625" style="30" customWidth="1"/>
    <col min="21" max="22" width="16.7109375" style="30" customWidth="1"/>
    <col min="23" max="23" width="15" style="30" customWidth="1"/>
    <col min="24" max="24" width="16" style="30" customWidth="1"/>
    <col min="25" max="16384" width="10.7109375" style="30"/>
  </cols>
  <sheetData>
    <row r="1" spans="1:13" s="1" customFormat="1" ht="5.0999999999999996" customHeight="1" x14ac:dyDescent="0.2"/>
    <row r="2" spans="1:13" s="1" customFormat="1" ht="20.100000000000001" customHeight="1" x14ac:dyDescent="0.2">
      <c r="B2" s="183"/>
      <c r="D2" s="62"/>
      <c r="E2" s="184"/>
      <c r="F2" s="496" t="s">
        <v>28812</v>
      </c>
    </row>
    <row r="3" spans="1:13" s="1" customFormat="1" ht="5.0999999999999996" customHeight="1" x14ac:dyDescent="0.2"/>
    <row r="4" spans="1:13" s="64" customFormat="1" ht="5.0999999999999996" customHeight="1" x14ac:dyDescent="0.2"/>
    <row r="5" spans="1:13" s="442" customFormat="1" ht="42.75" x14ac:dyDescent="0.25">
      <c r="A5" s="441" t="s">
        <v>2607</v>
      </c>
      <c r="B5" s="441" t="s">
        <v>2608</v>
      </c>
      <c r="C5" s="441" t="s">
        <v>2609</v>
      </c>
      <c r="D5" s="441" t="s">
        <v>276</v>
      </c>
      <c r="E5" s="441" t="s">
        <v>29009</v>
      </c>
      <c r="F5" s="441" t="s">
        <v>29010</v>
      </c>
      <c r="G5" s="441" t="s">
        <v>29011</v>
      </c>
      <c r="H5" s="441" t="s">
        <v>28813</v>
      </c>
      <c r="I5" s="441" t="s">
        <v>2610</v>
      </c>
      <c r="J5" s="441" t="s">
        <v>410</v>
      </c>
      <c r="K5" s="441" t="s">
        <v>2611</v>
      </c>
      <c r="L5" s="441" t="s">
        <v>2612</v>
      </c>
      <c r="M5" s="441" t="s">
        <v>2613</v>
      </c>
    </row>
    <row r="6" spans="1:13" x14ac:dyDescent="0.25">
      <c r="A6" s="417" t="s">
        <v>2614</v>
      </c>
      <c r="B6" s="417" t="s">
        <v>2615</v>
      </c>
      <c r="C6" s="417" t="s">
        <v>411</v>
      </c>
      <c r="D6" s="417" t="s">
        <v>414</v>
      </c>
      <c r="E6" s="418">
        <v>1.0170916678061159</v>
      </c>
      <c r="F6" s="418">
        <v>0</v>
      </c>
      <c r="G6" s="418">
        <v>3226.1797659718363</v>
      </c>
      <c r="H6" s="417" t="s">
        <v>2616</v>
      </c>
      <c r="I6" s="417" t="s">
        <v>28996</v>
      </c>
      <c r="J6" s="417" t="s">
        <v>415</v>
      </c>
      <c r="K6" s="419">
        <v>1</v>
      </c>
      <c r="L6" s="417" t="s">
        <v>2617</v>
      </c>
      <c r="M6" s="417" t="s">
        <v>28422</v>
      </c>
    </row>
    <row r="7" spans="1:13" x14ac:dyDescent="0.25">
      <c r="A7" s="417" t="s">
        <v>2614</v>
      </c>
      <c r="B7" s="417" t="s">
        <v>2615</v>
      </c>
      <c r="C7" s="417" t="s">
        <v>416</v>
      </c>
      <c r="D7" s="417" t="s">
        <v>414</v>
      </c>
      <c r="E7" s="418">
        <v>0.16164695391795877</v>
      </c>
      <c r="F7" s="418">
        <v>0</v>
      </c>
      <c r="G7" s="418">
        <v>298.5222895912035</v>
      </c>
      <c r="H7" s="417" t="s">
        <v>2616</v>
      </c>
      <c r="I7" s="417" t="s">
        <v>28996</v>
      </c>
      <c r="J7" s="417" t="s">
        <v>419</v>
      </c>
      <c r="K7" s="419">
        <v>2</v>
      </c>
      <c r="L7" s="417" t="s">
        <v>2617</v>
      </c>
      <c r="M7" s="417" t="s">
        <v>28422</v>
      </c>
    </row>
    <row r="8" spans="1:13" x14ac:dyDescent="0.25">
      <c r="A8" s="417" t="s">
        <v>2614</v>
      </c>
      <c r="B8" s="417" t="s">
        <v>2615</v>
      </c>
      <c r="C8" s="417" t="s">
        <v>420</v>
      </c>
      <c r="D8" s="417" t="s">
        <v>414</v>
      </c>
      <c r="E8" s="418">
        <v>0.29364999545793768</v>
      </c>
      <c r="F8" s="418">
        <v>0</v>
      </c>
      <c r="G8" s="418">
        <v>514.61243011373472</v>
      </c>
      <c r="H8" s="417" t="s">
        <v>2616</v>
      </c>
      <c r="I8" s="417" t="s">
        <v>28996</v>
      </c>
      <c r="J8" s="417" t="s">
        <v>415</v>
      </c>
      <c r="K8" s="419">
        <v>3</v>
      </c>
      <c r="L8" s="417" t="s">
        <v>2617</v>
      </c>
      <c r="M8" s="417" t="s">
        <v>28422</v>
      </c>
    </row>
    <row r="9" spans="1:13" x14ac:dyDescent="0.25">
      <c r="A9" s="417" t="s">
        <v>2614</v>
      </c>
      <c r="B9" s="417" t="s">
        <v>2615</v>
      </c>
      <c r="C9" s="417" t="s">
        <v>423</v>
      </c>
      <c r="D9" s="417" t="s">
        <v>414</v>
      </c>
      <c r="E9" s="418">
        <v>0.65029967590277948</v>
      </c>
      <c r="F9" s="418">
        <v>0</v>
      </c>
      <c r="G9" s="418">
        <v>1744.5438119449907</v>
      </c>
      <c r="H9" s="417" t="s">
        <v>2616</v>
      </c>
      <c r="I9" s="417" t="s">
        <v>28996</v>
      </c>
      <c r="J9" s="417" t="s">
        <v>419</v>
      </c>
      <c r="K9" s="419" t="s">
        <v>28402</v>
      </c>
      <c r="L9" s="417" t="s">
        <v>2617</v>
      </c>
      <c r="M9" s="417" t="s">
        <v>28422</v>
      </c>
    </row>
    <row r="10" spans="1:13" x14ac:dyDescent="0.25">
      <c r="A10" s="417" t="s">
        <v>2614</v>
      </c>
      <c r="B10" s="417" t="s">
        <v>2615</v>
      </c>
      <c r="C10" s="417" t="s">
        <v>426</v>
      </c>
      <c r="D10" s="417" t="s">
        <v>414</v>
      </c>
      <c r="E10" s="418">
        <v>0.40829930212778426</v>
      </c>
      <c r="F10" s="418">
        <v>0</v>
      </c>
      <c r="G10" s="418">
        <v>1226.2843038433607</v>
      </c>
      <c r="H10" s="417" t="s">
        <v>2616</v>
      </c>
      <c r="I10" s="417" t="s">
        <v>28996</v>
      </c>
      <c r="J10" s="417" t="s">
        <v>415</v>
      </c>
      <c r="K10" s="419" t="s">
        <v>28403</v>
      </c>
      <c r="L10" s="417" t="s">
        <v>2617</v>
      </c>
      <c r="M10" s="417" t="s">
        <v>28422</v>
      </c>
    </row>
    <row r="11" spans="1:13" x14ac:dyDescent="0.25">
      <c r="A11" s="417" t="s">
        <v>2614</v>
      </c>
      <c r="B11" s="417" t="s">
        <v>2615</v>
      </c>
      <c r="C11" s="417" t="s">
        <v>429</v>
      </c>
      <c r="D11" s="417" t="s">
        <v>414</v>
      </c>
      <c r="E11" s="418">
        <v>0.2969268918575062</v>
      </c>
      <c r="F11" s="418">
        <v>0</v>
      </c>
      <c r="G11" s="418">
        <v>660.27441092869151</v>
      </c>
      <c r="H11" s="417" t="s">
        <v>2616</v>
      </c>
      <c r="I11" s="417" t="s">
        <v>28996</v>
      </c>
      <c r="J11" s="417" t="s">
        <v>432</v>
      </c>
      <c r="K11" s="419" t="s">
        <v>28404</v>
      </c>
      <c r="L11" s="417" t="s">
        <v>2617</v>
      </c>
      <c r="M11" s="417" t="s">
        <v>28422</v>
      </c>
    </row>
    <row r="12" spans="1:13" x14ac:dyDescent="0.25">
      <c r="A12" s="417" t="s">
        <v>2614</v>
      </c>
      <c r="B12" s="417" t="s">
        <v>2615</v>
      </c>
      <c r="C12" s="417" t="s">
        <v>433</v>
      </c>
      <c r="D12" s="417" t="s">
        <v>414</v>
      </c>
      <c r="E12" s="418">
        <v>0.22521138705390606</v>
      </c>
      <c r="F12" s="418">
        <v>0</v>
      </c>
      <c r="G12" s="418">
        <v>482.72392272159658</v>
      </c>
      <c r="H12" s="417" t="s">
        <v>2616</v>
      </c>
      <c r="I12" s="417" t="s">
        <v>28996</v>
      </c>
      <c r="J12" s="417" t="s">
        <v>419</v>
      </c>
      <c r="K12" s="419">
        <v>16</v>
      </c>
      <c r="L12" s="417" t="s">
        <v>2617</v>
      </c>
      <c r="M12" s="417" t="s">
        <v>28422</v>
      </c>
    </row>
    <row r="13" spans="1:13" x14ac:dyDescent="0.25">
      <c r="A13" s="417" t="s">
        <v>2614</v>
      </c>
      <c r="B13" s="417" t="s">
        <v>2615</v>
      </c>
      <c r="C13" s="417" t="s">
        <v>436</v>
      </c>
      <c r="D13" s="417" t="s">
        <v>414</v>
      </c>
      <c r="E13" s="418">
        <v>0.39282857776982649</v>
      </c>
      <c r="F13" s="418">
        <v>0</v>
      </c>
      <c r="G13" s="418">
        <v>789.51096659503855</v>
      </c>
      <c r="H13" s="417" t="s">
        <v>2616</v>
      </c>
      <c r="I13" s="417" t="s">
        <v>28996</v>
      </c>
      <c r="J13" s="417" t="s">
        <v>419</v>
      </c>
      <c r="K13" s="419">
        <v>17</v>
      </c>
      <c r="L13" s="417" t="s">
        <v>2617</v>
      </c>
      <c r="M13" s="417" t="s">
        <v>28422</v>
      </c>
    </row>
    <row r="14" spans="1:13" x14ac:dyDescent="0.25">
      <c r="A14" s="417" t="s">
        <v>2614</v>
      </c>
      <c r="B14" s="417" t="s">
        <v>2615</v>
      </c>
      <c r="C14" s="417" t="s">
        <v>439</v>
      </c>
      <c r="D14" s="417" t="s">
        <v>414</v>
      </c>
      <c r="E14" s="418">
        <v>0.23778619751474497</v>
      </c>
      <c r="F14" s="418">
        <v>0</v>
      </c>
      <c r="G14" s="418">
        <v>468.45924660942018</v>
      </c>
      <c r="H14" s="417" t="s">
        <v>2616</v>
      </c>
      <c r="I14" s="417" t="s">
        <v>28996</v>
      </c>
      <c r="J14" s="417" t="s">
        <v>419</v>
      </c>
      <c r="K14" s="419">
        <v>18</v>
      </c>
      <c r="L14" s="417" t="s">
        <v>2617</v>
      </c>
      <c r="M14" s="417" t="s">
        <v>28422</v>
      </c>
    </row>
    <row r="15" spans="1:13" x14ac:dyDescent="0.25">
      <c r="A15" s="417" t="s">
        <v>2614</v>
      </c>
      <c r="B15" s="417" t="s">
        <v>2615</v>
      </c>
      <c r="C15" s="417" t="s">
        <v>442</v>
      </c>
      <c r="D15" s="417" t="s">
        <v>414</v>
      </c>
      <c r="E15" s="418">
        <v>0.5019909017807086</v>
      </c>
      <c r="F15" s="418">
        <v>0</v>
      </c>
      <c r="G15" s="418">
        <v>941.47052215592066</v>
      </c>
      <c r="H15" s="417" t="s">
        <v>2616</v>
      </c>
      <c r="I15" s="417" t="s">
        <v>28996</v>
      </c>
      <c r="J15" s="417" t="s">
        <v>445</v>
      </c>
      <c r="K15" s="419" t="s">
        <v>28405</v>
      </c>
      <c r="L15" s="417" t="s">
        <v>2617</v>
      </c>
      <c r="M15" s="417" t="s">
        <v>28422</v>
      </c>
    </row>
    <row r="16" spans="1:13" x14ac:dyDescent="0.25">
      <c r="A16" s="417" t="s">
        <v>2614</v>
      </c>
      <c r="B16" s="417" t="s">
        <v>2615</v>
      </c>
      <c r="C16" s="417" t="s">
        <v>446</v>
      </c>
      <c r="D16" s="417" t="s">
        <v>414</v>
      </c>
      <c r="E16" s="418">
        <v>0.16170992918324928</v>
      </c>
      <c r="F16" s="418">
        <v>0</v>
      </c>
      <c r="G16" s="418">
        <v>319.73600592389766</v>
      </c>
      <c r="H16" s="417" t="s">
        <v>2616</v>
      </c>
      <c r="I16" s="417" t="s">
        <v>28996</v>
      </c>
      <c r="J16" s="417" t="s">
        <v>419</v>
      </c>
      <c r="K16" s="419">
        <v>21</v>
      </c>
      <c r="L16" s="417" t="s">
        <v>2617</v>
      </c>
      <c r="M16" s="417" t="s">
        <v>28422</v>
      </c>
    </row>
    <row r="17" spans="1:13" x14ac:dyDescent="0.25">
      <c r="A17" s="417" t="s">
        <v>2614</v>
      </c>
      <c r="B17" s="417" t="s">
        <v>2615</v>
      </c>
      <c r="C17" s="417" t="s">
        <v>449</v>
      </c>
      <c r="D17" s="417" t="s">
        <v>414</v>
      </c>
      <c r="E17" s="418">
        <v>0.34734763167366156</v>
      </c>
      <c r="F17" s="418">
        <v>0</v>
      </c>
      <c r="G17" s="418">
        <v>666.08419740999534</v>
      </c>
      <c r="H17" s="417" t="s">
        <v>2616</v>
      </c>
      <c r="I17" s="417" t="s">
        <v>28996</v>
      </c>
      <c r="J17" s="417" t="s">
        <v>419</v>
      </c>
      <c r="K17" s="419">
        <v>22</v>
      </c>
      <c r="L17" s="417" t="s">
        <v>2617</v>
      </c>
      <c r="M17" s="417" t="s">
        <v>28422</v>
      </c>
    </row>
    <row r="18" spans="1:13" x14ac:dyDescent="0.25">
      <c r="A18" s="417" t="s">
        <v>2614</v>
      </c>
      <c r="B18" s="417" t="s">
        <v>2615</v>
      </c>
      <c r="C18" s="417" t="s">
        <v>452</v>
      </c>
      <c r="D18" s="417" t="s">
        <v>414</v>
      </c>
      <c r="E18" s="418">
        <v>0.83745166266062698</v>
      </c>
      <c r="F18" s="418">
        <v>0</v>
      </c>
      <c r="G18" s="418">
        <v>1252.1642775729867</v>
      </c>
      <c r="H18" s="417" t="s">
        <v>2616</v>
      </c>
      <c r="I18" s="417" t="s">
        <v>28996</v>
      </c>
      <c r="J18" s="417" t="s">
        <v>419</v>
      </c>
      <c r="K18" s="419">
        <v>23</v>
      </c>
      <c r="L18" s="417" t="s">
        <v>2617</v>
      </c>
      <c r="M18" s="417" t="s">
        <v>28422</v>
      </c>
    </row>
    <row r="19" spans="1:13" x14ac:dyDescent="0.25">
      <c r="A19" s="417" t="s">
        <v>2614</v>
      </c>
      <c r="B19" s="417" t="s">
        <v>2615</v>
      </c>
      <c r="C19" s="417" t="s">
        <v>454</v>
      </c>
      <c r="D19" s="417" t="s">
        <v>414</v>
      </c>
      <c r="E19" s="418">
        <v>0.734237764029256</v>
      </c>
      <c r="F19" s="418">
        <v>0</v>
      </c>
      <c r="G19" s="418">
        <v>1441.4987617532361</v>
      </c>
      <c r="H19" s="417" t="s">
        <v>2616</v>
      </c>
      <c r="I19" s="417" t="s">
        <v>28996</v>
      </c>
      <c r="J19" s="417" t="s">
        <v>419</v>
      </c>
      <c r="K19" s="419">
        <v>24</v>
      </c>
      <c r="L19" s="417" t="s">
        <v>2617</v>
      </c>
      <c r="M19" s="417" t="s">
        <v>28422</v>
      </c>
    </row>
    <row r="20" spans="1:13" x14ac:dyDescent="0.25">
      <c r="A20" s="417" t="s">
        <v>2614</v>
      </c>
      <c r="B20" s="417" t="s">
        <v>2615</v>
      </c>
      <c r="C20" s="417" t="s">
        <v>457</v>
      </c>
      <c r="D20" s="417" t="s">
        <v>414</v>
      </c>
      <c r="E20" s="418">
        <v>0.35282127175220418</v>
      </c>
      <c r="F20" s="418">
        <v>0</v>
      </c>
      <c r="G20" s="418">
        <v>726.84878491718621</v>
      </c>
      <c r="H20" s="417" t="s">
        <v>2616</v>
      </c>
      <c r="I20" s="417" t="s">
        <v>28996</v>
      </c>
      <c r="J20" s="417" t="s">
        <v>419</v>
      </c>
      <c r="K20" s="419">
        <v>25</v>
      </c>
      <c r="L20" s="417" t="s">
        <v>2617</v>
      </c>
      <c r="M20" s="417" t="s">
        <v>28422</v>
      </c>
    </row>
    <row r="21" spans="1:13" x14ac:dyDescent="0.25">
      <c r="A21" s="417" t="s">
        <v>2614</v>
      </c>
      <c r="B21" s="417" t="s">
        <v>2615</v>
      </c>
      <c r="C21" s="417" t="s">
        <v>460</v>
      </c>
      <c r="D21" s="417" t="s">
        <v>414</v>
      </c>
      <c r="E21" s="418">
        <v>0.21296002376379577</v>
      </c>
      <c r="F21" s="418">
        <v>0</v>
      </c>
      <c r="G21" s="418">
        <v>422.46858692581526</v>
      </c>
      <c r="H21" s="417" t="s">
        <v>2616</v>
      </c>
      <c r="I21" s="417" t="s">
        <v>28996</v>
      </c>
      <c r="J21" s="417" t="s">
        <v>463</v>
      </c>
      <c r="K21" s="419">
        <v>26</v>
      </c>
      <c r="L21" s="417" t="s">
        <v>2617</v>
      </c>
      <c r="M21" s="417" t="s">
        <v>28422</v>
      </c>
    </row>
    <row r="22" spans="1:13" x14ac:dyDescent="0.25">
      <c r="A22" s="417" t="s">
        <v>2614</v>
      </c>
      <c r="B22" s="417" t="s">
        <v>2615</v>
      </c>
      <c r="C22" s="417" t="s">
        <v>464</v>
      </c>
      <c r="D22" s="417" t="s">
        <v>414</v>
      </c>
      <c r="E22" s="418">
        <v>0.3090124025327603</v>
      </c>
      <c r="F22" s="418">
        <v>0</v>
      </c>
      <c r="G22" s="418">
        <v>669.83268649436741</v>
      </c>
      <c r="H22" s="417" t="s">
        <v>2616</v>
      </c>
      <c r="I22" s="417" t="s">
        <v>28996</v>
      </c>
      <c r="J22" s="417" t="s">
        <v>463</v>
      </c>
      <c r="K22" s="419">
        <v>27</v>
      </c>
      <c r="L22" s="417" t="s">
        <v>2617</v>
      </c>
      <c r="M22" s="417" t="s">
        <v>28422</v>
      </c>
    </row>
    <row r="23" spans="1:13" x14ac:dyDescent="0.25">
      <c r="A23" s="417" t="s">
        <v>2614</v>
      </c>
      <c r="B23" s="417" t="s">
        <v>2615</v>
      </c>
      <c r="C23" s="417" t="s">
        <v>467</v>
      </c>
      <c r="D23" s="417" t="s">
        <v>414</v>
      </c>
      <c r="E23" s="418">
        <v>0.24054549970368552</v>
      </c>
      <c r="F23" s="418">
        <v>0</v>
      </c>
      <c r="G23" s="418">
        <v>470.27594743396475</v>
      </c>
      <c r="H23" s="417" t="s">
        <v>2616</v>
      </c>
      <c r="I23" s="417" t="s">
        <v>28996</v>
      </c>
      <c r="J23" s="417" t="s">
        <v>463</v>
      </c>
      <c r="K23" s="419">
        <v>28</v>
      </c>
      <c r="L23" s="417" t="s">
        <v>2617</v>
      </c>
      <c r="M23" s="417" t="s">
        <v>28422</v>
      </c>
    </row>
    <row r="24" spans="1:13" x14ac:dyDescent="0.25">
      <c r="A24" s="417" t="s">
        <v>2614</v>
      </c>
      <c r="B24" s="417" t="s">
        <v>2615</v>
      </c>
      <c r="C24" s="417" t="s">
        <v>468</v>
      </c>
      <c r="D24" s="417" t="s">
        <v>414</v>
      </c>
      <c r="E24" s="418">
        <v>0.18793160561664335</v>
      </c>
      <c r="F24" s="418">
        <v>0</v>
      </c>
      <c r="G24" s="418">
        <v>373.96258472063784</v>
      </c>
      <c r="H24" s="417" t="s">
        <v>2616</v>
      </c>
      <c r="I24" s="417" t="s">
        <v>28996</v>
      </c>
      <c r="J24" s="417" t="s">
        <v>471</v>
      </c>
      <c r="K24" s="419">
        <v>29</v>
      </c>
      <c r="L24" s="417" t="s">
        <v>2617</v>
      </c>
      <c r="M24" s="417" t="s">
        <v>28422</v>
      </c>
    </row>
    <row r="25" spans="1:13" x14ac:dyDescent="0.25">
      <c r="A25" s="417" t="s">
        <v>2614</v>
      </c>
      <c r="B25" s="417" t="s">
        <v>2615</v>
      </c>
      <c r="C25" s="417" t="s">
        <v>472</v>
      </c>
      <c r="D25" s="417" t="s">
        <v>414</v>
      </c>
      <c r="E25" s="418">
        <v>0.18755552408196932</v>
      </c>
      <c r="F25" s="418">
        <v>0</v>
      </c>
      <c r="G25" s="418">
        <v>362.92867334000505</v>
      </c>
      <c r="H25" s="417" t="s">
        <v>2616</v>
      </c>
      <c r="I25" s="417" t="s">
        <v>28996</v>
      </c>
      <c r="J25" s="417" t="s">
        <v>471</v>
      </c>
      <c r="K25" s="419">
        <v>30</v>
      </c>
      <c r="L25" s="417" t="s">
        <v>2617</v>
      </c>
      <c r="M25" s="417" t="s">
        <v>28422</v>
      </c>
    </row>
    <row r="26" spans="1:13" x14ac:dyDescent="0.25">
      <c r="A26" s="417" t="s">
        <v>2614</v>
      </c>
      <c r="B26" s="417" t="s">
        <v>2615</v>
      </c>
      <c r="C26" s="417" t="s">
        <v>475</v>
      </c>
      <c r="D26" s="417" t="s">
        <v>414</v>
      </c>
      <c r="E26" s="418">
        <v>0.17896355077256379</v>
      </c>
      <c r="F26" s="418">
        <v>0</v>
      </c>
      <c r="G26" s="418">
        <v>362.15847814825048</v>
      </c>
      <c r="H26" s="417" t="s">
        <v>2616</v>
      </c>
      <c r="I26" s="417" t="s">
        <v>28996</v>
      </c>
      <c r="J26" s="417" t="s">
        <v>419</v>
      </c>
      <c r="K26" s="419" t="s">
        <v>28406</v>
      </c>
      <c r="L26" s="417" t="s">
        <v>2617</v>
      </c>
      <c r="M26" s="417" t="s">
        <v>28422</v>
      </c>
    </row>
    <row r="27" spans="1:13" x14ac:dyDescent="0.25">
      <c r="A27" s="417" t="s">
        <v>2614</v>
      </c>
      <c r="B27" s="417" t="s">
        <v>2615</v>
      </c>
      <c r="C27" s="417" t="s">
        <v>478</v>
      </c>
      <c r="D27" s="417" t="s">
        <v>414</v>
      </c>
      <c r="E27" s="418">
        <v>0.23413615753101627</v>
      </c>
      <c r="F27" s="418">
        <v>0</v>
      </c>
      <c r="G27" s="418">
        <v>497.65024386385426</v>
      </c>
      <c r="H27" s="417" t="s">
        <v>2616</v>
      </c>
      <c r="I27" s="417" t="s">
        <v>28996</v>
      </c>
      <c r="J27" s="417" t="s">
        <v>463</v>
      </c>
      <c r="K27" s="419">
        <v>33</v>
      </c>
      <c r="L27" s="417" t="s">
        <v>2617</v>
      </c>
      <c r="M27" s="417" t="s">
        <v>28422</v>
      </c>
    </row>
    <row r="28" spans="1:13" x14ac:dyDescent="0.25">
      <c r="A28" s="417" t="s">
        <v>2614</v>
      </c>
      <c r="B28" s="417" t="s">
        <v>2615</v>
      </c>
      <c r="C28" s="417" t="s">
        <v>480</v>
      </c>
      <c r="D28" s="417" t="s">
        <v>414</v>
      </c>
      <c r="E28" s="418">
        <v>0.86262848085877286</v>
      </c>
      <c r="F28" s="418">
        <v>0</v>
      </c>
      <c r="G28" s="418">
        <v>1668.3604156279962</v>
      </c>
      <c r="H28" s="417" t="s">
        <v>2616</v>
      </c>
      <c r="I28" s="417" t="s">
        <v>28996</v>
      </c>
      <c r="J28" s="417" t="s">
        <v>482</v>
      </c>
      <c r="K28" s="419" t="s">
        <v>2618</v>
      </c>
      <c r="L28" s="417" t="s">
        <v>2617</v>
      </c>
      <c r="M28" s="417" t="s">
        <v>28422</v>
      </c>
    </row>
    <row r="29" spans="1:13" x14ac:dyDescent="0.25">
      <c r="A29" s="417" t="s">
        <v>2614</v>
      </c>
      <c r="B29" s="417" t="s">
        <v>2615</v>
      </c>
      <c r="C29" s="417" t="s">
        <v>483</v>
      </c>
      <c r="D29" s="417" t="s">
        <v>414</v>
      </c>
      <c r="E29" s="418">
        <v>0.87082295779961649</v>
      </c>
      <c r="F29" s="418">
        <v>0</v>
      </c>
      <c r="G29" s="418">
        <v>2266.4493092042185</v>
      </c>
      <c r="H29" s="417" t="s">
        <v>2616</v>
      </c>
      <c r="I29" s="417" t="s">
        <v>28996</v>
      </c>
      <c r="J29" s="417" t="s">
        <v>486</v>
      </c>
      <c r="K29" s="419" t="s">
        <v>2619</v>
      </c>
      <c r="L29" s="417" t="s">
        <v>2617</v>
      </c>
      <c r="M29" s="417" t="s">
        <v>28422</v>
      </c>
    </row>
    <row r="30" spans="1:13" x14ac:dyDescent="0.25">
      <c r="A30" s="417" t="s">
        <v>2614</v>
      </c>
      <c r="B30" s="417" t="s">
        <v>2615</v>
      </c>
      <c r="C30" s="417" t="s">
        <v>487</v>
      </c>
      <c r="D30" s="417" t="s">
        <v>414</v>
      </c>
      <c r="E30" s="418">
        <v>0.70624598783427606</v>
      </c>
      <c r="F30" s="418">
        <v>0</v>
      </c>
      <c r="G30" s="418">
        <v>1334.2757718120806</v>
      </c>
      <c r="H30" s="417" t="s">
        <v>2616</v>
      </c>
      <c r="I30" s="417" t="s">
        <v>28996</v>
      </c>
      <c r="J30" s="417" t="s">
        <v>490</v>
      </c>
      <c r="K30" s="419" t="s">
        <v>28407</v>
      </c>
      <c r="L30" s="417" t="s">
        <v>2617</v>
      </c>
      <c r="M30" s="417" t="s">
        <v>28422</v>
      </c>
    </row>
    <row r="31" spans="1:13" x14ac:dyDescent="0.25">
      <c r="A31" s="417" t="s">
        <v>2614</v>
      </c>
      <c r="B31" s="417" t="s">
        <v>2615</v>
      </c>
      <c r="C31" s="417" t="s">
        <v>491</v>
      </c>
      <c r="D31" s="417" t="s">
        <v>414</v>
      </c>
      <c r="E31" s="418">
        <v>0.27581945694793863</v>
      </c>
      <c r="F31" s="418">
        <v>0</v>
      </c>
      <c r="G31" s="418">
        <v>554.49747627037402</v>
      </c>
      <c r="H31" s="417" t="s">
        <v>2616</v>
      </c>
      <c r="I31" s="417" t="s">
        <v>28996</v>
      </c>
      <c r="J31" s="417" t="s">
        <v>491</v>
      </c>
      <c r="K31" s="419" t="s">
        <v>28408</v>
      </c>
      <c r="L31" s="417" t="s">
        <v>2617</v>
      </c>
      <c r="M31" s="417" t="s">
        <v>28422</v>
      </c>
    </row>
    <row r="32" spans="1:13" x14ac:dyDescent="0.25">
      <c r="A32" s="417" t="s">
        <v>2614</v>
      </c>
      <c r="B32" s="417" t="s">
        <v>2615</v>
      </c>
      <c r="C32" s="417" t="s">
        <v>494</v>
      </c>
      <c r="D32" s="417" t="s">
        <v>414</v>
      </c>
      <c r="E32" s="418">
        <v>0.10591207753259828</v>
      </c>
      <c r="F32" s="418">
        <v>0</v>
      </c>
      <c r="G32" s="418">
        <v>206.08178298178333</v>
      </c>
      <c r="H32" s="417" t="s">
        <v>2616</v>
      </c>
      <c r="I32" s="417" t="s">
        <v>28996</v>
      </c>
      <c r="J32" s="417" t="s">
        <v>497</v>
      </c>
      <c r="K32" s="419" t="s">
        <v>28409</v>
      </c>
      <c r="L32" s="417" t="s">
        <v>2617</v>
      </c>
      <c r="M32" s="417" t="s">
        <v>28422</v>
      </c>
    </row>
    <row r="33" spans="1:13" x14ac:dyDescent="0.25">
      <c r="A33" s="417" t="s">
        <v>2614</v>
      </c>
      <c r="B33" s="417" t="s">
        <v>2615</v>
      </c>
      <c r="C33" s="417" t="s">
        <v>498</v>
      </c>
      <c r="D33" s="417" t="s">
        <v>414</v>
      </c>
      <c r="E33" s="418">
        <v>0.18019097864755512</v>
      </c>
      <c r="F33" s="418">
        <v>0</v>
      </c>
      <c r="G33" s="418">
        <v>339.05228269415147</v>
      </c>
      <c r="H33" s="417" t="s">
        <v>2616</v>
      </c>
      <c r="I33" s="417" t="s">
        <v>28996</v>
      </c>
      <c r="J33" s="417" t="s">
        <v>501</v>
      </c>
      <c r="K33" s="419" t="s">
        <v>28410</v>
      </c>
      <c r="L33" s="417" t="s">
        <v>2617</v>
      </c>
      <c r="M33" s="417" t="s">
        <v>28422</v>
      </c>
    </row>
    <row r="34" spans="1:13" x14ac:dyDescent="0.25">
      <c r="A34" s="417" t="s">
        <v>2614</v>
      </c>
      <c r="B34" s="417" t="s">
        <v>2615</v>
      </c>
      <c r="C34" s="417" t="s">
        <v>502</v>
      </c>
      <c r="D34" s="417" t="s">
        <v>414</v>
      </c>
      <c r="E34" s="418">
        <v>2.8043082221807292</v>
      </c>
      <c r="F34" s="418">
        <v>0</v>
      </c>
      <c r="G34" s="418">
        <v>2810.799513422819</v>
      </c>
      <c r="H34" s="417" t="s">
        <v>2616</v>
      </c>
      <c r="I34" s="417" t="s">
        <v>28996</v>
      </c>
      <c r="J34" s="417" t="s">
        <v>505</v>
      </c>
      <c r="K34" s="419">
        <v>51</v>
      </c>
      <c r="L34" s="417" t="s">
        <v>2617</v>
      </c>
      <c r="M34" s="417" t="s">
        <v>28422</v>
      </c>
    </row>
    <row r="35" spans="1:13" x14ac:dyDescent="0.25">
      <c r="A35" s="417" t="s">
        <v>2614</v>
      </c>
      <c r="B35" s="417" t="s">
        <v>2615</v>
      </c>
      <c r="C35" s="417" t="s">
        <v>506</v>
      </c>
      <c r="D35" s="417" t="s">
        <v>414</v>
      </c>
      <c r="E35" s="418">
        <v>0.17632799455757431</v>
      </c>
      <c r="F35" s="418">
        <v>0</v>
      </c>
      <c r="G35" s="418">
        <v>352.16251251198469</v>
      </c>
      <c r="H35" s="417" t="s">
        <v>2616</v>
      </c>
      <c r="I35" s="417" t="s">
        <v>28996</v>
      </c>
      <c r="J35" s="417" t="s">
        <v>501</v>
      </c>
      <c r="K35" s="419">
        <v>52</v>
      </c>
      <c r="L35" s="417" t="s">
        <v>2617</v>
      </c>
      <c r="M35" s="417" t="s">
        <v>28422</v>
      </c>
    </row>
    <row r="36" spans="1:13" x14ac:dyDescent="0.25">
      <c r="A36" s="417" t="s">
        <v>2614</v>
      </c>
      <c r="B36" s="417" t="s">
        <v>2615</v>
      </c>
      <c r="C36" s="417" t="s">
        <v>507</v>
      </c>
      <c r="D36" s="417" t="s">
        <v>414</v>
      </c>
      <c r="E36" s="418">
        <v>0.13150872908168745</v>
      </c>
      <c r="F36" s="418">
        <v>0</v>
      </c>
      <c r="G36" s="418">
        <v>230.58958000958773</v>
      </c>
      <c r="H36" s="417" t="s">
        <v>2616</v>
      </c>
      <c r="I36" s="417" t="s">
        <v>28996</v>
      </c>
      <c r="J36" s="417" t="s">
        <v>501</v>
      </c>
      <c r="K36" s="419">
        <v>53</v>
      </c>
      <c r="L36" s="417" t="s">
        <v>2617</v>
      </c>
      <c r="M36" s="417" t="s">
        <v>28422</v>
      </c>
    </row>
    <row r="37" spans="1:13" x14ac:dyDescent="0.25">
      <c r="A37" s="417" t="s">
        <v>2614</v>
      </c>
      <c r="B37" s="417" t="s">
        <v>2615</v>
      </c>
      <c r="C37" s="417" t="s">
        <v>509</v>
      </c>
      <c r="D37" s="417" t="s">
        <v>414</v>
      </c>
      <c r="E37" s="418">
        <v>0.14462905045814958</v>
      </c>
      <c r="F37" s="418">
        <v>0</v>
      </c>
      <c r="G37" s="418">
        <v>258.27121136145735</v>
      </c>
      <c r="H37" s="417" t="s">
        <v>2616</v>
      </c>
      <c r="I37" s="417" t="s">
        <v>28996</v>
      </c>
      <c r="J37" s="417" t="s">
        <v>511</v>
      </c>
      <c r="K37" s="419">
        <v>55</v>
      </c>
      <c r="L37" s="417" t="s">
        <v>2617</v>
      </c>
      <c r="M37" s="417" t="s">
        <v>28422</v>
      </c>
    </row>
    <row r="38" spans="1:13" x14ac:dyDescent="0.25">
      <c r="A38" s="417" t="s">
        <v>2614</v>
      </c>
      <c r="B38" s="417" t="s">
        <v>2615</v>
      </c>
      <c r="C38" s="417" t="s">
        <v>512</v>
      </c>
      <c r="D38" s="417" t="s">
        <v>414</v>
      </c>
      <c r="E38" s="418">
        <v>0.20222059032598272</v>
      </c>
      <c r="F38" s="418">
        <v>0</v>
      </c>
      <c r="G38" s="418">
        <v>536.11955292425705</v>
      </c>
      <c r="H38" s="417" t="s">
        <v>2616</v>
      </c>
      <c r="I38" s="417" t="s">
        <v>28996</v>
      </c>
      <c r="J38" s="417" t="s">
        <v>514</v>
      </c>
      <c r="K38" s="419">
        <v>56</v>
      </c>
      <c r="L38" s="417" t="s">
        <v>2617</v>
      </c>
      <c r="M38" s="417" t="s">
        <v>28422</v>
      </c>
    </row>
    <row r="39" spans="1:13" x14ac:dyDescent="0.25">
      <c r="A39" s="417" t="s">
        <v>2614</v>
      </c>
      <c r="B39" s="417" t="s">
        <v>2615</v>
      </c>
      <c r="C39" s="417" t="s">
        <v>515</v>
      </c>
      <c r="D39" s="417" t="s">
        <v>414</v>
      </c>
      <c r="E39" s="418">
        <v>0.13914031613139979</v>
      </c>
      <c r="F39" s="418">
        <v>0</v>
      </c>
      <c r="G39" s="418">
        <v>258.25512943432403</v>
      </c>
      <c r="H39" s="417" t="s">
        <v>2616</v>
      </c>
      <c r="I39" s="417" t="s">
        <v>28996</v>
      </c>
      <c r="J39" s="417" t="s">
        <v>517</v>
      </c>
      <c r="K39" s="419" t="s">
        <v>28411</v>
      </c>
      <c r="L39" s="417" t="s">
        <v>2617</v>
      </c>
      <c r="M39" s="417" t="s">
        <v>28422</v>
      </c>
    </row>
    <row r="40" spans="1:13" x14ac:dyDescent="0.25">
      <c r="A40" s="417" t="s">
        <v>2614</v>
      </c>
      <c r="B40" s="417" t="s">
        <v>2615</v>
      </c>
      <c r="C40" s="417" t="s">
        <v>518</v>
      </c>
      <c r="D40" s="417" t="s">
        <v>414</v>
      </c>
      <c r="E40" s="418">
        <v>0.14256477943676893</v>
      </c>
      <c r="F40" s="418">
        <v>0</v>
      </c>
      <c r="G40" s="418">
        <v>298.53022981783317</v>
      </c>
      <c r="H40" s="417" t="s">
        <v>2616</v>
      </c>
      <c r="I40" s="417" t="s">
        <v>28996</v>
      </c>
      <c r="J40" s="417" t="s">
        <v>517</v>
      </c>
      <c r="K40" s="419">
        <v>61</v>
      </c>
      <c r="L40" s="417" t="s">
        <v>2617</v>
      </c>
      <c r="M40" s="417" t="s">
        <v>28422</v>
      </c>
    </row>
    <row r="41" spans="1:13" x14ac:dyDescent="0.25">
      <c r="A41" s="417" t="s">
        <v>2614</v>
      </c>
      <c r="B41" s="417" t="s">
        <v>2615</v>
      </c>
      <c r="C41" s="417" t="s">
        <v>521</v>
      </c>
      <c r="D41" s="417" t="s">
        <v>414</v>
      </c>
      <c r="E41" s="418">
        <v>9.0338480285810166E-2</v>
      </c>
      <c r="F41" s="418">
        <v>0</v>
      </c>
      <c r="G41" s="418">
        <v>185.09794185043145</v>
      </c>
      <c r="H41" s="417" t="s">
        <v>2616</v>
      </c>
      <c r="I41" s="417" t="s">
        <v>28996</v>
      </c>
      <c r="J41" s="417" t="s">
        <v>517</v>
      </c>
      <c r="K41" s="419" t="s">
        <v>28412</v>
      </c>
      <c r="L41" s="417" t="s">
        <v>2617</v>
      </c>
      <c r="M41" s="417" t="s">
        <v>28422</v>
      </c>
    </row>
    <row r="42" spans="1:13" x14ac:dyDescent="0.25">
      <c r="A42" s="417" t="s">
        <v>2614</v>
      </c>
      <c r="B42" s="417" t="s">
        <v>2615</v>
      </c>
      <c r="C42" s="417" t="s">
        <v>523</v>
      </c>
      <c r="D42" s="417" t="s">
        <v>414</v>
      </c>
      <c r="E42" s="418">
        <v>6.4713266019074775E-2</v>
      </c>
      <c r="F42" s="418">
        <v>0</v>
      </c>
      <c r="G42" s="418">
        <v>120.37324386385427</v>
      </c>
      <c r="H42" s="417" t="s">
        <v>2616</v>
      </c>
      <c r="I42" s="417" t="s">
        <v>28996</v>
      </c>
      <c r="J42" s="417" t="s">
        <v>517</v>
      </c>
      <c r="K42" s="419">
        <v>64</v>
      </c>
      <c r="L42" s="417" t="s">
        <v>2617</v>
      </c>
      <c r="M42" s="417" t="s">
        <v>28422</v>
      </c>
    </row>
    <row r="43" spans="1:13" x14ac:dyDescent="0.25">
      <c r="A43" s="417" t="s">
        <v>2614</v>
      </c>
      <c r="B43" s="417" t="s">
        <v>2615</v>
      </c>
      <c r="C43" s="417" t="s">
        <v>526</v>
      </c>
      <c r="D43" s="417" t="s">
        <v>414</v>
      </c>
      <c r="E43" s="418">
        <v>4.1821592305095877E-2</v>
      </c>
      <c r="F43" s="418">
        <v>0</v>
      </c>
      <c r="G43" s="418">
        <v>79.676479012464043</v>
      </c>
      <c r="H43" s="417" t="s">
        <v>2616</v>
      </c>
      <c r="I43" s="417" t="s">
        <v>28996</v>
      </c>
      <c r="J43" s="417" t="s">
        <v>517</v>
      </c>
      <c r="K43" s="419">
        <v>65</v>
      </c>
      <c r="L43" s="417" t="s">
        <v>2617</v>
      </c>
      <c r="M43" s="417" t="s">
        <v>28422</v>
      </c>
    </row>
    <row r="44" spans="1:13" x14ac:dyDescent="0.25">
      <c r="A44" s="417" t="s">
        <v>2614</v>
      </c>
      <c r="B44" s="417" t="s">
        <v>2615</v>
      </c>
      <c r="C44" s="417" t="s">
        <v>529</v>
      </c>
      <c r="D44" s="417" t="s">
        <v>414</v>
      </c>
      <c r="E44" s="418">
        <v>3.6471106723604985E-2</v>
      </c>
      <c r="F44" s="418">
        <v>0</v>
      </c>
      <c r="G44" s="418">
        <v>70.792151821668256</v>
      </c>
      <c r="H44" s="417" t="s">
        <v>2616</v>
      </c>
      <c r="I44" s="417" t="s">
        <v>28996</v>
      </c>
      <c r="J44" s="417" t="s">
        <v>517</v>
      </c>
      <c r="K44" s="419">
        <v>68</v>
      </c>
      <c r="L44" s="417" t="s">
        <v>2617</v>
      </c>
      <c r="M44" s="417" t="s">
        <v>28422</v>
      </c>
    </row>
    <row r="45" spans="1:13" x14ac:dyDescent="0.25">
      <c r="A45" s="417" t="s">
        <v>2614</v>
      </c>
      <c r="B45" s="417" t="s">
        <v>2615</v>
      </c>
      <c r="C45" s="417" t="s">
        <v>531</v>
      </c>
      <c r="D45" s="417" t="s">
        <v>414</v>
      </c>
      <c r="E45" s="418">
        <v>8.1175761918552261E-2</v>
      </c>
      <c r="F45" s="418">
        <v>0</v>
      </c>
      <c r="G45" s="418">
        <v>152.86520220517735</v>
      </c>
      <c r="H45" s="417" t="s">
        <v>2616</v>
      </c>
      <c r="I45" s="417" t="s">
        <v>28996</v>
      </c>
      <c r="J45" s="417" t="s">
        <v>517</v>
      </c>
      <c r="K45" s="419" t="s">
        <v>28413</v>
      </c>
      <c r="L45" s="417" t="s">
        <v>2617</v>
      </c>
      <c r="M45" s="417" t="s">
        <v>28422</v>
      </c>
    </row>
    <row r="46" spans="1:13" x14ac:dyDescent="0.25">
      <c r="A46" s="417" t="s">
        <v>2614</v>
      </c>
      <c r="B46" s="417" t="s">
        <v>2615</v>
      </c>
      <c r="C46" s="417" t="s">
        <v>533</v>
      </c>
      <c r="D46" s="417" t="s">
        <v>414</v>
      </c>
      <c r="E46" s="418">
        <v>0.24257747487296263</v>
      </c>
      <c r="F46" s="418">
        <v>0</v>
      </c>
      <c r="G46" s="418">
        <v>473.06160359539786</v>
      </c>
      <c r="H46" s="417" t="s">
        <v>2616</v>
      </c>
      <c r="I46" s="417" t="s">
        <v>28996</v>
      </c>
      <c r="J46" s="417" t="s">
        <v>517</v>
      </c>
      <c r="K46" s="419">
        <v>72</v>
      </c>
      <c r="L46" s="417" t="s">
        <v>2617</v>
      </c>
      <c r="M46" s="417" t="s">
        <v>28422</v>
      </c>
    </row>
    <row r="47" spans="1:13" x14ac:dyDescent="0.25">
      <c r="A47" s="417" t="s">
        <v>2614</v>
      </c>
      <c r="B47" s="417" t="s">
        <v>2615</v>
      </c>
      <c r="C47" s="417" t="s">
        <v>535</v>
      </c>
      <c r="D47" s="417" t="s">
        <v>414</v>
      </c>
      <c r="E47" s="418">
        <v>0.11948080448053691</v>
      </c>
      <c r="F47" s="418">
        <v>0</v>
      </c>
      <c r="G47" s="418">
        <v>218.87869947267495</v>
      </c>
      <c r="H47" s="417" t="s">
        <v>2616</v>
      </c>
      <c r="I47" s="417" t="s">
        <v>28996</v>
      </c>
      <c r="J47" s="417" t="s">
        <v>517</v>
      </c>
      <c r="K47" s="419" t="s">
        <v>28414</v>
      </c>
      <c r="L47" s="417" t="s">
        <v>2617</v>
      </c>
      <c r="M47" s="417" t="s">
        <v>28422</v>
      </c>
    </row>
    <row r="48" spans="1:13" x14ac:dyDescent="0.25">
      <c r="A48" s="417" t="s">
        <v>2614</v>
      </c>
      <c r="B48" s="417" t="s">
        <v>2615</v>
      </c>
      <c r="C48" s="417" t="s">
        <v>537</v>
      </c>
      <c r="D48" s="417" t="s">
        <v>414</v>
      </c>
      <c r="E48" s="418">
        <v>0.12972782703163951</v>
      </c>
      <c r="F48" s="418">
        <v>0</v>
      </c>
      <c r="G48" s="418">
        <v>242.060330105465</v>
      </c>
      <c r="H48" s="417" t="s">
        <v>2616</v>
      </c>
      <c r="I48" s="417" t="s">
        <v>28996</v>
      </c>
      <c r="J48" s="417" t="s">
        <v>517</v>
      </c>
      <c r="K48" s="419" t="s">
        <v>28415</v>
      </c>
      <c r="L48" s="417" t="s">
        <v>2617</v>
      </c>
      <c r="M48" s="417" t="s">
        <v>28422</v>
      </c>
    </row>
    <row r="49" spans="1:13" x14ac:dyDescent="0.25">
      <c r="A49" s="417" t="s">
        <v>2614</v>
      </c>
      <c r="B49" s="417" t="s">
        <v>2615</v>
      </c>
      <c r="C49" s="417" t="s">
        <v>540</v>
      </c>
      <c r="D49" s="417" t="s">
        <v>414</v>
      </c>
      <c r="E49" s="418">
        <v>0.13770630814875359</v>
      </c>
      <c r="F49" s="418">
        <v>0</v>
      </c>
      <c r="G49" s="418">
        <v>260.54031442953021</v>
      </c>
      <c r="H49" s="417" t="s">
        <v>2616</v>
      </c>
      <c r="I49" s="417" t="s">
        <v>28996</v>
      </c>
      <c r="J49" s="417" t="s">
        <v>543</v>
      </c>
      <c r="K49" s="419">
        <v>84</v>
      </c>
      <c r="L49" s="417" t="s">
        <v>2617</v>
      </c>
      <c r="M49" s="417" t="s">
        <v>28422</v>
      </c>
    </row>
    <row r="50" spans="1:13" x14ac:dyDescent="0.25">
      <c r="A50" s="417" t="s">
        <v>2614</v>
      </c>
      <c r="B50" s="417" t="s">
        <v>2615</v>
      </c>
      <c r="C50" s="417" t="s">
        <v>544</v>
      </c>
      <c r="D50" s="417" t="s">
        <v>414</v>
      </c>
      <c r="E50" s="418">
        <v>9.8632749101534051E-2</v>
      </c>
      <c r="F50" s="418">
        <v>0</v>
      </c>
      <c r="G50" s="418">
        <v>192.2682555129434</v>
      </c>
      <c r="H50" s="417" t="s">
        <v>2616</v>
      </c>
      <c r="I50" s="417" t="s">
        <v>28996</v>
      </c>
      <c r="J50" s="417" t="s">
        <v>543</v>
      </c>
      <c r="K50" s="419">
        <v>85</v>
      </c>
      <c r="L50" s="417" t="s">
        <v>2617</v>
      </c>
      <c r="M50" s="417" t="s">
        <v>28422</v>
      </c>
    </row>
    <row r="51" spans="1:13" x14ac:dyDescent="0.25">
      <c r="A51" s="417" t="s">
        <v>2614</v>
      </c>
      <c r="B51" s="417" t="s">
        <v>2615</v>
      </c>
      <c r="C51" s="417" t="s">
        <v>545</v>
      </c>
      <c r="D51" s="417" t="s">
        <v>414</v>
      </c>
      <c r="E51" s="418">
        <v>7.7982534370613615E-2</v>
      </c>
      <c r="F51" s="418">
        <v>0</v>
      </c>
      <c r="G51" s="418">
        <v>156.60778173537872</v>
      </c>
      <c r="H51" s="417" t="s">
        <v>2616</v>
      </c>
      <c r="I51" s="417" t="s">
        <v>28996</v>
      </c>
      <c r="J51" s="417" t="s">
        <v>548</v>
      </c>
      <c r="K51" s="419">
        <v>86</v>
      </c>
      <c r="L51" s="417" t="s">
        <v>2617</v>
      </c>
      <c r="M51" s="417" t="s">
        <v>28422</v>
      </c>
    </row>
    <row r="52" spans="1:13" x14ac:dyDescent="0.25">
      <c r="A52" s="417" t="s">
        <v>2614</v>
      </c>
      <c r="B52" s="417" t="s">
        <v>2615</v>
      </c>
      <c r="C52" s="417" t="s">
        <v>549</v>
      </c>
      <c r="D52" s="417" t="s">
        <v>414</v>
      </c>
      <c r="E52" s="418">
        <v>9.363500534712367E-2</v>
      </c>
      <c r="F52" s="418">
        <v>0</v>
      </c>
      <c r="G52" s="418">
        <v>188.1096368168744</v>
      </c>
      <c r="H52" s="417" t="s">
        <v>2616</v>
      </c>
      <c r="I52" s="417" t="s">
        <v>28996</v>
      </c>
      <c r="J52" s="417" t="s">
        <v>548</v>
      </c>
      <c r="K52" s="419" t="s">
        <v>28416</v>
      </c>
      <c r="L52" s="417" t="s">
        <v>2617</v>
      </c>
      <c r="M52" s="417" t="s">
        <v>28422</v>
      </c>
    </row>
    <row r="53" spans="1:13" x14ac:dyDescent="0.25">
      <c r="A53" s="417" t="s">
        <v>2614</v>
      </c>
      <c r="B53" s="417" t="s">
        <v>2615</v>
      </c>
      <c r="C53" s="417" t="s">
        <v>551</v>
      </c>
      <c r="D53" s="417" t="s">
        <v>414</v>
      </c>
      <c r="E53" s="418">
        <v>0.15085075288806327</v>
      </c>
      <c r="F53" s="418">
        <v>0</v>
      </c>
      <c r="G53" s="418">
        <v>293.6004205656759</v>
      </c>
      <c r="H53" s="417" t="s">
        <v>2616</v>
      </c>
      <c r="I53" s="417" t="s">
        <v>28996</v>
      </c>
      <c r="J53" s="417" t="s">
        <v>517</v>
      </c>
      <c r="K53" s="419" t="s">
        <v>28417</v>
      </c>
      <c r="L53" s="417" t="s">
        <v>2617</v>
      </c>
      <c r="M53" s="417" t="s">
        <v>28422</v>
      </c>
    </row>
    <row r="54" spans="1:13" x14ac:dyDescent="0.25">
      <c r="A54" s="417" t="s">
        <v>2614</v>
      </c>
      <c r="B54" s="417" t="s">
        <v>2615</v>
      </c>
      <c r="C54" s="417" t="s">
        <v>553</v>
      </c>
      <c r="D54" s="417" t="s">
        <v>414</v>
      </c>
      <c r="E54" s="418">
        <v>0.12102433725719078</v>
      </c>
      <c r="F54" s="418">
        <v>0</v>
      </c>
      <c r="G54" s="418">
        <v>238.59251160115053</v>
      </c>
      <c r="H54" s="417" t="s">
        <v>2616</v>
      </c>
      <c r="I54" s="417" t="s">
        <v>28996</v>
      </c>
      <c r="J54" s="417" t="s">
        <v>517</v>
      </c>
      <c r="K54" s="419" t="s">
        <v>28418</v>
      </c>
      <c r="L54" s="417" t="s">
        <v>2617</v>
      </c>
      <c r="M54" s="417" t="s">
        <v>28422</v>
      </c>
    </row>
    <row r="55" spans="1:13" x14ac:dyDescent="0.25">
      <c r="A55" s="417" t="s">
        <v>2620</v>
      </c>
      <c r="B55" s="417" t="s">
        <v>28814</v>
      </c>
      <c r="C55" s="417" t="s">
        <v>28983</v>
      </c>
      <c r="D55" s="417" t="s">
        <v>88</v>
      </c>
      <c r="E55" s="418">
        <v>1</v>
      </c>
      <c r="F55" s="418">
        <v>0</v>
      </c>
      <c r="G55" s="420">
        <v>1000</v>
      </c>
      <c r="H55" s="417" t="s">
        <v>2616</v>
      </c>
      <c r="I55" s="417" t="s">
        <v>28984</v>
      </c>
      <c r="J55" s="417"/>
      <c r="K55" s="419" t="s">
        <v>2621</v>
      </c>
      <c r="L55" s="417" t="s">
        <v>2622</v>
      </c>
      <c r="M55" s="417" t="s">
        <v>28422</v>
      </c>
    </row>
    <row r="56" spans="1:13" x14ac:dyDescent="0.25">
      <c r="A56" s="417" t="s">
        <v>2620</v>
      </c>
      <c r="B56" s="417" t="s">
        <v>2623</v>
      </c>
      <c r="C56" s="417" t="s">
        <v>663</v>
      </c>
      <c r="D56" s="417" t="s">
        <v>88</v>
      </c>
      <c r="E56" s="421">
        <v>0</v>
      </c>
      <c r="F56" s="421">
        <v>0</v>
      </c>
      <c r="G56" s="422">
        <v>0</v>
      </c>
      <c r="H56" s="417" t="s">
        <v>2616</v>
      </c>
      <c r="I56" s="417" t="s">
        <v>28997</v>
      </c>
      <c r="J56" s="417" t="s">
        <v>2624</v>
      </c>
      <c r="K56" s="417" t="s">
        <v>2625</v>
      </c>
      <c r="L56" s="417" t="s">
        <v>2626</v>
      </c>
      <c r="M56" s="417" t="s">
        <v>28422</v>
      </c>
    </row>
    <row r="57" spans="1:13" x14ac:dyDescent="0.25">
      <c r="A57" s="417" t="s">
        <v>2620</v>
      </c>
      <c r="B57" s="417" t="s">
        <v>2623</v>
      </c>
      <c r="C57" s="417" t="s">
        <v>29006</v>
      </c>
      <c r="D57" s="417" t="s">
        <v>88</v>
      </c>
      <c r="E57" s="421" cm="1">
        <f t="array" ref="E57">_xlfn.XLOOKUP("Treatment, sewage, to wastewater treatment, class 1 {CH}",BG_Data[[Product]:[Product]],BG_Data[GHG emissions (IPCC 2021) '[kg CO2 eq']])/1000</f>
        <v>2.7604365217968711E-4</v>
      </c>
      <c r="F57" s="421" cm="1">
        <f t="array" ref="F57">_xlfn.XLOOKUP("Treatment, sewage, to wastewater treatment, class 1 {CH}",BG_Data[[Product]:[Product]],BG_Data[Biogenic CO2 emissions '[kg CO2']])/1000</f>
        <v>2.3503992285289429E-4</v>
      </c>
      <c r="G57" s="421" cm="1">
        <f t="array" ref="G57">_xlfn.XLOOKUP("Treatment, sewage, to wastewater treatment, class 1 {CH}",BG_Data[[Product]:[Product]],BG_Data[Total env. impact (Ecological Scarcity 2021) '[UBP']])/1000</f>
        <v>2.5783368887634199</v>
      </c>
      <c r="H57" s="678" t="s">
        <v>2616</v>
      </c>
      <c r="I57" s="417" t="s">
        <v>28997</v>
      </c>
      <c r="J57" s="417"/>
      <c r="K57" s="417" t="s">
        <v>29007</v>
      </c>
      <c r="L57" s="417"/>
      <c r="M57" s="417" t="s">
        <v>29008</v>
      </c>
    </row>
    <row r="58" spans="1:13" x14ac:dyDescent="0.25">
      <c r="A58" s="417" t="s">
        <v>2620</v>
      </c>
      <c r="B58" s="417" t="s">
        <v>2627</v>
      </c>
      <c r="C58" s="417" t="s">
        <v>2040</v>
      </c>
      <c r="D58" s="417" t="s">
        <v>88</v>
      </c>
      <c r="E58" s="421">
        <v>4.9932831357339973</v>
      </c>
      <c r="F58" s="421">
        <v>0.18505355657142858</v>
      </c>
      <c r="G58" s="422">
        <v>12983.917517101174</v>
      </c>
      <c r="H58" s="417" t="s">
        <v>2616</v>
      </c>
      <c r="I58" s="417" t="s">
        <v>28985</v>
      </c>
      <c r="J58" s="417" t="s">
        <v>2628</v>
      </c>
      <c r="K58" s="417" t="s">
        <v>2629</v>
      </c>
      <c r="L58" s="417" t="s">
        <v>2630</v>
      </c>
      <c r="M58" s="417" t="s">
        <v>28422</v>
      </c>
    </row>
    <row r="59" spans="1:13" x14ac:dyDescent="0.25">
      <c r="A59" s="417" t="s">
        <v>2620</v>
      </c>
      <c r="B59" s="417" t="s">
        <v>2627</v>
      </c>
      <c r="C59" s="417" t="s">
        <v>2039</v>
      </c>
      <c r="D59" s="417" t="s">
        <v>88</v>
      </c>
      <c r="E59" s="421">
        <v>6.1890615019287205</v>
      </c>
      <c r="F59" s="421">
        <v>0.21148557514822897</v>
      </c>
      <c r="G59" s="422">
        <v>22838.735513401039</v>
      </c>
      <c r="H59" s="417" t="s">
        <v>2616</v>
      </c>
      <c r="I59" s="417" t="s">
        <v>28985</v>
      </c>
      <c r="J59" s="417" t="s">
        <v>2631</v>
      </c>
      <c r="K59" s="417" t="s">
        <v>2632</v>
      </c>
      <c r="L59" s="417" t="s">
        <v>2633</v>
      </c>
      <c r="M59" s="417" t="s">
        <v>28422</v>
      </c>
    </row>
    <row r="60" spans="1:13" x14ac:dyDescent="0.25">
      <c r="A60" s="417" t="s">
        <v>2620</v>
      </c>
      <c r="B60" s="417" t="s">
        <v>2437</v>
      </c>
      <c r="C60" s="417" t="s">
        <v>2037</v>
      </c>
      <c r="D60" s="417" t="s">
        <v>88</v>
      </c>
      <c r="E60" s="421">
        <v>2.6961856961187429</v>
      </c>
      <c r="F60" s="421">
        <v>7.9099682281965206E-2</v>
      </c>
      <c r="G60" s="422">
        <v>4853.0477307138499</v>
      </c>
      <c r="H60" s="417" t="s">
        <v>2616</v>
      </c>
      <c r="I60" s="417" t="s">
        <v>28985</v>
      </c>
      <c r="J60" s="417" t="s">
        <v>2634</v>
      </c>
      <c r="K60" s="417" t="s">
        <v>2635</v>
      </c>
      <c r="L60" s="417" t="s">
        <v>2636</v>
      </c>
      <c r="M60" s="417" t="s">
        <v>28422</v>
      </c>
    </row>
    <row r="61" spans="1:13" x14ac:dyDescent="0.25">
      <c r="A61" s="417" t="s">
        <v>2620</v>
      </c>
      <c r="B61" s="417" t="s">
        <v>2437</v>
      </c>
      <c r="C61" s="417" t="s">
        <v>2637</v>
      </c>
      <c r="D61" s="417" t="s">
        <v>563</v>
      </c>
      <c r="E61" s="421">
        <v>147.59642947530961</v>
      </c>
      <c r="F61" s="421">
        <v>4.3239167336098658</v>
      </c>
      <c r="G61" s="422">
        <v>332002.43860423821</v>
      </c>
      <c r="H61" s="417" t="s">
        <v>2616</v>
      </c>
      <c r="I61" s="417" t="s">
        <v>28985</v>
      </c>
      <c r="J61" s="417" t="s">
        <v>2638</v>
      </c>
      <c r="K61" s="417" t="s">
        <v>2639</v>
      </c>
      <c r="L61" s="417" t="s">
        <v>2640</v>
      </c>
      <c r="M61" s="417" t="s">
        <v>28422</v>
      </c>
    </row>
    <row r="62" spans="1:13" x14ac:dyDescent="0.25">
      <c r="A62" s="417" t="s">
        <v>2620</v>
      </c>
      <c r="B62" s="417" t="s">
        <v>2437</v>
      </c>
      <c r="C62" s="417" t="s">
        <v>2641</v>
      </c>
      <c r="D62" s="417" t="s">
        <v>2642</v>
      </c>
      <c r="E62" s="418">
        <v>655.78007018756739</v>
      </c>
      <c r="F62" s="418">
        <v>34.567875543359726</v>
      </c>
      <c r="G62" s="420">
        <v>1154190.3792501162</v>
      </c>
      <c r="H62" s="417" t="s">
        <v>2616</v>
      </c>
      <c r="I62" s="417" t="s">
        <v>28986</v>
      </c>
      <c r="J62" s="417" t="s">
        <v>2643</v>
      </c>
      <c r="K62" s="417" t="s">
        <v>2644</v>
      </c>
      <c r="L62" s="417" t="s">
        <v>2645</v>
      </c>
      <c r="M62" s="417" t="s">
        <v>28422</v>
      </c>
    </row>
    <row r="63" spans="1:13" x14ac:dyDescent="0.25">
      <c r="A63" s="417" t="s">
        <v>28838</v>
      </c>
      <c r="B63" s="417" t="s">
        <v>28814</v>
      </c>
      <c r="C63" s="417" t="s">
        <v>278</v>
      </c>
      <c r="D63" s="417" t="s">
        <v>88</v>
      </c>
      <c r="E63" s="418">
        <v>1</v>
      </c>
      <c r="F63" s="418">
        <v>0</v>
      </c>
      <c r="G63" s="420">
        <v>1000</v>
      </c>
      <c r="H63" s="417" t="s">
        <v>2646</v>
      </c>
      <c r="I63" s="417" t="s">
        <v>28987</v>
      </c>
      <c r="J63" s="417"/>
      <c r="K63" s="417" t="s">
        <v>277</v>
      </c>
      <c r="L63" s="417"/>
      <c r="M63" s="417" t="s">
        <v>28422</v>
      </c>
    </row>
    <row r="64" spans="1:13" x14ac:dyDescent="0.25">
      <c r="A64" s="417" t="s">
        <v>28838</v>
      </c>
      <c r="B64" s="417" t="s">
        <v>28814</v>
      </c>
      <c r="C64" s="417" t="s">
        <v>280</v>
      </c>
      <c r="D64" s="417" t="s">
        <v>88</v>
      </c>
      <c r="E64" s="418">
        <v>28</v>
      </c>
      <c r="F64" s="418">
        <v>0</v>
      </c>
      <c r="G64" s="420">
        <v>28000</v>
      </c>
      <c r="H64" s="417" t="s">
        <v>2646</v>
      </c>
      <c r="I64" s="417" t="s">
        <v>28987</v>
      </c>
      <c r="J64" s="417"/>
      <c r="K64" s="417" t="s">
        <v>279</v>
      </c>
      <c r="L64" s="417"/>
      <c r="M64" s="417" t="s">
        <v>28422</v>
      </c>
    </row>
    <row r="65" spans="1:13" x14ac:dyDescent="0.25">
      <c r="A65" s="417" t="s">
        <v>28838</v>
      </c>
      <c r="B65" s="417" t="s">
        <v>28814</v>
      </c>
      <c r="C65" s="417" t="s">
        <v>282</v>
      </c>
      <c r="D65" s="417" t="s">
        <v>88</v>
      </c>
      <c r="E65" s="418">
        <v>30</v>
      </c>
      <c r="F65" s="418">
        <v>0</v>
      </c>
      <c r="G65" s="420">
        <v>30000</v>
      </c>
      <c r="H65" s="417" t="s">
        <v>2646</v>
      </c>
      <c r="I65" s="417" t="s">
        <v>28987</v>
      </c>
      <c r="J65" s="417"/>
      <c r="K65" s="417" t="s">
        <v>281</v>
      </c>
      <c r="L65" s="417"/>
      <c r="M65" s="417" t="s">
        <v>28422</v>
      </c>
    </row>
    <row r="66" spans="1:13" x14ac:dyDescent="0.25">
      <c r="A66" s="417" t="s">
        <v>28838</v>
      </c>
      <c r="B66" s="417" t="s">
        <v>28814</v>
      </c>
      <c r="C66" s="417" t="s">
        <v>284</v>
      </c>
      <c r="D66" s="417" t="s">
        <v>88</v>
      </c>
      <c r="E66" s="418">
        <v>265</v>
      </c>
      <c r="F66" s="418">
        <v>0</v>
      </c>
      <c r="G66" s="420">
        <v>265000</v>
      </c>
      <c r="H66" s="417" t="s">
        <v>2646</v>
      </c>
      <c r="I66" s="417" t="s">
        <v>28987</v>
      </c>
      <c r="J66" s="417"/>
      <c r="K66" s="417" t="s">
        <v>283</v>
      </c>
      <c r="L66" s="417"/>
      <c r="M66" s="417" t="s">
        <v>28422</v>
      </c>
    </row>
    <row r="67" spans="1:13" x14ac:dyDescent="0.25">
      <c r="A67" s="417" t="s">
        <v>28838</v>
      </c>
      <c r="B67" s="417" t="s">
        <v>28814</v>
      </c>
      <c r="C67" s="417" t="s">
        <v>286</v>
      </c>
      <c r="D67" s="417" t="s">
        <v>88</v>
      </c>
      <c r="E67" s="418">
        <v>16100</v>
      </c>
      <c r="F67" s="418">
        <v>0</v>
      </c>
      <c r="G67" s="420">
        <v>16100000</v>
      </c>
      <c r="H67" s="417" t="s">
        <v>2646</v>
      </c>
      <c r="I67" s="417" t="s">
        <v>28987</v>
      </c>
      <c r="J67" s="417"/>
      <c r="K67" s="417" t="s">
        <v>285</v>
      </c>
      <c r="L67" s="417"/>
      <c r="M67" s="417" t="s">
        <v>28422</v>
      </c>
    </row>
    <row r="68" spans="1:13" x14ac:dyDescent="0.25">
      <c r="A68" s="417" t="s">
        <v>28838</v>
      </c>
      <c r="B68" s="417" t="s">
        <v>28814</v>
      </c>
      <c r="C68" s="417" t="s">
        <v>288</v>
      </c>
      <c r="D68" s="417" t="s">
        <v>88</v>
      </c>
      <c r="E68" s="418">
        <v>23500</v>
      </c>
      <c r="F68" s="418">
        <v>0</v>
      </c>
      <c r="G68" s="420">
        <v>23500000</v>
      </c>
      <c r="H68" s="417" t="s">
        <v>2646</v>
      </c>
      <c r="I68" s="417" t="s">
        <v>28987</v>
      </c>
      <c r="J68" s="417"/>
      <c r="K68" s="417" t="s">
        <v>287</v>
      </c>
      <c r="L68" s="417"/>
      <c r="M68" s="417" t="s">
        <v>28422</v>
      </c>
    </row>
    <row r="69" spans="1:13" x14ac:dyDescent="0.25">
      <c r="A69" s="417" t="s">
        <v>28838</v>
      </c>
      <c r="B69" s="417" t="s">
        <v>28814</v>
      </c>
      <c r="C69" s="417" t="s">
        <v>291</v>
      </c>
      <c r="D69" s="417" t="s">
        <v>88</v>
      </c>
      <c r="E69" s="418">
        <v>12400</v>
      </c>
      <c r="F69" s="418">
        <v>0</v>
      </c>
      <c r="G69" s="420">
        <v>12400000</v>
      </c>
      <c r="H69" s="417" t="s">
        <v>2646</v>
      </c>
      <c r="I69" s="417" t="s">
        <v>28987</v>
      </c>
      <c r="J69" s="417"/>
      <c r="K69" s="417" t="s">
        <v>289</v>
      </c>
      <c r="L69" s="417"/>
      <c r="M69" s="417" t="s">
        <v>28422</v>
      </c>
    </row>
    <row r="70" spans="1:13" x14ac:dyDescent="0.25">
      <c r="A70" s="417" t="s">
        <v>28838</v>
      </c>
      <c r="B70" s="417" t="s">
        <v>28814</v>
      </c>
      <c r="C70" s="417" t="s">
        <v>294</v>
      </c>
      <c r="D70" s="417" t="s">
        <v>88</v>
      </c>
      <c r="E70" s="418">
        <v>677</v>
      </c>
      <c r="F70" s="418">
        <v>0</v>
      </c>
      <c r="G70" s="420">
        <v>677000</v>
      </c>
      <c r="H70" s="417" t="s">
        <v>2646</v>
      </c>
      <c r="I70" s="417" t="s">
        <v>28987</v>
      </c>
      <c r="J70" s="417"/>
      <c r="K70" s="417" t="s">
        <v>292</v>
      </c>
      <c r="L70" s="417"/>
      <c r="M70" s="417" t="s">
        <v>28422</v>
      </c>
    </row>
    <row r="71" spans="1:13" x14ac:dyDescent="0.25">
      <c r="A71" s="417" t="s">
        <v>28838</v>
      </c>
      <c r="B71" s="417" t="s">
        <v>28814</v>
      </c>
      <c r="C71" s="417" t="s">
        <v>297</v>
      </c>
      <c r="D71" s="417" t="s">
        <v>88</v>
      </c>
      <c r="E71" s="418">
        <v>116</v>
      </c>
      <c r="F71" s="418">
        <v>0</v>
      </c>
      <c r="G71" s="420">
        <v>116000</v>
      </c>
      <c r="H71" s="417" t="s">
        <v>2646</v>
      </c>
      <c r="I71" s="417" t="s">
        <v>28987</v>
      </c>
      <c r="J71" s="417"/>
      <c r="K71" s="417" t="s">
        <v>295</v>
      </c>
      <c r="L71" s="417"/>
      <c r="M71" s="417" t="s">
        <v>28422</v>
      </c>
    </row>
    <row r="72" spans="1:13" x14ac:dyDescent="0.25">
      <c r="A72" s="417" t="s">
        <v>28838</v>
      </c>
      <c r="B72" s="417" t="s">
        <v>28814</v>
      </c>
      <c r="C72" s="417" t="s">
        <v>301</v>
      </c>
      <c r="D72" s="417" t="s">
        <v>88</v>
      </c>
      <c r="E72" s="418">
        <v>1650</v>
      </c>
      <c r="F72" s="418">
        <v>0</v>
      </c>
      <c r="G72" s="420">
        <v>1650000</v>
      </c>
      <c r="H72" s="417" t="s">
        <v>2646</v>
      </c>
      <c r="I72" s="417" t="s">
        <v>28987</v>
      </c>
      <c r="J72" s="417"/>
      <c r="K72" s="417" t="s">
        <v>298</v>
      </c>
      <c r="L72" s="417"/>
      <c r="M72" s="417" t="s">
        <v>28422</v>
      </c>
    </row>
    <row r="73" spans="1:13" x14ac:dyDescent="0.25">
      <c r="A73" s="417" t="s">
        <v>28838</v>
      </c>
      <c r="B73" s="417" t="s">
        <v>28814</v>
      </c>
      <c r="C73" s="417" t="s">
        <v>304</v>
      </c>
      <c r="D73" s="417" t="s">
        <v>88</v>
      </c>
      <c r="E73" s="418">
        <v>3170</v>
      </c>
      <c r="F73" s="418">
        <v>0</v>
      </c>
      <c r="G73" s="420">
        <v>3170000</v>
      </c>
      <c r="H73" s="417" t="s">
        <v>2646</v>
      </c>
      <c r="I73" s="417" t="s">
        <v>28987</v>
      </c>
      <c r="J73" s="417"/>
      <c r="K73" s="417" t="s">
        <v>302</v>
      </c>
      <c r="L73" s="417"/>
      <c r="M73" s="417" t="s">
        <v>28422</v>
      </c>
    </row>
    <row r="74" spans="1:13" x14ac:dyDescent="0.25">
      <c r="A74" s="417" t="s">
        <v>28838</v>
      </c>
      <c r="B74" s="417" t="s">
        <v>28814</v>
      </c>
      <c r="C74" s="417" t="s">
        <v>307</v>
      </c>
      <c r="D74" s="417" t="s">
        <v>88</v>
      </c>
      <c r="E74" s="418">
        <v>1120</v>
      </c>
      <c r="F74" s="418">
        <v>0</v>
      </c>
      <c r="G74" s="420">
        <v>1120000</v>
      </c>
      <c r="H74" s="417" t="s">
        <v>2646</v>
      </c>
      <c r="I74" s="417" t="s">
        <v>28987</v>
      </c>
      <c r="J74" s="417"/>
      <c r="K74" s="417" t="s">
        <v>305</v>
      </c>
      <c r="L74" s="417"/>
      <c r="M74" s="417" t="s">
        <v>28422</v>
      </c>
    </row>
    <row r="75" spans="1:13" x14ac:dyDescent="0.25">
      <c r="A75" s="417" t="s">
        <v>28838</v>
      </c>
      <c r="B75" s="417" t="s">
        <v>28814</v>
      </c>
      <c r="C75" s="417" t="s">
        <v>310</v>
      </c>
      <c r="D75" s="417" t="s">
        <v>88</v>
      </c>
      <c r="E75" s="418">
        <v>1300</v>
      </c>
      <c r="F75" s="418">
        <v>0</v>
      </c>
      <c r="G75" s="420">
        <v>1300000</v>
      </c>
      <c r="H75" s="417" t="s">
        <v>2646</v>
      </c>
      <c r="I75" s="417" t="s">
        <v>28987</v>
      </c>
      <c r="J75" s="417"/>
      <c r="K75" s="417" t="s">
        <v>308</v>
      </c>
      <c r="L75" s="417"/>
      <c r="M75" s="417" t="s">
        <v>28422</v>
      </c>
    </row>
    <row r="76" spans="1:13" x14ac:dyDescent="0.25">
      <c r="A76" s="417" t="s">
        <v>28838</v>
      </c>
      <c r="B76" s="417" t="s">
        <v>28814</v>
      </c>
      <c r="C76" s="417" t="s">
        <v>313</v>
      </c>
      <c r="D76" s="417" t="s">
        <v>88</v>
      </c>
      <c r="E76" s="418">
        <v>328</v>
      </c>
      <c r="F76" s="418">
        <v>0</v>
      </c>
      <c r="G76" s="420">
        <v>328000</v>
      </c>
      <c r="H76" s="417" t="s">
        <v>2646</v>
      </c>
      <c r="I76" s="417" t="s">
        <v>28987</v>
      </c>
      <c r="J76" s="417"/>
      <c r="K76" s="417" t="s">
        <v>311</v>
      </c>
      <c r="L76" s="417"/>
      <c r="M76" s="417" t="s">
        <v>28422</v>
      </c>
    </row>
    <row r="77" spans="1:13" x14ac:dyDescent="0.25">
      <c r="A77" s="417" t="s">
        <v>28838</v>
      </c>
      <c r="B77" s="417" t="s">
        <v>28814</v>
      </c>
      <c r="C77" s="417" t="s">
        <v>317</v>
      </c>
      <c r="D77" s="417" t="s">
        <v>88</v>
      </c>
      <c r="E77" s="418">
        <v>4800</v>
      </c>
      <c r="F77" s="418">
        <v>0</v>
      </c>
      <c r="G77" s="420">
        <v>4800000</v>
      </c>
      <c r="H77" s="417" t="s">
        <v>2646</v>
      </c>
      <c r="I77" s="417" t="s">
        <v>28987</v>
      </c>
      <c r="J77" s="417"/>
      <c r="K77" s="417" t="s">
        <v>314</v>
      </c>
      <c r="L77" s="417"/>
      <c r="M77" s="417" t="s">
        <v>28422</v>
      </c>
    </row>
    <row r="78" spans="1:13" x14ac:dyDescent="0.25">
      <c r="A78" s="417" t="s">
        <v>28838</v>
      </c>
      <c r="B78" s="417" t="s">
        <v>28814</v>
      </c>
      <c r="C78" s="417" t="s">
        <v>320</v>
      </c>
      <c r="D78" s="417" t="s">
        <v>88</v>
      </c>
      <c r="E78" s="418">
        <v>16</v>
      </c>
      <c r="F78" s="418">
        <v>0</v>
      </c>
      <c r="G78" s="420">
        <v>16000</v>
      </c>
      <c r="H78" s="417" t="s">
        <v>2646</v>
      </c>
      <c r="I78" s="417" t="s">
        <v>28987</v>
      </c>
      <c r="J78" s="417"/>
      <c r="K78" s="417" t="s">
        <v>318</v>
      </c>
      <c r="L78" s="417"/>
      <c r="M78" s="417" t="s">
        <v>28422</v>
      </c>
    </row>
    <row r="79" spans="1:13" x14ac:dyDescent="0.25">
      <c r="A79" s="417" t="s">
        <v>28838</v>
      </c>
      <c r="B79" s="417" t="s">
        <v>28814</v>
      </c>
      <c r="C79" s="417" t="s">
        <v>323</v>
      </c>
      <c r="D79" s="417" t="s">
        <v>88</v>
      </c>
      <c r="E79" s="418">
        <v>138</v>
      </c>
      <c r="F79" s="418">
        <v>0</v>
      </c>
      <c r="G79" s="420">
        <v>138000</v>
      </c>
      <c r="H79" s="417" t="s">
        <v>2646</v>
      </c>
      <c r="I79" s="417" t="s">
        <v>28987</v>
      </c>
      <c r="J79" s="417"/>
      <c r="K79" s="417" t="s">
        <v>321</v>
      </c>
      <c r="L79" s="417"/>
      <c r="M79" s="417" t="s">
        <v>28422</v>
      </c>
    </row>
    <row r="80" spans="1:13" x14ac:dyDescent="0.25">
      <c r="A80" s="417" t="s">
        <v>28838</v>
      </c>
      <c r="B80" s="417" t="s">
        <v>28814</v>
      </c>
      <c r="C80" s="417" t="s">
        <v>325</v>
      </c>
      <c r="D80" s="417" t="s">
        <v>88</v>
      </c>
      <c r="E80" s="418">
        <v>4</v>
      </c>
      <c r="F80" s="418">
        <v>0</v>
      </c>
      <c r="G80" s="420">
        <v>4000</v>
      </c>
      <c r="H80" s="417" t="s">
        <v>2646</v>
      </c>
      <c r="I80" s="417" t="s">
        <v>28987</v>
      </c>
      <c r="J80" s="417"/>
      <c r="K80" s="417" t="s">
        <v>324</v>
      </c>
      <c r="L80" s="417"/>
      <c r="M80" s="417" t="s">
        <v>28422</v>
      </c>
    </row>
    <row r="81" spans="1:13" x14ac:dyDescent="0.25">
      <c r="A81" s="417" t="s">
        <v>28838</v>
      </c>
      <c r="B81" s="417" t="s">
        <v>28814</v>
      </c>
      <c r="C81" s="417" t="s">
        <v>328</v>
      </c>
      <c r="D81" s="417" t="s">
        <v>88</v>
      </c>
      <c r="E81" s="418">
        <v>2640</v>
      </c>
      <c r="F81" s="418">
        <v>0</v>
      </c>
      <c r="G81" s="420">
        <v>2640000</v>
      </c>
      <c r="H81" s="417" t="s">
        <v>2646</v>
      </c>
      <c r="I81" s="417" t="s">
        <v>28987</v>
      </c>
      <c r="J81" s="417"/>
      <c r="K81" s="417" t="s">
        <v>326</v>
      </c>
      <c r="L81" s="417"/>
      <c r="M81" s="417" t="s">
        <v>28422</v>
      </c>
    </row>
    <row r="82" spans="1:13" x14ac:dyDescent="0.25">
      <c r="A82" s="417" t="s">
        <v>28838</v>
      </c>
      <c r="B82" s="417" t="s">
        <v>28814</v>
      </c>
      <c r="C82" s="417" t="s">
        <v>332</v>
      </c>
      <c r="D82" s="417" t="s">
        <v>88</v>
      </c>
      <c r="E82" s="418">
        <v>3350</v>
      </c>
      <c r="F82" s="418">
        <v>0</v>
      </c>
      <c r="G82" s="420">
        <v>3350000</v>
      </c>
      <c r="H82" s="417" t="s">
        <v>2646</v>
      </c>
      <c r="I82" s="417" t="s">
        <v>28987</v>
      </c>
      <c r="J82" s="417"/>
      <c r="K82" s="417" t="s">
        <v>329</v>
      </c>
      <c r="L82" s="417"/>
      <c r="M82" s="417" t="s">
        <v>28422</v>
      </c>
    </row>
    <row r="83" spans="1:13" x14ac:dyDescent="0.25">
      <c r="A83" s="417" t="s">
        <v>28838</v>
      </c>
      <c r="B83" s="417" t="s">
        <v>28814</v>
      </c>
      <c r="C83" s="417" t="s">
        <v>335</v>
      </c>
      <c r="D83" s="417" t="s">
        <v>88</v>
      </c>
      <c r="E83" s="418">
        <v>1210</v>
      </c>
      <c r="F83" s="418">
        <v>0</v>
      </c>
      <c r="G83" s="420">
        <v>1210000</v>
      </c>
      <c r="H83" s="417" t="s">
        <v>2646</v>
      </c>
      <c r="I83" s="417" t="s">
        <v>28987</v>
      </c>
      <c r="J83" s="417"/>
      <c r="K83" s="417" t="s">
        <v>333</v>
      </c>
      <c r="L83" s="417"/>
      <c r="M83" s="417" t="s">
        <v>28422</v>
      </c>
    </row>
    <row r="84" spans="1:13" x14ac:dyDescent="0.25">
      <c r="A84" s="417" t="s">
        <v>28838</v>
      </c>
      <c r="B84" s="417" t="s">
        <v>28814</v>
      </c>
      <c r="C84" s="417" t="s">
        <v>338</v>
      </c>
      <c r="D84" s="417" t="s">
        <v>88</v>
      </c>
      <c r="E84" s="418">
        <v>1330</v>
      </c>
      <c r="F84" s="418">
        <v>0</v>
      </c>
      <c r="G84" s="420">
        <v>1330000</v>
      </c>
      <c r="H84" s="417" t="s">
        <v>2646</v>
      </c>
      <c r="I84" s="417" t="s">
        <v>28987</v>
      </c>
      <c r="J84" s="417"/>
      <c r="K84" s="417" t="s">
        <v>336</v>
      </c>
      <c r="L84" s="417"/>
      <c r="M84" s="417" t="s">
        <v>28422</v>
      </c>
    </row>
    <row r="85" spans="1:13" x14ac:dyDescent="0.25">
      <c r="A85" s="417" t="s">
        <v>28838</v>
      </c>
      <c r="B85" s="417" t="s">
        <v>28814</v>
      </c>
      <c r="C85" s="417" t="s">
        <v>341</v>
      </c>
      <c r="D85" s="417" t="s">
        <v>88</v>
      </c>
      <c r="E85" s="418">
        <v>8060</v>
      </c>
      <c r="F85" s="418">
        <v>0</v>
      </c>
      <c r="G85" s="420">
        <v>8060000</v>
      </c>
      <c r="H85" s="417" t="s">
        <v>2646</v>
      </c>
      <c r="I85" s="417" t="s">
        <v>28987</v>
      </c>
      <c r="J85" s="417"/>
      <c r="K85" s="417" t="s">
        <v>339</v>
      </c>
      <c r="L85" s="417"/>
      <c r="M85" s="417" t="s">
        <v>28422</v>
      </c>
    </row>
    <row r="86" spans="1:13" x14ac:dyDescent="0.25">
      <c r="A86" s="417" t="s">
        <v>28838</v>
      </c>
      <c r="B86" s="417" t="s">
        <v>28814</v>
      </c>
      <c r="C86" s="417" t="s">
        <v>344</v>
      </c>
      <c r="D86" s="417" t="s">
        <v>88</v>
      </c>
      <c r="E86" s="418">
        <v>716</v>
      </c>
      <c r="F86" s="418">
        <v>0</v>
      </c>
      <c r="G86" s="420">
        <v>716000</v>
      </c>
      <c r="H86" s="417" t="s">
        <v>2646</v>
      </c>
      <c r="I86" s="417" t="s">
        <v>28987</v>
      </c>
      <c r="J86" s="417"/>
      <c r="K86" s="417" t="s">
        <v>342</v>
      </c>
      <c r="L86" s="417"/>
      <c r="M86" s="417" t="s">
        <v>28422</v>
      </c>
    </row>
    <row r="87" spans="1:13" x14ac:dyDescent="0.25">
      <c r="A87" s="417" t="s">
        <v>28838</v>
      </c>
      <c r="B87" s="417" t="s">
        <v>28814</v>
      </c>
      <c r="C87" s="417" t="s">
        <v>347</v>
      </c>
      <c r="D87" s="417" t="s">
        <v>88</v>
      </c>
      <c r="E87" s="418">
        <v>4620</v>
      </c>
      <c r="F87" s="418">
        <v>0</v>
      </c>
      <c r="G87" s="420">
        <v>4620000</v>
      </c>
      <c r="H87" s="417" t="s">
        <v>2646</v>
      </c>
      <c r="I87" s="417" t="s">
        <v>28987</v>
      </c>
      <c r="J87" s="417"/>
      <c r="K87" s="417" t="s">
        <v>345</v>
      </c>
      <c r="L87" s="417"/>
      <c r="M87" s="417" t="s">
        <v>28422</v>
      </c>
    </row>
    <row r="88" spans="1:13" x14ac:dyDescent="0.25">
      <c r="A88" s="417" t="s">
        <v>28838</v>
      </c>
      <c r="B88" s="417" t="s">
        <v>28814</v>
      </c>
      <c r="C88" s="417" t="s">
        <v>351</v>
      </c>
      <c r="D88" s="417" t="s">
        <v>88</v>
      </c>
      <c r="E88" s="418">
        <v>235</v>
      </c>
      <c r="F88" s="418">
        <v>0</v>
      </c>
      <c r="G88" s="420">
        <v>235000</v>
      </c>
      <c r="H88" s="417" t="s">
        <v>2646</v>
      </c>
      <c r="I88" s="417" t="s">
        <v>28987</v>
      </c>
      <c r="J88" s="417"/>
      <c r="K88" s="417" t="s">
        <v>348</v>
      </c>
      <c r="L88" s="417"/>
      <c r="M88" s="417" t="s">
        <v>28422</v>
      </c>
    </row>
    <row r="89" spans="1:13" x14ac:dyDescent="0.25">
      <c r="A89" s="417" t="s">
        <v>28838</v>
      </c>
      <c r="B89" s="417" t="s">
        <v>28814</v>
      </c>
      <c r="C89" s="417" t="s">
        <v>354</v>
      </c>
      <c r="D89" s="417" t="s">
        <v>88</v>
      </c>
      <c r="E89" s="418">
        <v>290</v>
      </c>
      <c r="F89" s="418">
        <v>0</v>
      </c>
      <c r="G89" s="420">
        <v>290000</v>
      </c>
      <c r="H89" s="417" t="s">
        <v>2646</v>
      </c>
      <c r="I89" s="417" t="s">
        <v>28987</v>
      </c>
      <c r="J89" s="417"/>
      <c r="K89" s="417" t="s">
        <v>352</v>
      </c>
      <c r="L89" s="417"/>
      <c r="M89" s="417" t="s">
        <v>28422</v>
      </c>
    </row>
    <row r="90" spans="1:13" x14ac:dyDescent="0.25">
      <c r="A90" s="417" t="s">
        <v>28838</v>
      </c>
      <c r="B90" s="417" t="s">
        <v>28814</v>
      </c>
      <c r="C90" s="417" t="s">
        <v>357</v>
      </c>
      <c r="D90" s="417" t="s">
        <v>88</v>
      </c>
      <c r="E90" s="418">
        <v>858</v>
      </c>
      <c r="F90" s="418">
        <v>0</v>
      </c>
      <c r="G90" s="420">
        <v>858000</v>
      </c>
      <c r="H90" s="417" t="s">
        <v>2646</v>
      </c>
      <c r="I90" s="417" t="s">
        <v>28987</v>
      </c>
      <c r="J90" s="417"/>
      <c r="K90" s="417" t="s">
        <v>355</v>
      </c>
      <c r="L90" s="417"/>
      <c r="M90" s="417" t="s">
        <v>28422</v>
      </c>
    </row>
    <row r="91" spans="1:13" x14ac:dyDescent="0.25">
      <c r="A91" s="417" t="s">
        <v>28838</v>
      </c>
      <c r="B91" s="417" t="s">
        <v>28814</v>
      </c>
      <c r="C91" s="417" t="s">
        <v>360</v>
      </c>
      <c r="D91" s="417" t="s">
        <v>88</v>
      </c>
      <c r="E91" s="418">
        <v>76</v>
      </c>
      <c r="F91" s="418">
        <v>0</v>
      </c>
      <c r="G91" s="420">
        <v>76000</v>
      </c>
      <c r="H91" s="417" t="s">
        <v>2646</v>
      </c>
      <c r="I91" s="417" t="s">
        <v>28987</v>
      </c>
      <c r="J91" s="417"/>
      <c r="K91" s="417" t="s">
        <v>358</v>
      </c>
      <c r="L91" s="417"/>
      <c r="M91" s="417" t="s">
        <v>28422</v>
      </c>
    </row>
    <row r="92" spans="1:13" x14ac:dyDescent="0.25">
      <c r="A92" s="417" t="s">
        <v>28838</v>
      </c>
      <c r="B92" s="417" t="s">
        <v>28814</v>
      </c>
      <c r="C92" s="417" t="s">
        <v>364</v>
      </c>
      <c r="D92" s="417" t="s">
        <v>88</v>
      </c>
      <c r="E92" s="418">
        <v>144</v>
      </c>
      <c r="F92" s="418">
        <v>0</v>
      </c>
      <c r="G92" s="420">
        <v>144000</v>
      </c>
      <c r="H92" s="417" t="s">
        <v>2646</v>
      </c>
      <c r="I92" s="417" t="s">
        <v>28987</v>
      </c>
      <c r="J92" s="417"/>
      <c r="K92" s="417" t="s">
        <v>361</v>
      </c>
      <c r="L92" s="417"/>
      <c r="M92" s="417" t="s">
        <v>28422</v>
      </c>
    </row>
    <row r="93" spans="1:13" x14ac:dyDescent="0.25">
      <c r="A93" s="417" t="s">
        <v>28838</v>
      </c>
      <c r="B93" s="417" t="s">
        <v>28814</v>
      </c>
      <c r="C93" s="417" t="s">
        <v>367</v>
      </c>
      <c r="D93" s="417" t="s">
        <v>88</v>
      </c>
      <c r="E93" s="418">
        <v>2360</v>
      </c>
      <c r="F93" s="418">
        <v>0</v>
      </c>
      <c r="G93" s="420">
        <v>2360000</v>
      </c>
      <c r="H93" s="417" t="s">
        <v>2646</v>
      </c>
      <c r="I93" s="417" t="s">
        <v>28987</v>
      </c>
      <c r="J93" s="417"/>
      <c r="K93" s="417" t="s">
        <v>365</v>
      </c>
      <c r="L93" s="417"/>
      <c r="M93" s="417" t="s">
        <v>28422</v>
      </c>
    </row>
    <row r="94" spans="1:13" x14ac:dyDescent="0.25">
      <c r="A94" s="417" t="s">
        <v>28838</v>
      </c>
      <c r="B94" s="417" t="s">
        <v>28814</v>
      </c>
      <c r="C94" s="417" t="s">
        <v>369</v>
      </c>
      <c r="D94" s="417" t="s">
        <v>88</v>
      </c>
      <c r="E94" s="418">
        <v>804</v>
      </c>
      <c r="F94" s="418">
        <v>0</v>
      </c>
      <c r="G94" s="420">
        <v>804000</v>
      </c>
      <c r="H94" s="417" t="s">
        <v>2646</v>
      </c>
      <c r="I94" s="417" t="s">
        <v>28987</v>
      </c>
      <c r="J94" s="417"/>
      <c r="K94" s="417" t="s">
        <v>368</v>
      </c>
      <c r="L94" s="417"/>
      <c r="M94" s="417" t="s">
        <v>28422</v>
      </c>
    </row>
    <row r="95" spans="1:13" x14ac:dyDescent="0.25">
      <c r="A95" s="417" t="s">
        <v>28838</v>
      </c>
      <c r="B95" s="417" t="s">
        <v>28814</v>
      </c>
      <c r="C95" s="417" t="s">
        <v>371</v>
      </c>
      <c r="D95" s="417" t="s">
        <v>88</v>
      </c>
      <c r="E95" s="418">
        <v>6630</v>
      </c>
      <c r="F95" s="418">
        <v>0</v>
      </c>
      <c r="G95" s="420">
        <v>6630000</v>
      </c>
      <c r="H95" s="417" t="s">
        <v>2646</v>
      </c>
      <c r="I95" s="417" t="s">
        <v>28987</v>
      </c>
      <c r="J95" s="417"/>
      <c r="K95" s="417" t="s">
        <v>370</v>
      </c>
      <c r="L95" s="417"/>
      <c r="M95" s="417" t="s">
        <v>28422</v>
      </c>
    </row>
    <row r="96" spans="1:13" x14ac:dyDescent="0.25">
      <c r="A96" s="417" t="s">
        <v>28838</v>
      </c>
      <c r="B96" s="417" t="s">
        <v>28814</v>
      </c>
      <c r="C96" s="417" t="s">
        <v>373</v>
      </c>
      <c r="D96" s="417" t="s">
        <v>88</v>
      </c>
      <c r="E96" s="418">
        <v>11100</v>
      </c>
      <c r="F96" s="418">
        <v>0</v>
      </c>
      <c r="G96" s="420">
        <v>11100000</v>
      </c>
      <c r="H96" s="417" t="s">
        <v>2646</v>
      </c>
      <c r="I96" s="417" t="s">
        <v>28987</v>
      </c>
      <c r="J96" s="417"/>
      <c r="K96" s="417" t="s">
        <v>372</v>
      </c>
      <c r="L96" s="417"/>
      <c r="M96" s="417" t="s">
        <v>28422</v>
      </c>
    </row>
    <row r="97" spans="1:13" x14ac:dyDescent="0.25">
      <c r="A97" s="417" t="s">
        <v>28838</v>
      </c>
      <c r="B97" s="417" t="s">
        <v>28814</v>
      </c>
      <c r="C97" s="417" t="s">
        <v>375</v>
      </c>
      <c r="D97" s="417" t="s">
        <v>88</v>
      </c>
      <c r="E97" s="418">
        <v>8900</v>
      </c>
      <c r="F97" s="418">
        <v>0</v>
      </c>
      <c r="G97" s="420">
        <v>8900000</v>
      </c>
      <c r="H97" s="417" t="s">
        <v>2646</v>
      </c>
      <c r="I97" s="417" t="s">
        <v>28987</v>
      </c>
      <c r="J97" s="417"/>
      <c r="K97" s="417" t="s">
        <v>374</v>
      </c>
      <c r="L97" s="417"/>
      <c r="M97" s="417" t="s">
        <v>28422</v>
      </c>
    </row>
    <row r="98" spans="1:13" x14ac:dyDescent="0.25">
      <c r="A98" s="417" t="s">
        <v>28838</v>
      </c>
      <c r="B98" s="417" t="s">
        <v>28814</v>
      </c>
      <c r="C98" s="417" t="s">
        <v>377</v>
      </c>
      <c r="D98" s="417" t="s">
        <v>88</v>
      </c>
      <c r="E98" s="418">
        <v>9540</v>
      </c>
      <c r="F98" s="418">
        <v>0</v>
      </c>
      <c r="G98" s="420">
        <v>9540000</v>
      </c>
      <c r="H98" s="417" t="s">
        <v>2646</v>
      </c>
      <c r="I98" s="417" t="s">
        <v>28987</v>
      </c>
      <c r="J98" s="417"/>
      <c r="K98" s="417" t="s">
        <v>376</v>
      </c>
      <c r="L98" s="417"/>
      <c r="M98" s="417" t="s">
        <v>28422</v>
      </c>
    </row>
    <row r="99" spans="1:13" x14ac:dyDescent="0.25">
      <c r="A99" s="417" t="s">
        <v>28838</v>
      </c>
      <c r="B99" s="417" t="s">
        <v>28814</v>
      </c>
      <c r="C99" s="417" t="s">
        <v>379</v>
      </c>
      <c r="D99" s="417" t="s">
        <v>88</v>
      </c>
      <c r="E99" s="418">
        <v>9200</v>
      </c>
      <c r="F99" s="418">
        <v>0</v>
      </c>
      <c r="G99" s="420">
        <v>9200000</v>
      </c>
      <c r="H99" s="417" t="s">
        <v>2646</v>
      </c>
      <c r="I99" s="417" t="s">
        <v>28987</v>
      </c>
      <c r="J99" s="417"/>
      <c r="K99" s="417" t="s">
        <v>378</v>
      </c>
      <c r="L99" s="417"/>
      <c r="M99" s="417" t="s">
        <v>28422</v>
      </c>
    </row>
    <row r="100" spans="1:13" x14ac:dyDescent="0.25">
      <c r="A100" s="417" t="s">
        <v>28838</v>
      </c>
      <c r="B100" s="417" t="s">
        <v>28814</v>
      </c>
      <c r="C100" s="417" t="s">
        <v>381</v>
      </c>
      <c r="D100" s="417" t="s">
        <v>88</v>
      </c>
      <c r="E100" s="418">
        <v>8550</v>
      </c>
      <c r="F100" s="418">
        <v>0</v>
      </c>
      <c r="G100" s="420">
        <v>8550000</v>
      </c>
      <c r="H100" s="417" t="s">
        <v>2646</v>
      </c>
      <c r="I100" s="417" t="s">
        <v>28987</v>
      </c>
      <c r="J100" s="417"/>
      <c r="K100" s="417" t="s">
        <v>380</v>
      </c>
      <c r="L100" s="417"/>
      <c r="M100" s="417" t="s">
        <v>28422</v>
      </c>
    </row>
    <row r="101" spans="1:13" x14ac:dyDescent="0.25">
      <c r="A101" s="417" t="s">
        <v>28838</v>
      </c>
      <c r="B101" s="417" t="s">
        <v>28814</v>
      </c>
      <c r="C101" s="417" t="s">
        <v>383</v>
      </c>
      <c r="D101" s="417" t="s">
        <v>88</v>
      </c>
      <c r="E101" s="418">
        <v>7910</v>
      </c>
      <c r="F101" s="418">
        <v>0</v>
      </c>
      <c r="G101" s="420">
        <v>7910000</v>
      </c>
      <c r="H101" s="417" t="s">
        <v>2646</v>
      </c>
      <c r="I101" s="417" t="s">
        <v>28987</v>
      </c>
      <c r="J101" s="417"/>
      <c r="K101" s="417" t="s">
        <v>382</v>
      </c>
      <c r="L101" s="417"/>
      <c r="M101" s="417" t="s">
        <v>28422</v>
      </c>
    </row>
    <row r="102" spans="1:13" x14ac:dyDescent="0.25">
      <c r="A102" s="417" t="s">
        <v>28838</v>
      </c>
      <c r="B102" s="417" t="s">
        <v>28814</v>
      </c>
      <c r="C102" s="417" t="s">
        <v>385</v>
      </c>
      <c r="D102" s="417" t="s">
        <v>88</v>
      </c>
      <c r="E102" s="418">
        <v>7190</v>
      </c>
      <c r="F102" s="418">
        <v>0</v>
      </c>
      <c r="G102" s="420">
        <v>7190000</v>
      </c>
      <c r="H102" s="417" t="s">
        <v>2646</v>
      </c>
      <c r="I102" s="417" t="s">
        <v>28987</v>
      </c>
      <c r="J102" s="417"/>
      <c r="K102" s="417" t="s">
        <v>384</v>
      </c>
      <c r="L102" s="417"/>
      <c r="M102" s="417" t="s">
        <v>28422</v>
      </c>
    </row>
    <row r="103" spans="1:13" x14ac:dyDescent="0.25">
      <c r="A103" s="417" t="s">
        <v>2647</v>
      </c>
      <c r="B103" s="417" t="s">
        <v>2648</v>
      </c>
      <c r="C103" s="417" t="s">
        <v>2649</v>
      </c>
      <c r="D103" s="417" t="s">
        <v>73</v>
      </c>
      <c r="E103" s="418">
        <v>7.3897070240000001E-2</v>
      </c>
      <c r="F103" s="418">
        <v>0</v>
      </c>
      <c r="G103" s="420">
        <v>77.385713620000004</v>
      </c>
      <c r="H103" s="417" t="s">
        <v>2646</v>
      </c>
      <c r="I103" s="417" t="s">
        <v>28988</v>
      </c>
      <c r="J103" s="417" t="s">
        <v>2650</v>
      </c>
      <c r="K103" s="417" t="s">
        <v>2651</v>
      </c>
      <c r="L103" s="417"/>
      <c r="M103" s="417" t="s">
        <v>28840</v>
      </c>
    </row>
    <row r="104" spans="1:13" x14ac:dyDescent="0.25">
      <c r="A104" s="417" t="s">
        <v>2647</v>
      </c>
      <c r="B104" s="417" t="s">
        <v>2648</v>
      </c>
      <c r="C104" s="417" t="s">
        <v>2652</v>
      </c>
      <c r="D104" s="417" t="s">
        <v>73</v>
      </c>
      <c r="E104" s="418">
        <v>7.730780059999999E-2</v>
      </c>
      <c r="F104" s="418">
        <v>0</v>
      </c>
      <c r="G104" s="420">
        <v>86.379652100000015</v>
      </c>
      <c r="H104" s="417" t="s">
        <v>2646</v>
      </c>
      <c r="I104" s="417" t="s">
        <v>28988</v>
      </c>
      <c r="J104" s="417" t="s">
        <v>2650</v>
      </c>
      <c r="K104" s="417" t="s">
        <v>2653</v>
      </c>
      <c r="L104" s="417"/>
      <c r="M104" s="417" t="s">
        <v>28840</v>
      </c>
    </row>
    <row r="105" spans="1:13" x14ac:dyDescent="0.25">
      <c r="A105" s="417" t="s">
        <v>2647</v>
      </c>
      <c r="B105" s="417" t="s">
        <v>2648</v>
      </c>
      <c r="C105" s="417" t="s">
        <v>2654</v>
      </c>
      <c r="D105" s="417" t="s">
        <v>73</v>
      </c>
      <c r="E105" s="418">
        <v>6.5689272290000003E-2</v>
      </c>
      <c r="F105" s="418">
        <v>0</v>
      </c>
      <c r="G105" s="420">
        <v>66.361370900000011</v>
      </c>
      <c r="H105" s="417" t="s">
        <v>2646</v>
      </c>
      <c r="I105" s="417" t="s">
        <v>28988</v>
      </c>
      <c r="J105" s="417" t="s">
        <v>2650</v>
      </c>
      <c r="K105" s="417" t="s">
        <v>2655</v>
      </c>
      <c r="L105" s="417"/>
      <c r="M105" s="417" t="s">
        <v>28840</v>
      </c>
    </row>
    <row r="106" spans="1:13" x14ac:dyDescent="0.25">
      <c r="A106" s="417" t="s">
        <v>2647</v>
      </c>
      <c r="B106" s="417" t="s">
        <v>2648</v>
      </c>
      <c r="C106" s="417" t="s">
        <v>2656</v>
      </c>
      <c r="D106" s="417" t="s">
        <v>73</v>
      </c>
      <c r="E106" s="418">
        <v>9.1861800000000007E-2</v>
      </c>
      <c r="F106" s="418">
        <v>0</v>
      </c>
      <c r="G106" s="420">
        <v>119.39632938704</v>
      </c>
      <c r="H106" s="417" t="s">
        <v>2646</v>
      </c>
      <c r="I106" s="417" t="s">
        <v>28988</v>
      </c>
      <c r="J106" s="417" t="s">
        <v>2650</v>
      </c>
      <c r="K106" s="417" t="s">
        <v>2657</v>
      </c>
      <c r="L106" s="417"/>
      <c r="M106" s="417" t="s">
        <v>28840</v>
      </c>
    </row>
    <row r="107" spans="1:13" x14ac:dyDescent="0.25">
      <c r="A107" s="417" t="s">
        <v>2647</v>
      </c>
      <c r="B107" s="417" t="s">
        <v>2648</v>
      </c>
      <c r="C107" s="417" t="s">
        <v>2658</v>
      </c>
      <c r="D107" s="417" t="s">
        <v>73</v>
      </c>
      <c r="E107" s="418">
        <v>9.3556837749999996E-2</v>
      </c>
      <c r="F107" s="418">
        <v>0</v>
      </c>
      <c r="G107" s="420">
        <v>122.827354451223</v>
      </c>
      <c r="H107" s="417" t="s">
        <v>2646</v>
      </c>
      <c r="I107" s="417" t="s">
        <v>28988</v>
      </c>
      <c r="J107" s="417" t="s">
        <v>2650</v>
      </c>
      <c r="K107" s="417" t="s">
        <v>2659</v>
      </c>
      <c r="L107" s="417"/>
      <c r="M107" s="417" t="s">
        <v>28840</v>
      </c>
    </row>
    <row r="108" spans="1:13" x14ac:dyDescent="0.25">
      <c r="A108" s="417" t="s">
        <v>2647</v>
      </c>
      <c r="B108" s="417" t="s">
        <v>2648</v>
      </c>
      <c r="C108" s="417" t="s">
        <v>2660</v>
      </c>
      <c r="D108" s="417" t="s">
        <v>73</v>
      </c>
      <c r="E108" s="418">
        <v>0.10205625500000001</v>
      </c>
      <c r="F108" s="418">
        <v>0</v>
      </c>
      <c r="G108" s="420">
        <v>173.839278604892</v>
      </c>
      <c r="H108" s="417" t="s">
        <v>2646</v>
      </c>
      <c r="I108" s="417" t="s">
        <v>28988</v>
      </c>
      <c r="J108" s="417" t="s">
        <v>2650</v>
      </c>
      <c r="K108" s="417" t="s">
        <v>2661</v>
      </c>
      <c r="L108" s="417"/>
      <c r="M108" s="417" t="s">
        <v>28840</v>
      </c>
    </row>
    <row r="109" spans="1:13" x14ac:dyDescent="0.25">
      <c r="A109" s="417" t="s">
        <v>2647</v>
      </c>
      <c r="B109" s="417" t="s">
        <v>2648</v>
      </c>
      <c r="C109" s="417" t="s">
        <v>2662</v>
      </c>
      <c r="D109" s="417" t="s">
        <v>73</v>
      </c>
      <c r="E109" s="418">
        <v>0.10518325499999999</v>
      </c>
      <c r="F109" s="418">
        <v>0</v>
      </c>
      <c r="G109" s="420">
        <v>154.09582820247201</v>
      </c>
      <c r="H109" s="417" t="s">
        <v>2646</v>
      </c>
      <c r="I109" s="417" t="s">
        <v>28988</v>
      </c>
      <c r="J109" s="417" t="s">
        <v>2650</v>
      </c>
      <c r="K109" s="417" t="s">
        <v>2663</v>
      </c>
      <c r="L109" s="417"/>
      <c r="M109" s="417" t="s">
        <v>28840</v>
      </c>
    </row>
    <row r="110" spans="1:13" x14ac:dyDescent="0.25">
      <c r="A110" s="417" t="s">
        <v>2647</v>
      </c>
      <c r="B110" s="417" t="s">
        <v>2648</v>
      </c>
      <c r="C110" s="417" t="s">
        <v>2664</v>
      </c>
      <c r="D110" s="417" t="s">
        <v>73</v>
      </c>
      <c r="E110" s="418">
        <v>5.6089272289999999E-2</v>
      </c>
      <c r="F110" s="418">
        <v>0</v>
      </c>
      <c r="G110" s="420">
        <v>56.961370899999999</v>
      </c>
      <c r="H110" s="417" t="s">
        <v>2646</v>
      </c>
      <c r="I110" s="417" t="s">
        <v>28988</v>
      </c>
      <c r="J110" s="417" t="s">
        <v>2650</v>
      </c>
      <c r="K110" s="417" t="s">
        <v>2665</v>
      </c>
      <c r="L110" s="417"/>
      <c r="M110" s="417" t="s">
        <v>28981</v>
      </c>
    </row>
    <row r="111" spans="1:13" x14ac:dyDescent="0.25">
      <c r="A111" s="417" t="s">
        <v>2647</v>
      </c>
      <c r="B111" s="417" t="s">
        <v>2648</v>
      </c>
      <c r="C111" s="417" t="s">
        <v>2666</v>
      </c>
      <c r="D111" s="417" t="s">
        <v>73</v>
      </c>
      <c r="E111" s="418">
        <v>1.7247228999999999E-4</v>
      </c>
      <c r="F111" s="418">
        <v>5.6000000000000001E-2</v>
      </c>
      <c r="G111" s="420">
        <v>0.49797089999999988</v>
      </c>
      <c r="H111" s="417" t="s">
        <v>2646</v>
      </c>
      <c r="I111" s="417" t="s">
        <v>28988</v>
      </c>
      <c r="J111" s="417" t="s">
        <v>2650</v>
      </c>
      <c r="K111" s="417" t="s">
        <v>2667</v>
      </c>
      <c r="L111" s="417"/>
      <c r="M111" s="417" t="s">
        <v>28840</v>
      </c>
    </row>
    <row r="112" spans="1:13" x14ac:dyDescent="0.25">
      <c r="A112" s="417" t="s">
        <v>2647</v>
      </c>
      <c r="B112" s="417" t="s">
        <v>2648</v>
      </c>
      <c r="C112" s="417" t="s">
        <v>2668</v>
      </c>
      <c r="D112" s="417" t="s">
        <v>73</v>
      </c>
      <c r="E112" s="418">
        <v>3.6930000000000001E-3</v>
      </c>
      <c r="F112" s="418">
        <v>9.1999999999999998E-2</v>
      </c>
      <c r="G112" s="420">
        <v>42.257246145199993</v>
      </c>
      <c r="H112" s="417" t="s">
        <v>2646</v>
      </c>
      <c r="I112" s="417" t="s">
        <v>28988</v>
      </c>
      <c r="J112" s="417" t="s">
        <v>2650</v>
      </c>
      <c r="K112" s="417" t="s">
        <v>2669</v>
      </c>
      <c r="L112" s="417"/>
      <c r="M112" s="417" t="s">
        <v>28840</v>
      </c>
    </row>
    <row r="113" spans="1:13" x14ac:dyDescent="0.25">
      <c r="A113" s="417" t="s">
        <v>2647</v>
      </c>
      <c r="B113" s="417" t="s">
        <v>2648</v>
      </c>
      <c r="C113" s="417" t="s">
        <v>2670</v>
      </c>
      <c r="D113" s="417" t="s">
        <v>73</v>
      </c>
      <c r="E113" s="418">
        <v>1.0274211E-3</v>
      </c>
      <c r="F113" s="418">
        <v>9.1999999999999998E-2</v>
      </c>
      <c r="G113" s="420">
        <v>26.289658145200001</v>
      </c>
      <c r="H113" s="417" t="s">
        <v>2646</v>
      </c>
      <c r="I113" s="417" t="s">
        <v>28988</v>
      </c>
      <c r="J113" s="417" t="s">
        <v>2650</v>
      </c>
      <c r="K113" s="417" t="s">
        <v>2671</v>
      </c>
      <c r="L113" s="417"/>
      <c r="M113" s="417" t="s">
        <v>28840</v>
      </c>
    </row>
    <row r="114" spans="1:13" x14ac:dyDescent="0.25">
      <c r="A114" s="417" t="s">
        <v>2647</v>
      </c>
      <c r="B114" s="417" t="s">
        <v>2648</v>
      </c>
      <c r="C114" s="417" t="s">
        <v>2672</v>
      </c>
      <c r="D114" s="417" t="s">
        <v>73</v>
      </c>
      <c r="E114" s="418">
        <v>7.5584280000000011E-4</v>
      </c>
      <c r="F114" s="418">
        <v>9.1999999999999998E-2</v>
      </c>
      <c r="G114" s="420">
        <v>14.5800653452</v>
      </c>
      <c r="H114" s="417" t="s">
        <v>2646</v>
      </c>
      <c r="I114" s="417" t="s">
        <v>28988</v>
      </c>
      <c r="J114" s="417" t="s">
        <v>2650</v>
      </c>
      <c r="K114" s="417" t="s">
        <v>2673</v>
      </c>
      <c r="L114" s="417"/>
      <c r="M114" s="417" t="s">
        <v>28840</v>
      </c>
    </row>
    <row r="115" spans="1:13" x14ac:dyDescent="0.25">
      <c r="A115" s="417" t="s">
        <v>2647</v>
      </c>
      <c r="B115" s="417" t="s">
        <v>2648</v>
      </c>
      <c r="C115" s="417" t="s">
        <v>2674</v>
      </c>
      <c r="D115" s="417" t="s">
        <v>73</v>
      </c>
      <c r="E115" s="418">
        <v>7.4942976600000002E-2</v>
      </c>
      <c r="F115" s="418">
        <v>0</v>
      </c>
      <c r="G115" s="420">
        <v>150.93064747099999</v>
      </c>
      <c r="H115" s="417" t="s">
        <v>2646</v>
      </c>
      <c r="I115" s="417" t="s">
        <v>28988</v>
      </c>
      <c r="J115" s="417" t="s">
        <v>2650</v>
      </c>
      <c r="K115" s="417" t="s">
        <v>2675</v>
      </c>
      <c r="L115" s="417"/>
      <c r="M115" s="417" t="s">
        <v>28840</v>
      </c>
    </row>
    <row r="116" spans="1:13" x14ac:dyDescent="0.25">
      <c r="A116" s="417" t="s">
        <v>2647</v>
      </c>
      <c r="B116" s="417" t="s">
        <v>2648</v>
      </c>
      <c r="C116" s="417" t="s">
        <v>2676</v>
      </c>
      <c r="D116" s="417" t="s">
        <v>73</v>
      </c>
      <c r="E116" s="418">
        <v>4.6399999999999997E-2</v>
      </c>
      <c r="F116" s="418">
        <v>4.5800000000000007E-2</v>
      </c>
      <c r="G116" s="420">
        <v>0</v>
      </c>
      <c r="H116" s="417" t="s">
        <v>2646</v>
      </c>
      <c r="I116" s="417" t="s">
        <v>28988</v>
      </c>
      <c r="J116" s="417" t="s">
        <v>2650</v>
      </c>
      <c r="K116" s="417" t="s">
        <v>2677</v>
      </c>
      <c r="L116" s="417"/>
      <c r="M116" s="417" t="s">
        <v>28981</v>
      </c>
    </row>
    <row r="117" spans="1:13" x14ac:dyDescent="0.25">
      <c r="A117" s="417" t="s">
        <v>2647</v>
      </c>
      <c r="B117" s="417" t="s">
        <v>2648</v>
      </c>
      <c r="C117" s="417" t="s">
        <v>2678</v>
      </c>
      <c r="D117" s="417" t="s">
        <v>73</v>
      </c>
      <c r="E117" s="418">
        <v>6.7900000000000002E-2</v>
      </c>
      <c r="F117" s="418">
        <v>5.2999999999999992E-3</v>
      </c>
      <c r="G117" s="420">
        <v>0</v>
      </c>
      <c r="H117" s="417" t="s">
        <v>2646</v>
      </c>
      <c r="I117" s="417" t="s">
        <v>28988</v>
      </c>
      <c r="J117" s="417" t="s">
        <v>2650</v>
      </c>
      <c r="K117" s="417" t="s">
        <v>2679</v>
      </c>
      <c r="L117" s="417"/>
      <c r="M117" s="417" t="s">
        <v>28840</v>
      </c>
    </row>
    <row r="118" spans="1:13" x14ac:dyDescent="0.25">
      <c r="A118" s="417" t="s">
        <v>2647</v>
      </c>
      <c r="B118" s="417" t="s">
        <v>2648</v>
      </c>
      <c r="C118" s="417" t="s">
        <v>2680</v>
      </c>
      <c r="D118" s="417" t="s">
        <v>73</v>
      </c>
      <c r="E118" s="418">
        <v>6.4700000000000008E-2</v>
      </c>
      <c r="F118" s="418">
        <v>1.9799999999999998E-2</v>
      </c>
      <c r="G118" s="420">
        <v>0</v>
      </c>
      <c r="H118" s="417" t="s">
        <v>2646</v>
      </c>
      <c r="I118" s="417" t="s">
        <v>28988</v>
      </c>
      <c r="J118" s="417" t="s">
        <v>2650</v>
      </c>
      <c r="K118" s="417" t="s">
        <v>2681</v>
      </c>
      <c r="L118" s="417"/>
      <c r="M118" s="417" t="s">
        <v>28840</v>
      </c>
    </row>
    <row r="119" spans="1:13" x14ac:dyDescent="0.25">
      <c r="A119" s="417" t="s">
        <v>2647</v>
      </c>
      <c r="B119" s="417" t="s">
        <v>2648</v>
      </c>
      <c r="C119" s="417" t="s">
        <v>2682</v>
      </c>
      <c r="D119" s="417" t="s">
        <v>73</v>
      </c>
      <c r="E119" s="418">
        <v>6.13E-2</v>
      </c>
      <c r="F119" s="418">
        <v>2.2700000000000005E-2</v>
      </c>
      <c r="G119" s="420">
        <v>0</v>
      </c>
      <c r="H119" s="417" t="s">
        <v>2646</v>
      </c>
      <c r="I119" s="417" t="s">
        <v>28988</v>
      </c>
      <c r="J119" s="417" t="s">
        <v>2650</v>
      </c>
      <c r="K119" s="417" t="s">
        <v>2683</v>
      </c>
      <c r="L119" s="417"/>
      <c r="M119" s="417" t="s">
        <v>28840</v>
      </c>
    </row>
    <row r="120" spans="1:13" x14ac:dyDescent="0.25">
      <c r="A120" s="417" t="s">
        <v>2647</v>
      </c>
      <c r="B120" s="417" t="s">
        <v>2648</v>
      </c>
      <c r="C120" s="417" t="s">
        <v>2684</v>
      </c>
      <c r="D120" s="417" t="s">
        <v>73</v>
      </c>
      <c r="E120" s="418">
        <v>0</v>
      </c>
      <c r="F120" s="418">
        <v>9.9900000000000003E-2</v>
      </c>
      <c r="G120" s="420">
        <v>0</v>
      </c>
      <c r="H120" s="417" t="s">
        <v>2646</v>
      </c>
      <c r="I120" s="417" t="s">
        <v>28988</v>
      </c>
      <c r="J120" s="417" t="s">
        <v>2650</v>
      </c>
      <c r="K120" s="417" t="s">
        <v>2685</v>
      </c>
      <c r="L120" s="417"/>
      <c r="M120" s="417" t="s">
        <v>28840</v>
      </c>
    </row>
    <row r="121" spans="1:13" x14ac:dyDescent="0.25">
      <c r="A121" s="417" t="s">
        <v>2647</v>
      </c>
      <c r="B121" s="417" t="s">
        <v>2648</v>
      </c>
      <c r="C121" s="417" t="s">
        <v>2686</v>
      </c>
      <c r="D121" s="417" t="s">
        <v>73</v>
      </c>
      <c r="E121" s="418">
        <v>0</v>
      </c>
      <c r="F121" s="418">
        <v>8.6699999999999999E-2</v>
      </c>
      <c r="G121" s="420">
        <v>0</v>
      </c>
      <c r="H121" s="417" t="s">
        <v>2646</v>
      </c>
      <c r="I121" s="417" t="s">
        <v>28988</v>
      </c>
      <c r="J121" s="417" t="s">
        <v>2650</v>
      </c>
      <c r="K121" s="417" t="s">
        <v>2687</v>
      </c>
      <c r="L121" s="417"/>
      <c r="M121" s="417" t="s">
        <v>28840</v>
      </c>
    </row>
    <row r="122" spans="1:13" x14ac:dyDescent="0.25">
      <c r="A122" s="417" t="s">
        <v>2647</v>
      </c>
      <c r="B122" s="417" t="s">
        <v>2648</v>
      </c>
      <c r="C122" s="417" t="s">
        <v>2688</v>
      </c>
      <c r="D122" s="417" t="s">
        <v>73</v>
      </c>
      <c r="E122" s="418">
        <v>5.4799999999999995E-2</v>
      </c>
      <c r="F122" s="418">
        <v>0</v>
      </c>
      <c r="G122" s="420">
        <v>0</v>
      </c>
      <c r="H122" s="417" t="s">
        <v>2646</v>
      </c>
      <c r="I122" s="417" t="s">
        <v>28988</v>
      </c>
      <c r="J122" s="417" t="s">
        <v>2650</v>
      </c>
      <c r="K122" s="417" t="s">
        <v>2689</v>
      </c>
      <c r="L122" s="417"/>
      <c r="M122" s="417" t="s">
        <v>28840</v>
      </c>
    </row>
    <row r="123" spans="1:13" x14ac:dyDescent="0.25">
      <c r="A123" s="417" t="s">
        <v>2647</v>
      </c>
      <c r="B123" s="417" t="s">
        <v>2648</v>
      </c>
      <c r="C123" s="417" t="s">
        <v>2690</v>
      </c>
      <c r="D123" s="417" t="s">
        <v>73</v>
      </c>
      <c r="E123" s="418">
        <v>6.1600000000000002E-2</v>
      </c>
      <c r="F123" s="418">
        <v>0</v>
      </c>
      <c r="G123" s="420">
        <v>0</v>
      </c>
      <c r="H123" s="417" t="s">
        <v>2646</v>
      </c>
      <c r="I123" s="417" t="s">
        <v>28988</v>
      </c>
      <c r="J123" s="417" t="s">
        <v>2650</v>
      </c>
      <c r="K123" s="417" t="s">
        <v>2691</v>
      </c>
      <c r="L123" s="417"/>
      <c r="M123" s="417" t="s">
        <v>28840</v>
      </c>
    </row>
    <row r="124" spans="1:13" x14ac:dyDescent="0.25">
      <c r="A124" s="417" t="s">
        <v>2647</v>
      </c>
      <c r="B124" s="417" t="s">
        <v>2648</v>
      </c>
      <c r="C124" s="417" t="s">
        <v>2692</v>
      </c>
      <c r="D124" s="417" t="s">
        <v>73</v>
      </c>
      <c r="E124" s="418">
        <v>6.4599999999999991E-2</v>
      </c>
      <c r="F124" s="418">
        <v>0</v>
      </c>
      <c r="G124" s="420">
        <v>0</v>
      </c>
      <c r="H124" s="417" t="s">
        <v>2646</v>
      </c>
      <c r="I124" s="417" t="s">
        <v>28988</v>
      </c>
      <c r="J124" s="417" t="s">
        <v>2650</v>
      </c>
      <c r="K124" s="417" t="s">
        <v>2693</v>
      </c>
      <c r="L124" s="417"/>
      <c r="M124" s="417" t="s">
        <v>28840</v>
      </c>
    </row>
    <row r="125" spans="1:13" x14ac:dyDescent="0.25">
      <c r="A125" s="417" t="s">
        <v>2647</v>
      </c>
      <c r="B125" s="417" t="s">
        <v>2648</v>
      </c>
      <c r="C125" s="417" t="s">
        <v>2694</v>
      </c>
      <c r="D125" s="417" t="s">
        <v>73</v>
      </c>
      <c r="E125" s="418">
        <v>6.6200000000000009E-2</v>
      </c>
      <c r="F125" s="418">
        <v>0</v>
      </c>
      <c r="G125" s="420">
        <v>0</v>
      </c>
      <c r="H125" s="417" t="s">
        <v>2646</v>
      </c>
      <c r="I125" s="417" t="s">
        <v>28988</v>
      </c>
      <c r="J125" s="417" t="s">
        <v>2650</v>
      </c>
      <c r="K125" s="417" t="s">
        <v>2695</v>
      </c>
      <c r="L125" s="417"/>
      <c r="M125" s="417" t="s">
        <v>28840</v>
      </c>
    </row>
    <row r="126" spans="1:13" x14ac:dyDescent="0.25">
      <c r="A126" s="417" t="s">
        <v>2647</v>
      </c>
      <c r="B126" s="417" t="s">
        <v>2648</v>
      </c>
      <c r="C126" s="417" t="s">
        <v>2696</v>
      </c>
      <c r="D126" s="417" t="s">
        <v>73</v>
      </c>
      <c r="E126" s="418">
        <v>7.1300000000000002E-2</v>
      </c>
      <c r="F126" s="418">
        <v>0</v>
      </c>
      <c r="G126" s="420">
        <v>0</v>
      </c>
      <c r="H126" s="417" t="s">
        <v>2646</v>
      </c>
      <c r="I126" s="417" t="s">
        <v>28988</v>
      </c>
      <c r="J126" s="417" t="s">
        <v>2650</v>
      </c>
      <c r="K126" s="417" t="s">
        <v>2697</v>
      </c>
      <c r="L126" s="417"/>
      <c r="M126" s="417" t="s">
        <v>28840</v>
      </c>
    </row>
    <row r="127" spans="1:13" x14ac:dyDescent="0.25">
      <c r="A127" s="417" t="s">
        <v>2647</v>
      </c>
      <c r="B127" s="417" t="s">
        <v>2648</v>
      </c>
      <c r="C127" s="417" t="s">
        <v>2698</v>
      </c>
      <c r="D127" s="417" t="s">
        <v>73</v>
      </c>
      <c r="E127" s="418">
        <v>6.9000000000000006E-2</v>
      </c>
      <c r="F127" s="418">
        <v>0</v>
      </c>
      <c r="G127" s="420">
        <v>0</v>
      </c>
      <c r="H127" s="417" t="s">
        <v>2646</v>
      </c>
      <c r="I127" s="417" t="s">
        <v>28988</v>
      </c>
      <c r="J127" s="417" t="s">
        <v>2650</v>
      </c>
      <c r="K127" s="417" t="s">
        <v>2699</v>
      </c>
      <c r="L127" s="417"/>
      <c r="M127" s="417" t="s">
        <v>28840</v>
      </c>
    </row>
    <row r="128" spans="1:13" x14ac:dyDescent="0.25">
      <c r="A128" s="417" t="s">
        <v>2647</v>
      </c>
      <c r="B128" s="417" t="s">
        <v>2648</v>
      </c>
      <c r="C128" s="417" t="s">
        <v>2700</v>
      </c>
      <c r="D128" s="417" t="s">
        <v>88</v>
      </c>
      <c r="E128" s="418">
        <v>3.1701843132960001</v>
      </c>
      <c r="F128" s="418">
        <v>0</v>
      </c>
      <c r="G128" s="420">
        <v>3319.8471142980002</v>
      </c>
      <c r="H128" s="417" t="s">
        <v>2646</v>
      </c>
      <c r="I128" s="417"/>
      <c r="J128" s="417" t="s">
        <v>2650</v>
      </c>
      <c r="K128" s="417" t="s">
        <v>2701</v>
      </c>
      <c r="L128" s="417"/>
      <c r="M128" s="417" t="s">
        <v>28840</v>
      </c>
    </row>
    <row r="129" spans="1:13" x14ac:dyDescent="0.25">
      <c r="A129" s="417" t="s">
        <v>2647</v>
      </c>
      <c r="B129" s="417" t="s">
        <v>2648</v>
      </c>
      <c r="C129" s="417" t="s">
        <v>2702</v>
      </c>
      <c r="D129" s="417" t="s">
        <v>88</v>
      </c>
      <c r="E129" s="418">
        <v>3.1850813847199997</v>
      </c>
      <c r="F129" s="418">
        <v>0</v>
      </c>
      <c r="G129" s="420">
        <v>3558.8416665200007</v>
      </c>
      <c r="H129" s="417" t="s">
        <v>2646</v>
      </c>
      <c r="I129" s="417"/>
      <c r="J129" s="417" t="s">
        <v>2650</v>
      </c>
      <c r="K129" s="417" t="s">
        <v>2703</v>
      </c>
      <c r="L129" s="417"/>
      <c r="M129" s="417" t="s">
        <v>28840</v>
      </c>
    </row>
    <row r="130" spans="1:13" x14ac:dyDescent="0.25">
      <c r="A130" s="417" t="s">
        <v>2647</v>
      </c>
      <c r="B130" s="417" t="s">
        <v>2648</v>
      </c>
      <c r="C130" s="417" t="s">
        <v>2704</v>
      </c>
      <c r="D130" s="417" t="s">
        <v>88</v>
      </c>
      <c r="E130" s="418">
        <v>3.0217065253399999</v>
      </c>
      <c r="F130" s="418">
        <v>0</v>
      </c>
      <c r="G130" s="420">
        <v>3052.6230614000006</v>
      </c>
      <c r="H130" s="417" t="s">
        <v>2646</v>
      </c>
      <c r="I130" s="417"/>
      <c r="J130" s="417" t="s">
        <v>2650</v>
      </c>
      <c r="K130" s="417" t="s">
        <v>2705</v>
      </c>
      <c r="L130" s="417"/>
      <c r="M130" s="417" t="s">
        <v>28840</v>
      </c>
    </row>
    <row r="131" spans="1:13" x14ac:dyDescent="0.25">
      <c r="A131" s="417" t="s">
        <v>2647</v>
      </c>
      <c r="B131" s="417" t="s">
        <v>2648</v>
      </c>
      <c r="C131" s="417" t="s">
        <v>2706</v>
      </c>
      <c r="D131" s="417" t="s">
        <v>88</v>
      </c>
      <c r="E131" s="418">
        <v>2.9212052400000004</v>
      </c>
      <c r="F131" s="418">
        <v>0</v>
      </c>
      <c r="G131" s="420">
        <v>3796.8032745078722</v>
      </c>
      <c r="H131" s="417" t="s">
        <v>2646</v>
      </c>
      <c r="I131" s="417"/>
      <c r="J131" s="417" t="s">
        <v>2650</v>
      </c>
      <c r="K131" s="417" t="s">
        <v>2707</v>
      </c>
      <c r="L131" s="417"/>
      <c r="M131" s="417" t="s">
        <v>28840</v>
      </c>
    </row>
    <row r="132" spans="1:13" x14ac:dyDescent="0.25">
      <c r="A132" s="417" t="s">
        <v>2647</v>
      </c>
      <c r="B132" s="417" t="s">
        <v>2648</v>
      </c>
      <c r="C132" s="417" t="s">
        <v>2708</v>
      </c>
      <c r="D132" s="417" t="s">
        <v>88</v>
      </c>
      <c r="E132" s="418">
        <v>2.385699362625</v>
      </c>
      <c r="F132" s="418">
        <v>0</v>
      </c>
      <c r="G132" s="420">
        <v>3132.0975385061865</v>
      </c>
      <c r="H132" s="417" t="s">
        <v>2646</v>
      </c>
      <c r="I132" s="417"/>
      <c r="J132" s="417" t="s">
        <v>2650</v>
      </c>
      <c r="K132" s="417" t="s">
        <v>2709</v>
      </c>
      <c r="L132" s="417"/>
      <c r="M132" s="417" t="s">
        <v>28840</v>
      </c>
    </row>
    <row r="133" spans="1:13" x14ac:dyDescent="0.25">
      <c r="A133" s="417" t="s">
        <v>2647</v>
      </c>
      <c r="B133" s="417" t="s">
        <v>2648</v>
      </c>
      <c r="C133" s="417" t="s">
        <v>2710</v>
      </c>
      <c r="D133" s="417" t="s">
        <v>88</v>
      </c>
      <c r="E133" s="418">
        <v>2.6024345025000004</v>
      </c>
      <c r="F133" s="418">
        <v>0</v>
      </c>
      <c r="G133" s="420">
        <v>4432.9016044247464</v>
      </c>
      <c r="H133" s="417" t="s">
        <v>2646</v>
      </c>
      <c r="I133" s="417"/>
      <c r="J133" s="417" t="s">
        <v>2650</v>
      </c>
      <c r="K133" s="417" t="s">
        <v>2711</v>
      </c>
      <c r="L133" s="417"/>
      <c r="M133" s="417" t="s">
        <v>28840</v>
      </c>
    </row>
    <row r="134" spans="1:13" x14ac:dyDescent="0.25">
      <c r="A134" s="417" t="s">
        <v>2647</v>
      </c>
      <c r="B134" s="417" t="s">
        <v>2648</v>
      </c>
      <c r="C134" s="417" t="s">
        <v>2712</v>
      </c>
      <c r="D134" s="417" t="s">
        <v>88</v>
      </c>
      <c r="E134" s="418">
        <v>2.4823248179999995</v>
      </c>
      <c r="F134" s="418">
        <v>0</v>
      </c>
      <c r="G134" s="420">
        <v>3636.661545578339</v>
      </c>
      <c r="H134" s="417" t="s">
        <v>2646</v>
      </c>
      <c r="I134" s="417"/>
      <c r="J134" s="417" t="s">
        <v>2650</v>
      </c>
      <c r="K134" s="417" t="s">
        <v>2713</v>
      </c>
      <c r="L134" s="417"/>
      <c r="M134" s="417" t="s">
        <v>28840</v>
      </c>
    </row>
    <row r="135" spans="1:13" x14ac:dyDescent="0.25">
      <c r="A135" s="417" t="s">
        <v>2647</v>
      </c>
      <c r="B135" s="417" t="s">
        <v>2648</v>
      </c>
      <c r="C135" s="417" t="s">
        <v>2714</v>
      </c>
      <c r="D135" s="417" t="s">
        <v>88</v>
      </c>
      <c r="E135" s="418">
        <v>2.7147207788359999</v>
      </c>
      <c r="F135" s="418">
        <v>0</v>
      </c>
      <c r="G135" s="420">
        <v>2756.93035156</v>
      </c>
      <c r="H135" s="417" t="s">
        <v>2646</v>
      </c>
      <c r="I135" s="417"/>
      <c r="J135" s="417" t="s">
        <v>2650</v>
      </c>
      <c r="K135" s="417" t="s">
        <v>2715</v>
      </c>
      <c r="L135" s="417"/>
      <c r="M135" s="417" t="s">
        <v>28981</v>
      </c>
    </row>
    <row r="136" spans="1:13" x14ac:dyDescent="0.25">
      <c r="A136" s="417" t="s">
        <v>2647</v>
      </c>
      <c r="B136" s="417" t="s">
        <v>2648</v>
      </c>
      <c r="C136" s="417" t="s">
        <v>2716</v>
      </c>
      <c r="D136" s="417" t="s">
        <v>88</v>
      </c>
      <c r="E136" s="418">
        <v>8.2786699199999987E-3</v>
      </c>
      <c r="F136" s="418">
        <v>2.6880000000000002</v>
      </c>
      <c r="G136" s="420">
        <v>23.902603199999994</v>
      </c>
      <c r="H136" s="417" t="s">
        <v>2646</v>
      </c>
      <c r="I136" s="417"/>
      <c r="J136" s="417" t="s">
        <v>2650</v>
      </c>
      <c r="K136" s="417" t="s">
        <v>2717</v>
      </c>
      <c r="L136" s="417"/>
      <c r="M136" s="417" t="s">
        <v>28840</v>
      </c>
    </row>
    <row r="137" spans="1:13" x14ac:dyDescent="0.25">
      <c r="A137" s="417" t="s">
        <v>2647</v>
      </c>
      <c r="B137" s="417" t="s">
        <v>2648</v>
      </c>
      <c r="C137" s="417" t="s">
        <v>2718</v>
      </c>
      <c r="D137" s="417" t="s">
        <v>88</v>
      </c>
      <c r="E137" s="418">
        <v>5.3976888000000001E-2</v>
      </c>
      <c r="F137" s="418">
        <v>1.3446719999999999</v>
      </c>
      <c r="G137" s="420">
        <v>617.6319096582431</v>
      </c>
      <c r="H137" s="417" t="s">
        <v>2646</v>
      </c>
      <c r="I137" s="417"/>
      <c r="J137" s="417" t="s">
        <v>2650</v>
      </c>
      <c r="K137" s="417" t="s">
        <v>2719</v>
      </c>
      <c r="L137" s="417"/>
      <c r="M137" s="417" t="s">
        <v>28840</v>
      </c>
    </row>
    <row r="138" spans="1:13" x14ac:dyDescent="0.25">
      <c r="A138" s="417" t="s">
        <v>2647</v>
      </c>
      <c r="B138" s="417" t="s">
        <v>2648</v>
      </c>
      <c r="C138" s="417" t="s">
        <v>2720</v>
      </c>
      <c r="D138" s="417" t="s">
        <v>88</v>
      </c>
      <c r="E138" s="418">
        <v>1.5016786797599999E-2</v>
      </c>
      <c r="F138" s="418">
        <v>1.3446719999999999</v>
      </c>
      <c r="G138" s="420">
        <v>384.24964345024318</v>
      </c>
      <c r="H138" s="417" t="s">
        <v>2646</v>
      </c>
      <c r="I138" s="417"/>
      <c r="J138" s="417" t="s">
        <v>2650</v>
      </c>
      <c r="K138" s="417" t="s">
        <v>2721</v>
      </c>
      <c r="L138" s="417"/>
      <c r="M138" s="417" t="s">
        <v>28840</v>
      </c>
    </row>
    <row r="139" spans="1:13" x14ac:dyDescent="0.25">
      <c r="A139" s="417" t="s">
        <v>2647</v>
      </c>
      <c r="B139" s="417" t="s">
        <v>2648</v>
      </c>
      <c r="C139" s="417" t="s">
        <v>2722</v>
      </c>
      <c r="D139" s="417" t="s">
        <v>88</v>
      </c>
      <c r="E139" s="418">
        <v>1.0448770867200001E-2</v>
      </c>
      <c r="F139" s="418">
        <v>1.271808</v>
      </c>
      <c r="G139" s="420">
        <v>201.5548233320448</v>
      </c>
      <c r="H139" s="417" t="s">
        <v>2646</v>
      </c>
      <c r="I139" s="417"/>
      <c r="J139" s="417" t="s">
        <v>2650</v>
      </c>
      <c r="K139" s="417" t="s">
        <v>2723</v>
      </c>
      <c r="L139" s="417"/>
      <c r="M139" s="417" t="s">
        <v>28840</v>
      </c>
    </row>
    <row r="140" spans="1:13" x14ac:dyDescent="0.25">
      <c r="A140" s="417" t="s">
        <v>2647</v>
      </c>
      <c r="B140" s="417" t="s">
        <v>2648</v>
      </c>
      <c r="C140" s="417" t="s">
        <v>2724</v>
      </c>
      <c r="D140" s="417" t="s">
        <v>88</v>
      </c>
      <c r="E140" s="418">
        <v>3.2225479938000001</v>
      </c>
      <c r="F140" s="418">
        <v>0</v>
      </c>
      <c r="G140" s="420">
        <v>6490.0178412529995</v>
      </c>
      <c r="H140" s="417" t="s">
        <v>2646</v>
      </c>
      <c r="I140" s="417"/>
      <c r="J140" s="417" t="s">
        <v>2650</v>
      </c>
      <c r="K140" s="417" t="s">
        <v>2725</v>
      </c>
      <c r="L140" s="417"/>
      <c r="M140" s="417" t="s">
        <v>28840</v>
      </c>
    </row>
    <row r="141" spans="1:13" x14ac:dyDescent="0.25">
      <c r="A141" s="417" t="s">
        <v>2647</v>
      </c>
      <c r="B141" s="417" t="s">
        <v>2648</v>
      </c>
      <c r="C141" s="417" t="s">
        <v>2726</v>
      </c>
      <c r="D141" s="417" t="s">
        <v>88</v>
      </c>
      <c r="E141" s="418">
        <v>0.54288000000000003</v>
      </c>
      <c r="F141" s="418">
        <v>0.53586000000000011</v>
      </c>
      <c r="G141" s="420">
        <v>0</v>
      </c>
      <c r="H141" s="417" t="s">
        <v>2646</v>
      </c>
      <c r="I141" s="417"/>
      <c r="J141" s="417" t="s">
        <v>2650</v>
      </c>
      <c r="K141" s="417" t="s">
        <v>2727</v>
      </c>
      <c r="L141" s="417"/>
      <c r="M141" s="417" t="s">
        <v>28981</v>
      </c>
    </row>
    <row r="142" spans="1:13" x14ac:dyDescent="0.25">
      <c r="A142" s="417" t="s">
        <v>2647</v>
      </c>
      <c r="B142" s="417" t="s">
        <v>2648</v>
      </c>
      <c r="C142" s="417" t="s">
        <v>2728</v>
      </c>
      <c r="D142" s="417" t="s">
        <v>88</v>
      </c>
      <c r="E142" s="418">
        <v>2.1049000000000002</v>
      </c>
      <c r="F142" s="418">
        <v>0.16429999999999997</v>
      </c>
      <c r="G142" s="420">
        <v>0</v>
      </c>
      <c r="H142" s="417" t="s">
        <v>2646</v>
      </c>
      <c r="I142" s="417"/>
      <c r="J142" s="417" t="s">
        <v>2650</v>
      </c>
      <c r="K142" s="417" t="s">
        <v>2729</v>
      </c>
      <c r="L142" s="417"/>
      <c r="M142" s="417" t="s">
        <v>28840</v>
      </c>
    </row>
    <row r="143" spans="1:13" x14ac:dyDescent="0.25">
      <c r="A143" s="417" t="s">
        <v>2647</v>
      </c>
      <c r="B143" s="417" t="s">
        <v>2648</v>
      </c>
      <c r="C143" s="417" t="s">
        <v>2730</v>
      </c>
      <c r="D143" s="417" t="s">
        <v>88</v>
      </c>
      <c r="E143" s="418">
        <v>1.5269200000000001</v>
      </c>
      <c r="F143" s="418">
        <v>0.46727999999999992</v>
      </c>
      <c r="G143" s="420">
        <v>0</v>
      </c>
      <c r="H143" s="417" t="s">
        <v>2646</v>
      </c>
      <c r="I143" s="417"/>
      <c r="J143" s="417" t="s">
        <v>2650</v>
      </c>
      <c r="K143" s="417" t="s">
        <v>2731</v>
      </c>
      <c r="L143" s="417"/>
      <c r="M143" s="417" t="s">
        <v>28840</v>
      </c>
    </row>
    <row r="144" spans="1:13" x14ac:dyDescent="0.25">
      <c r="A144" s="417" t="s">
        <v>2647</v>
      </c>
      <c r="B144" s="417" t="s">
        <v>2648</v>
      </c>
      <c r="C144" s="417" t="s">
        <v>2732</v>
      </c>
      <c r="D144" s="417" t="s">
        <v>88</v>
      </c>
      <c r="E144" s="418">
        <v>1.61832</v>
      </c>
      <c r="F144" s="418">
        <v>0.59928000000000015</v>
      </c>
      <c r="G144" s="420">
        <v>0</v>
      </c>
      <c r="H144" s="417" t="s">
        <v>2646</v>
      </c>
      <c r="I144" s="417"/>
      <c r="J144" s="417" t="s">
        <v>2650</v>
      </c>
      <c r="K144" s="417" t="s">
        <v>2733</v>
      </c>
      <c r="L144" s="417"/>
      <c r="M144" s="417" t="s">
        <v>28840</v>
      </c>
    </row>
    <row r="145" spans="1:13" x14ac:dyDescent="0.25">
      <c r="A145" s="417" t="s">
        <v>2647</v>
      </c>
      <c r="B145" s="417" t="s">
        <v>2648</v>
      </c>
      <c r="C145" s="417" t="s">
        <v>2734</v>
      </c>
      <c r="D145" s="417" t="s">
        <v>88</v>
      </c>
      <c r="E145" s="418">
        <v>0</v>
      </c>
      <c r="F145" s="418">
        <v>1.6283699999999997</v>
      </c>
      <c r="G145" s="420">
        <v>0</v>
      </c>
      <c r="H145" s="417" t="s">
        <v>2646</v>
      </c>
      <c r="I145" s="417"/>
      <c r="J145" s="417" t="s">
        <v>2650</v>
      </c>
      <c r="K145" s="417" t="s">
        <v>2735</v>
      </c>
      <c r="L145" s="417"/>
      <c r="M145" s="417" t="s">
        <v>28840</v>
      </c>
    </row>
    <row r="146" spans="1:13" x14ac:dyDescent="0.25">
      <c r="A146" s="417" t="s">
        <v>2647</v>
      </c>
      <c r="B146" s="417" t="s">
        <v>2648</v>
      </c>
      <c r="C146" s="417" t="s">
        <v>2736</v>
      </c>
      <c r="D146" s="417" t="s">
        <v>88</v>
      </c>
      <c r="E146" s="418">
        <v>0</v>
      </c>
      <c r="F146" s="418">
        <v>1.4565600000000001</v>
      </c>
      <c r="G146" s="420">
        <v>0</v>
      </c>
      <c r="H146" s="417" t="s">
        <v>2646</v>
      </c>
      <c r="I146" s="417"/>
      <c r="J146" s="417" t="s">
        <v>2650</v>
      </c>
      <c r="K146" s="417" t="s">
        <v>2737</v>
      </c>
      <c r="L146" s="417"/>
      <c r="M146" s="417" t="s">
        <v>28840</v>
      </c>
    </row>
    <row r="147" spans="1:13" x14ac:dyDescent="0.25">
      <c r="A147" s="417" t="s">
        <v>2647</v>
      </c>
      <c r="B147" s="417" t="s">
        <v>2648</v>
      </c>
      <c r="C147" s="417" t="s">
        <v>2738</v>
      </c>
      <c r="D147" s="417" t="s">
        <v>88</v>
      </c>
      <c r="E147" s="418">
        <v>2.7399999999999998</v>
      </c>
      <c r="F147" s="418">
        <v>0</v>
      </c>
      <c r="G147" s="420">
        <v>0</v>
      </c>
      <c r="H147" s="417" t="s">
        <v>2646</v>
      </c>
      <c r="I147" s="417"/>
      <c r="J147" s="417" t="s">
        <v>2650</v>
      </c>
      <c r="K147" s="417" t="s">
        <v>2739</v>
      </c>
      <c r="L147" s="417"/>
      <c r="M147" s="417" t="s">
        <v>28840</v>
      </c>
    </row>
    <row r="148" spans="1:13" x14ac:dyDescent="0.25">
      <c r="A148" s="417" t="s">
        <v>2647</v>
      </c>
      <c r="B148" s="417" t="s">
        <v>2648</v>
      </c>
      <c r="C148" s="417" t="s">
        <v>2740</v>
      </c>
      <c r="D148" s="417" t="s">
        <v>88</v>
      </c>
      <c r="E148" s="418">
        <v>2.9260000000000002</v>
      </c>
      <c r="F148" s="418">
        <v>0</v>
      </c>
      <c r="G148" s="420">
        <v>0</v>
      </c>
      <c r="H148" s="417" t="s">
        <v>2646</v>
      </c>
      <c r="I148" s="417"/>
      <c r="J148" s="417" t="s">
        <v>2650</v>
      </c>
      <c r="K148" s="417" t="s">
        <v>2741</v>
      </c>
      <c r="L148" s="417"/>
      <c r="M148" s="417" t="s">
        <v>28840</v>
      </c>
    </row>
    <row r="149" spans="1:13" x14ac:dyDescent="0.25">
      <c r="A149" s="417" t="s">
        <v>2647</v>
      </c>
      <c r="B149" s="417" t="s">
        <v>2648</v>
      </c>
      <c r="C149" s="417" t="s">
        <v>2742</v>
      </c>
      <c r="D149" s="417" t="s">
        <v>88</v>
      </c>
      <c r="E149" s="418">
        <v>2.99098</v>
      </c>
      <c r="F149" s="418">
        <v>0</v>
      </c>
      <c r="G149" s="420">
        <v>0</v>
      </c>
      <c r="H149" s="417" t="s">
        <v>2646</v>
      </c>
      <c r="I149" s="417"/>
      <c r="J149" s="417" t="s">
        <v>2650</v>
      </c>
      <c r="K149" s="417" t="s">
        <v>2743</v>
      </c>
      <c r="L149" s="417"/>
      <c r="M149" s="417" t="s">
        <v>28840</v>
      </c>
    </row>
    <row r="150" spans="1:13" x14ac:dyDescent="0.25">
      <c r="A150" s="417" t="s">
        <v>2647</v>
      </c>
      <c r="B150" s="417" t="s">
        <v>2648</v>
      </c>
      <c r="C150" s="417" t="s">
        <v>2744</v>
      </c>
      <c r="D150" s="417" t="s">
        <v>88</v>
      </c>
      <c r="E150" s="418">
        <v>3.0253399999999999</v>
      </c>
      <c r="F150" s="418">
        <v>0</v>
      </c>
      <c r="G150" s="420">
        <v>0</v>
      </c>
      <c r="H150" s="417" t="s">
        <v>2646</v>
      </c>
      <c r="I150" s="417"/>
      <c r="J150" s="417" t="s">
        <v>2650</v>
      </c>
      <c r="K150" s="417" t="s">
        <v>2745</v>
      </c>
      <c r="L150" s="417"/>
      <c r="M150" s="417" t="s">
        <v>28840</v>
      </c>
    </row>
    <row r="151" spans="1:13" x14ac:dyDescent="0.25">
      <c r="A151" s="417" t="s">
        <v>2647</v>
      </c>
      <c r="B151" s="417" t="s">
        <v>2648</v>
      </c>
      <c r="C151" s="417" t="s">
        <v>2746</v>
      </c>
      <c r="D151" s="417" t="s">
        <v>88</v>
      </c>
      <c r="E151" s="418">
        <v>1.9108400000000001</v>
      </c>
      <c r="F151" s="418">
        <v>0</v>
      </c>
      <c r="G151" s="420">
        <v>0</v>
      </c>
      <c r="H151" s="417" t="s">
        <v>2646</v>
      </c>
      <c r="I151" s="417"/>
      <c r="J151" s="417" t="s">
        <v>2650</v>
      </c>
      <c r="K151" s="417" t="s">
        <v>2747</v>
      </c>
      <c r="L151" s="417"/>
      <c r="M151" s="417" t="s">
        <v>28840</v>
      </c>
    </row>
    <row r="152" spans="1:13" x14ac:dyDescent="0.25">
      <c r="A152" s="417" t="s">
        <v>2647</v>
      </c>
      <c r="B152" s="417" t="s">
        <v>2648</v>
      </c>
      <c r="C152" s="417" t="s">
        <v>2748</v>
      </c>
      <c r="D152" s="417" t="s">
        <v>88</v>
      </c>
      <c r="E152" s="418">
        <v>1.3731000000000002</v>
      </c>
      <c r="F152" s="418">
        <v>0</v>
      </c>
      <c r="G152" s="420">
        <v>0</v>
      </c>
      <c r="H152" s="417" t="s">
        <v>2646</v>
      </c>
      <c r="I152" s="417"/>
      <c r="J152" s="417" t="s">
        <v>2650</v>
      </c>
      <c r="K152" s="417" t="s">
        <v>2749</v>
      </c>
      <c r="L152" s="417"/>
      <c r="M152" s="417" t="s">
        <v>28840</v>
      </c>
    </row>
    <row r="153" spans="1:13" x14ac:dyDescent="0.25">
      <c r="A153" s="417" t="s">
        <v>2647</v>
      </c>
      <c r="B153" s="417" t="s">
        <v>2648</v>
      </c>
      <c r="C153" s="417" t="s">
        <v>2750</v>
      </c>
      <c r="D153" s="417" t="s">
        <v>74</v>
      </c>
      <c r="E153" s="418">
        <v>2.6597846388553439</v>
      </c>
      <c r="F153" s="418">
        <v>0</v>
      </c>
      <c r="G153" s="420">
        <v>2785.351728896022</v>
      </c>
      <c r="H153" s="417" t="s">
        <v>2646</v>
      </c>
      <c r="I153" s="417"/>
      <c r="J153" s="417" t="s">
        <v>2650</v>
      </c>
      <c r="K153" s="417" t="s">
        <v>2751</v>
      </c>
      <c r="L153" s="417"/>
      <c r="M153" s="417" t="s">
        <v>28840</v>
      </c>
    </row>
    <row r="154" spans="1:13" x14ac:dyDescent="0.25">
      <c r="A154" s="417" t="s">
        <v>2647</v>
      </c>
      <c r="B154" s="417" t="s">
        <v>2648</v>
      </c>
      <c r="C154" s="417" t="s">
        <v>2752</v>
      </c>
      <c r="D154" s="417" t="s">
        <v>74</v>
      </c>
      <c r="E154" s="418">
        <v>3.0576781293311996</v>
      </c>
      <c r="F154" s="418">
        <v>0</v>
      </c>
      <c r="G154" s="420">
        <v>3416.4879998592005</v>
      </c>
      <c r="H154" s="417" t="s">
        <v>2646</v>
      </c>
      <c r="I154" s="417"/>
      <c r="J154" s="417" t="s">
        <v>2650</v>
      </c>
      <c r="K154" s="417" t="s">
        <v>2753</v>
      </c>
      <c r="L154" s="417"/>
      <c r="M154" s="417" t="s">
        <v>28840</v>
      </c>
    </row>
    <row r="155" spans="1:13" x14ac:dyDescent="0.25">
      <c r="A155" s="417" t="s">
        <v>2647</v>
      </c>
      <c r="B155" s="417" t="s">
        <v>2648</v>
      </c>
      <c r="C155" s="417" t="s">
        <v>2754</v>
      </c>
      <c r="D155" s="417" t="s">
        <v>74</v>
      </c>
      <c r="E155" s="418">
        <v>1.6317215236836</v>
      </c>
      <c r="F155" s="418">
        <v>0</v>
      </c>
      <c r="G155" s="420">
        <v>1648.4164531560002</v>
      </c>
      <c r="H155" s="417" t="s">
        <v>2646</v>
      </c>
      <c r="I155" s="417"/>
      <c r="J155" s="417" t="s">
        <v>2650</v>
      </c>
      <c r="K155" s="417" t="s">
        <v>2755</v>
      </c>
      <c r="L155" s="417"/>
      <c r="M155" s="417" t="s">
        <v>28840</v>
      </c>
    </row>
    <row r="156" spans="1:13" x14ac:dyDescent="0.25">
      <c r="A156" s="417" t="s">
        <v>2647</v>
      </c>
      <c r="B156" s="417" t="s">
        <v>2648</v>
      </c>
      <c r="C156" s="417" t="s">
        <v>28973</v>
      </c>
      <c r="D156" s="417" t="s">
        <v>83</v>
      </c>
      <c r="E156" s="418">
        <v>2.093049720482556</v>
      </c>
      <c r="F156" s="418">
        <v>0</v>
      </c>
      <c r="G156" s="420">
        <v>2125.5933010527601</v>
      </c>
      <c r="H156" s="417" t="s">
        <v>2646</v>
      </c>
      <c r="I156" s="417"/>
      <c r="J156" s="417" t="s">
        <v>2650</v>
      </c>
      <c r="K156" s="417" t="s">
        <v>2756</v>
      </c>
      <c r="L156" s="417"/>
      <c r="M156" s="417" t="s">
        <v>28981</v>
      </c>
    </row>
    <row r="157" spans="1:13" x14ac:dyDescent="0.25">
      <c r="A157" s="417" t="s">
        <v>2647</v>
      </c>
      <c r="B157" s="417" t="s">
        <v>2648</v>
      </c>
      <c r="C157" s="417" t="s">
        <v>28974</v>
      </c>
      <c r="D157" s="417" t="s">
        <v>83</v>
      </c>
      <c r="E157" s="418">
        <v>5.795068944000001E-3</v>
      </c>
      <c r="F157" s="418">
        <v>1.8816000000000006</v>
      </c>
      <c r="G157" s="420">
        <v>16.73182224</v>
      </c>
      <c r="H157" s="417" t="s">
        <v>2646</v>
      </c>
      <c r="I157" s="417"/>
      <c r="J157" s="417" t="s">
        <v>2650</v>
      </c>
      <c r="K157" s="417" t="s">
        <v>2757</v>
      </c>
      <c r="L157" s="417"/>
      <c r="M157" s="417" t="s">
        <v>28840</v>
      </c>
    </row>
    <row r="158" spans="1:13" x14ac:dyDescent="0.25">
      <c r="A158" s="417" t="s">
        <v>2647</v>
      </c>
      <c r="B158" s="417" t="s">
        <v>2648</v>
      </c>
      <c r="C158" s="417" t="s">
        <v>2758</v>
      </c>
      <c r="D158" s="417" t="s">
        <v>74</v>
      </c>
      <c r="E158" s="418">
        <v>2.6747148348539995</v>
      </c>
      <c r="F158" s="418">
        <v>0</v>
      </c>
      <c r="G158" s="420">
        <v>5386.7148082399881</v>
      </c>
      <c r="H158" s="417" t="s">
        <v>2646</v>
      </c>
      <c r="I158" s="417"/>
      <c r="J158" s="417" t="s">
        <v>2650</v>
      </c>
      <c r="K158" s="417" t="s">
        <v>2759</v>
      </c>
      <c r="L158" s="417"/>
      <c r="M158" s="417" t="s">
        <v>28840</v>
      </c>
    </row>
    <row r="159" spans="1:13" x14ac:dyDescent="0.25">
      <c r="A159" s="417" t="s">
        <v>2647</v>
      </c>
      <c r="B159" s="417" t="s">
        <v>2648</v>
      </c>
      <c r="C159" s="417" t="s">
        <v>28975</v>
      </c>
      <c r="D159" s="417" t="s">
        <v>83</v>
      </c>
      <c r="E159" s="418">
        <v>1.9179999999999999</v>
      </c>
      <c r="F159" s="418">
        <v>0</v>
      </c>
      <c r="G159" s="420">
        <v>0</v>
      </c>
      <c r="H159" s="417" t="s">
        <v>2646</v>
      </c>
      <c r="I159" s="417"/>
      <c r="J159" s="417" t="s">
        <v>2650</v>
      </c>
      <c r="K159" s="417" t="s">
        <v>2760</v>
      </c>
      <c r="L159" s="417"/>
      <c r="M159" s="417" t="s">
        <v>28840</v>
      </c>
    </row>
    <row r="160" spans="1:13" x14ac:dyDescent="0.25">
      <c r="A160" s="417" t="s">
        <v>2647</v>
      </c>
      <c r="B160" s="417" t="s">
        <v>2648</v>
      </c>
      <c r="C160" s="417" t="s">
        <v>28976</v>
      </c>
      <c r="D160" s="417" t="s">
        <v>83</v>
      </c>
      <c r="E160" s="418">
        <v>4.0964</v>
      </c>
      <c r="F160" s="418">
        <v>0</v>
      </c>
      <c r="G160" s="420">
        <v>0</v>
      </c>
      <c r="H160" s="417" t="s">
        <v>2646</v>
      </c>
      <c r="I160" s="417"/>
      <c r="J160" s="417" t="s">
        <v>2650</v>
      </c>
      <c r="K160" s="417" t="s">
        <v>2761</v>
      </c>
      <c r="L160" s="417"/>
      <c r="M160" s="417" t="s">
        <v>28840</v>
      </c>
    </row>
    <row r="161" spans="1:13" x14ac:dyDescent="0.25">
      <c r="A161" s="417" t="s">
        <v>2647</v>
      </c>
      <c r="B161" s="417" t="s">
        <v>2648</v>
      </c>
      <c r="C161" s="417" t="s">
        <v>2762</v>
      </c>
      <c r="D161" s="417" t="s">
        <v>74</v>
      </c>
      <c r="E161" s="418">
        <v>1.5253998</v>
      </c>
      <c r="F161" s="418">
        <v>0</v>
      </c>
      <c r="G161" s="420">
        <v>0</v>
      </c>
      <c r="H161" s="417" t="s">
        <v>2646</v>
      </c>
      <c r="I161" s="417"/>
      <c r="J161" s="417" t="s">
        <v>2650</v>
      </c>
      <c r="K161" s="417" t="s">
        <v>2763</v>
      </c>
      <c r="L161" s="417"/>
      <c r="M161" s="417" t="s">
        <v>28840</v>
      </c>
    </row>
    <row r="162" spans="1:13" x14ac:dyDescent="0.25">
      <c r="A162" s="417" t="s">
        <v>2647</v>
      </c>
      <c r="B162" s="417" t="s">
        <v>2648</v>
      </c>
      <c r="C162" s="417" t="s">
        <v>2764</v>
      </c>
      <c r="D162" s="417" t="s">
        <v>74</v>
      </c>
      <c r="E162" s="418">
        <v>1.7546972000000001</v>
      </c>
      <c r="F162" s="418">
        <v>0</v>
      </c>
      <c r="G162" s="420">
        <v>0</v>
      </c>
      <c r="H162" s="417" t="s">
        <v>2646</v>
      </c>
      <c r="I162" s="417"/>
      <c r="J162" s="417" t="s">
        <v>2650</v>
      </c>
      <c r="K162" s="417" t="s">
        <v>2765</v>
      </c>
      <c r="L162" s="417"/>
      <c r="M162" s="417" t="s">
        <v>28840</v>
      </c>
    </row>
    <row r="163" spans="1:13" x14ac:dyDescent="0.25">
      <c r="A163" s="417" t="s">
        <v>2647</v>
      </c>
      <c r="B163" s="417" t="s">
        <v>2648</v>
      </c>
      <c r="C163" s="417" t="s">
        <v>2766</v>
      </c>
      <c r="D163" s="417" t="s">
        <v>74</v>
      </c>
      <c r="E163" s="418">
        <v>1.5095636000000003</v>
      </c>
      <c r="F163" s="418">
        <v>0</v>
      </c>
      <c r="G163" s="420">
        <v>0</v>
      </c>
      <c r="H163" s="417" t="s">
        <v>2646</v>
      </c>
      <c r="I163" s="417"/>
      <c r="J163" s="417" t="s">
        <v>2650</v>
      </c>
      <c r="K163" s="417" t="s">
        <v>2767</v>
      </c>
      <c r="L163" s="417"/>
      <c r="M163" s="417" t="s">
        <v>28840</v>
      </c>
    </row>
    <row r="164" spans="1:13" x14ac:dyDescent="0.25">
      <c r="A164" s="417" t="s">
        <v>2647</v>
      </c>
      <c r="B164" s="417" t="s">
        <v>2648</v>
      </c>
      <c r="C164" s="417" t="s">
        <v>2768</v>
      </c>
      <c r="D164" s="417" t="s">
        <v>74</v>
      </c>
      <c r="E164" s="418">
        <v>1.0888683000000001</v>
      </c>
      <c r="F164" s="418">
        <v>0</v>
      </c>
      <c r="G164" s="420">
        <v>0</v>
      </c>
      <c r="H164" s="417" t="s">
        <v>2646</v>
      </c>
      <c r="I164" s="417"/>
      <c r="J164" s="417" t="s">
        <v>2650</v>
      </c>
      <c r="K164" s="417" t="s">
        <v>2769</v>
      </c>
      <c r="L164" s="417"/>
      <c r="M164" s="417" t="s">
        <v>28840</v>
      </c>
    </row>
    <row r="165" spans="1:13" x14ac:dyDescent="0.25">
      <c r="A165" s="417" t="s">
        <v>2647</v>
      </c>
      <c r="B165" s="417" t="s">
        <v>2648</v>
      </c>
      <c r="C165" s="417" t="s">
        <v>2770</v>
      </c>
      <c r="D165" s="417" t="s">
        <v>73</v>
      </c>
      <c r="E165" s="418">
        <v>1.2532595181720512E-2</v>
      </c>
      <c r="F165" s="418">
        <v>3.071454677080148E-2</v>
      </c>
      <c r="G165" s="420">
        <v>19.002324505615547</v>
      </c>
      <c r="H165" s="417" t="s">
        <v>2646</v>
      </c>
      <c r="I165" s="417" t="s">
        <v>28989</v>
      </c>
      <c r="J165" s="417" t="s">
        <v>2771</v>
      </c>
      <c r="K165" s="417" t="s">
        <v>2772</v>
      </c>
      <c r="L165" s="417"/>
      <c r="M165" s="417" t="s">
        <v>28840</v>
      </c>
    </row>
    <row r="166" spans="1:13" x14ac:dyDescent="0.25">
      <c r="A166" s="417" t="s">
        <v>2647</v>
      </c>
      <c r="B166" s="417" t="s">
        <v>2648</v>
      </c>
      <c r="C166" s="417" t="s">
        <v>2773</v>
      </c>
      <c r="D166" s="417" t="s">
        <v>73</v>
      </c>
      <c r="E166" s="418">
        <v>3.2830780220302497E-8</v>
      </c>
      <c r="F166" s="418">
        <v>0</v>
      </c>
      <c r="G166" s="420">
        <v>6.6384958657025962E-5</v>
      </c>
      <c r="H166" s="417" t="s">
        <v>2646</v>
      </c>
      <c r="I166" s="417" t="s">
        <v>28989</v>
      </c>
      <c r="J166" s="417" t="s">
        <v>2771</v>
      </c>
      <c r="K166" s="417" t="s">
        <v>2774</v>
      </c>
      <c r="L166" s="417"/>
      <c r="M166" s="417" t="s">
        <v>28840</v>
      </c>
    </row>
    <row r="167" spans="1:13" x14ac:dyDescent="0.25">
      <c r="A167" s="417" t="s">
        <v>2647</v>
      </c>
      <c r="B167" s="417" t="s">
        <v>2648</v>
      </c>
      <c r="C167" s="417" t="s">
        <v>2775</v>
      </c>
      <c r="D167" s="417" t="s">
        <v>73</v>
      </c>
      <c r="E167" s="418">
        <v>8.6192274156129067E-2</v>
      </c>
      <c r="F167" s="418">
        <v>0</v>
      </c>
      <c r="G167" s="420">
        <v>87.973321602086955</v>
      </c>
      <c r="H167" s="417" t="s">
        <v>2646</v>
      </c>
      <c r="I167" s="417" t="s">
        <v>28989</v>
      </c>
      <c r="J167" s="417" t="s">
        <v>2771</v>
      </c>
      <c r="K167" s="417" t="s">
        <v>2776</v>
      </c>
      <c r="L167" s="417"/>
      <c r="M167" s="417" t="s">
        <v>28840</v>
      </c>
    </row>
    <row r="168" spans="1:13" x14ac:dyDescent="0.25">
      <c r="A168" s="417" t="s">
        <v>2647</v>
      </c>
      <c r="B168" s="417" t="s">
        <v>2648</v>
      </c>
      <c r="C168" s="417" t="s">
        <v>2777</v>
      </c>
      <c r="D168" s="417" t="s">
        <v>73</v>
      </c>
      <c r="E168" s="418">
        <v>6.5650759093823952E-2</v>
      </c>
      <c r="F168" s="418">
        <v>0</v>
      </c>
      <c r="G168" s="420">
        <v>66.055464648187808</v>
      </c>
      <c r="H168" s="417" t="s">
        <v>2646</v>
      </c>
      <c r="I168" s="417" t="s">
        <v>28989</v>
      </c>
      <c r="J168" s="417" t="s">
        <v>2771</v>
      </c>
      <c r="K168" s="417" t="s">
        <v>2778</v>
      </c>
      <c r="L168" s="417"/>
      <c r="M168" s="417" t="s">
        <v>28840</v>
      </c>
    </row>
    <row r="169" spans="1:13" x14ac:dyDescent="0.25">
      <c r="A169" s="417" t="s">
        <v>2647</v>
      </c>
      <c r="B169" s="417" t="s">
        <v>2648</v>
      </c>
      <c r="C169" s="417" t="s">
        <v>2779</v>
      </c>
      <c r="D169" s="417" t="s">
        <v>73</v>
      </c>
      <c r="E169" s="418">
        <v>9.6102284850000015E-4</v>
      </c>
      <c r="F169" s="418">
        <v>0.12014418000000002</v>
      </c>
      <c r="G169" s="420">
        <v>26.287867981695921</v>
      </c>
      <c r="H169" s="417" t="s">
        <v>2646</v>
      </c>
      <c r="I169" s="417" t="s">
        <v>28989</v>
      </c>
      <c r="J169" s="417" t="s">
        <v>2771</v>
      </c>
      <c r="K169" s="417" t="s">
        <v>2780</v>
      </c>
      <c r="L169" s="417"/>
      <c r="M169" s="417" t="s">
        <v>28840</v>
      </c>
    </row>
    <row r="170" spans="1:13" x14ac:dyDescent="0.25">
      <c r="A170" s="417" t="s">
        <v>2647</v>
      </c>
      <c r="B170" s="417" t="s">
        <v>2648</v>
      </c>
      <c r="C170" s="417" t="s">
        <v>2781</v>
      </c>
      <c r="D170" s="417" t="s">
        <v>73</v>
      </c>
      <c r="E170" s="418">
        <v>3.2510590200000009E-4</v>
      </c>
      <c r="F170" s="418">
        <v>4.0643760000000008E-2</v>
      </c>
      <c r="G170" s="420">
        <v>4.880646769322377</v>
      </c>
      <c r="H170" s="417" t="s">
        <v>2646</v>
      </c>
      <c r="I170" s="417" t="s">
        <v>28989</v>
      </c>
      <c r="J170" s="417" t="s">
        <v>2771</v>
      </c>
      <c r="K170" s="417" t="s">
        <v>2782</v>
      </c>
      <c r="L170" s="417"/>
      <c r="M170" s="417" t="s">
        <v>28840</v>
      </c>
    </row>
    <row r="171" spans="1:13" x14ac:dyDescent="0.25">
      <c r="A171" s="417" t="s">
        <v>2647</v>
      </c>
      <c r="B171" s="417" t="s">
        <v>2648</v>
      </c>
      <c r="C171" s="417" t="s">
        <v>2783</v>
      </c>
      <c r="D171" s="417" t="s">
        <v>73</v>
      </c>
      <c r="E171" s="418">
        <v>5.0793485921358282E-3</v>
      </c>
      <c r="F171" s="418">
        <v>1.5723606673140277E-3</v>
      </c>
      <c r="G171" s="420">
        <v>5.6415012433214091</v>
      </c>
      <c r="H171" s="417" t="s">
        <v>2646</v>
      </c>
      <c r="I171" s="417" t="s">
        <v>28989</v>
      </c>
      <c r="J171" s="417" t="s">
        <v>2771</v>
      </c>
      <c r="K171" s="417" t="s">
        <v>2784</v>
      </c>
      <c r="L171" s="417"/>
      <c r="M171" s="417" t="s">
        <v>28840</v>
      </c>
    </row>
    <row r="172" spans="1:13" x14ac:dyDescent="0.25">
      <c r="A172" s="417" t="s">
        <v>2647</v>
      </c>
      <c r="B172" s="417" t="s">
        <v>2648</v>
      </c>
      <c r="C172" s="417" t="s">
        <v>2785</v>
      </c>
      <c r="D172" s="417" t="s">
        <v>73</v>
      </c>
      <c r="E172" s="418">
        <v>5.5953199408298572E-3</v>
      </c>
      <c r="F172" s="418">
        <v>1.7320845058006317E-3</v>
      </c>
      <c r="G172" s="420">
        <v>6.2145772888762183</v>
      </c>
      <c r="H172" s="417" t="s">
        <v>2646</v>
      </c>
      <c r="I172" s="417" t="s">
        <v>28989</v>
      </c>
      <c r="J172" s="417" t="s">
        <v>2771</v>
      </c>
      <c r="K172" s="417" t="s">
        <v>2786</v>
      </c>
      <c r="L172" s="417"/>
      <c r="M172" s="417" t="s">
        <v>28840</v>
      </c>
    </row>
    <row r="173" spans="1:13" x14ac:dyDescent="0.25">
      <c r="A173" s="417" t="s">
        <v>2647</v>
      </c>
      <c r="B173" s="417" t="s">
        <v>2648</v>
      </c>
      <c r="C173" s="417" t="s">
        <v>2787</v>
      </c>
      <c r="D173" s="417" t="s">
        <v>73</v>
      </c>
      <c r="E173" s="418">
        <v>5.5953199408298572E-3</v>
      </c>
      <c r="F173" s="418">
        <v>1.7320845058006317E-3</v>
      </c>
      <c r="G173" s="420">
        <v>6.2145772888762183</v>
      </c>
      <c r="H173" s="417" t="s">
        <v>2646</v>
      </c>
      <c r="I173" s="417" t="s">
        <v>28989</v>
      </c>
      <c r="J173" s="417" t="s">
        <v>2771</v>
      </c>
      <c r="K173" s="417" t="s">
        <v>2788</v>
      </c>
      <c r="L173" s="417"/>
      <c r="M173" s="417" t="s">
        <v>28840</v>
      </c>
    </row>
    <row r="174" spans="1:13" x14ac:dyDescent="0.25">
      <c r="A174" s="417" t="s">
        <v>2647</v>
      </c>
      <c r="B174" s="417" t="s">
        <v>2648</v>
      </c>
      <c r="C174" s="417" t="s">
        <v>2789</v>
      </c>
      <c r="D174" s="417" t="s">
        <v>73</v>
      </c>
      <c r="E174" s="418">
        <v>0</v>
      </c>
      <c r="F174" s="418">
        <v>0</v>
      </c>
      <c r="G174" s="420">
        <v>0</v>
      </c>
      <c r="H174" s="417" t="s">
        <v>2646</v>
      </c>
      <c r="I174" s="417" t="s">
        <v>28989</v>
      </c>
      <c r="J174" s="417" t="s">
        <v>2771</v>
      </c>
      <c r="K174" s="417" t="s">
        <v>2790</v>
      </c>
      <c r="L174" s="417"/>
      <c r="M174" s="417" t="s">
        <v>28840</v>
      </c>
    </row>
    <row r="175" spans="1:13" x14ac:dyDescent="0.25">
      <c r="A175" s="417" t="s">
        <v>2647</v>
      </c>
      <c r="B175" s="417" t="s">
        <v>2648</v>
      </c>
      <c r="C175" s="417" t="s">
        <v>2791</v>
      </c>
      <c r="D175" s="417" t="s">
        <v>73</v>
      </c>
      <c r="E175" s="418">
        <v>2.7210067251069919E-2</v>
      </c>
      <c r="F175" s="418">
        <v>0</v>
      </c>
      <c r="G175" s="420">
        <v>31.084040394753696</v>
      </c>
      <c r="H175" s="417" t="s">
        <v>2646</v>
      </c>
      <c r="I175" s="417" t="s">
        <v>28989</v>
      </c>
      <c r="J175" s="417" t="s">
        <v>2771</v>
      </c>
      <c r="K175" s="417" t="s">
        <v>2792</v>
      </c>
      <c r="L175" s="417"/>
      <c r="M175" s="417" t="s">
        <v>28840</v>
      </c>
    </row>
    <row r="176" spans="1:13" x14ac:dyDescent="0.25">
      <c r="A176" s="417" t="s">
        <v>2647</v>
      </c>
      <c r="B176" s="417" t="s">
        <v>2648</v>
      </c>
      <c r="C176" s="417" t="s">
        <v>2793</v>
      </c>
      <c r="D176" s="417" t="s">
        <v>73</v>
      </c>
      <c r="E176" s="418">
        <v>2.2668751661319687E-2</v>
      </c>
      <c r="F176" s="418">
        <v>0</v>
      </c>
      <c r="G176" s="420">
        <v>23.204084770225471</v>
      </c>
      <c r="H176" s="417" t="s">
        <v>2646</v>
      </c>
      <c r="I176" s="417" t="s">
        <v>28989</v>
      </c>
      <c r="J176" s="417" t="s">
        <v>2771</v>
      </c>
      <c r="K176" s="417" t="s">
        <v>2794</v>
      </c>
      <c r="L176" s="417"/>
      <c r="M176" s="417" t="s">
        <v>28840</v>
      </c>
    </row>
    <row r="177" spans="1:13" x14ac:dyDescent="0.25">
      <c r="A177" s="417" t="s">
        <v>2647</v>
      </c>
      <c r="B177" s="417" t="s">
        <v>2648</v>
      </c>
      <c r="C177" s="417" t="s">
        <v>2795</v>
      </c>
      <c r="D177" s="417" t="s">
        <v>73</v>
      </c>
      <c r="E177" s="418">
        <v>8.4257799411968691E-4</v>
      </c>
      <c r="F177" s="418">
        <v>2.1739216799999999E-2</v>
      </c>
      <c r="G177" s="420">
        <v>1.3431283561454701</v>
      </c>
      <c r="H177" s="417" t="s">
        <v>2646</v>
      </c>
      <c r="I177" s="417" t="s">
        <v>28989</v>
      </c>
      <c r="J177" s="417" t="s">
        <v>2771</v>
      </c>
      <c r="K177" s="417" t="s">
        <v>2796</v>
      </c>
      <c r="L177" s="417"/>
      <c r="M177" s="417" t="s">
        <v>28840</v>
      </c>
    </row>
    <row r="178" spans="1:13" x14ac:dyDescent="0.25">
      <c r="A178" s="417" t="s">
        <v>2647</v>
      </c>
      <c r="B178" s="417" t="s">
        <v>2648</v>
      </c>
      <c r="C178" s="417" t="s">
        <v>2797</v>
      </c>
      <c r="D178" s="417" t="s">
        <v>73</v>
      </c>
      <c r="E178" s="418">
        <v>7.0544368090159848E-2</v>
      </c>
      <c r="F178" s="418">
        <v>0</v>
      </c>
      <c r="G178" s="420">
        <v>73.095652969159843</v>
      </c>
      <c r="H178" s="417" t="s">
        <v>2646</v>
      </c>
      <c r="I178" s="417" t="s">
        <v>28989</v>
      </c>
      <c r="J178" s="417" t="s">
        <v>2771</v>
      </c>
      <c r="K178" s="417" t="s">
        <v>2798</v>
      </c>
      <c r="L178" s="417"/>
      <c r="M178" s="417" t="s">
        <v>28840</v>
      </c>
    </row>
    <row r="179" spans="1:13" x14ac:dyDescent="0.25">
      <c r="A179" s="417" t="s">
        <v>2647</v>
      </c>
      <c r="B179" s="417" t="s">
        <v>2648</v>
      </c>
      <c r="C179" s="417" t="s">
        <v>2799</v>
      </c>
      <c r="D179" s="417" t="s">
        <v>88</v>
      </c>
      <c r="E179" s="418">
        <v>0.19463010273080003</v>
      </c>
      <c r="F179" s="418">
        <v>0</v>
      </c>
      <c r="G179" s="420">
        <v>201.66903229440001</v>
      </c>
      <c r="H179" s="417" t="s">
        <v>2646</v>
      </c>
      <c r="I179" s="417" t="s">
        <v>1392</v>
      </c>
      <c r="J179" s="417" t="s">
        <v>2771</v>
      </c>
      <c r="K179" s="417" t="s">
        <v>2800</v>
      </c>
      <c r="L179" s="417"/>
      <c r="M179" s="417" t="s">
        <v>28840</v>
      </c>
    </row>
    <row r="180" spans="1:13" x14ac:dyDescent="0.25">
      <c r="A180" s="417" t="s">
        <v>2647</v>
      </c>
      <c r="B180" s="417" t="s">
        <v>2648</v>
      </c>
      <c r="C180" s="417" t="s">
        <v>2801</v>
      </c>
      <c r="D180" s="417" t="s">
        <v>73</v>
      </c>
      <c r="E180" s="418">
        <v>4.1291524242053395E-5</v>
      </c>
      <c r="F180" s="418">
        <v>0</v>
      </c>
      <c r="G180" s="420">
        <v>0.22915199999999999</v>
      </c>
      <c r="H180" s="417" t="s">
        <v>2646</v>
      </c>
      <c r="I180" s="417" t="s">
        <v>28989</v>
      </c>
      <c r="J180" s="417" t="s">
        <v>2771</v>
      </c>
      <c r="K180" s="417" t="s">
        <v>2802</v>
      </c>
      <c r="L180" s="417"/>
      <c r="M180" s="417" t="s">
        <v>28840</v>
      </c>
    </row>
    <row r="181" spans="1:13" x14ac:dyDescent="0.25">
      <c r="A181" s="417" t="s">
        <v>2647</v>
      </c>
      <c r="B181" s="417" t="s">
        <v>2803</v>
      </c>
      <c r="C181" s="417" t="s">
        <v>2804</v>
      </c>
      <c r="D181" s="417" t="s">
        <v>224</v>
      </c>
      <c r="E181" s="418">
        <v>5.625548261860136E-2</v>
      </c>
      <c r="F181" s="418">
        <v>1.7414419700826737E-2</v>
      </c>
      <c r="G181" s="420">
        <v>62.481511040185509</v>
      </c>
      <c r="H181" s="417" t="s">
        <v>2646</v>
      </c>
      <c r="I181" s="417" t="s">
        <v>28992</v>
      </c>
      <c r="J181" s="417" t="s">
        <v>2805</v>
      </c>
      <c r="K181" s="417" t="s">
        <v>2806</v>
      </c>
      <c r="L181" s="417"/>
      <c r="M181" s="417" t="s">
        <v>28840</v>
      </c>
    </row>
    <row r="182" spans="1:13" x14ac:dyDescent="0.25">
      <c r="A182" s="417" t="s">
        <v>2647</v>
      </c>
      <c r="B182" s="417" t="s">
        <v>2803</v>
      </c>
      <c r="C182" s="417" t="s">
        <v>2807</v>
      </c>
      <c r="D182" s="417" t="s">
        <v>224</v>
      </c>
      <c r="E182" s="418">
        <v>5.625548261860136E-2</v>
      </c>
      <c r="F182" s="418">
        <v>1.7414419700826737E-2</v>
      </c>
      <c r="G182" s="420">
        <v>62.481511040185509</v>
      </c>
      <c r="H182" s="417" t="s">
        <v>2646</v>
      </c>
      <c r="I182" s="417" t="s">
        <v>28992</v>
      </c>
      <c r="J182" s="417" t="s">
        <v>2805</v>
      </c>
      <c r="K182" s="417" t="s">
        <v>2808</v>
      </c>
      <c r="L182" s="417"/>
      <c r="M182" s="417" t="s">
        <v>28840</v>
      </c>
    </row>
    <row r="183" spans="1:13" x14ac:dyDescent="0.25">
      <c r="A183" s="417" t="s">
        <v>2647</v>
      </c>
      <c r="B183" s="417" t="s">
        <v>2803</v>
      </c>
      <c r="C183" s="417" t="s">
        <v>2809</v>
      </c>
      <c r="D183" s="417" t="s">
        <v>224</v>
      </c>
      <c r="E183" s="418">
        <v>8.832039309877932E-4</v>
      </c>
      <c r="F183" s="418">
        <v>0</v>
      </c>
      <c r="G183" s="420">
        <v>7.2342081316473106</v>
      </c>
      <c r="H183" s="417" t="s">
        <v>2646</v>
      </c>
      <c r="I183" s="417" t="s">
        <v>215</v>
      </c>
      <c r="J183" s="417" t="s">
        <v>2810</v>
      </c>
      <c r="K183" s="417" t="s">
        <v>2811</v>
      </c>
      <c r="L183" s="417"/>
      <c r="M183" s="417" t="s">
        <v>28840</v>
      </c>
    </row>
    <row r="184" spans="1:13" x14ac:dyDescent="0.25">
      <c r="A184" s="417" t="s">
        <v>2647</v>
      </c>
      <c r="B184" s="417" t="s">
        <v>2803</v>
      </c>
      <c r="C184" s="417" t="s">
        <v>2812</v>
      </c>
      <c r="D184" s="417" t="s">
        <v>224</v>
      </c>
      <c r="E184" s="418">
        <v>0</v>
      </c>
      <c r="F184" s="418">
        <v>0</v>
      </c>
      <c r="G184" s="420">
        <v>9.6257581892799973</v>
      </c>
      <c r="H184" s="417" t="s">
        <v>2646</v>
      </c>
      <c r="I184" s="417" t="s">
        <v>215</v>
      </c>
      <c r="J184" s="417" t="s">
        <v>2810</v>
      </c>
      <c r="K184" s="417" t="s">
        <v>2813</v>
      </c>
      <c r="L184" s="417"/>
      <c r="M184" s="417" t="s">
        <v>28840</v>
      </c>
    </row>
    <row r="185" spans="1:13" x14ac:dyDescent="0.25">
      <c r="A185" s="417" t="s">
        <v>2647</v>
      </c>
      <c r="B185" s="417" t="s">
        <v>2803</v>
      </c>
      <c r="C185" s="417" t="s">
        <v>2814</v>
      </c>
      <c r="D185" s="417" t="s">
        <v>224</v>
      </c>
      <c r="E185" s="418">
        <v>5.1423659999999998E-5</v>
      </c>
      <c r="F185" s="418">
        <v>0</v>
      </c>
      <c r="G185" s="420">
        <v>10.112788800000001</v>
      </c>
      <c r="H185" s="417" t="s">
        <v>2646</v>
      </c>
      <c r="I185" s="417" t="s">
        <v>215</v>
      </c>
      <c r="J185" s="417" t="s">
        <v>2810</v>
      </c>
      <c r="K185" s="417" t="s">
        <v>2815</v>
      </c>
      <c r="L185" s="417"/>
      <c r="M185" s="417" t="s">
        <v>28840</v>
      </c>
    </row>
    <row r="186" spans="1:13" x14ac:dyDescent="0.25">
      <c r="A186" s="417" t="s">
        <v>2647</v>
      </c>
      <c r="B186" s="417" t="s">
        <v>2803</v>
      </c>
      <c r="C186" s="417" t="s">
        <v>2816</v>
      </c>
      <c r="D186" s="417" t="s">
        <v>224</v>
      </c>
      <c r="E186" s="418">
        <v>1.1089953205982E-2</v>
      </c>
      <c r="F186" s="418">
        <v>0.64094525283473314</v>
      </c>
      <c r="G186" s="420">
        <v>62.458203470834633</v>
      </c>
      <c r="H186" s="417" t="s">
        <v>2646</v>
      </c>
      <c r="I186" s="417" t="s">
        <v>215</v>
      </c>
      <c r="J186" s="417" t="s">
        <v>2810</v>
      </c>
      <c r="K186" s="417" t="s">
        <v>2817</v>
      </c>
      <c r="L186" s="417"/>
      <c r="M186" s="417" t="s">
        <v>28840</v>
      </c>
    </row>
    <row r="187" spans="1:13" x14ac:dyDescent="0.25">
      <c r="A187" s="417" t="s">
        <v>2647</v>
      </c>
      <c r="B187" s="417" t="s">
        <v>2803</v>
      </c>
      <c r="C187" s="417" t="s">
        <v>2818</v>
      </c>
      <c r="D187" s="417" t="s">
        <v>224</v>
      </c>
      <c r="E187" s="418">
        <v>5.1423659999999998E-5</v>
      </c>
      <c r="F187" s="418">
        <v>0</v>
      </c>
      <c r="G187" s="420">
        <v>10.112788800000001</v>
      </c>
      <c r="H187" s="417" t="s">
        <v>2646</v>
      </c>
      <c r="I187" s="417" t="s">
        <v>215</v>
      </c>
      <c r="J187" s="417" t="s">
        <v>2810</v>
      </c>
      <c r="K187" s="417" t="s">
        <v>2819</v>
      </c>
      <c r="L187" s="417"/>
      <c r="M187" s="417" t="s">
        <v>28840</v>
      </c>
    </row>
    <row r="188" spans="1:13" x14ac:dyDescent="0.25">
      <c r="A188" s="417" t="s">
        <v>2647</v>
      </c>
      <c r="B188" s="417" t="s">
        <v>2803</v>
      </c>
      <c r="C188" s="417" t="s">
        <v>2820</v>
      </c>
      <c r="D188" s="417" t="s">
        <v>224</v>
      </c>
      <c r="E188" s="418">
        <v>2.6310295012235558E-5</v>
      </c>
      <c r="F188" s="418">
        <v>0</v>
      </c>
      <c r="G188" s="420">
        <v>0.57842918337502092</v>
      </c>
      <c r="H188" s="417" t="s">
        <v>2646</v>
      </c>
      <c r="I188" s="417" t="s">
        <v>215</v>
      </c>
      <c r="J188" s="417" t="s">
        <v>2810</v>
      </c>
      <c r="K188" s="417" t="s">
        <v>2821</v>
      </c>
      <c r="L188" s="417"/>
      <c r="M188" s="417" t="s">
        <v>28840</v>
      </c>
    </row>
    <row r="189" spans="1:13" x14ac:dyDescent="0.25">
      <c r="A189" s="417" t="s">
        <v>2647</v>
      </c>
      <c r="B189" s="417" t="s">
        <v>2803</v>
      </c>
      <c r="C189" s="417" t="s">
        <v>2822</v>
      </c>
      <c r="D189" s="417" t="s">
        <v>224</v>
      </c>
      <c r="E189" s="418">
        <v>0.57622046903629187</v>
      </c>
      <c r="F189" s="418">
        <v>0</v>
      </c>
      <c r="G189" s="420">
        <v>658.65701871835211</v>
      </c>
      <c r="H189" s="417" t="s">
        <v>2646</v>
      </c>
      <c r="I189" s="417" t="s">
        <v>215</v>
      </c>
      <c r="J189" s="417" t="s">
        <v>2810</v>
      </c>
      <c r="K189" s="417" t="s">
        <v>2823</v>
      </c>
      <c r="L189" s="417"/>
      <c r="M189" s="417" t="s">
        <v>28840</v>
      </c>
    </row>
    <row r="190" spans="1:13" x14ac:dyDescent="0.25">
      <c r="A190" s="417" t="s">
        <v>2647</v>
      </c>
      <c r="B190" s="417" t="s">
        <v>2803</v>
      </c>
      <c r="C190" s="417" t="s">
        <v>2824</v>
      </c>
      <c r="D190" s="417" t="s">
        <v>224</v>
      </c>
      <c r="E190" s="418">
        <v>0.43273223690504498</v>
      </c>
      <c r="F190" s="418">
        <v>0</v>
      </c>
      <c r="G190" s="420">
        <v>442.95140985144997</v>
      </c>
      <c r="H190" s="417" t="s">
        <v>2646</v>
      </c>
      <c r="I190" s="417" t="s">
        <v>215</v>
      </c>
      <c r="J190" s="417" t="s">
        <v>2810</v>
      </c>
      <c r="K190" s="417" t="s">
        <v>2825</v>
      </c>
      <c r="L190" s="417"/>
      <c r="M190" s="417" t="s">
        <v>28840</v>
      </c>
    </row>
    <row r="191" spans="1:13" x14ac:dyDescent="0.25">
      <c r="A191" s="417" t="s">
        <v>2647</v>
      </c>
      <c r="B191" s="417" t="s">
        <v>2803</v>
      </c>
      <c r="C191" s="417" t="s">
        <v>2826</v>
      </c>
      <c r="D191" s="417" t="s">
        <v>224</v>
      </c>
      <c r="E191" s="418">
        <v>0</v>
      </c>
      <c r="F191" s="418">
        <v>0</v>
      </c>
      <c r="G191" s="420">
        <v>0</v>
      </c>
      <c r="H191" s="417" t="s">
        <v>2646</v>
      </c>
      <c r="I191" s="417" t="s">
        <v>215</v>
      </c>
      <c r="J191" s="417" t="s">
        <v>2810</v>
      </c>
      <c r="K191" s="417" t="s">
        <v>2827</v>
      </c>
      <c r="L191" s="417"/>
      <c r="M191" s="417" t="s">
        <v>28840</v>
      </c>
    </row>
    <row r="192" spans="1:13" x14ac:dyDescent="0.25">
      <c r="A192" s="417" t="s">
        <v>2647</v>
      </c>
      <c r="B192" s="417" t="s">
        <v>2803</v>
      </c>
      <c r="C192" s="417" t="s">
        <v>2828</v>
      </c>
      <c r="D192" s="417" t="s">
        <v>224</v>
      </c>
      <c r="E192" s="418">
        <v>8.832039309877932E-4</v>
      </c>
      <c r="F192" s="418">
        <v>0</v>
      </c>
      <c r="G192" s="420">
        <v>7.2342081316473106</v>
      </c>
      <c r="H192" s="417" t="s">
        <v>2646</v>
      </c>
      <c r="I192" s="417" t="s">
        <v>215</v>
      </c>
      <c r="J192" s="417" t="s">
        <v>2810</v>
      </c>
      <c r="K192" s="417" t="s">
        <v>2829</v>
      </c>
      <c r="L192" s="417"/>
      <c r="M192" s="417" t="s">
        <v>28840</v>
      </c>
    </row>
    <row r="193" spans="1:13" x14ac:dyDescent="0.25">
      <c r="A193" s="417" t="s">
        <v>2647</v>
      </c>
      <c r="B193" s="417" t="s">
        <v>2803</v>
      </c>
      <c r="C193" s="417" t="s">
        <v>2830</v>
      </c>
      <c r="D193" s="417" t="s">
        <v>224</v>
      </c>
      <c r="E193" s="418">
        <v>0</v>
      </c>
      <c r="F193" s="418">
        <v>0</v>
      </c>
      <c r="G193" s="420">
        <v>9.6257581892799973</v>
      </c>
      <c r="H193" s="417" t="s">
        <v>2646</v>
      </c>
      <c r="I193" s="417" t="s">
        <v>215</v>
      </c>
      <c r="J193" s="417" t="s">
        <v>2810</v>
      </c>
      <c r="K193" s="417" t="s">
        <v>2831</v>
      </c>
      <c r="L193" s="417"/>
      <c r="M193" s="417" t="s">
        <v>28840</v>
      </c>
    </row>
    <row r="194" spans="1:13" x14ac:dyDescent="0.25">
      <c r="A194" s="417" t="s">
        <v>2647</v>
      </c>
      <c r="B194" s="417" t="s">
        <v>2803</v>
      </c>
      <c r="C194" s="417" t="s">
        <v>2832</v>
      </c>
      <c r="D194" s="417" t="s">
        <v>224</v>
      </c>
      <c r="E194" s="418">
        <v>5.1423659999999998E-5</v>
      </c>
      <c r="F194" s="418">
        <v>0</v>
      </c>
      <c r="G194" s="420">
        <v>10.112788800000001</v>
      </c>
      <c r="H194" s="417" t="s">
        <v>2646</v>
      </c>
      <c r="I194" s="417" t="s">
        <v>215</v>
      </c>
      <c r="J194" s="417" t="s">
        <v>2810</v>
      </c>
      <c r="K194" s="417" t="s">
        <v>2833</v>
      </c>
      <c r="L194" s="417"/>
      <c r="M194" s="417" t="s">
        <v>28840</v>
      </c>
    </row>
    <row r="195" spans="1:13" x14ac:dyDescent="0.25">
      <c r="A195" s="417" t="s">
        <v>2647</v>
      </c>
      <c r="B195" s="417" t="s">
        <v>2803</v>
      </c>
      <c r="C195" s="417" t="s">
        <v>2834</v>
      </c>
      <c r="D195" s="417" t="s">
        <v>224</v>
      </c>
      <c r="E195" s="418">
        <v>1.1089953205982E-2</v>
      </c>
      <c r="F195" s="418">
        <v>0.64094525283473314</v>
      </c>
      <c r="G195" s="420">
        <v>62.458203470834633</v>
      </c>
      <c r="H195" s="417" t="s">
        <v>2646</v>
      </c>
      <c r="I195" s="417" t="s">
        <v>215</v>
      </c>
      <c r="J195" s="417" t="s">
        <v>2810</v>
      </c>
      <c r="K195" s="417" t="s">
        <v>2835</v>
      </c>
      <c r="L195" s="417"/>
      <c r="M195" s="417" t="s">
        <v>28840</v>
      </c>
    </row>
    <row r="196" spans="1:13" x14ac:dyDescent="0.25">
      <c r="A196" s="417" t="s">
        <v>2647</v>
      </c>
      <c r="B196" s="417" t="s">
        <v>2803</v>
      </c>
      <c r="C196" s="417" t="s">
        <v>2836</v>
      </c>
      <c r="D196" s="417" t="s">
        <v>224</v>
      </c>
      <c r="E196" s="418">
        <v>5.1423659999999998E-5</v>
      </c>
      <c r="F196" s="418">
        <v>0</v>
      </c>
      <c r="G196" s="420">
        <v>10.112788800000001</v>
      </c>
      <c r="H196" s="417" t="s">
        <v>2646</v>
      </c>
      <c r="I196" s="417" t="s">
        <v>215</v>
      </c>
      <c r="J196" s="417" t="s">
        <v>2810</v>
      </c>
      <c r="K196" s="417" t="s">
        <v>2837</v>
      </c>
      <c r="L196" s="417"/>
      <c r="M196" s="417" t="s">
        <v>28840</v>
      </c>
    </row>
    <row r="197" spans="1:13" x14ac:dyDescent="0.25">
      <c r="A197" s="417" t="s">
        <v>2647</v>
      </c>
      <c r="B197" s="417" t="s">
        <v>2803</v>
      </c>
      <c r="C197" s="417" t="s">
        <v>2838</v>
      </c>
      <c r="D197" s="417" t="s">
        <v>224</v>
      </c>
      <c r="E197" s="418">
        <v>2.6310295012235558E-5</v>
      </c>
      <c r="F197" s="418">
        <v>0</v>
      </c>
      <c r="G197" s="420">
        <v>0.57842918337502092</v>
      </c>
      <c r="H197" s="417" t="s">
        <v>2646</v>
      </c>
      <c r="I197" s="417" t="s">
        <v>215</v>
      </c>
      <c r="J197" s="417" t="s">
        <v>2810</v>
      </c>
      <c r="K197" s="417" t="s">
        <v>2839</v>
      </c>
      <c r="L197" s="417"/>
      <c r="M197" s="417" t="s">
        <v>28840</v>
      </c>
    </row>
    <row r="198" spans="1:13" x14ac:dyDescent="0.25">
      <c r="A198" s="417" t="s">
        <v>2647</v>
      </c>
      <c r="B198" s="417" t="s">
        <v>2803</v>
      </c>
      <c r="C198" s="417" t="s">
        <v>2840</v>
      </c>
      <c r="D198" s="417" t="s">
        <v>224</v>
      </c>
      <c r="E198" s="418">
        <v>0.57622046903629187</v>
      </c>
      <c r="F198" s="418">
        <v>0</v>
      </c>
      <c r="G198" s="420">
        <v>658.65701871835211</v>
      </c>
      <c r="H198" s="417" t="s">
        <v>2646</v>
      </c>
      <c r="I198" s="417" t="s">
        <v>215</v>
      </c>
      <c r="J198" s="417" t="s">
        <v>2810</v>
      </c>
      <c r="K198" s="417" t="s">
        <v>2841</v>
      </c>
      <c r="L198" s="417"/>
      <c r="M198" s="417" t="s">
        <v>28840</v>
      </c>
    </row>
    <row r="199" spans="1:13" x14ac:dyDescent="0.25">
      <c r="A199" s="417" t="s">
        <v>2647</v>
      </c>
      <c r="B199" s="417" t="s">
        <v>2803</v>
      </c>
      <c r="C199" s="417" t="s">
        <v>2842</v>
      </c>
      <c r="D199" s="417" t="s">
        <v>224</v>
      </c>
      <c r="E199" s="418">
        <v>0.43273223690504498</v>
      </c>
      <c r="F199" s="418">
        <v>0</v>
      </c>
      <c r="G199" s="420">
        <v>442.95140985144997</v>
      </c>
      <c r="H199" s="417" t="s">
        <v>2646</v>
      </c>
      <c r="I199" s="417" t="s">
        <v>215</v>
      </c>
      <c r="J199" s="417" t="s">
        <v>2810</v>
      </c>
      <c r="K199" s="417" t="s">
        <v>2843</v>
      </c>
      <c r="L199" s="417"/>
      <c r="M199" s="417" t="s">
        <v>28840</v>
      </c>
    </row>
    <row r="200" spans="1:13" x14ac:dyDescent="0.25">
      <c r="A200" s="417" t="s">
        <v>2647</v>
      </c>
      <c r="B200" s="417" t="s">
        <v>2803</v>
      </c>
      <c r="C200" s="417" t="s">
        <v>2844</v>
      </c>
      <c r="D200" s="417" t="s">
        <v>224</v>
      </c>
      <c r="E200" s="418">
        <v>0</v>
      </c>
      <c r="F200" s="418">
        <v>0</v>
      </c>
      <c r="G200" s="420">
        <v>0</v>
      </c>
      <c r="H200" s="417" t="s">
        <v>2646</v>
      </c>
      <c r="I200" s="417" t="s">
        <v>215</v>
      </c>
      <c r="J200" s="417" t="s">
        <v>2810</v>
      </c>
      <c r="K200" s="417" t="s">
        <v>2845</v>
      </c>
      <c r="L200" s="417"/>
      <c r="M200" s="417" t="s">
        <v>28840</v>
      </c>
    </row>
    <row r="201" spans="1:13" x14ac:dyDescent="0.25">
      <c r="A201" s="417" t="s">
        <v>2647</v>
      </c>
      <c r="B201" s="417" t="s">
        <v>2803</v>
      </c>
      <c r="C201" s="417" t="s">
        <v>2846</v>
      </c>
      <c r="D201" s="417" t="s">
        <v>224</v>
      </c>
      <c r="E201" s="418">
        <v>8.832039309877932E-4</v>
      </c>
      <c r="F201" s="418">
        <v>0</v>
      </c>
      <c r="G201" s="420">
        <v>7.2342081316473106</v>
      </c>
      <c r="H201" s="417" t="s">
        <v>2646</v>
      </c>
      <c r="I201" s="417" t="s">
        <v>215</v>
      </c>
      <c r="J201" s="417" t="s">
        <v>2847</v>
      </c>
      <c r="K201" s="417" t="s">
        <v>2848</v>
      </c>
      <c r="L201" s="417"/>
      <c r="M201" s="417" t="s">
        <v>28840</v>
      </c>
    </row>
    <row r="202" spans="1:13" x14ac:dyDescent="0.25">
      <c r="A202" s="417" t="s">
        <v>2647</v>
      </c>
      <c r="B202" s="417" t="s">
        <v>2803</v>
      </c>
      <c r="C202" s="417" t="s">
        <v>2849</v>
      </c>
      <c r="D202" s="417" t="s">
        <v>224</v>
      </c>
      <c r="E202" s="418">
        <v>0</v>
      </c>
      <c r="F202" s="418">
        <v>0</v>
      </c>
      <c r="G202" s="420">
        <v>9.6257581892799973</v>
      </c>
      <c r="H202" s="417" t="s">
        <v>2646</v>
      </c>
      <c r="I202" s="417" t="s">
        <v>215</v>
      </c>
      <c r="J202" s="417" t="s">
        <v>2847</v>
      </c>
      <c r="K202" s="417" t="s">
        <v>2850</v>
      </c>
      <c r="L202" s="417"/>
      <c r="M202" s="417" t="s">
        <v>28840</v>
      </c>
    </row>
    <row r="203" spans="1:13" x14ac:dyDescent="0.25">
      <c r="A203" s="417" t="s">
        <v>2647</v>
      </c>
      <c r="B203" s="417" t="s">
        <v>2803</v>
      </c>
      <c r="C203" s="417" t="s">
        <v>2851</v>
      </c>
      <c r="D203" s="417" t="s">
        <v>224</v>
      </c>
      <c r="E203" s="418">
        <v>5.1423659999999998E-5</v>
      </c>
      <c r="F203" s="418">
        <v>0</v>
      </c>
      <c r="G203" s="420">
        <v>10.112788800000001</v>
      </c>
      <c r="H203" s="417" t="s">
        <v>2646</v>
      </c>
      <c r="I203" s="417" t="s">
        <v>215</v>
      </c>
      <c r="J203" s="417" t="s">
        <v>2847</v>
      </c>
      <c r="K203" s="417" t="s">
        <v>2852</v>
      </c>
      <c r="L203" s="417"/>
      <c r="M203" s="417" t="s">
        <v>28840</v>
      </c>
    </row>
    <row r="204" spans="1:13" x14ac:dyDescent="0.25">
      <c r="A204" s="417" t="s">
        <v>2647</v>
      </c>
      <c r="B204" s="417" t="s">
        <v>2803</v>
      </c>
      <c r="C204" s="417" t="s">
        <v>2853</v>
      </c>
      <c r="D204" s="417" t="s">
        <v>224</v>
      </c>
      <c r="E204" s="418">
        <v>1.1089953205982E-2</v>
      </c>
      <c r="F204" s="418">
        <v>0.64094525283473314</v>
      </c>
      <c r="G204" s="420">
        <v>62.458203470834633</v>
      </c>
      <c r="H204" s="417" t="s">
        <v>2646</v>
      </c>
      <c r="I204" s="417" t="s">
        <v>215</v>
      </c>
      <c r="J204" s="417" t="s">
        <v>2847</v>
      </c>
      <c r="K204" s="417" t="s">
        <v>2854</v>
      </c>
      <c r="L204" s="417"/>
      <c r="M204" s="417" t="s">
        <v>28840</v>
      </c>
    </row>
    <row r="205" spans="1:13" x14ac:dyDescent="0.25">
      <c r="A205" s="417" t="s">
        <v>2647</v>
      </c>
      <c r="B205" s="417" t="s">
        <v>2803</v>
      </c>
      <c r="C205" s="417" t="s">
        <v>2855</v>
      </c>
      <c r="D205" s="417" t="s">
        <v>224</v>
      </c>
      <c r="E205" s="418">
        <v>5.1423659999999998E-5</v>
      </c>
      <c r="F205" s="418">
        <v>0</v>
      </c>
      <c r="G205" s="420">
        <v>10.112788800000001</v>
      </c>
      <c r="H205" s="417" t="s">
        <v>2646</v>
      </c>
      <c r="I205" s="417" t="s">
        <v>215</v>
      </c>
      <c r="J205" s="417" t="s">
        <v>2847</v>
      </c>
      <c r="K205" s="417" t="s">
        <v>2856</v>
      </c>
      <c r="L205" s="417"/>
      <c r="M205" s="417" t="s">
        <v>28840</v>
      </c>
    </row>
    <row r="206" spans="1:13" x14ac:dyDescent="0.25">
      <c r="A206" s="417" t="s">
        <v>2647</v>
      </c>
      <c r="B206" s="417" t="s">
        <v>2803</v>
      </c>
      <c r="C206" s="417" t="s">
        <v>2857</v>
      </c>
      <c r="D206" s="417" t="s">
        <v>224</v>
      </c>
      <c r="E206" s="418">
        <v>2.6310295012235558E-5</v>
      </c>
      <c r="F206" s="418">
        <v>0</v>
      </c>
      <c r="G206" s="420">
        <v>0.57842918337502092</v>
      </c>
      <c r="H206" s="417" t="s">
        <v>2646</v>
      </c>
      <c r="I206" s="417" t="s">
        <v>215</v>
      </c>
      <c r="J206" s="417" t="s">
        <v>2847</v>
      </c>
      <c r="K206" s="417" t="s">
        <v>2858</v>
      </c>
      <c r="L206" s="417"/>
      <c r="M206" s="417" t="s">
        <v>28840</v>
      </c>
    </row>
    <row r="207" spans="1:13" x14ac:dyDescent="0.25">
      <c r="A207" s="417" t="s">
        <v>2647</v>
      </c>
      <c r="B207" s="417" t="s">
        <v>2803</v>
      </c>
      <c r="C207" s="417" t="s">
        <v>2859</v>
      </c>
      <c r="D207" s="417" t="s">
        <v>224</v>
      </c>
      <c r="E207" s="418">
        <v>0.57622046903629187</v>
      </c>
      <c r="F207" s="418">
        <v>0</v>
      </c>
      <c r="G207" s="420">
        <v>658.65701871835211</v>
      </c>
      <c r="H207" s="417" t="s">
        <v>2646</v>
      </c>
      <c r="I207" s="417" t="s">
        <v>215</v>
      </c>
      <c r="J207" s="417" t="s">
        <v>2847</v>
      </c>
      <c r="K207" s="417" t="s">
        <v>2860</v>
      </c>
      <c r="L207" s="417"/>
      <c r="M207" s="417" t="s">
        <v>28840</v>
      </c>
    </row>
    <row r="208" spans="1:13" x14ac:dyDescent="0.25">
      <c r="A208" s="417" t="s">
        <v>2647</v>
      </c>
      <c r="B208" s="417" t="s">
        <v>2803</v>
      </c>
      <c r="C208" s="417" t="s">
        <v>2861</v>
      </c>
      <c r="D208" s="417" t="s">
        <v>224</v>
      </c>
      <c r="E208" s="418">
        <v>0.43273223690504498</v>
      </c>
      <c r="F208" s="418">
        <v>0</v>
      </c>
      <c r="G208" s="420">
        <v>442.95140985144997</v>
      </c>
      <c r="H208" s="417" t="s">
        <v>2646</v>
      </c>
      <c r="I208" s="417" t="s">
        <v>215</v>
      </c>
      <c r="J208" s="417" t="s">
        <v>2847</v>
      </c>
      <c r="K208" s="417" t="s">
        <v>2862</v>
      </c>
      <c r="L208" s="417"/>
      <c r="M208" s="417" t="s">
        <v>28840</v>
      </c>
    </row>
    <row r="209" spans="1:13" x14ac:dyDescent="0.25">
      <c r="A209" s="417" t="s">
        <v>2647</v>
      </c>
      <c r="B209" s="417" t="s">
        <v>2803</v>
      </c>
      <c r="C209" s="417" t="s">
        <v>2863</v>
      </c>
      <c r="D209" s="417" t="s">
        <v>224</v>
      </c>
      <c r="E209" s="418">
        <v>0</v>
      </c>
      <c r="F209" s="418">
        <v>0</v>
      </c>
      <c r="G209" s="420">
        <v>0</v>
      </c>
      <c r="H209" s="417" t="s">
        <v>2646</v>
      </c>
      <c r="I209" s="417" t="s">
        <v>215</v>
      </c>
      <c r="J209" s="417" t="s">
        <v>2847</v>
      </c>
      <c r="K209" s="417" t="s">
        <v>2864</v>
      </c>
      <c r="L209" s="417"/>
      <c r="M209" s="417" t="s">
        <v>28840</v>
      </c>
    </row>
    <row r="210" spans="1:13" x14ac:dyDescent="0.25">
      <c r="A210" s="417" t="s">
        <v>2647</v>
      </c>
      <c r="B210" s="417" t="s">
        <v>2803</v>
      </c>
      <c r="C210" s="417" t="s">
        <v>2865</v>
      </c>
      <c r="D210" s="417" t="s">
        <v>224</v>
      </c>
      <c r="E210" s="418">
        <v>8.832039309877932E-4</v>
      </c>
      <c r="F210" s="418">
        <v>0</v>
      </c>
      <c r="G210" s="420">
        <v>7.2342081316473106</v>
      </c>
      <c r="H210" s="417" t="s">
        <v>2646</v>
      </c>
      <c r="I210" s="417" t="s">
        <v>215</v>
      </c>
      <c r="J210" s="417" t="s">
        <v>2847</v>
      </c>
      <c r="K210" s="417" t="s">
        <v>2866</v>
      </c>
      <c r="L210" s="417"/>
      <c r="M210" s="417" t="s">
        <v>28840</v>
      </c>
    </row>
    <row r="211" spans="1:13" x14ac:dyDescent="0.25">
      <c r="A211" s="417" t="s">
        <v>2647</v>
      </c>
      <c r="B211" s="417" t="s">
        <v>2803</v>
      </c>
      <c r="C211" s="417" t="s">
        <v>2867</v>
      </c>
      <c r="D211" s="417" t="s">
        <v>224</v>
      </c>
      <c r="E211" s="418">
        <v>0</v>
      </c>
      <c r="F211" s="418">
        <v>0</v>
      </c>
      <c r="G211" s="420">
        <v>9.6257581892799973</v>
      </c>
      <c r="H211" s="417" t="s">
        <v>2646</v>
      </c>
      <c r="I211" s="417" t="s">
        <v>215</v>
      </c>
      <c r="J211" s="417" t="s">
        <v>2847</v>
      </c>
      <c r="K211" s="417" t="s">
        <v>2868</v>
      </c>
      <c r="L211" s="417"/>
      <c r="M211" s="417" t="s">
        <v>28840</v>
      </c>
    </row>
    <row r="212" spans="1:13" x14ac:dyDescent="0.25">
      <c r="A212" s="417" t="s">
        <v>2647</v>
      </c>
      <c r="B212" s="417" t="s">
        <v>2803</v>
      </c>
      <c r="C212" s="417" t="s">
        <v>2869</v>
      </c>
      <c r="D212" s="417" t="s">
        <v>224</v>
      </c>
      <c r="E212" s="418">
        <v>5.1423659999999998E-5</v>
      </c>
      <c r="F212" s="418">
        <v>0</v>
      </c>
      <c r="G212" s="420">
        <v>10.112788800000001</v>
      </c>
      <c r="H212" s="417" t="s">
        <v>2646</v>
      </c>
      <c r="I212" s="417" t="s">
        <v>215</v>
      </c>
      <c r="J212" s="417" t="s">
        <v>2847</v>
      </c>
      <c r="K212" s="417" t="s">
        <v>2870</v>
      </c>
      <c r="L212" s="417"/>
      <c r="M212" s="417" t="s">
        <v>28840</v>
      </c>
    </row>
    <row r="213" spans="1:13" x14ac:dyDescent="0.25">
      <c r="A213" s="417" t="s">
        <v>2647</v>
      </c>
      <c r="B213" s="417" t="s">
        <v>2803</v>
      </c>
      <c r="C213" s="417" t="s">
        <v>2871</v>
      </c>
      <c r="D213" s="417" t="s">
        <v>224</v>
      </c>
      <c r="E213" s="418">
        <v>1.1089953205982E-2</v>
      </c>
      <c r="F213" s="418">
        <v>0.64094525283473314</v>
      </c>
      <c r="G213" s="420">
        <v>62.458203470834633</v>
      </c>
      <c r="H213" s="417" t="s">
        <v>2646</v>
      </c>
      <c r="I213" s="417" t="s">
        <v>215</v>
      </c>
      <c r="J213" s="417" t="s">
        <v>2847</v>
      </c>
      <c r="K213" s="417" t="s">
        <v>2872</v>
      </c>
      <c r="L213" s="417"/>
      <c r="M213" s="417" t="s">
        <v>28840</v>
      </c>
    </row>
    <row r="214" spans="1:13" x14ac:dyDescent="0.25">
      <c r="A214" s="417" t="s">
        <v>2647</v>
      </c>
      <c r="B214" s="417" t="s">
        <v>2803</v>
      </c>
      <c r="C214" s="417" t="s">
        <v>2873</v>
      </c>
      <c r="D214" s="417" t="s">
        <v>224</v>
      </c>
      <c r="E214" s="418">
        <v>5.1423659999999998E-5</v>
      </c>
      <c r="F214" s="418">
        <v>0</v>
      </c>
      <c r="G214" s="420">
        <v>10.112788800000001</v>
      </c>
      <c r="H214" s="417" t="s">
        <v>2646</v>
      </c>
      <c r="I214" s="417" t="s">
        <v>215</v>
      </c>
      <c r="J214" s="417" t="s">
        <v>2847</v>
      </c>
      <c r="K214" s="417" t="s">
        <v>2874</v>
      </c>
      <c r="L214" s="417"/>
      <c r="M214" s="417" t="s">
        <v>28840</v>
      </c>
    </row>
    <row r="215" spans="1:13" x14ac:dyDescent="0.25">
      <c r="A215" s="417" t="s">
        <v>2647</v>
      </c>
      <c r="B215" s="417" t="s">
        <v>2803</v>
      </c>
      <c r="C215" s="417" t="s">
        <v>2875</v>
      </c>
      <c r="D215" s="417" t="s">
        <v>224</v>
      </c>
      <c r="E215" s="418">
        <v>2.6310295012235558E-5</v>
      </c>
      <c r="F215" s="418">
        <v>0</v>
      </c>
      <c r="G215" s="420">
        <v>0.57842918337502092</v>
      </c>
      <c r="H215" s="417" t="s">
        <v>2646</v>
      </c>
      <c r="I215" s="417" t="s">
        <v>215</v>
      </c>
      <c r="J215" s="417" t="s">
        <v>2847</v>
      </c>
      <c r="K215" s="417" t="s">
        <v>2876</v>
      </c>
      <c r="L215" s="417"/>
      <c r="M215" s="417" t="s">
        <v>28840</v>
      </c>
    </row>
    <row r="216" spans="1:13" x14ac:dyDescent="0.25">
      <c r="A216" s="417" t="s">
        <v>2647</v>
      </c>
      <c r="B216" s="417" t="s">
        <v>2803</v>
      </c>
      <c r="C216" s="417" t="s">
        <v>2877</v>
      </c>
      <c r="D216" s="417" t="s">
        <v>224</v>
      </c>
      <c r="E216" s="418">
        <v>0.57622046903629187</v>
      </c>
      <c r="F216" s="418">
        <v>0</v>
      </c>
      <c r="G216" s="420">
        <v>658.65701871835211</v>
      </c>
      <c r="H216" s="417" t="s">
        <v>2646</v>
      </c>
      <c r="I216" s="417" t="s">
        <v>215</v>
      </c>
      <c r="J216" s="417" t="s">
        <v>2847</v>
      </c>
      <c r="K216" s="417" t="s">
        <v>2878</v>
      </c>
      <c r="L216" s="417"/>
      <c r="M216" s="417" t="s">
        <v>28840</v>
      </c>
    </row>
    <row r="217" spans="1:13" x14ac:dyDescent="0.25">
      <c r="A217" s="417" t="s">
        <v>2647</v>
      </c>
      <c r="B217" s="417" t="s">
        <v>2803</v>
      </c>
      <c r="C217" s="417" t="s">
        <v>2879</v>
      </c>
      <c r="D217" s="417" t="s">
        <v>224</v>
      </c>
      <c r="E217" s="418">
        <v>0.43273223690504498</v>
      </c>
      <c r="F217" s="418">
        <v>0</v>
      </c>
      <c r="G217" s="420">
        <v>442.95140985144997</v>
      </c>
      <c r="H217" s="417" t="s">
        <v>2646</v>
      </c>
      <c r="I217" s="417" t="s">
        <v>215</v>
      </c>
      <c r="J217" s="417" t="s">
        <v>2847</v>
      </c>
      <c r="K217" s="417" t="s">
        <v>2880</v>
      </c>
      <c r="L217" s="417"/>
      <c r="M217" s="417" t="s">
        <v>28840</v>
      </c>
    </row>
    <row r="218" spans="1:13" x14ac:dyDescent="0.25">
      <c r="A218" s="417" t="s">
        <v>2647</v>
      </c>
      <c r="B218" s="417" t="s">
        <v>2803</v>
      </c>
      <c r="C218" s="417" t="s">
        <v>2881</v>
      </c>
      <c r="D218" s="417" t="s">
        <v>224</v>
      </c>
      <c r="E218" s="418">
        <v>0</v>
      </c>
      <c r="F218" s="418">
        <v>0</v>
      </c>
      <c r="G218" s="420">
        <v>0</v>
      </c>
      <c r="H218" s="417" t="s">
        <v>2646</v>
      </c>
      <c r="I218" s="417" t="s">
        <v>215</v>
      </c>
      <c r="J218" s="417" t="s">
        <v>2847</v>
      </c>
      <c r="K218" s="417" t="s">
        <v>2882</v>
      </c>
      <c r="L218" s="417"/>
      <c r="M218" s="417" t="s">
        <v>28840</v>
      </c>
    </row>
    <row r="219" spans="1:13" x14ac:dyDescent="0.25">
      <c r="A219" s="417" t="s">
        <v>2647</v>
      </c>
      <c r="B219" s="417" t="s">
        <v>2437</v>
      </c>
      <c r="C219" s="417" t="s">
        <v>2883</v>
      </c>
      <c r="D219" s="417" t="s">
        <v>88</v>
      </c>
      <c r="E219" s="418">
        <v>3.3029390303070167</v>
      </c>
      <c r="F219" s="418">
        <v>0.16460999999999965</v>
      </c>
      <c r="G219" s="420">
        <v>4353.7104831043634</v>
      </c>
      <c r="H219" s="417" t="s">
        <v>2646</v>
      </c>
      <c r="I219" s="417" t="s">
        <v>1392</v>
      </c>
      <c r="J219" s="417" t="s">
        <v>2884</v>
      </c>
      <c r="K219" s="417" t="s">
        <v>2885</v>
      </c>
      <c r="L219" s="417"/>
      <c r="M219" s="417" t="s">
        <v>28840</v>
      </c>
    </row>
    <row r="220" spans="1:13" x14ac:dyDescent="0.25">
      <c r="A220" s="417" t="s">
        <v>2647</v>
      </c>
      <c r="B220" s="417" t="s">
        <v>2437</v>
      </c>
      <c r="C220" s="417" t="s">
        <v>2886</v>
      </c>
      <c r="D220" s="417" t="s">
        <v>88</v>
      </c>
      <c r="E220" s="418">
        <v>3.2561595263414111</v>
      </c>
      <c r="F220" s="418">
        <v>5.0959999999999069E-2</v>
      </c>
      <c r="G220" s="420">
        <v>4073.4928766211974</v>
      </c>
      <c r="H220" s="417" t="s">
        <v>2646</v>
      </c>
      <c r="I220" s="417" t="s">
        <v>1392</v>
      </c>
      <c r="J220" s="417" t="s">
        <v>2884</v>
      </c>
      <c r="K220" s="417" t="s">
        <v>2887</v>
      </c>
      <c r="L220" s="417"/>
      <c r="M220" s="417" t="s">
        <v>28840</v>
      </c>
    </row>
    <row r="221" spans="1:13" x14ac:dyDescent="0.25">
      <c r="A221" s="417" t="s">
        <v>2647</v>
      </c>
      <c r="B221" s="417" t="s">
        <v>2437</v>
      </c>
      <c r="C221" s="417" t="s">
        <v>2888</v>
      </c>
      <c r="D221" s="417" t="s">
        <v>224</v>
      </c>
      <c r="E221" s="418">
        <v>5.6255482618601367E-2</v>
      </c>
      <c r="F221" s="418">
        <v>1.7414419700826737E-2</v>
      </c>
      <c r="G221" s="420">
        <v>62.481511040185509</v>
      </c>
      <c r="H221" s="417" t="s">
        <v>2646</v>
      </c>
      <c r="I221" s="417" t="s">
        <v>386</v>
      </c>
      <c r="J221" s="417" t="s">
        <v>2884</v>
      </c>
      <c r="K221" s="417" t="s">
        <v>2889</v>
      </c>
      <c r="L221" s="417"/>
      <c r="M221" s="417" t="s">
        <v>28840</v>
      </c>
    </row>
    <row r="222" spans="1:13" x14ac:dyDescent="0.25">
      <c r="A222" s="417" t="s">
        <v>2647</v>
      </c>
      <c r="B222" s="417" t="s">
        <v>2437</v>
      </c>
      <c r="C222" s="417" t="s">
        <v>2890</v>
      </c>
      <c r="D222" s="417" t="s">
        <v>88</v>
      </c>
      <c r="E222" s="418">
        <v>3.324258990268381</v>
      </c>
      <c r="F222" s="418">
        <v>0.16460999999999856</v>
      </c>
      <c r="G222" s="420">
        <v>4447.3391713395413</v>
      </c>
      <c r="H222" s="417" t="s">
        <v>2646</v>
      </c>
      <c r="I222" s="417" t="s">
        <v>1392</v>
      </c>
      <c r="J222" s="417" t="s">
        <v>2884</v>
      </c>
      <c r="K222" s="417" t="s">
        <v>2891</v>
      </c>
      <c r="L222" s="417"/>
      <c r="M222" s="417" t="s">
        <v>28840</v>
      </c>
    </row>
    <row r="223" spans="1:13" x14ac:dyDescent="0.25">
      <c r="A223" s="417" t="s">
        <v>2647</v>
      </c>
      <c r="B223" s="417" t="s">
        <v>2437</v>
      </c>
      <c r="C223" s="417" t="s">
        <v>2892</v>
      </c>
      <c r="D223" s="417" t="s">
        <v>88</v>
      </c>
      <c r="E223" s="418">
        <v>3.3415560851454282</v>
      </c>
      <c r="F223" s="418">
        <v>0.16461000000000001</v>
      </c>
      <c r="G223" s="420">
        <v>4519.4047571596639</v>
      </c>
      <c r="H223" s="417" t="s">
        <v>2646</v>
      </c>
      <c r="I223" s="417" t="s">
        <v>1392</v>
      </c>
      <c r="J223" s="417" t="s">
        <v>2884</v>
      </c>
      <c r="K223" s="417" t="s">
        <v>2893</v>
      </c>
      <c r="L223" s="417"/>
      <c r="M223" s="417" t="s">
        <v>28840</v>
      </c>
    </row>
    <row r="224" spans="1:13" x14ac:dyDescent="0.25">
      <c r="A224" s="417" t="s">
        <v>2647</v>
      </c>
      <c r="B224" s="417" t="s">
        <v>2437</v>
      </c>
      <c r="C224" s="417" t="s">
        <v>2894</v>
      </c>
      <c r="D224" s="417" t="s">
        <v>88</v>
      </c>
      <c r="E224" s="418">
        <v>3.3902058841939335</v>
      </c>
      <c r="F224" s="418">
        <v>0.16461000000000001</v>
      </c>
      <c r="G224" s="420">
        <v>4724.514183656398</v>
      </c>
      <c r="H224" s="417" t="s">
        <v>2646</v>
      </c>
      <c r="I224" s="417" t="s">
        <v>1392</v>
      </c>
      <c r="J224" s="417" t="s">
        <v>2884</v>
      </c>
      <c r="K224" s="417" t="s">
        <v>2895</v>
      </c>
      <c r="L224" s="417"/>
      <c r="M224" s="417" t="s">
        <v>28840</v>
      </c>
    </row>
    <row r="225" spans="1:13" x14ac:dyDescent="0.25">
      <c r="A225" s="417" t="s">
        <v>2647</v>
      </c>
      <c r="B225" s="417" t="s">
        <v>2437</v>
      </c>
      <c r="C225" s="417" t="s">
        <v>2896</v>
      </c>
      <c r="D225" s="417" t="s">
        <v>88</v>
      </c>
      <c r="E225" s="418">
        <v>3.3647560453946683</v>
      </c>
      <c r="F225" s="418">
        <v>0.16460999999999718</v>
      </c>
      <c r="G225" s="420">
        <v>4001.7613531104817</v>
      </c>
      <c r="H225" s="417" t="s">
        <v>2646</v>
      </c>
      <c r="I225" s="417" t="s">
        <v>1392</v>
      </c>
      <c r="J225" s="417" t="s">
        <v>2884</v>
      </c>
      <c r="K225" s="417" t="s">
        <v>2897</v>
      </c>
      <c r="L225" s="417"/>
      <c r="M225" s="417" t="s">
        <v>28840</v>
      </c>
    </row>
    <row r="226" spans="1:13" x14ac:dyDescent="0.25">
      <c r="A226" s="417" t="s">
        <v>2647</v>
      </c>
      <c r="B226" s="417" t="s">
        <v>2437</v>
      </c>
      <c r="C226" s="417" t="s">
        <v>2898</v>
      </c>
      <c r="D226" s="417" t="s">
        <v>88</v>
      </c>
      <c r="E226" s="418">
        <v>3.2437981752654768</v>
      </c>
      <c r="F226" s="418">
        <v>5.0959999999999998E-2</v>
      </c>
      <c r="G226" s="420">
        <v>3836.5795729381439</v>
      </c>
      <c r="H226" s="417" t="s">
        <v>2646</v>
      </c>
      <c r="I226" s="417" t="s">
        <v>1392</v>
      </c>
      <c r="J226" s="417" t="s">
        <v>2884</v>
      </c>
      <c r="K226" s="417" t="s">
        <v>2899</v>
      </c>
      <c r="L226" s="417"/>
      <c r="M226" s="417" t="s">
        <v>28840</v>
      </c>
    </row>
    <row r="227" spans="1:13" x14ac:dyDescent="0.25">
      <c r="A227" s="417" t="s">
        <v>2647</v>
      </c>
      <c r="B227" s="417" t="s">
        <v>2437</v>
      </c>
      <c r="C227" s="417" t="s">
        <v>2900</v>
      </c>
      <c r="D227" s="417" t="s">
        <v>88</v>
      </c>
      <c r="E227" s="418">
        <v>3.2569738934498522</v>
      </c>
      <c r="F227" s="418">
        <v>5.0959999999999998E-2</v>
      </c>
      <c r="G227" s="420">
        <v>3907.1425737168147</v>
      </c>
      <c r="H227" s="417" t="s">
        <v>2646</v>
      </c>
      <c r="I227" s="417" t="s">
        <v>1392</v>
      </c>
      <c r="J227" s="417" t="s">
        <v>2884</v>
      </c>
      <c r="K227" s="417" t="s">
        <v>2901</v>
      </c>
      <c r="L227" s="417"/>
      <c r="M227" s="417" t="s">
        <v>28840</v>
      </c>
    </row>
    <row r="228" spans="1:13" x14ac:dyDescent="0.25">
      <c r="A228" s="417" t="s">
        <v>2647</v>
      </c>
      <c r="B228" s="417" t="s">
        <v>2437</v>
      </c>
      <c r="C228" s="417" t="s">
        <v>2902</v>
      </c>
      <c r="D228" s="417" t="s">
        <v>88</v>
      </c>
      <c r="E228" s="418">
        <v>3.2961073439229209</v>
      </c>
      <c r="F228" s="418">
        <v>5.0959999999997979E-2</v>
      </c>
      <c r="G228" s="420">
        <v>4116.9281761764714</v>
      </c>
      <c r="H228" s="417" t="s">
        <v>2646</v>
      </c>
      <c r="I228" s="417" t="s">
        <v>1392</v>
      </c>
      <c r="J228" s="417" t="s">
        <v>2884</v>
      </c>
      <c r="K228" s="417" t="s">
        <v>2903</v>
      </c>
      <c r="L228" s="417"/>
      <c r="M228" s="417" t="s">
        <v>28840</v>
      </c>
    </row>
    <row r="229" spans="1:13" x14ac:dyDescent="0.25">
      <c r="A229" s="417" t="s">
        <v>2647</v>
      </c>
      <c r="B229" s="417" t="s">
        <v>2437</v>
      </c>
      <c r="C229" s="417" t="s">
        <v>2904</v>
      </c>
      <c r="D229" s="417" t="s">
        <v>88</v>
      </c>
      <c r="E229" s="418">
        <v>3.3191870919890238</v>
      </c>
      <c r="F229" s="418">
        <v>5.0959999999999998E-2</v>
      </c>
      <c r="G229" s="420">
        <v>3851.3348385369932</v>
      </c>
      <c r="H229" s="417" t="s">
        <v>2646</v>
      </c>
      <c r="I229" s="417" t="s">
        <v>1392</v>
      </c>
      <c r="J229" s="417" t="s">
        <v>2884</v>
      </c>
      <c r="K229" s="417" t="s">
        <v>2905</v>
      </c>
      <c r="L229" s="417"/>
      <c r="M229" s="417" t="s">
        <v>28840</v>
      </c>
    </row>
    <row r="230" spans="1:13" x14ac:dyDescent="0.25">
      <c r="A230" s="417" t="s">
        <v>2647</v>
      </c>
      <c r="B230" s="417" t="s">
        <v>2437</v>
      </c>
      <c r="C230" s="417" t="s">
        <v>2906</v>
      </c>
      <c r="D230" s="417" t="s">
        <v>224</v>
      </c>
      <c r="E230" s="418">
        <v>5.625548261860136E-2</v>
      </c>
      <c r="F230" s="418">
        <v>1.7414419700826737E-2</v>
      </c>
      <c r="G230" s="420">
        <v>62.481511040185516</v>
      </c>
      <c r="H230" s="417" t="s">
        <v>2646</v>
      </c>
      <c r="I230" s="417" t="s">
        <v>386</v>
      </c>
      <c r="J230" s="417" t="s">
        <v>2884</v>
      </c>
      <c r="K230" s="417" t="s">
        <v>2907</v>
      </c>
      <c r="L230" s="417"/>
      <c r="M230" s="417" t="s">
        <v>28840</v>
      </c>
    </row>
    <row r="231" spans="1:13" x14ac:dyDescent="0.25">
      <c r="A231" s="417" t="s">
        <v>2647</v>
      </c>
      <c r="B231" s="417" t="s">
        <v>2437</v>
      </c>
      <c r="C231" s="417" t="s">
        <v>2908</v>
      </c>
      <c r="D231" s="417" t="s">
        <v>224</v>
      </c>
      <c r="E231" s="418">
        <v>5.625548261860136E-2</v>
      </c>
      <c r="F231" s="418">
        <v>1.7414419700826737E-2</v>
      </c>
      <c r="G231" s="420">
        <v>62.481511040185509</v>
      </c>
      <c r="H231" s="417" t="s">
        <v>2646</v>
      </c>
      <c r="I231" s="417" t="s">
        <v>386</v>
      </c>
      <c r="J231" s="417" t="s">
        <v>2884</v>
      </c>
      <c r="K231" s="417" t="s">
        <v>2909</v>
      </c>
      <c r="L231" s="417"/>
      <c r="M231" s="417" t="s">
        <v>28840</v>
      </c>
    </row>
    <row r="232" spans="1:13" x14ac:dyDescent="0.25">
      <c r="A232" s="417" t="s">
        <v>2647</v>
      </c>
      <c r="B232" s="417" t="s">
        <v>2437</v>
      </c>
      <c r="C232" s="417" t="s">
        <v>2910</v>
      </c>
      <c r="D232" s="417" t="s">
        <v>224</v>
      </c>
      <c r="E232" s="418">
        <v>5.625548261860136E-2</v>
      </c>
      <c r="F232" s="418">
        <v>1.7414419700826737E-2</v>
      </c>
      <c r="G232" s="420">
        <v>62.481511040185509</v>
      </c>
      <c r="H232" s="417" t="s">
        <v>2646</v>
      </c>
      <c r="I232" s="417" t="s">
        <v>386</v>
      </c>
      <c r="J232" s="417" t="s">
        <v>2884</v>
      </c>
      <c r="K232" s="417" t="s">
        <v>2911</v>
      </c>
      <c r="L232" s="417"/>
      <c r="M232" s="417" t="s">
        <v>28840</v>
      </c>
    </row>
    <row r="233" spans="1:13" x14ac:dyDescent="0.25">
      <c r="A233" s="417" t="s">
        <v>2647</v>
      </c>
      <c r="B233" s="417" t="s">
        <v>2437</v>
      </c>
      <c r="C233" s="417" t="s">
        <v>2912</v>
      </c>
      <c r="D233" s="417" t="s">
        <v>224</v>
      </c>
      <c r="E233" s="418">
        <v>5.625548261860136E-2</v>
      </c>
      <c r="F233" s="418">
        <v>1.7414419700826737E-2</v>
      </c>
      <c r="G233" s="420">
        <v>62.481511040185509</v>
      </c>
      <c r="H233" s="417" t="s">
        <v>2646</v>
      </c>
      <c r="I233" s="417" t="s">
        <v>386</v>
      </c>
      <c r="J233" s="417" t="s">
        <v>2884</v>
      </c>
      <c r="K233" s="417" t="s">
        <v>2913</v>
      </c>
      <c r="L233" s="417"/>
      <c r="M233" s="417" t="s">
        <v>28840</v>
      </c>
    </row>
    <row r="234" spans="1:13" x14ac:dyDescent="0.25">
      <c r="A234" s="417" t="s">
        <v>2647</v>
      </c>
      <c r="B234" s="417" t="s">
        <v>2437</v>
      </c>
      <c r="C234" s="417" t="s">
        <v>2914</v>
      </c>
      <c r="D234" s="417" t="s">
        <v>88</v>
      </c>
      <c r="E234" s="418">
        <v>3.231108560485092</v>
      </c>
      <c r="F234" s="418">
        <v>0.16460999999999942</v>
      </c>
      <c r="G234" s="420">
        <v>6096.3369555904383</v>
      </c>
      <c r="H234" s="417" t="s">
        <v>2646</v>
      </c>
      <c r="I234" s="417" t="s">
        <v>1392</v>
      </c>
      <c r="J234" s="417" t="s">
        <v>2915</v>
      </c>
      <c r="K234" s="417" t="s">
        <v>2916</v>
      </c>
      <c r="L234" s="417"/>
      <c r="M234" s="417" t="s">
        <v>28840</v>
      </c>
    </row>
    <row r="235" spans="1:13" x14ac:dyDescent="0.25">
      <c r="A235" s="417" t="s">
        <v>2647</v>
      </c>
      <c r="B235" s="417" t="s">
        <v>2437</v>
      </c>
      <c r="C235" s="417" t="s">
        <v>2917</v>
      </c>
      <c r="D235" s="417" t="s">
        <v>88</v>
      </c>
      <c r="E235" s="418">
        <v>3.1967345535084033</v>
      </c>
      <c r="F235" s="418">
        <v>0.16460999999999945</v>
      </c>
      <c r="G235" s="420">
        <v>5157.9810295542666</v>
      </c>
      <c r="H235" s="417" t="s">
        <v>2646</v>
      </c>
      <c r="I235" s="417" t="s">
        <v>1392</v>
      </c>
      <c r="J235" s="417" t="s">
        <v>2915</v>
      </c>
      <c r="K235" s="417" t="s">
        <v>2918</v>
      </c>
      <c r="L235" s="417"/>
      <c r="M235" s="417" t="s">
        <v>28840</v>
      </c>
    </row>
    <row r="236" spans="1:13" x14ac:dyDescent="0.25">
      <c r="A236" s="417" t="s">
        <v>2647</v>
      </c>
      <c r="B236" s="417" t="s">
        <v>2437</v>
      </c>
      <c r="C236" s="417" t="s">
        <v>2919</v>
      </c>
      <c r="D236" s="417" t="s">
        <v>88</v>
      </c>
      <c r="E236" s="418">
        <v>3.1965252943640134</v>
      </c>
      <c r="F236" s="418">
        <v>0.16460999999999679</v>
      </c>
      <c r="G236" s="420">
        <v>4750.3521921620741</v>
      </c>
      <c r="H236" s="417" t="s">
        <v>2646</v>
      </c>
      <c r="I236" s="417" t="s">
        <v>1392</v>
      </c>
      <c r="J236" s="417" t="s">
        <v>2915</v>
      </c>
      <c r="K236" s="417" t="s">
        <v>2920</v>
      </c>
      <c r="L236" s="417"/>
      <c r="M236" s="417" t="s">
        <v>28840</v>
      </c>
    </row>
    <row r="237" spans="1:13" x14ac:dyDescent="0.25">
      <c r="A237" s="417" t="s">
        <v>2647</v>
      </c>
      <c r="B237" s="417" t="s">
        <v>2437</v>
      </c>
      <c r="C237" s="417" t="s">
        <v>2921</v>
      </c>
      <c r="D237" s="417" t="s">
        <v>88</v>
      </c>
      <c r="E237" s="418">
        <v>3.1993940647003631</v>
      </c>
      <c r="F237" s="418">
        <v>0.1646099999999979</v>
      </c>
      <c r="G237" s="420">
        <v>4877.5112112622082</v>
      </c>
      <c r="H237" s="417" t="s">
        <v>2646</v>
      </c>
      <c r="I237" s="417" t="s">
        <v>1392</v>
      </c>
      <c r="J237" s="417" t="s">
        <v>2915</v>
      </c>
      <c r="K237" s="417" t="s">
        <v>2922</v>
      </c>
      <c r="L237" s="417"/>
      <c r="M237" s="417" t="s">
        <v>28840</v>
      </c>
    </row>
    <row r="238" spans="1:13" x14ac:dyDescent="0.25">
      <c r="A238" s="417" t="s">
        <v>2647</v>
      </c>
      <c r="B238" s="417" t="s">
        <v>2437</v>
      </c>
      <c r="C238" s="417" t="s">
        <v>2923</v>
      </c>
      <c r="D238" s="417" t="s">
        <v>88</v>
      </c>
      <c r="E238" s="418">
        <v>3.1979060463264419</v>
      </c>
      <c r="F238" s="418">
        <v>0.1646099999999994</v>
      </c>
      <c r="G238" s="420">
        <v>4394.7636129889188</v>
      </c>
      <c r="H238" s="417" t="s">
        <v>2646</v>
      </c>
      <c r="I238" s="417" t="s">
        <v>1392</v>
      </c>
      <c r="J238" s="417" t="s">
        <v>2915</v>
      </c>
      <c r="K238" s="417" t="s">
        <v>2924</v>
      </c>
      <c r="L238" s="417"/>
      <c r="M238" s="417" t="s">
        <v>28840</v>
      </c>
    </row>
    <row r="239" spans="1:13" x14ac:dyDescent="0.25">
      <c r="A239" s="417" t="s">
        <v>2647</v>
      </c>
      <c r="B239" s="417" t="s">
        <v>2437</v>
      </c>
      <c r="C239" s="417" t="s">
        <v>2925</v>
      </c>
      <c r="D239" s="417" t="s">
        <v>224</v>
      </c>
      <c r="E239" s="418">
        <v>5.625548261860136E-2</v>
      </c>
      <c r="F239" s="418">
        <v>1.7414419700826737E-2</v>
      </c>
      <c r="G239" s="420">
        <v>62.481511040185509</v>
      </c>
      <c r="H239" s="417" t="s">
        <v>2646</v>
      </c>
      <c r="I239" s="417" t="s">
        <v>386</v>
      </c>
      <c r="J239" s="417" t="s">
        <v>2915</v>
      </c>
      <c r="K239" s="417" t="s">
        <v>2926</v>
      </c>
      <c r="L239" s="417"/>
      <c r="M239" s="417" t="s">
        <v>28840</v>
      </c>
    </row>
    <row r="240" spans="1:13" x14ac:dyDescent="0.25">
      <c r="A240" s="417" t="s">
        <v>2647</v>
      </c>
      <c r="B240" s="417" t="s">
        <v>2437</v>
      </c>
      <c r="C240" s="417" t="s">
        <v>2927</v>
      </c>
      <c r="D240" s="417" t="s">
        <v>224</v>
      </c>
      <c r="E240" s="418">
        <v>5.6255482618601353E-2</v>
      </c>
      <c r="F240" s="418">
        <v>1.7414419700826737E-2</v>
      </c>
      <c r="G240" s="420">
        <v>62.481511040185509</v>
      </c>
      <c r="H240" s="417" t="s">
        <v>2646</v>
      </c>
      <c r="I240" s="417" t="s">
        <v>386</v>
      </c>
      <c r="J240" s="417" t="s">
        <v>2915</v>
      </c>
      <c r="K240" s="417" t="s">
        <v>2928</v>
      </c>
      <c r="L240" s="417"/>
      <c r="M240" s="417" t="s">
        <v>28840</v>
      </c>
    </row>
    <row r="241" spans="1:13" x14ac:dyDescent="0.25">
      <c r="A241" s="417" t="s">
        <v>2647</v>
      </c>
      <c r="B241" s="417" t="s">
        <v>2437</v>
      </c>
      <c r="C241" s="417" t="s">
        <v>2929</v>
      </c>
      <c r="D241" s="417" t="s">
        <v>224</v>
      </c>
      <c r="E241" s="418">
        <v>5.625548261860136E-2</v>
      </c>
      <c r="F241" s="418">
        <v>1.7414419700826737E-2</v>
      </c>
      <c r="G241" s="420">
        <v>62.481511040185509</v>
      </c>
      <c r="H241" s="417" t="s">
        <v>2646</v>
      </c>
      <c r="I241" s="417" t="s">
        <v>386</v>
      </c>
      <c r="J241" s="417" t="s">
        <v>2915</v>
      </c>
      <c r="K241" s="417" t="s">
        <v>2930</v>
      </c>
      <c r="L241" s="417"/>
      <c r="M241" s="417" t="s">
        <v>28840</v>
      </c>
    </row>
    <row r="242" spans="1:13" x14ac:dyDescent="0.25">
      <c r="A242" s="417" t="s">
        <v>2647</v>
      </c>
      <c r="B242" s="417" t="s">
        <v>2437</v>
      </c>
      <c r="C242" s="417" t="s">
        <v>2931</v>
      </c>
      <c r="D242" s="417" t="s">
        <v>224</v>
      </c>
      <c r="E242" s="418">
        <v>5.625548261860136E-2</v>
      </c>
      <c r="F242" s="418">
        <v>1.7414419700826737E-2</v>
      </c>
      <c r="G242" s="420">
        <v>62.481511040185509</v>
      </c>
      <c r="H242" s="417" t="s">
        <v>2646</v>
      </c>
      <c r="I242" s="417" t="s">
        <v>386</v>
      </c>
      <c r="J242" s="417" t="s">
        <v>2915</v>
      </c>
      <c r="K242" s="417" t="s">
        <v>2932</v>
      </c>
      <c r="L242" s="417"/>
      <c r="M242" s="417" t="s">
        <v>28840</v>
      </c>
    </row>
    <row r="243" spans="1:13" x14ac:dyDescent="0.25">
      <c r="A243" s="417" t="s">
        <v>2647</v>
      </c>
      <c r="B243" s="417" t="s">
        <v>2437</v>
      </c>
      <c r="C243" s="417" t="s">
        <v>2933</v>
      </c>
      <c r="D243" s="417" t="s">
        <v>224</v>
      </c>
      <c r="E243" s="418">
        <v>5.625548261860136E-2</v>
      </c>
      <c r="F243" s="418">
        <v>1.7414419700826737E-2</v>
      </c>
      <c r="G243" s="420">
        <v>62.481511040185509</v>
      </c>
      <c r="H243" s="417" t="s">
        <v>2646</v>
      </c>
      <c r="I243" s="417" t="s">
        <v>386</v>
      </c>
      <c r="J243" s="417" t="s">
        <v>2915</v>
      </c>
      <c r="K243" s="417" t="s">
        <v>2934</v>
      </c>
      <c r="L243" s="417"/>
      <c r="M243" s="417" t="s">
        <v>28840</v>
      </c>
    </row>
    <row r="244" spans="1:13" x14ac:dyDescent="0.25">
      <c r="A244" s="417" t="s">
        <v>2647</v>
      </c>
      <c r="B244" s="417" t="s">
        <v>2437</v>
      </c>
      <c r="C244" s="417" t="s">
        <v>2935</v>
      </c>
      <c r="D244" s="417" t="s">
        <v>88</v>
      </c>
      <c r="E244" s="418">
        <v>3.2154691009793113</v>
      </c>
      <c r="F244" s="418">
        <v>0</v>
      </c>
      <c r="G244" s="420">
        <v>8119.3885376691105</v>
      </c>
      <c r="H244" s="417" t="s">
        <v>2646</v>
      </c>
      <c r="I244" s="417" t="s">
        <v>1392</v>
      </c>
      <c r="J244" s="417" t="s">
        <v>2915</v>
      </c>
      <c r="K244" s="417" t="s">
        <v>2936</v>
      </c>
      <c r="L244" s="417"/>
      <c r="M244" s="417" t="s">
        <v>28840</v>
      </c>
    </row>
    <row r="245" spans="1:13" x14ac:dyDescent="0.25">
      <c r="A245" s="417" t="s">
        <v>2647</v>
      </c>
      <c r="B245" s="417" t="s">
        <v>2437</v>
      </c>
      <c r="C245" s="417" t="s">
        <v>2937</v>
      </c>
      <c r="D245" s="417" t="s">
        <v>88</v>
      </c>
      <c r="E245" s="418">
        <v>9.8915654846854757</v>
      </c>
      <c r="F245" s="418">
        <v>0</v>
      </c>
      <c r="G245" s="420">
        <v>10572.579544187067</v>
      </c>
      <c r="H245" s="417" t="s">
        <v>2646</v>
      </c>
      <c r="I245" s="417" t="s">
        <v>1392</v>
      </c>
      <c r="J245" s="417" t="s">
        <v>2915</v>
      </c>
      <c r="K245" s="417" t="s">
        <v>2938</v>
      </c>
      <c r="L245" s="417"/>
      <c r="M245" s="417" t="s">
        <v>28840</v>
      </c>
    </row>
    <row r="246" spans="1:13" x14ac:dyDescent="0.25">
      <c r="A246" s="417" t="s">
        <v>2647</v>
      </c>
      <c r="B246" s="417" t="s">
        <v>2437</v>
      </c>
      <c r="C246" s="417" t="s">
        <v>2939</v>
      </c>
      <c r="D246" s="417" t="s">
        <v>392</v>
      </c>
      <c r="E246" s="418">
        <v>0.19885356613334657</v>
      </c>
      <c r="F246" s="418">
        <v>9.9103511208826229E-3</v>
      </c>
      <c r="G246" s="420">
        <v>262.11530020188229</v>
      </c>
      <c r="H246" s="417" t="s">
        <v>2646</v>
      </c>
      <c r="I246" s="417" t="s">
        <v>1392</v>
      </c>
      <c r="J246" s="417" t="s">
        <v>2884</v>
      </c>
      <c r="K246" s="417" t="s">
        <v>2940</v>
      </c>
      <c r="L246" s="417"/>
      <c r="M246" s="417" t="s">
        <v>28840</v>
      </c>
    </row>
    <row r="247" spans="1:13" x14ac:dyDescent="0.25">
      <c r="A247" s="417" t="s">
        <v>2647</v>
      </c>
      <c r="B247" s="417" t="s">
        <v>2437</v>
      </c>
      <c r="C247" s="417" t="s">
        <v>2941</v>
      </c>
      <c r="D247" s="417" t="s">
        <v>392</v>
      </c>
      <c r="E247" s="418">
        <v>0.18911210464476169</v>
      </c>
      <c r="F247" s="418">
        <v>2.9596685219919461E-3</v>
      </c>
      <c r="G247" s="420">
        <v>236.581409762449</v>
      </c>
      <c r="H247" s="417" t="s">
        <v>2646</v>
      </c>
      <c r="I247" s="417" t="s">
        <v>1392</v>
      </c>
      <c r="J247" s="417" t="s">
        <v>2884</v>
      </c>
      <c r="K247" s="417" t="s">
        <v>2942</v>
      </c>
      <c r="L247" s="417"/>
      <c r="M247" s="417" t="s">
        <v>28840</v>
      </c>
    </row>
    <row r="248" spans="1:13" x14ac:dyDescent="0.25">
      <c r="A248" s="417" t="s">
        <v>2647</v>
      </c>
      <c r="B248" s="417" t="s">
        <v>2437</v>
      </c>
      <c r="C248" s="417" t="s">
        <v>2943</v>
      </c>
      <c r="D248" s="417" t="s">
        <v>392</v>
      </c>
      <c r="E248" s="418">
        <v>1.3797474616885397E-2</v>
      </c>
      <c r="F248" s="418">
        <v>4.271139497974849E-3</v>
      </c>
      <c r="G248" s="420">
        <v>15.324498563923932</v>
      </c>
      <c r="H248" s="417" t="s">
        <v>2646</v>
      </c>
      <c r="I248" s="417" t="s">
        <v>1392</v>
      </c>
      <c r="J248" s="417" t="s">
        <v>2884</v>
      </c>
      <c r="K248" s="417" t="s">
        <v>2944</v>
      </c>
      <c r="L248" s="417"/>
      <c r="M248" s="417" t="s">
        <v>28840</v>
      </c>
    </row>
    <row r="249" spans="1:13" x14ac:dyDescent="0.25">
      <c r="A249" s="417" t="s">
        <v>2647</v>
      </c>
      <c r="B249" s="417" t="s">
        <v>2437</v>
      </c>
      <c r="C249" s="417" t="s">
        <v>2945</v>
      </c>
      <c r="D249" s="417" t="s">
        <v>392</v>
      </c>
      <c r="E249" s="418">
        <v>0.23203327752073299</v>
      </c>
      <c r="F249" s="418">
        <v>1.14897779999999E-2</v>
      </c>
      <c r="G249" s="420">
        <v>310.42427415949999</v>
      </c>
      <c r="H249" s="417" t="s">
        <v>2646</v>
      </c>
      <c r="I249" s="417" t="s">
        <v>1392</v>
      </c>
      <c r="J249" s="417" t="s">
        <v>2884</v>
      </c>
      <c r="K249" s="417" t="s">
        <v>2946</v>
      </c>
      <c r="L249" s="417"/>
      <c r="M249" s="417" t="s">
        <v>28840</v>
      </c>
    </row>
    <row r="250" spans="1:13" x14ac:dyDescent="0.25">
      <c r="A250" s="417" t="s">
        <v>2647</v>
      </c>
      <c r="B250" s="417" t="s">
        <v>2437</v>
      </c>
      <c r="C250" s="417" t="s">
        <v>2947</v>
      </c>
      <c r="D250" s="417" t="s">
        <v>392</v>
      </c>
      <c r="E250" s="418">
        <v>0.19882258706615297</v>
      </c>
      <c r="F250" s="418">
        <v>9.7942949999999997E-3</v>
      </c>
      <c r="G250" s="420">
        <v>268.90458305099997</v>
      </c>
      <c r="H250" s="417" t="s">
        <v>2646</v>
      </c>
      <c r="I250" s="417" t="s">
        <v>1392</v>
      </c>
      <c r="J250" s="417" t="s">
        <v>2884</v>
      </c>
      <c r="K250" s="417" t="s">
        <v>2948</v>
      </c>
      <c r="L250" s="417"/>
      <c r="M250" s="417" t="s">
        <v>28840</v>
      </c>
    </row>
    <row r="251" spans="1:13" x14ac:dyDescent="0.25">
      <c r="A251" s="417" t="s">
        <v>2647</v>
      </c>
      <c r="B251" s="417" t="s">
        <v>2437</v>
      </c>
      <c r="C251" s="417" t="s">
        <v>2949</v>
      </c>
      <c r="D251" s="417" t="s">
        <v>392</v>
      </c>
      <c r="E251" s="418">
        <v>0.143066688312984</v>
      </c>
      <c r="F251" s="418">
        <v>6.9465420000000009E-3</v>
      </c>
      <c r="G251" s="420">
        <v>199.37449855029999</v>
      </c>
      <c r="H251" s="417" t="s">
        <v>2646</v>
      </c>
      <c r="I251" s="417" t="s">
        <v>1392</v>
      </c>
      <c r="J251" s="417" t="s">
        <v>2884</v>
      </c>
      <c r="K251" s="417" t="s">
        <v>2950</v>
      </c>
      <c r="L251" s="417"/>
      <c r="M251" s="417" t="s">
        <v>28840</v>
      </c>
    </row>
    <row r="252" spans="1:13" x14ac:dyDescent="0.25">
      <c r="A252" s="417" t="s">
        <v>2647</v>
      </c>
      <c r="B252" s="417" t="s">
        <v>2437</v>
      </c>
      <c r="C252" s="417" t="s">
        <v>2951</v>
      </c>
      <c r="D252" s="417" t="s">
        <v>392</v>
      </c>
      <c r="E252" s="418">
        <v>0.11877588840243178</v>
      </c>
      <c r="F252" s="418">
        <v>5.8107329999998996E-3</v>
      </c>
      <c r="G252" s="420">
        <v>141.26217576479999</v>
      </c>
      <c r="H252" s="417" t="s">
        <v>2646</v>
      </c>
      <c r="I252" s="417" t="s">
        <v>1392</v>
      </c>
      <c r="J252" s="417" t="s">
        <v>2884</v>
      </c>
      <c r="K252" s="417" t="s">
        <v>2952</v>
      </c>
      <c r="L252" s="417"/>
      <c r="M252" s="417" t="s">
        <v>28840</v>
      </c>
    </row>
    <row r="253" spans="1:13" x14ac:dyDescent="0.25">
      <c r="A253" s="417" t="s">
        <v>2647</v>
      </c>
      <c r="B253" s="417" t="s">
        <v>2437</v>
      </c>
      <c r="C253" s="417" t="s">
        <v>2953</v>
      </c>
      <c r="D253" s="417" t="s">
        <v>392</v>
      </c>
      <c r="E253" s="418">
        <v>0.25171873840060099</v>
      </c>
      <c r="F253" s="418">
        <v>3.9544960000000001E-3</v>
      </c>
      <c r="G253" s="420">
        <v>297.71857485999999</v>
      </c>
      <c r="H253" s="417" t="s">
        <v>2646</v>
      </c>
      <c r="I253" s="417" t="s">
        <v>1392</v>
      </c>
      <c r="J253" s="417" t="s">
        <v>2884</v>
      </c>
      <c r="K253" s="417" t="s">
        <v>2954</v>
      </c>
      <c r="L253" s="417"/>
      <c r="M253" s="417" t="s">
        <v>28840</v>
      </c>
    </row>
    <row r="254" spans="1:13" x14ac:dyDescent="0.25">
      <c r="A254" s="417" t="s">
        <v>2647</v>
      </c>
      <c r="B254" s="417" t="s">
        <v>2437</v>
      </c>
      <c r="C254" s="417" t="s">
        <v>2955</v>
      </c>
      <c r="D254" s="417" t="s">
        <v>392</v>
      </c>
      <c r="E254" s="418">
        <v>0.22082282997589997</v>
      </c>
      <c r="F254" s="418">
        <v>3.4550879999999998E-3</v>
      </c>
      <c r="G254" s="420">
        <v>264.90426649800003</v>
      </c>
      <c r="H254" s="417" t="s">
        <v>2646</v>
      </c>
      <c r="I254" s="417" t="s">
        <v>1392</v>
      </c>
      <c r="J254" s="417" t="s">
        <v>2884</v>
      </c>
      <c r="K254" s="417" t="s">
        <v>2956</v>
      </c>
      <c r="L254" s="417"/>
      <c r="M254" s="417" t="s">
        <v>28840</v>
      </c>
    </row>
    <row r="255" spans="1:13" x14ac:dyDescent="0.25">
      <c r="A255" s="417" t="s">
        <v>2647</v>
      </c>
      <c r="B255" s="417" t="s">
        <v>2437</v>
      </c>
      <c r="C255" s="417" t="s">
        <v>2957</v>
      </c>
      <c r="D255" s="417" t="s">
        <v>392</v>
      </c>
      <c r="E255" s="418">
        <v>0.1624980920554</v>
      </c>
      <c r="F255" s="418">
        <v>2.5123279999999001E-3</v>
      </c>
      <c r="G255" s="420">
        <v>202.96455908550001</v>
      </c>
      <c r="H255" s="417" t="s">
        <v>2646</v>
      </c>
      <c r="I255" s="417" t="s">
        <v>1392</v>
      </c>
      <c r="J255" s="417" t="s">
        <v>2884</v>
      </c>
      <c r="K255" s="417" t="s">
        <v>2958</v>
      </c>
      <c r="L255" s="417"/>
      <c r="M255" s="417" t="s">
        <v>28840</v>
      </c>
    </row>
    <row r="256" spans="1:13" x14ac:dyDescent="0.25">
      <c r="A256" s="417" t="s">
        <v>2647</v>
      </c>
      <c r="B256" s="417" t="s">
        <v>2437</v>
      </c>
      <c r="C256" s="417" t="s">
        <v>2959</v>
      </c>
      <c r="D256" s="417" t="s">
        <v>392</v>
      </c>
      <c r="E256" s="418">
        <v>0.1390739391543401</v>
      </c>
      <c r="F256" s="418">
        <v>2.1352239999999998E-3</v>
      </c>
      <c r="G256" s="420">
        <v>161.37092973470001</v>
      </c>
      <c r="H256" s="417" t="s">
        <v>2646</v>
      </c>
      <c r="I256" s="417" t="s">
        <v>1392</v>
      </c>
      <c r="J256" s="417" t="s">
        <v>2884</v>
      </c>
      <c r="K256" s="417" t="s">
        <v>2960</v>
      </c>
      <c r="L256" s="417"/>
      <c r="M256" s="417" t="s">
        <v>28840</v>
      </c>
    </row>
    <row r="257" spans="1:13" x14ac:dyDescent="0.25">
      <c r="A257" s="417" t="s">
        <v>2647</v>
      </c>
      <c r="B257" s="417" t="s">
        <v>2437</v>
      </c>
      <c r="C257" s="417" t="s">
        <v>2961</v>
      </c>
      <c r="D257" s="417" t="s">
        <v>392</v>
      </c>
      <c r="E257" s="418">
        <v>1.5864046098445581E-2</v>
      </c>
      <c r="F257" s="418">
        <v>4.9108663556331391E-3</v>
      </c>
      <c r="G257" s="420">
        <v>17.619786113332314</v>
      </c>
      <c r="H257" s="417" t="s">
        <v>2646</v>
      </c>
      <c r="I257" s="417" t="s">
        <v>1392</v>
      </c>
      <c r="J257" s="417" t="s">
        <v>2884</v>
      </c>
      <c r="K257" s="417" t="s">
        <v>2962</v>
      </c>
      <c r="L257" s="417"/>
      <c r="M257" s="417" t="s">
        <v>28840</v>
      </c>
    </row>
    <row r="258" spans="1:13" x14ac:dyDescent="0.25">
      <c r="A258" s="417" t="s">
        <v>2647</v>
      </c>
      <c r="B258" s="417" t="s">
        <v>2437</v>
      </c>
      <c r="C258" s="417" t="s">
        <v>2963</v>
      </c>
      <c r="D258" s="417" t="s">
        <v>392</v>
      </c>
      <c r="E258" s="418">
        <v>1.367008227632013E-2</v>
      </c>
      <c r="F258" s="418">
        <v>4.2317039873008971E-3</v>
      </c>
      <c r="G258" s="420">
        <v>15.183007182765078</v>
      </c>
      <c r="H258" s="417" t="s">
        <v>2646</v>
      </c>
      <c r="I258" s="417" t="s">
        <v>1392</v>
      </c>
      <c r="J258" s="417" t="s">
        <v>2884</v>
      </c>
      <c r="K258" s="417" t="s">
        <v>2964</v>
      </c>
      <c r="L258" s="417"/>
      <c r="M258" s="417" t="s">
        <v>28840</v>
      </c>
    </row>
    <row r="259" spans="1:13" x14ac:dyDescent="0.25">
      <c r="A259" s="417" t="s">
        <v>2647</v>
      </c>
      <c r="B259" s="417" t="s">
        <v>2437</v>
      </c>
      <c r="C259" s="417" t="s">
        <v>2965</v>
      </c>
      <c r="D259" s="417" t="s">
        <v>392</v>
      </c>
      <c r="E259" s="418">
        <v>1.1869906832524887E-2</v>
      </c>
      <c r="F259" s="418">
        <v>3.6744425568744415E-3</v>
      </c>
      <c r="G259" s="420">
        <v>13.183598829479141</v>
      </c>
      <c r="H259" s="417" t="s">
        <v>2646</v>
      </c>
      <c r="I259" s="417" t="s">
        <v>1392</v>
      </c>
      <c r="J259" s="417" t="s">
        <v>2884</v>
      </c>
      <c r="K259" s="417" t="s">
        <v>2966</v>
      </c>
      <c r="L259" s="417"/>
      <c r="M259" s="417" t="s">
        <v>28840</v>
      </c>
    </row>
    <row r="260" spans="1:13" x14ac:dyDescent="0.25">
      <c r="A260" s="417" t="s">
        <v>2647</v>
      </c>
      <c r="B260" s="417" t="s">
        <v>2437</v>
      </c>
      <c r="C260" s="417" t="s">
        <v>2967</v>
      </c>
      <c r="D260" s="417" t="s">
        <v>392</v>
      </c>
      <c r="E260" s="418">
        <v>1.0632286214915658E-2</v>
      </c>
      <c r="F260" s="418">
        <v>3.2913253234562534E-3</v>
      </c>
      <c r="G260" s="420">
        <v>11.809005586595061</v>
      </c>
      <c r="H260" s="417" t="s">
        <v>2646</v>
      </c>
      <c r="I260" s="417" t="s">
        <v>1392</v>
      </c>
      <c r="J260" s="417" t="s">
        <v>2884</v>
      </c>
      <c r="K260" s="417" t="s">
        <v>2968</v>
      </c>
      <c r="L260" s="417"/>
      <c r="M260" s="417" t="s">
        <v>28840</v>
      </c>
    </row>
    <row r="261" spans="1:13" x14ac:dyDescent="0.25">
      <c r="A261" s="417" t="s">
        <v>2647</v>
      </c>
      <c r="B261" s="417" t="s">
        <v>2437</v>
      </c>
      <c r="C261" s="417" t="s">
        <v>2969</v>
      </c>
      <c r="D261" s="417" t="s">
        <v>397</v>
      </c>
      <c r="E261" s="418">
        <v>0.48149979768348838</v>
      </c>
      <c r="F261" s="418">
        <v>2.453018219999991E-2</v>
      </c>
      <c r="G261" s="420">
        <v>908.47613312208705</v>
      </c>
      <c r="H261" s="417" t="s">
        <v>2646</v>
      </c>
      <c r="I261" s="417" t="s">
        <v>1392</v>
      </c>
      <c r="J261" s="417" t="s">
        <v>2915</v>
      </c>
      <c r="K261" s="417" t="s">
        <v>2970</v>
      </c>
      <c r="L261" s="417"/>
      <c r="M261" s="417" t="s">
        <v>28840</v>
      </c>
    </row>
    <row r="262" spans="1:13" x14ac:dyDescent="0.25">
      <c r="A262" s="417" t="s">
        <v>2647</v>
      </c>
      <c r="B262" s="417" t="s">
        <v>2437</v>
      </c>
      <c r="C262" s="417" t="s">
        <v>2971</v>
      </c>
      <c r="D262" s="417" t="s">
        <v>397</v>
      </c>
      <c r="E262" s="418">
        <v>0.19174653198854108</v>
      </c>
      <c r="F262" s="418">
        <v>9.873637019999968E-3</v>
      </c>
      <c r="G262" s="420">
        <v>309.38601811472404</v>
      </c>
      <c r="H262" s="417" t="s">
        <v>2646</v>
      </c>
      <c r="I262" s="417" t="s">
        <v>1392</v>
      </c>
      <c r="J262" s="417" t="s">
        <v>2915</v>
      </c>
      <c r="K262" s="417" t="s">
        <v>2972</v>
      </c>
      <c r="L262" s="417"/>
      <c r="M262" s="417" t="s">
        <v>28840</v>
      </c>
    </row>
    <row r="263" spans="1:13" x14ac:dyDescent="0.25">
      <c r="A263" s="417" t="s">
        <v>2647</v>
      </c>
      <c r="B263" s="417" t="s">
        <v>2437</v>
      </c>
      <c r="C263" s="417" t="s">
        <v>2973</v>
      </c>
      <c r="D263" s="417" t="s">
        <v>397</v>
      </c>
      <c r="E263" s="418">
        <v>9.7183958524549099E-2</v>
      </c>
      <c r="F263" s="418">
        <v>5.0046378299999023E-3</v>
      </c>
      <c r="G263" s="420">
        <v>144.42495769830353</v>
      </c>
      <c r="H263" s="417" t="s">
        <v>2646</v>
      </c>
      <c r="I263" s="417" t="s">
        <v>1392</v>
      </c>
      <c r="J263" s="417" t="s">
        <v>2915</v>
      </c>
      <c r="K263" s="417" t="s">
        <v>2974</v>
      </c>
      <c r="L263" s="417"/>
      <c r="M263" s="417" t="s">
        <v>28840</v>
      </c>
    </row>
    <row r="264" spans="1:13" x14ac:dyDescent="0.25">
      <c r="A264" s="417" t="s">
        <v>2647</v>
      </c>
      <c r="B264" s="417" t="s">
        <v>2437</v>
      </c>
      <c r="C264" s="417" t="s">
        <v>2975</v>
      </c>
      <c r="D264" s="417" t="s">
        <v>397</v>
      </c>
      <c r="E264" s="418">
        <v>9.3044778189615956E-2</v>
      </c>
      <c r="F264" s="418">
        <v>4.7871880199999387E-3</v>
      </c>
      <c r="G264" s="420">
        <v>141.84778104592755</v>
      </c>
      <c r="H264" s="417" t="s">
        <v>2646</v>
      </c>
      <c r="I264" s="417" t="s">
        <v>1392</v>
      </c>
      <c r="J264" s="417" t="s">
        <v>2915</v>
      </c>
      <c r="K264" s="417" t="s">
        <v>2976</v>
      </c>
      <c r="L264" s="417"/>
      <c r="M264" s="417" t="s">
        <v>28840</v>
      </c>
    </row>
    <row r="265" spans="1:13" x14ac:dyDescent="0.25">
      <c r="A265" s="417" t="s">
        <v>2647</v>
      </c>
      <c r="B265" s="417" t="s">
        <v>2437</v>
      </c>
      <c r="C265" s="417" t="s">
        <v>2977</v>
      </c>
      <c r="D265" s="417" t="s">
        <v>397</v>
      </c>
      <c r="E265" s="418">
        <v>0.10129687192343638</v>
      </c>
      <c r="F265" s="418">
        <v>5.2141863599999812E-3</v>
      </c>
      <c r="G265" s="420">
        <v>139.20853220503702</v>
      </c>
      <c r="H265" s="417" t="s">
        <v>2646</v>
      </c>
      <c r="I265" s="417" t="s">
        <v>1392</v>
      </c>
      <c r="J265" s="417" t="s">
        <v>2915</v>
      </c>
      <c r="K265" s="417" t="s">
        <v>2978</v>
      </c>
      <c r="L265" s="417"/>
      <c r="M265" s="417" t="s">
        <v>28840</v>
      </c>
    </row>
    <row r="266" spans="1:13" x14ac:dyDescent="0.25">
      <c r="A266" s="417" t="s">
        <v>2647</v>
      </c>
      <c r="B266" s="417" t="s">
        <v>2437</v>
      </c>
      <c r="C266" s="417" t="s">
        <v>2979</v>
      </c>
      <c r="D266" s="417" t="s">
        <v>397</v>
      </c>
      <c r="E266" s="418">
        <v>2.188338273863593E-2</v>
      </c>
      <c r="F266" s="418">
        <v>6.7742092636216009E-3</v>
      </c>
      <c r="G266" s="420">
        <v>24.305307794632164</v>
      </c>
      <c r="H266" s="417" t="s">
        <v>2646</v>
      </c>
      <c r="I266" s="417" t="s">
        <v>1392</v>
      </c>
      <c r="J266" s="417" t="s">
        <v>2915</v>
      </c>
      <c r="K266" s="417" t="s">
        <v>2980</v>
      </c>
      <c r="L266" s="417"/>
      <c r="M266" s="417" t="s">
        <v>28840</v>
      </c>
    </row>
    <row r="267" spans="1:13" x14ac:dyDescent="0.25">
      <c r="A267" s="417" t="s">
        <v>2647</v>
      </c>
      <c r="B267" s="417" t="s">
        <v>2437</v>
      </c>
      <c r="C267" s="417" t="s">
        <v>2981</v>
      </c>
      <c r="D267" s="417" t="s">
        <v>397</v>
      </c>
      <c r="E267" s="418">
        <v>1.0969819110627265E-2</v>
      </c>
      <c r="F267" s="418">
        <v>3.3958118416612137E-3</v>
      </c>
      <c r="G267" s="420">
        <v>12.183894652836175</v>
      </c>
      <c r="H267" s="417" t="s">
        <v>2646</v>
      </c>
      <c r="I267" s="417" t="s">
        <v>1392</v>
      </c>
      <c r="J267" s="417" t="s">
        <v>2915</v>
      </c>
      <c r="K267" s="417" t="s">
        <v>2982</v>
      </c>
      <c r="L267" s="417"/>
      <c r="M267" s="417" t="s">
        <v>28840</v>
      </c>
    </row>
    <row r="268" spans="1:13" x14ac:dyDescent="0.25">
      <c r="A268" s="417" t="s">
        <v>2647</v>
      </c>
      <c r="B268" s="417" t="s">
        <v>2437</v>
      </c>
      <c r="C268" s="417" t="s">
        <v>2983</v>
      </c>
      <c r="D268" s="417" t="s">
        <v>397</v>
      </c>
      <c r="E268" s="418">
        <v>1.1307352006338874E-2</v>
      </c>
      <c r="F268" s="418">
        <v>3.5002983598661744E-3</v>
      </c>
      <c r="G268" s="420">
        <v>12.558783719077288</v>
      </c>
      <c r="H268" s="417" t="s">
        <v>2646</v>
      </c>
      <c r="I268" s="417" t="s">
        <v>1392</v>
      </c>
      <c r="J268" s="417" t="s">
        <v>2915</v>
      </c>
      <c r="K268" s="417" t="s">
        <v>2984</v>
      </c>
      <c r="L268" s="417"/>
      <c r="M268" s="417" t="s">
        <v>28840</v>
      </c>
    </row>
    <row r="269" spans="1:13" x14ac:dyDescent="0.25">
      <c r="A269" s="417" t="s">
        <v>2647</v>
      </c>
      <c r="B269" s="417" t="s">
        <v>2437</v>
      </c>
      <c r="C269" s="417" t="s">
        <v>2985</v>
      </c>
      <c r="D269" s="417" t="s">
        <v>397</v>
      </c>
      <c r="E269" s="418">
        <v>1.2038673280380691E-2</v>
      </c>
      <c r="F269" s="418">
        <v>3.7266858159769219E-3</v>
      </c>
      <c r="G269" s="420">
        <v>13.371043362599698</v>
      </c>
      <c r="H269" s="417" t="s">
        <v>2646</v>
      </c>
      <c r="I269" s="417" t="s">
        <v>1392</v>
      </c>
      <c r="J269" s="417" t="s">
        <v>2915</v>
      </c>
      <c r="K269" s="417" t="s">
        <v>2986</v>
      </c>
      <c r="L269" s="417"/>
      <c r="M269" s="417" t="s">
        <v>28840</v>
      </c>
    </row>
    <row r="270" spans="1:13" x14ac:dyDescent="0.25">
      <c r="A270" s="417" t="s">
        <v>2647</v>
      </c>
      <c r="B270" s="417" t="s">
        <v>2437</v>
      </c>
      <c r="C270" s="417" t="s">
        <v>2987</v>
      </c>
      <c r="D270" s="417" t="s">
        <v>397</v>
      </c>
      <c r="E270" s="418">
        <v>5.7380592270973391E-2</v>
      </c>
      <c r="F270" s="418">
        <v>1.7762708094843271E-2</v>
      </c>
      <c r="G270" s="420">
        <v>63.731141260989219</v>
      </c>
      <c r="H270" s="417" t="s">
        <v>2646</v>
      </c>
      <c r="I270" s="417" t="s">
        <v>1392</v>
      </c>
      <c r="J270" s="417" t="s">
        <v>2915</v>
      </c>
      <c r="K270" s="417" t="s">
        <v>2988</v>
      </c>
      <c r="L270" s="417"/>
      <c r="M270" s="417" t="s">
        <v>28840</v>
      </c>
    </row>
    <row r="271" spans="1:13" x14ac:dyDescent="0.25">
      <c r="A271" s="417" t="s">
        <v>2647</v>
      </c>
      <c r="B271" s="417" t="s">
        <v>2437</v>
      </c>
      <c r="C271" s="417" t="s">
        <v>2989</v>
      </c>
      <c r="D271" s="417" t="s">
        <v>397</v>
      </c>
      <c r="E271" s="418">
        <v>4.9579318067999997E-3</v>
      </c>
      <c r="F271" s="418">
        <v>0</v>
      </c>
      <c r="G271" s="420">
        <v>12.519285186232</v>
      </c>
      <c r="H271" s="417" t="s">
        <v>2646</v>
      </c>
      <c r="I271" s="417" t="s">
        <v>1392</v>
      </c>
      <c r="J271" s="417" t="s">
        <v>2915</v>
      </c>
      <c r="K271" s="417" t="s">
        <v>2990</v>
      </c>
      <c r="L271" s="417"/>
      <c r="M271" s="417" t="s">
        <v>28840</v>
      </c>
    </row>
    <row r="272" spans="1:13" x14ac:dyDescent="0.25">
      <c r="A272" s="417" t="s">
        <v>2647</v>
      </c>
      <c r="B272" s="417" t="s">
        <v>2437</v>
      </c>
      <c r="C272" s="417" t="s">
        <v>2991</v>
      </c>
      <c r="D272" s="417" t="s">
        <v>397</v>
      </c>
      <c r="E272" s="418">
        <v>1.8020454000000001</v>
      </c>
      <c r="F272" s="418">
        <v>0</v>
      </c>
      <c r="G272" s="420">
        <v>1926.11254136</v>
      </c>
      <c r="H272" s="417" t="s">
        <v>2646</v>
      </c>
      <c r="I272" s="417" t="s">
        <v>1392</v>
      </c>
      <c r="J272" s="417" t="s">
        <v>2915</v>
      </c>
      <c r="K272" s="417" t="s">
        <v>2992</v>
      </c>
      <c r="L272" s="417"/>
      <c r="M272" s="417" t="s">
        <v>28840</v>
      </c>
    </row>
    <row r="273" spans="1:13" x14ac:dyDescent="0.25">
      <c r="A273" s="417" t="s">
        <v>2647</v>
      </c>
      <c r="B273" s="417" t="s">
        <v>2437</v>
      </c>
      <c r="C273" s="417" t="s">
        <v>27274</v>
      </c>
      <c r="D273" s="417" t="s">
        <v>74</v>
      </c>
      <c r="E273" s="418">
        <v>2.7414393951548237</v>
      </c>
      <c r="F273" s="418">
        <v>0.1366262999999997</v>
      </c>
      <c r="G273" s="420">
        <v>3613.5797009766216</v>
      </c>
      <c r="H273" s="422" t="s">
        <v>2646</v>
      </c>
      <c r="I273" s="417" t="s">
        <v>386</v>
      </c>
      <c r="J273" s="417" t="s">
        <v>2884</v>
      </c>
      <c r="K273" s="417" t="s">
        <v>27331</v>
      </c>
      <c r="L273" s="417"/>
      <c r="M273" s="417" t="s">
        <v>28840</v>
      </c>
    </row>
    <row r="274" spans="1:13" x14ac:dyDescent="0.25">
      <c r="A274" s="417" t="s">
        <v>2647</v>
      </c>
      <c r="B274" s="417" t="s">
        <v>2437</v>
      </c>
      <c r="C274" s="417" t="s">
        <v>27275</v>
      </c>
      <c r="D274" s="417" t="s">
        <v>74</v>
      </c>
      <c r="E274" s="418">
        <v>2.3997895709136201</v>
      </c>
      <c r="F274" s="418">
        <v>3.755751999999931E-2</v>
      </c>
      <c r="G274" s="420">
        <v>3002.1642500698226</v>
      </c>
      <c r="H274" s="422" t="s">
        <v>2646</v>
      </c>
      <c r="I274" s="417" t="s">
        <v>386</v>
      </c>
      <c r="J274" s="417" t="s">
        <v>2884</v>
      </c>
      <c r="K274" s="417" t="s">
        <v>27332</v>
      </c>
      <c r="L274" s="417"/>
      <c r="M274" s="417" t="s">
        <v>28840</v>
      </c>
    </row>
    <row r="275" spans="1:13" x14ac:dyDescent="0.25">
      <c r="A275" s="417" t="s">
        <v>2647</v>
      </c>
      <c r="B275" s="417" t="s">
        <v>2437</v>
      </c>
      <c r="C275" s="417" t="s">
        <v>27276</v>
      </c>
      <c r="D275" s="417" t="s">
        <v>74</v>
      </c>
      <c r="E275" s="418">
        <v>2.7591349619227561</v>
      </c>
      <c r="F275" s="418">
        <v>0.13662629999999881</v>
      </c>
      <c r="G275" s="420">
        <v>3691.2915122118193</v>
      </c>
      <c r="H275" s="422" t="s">
        <v>2646</v>
      </c>
      <c r="I275" s="417" t="s">
        <v>386</v>
      </c>
      <c r="J275" s="417" t="s">
        <v>2884</v>
      </c>
      <c r="K275" s="417" t="s">
        <v>27333</v>
      </c>
      <c r="L275" s="417"/>
      <c r="M275" s="417" t="s">
        <v>28840</v>
      </c>
    </row>
    <row r="276" spans="1:13" x14ac:dyDescent="0.25">
      <c r="A276" s="417" t="s">
        <v>2647</v>
      </c>
      <c r="B276" s="417" t="s">
        <v>2437</v>
      </c>
      <c r="C276" s="417" t="s">
        <v>27277</v>
      </c>
      <c r="D276" s="417" t="s">
        <v>74</v>
      </c>
      <c r="E276" s="418">
        <v>2.7734915506707054</v>
      </c>
      <c r="F276" s="418">
        <v>0.13662630000000001</v>
      </c>
      <c r="G276" s="420">
        <v>3751.1059484425209</v>
      </c>
      <c r="H276" s="422" t="s">
        <v>2646</v>
      </c>
      <c r="I276" s="417" t="s">
        <v>386</v>
      </c>
      <c r="J276" s="417" t="s">
        <v>2884</v>
      </c>
      <c r="K276" s="417" t="s">
        <v>27334</v>
      </c>
      <c r="L276" s="417"/>
      <c r="M276" s="417" t="s">
        <v>28840</v>
      </c>
    </row>
    <row r="277" spans="1:13" x14ac:dyDescent="0.25">
      <c r="A277" s="417" t="s">
        <v>2647</v>
      </c>
      <c r="B277" s="417" t="s">
        <v>2437</v>
      </c>
      <c r="C277" s="417" t="s">
        <v>27278</v>
      </c>
      <c r="D277" s="417" t="s">
        <v>74</v>
      </c>
      <c r="E277" s="418">
        <v>2.8138708838809645</v>
      </c>
      <c r="F277" s="418">
        <v>0.13662630000000001</v>
      </c>
      <c r="G277" s="420">
        <v>3921.3467724348102</v>
      </c>
      <c r="H277" s="422" t="s">
        <v>2646</v>
      </c>
      <c r="I277" s="417" t="s">
        <v>386</v>
      </c>
      <c r="J277" s="417" t="s">
        <v>2884</v>
      </c>
      <c r="K277" s="417" t="s">
        <v>27335</v>
      </c>
      <c r="L277" s="417"/>
      <c r="M277" s="417" t="s">
        <v>28840</v>
      </c>
    </row>
    <row r="278" spans="1:13" x14ac:dyDescent="0.25">
      <c r="A278" s="417" t="s">
        <v>2647</v>
      </c>
      <c r="B278" s="417" t="s">
        <v>2437</v>
      </c>
      <c r="C278" s="417" t="s">
        <v>27279</v>
      </c>
      <c r="D278" s="417" t="s">
        <v>74</v>
      </c>
      <c r="E278" s="418">
        <v>2.7927475176775745</v>
      </c>
      <c r="F278" s="418">
        <v>0.13662629999999765</v>
      </c>
      <c r="G278" s="420">
        <v>3321.4619230816998</v>
      </c>
      <c r="H278" s="422" t="s">
        <v>2646</v>
      </c>
      <c r="I278" s="417" t="s">
        <v>386</v>
      </c>
      <c r="J278" s="417" t="s">
        <v>2884</v>
      </c>
      <c r="K278" s="417" t="s">
        <v>27336</v>
      </c>
      <c r="L278" s="417"/>
      <c r="M278" s="417" t="s">
        <v>28840</v>
      </c>
    </row>
    <row r="279" spans="1:13" x14ac:dyDescent="0.25">
      <c r="A279" s="417" t="s">
        <v>2647</v>
      </c>
      <c r="B279" s="417" t="s">
        <v>2437</v>
      </c>
      <c r="C279" s="417" t="s">
        <v>27280</v>
      </c>
      <c r="D279" s="417" t="s">
        <v>74</v>
      </c>
      <c r="E279" s="418">
        <v>2.3906792551706562</v>
      </c>
      <c r="F279" s="418">
        <v>3.7557519999999997E-2</v>
      </c>
      <c r="G279" s="420">
        <v>2827.5591452554122</v>
      </c>
      <c r="H279" s="422" t="s">
        <v>2646</v>
      </c>
      <c r="I279" s="417" t="s">
        <v>386</v>
      </c>
      <c r="J279" s="417" t="s">
        <v>2884</v>
      </c>
      <c r="K279" s="417" t="s">
        <v>27337</v>
      </c>
      <c r="L279" s="417"/>
      <c r="M279" s="417" t="s">
        <v>28840</v>
      </c>
    </row>
    <row r="280" spans="1:13" x14ac:dyDescent="0.25">
      <c r="A280" s="417" t="s">
        <v>2647</v>
      </c>
      <c r="B280" s="417" t="s">
        <v>2437</v>
      </c>
      <c r="C280" s="417" t="s">
        <v>27281</v>
      </c>
      <c r="D280" s="417" t="s">
        <v>74</v>
      </c>
      <c r="E280" s="418">
        <v>2.400389759472541</v>
      </c>
      <c r="F280" s="418">
        <v>3.7557519999999997E-2</v>
      </c>
      <c r="G280" s="420">
        <v>2879.5640768292924</v>
      </c>
      <c r="H280" s="422" t="s">
        <v>2646</v>
      </c>
      <c r="I280" s="417" t="s">
        <v>386</v>
      </c>
      <c r="J280" s="417" t="s">
        <v>2884</v>
      </c>
      <c r="K280" s="417" t="s">
        <v>27338</v>
      </c>
      <c r="L280" s="417"/>
      <c r="M280" s="417" t="s">
        <v>28840</v>
      </c>
    </row>
    <row r="281" spans="1:13" x14ac:dyDescent="0.25">
      <c r="A281" s="417" t="s">
        <v>2647</v>
      </c>
      <c r="B281" s="417" t="s">
        <v>2437</v>
      </c>
      <c r="C281" s="417" t="s">
        <v>27282</v>
      </c>
      <c r="D281" s="417" t="s">
        <v>74</v>
      </c>
      <c r="E281" s="418">
        <v>2.4292311124711925</v>
      </c>
      <c r="F281" s="418">
        <v>3.7557519999998512E-2</v>
      </c>
      <c r="G281" s="420">
        <v>3034.1760658420594</v>
      </c>
      <c r="H281" s="422" t="s">
        <v>2646</v>
      </c>
      <c r="I281" s="417" t="s">
        <v>386</v>
      </c>
      <c r="J281" s="417" t="s">
        <v>2884</v>
      </c>
      <c r="K281" s="417" t="s">
        <v>27339</v>
      </c>
      <c r="L281" s="417"/>
      <c r="M281" s="417" t="s">
        <v>28840</v>
      </c>
    </row>
    <row r="282" spans="1:13" x14ac:dyDescent="0.25">
      <c r="A282" s="417" t="s">
        <v>2647</v>
      </c>
      <c r="B282" s="417" t="s">
        <v>2437</v>
      </c>
      <c r="C282" s="417" t="s">
        <v>27283</v>
      </c>
      <c r="D282" s="417" t="s">
        <v>74</v>
      </c>
      <c r="E282" s="418">
        <v>2.4462408867959105</v>
      </c>
      <c r="F282" s="418">
        <v>3.7557519999999997E-2</v>
      </c>
      <c r="G282" s="420">
        <v>2838.4337760017638</v>
      </c>
      <c r="H282" s="422" t="s">
        <v>2646</v>
      </c>
      <c r="I282" s="417" t="s">
        <v>386</v>
      </c>
      <c r="J282" s="417" t="s">
        <v>2884</v>
      </c>
      <c r="K282" s="417" t="s">
        <v>27340</v>
      </c>
      <c r="L282" s="417"/>
      <c r="M282" s="417" t="s">
        <v>28840</v>
      </c>
    </row>
    <row r="283" spans="1:13" x14ac:dyDescent="0.25">
      <c r="A283" s="417" t="s">
        <v>2647</v>
      </c>
      <c r="B283" s="417" t="s">
        <v>2437</v>
      </c>
      <c r="C283" s="417" t="s">
        <v>27273</v>
      </c>
      <c r="D283" s="417" t="s">
        <v>74</v>
      </c>
      <c r="E283" s="418">
        <v>2.6818201052026263</v>
      </c>
      <c r="F283" s="418">
        <v>0.13662629999999951</v>
      </c>
      <c r="G283" s="420">
        <v>5059.9596731400634</v>
      </c>
      <c r="H283" s="422" t="s">
        <v>2646</v>
      </c>
      <c r="I283" s="417" t="s">
        <v>386</v>
      </c>
      <c r="J283" s="417" t="s">
        <v>2915</v>
      </c>
      <c r="K283" s="417" t="s">
        <v>27341</v>
      </c>
      <c r="L283" s="417"/>
      <c r="M283" s="417" t="s">
        <v>28840</v>
      </c>
    </row>
    <row r="284" spans="1:13" x14ac:dyDescent="0.25">
      <c r="A284" s="417" t="s">
        <v>2647</v>
      </c>
      <c r="B284" s="417" t="s">
        <v>2437</v>
      </c>
      <c r="C284" s="417" t="s">
        <v>27284</v>
      </c>
      <c r="D284" s="417" t="s">
        <v>74</v>
      </c>
      <c r="E284" s="418">
        <v>2.6532896794119747</v>
      </c>
      <c r="F284" s="418">
        <v>0.13662629999999953</v>
      </c>
      <c r="G284" s="420">
        <v>4281.1242545300411</v>
      </c>
      <c r="H284" s="422" t="s">
        <v>2646</v>
      </c>
      <c r="I284" s="417" t="s">
        <v>386</v>
      </c>
      <c r="J284" s="417" t="s">
        <v>2915</v>
      </c>
      <c r="K284" s="417" t="s">
        <v>27342</v>
      </c>
      <c r="L284" s="417"/>
      <c r="M284" s="417" t="s">
        <v>28840</v>
      </c>
    </row>
    <row r="285" spans="1:13" x14ac:dyDescent="0.25">
      <c r="A285" s="417" t="s">
        <v>2647</v>
      </c>
      <c r="B285" s="417" t="s">
        <v>2437</v>
      </c>
      <c r="C285" s="417" t="s">
        <v>27285</v>
      </c>
      <c r="D285" s="417" t="s">
        <v>74</v>
      </c>
      <c r="E285" s="418">
        <v>2.653115994322131</v>
      </c>
      <c r="F285" s="418">
        <v>0.13662629999999731</v>
      </c>
      <c r="G285" s="420">
        <v>3942.7923194945215</v>
      </c>
      <c r="H285" s="422" t="s">
        <v>2646</v>
      </c>
      <c r="I285" s="417" t="s">
        <v>386</v>
      </c>
      <c r="J285" s="417" t="s">
        <v>2915</v>
      </c>
      <c r="K285" s="417" t="s">
        <v>27343</v>
      </c>
      <c r="L285" s="417"/>
      <c r="M285" s="417" t="s">
        <v>28840</v>
      </c>
    </row>
    <row r="286" spans="1:13" x14ac:dyDescent="0.25">
      <c r="A286" s="417" t="s">
        <v>2647</v>
      </c>
      <c r="B286" s="417" t="s">
        <v>2437</v>
      </c>
      <c r="C286" s="417" t="s">
        <v>27286</v>
      </c>
      <c r="D286" s="417" t="s">
        <v>74</v>
      </c>
      <c r="E286" s="418">
        <v>2.6554970737013011</v>
      </c>
      <c r="F286" s="418">
        <v>0.13662629999999826</v>
      </c>
      <c r="G286" s="420">
        <v>4048.3343053476328</v>
      </c>
      <c r="H286" s="422" t="s">
        <v>2646</v>
      </c>
      <c r="I286" s="417" t="s">
        <v>386</v>
      </c>
      <c r="J286" s="417" t="s">
        <v>2915</v>
      </c>
      <c r="K286" s="417" t="s">
        <v>27344</v>
      </c>
      <c r="L286" s="417"/>
      <c r="M286" s="417" t="s">
        <v>28840</v>
      </c>
    </row>
    <row r="287" spans="1:13" x14ac:dyDescent="0.25">
      <c r="A287" s="417" t="s">
        <v>2647</v>
      </c>
      <c r="B287" s="417" t="s">
        <v>2437</v>
      </c>
      <c r="C287" s="417" t="s">
        <v>27287</v>
      </c>
      <c r="D287" s="417" t="s">
        <v>74</v>
      </c>
      <c r="E287" s="418">
        <v>2.6542620184509467</v>
      </c>
      <c r="F287" s="418">
        <v>0.13662629999999948</v>
      </c>
      <c r="G287" s="420">
        <v>3647.6537987808024</v>
      </c>
      <c r="H287" s="422" t="s">
        <v>2646</v>
      </c>
      <c r="I287" s="417" t="s">
        <v>386</v>
      </c>
      <c r="J287" s="417" t="s">
        <v>2915</v>
      </c>
      <c r="K287" s="417" t="s">
        <v>27345</v>
      </c>
      <c r="L287" s="417"/>
      <c r="M287" s="417" t="s">
        <v>28840</v>
      </c>
    </row>
    <row r="288" spans="1:13" x14ac:dyDescent="0.25">
      <c r="A288" s="417" t="s">
        <v>2647</v>
      </c>
      <c r="B288" s="417" t="s">
        <v>2437</v>
      </c>
      <c r="C288" s="417" t="s">
        <v>27288</v>
      </c>
      <c r="D288" s="417" t="s">
        <v>74</v>
      </c>
      <c r="E288" s="418">
        <v>3.0868503369401386</v>
      </c>
      <c r="F288" s="418">
        <v>0</v>
      </c>
      <c r="G288" s="420">
        <v>7794.6129961623456</v>
      </c>
      <c r="H288" s="422" t="s">
        <v>2646</v>
      </c>
      <c r="I288" s="417" t="s">
        <v>386</v>
      </c>
      <c r="J288" s="417" t="s">
        <v>2915</v>
      </c>
      <c r="K288" s="417" t="s">
        <v>27346</v>
      </c>
      <c r="L288" s="417"/>
      <c r="M288" s="417" t="s">
        <v>28840</v>
      </c>
    </row>
    <row r="289" spans="1:13" x14ac:dyDescent="0.25">
      <c r="A289" s="417" t="s">
        <v>2647</v>
      </c>
      <c r="B289" s="417" t="s">
        <v>2437</v>
      </c>
      <c r="C289" s="417" t="s">
        <v>27289</v>
      </c>
      <c r="D289" s="417" t="s">
        <v>74</v>
      </c>
      <c r="E289" s="418">
        <v>7.9033608222636955</v>
      </c>
      <c r="F289" s="418">
        <v>0</v>
      </c>
      <c r="G289" s="420">
        <v>8447.4910558054671</v>
      </c>
      <c r="H289" s="422" t="s">
        <v>2646</v>
      </c>
      <c r="I289" s="417" t="s">
        <v>386</v>
      </c>
      <c r="J289" s="417" t="s">
        <v>2915</v>
      </c>
      <c r="K289" s="417" t="s">
        <v>27347</v>
      </c>
      <c r="L289" s="417"/>
      <c r="M289" s="417" t="s">
        <v>28840</v>
      </c>
    </row>
    <row r="290" spans="1:13" x14ac:dyDescent="0.25">
      <c r="A290" s="417" t="s">
        <v>2647</v>
      </c>
      <c r="B290" s="417" t="s">
        <v>2648</v>
      </c>
      <c r="C290" s="417" t="s">
        <v>2993</v>
      </c>
      <c r="D290" s="417" t="s">
        <v>73</v>
      </c>
      <c r="E290" s="421">
        <v>2.1027687902092151E-2</v>
      </c>
      <c r="F290" s="421">
        <v>2.4842590144658787E-4</v>
      </c>
      <c r="G290" s="422">
        <v>40.744975159934278</v>
      </c>
      <c r="H290" s="417" t="s">
        <v>2994</v>
      </c>
      <c r="I290" s="417" t="s">
        <v>28990</v>
      </c>
      <c r="J290" s="417" t="s">
        <v>2650</v>
      </c>
      <c r="K290" s="417" t="s">
        <v>2995</v>
      </c>
      <c r="L290" s="417"/>
      <c r="M290" s="417" t="s">
        <v>28840</v>
      </c>
    </row>
    <row r="291" spans="1:13" x14ac:dyDescent="0.25">
      <c r="A291" s="417" t="s">
        <v>2647</v>
      </c>
      <c r="B291" s="417" t="s">
        <v>2648</v>
      </c>
      <c r="C291" s="417" t="s">
        <v>2996</v>
      </c>
      <c r="D291" s="417" t="s">
        <v>73</v>
      </c>
      <c r="E291" s="421">
        <v>2.0359605223160705E-2</v>
      </c>
      <c r="F291" s="421">
        <v>2.1252468344219762E-4</v>
      </c>
      <c r="G291" s="422">
        <v>40.138534261153119</v>
      </c>
      <c r="H291" s="417" t="s">
        <v>2994</v>
      </c>
      <c r="I291" s="417" t="s">
        <v>28990</v>
      </c>
      <c r="J291" s="417" t="s">
        <v>2650</v>
      </c>
      <c r="K291" s="417" t="s">
        <v>2997</v>
      </c>
      <c r="L291" s="417"/>
      <c r="M291" s="417" t="s">
        <v>28840</v>
      </c>
    </row>
    <row r="292" spans="1:13" x14ac:dyDescent="0.25">
      <c r="A292" s="417" t="s">
        <v>2647</v>
      </c>
      <c r="B292" s="417" t="s">
        <v>2648</v>
      </c>
      <c r="C292" s="417" t="s">
        <v>2998</v>
      </c>
      <c r="D292" s="417" t="s">
        <v>73</v>
      </c>
      <c r="E292" s="421">
        <v>2.3160813568013895E-2</v>
      </c>
      <c r="F292" s="421">
        <v>2.241206289185273E-4</v>
      </c>
      <c r="G292" s="422">
        <v>43.831968776848647</v>
      </c>
      <c r="H292" s="417" t="s">
        <v>2994</v>
      </c>
      <c r="I292" s="417" t="s">
        <v>28990</v>
      </c>
      <c r="J292" s="417" t="s">
        <v>2650</v>
      </c>
      <c r="K292" s="417" t="s">
        <v>2999</v>
      </c>
      <c r="L292" s="417"/>
      <c r="M292" s="417" t="s">
        <v>28840</v>
      </c>
    </row>
    <row r="293" spans="1:13" x14ac:dyDescent="0.25">
      <c r="A293" s="417" t="s">
        <v>2647</v>
      </c>
      <c r="B293" s="417" t="s">
        <v>2648</v>
      </c>
      <c r="C293" s="417" t="s">
        <v>3000</v>
      </c>
      <c r="D293" s="417" t="s">
        <v>73</v>
      </c>
      <c r="E293" s="421">
        <v>1.9900818376748453E-2</v>
      </c>
      <c r="F293" s="421">
        <v>2.2585587293584081E-4</v>
      </c>
      <c r="G293" s="422">
        <v>38.513014068124448</v>
      </c>
      <c r="H293" s="417" t="s">
        <v>2994</v>
      </c>
      <c r="I293" s="417" t="s">
        <v>28990</v>
      </c>
      <c r="J293" s="417" t="s">
        <v>2650</v>
      </c>
      <c r="K293" s="417" t="s">
        <v>3001</v>
      </c>
      <c r="L293" s="417"/>
      <c r="M293" s="417" t="s">
        <v>28840</v>
      </c>
    </row>
    <row r="294" spans="1:13" x14ac:dyDescent="0.25">
      <c r="A294" s="417" t="s">
        <v>2647</v>
      </c>
      <c r="B294" s="417" t="s">
        <v>2648</v>
      </c>
      <c r="C294" s="417" t="s">
        <v>3002</v>
      </c>
      <c r="D294" s="417" t="s">
        <v>73</v>
      </c>
      <c r="E294" s="421">
        <v>2.2072887224288809E-2</v>
      </c>
      <c r="F294" s="421">
        <v>5.2512808057584692E-4</v>
      </c>
      <c r="G294" s="422">
        <v>49.491065706756288</v>
      </c>
      <c r="H294" s="417" t="s">
        <v>2994</v>
      </c>
      <c r="I294" s="417" t="s">
        <v>28990</v>
      </c>
      <c r="J294" s="417" t="s">
        <v>2650</v>
      </c>
      <c r="K294" s="417" t="s">
        <v>3003</v>
      </c>
      <c r="L294" s="417"/>
      <c r="M294" s="417" t="s">
        <v>28840</v>
      </c>
    </row>
    <row r="295" spans="1:13" x14ac:dyDescent="0.25">
      <c r="A295" s="417" t="s">
        <v>2647</v>
      </c>
      <c r="B295" s="417" t="s">
        <v>2648</v>
      </c>
      <c r="C295" s="417" t="s">
        <v>3004</v>
      </c>
      <c r="D295" s="417" t="s">
        <v>73</v>
      </c>
      <c r="E295" s="421">
        <v>1.4896493941109911E-2</v>
      </c>
      <c r="F295" s="421">
        <v>3.3412413607418029E-4</v>
      </c>
      <c r="G295" s="422">
        <v>34.251355288767698</v>
      </c>
      <c r="H295" s="417" t="s">
        <v>2994</v>
      </c>
      <c r="I295" s="417" t="s">
        <v>28990</v>
      </c>
      <c r="J295" s="417" t="s">
        <v>2650</v>
      </c>
      <c r="K295" s="417" t="s">
        <v>3005</v>
      </c>
      <c r="L295" s="417"/>
      <c r="M295" s="417" t="s">
        <v>28840</v>
      </c>
    </row>
    <row r="296" spans="1:13" x14ac:dyDescent="0.25">
      <c r="A296" s="417" t="s">
        <v>2647</v>
      </c>
      <c r="B296" s="417" t="s">
        <v>2648</v>
      </c>
      <c r="C296" s="417" t="s">
        <v>3006</v>
      </c>
      <c r="D296" s="417" t="s">
        <v>73</v>
      </c>
      <c r="E296" s="421">
        <v>3.0260911672105949E-2</v>
      </c>
      <c r="F296" s="421">
        <v>1.109027911441094E-4</v>
      </c>
      <c r="G296" s="422">
        <v>45.924650835397287</v>
      </c>
      <c r="H296" s="417" t="s">
        <v>2994</v>
      </c>
      <c r="I296" s="417" t="s">
        <v>28990</v>
      </c>
      <c r="J296" s="417" t="s">
        <v>2650</v>
      </c>
      <c r="K296" s="417" t="s">
        <v>3007</v>
      </c>
      <c r="L296" s="417"/>
      <c r="M296" s="417" t="s">
        <v>28840</v>
      </c>
    </row>
    <row r="297" spans="1:13" x14ac:dyDescent="0.25">
      <c r="A297" s="417" t="s">
        <v>2647</v>
      </c>
      <c r="B297" s="417" t="s">
        <v>2648</v>
      </c>
      <c r="C297" s="417" t="s">
        <v>3008</v>
      </c>
      <c r="D297" s="417" t="s">
        <v>73</v>
      </c>
      <c r="E297" s="421">
        <v>1.9933243080903319E-2</v>
      </c>
      <c r="F297" s="421">
        <v>3.2321236799899062E-4</v>
      </c>
      <c r="G297" s="422">
        <v>38.048529823511977</v>
      </c>
      <c r="H297" s="417" t="s">
        <v>2994</v>
      </c>
      <c r="I297" s="417" t="s">
        <v>28990</v>
      </c>
      <c r="J297" s="417" t="s">
        <v>2650</v>
      </c>
      <c r="K297" s="417" t="s">
        <v>3009</v>
      </c>
      <c r="L297" s="417"/>
      <c r="M297" s="417" t="s">
        <v>28840</v>
      </c>
    </row>
    <row r="298" spans="1:13" x14ac:dyDescent="0.25">
      <c r="A298" s="417" t="s">
        <v>2647</v>
      </c>
      <c r="B298" s="417" t="s">
        <v>2648</v>
      </c>
      <c r="C298" s="417" t="s">
        <v>3010</v>
      </c>
      <c r="D298" s="417" t="s">
        <v>73</v>
      </c>
      <c r="E298" s="421">
        <v>3.778372261723268E-2</v>
      </c>
      <c r="F298" s="421">
        <v>1.9757930442213439E-2</v>
      </c>
      <c r="G298" s="422">
        <v>48.39417297491687</v>
      </c>
      <c r="H298" s="417" t="s">
        <v>2994</v>
      </c>
      <c r="I298" s="417" t="s">
        <v>28990</v>
      </c>
      <c r="J298" s="417" t="s">
        <v>2650</v>
      </c>
      <c r="K298" s="417" t="s">
        <v>3011</v>
      </c>
      <c r="L298" s="417"/>
      <c r="M298" s="417" t="s">
        <v>28840</v>
      </c>
    </row>
    <row r="299" spans="1:13" x14ac:dyDescent="0.25">
      <c r="A299" s="417" t="s">
        <v>2647</v>
      </c>
      <c r="B299" s="417" t="s">
        <v>2648</v>
      </c>
      <c r="C299" s="417" t="s">
        <v>3012</v>
      </c>
      <c r="D299" s="417" t="s">
        <v>73</v>
      </c>
      <c r="E299" s="421">
        <v>2.1681962307871726E-3</v>
      </c>
      <c r="F299" s="421">
        <v>1.4896401379469197E-4</v>
      </c>
      <c r="G299" s="422">
        <v>8.2357023868363139</v>
      </c>
      <c r="H299" s="417" t="s">
        <v>2994</v>
      </c>
      <c r="I299" s="417" t="s">
        <v>28990</v>
      </c>
      <c r="J299" s="417" t="s">
        <v>2650</v>
      </c>
      <c r="K299" s="417" t="s">
        <v>3013</v>
      </c>
      <c r="L299" s="417"/>
      <c r="M299" s="417" t="s">
        <v>28840</v>
      </c>
    </row>
    <row r="300" spans="1:13" x14ac:dyDescent="0.25">
      <c r="A300" s="417" t="s">
        <v>2647</v>
      </c>
      <c r="B300" s="417" t="s">
        <v>2648</v>
      </c>
      <c r="C300" s="417" t="s">
        <v>3014</v>
      </c>
      <c r="D300" s="417" t="s">
        <v>73</v>
      </c>
      <c r="E300" s="421">
        <v>1.6167504043508995E-3</v>
      </c>
      <c r="F300" s="421">
        <v>1.032651901319754E-4</v>
      </c>
      <c r="G300" s="422">
        <v>7.1009675586547756</v>
      </c>
      <c r="H300" s="417" t="s">
        <v>2994</v>
      </c>
      <c r="I300" s="417" t="s">
        <v>28990</v>
      </c>
      <c r="J300" s="417" t="s">
        <v>2650</v>
      </c>
      <c r="K300" s="417" t="s">
        <v>3015</v>
      </c>
      <c r="L300" s="417"/>
      <c r="M300" s="417" t="s">
        <v>28840</v>
      </c>
    </row>
    <row r="301" spans="1:13" x14ac:dyDescent="0.25">
      <c r="A301" s="417" t="s">
        <v>2647</v>
      </c>
      <c r="B301" s="417" t="s">
        <v>2648</v>
      </c>
      <c r="C301" s="417" t="s">
        <v>3016</v>
      </c>
      <c r="D301" s="417" t="s">
        <v>73</v>
      </c>
      <c r="E301" s="421">
        <v>4.7118887908283794E-3</v>
      </c>
      <c r="F301" s="421">
        <v>2.0503223465886513E-3</v>
      </c>
      <c r="G301" s="422">
        <v>14.08389486229623</v>
      </c>
      <c r="H301" s="417" t="s">
        <v>2994</v>
      </c>
      <c r="I301" s="417" t="s">
        <v>28990</v>
      </c>
      <c r="J301" s="417" t="s">
        <v>2650</v>
      </c>
      <c r="K301" s="417" t="s">
        <v>3017</v>
      </c>
      <c r="L301" s="417"/>
      <c r="M301" s="417" t="s">
        <v>28840</v>
      </c>
    </row>
    <row r="302" spans="1:13" x14ac:dyDescent="0.25">
      <c r="A302" s="417" t="s">
        <v>2647</v>
      </c>
      <c r="B302" s="417" t="s">
        <v>2648</v>
      </c>
      <c r="C302" s="417" t="s">
        <v>3018</v>
      </c>
      <c r="D302" s="417" t="s">
        <v>73</v>
      </c>
      <c r="E302" s="421">
        <v>1.8979153108298376E-2</v>
      </c>
      <c r="F302" s="421">
        <v>5.7884471897139715E-3</v>
      </c>
      <c r="G302" s="422">
        <v>46.230145480399202</v>
      </c>
      <c r="H302" s="417" t="s">
        <v>2994</v>
      </c>
      <c r="I302" s="417" t="s">
        <v>28990</v>
      </c>
      <c r="J302" s="417" t="s">
        <v>2650</v>
      </c>
      <c r="K302" s="417" t="s">
        <v>3019</v>
      </c>
      <c r="L302" s="417"/>
      <c r="M302" s="417" t="s">
        <v>28840</v>
      </c>
    </row>
    <row r="303" spans="1:13" x14ac:dyDescent="0.25">
      <c r="A303" s="417" t="s">
        <v>2647</v>
      </c>
      <c r="B303" s="417" t="s">
        <v>2648</v>
      </c>
      <c r="C303" s="417" t="s">
        <v>3020</v>
      </c>
      <c r="D303" s="417" t="s">
        <v>73</v>
      </c>
      <c r="E303" s="421">
        <v>0</v>
      </c>
      <c r="F303" s="421">
        <v>0</v>
      </c>
      <c r="G303" s="422">
        <v>0</v>
      </c>
      <c r="H303" s="417" t="s">
        <v>2994</v>
      </c>
      <c r="I303" s="417" t="s">
        <v>28990</v>
      </c>
      <c r="J303" s="417" t="s">
        <v>2650</v>
      </c>
      <c r="K303" s="417" t="s">
        <v>3021</v>
      </c>
      <c r="L303" s="417"/>
      <c r="M303" s="417" t="s">
        <v>28840</v>
      </c>
    </row>
    <row r="304" spans="1:13" x14ac:dyDescent="0.25">
      <c r="A304" s="417" t="s">
        <v>2647</v>
      </c>
      <c r="B304" s="417" t="s">
        <v>2648</v>
      </c>
      <c r="C304" s="417" t="s">
        <v>3022</v>
      </c>
      <c r="D304" s="417" t="s">
        <v>73</v>
      </c>
      <c r="E304" s="421">
        <v>0</v>
      </c>
      <c r="F304" s="421">
        <v>0</v>
      </c>
      <c r="G304" s="422">
        <v>0</v>
      </c>
      <c r="H304" s="417" t="s">
        <v>2994</v>
      </c>
      <c r="I304" s="417" t="s">
        <v>28990</v>
      </c>
      <c r="J304" s="417" t="s">
        <v>2650</v>
      </c>
      <c r="K304" s="417" t="s">
        <v>3023</v>
      </c>
      <c r="L304" s="417"/>
      <c r="M304" s="417" t="s">
        <v>28840</v>
      </c>
    </row>
    <row r="305" spans="1:13" x14ac:dyDescent="0.25">
      <c r="A305" s="417" t="s">
        <v>2647</v>
      </c>
      <c r="B305" s="417" t="s">
        <v>2648</v>
      </c>
      <c r="C305" s="417" t="s">
        <v>3024</v>
      </c>
      <c r="D305" s="417" t="s">
        <v>73</v>
      </c>
      <c r="E305" s="421">
        <v>0</v>
      </c>
      <c r="F305" s="421">
        <v>0</v>
      </c>
      <c r="G305" s="422">
        <v>0</v>
      </c>
      <c r="H305" s="417" t="s">
        <v>2994</v>
      </c>
      <c r="I305" s="417" t="s">
        <v>28990</v>
      </c>
      <c r="J305" s="417" t="s">
        <v>2650</v>
      </c>
      <c r="K305" s="417" t="s">
        <v>3025</v>
      </c>
      <c r="L305" s="417"/>
      <c r="M305" s="417" t="s">
        <v>28840</v>
      </c>
    </row>
    <row r="306" spans="1:13" x14ac:dyDescent="0.25">
      <c r="A306" s="417" t="s">
        <v>2647</v>
      </c>
      <c r="B306" s="417" t="s">
        <v>2648</v>
      </c>
      <c r="C306" s="417" t="s">
        <v>3026</v>
      </c>
      <c r="D306" s="417" t="s">
        <v>73</v>
      </c>
      <c r="E306" s="421">
        <v>0</v>
      </c>
      <c r="F306" s="421">
        <v>0</v>
      </c>
      <c r="G306" s="422">
        <v>0</v>
      </c>
      <c r="H306" s="417" t="s">
        <v>2994</v>
      </c>
      <c r="I306" s="417" t="s">
        <v>28990</v>
      </c>
      <c r="J306" s="417" t="s">
        <v>2650</v>
      </c>
      <c r="K306" s="417" t="s">
        <v>3027</v>
      </c>
      <c r="L306" s="417"/>
      <c r="M306" s="417" t="s">
        <v>28840</v>
      </c>
    </row>
    <row r="307" spans="1:13" x14ac:dyDescent="0.25">
      <c r="A307" s="417" t="s">
        <v>2647</v>
      </c>
      <c r="B307" s="417" t="s">
        <v>2648</v>
      </c>
      <c r="C307" s="417" t="s">
        <v>3028</v>
      </c>
      <c r="D307" s="417" t="s">
        <v>73</v>
      </c>
      <c r="E307" s="421">
        <v>0</v>
      </c>
      <c r="F307" s="421">
        <v>0</v>
      </c>
      <c r="G307" s="422">
        <v>0</v>
      </c>
      <c r="H307" s="417" t="s">
        <v>2994</v>
      </c>
      <c r="I307" s="417" t="s">
        <v>28990</v>
      </c>
      <c r="J307" s="417" t="s">
        <v>2650</v>
      </c>
      <c r="K307" s="417" t="s">
        <v>3029</v>
      </c>
      <c r="L307" s="417"/>
      <c r="M307" s="417" t="s">
        <v>28840</v>
      </c>
    </row>
    <row r="308" spans="1:13" x14ac:dyDescent="0.25">
      <c r="A308" s="417" t="s">
        <v>2647</v>
      </c>
      <c r="B308" s="417" t="s">
        <v>2648</v>
      </c>
      <c r="C308" s="417" t="s">
        <v>3030</v>
      </c>
      <c r="D308" s="417" t="s">
        <v>73</v>
      </c>
      <c r="E308" s="421">
        <v>0</v>
      </c>
      <c r="F308" s="421">
        <v>0</v>
      </c>
      <c r="G308" s="422">
        <v>0</v>
      </c>
      <c r="H308" s="417" t="s">
        <v>2994</v>
      </c>
      <c r="I308" s="417" t="s">
        <v>28990</v>
      </c>
      <c r="J308" s="417" t="s">
        <v>2650</v>
      </c>
      <c r="K308" s="417" t="s">
        <v>3031</v>
      </c>
      <c r="L308" s="417"/>
      <c r="M308" s="417" t="s">
        <v>28840</v>
      </c>
    </row>
    <row r="309" spans="1:13" x14ac:dyDescent="0.25">
      <c r="A309" s="417" t="s">
        <v>2647</v>
      </c>
      <c r="B309" s="417" t="s">
        <v>2648</v>
      </c>
      <c r="C309" s="417" t="s">
        <v>3032</v>
      </c>
      <c r="D309" s="417" t="s">
        <v>73</v>
      </c>
      <c r="E309" s="421">
        <v>0</v>
      </c>
      <c r="F309" s="421">
        <v>0</v>
      </c>
      <c r="G309" s="422">
        <v>0</v>
      </c>
      <c r="H309" s="417" t="s">
        <v>2994</v>
      </c>
      <c r="I309" s="417" t="s">
        <v>28990</v>
      </c>
      <c r="J309" s="417" t="s">
        <v>2650</v>
      </c>
      <c r="K309" s="417" t="s">
        <v>3033</v>
      </c>
      <c r="L309" s="417"/>
      <c r="M309" s="417" t="s">
        <v>28840</v>
      </c>
    </row>
    <row r="310" spans="1:13" x14ac:dyDescent="0.25">
      <c r="A310" s="417" t="s">
        <v>2647</v>
      </c>
      <c r="B310" s="417" t="s">
        <v>2648</v>
      </c>
      <c r="C310" s="417" t="s">
        <v>3034</v>
      </c>
      <c r="D310" s="417" t="s">
        <v>73</v>
      </c>
      <c r="E310" s="421">
        <v>0</v>
      </c>
      <c r="F310" s="421">
        <v>0</v>
      </c>
      <c r="G310" s="422">
        <v>0</v>
      </c>
      <c r="H310" s="417" t="s">
        <v>2994</v>
      </c>
      <c r="I310" s="417" t="s">
        <v>28990</v>
      </c>
      <c r="J310" s="417" t="s">
        <v>2650</v>
      </c>
      <c r="K310" s="417" t="s">
        <v>3035</v>
      </c>
      <c r="L310" s="417"/>
      <c r="M310" s="417" t="s">
        <v>28840</v>
      </c>
    </row>
    <row r="311" spans="1:13" x14ac:dyDescent="0.25">
      <c r="A311" s="417" t="s">
        <v>2647</v>
      </c>
      <c r="B311" s="417" t="s">
        <v>2648</v>
      </c>
      <c r="C311" s="417" t="s">
        <v>3036</v>
      </c>
      <c r="D311" s="417" t="s">
        <v>73</v>
      </c>
      <c r="E311" s="421">
        <v>0</v>
      </c>
      <c r="F311" s="421">
        <v>0</v>
      </c>
      <c r="G311" s="422">
        <v>0</v>
      </c>
      <c r="H311" s="417" t="s">
        <v>2994</v>
      </c>
      <c r="I311" s="417" t="s">
        <v>28990</v>
      </c>
      <c r="J311" s="417" t="s">
        <v>2650</v>
      </c>
      <c r="K311" s="417" t="s">
        <v>3037</v>
      </c>
      <c r="L311" s="417"/>
      <c r="M311" s="417" t="s">
        <v>28840</v>
      </c>
    </row>
    <row r="312" spans="1:13" x14ac:dyDescent="0.25">
      <c r="A312" s="417" t="s">
        <v>2647</v>
      </c>
      <c r="B312" s="417" t="s">
        <v>2648</v>
      </c>
      <c r="C312" s="417" t="s">
        <v>3038</v>
      </c>
      <c r="D312" s="417" t="s">
        <v>73</v>
      </c>
      <c r="E312" s="421">
        <v>0</v>
      </c>
      <c r="F312" s="421">
        <v>0</v>
      </c>
      <c r="G312" s="422">
        <v>0</v>
      </c>
      <c r="H312" s="417" t="s">
        <v>2994</v>
      </c>
      <c r="I312" s="417" t="s">
        <v>28990</v>
      </c>
      <c r="J312" s="417" t="s">
        <v>2650</v>
      </c>
      <c r="K312" s="417" t="s">
        <v>3039</v>
      </c>
      <c r="L312" s="417"/>
      <c r="M312" s="417" t="s">
        <v>28840</v>
      </c>
    </row>
    <row r="313" spans="1:13" x14ac:dyDescent="0.25">
      <c r="A313" s="417" t="s">
        <v>2647</v>
      </c>
      <c r="B313" s="417" t="s">
        <v>2648</v>
      </c>
      <c r="C313" s="417" t="s">
        <v>3040</v>
      </c>
      <c r="D313" s="417" t="s">
        <v>73</v>
      </c>
      <c r="E313" s="421">
        <v>0</v>
      </c>
      <c r="F313" s="421">
        <v>0</v>
      </c>
      <c r="G313" s="422">
        <v>0</v>
      </c>
      <c r="H313" s="417" t="s">
        <v>2994</v>
      </c>
      <c r="I313" s="417" t="s">
        <v>28990</v>
      </c>
      <c r="J313" s="417" t="s">
        <v>2650</v>
      </c>
      <c r="K313" s="417" t="s">
        <v>3041</v>
      </c>
      <c r="L313" s="417"/>
      <c r="M313" s="417" t="s">
        <v>28840</v>
      </c>
    </row>
    <row r="314" spans="1:13" x14ac:dyDescent="0.25">
      <c r="A314" s="417" t="s">
        <v>2647</v>
      </c>
      <c r="B314" s="417" t="s">
        <v>2648</v>
      </c>
      <c r="C314" s="417" t="s">
        <v>3042</v>
      </c>
      <c r="D314" s="417" t="s">
        <v>73</v>
      </c>
      <c r="E314" s="421">
        <v>0</v>
      </c>
      <c r="F314" s="421">
        <v>0</v>
      </c>
      <c r="G314" s="422">
        <v>0</v>
      </c>
      <c r="H314" s="417" t="s">
        <v>2994</v>
      </c>
      <c r="I314" s="417" t="s">
        <v>28990</v>
      </c>
      <c r="J314" s="417" t="s">
        <v>2650</v>
      </c>
      <c r="K314" s="417" t="s">
        <v>3043</v>
      </c>
      <c r="L314" s="417"/>
      <c r="M314" s="417" t="s">
        <v>28840</v>
      </c>
    </row>
    <row r="315" spans="1:13" x14ac:dyDescent="0.25">
      <c r="A315" s="417" t="s">
        <v>2647</v>
      </c>
      <c r="B315" s="417" t="s">
        <v>2648</v>
      </c>
      <c r="C315" s="417" t="s">
        <v>3044</v>
      </c>
      <c r="D315" s="417" t="s">
        <v>88</v>
      </c>
      <c r="E315" s="421">
        <v>0.90208781099975321</v>
      </c>
      <c r="F315" s="421">
        <v>1.0657471172058619E-2</v>
      </c>
      <c r="G315" s="422">
        <v>1747.9594343611805</v>
      </c>
      <c r="H315" s="417" t="s">
        <v>2994</v>
      </c>
      <c r="I315" s="417" t="s">
        <v>1392</v>
      </c>
      <c r="J315" s="417" t="s">
        <v>2650</v>
      </c>
      <c r="K315" s="417" t="s">
        <v>3045</v>
      </c>
      <c r="L315" s="417"/>
      <c r="M315" s="417" t="s">
        <v>28840</v>
      </c>
    </row>
    <row r="316" spans="1:13" x14ac:dyDescent="0.25">
      <c r="A316" s="417" t="s">
        <v>2647</v>
      </c>
      <c r="B316" s="417" t="s">
        <v>2648</v>
      </c>
      <c r="C316" s="417" t="s">
        <v>3046</v>
      </c>
      <c r="D316" s="417" t="s">
        <v>88</v>
      </c>
      <c r="E316" s="421">
        <v>0.83881573519422103</v>
      </c>
      <c r="F316" s="421">
        <v>8.7560169578185434E-3</v>
      </c>
      <c r="G316" s="422">
        <v>1653.7076115595087</v>
      </c>
      <c r="H316" s="417" t="s">
        <v>2994</v>
      </c>
      <c r="I316" s="417" t="s">
        <v>1392</v>
      </c>
      <c r="J316" s="417" t="s">
        <v>2650</v>
      </c>
      <c r="K316" s="417" t="s">
        <v>3047</v>
      </c>
      <c r="L316" s="417"/>
      <c r="M316" s="417" t="s">
        <v>28840</v>
      </c>
    </row>
    <row r="317" spans="1:13" x14ac:dyDescent="0.25">
      <c r="A317" s="417" t="s">
        <v>2647</v>
      </c>
      <c r="B317" s="417" t="s">
        <v>2648</v>
      </c>
      <c r="C317" s="417" t="s">
        <v>3048</v>
      </c>
      <c r="D317" s="417" t="s">
        <v>88</v>
      </c>
      <c r="E317" s="421">
        <v>1.0653974241286392</v>
      </c>
      <c r="F317" s="421">
        <v>1.0309548930252255E-2</v>
      </c>
      <c r="G317" s="422">
        <v>2016.2705637350377</v>
      </c>
      <c r="H317" s="417" t="s">
        <v>2994</v>
      </c>
      <c r="I317" s="417" t="s">
        <v>1392</v>
      </c>
      <c r="J317" s="417" t="s">
        <v>2650</v>
      </c>
      <c r="K317" s="417" t="s">
        <v>3049</v>
      </c>
      <c r="L317" s="417"/>
      <c r="M317" s="417" t="s">
        <v>28840</v>
      </c>
    </row>
    <row r="318" spans="1:13" x14ac:dyDescent="0.25">
      <c r="A318" s="417" t="s">
        <v>2647</v>
      </c>
      <c r="B318" s="417" t="s">
        <v>2648</v>
      </c>
      <c r="C318" s="417" t="s">
        <v>3050</v>
      </c>
      <c r="D318" s="417" t="s">
        <v>88</v>
      </c>
      <c r="E318" s="421">
        <v>0.63284602438060078</v>
      </c>
      <c r="F318" s="421">
        <v>7.1822167593597382E-3</v>
      </c>
      <c r="G318" s="422">
        <v>1224.7138473663574</v>
      </c>
      <c r="H318" s="417" t="s">
        <v>2994</v>
      </c>
      <c r="I318" s="417" t="s">
        <v>1392</v>
      </c>
      <c r="J318" s="417" t="s">
        <v>2650</v>
      </c>
      <c r="K318" s="417" t="s">
        <v>3051</v>
      </c>
      <c r="L318" s="417"/>
      <c r="M318" s="417" t="s">
        <v>28840</v>
      </c>
    </row>
    <row r="319" spans="1:13" x14ac:dyDescent="0.25">
      <c r="A319" s="417" t="s">
        <v>2647</v>
      </c>
      <c r="B319" s="417" t="s">
        <v>2648</v>
      </c>
      <c r="C319" s="417" t="s">
        <v>3052</v>
      </c>
      <c r="D319" s="417" t="s">
        <v>88</v>
      </c>
      <c r="E319" s="421">
        <v>0.56285862421936461</v>
      </c>
      <c r="F319" s="421">
        <v>1.3390766054684096E-2</v>
      </c>
      <c r="G319" s="422">
        <v>1262.0221755222854</v>
      </c>
      <c r="H319" s="417" t="s">
        <v>2994</v>
      </c>
      <c r="I319" s="417" t="s">
        <v>1392</v>
      </c>
      <c r="J319" s="417" t="s">
        <v>2650</v>
      </c>
      <c r="K319" s="417" t="s">
        <v>3053</v>
      </c>
      <c r="L319" s="417"/>
      <c r="M319" s="417" t="s">
        <v>28840</v>
      </c>
    </row>
    <row r="320" spans="1:13" x14ac:dyDescent="0.25">
      <c r="A320" s="417" t="s">
        <v>2647</v>
      </c>
      <c r="B320" s="417" t="s">
        <v>2648</v>
      </c>
      <c r="C320" s="417" t="s">
        <v>3054</v>
      </c>
      <c r="D320" s="417" t="s">
        <v>88</v>
      </c>
      <c r="E320" s="421">
        <v>0.3798605954983027</v>
      </c>
      <c r="F320" s="421">
        <v>8.5201654698915975E-3</v>
      </c>
      <c r="G320" s="422">
        <v>873.40955986357631</v>
      </c>
      <c r="H320" s="417" t="s">
        <v>2994</v>
      </c>
      <c r="I320" s="417" t="s">
        <v>1392</v>
      </c>
      <c r="J320" s="417" t="s">
        <v>2650</v>
      </c>
      <c r="K320" s="417" t="s">
        <v>3055</v>
      </c>
      <c r="L320" s="417"/>
      <c r="M320" s="417" t="s">
        <v>28840</v>
      </c>
    </row>
    <row r="321" spans="1:13" x14ac:dyDescent="0.25">
      <c r="A321" s="417" t="s">
        <v>2647</v>
      </c>
      <c r="B321" s="417" t="s">
        <v>2648</v>
      </c>
      <c r="C321" s="417" t="s">
        <v>3056</v>
      </c>
      <c r="D321" s="417" t="s">
        <v>88</v>
      </c>
      <c r="E321" s="421">
        <v>0.71415751546170037</v>
      </c>
      <c r="F321" s="421">
        <v>2.6173058710009817E-3</v>
      </c>
      <c r="G321" s="422">
        <v>1083.8217597153759</v>
      </c>
      <c r="H321" s="417" t="s">
        <v>2994</v>
      </c>
      <c r="I321" s="417" t="s">
        <v>1392</v>
      </c>
      <c r="J321" s="417" t="s">
        <v>2650</v>
      </c>
      <c r="K321" s="417" t="s">
        <v>3057</v>
      </c>
      <c r="L321" s="417"/>
      <c r="M321" s="417" t="s">
        <v>28840</v>
      </c>
    </row>
    <row r="322" spans="1:13" x14ac:dyDescent="0.25">
      <c r="A322" s="417" t="s">
        <v>2647</v>
      </c>
      <c r="B322" s="417" t="s">
        <v>2648</v>
      </c>
      <c r="C322" s="417" t="s">
        <v>3058</v>
      </c>
      <c r="D322" s="417" t="s">
        <v>88</v>
      </c>
      <c r="E322" s="421">
        <v>0.96476896511572063</v>
      </c>
      <c r="F322" s="421">
        <v>1.5643478611151146E-2</v>
      </c>
      <c r="G322" s="422">
        <v>1841.5488434579797</v>
      </c>
      <c r="H322" s="417" t="s">
        <v>2994</v>
      </c>
      <c r="I322" s="417" t="s">
        <v>1392</v>
      </c>
      <c r="J322" s="417" t="s">
        <v>2650</v>
      </c>
      <c r="K322" s="417" t="s">
        <v>3059</v>
      </c>
      <c r="L322" s="417"/>
      <c r="M322" s="417" t="s">
        <v>28981</v>
      </c>
    </row>
    <row r="323" spans="1:13" x14ac:dyDescent="0.25">
      <c r="A323" s="417" t="s">
        <v>2647</v>
      </c>
      <c r="B323" s="417" t="s">
        <v>2648</v>
      </c>
      <c r="C323" s="417" t="s">
        <v>3060</v>
      </c>
      <c r="D323" s="417" t="s">
        <v>88</v>
      </c>
      <c r="E323" s="421">
        <v>1.8136186856271688</v>
      </c>
      <c r="F323" s="421">
        <v>0.94838066122624509</v>
      </c>
      <c r="G323" s="422">
        <v>2322.9203027960098</v>
      </c>
      <c r="H323" s="417" t="s">
        <v>2994</v>
      </c>
      <c r="I323" s="417" t="s">
        <v>1392</v>
      </c>
      <c r="J323" s="417" t="s">
        <v>2650</v>
      </c>
      <c r="K323" s="417" t="s">
        <v>3061</v>
      </c>
      <c r="L323" s="417"/>
      <c r="M323" s="417" t="s">
        <v>28840</v>
      </c>
    </row>
    <row r="324" spans="1:13" x14ac:dyDescent="0.25">
      <c r="A324" s="417" t="s">
        <v>2647</v>
      </c>
      <c r="B324" s="417" t="s">
        <v>2648</v>
      </c>
      <c r="C324" s="417" t="s">
        <v>3062</v>
      </c>
      <c r="D324" s="417" t="s">
        <v>88</v>
      </c>
      <c r="E324" s="421">
        <v>3.1690356109185316E-2</v>
      </c>
      <c r="F324" s="421">
        <v>2.1772580256232176E-3</v>
      </c>
      <c r="G324" s="422">
        <v>120.37302608599956</v>
      </c>
      <c r="H324" s="417" t="s">
        <v>2994</v>
      </c>
      <c r="I324" s="417" t="s">
        <v>1392</v>
      </c>
      <c r="J324" s="417" t="s">
        <v>2650</v>
      </c>
      <c r="K324" s="417" t="s">
        <v>3063</v>
      </c>
      <c r="L324" s="417"/>
      <c r="M324" s="417" t="s">
        <v>28840</v>
      </c>
    </row>
    <row r="325" spans="1:13" x14ac:dyDescent="0.25">
      <c r="A325" s="417" t="s">
        <v>2647</v>
      </c>
      <c r="B325" s="417" t="s">
        <v>2648</v>
      </c>
      <c r="C325" s="417" t="s">
        <v>3064</v>
      </c>
      <c r="D325" s="417" t="s">
        <v>88</v>
      </c>
      <c r="E325" s="421">
        <v>2.3630423909992745E-2</v>
      </c>
      <c r="F325" s="421">
        <v>1.5093240189689523E-3</v>
      </c>
      <c r="G325" s="422">
        <v>103.7877418372982</v>
      </c>
      <c r="H325" s="417" t="s">
        <v>2994</v>
      </c>
      <c r="I325" s="417" t="s">
        <v>1392</v>
      </c>
      <c r="J325" s="417" t="s">
        <v>2650</v>
      </c>
      <c r="K325" s="417" t="s">
        <v>3065</v>
      </c>
      <c r="L325" s="417"/>
      <c r="M325" s="417" t="s">
        <v>28840</v>
      </c>
    </row>
    <row r="326" spans="1:13" x14ac:dyDescent="0.25">
      <c r="A326" s="417" t="s">
        <v>2647</v>
      </c>
      <c r="B326" s="417" t="s">
        <v>2648</v>
      </c>
      <c r="C326" s="417" t="s">
        <v>3066</v>
      </c>
      <c r="D326" s="417" t="s">
        <v>88</v>
      </c>
      <c r="E326" s="421">
        <v>6.5137150644411515E-2</v>
      </c>
      <c r="F326" s="421">
        <v>2.8343656119241514E-2</v>
      </c>
      <c r="G326" s="422">
        <v>194.69576257638309</v>
      </c>
      <c r="H326" s="417" t="s">
        <v>2994</v>
      </c>
      <c r="I326" s="417" t="s">
        <v>1392</v>
      </c>
      <c r="J326" s="417" t="s">
        <v>2650</v>
      </c>
      <c r="K326" s="417" t="s">
        <v>3067</v>
      </c>
      <c r="L326" s="417"/>
      <c r="M326" s="417" t="s">
        <v>28840</v>
      </c>
    </row>
    <row r="327" spans="1:13" x14ac:dyDescent="0.25">
      <c r="A327" s="417" t="s">
        <v>2647</v>
      </c>
      <c r="B327" s="417" t="s">
        <v>2648</v>
      </c>
      <c r="C327" s="417" t="s">
        <v>3068</v>
      </c>
      <c r="D327" s="417" t="s">
        <v>88</v>
      </c>
      <c r="E327" s="421">
        <v>0.81610358365683011</v>
      </c>
      <c r="F327" s="421">
        <v>0.24890322915770077</v>
      </c>
      <c r="G327" s="422">
        <v>1987.8962556571657</v>
      </c>
      <c r="H327" s="417" t="s">
        <v>2994</v>
      </c>
      <c r="I327" s="417" t="s">
        <v>1392</v>
      </c>
      <c r="J327" s="417" t="s">
        <v>2650</v>
      </c>
      <c r="K327" s="417" t="s">
        <v>3069</v>
      </c>
      <c r="L327" s="417"/>
      <c r="M327" s="417" t="s">
        <v>28840</v>
      </c>
    </row>
    <row r="328" spans="1:13" x14ac:dyDescent="0.25">
      <c r="A328" s="417" t="s">
        <v>2647</v>
      </c>
      <c r="B328" s="417" t="s">
        <v>2648</v>
      </c>
      <c r="C328" s="417" t="s">
        <v>3070</v>
      </c>
      <c r="D328" s="417" t="s">
        <v>88</v>
      </c>
      <c r="E328" s="421">
        <v>0</v>
      </c>
      <c r="F328" s="421">
        <v>0</v>
      </c>
      <c r="G328" s="422">
        <v>0</v>
      </c>
      <c r="H328" s="417" t="s">
        <v>2994</v>
      </c>
      <c r="I328" s="417" t="s">
        <v>1392</v>
      </c>
      <c r="J328" s="417" t="s">
        <v>2650</v>
      </c>
      <c r="K328" s="417" t="s">
        <v>3071</v>
      </c>
      <c r="L328" s="417"/>
      <c r="M328" s="417" t="s">
        <v>28840</v>
      </c>
    </row>
    <row r="329" spans="1:13" x14ac:dyDescent="0.25">
      <c r="A329" s="417" t="s">
        <v>2647</v>
      </c>
      <c r="B329" s="417" t="s">
        <v>2648</v>
      </c>
      <c r="C329" s="417" t="s">
        <v>3072</v>
      </c>
      <c r="D329" s="417" t="s">
        <v>88</v>
      </c>
      <c r="E329" s="421">
        <v>0</v>
      </c>
      <c r="F329" s="421">
        <v>0</v>
      </c>
      <c r="G329" s="422">
        <v>0</v>
      </c>
      <c r="H329" s="417" t="s">
        <v>2994</v>
      </c>
      <c r="I329" s="417" t="s">
        <v>1392</v>
      </c>
      <c r="J329" s="417" t="s">
        <v>2650</v>
      </c>
      <c r="K329" s="417" t="s">
        <v>3073</v>
      </c>
      <c r="L329" s="417"/>
      <c r="M329" s="417" t="s">
        <v>28840</v>
      </c>
    </row>
    <row r="330" spans="1:13" x14ac:dyDescent="0.25">
      <c r="A330" s="417" t="s">
        <v>2647</v>
      </c>
      <c r="B330" s="417" t="s">
        <v>2648</v>
      </c>
      <c r="C330" s="417" t="s">
        <v>3074</v>
      </c>
      <c r="D330" s="417" t="s">
        <v>88</v>
      </c>
      <c r="E330" s="421">
        <v>0</v>
      </c>
      <c r="F330" s="421">
        <v>0</v>
      </c>
      <c r="G330" s="422">
        <v>0</v>
      </c>
      <c r="H330" s="417" t="s">
        <v>2994</v>
      </c>
      <c r="I330" s="417" t="s">
        <v>1392</v>
      </c>
      <c r="J330" s="417" t="s">
        <v>2650</v>
      </c>
      <c r="K330" s="417" t="s">
        <v>3075</v>
      </c>
      <c r="L330" s="417"/>
      <c r="M330" s="417" t="s">
        <v>28840</v>
      </c>
    </row>
    <row r="331" spans="1:13" x14ac:dyDescent="0.25">
      <c r="A331" s="417" t="s">
        <v>2647</v>
      </c>
      <c r="B331" s="417" t="s">
        <v>2648</v>
      </c>
      <c r="C331" s="417" t="s">
        <v>3076</v>
      </c>
      <c r="D331" s="417" t="s">
        <v>88</v>
      </c>
      <c r="E331" s="421">
        <v>0</v>
      </c>
      <c r="F331" s="421">
        <v>0</v>
      </c>
      <c r="G331" s="422">
        <v>0</v>
      </c>
      <c r="H331" s="417" t="s">
        <v>2994</v>
      </c>
      <c r="I331" s="417" t="s">
        <v>1392</v>
      </c>
      <c r="J331" s="417" t="s">
        <v>2650</v>
      </c>
      <c r="K331" s="417" t="s">
        <v>3077</v>
      </c>
      <c r="L331" s="417"/>
      <c r="M331" s="417" t="s">
        <v>28840</v>
      </c>
    </row>
    <row r="332" spans="1:13" x14ac:dyDescent="0.25">
      <c r="A332" s="417" t="s">
        <v>2647</v>
      </c>
      <c r="B332" s="417" t="s">
        <v>2648</v>
      </c>
      <c r="C332" s="417" t="s">
        <v>3078</v>
      </c>
      <c r="D332" s="417" t="s">
        <v>88</v>
      </c>
      <c r="E332" s="421">
        <v>0</v>
      </c>
      <c r="F332" s="421">
        <v>0</v>
      </c>
      <c r="G332" s="422">
        <v>0</v>
      </c>
      <c r="H332" s="417" t="s">
        <v>2994</v>
      </c>
      <c r="I332" s="417" t="s">
        <v>1392</v>
      </c>
      <c r="J332" s="417" t="s">
        <v>2650</v>
      </c>
      <c r="K332" s="417" t="s">
        <v>3079</v>
      </c>
      <c r="L332" s="417"/>
      <c r="M332" s="417" t="s">
        <v>28840</v>
      </c>
    </row>
    <row r="333" spans="1:13" x14ac:dyDescent="0.25">
      <c r="A333" s="417" t="s">
        <v>2647</v>
      </c>
      <c r="B333" s="417" t="s">
        <v>2648</v>
      </c>
      <c r="C333" s="417" t="s">
        <v>3080</v>
      </c>
      <c r="D333" s="417" t="s">
        <v>88</v>
      </c>
      <c r="E333" s="421">
        <v>0</v>
      </c>
      <c r="F333" s="421">
        <v>0</v>
      </c>
      <c r="G333" s="422">
        <v>0</v>
      </c>
      <c r="H333" s="417" t="s">
        <v>2994</v>
      </c>
      <c r="I333" s="417" t="s">
        <v>1392</v>
      </c>
      <c r="J333" s="417" t="s">
        <v>2650</v>
      </c>
      <c r="K333" s="417" t="s">
        <v>3081</v>
      </c>
      <c r="L333" s="417"/>
      <c r="M333" s="417" t="s">
        <v>28840</v>
      </c>
    </row>
    <row r="334" spans="1:13" x14ac:dyDescent="0.25">
      <c r="A334" s="417" t="s">
        <v>2647</v>
      </c>
      <c r="B334" s="417" t="s">
        <v>2648</v>
      </c>
      <c r="C334" s="417" t="s">
        <v>3082</v>
      </c>
      <c r="D334" s="417" t="s">
        <v>88</v>
      </c>
      <c r="E334" s="421">
        <v>0</v>
      </c>
      <c r="F334" s="421">
        <v>0</v>
      </c>
      <c r="G334" s="422">
        <v>0</v>
      </c>
      <c r="H334" s="417" t="s">
        <v>2994</v>
      </c>
      <c r="I334" s="417" t="s">
        <v>1392</v>
      </c>
      <c r="J334" s="417" t="s">
        <v>2650</v>
      </c>
      <c r="K334" s="417" t="s">
        <v>3083</v>
      </c>
      <c r="L334" s="417"/>
      <c r="M334" s="417" t="s">
        <v>28840</v>
      </c>
    </row>
    <row r="335" spans="1:13" x14ac:dyDescent="0.25">
      <c r="A335" s="417" t="s">
        <v>2647</v>
      </c>
      <c r="B335" s="417" t="s">
        <v>2648</v>
      </c>
      <c r="C335" s="417" t="s">
        <v>3084</v>
      </c>
      <c r="D335" s="417" t="s">
        <v>88</v>
      </c>
      <c r="E335" s="421">
        <v>0</v>
      </c>
      <c r="F335" s="421">
        <v>0</v>
      </c>
      <c r="G335" s="422">
        <v>0</v>
      </c>
      <c r="H335" s="417" t="s">
        <v>2994</v>
      </c>
      <c r="I335" s="417" t="s">
        <v>1392</v>
      </c>
      <c r="J335" s="417" t="s">
        <v>2650</v>
      </c>
      <c r="K335" s="417" t="s">
        <v>3085</v>
      </c>
      <c r="L335" s="417"/>
      <c r="M335" s="417" t="s">
        <v>28840</v>
      </c>
    </row>
    <row r="336" spans="1:13" x14ac:dyDescent="0.25">
      <c r="A336" s="417" t="s">
        <v>2647</v>
      </c>
      <c r="B336" s="417" t="s">
        <v>2648</v>
      </c>
      <c r="C336" s="417" t="s">
        <v>3086</v>
      </c>
      <c r="D336" s="417" t="s">
        <v>88</v>
      </c>
      <c r="E336" s="421">
        <v>0</v>
      </c>
      <c r="F336" s="421">
        <v>0</v>
      </c>
      <c r="G336" s="422">
        <v>0</v>
      </c>
      <c r="H336" s="417" t="s">
        <v>2994</v>
      </c>
      <c r="I336" s="417" t="s">
        <v>1392</v>
      </c>
      <c r="J336" s="417" t="s">
        <v>2650</v>
      </c>
      <c r="K336" s="417" t="s">
        <v>3087</v>
      </c>
      <c r="L336" s="417"/>
      <c r="M336" s="417" t="s">
        <v>28840</v>
      </c>
    </row>
    <row r="337" spans="1:13" x14ac:dyDescent="0.25">
      <c r="A337" s="417" t="s">
        <v>2647</v>
      </c>
      <c r="B337" s="417" t="s">
        <v>2648</v>
      </c>
      <c r="C337" s="417" t="s">
        <v>3088</v>
      </c>
      <c r="D337" s="417" t="s">
        <v>88</v>
      </c>
      <c r="E337" s="421">
        <v>0</v>
      </c>
      <c r="F337" s="421">
        <v>0</v>
      </c>
      <c r="G337" s="422">
        <v>0</v>
      </c>
      <c r="H337" s="417" t="s">
        <v>2994</v>
      </c>
      <c r="I337" s="417" t="s">
        <v>1392</v>
      </c>
      <c r="J337" s="417" t="s">
        <v>2650</v>
      </c>
      <c r="K337" s="417" t="s">
        <v>3089</v>
      </c>
      <c r="L337" s="417"/>
      <c r="M337" s="417" t="s">
        <v>28840</v>
      </c>
    </row>
    <row r="338" spans="1:13" x14ac:dyDescent="0.25">
      <c r="A338" s="417" t="s">
        <v>2647</v>
      </c>
      <c r="B338" s="417" t="s">
        <v>2648</v>
      </c>
      <c r="C338" s="417" t="s">
        <v>3090</v>
      </c>
      <c r="D338" s="417" t="s">
        <v>88</v>
      </c>
      <c r="E338" s="421">
        <v>0</v>
      </c>
      <c r="F338" s="421">
        <v>0</v>
      </c>
      <c r="G338" s="422">
        <v>0</v>
      </c>
      <c r="H338" s="417" t="s">
        <v>2994</v>
      </c>
      <c r="I338" s="417" t="s">
        <v>1392</v>
      </c>
      <c r="J338" s="417" t="s">
        <v>2650</v>
      </c>
      <c r="K338" s="417" t="s">
        <v>3091</v>
      </c>
      <c r="L338" s="417"/>
      <c r="M338" s="417" t="s">
        <v>28840</v>
      </c>
    </row>
    <row r="339" spans="1:13" x14ac:dyDescent="0.25">
      <c r="A339" s="417" t="s">
        <v>2647</v>
      </c>
      <c r="B339" s="417" t="s">
        <v>2648</v>
      </c>
      <c r="C339" s="417" t="s">
        <v>3092</v>
      </c>
      <c r="D339" s="417" t="s">
        <v>88</v>
      </c>
      <c r="E339" s="421">
        <v>0</v>
      </c>
      <c r="F339" s="421">
        <v>0</v>
      </c>
      <c r="G339" s="422">
        <v>0</v>
      </c>
      <c r="H339" s="417" t="s">
        <v>2994</v>
      </c>
      <c r="I339" s="417" t="s">
        <v>1392</v>
      </c>
      <c r="J339" s="417" t="s">
        <v>2650</v>
      </c>
      <c r="K339" s="417" t="s">
        <v>3093</v>
      </c>
      <c r="L339" s="417"/>
      <c r="M339" s="417" t="s">
        <v>28840</v>
      </c>
    </row>
    <row r="340" spans="1:13" x14ac:dyDescent="0.25">
      <c r="A340" s="417" t="s">
        <v>2647</v>
      </c>
      <c r="B340" s="417" t="s">
        <v>2648</v>
      </c>
      <c r="C340" s="417" t="s">
        <v>3094</v>
      </c>
      <c r="D340" s="417" t="s">
        <v>74</v>
      </c>
      <c r="E340" s="418">
        <v>0.756851673428793</v>
      </c>
      <c r="F340" s="418">
        <v>8.9416183133571824E-3</v>
      </c>
      <c r="G340" s="420">
        <v>1466.5379654290305</v>
      </c>
      <c r="H340" s="417" t="s">
        <v>2994</v>
      </c>
      <c r="I340" s="417" t="s">
        <v>1392</v>
      </c>
      <c r="J340" s="417" t="s">
        <v>2650</v>
      </c>
      <c r="K340" s="417" t="s">
        <v>3095</v>
      </c>
      <c r="L340" s="417"/>
      <c r="M340" s="417" t="s">
        <v>28840</v>
      </c>
    </row>
    <row r="341" spans="1:13" x14ac:dyDescent="0.25">
      <c r="A341" s="417" t="s">
        <v>2647</v>
      </c>
      <c r="B341" s="417" t="s">
        <v>2648</v>
      </c>
      <c r="C341" s="417" t="s">
        <v>3096</v>
      </c>
      <c r="D341" s="417" t="s">
        <v>74</v>
      </c>
      <c r="E341" s="421">
        <v>0.80526310578645222</v>
      </c>
      <c r="F341" s="421">
        <v>8.4057762795058007E-3</v>
      </c>
      <c r="G341" s="422">
        <v>1587.5593070971281</v>
      </c>
      <c r="H341" s="417" t="s">
        <v>2994</v>
      </c>
      <c r="I341" s="417" t="s">
        <v>1392</v>
      </c>
      <c r="J341" s="417" t="s">
        <v>2650</v>
      </c>
      <c r="K341" s="417" t="s">
        <v>3097</v>
      </c>
      <c r="L341" s="417"/>
      <c r="M341" s="417" t="s">
        <v>28840</v>
      </c>
    </row>
    <row r="342" spans="1:13" x14ac:dyDescent="0.25">
      <c r="A342" s="417" t="s">
        <v>2647</v>
      </c>
      <c r="B342" s="417" t="s">
        <v>2648</v>
      </c>
      <c r="C342" s="417" t="s">
        <v>3098</v>
      </c>
      <c r="D342" s="417" t="s">
        <v>74</v>
      </c>
      <c r="E342" s="421">
        <v>0.57531460902946518</v>
      </c>
      <c r="F342" s="421">
        <v>5.5671564223362183E-3</v>
      </c>
      <c r="G342" s="422">
        <v>1088.7861044169204</v>
      </c>
      <c r="H342" s="417" t="s">
        <v>2994</v>
      </c>
      <c r="I342" s="417" t="s">
        <v>1392</v>
      </c>
      <c r="J342" s="417" t="s">
        <v>2650</v>
      </c>
      <c r="K342" s="417" t="s">
        <v>3099</v>
      </c>
      <c r="L342" s="417"/>
      <c r="M342" s="417" t="s">
        <v>28840</v>
      </c>
    </row>
    <row r="343" spans="1:13" x14ac:dyDescent="0.25">
      <c r="A343" s="417" t="s">
        <v>2647</v>
      </c>
      <c r="B343" s="417" t="s">
        <v>2648</v>
      </c>
      <c r="C343" s="417" t="s">
        <v>28977</v>
      </c>
      <c r="D343" s="417" t="s">
        <v>83</v>
      </c>
      <c r="E343" s="421">
        <v>0.74383687210422067</v>
      </c>
      <c r="F343" s="421">
        <v>1.2061122009197534E-2</v>
      </c>
      <c r="G343" s="422">
        <v>1419.8341583061024</v>
      </c>
      <c r="H343" s="417" t="s">
        <v>2994</v>
      </c>
      <c r="I343" s="417" t="s">
        <v>1392</v>
      </c>
      <c r="J343" s="417" t="s">
        <v>2650</v>
      </c>
      <c r="K343" s="417" t="s">
        <v>3100</v>
      </c>
      <c r="L343" s="417"/>
      <c r="M343" s="417" t="s">
        <v>28981</v>
      </c>
    </row>
    <row r="344" spans="1:13" x14ac:dyDescent="0.25">
      <c r="A344" s="417" t="s">
        <v>2647</v>
      </c>
      <c r="B344" s="417" t="s">
        <v>2648</v>
      </c>
      <c r="C344" s="417" t="s">
        <v>28978</v>
      </c>
      <c r="D344" s="417" t="s">
        <v>83</v>
      </c>
      <c r="E344" s="421">
        <v>1.2695330799390183</v>
      </c>
      <c r="F344" s="421">
        <v>0.6638664628583717</v>
      </c>
      <c r="G344" s="422">
        <v>1626.0442119572072</v>
      </c>
      <c r="H344" s="417" t="s">
        <v>2994</v>
      </c>
      <c r="I344" s="417" t="s">
        <v>1392</v>
      </c>
      <c r="J344" s="417" t="s">
        <v>2650</v>
      </c>
      <c r="K344" s="417" t="s">
        <v>3101</v>
      </c>
      <c r="L344" s="417"/>
      <c r="M344" s="417" t="s">
        <v>28981</v>
      </c>
    </row>
    <row r="345" spans="1:13" x14ac:dyDescent="0.25">
      <c r="A345" s="417" t="s">
        <v>2647</v>
      </c>
      <c r="B345" s="417" t="s">
        <v>2648</v>
      </c>
      <c r="C345" s="417" t="s">
        <v>3102</v>
      </c>
      <c r="D345" s="417" t="s">
        <v>74</v>
      </c>
      <c r="E345" s="421">
        <v>0.67736597443516888</v>
      </c>
      <c r="F345" s="421">
        <v>0.20658968020089158</v>
      </c>
      <c r="G345" s="422">
        <v>1649.953892195447</v>
      </c>
      <c r="H345" s="417" t="s">
        <v>2994</v>
      </c>
      <c r="I345" s="417" t="s">
        <v>1392</v>
      </c>
      <c r="J345" s="417" t="s">
        <v>2650</v>
      </c>
      <c r="K345" s="417" t="s">
        <v>3103</v>
      </c>
      <c r="L345" s="417"/>
      <c r="M345" s="417" t="s">
        <v>28840</v>
      </c>
    </row>
    <row r="346" spans="1:13" x14ac:dyDescent="0.25">
      <c r="A346" s="417" t="s">
        <v>2647</v>
      </c>
      <c r="B346" s="417" t="s">
        <v>2648</v>
      </c>
      <c r="C346" s="417" t="s">
        <v>28979</v>
      </c>
      <c r="D346" s="417" t="s">
        <v>83</v>
      </c>
      <c r="E346" s="421">
        <v>0</v>
      </c>
      <c r="F346" s="421">
        <v>0</v>
      </c>
      <c r="G346" s="422">
        <v>0</v>
      </c>
      <c r="H346" s="417" t="s">
        <v>2994</v>
      </c>
      <c r="I346" s="417" t="s">
        <v>1392</v>
      </c>
      <c r="J346" s="417" t="s">
        <v>2650</v>
      </c>
      <c r="K346" s="417" t="s">
        <v>3104</v>
      </c>
      <c r="L346" s="417"/>
      <c r="M346" s="417" t="s">
        <v>28840</v>
      </c>
    </row>
    <row r="347" spans="1:13" x14ac:dyDescent="0.25">
      <c r="A347" s="417" t="s">
        <v>2647</v>
      </c>
      <c r="B347" s="417" t="s">
        <v>2648</v>
      </c>
      <c r="C347" s="417" t="s">
        <v>28980</v>
      </c>
      <c r="D347" s="417" t="s">
        <v>83</v>
      </c>
      <c r="E347" s="421">
        <v>0</v>
      </c>
      <c r="F347" s="421">
        <v>0</v>
      </c>
      <c r="G347" s="422">
        <v>0</v>
      </c>
      <c r="H347" s="417" t="s">
        <v>2994</v>
      </c>
      <c r="I347" s="417" t="s">
        <v>1392</v>
      </c>
      <c r="J347" s="417" t="s">
        <v>2650</v>
      </c>
      <c r="K347" s="417" t="s">
        <v>3105</v>
      </c>
      <c r="L347" s="417"/>
      <c r="M347" s="417" t="s">
        <v>28840</v>
      </c>
    </row>
    <row r="348" spans="1:13" x14ac:dyDescent="0.25">
      <c r="A348" s="417" t="s">
        <v>2647</v>
      </c>
      <c r="B348" s="417" t="s">
        <v>2648</v>
      </c>
      <c r="C348" s="417" t="s">
        <v>3106</v>
      </c>
      <c r="D348" s="417" t="s">
        <v>74</v>
      </c>
      <c r="E348" s="421">
        <v>0</v>
      </c>
      <c r="F348" s="421">
        <v>0</v>
      </c>
      <c r="G348" s="422">
        <v>0</v>
      </c>
      <c r="H348" s="417" t="s">
        <v>2994</v>
      </c>
      <c r="I348" s="417" t="s">
        <v>1392</v>
      </c>
      <c r="J348" s="417" t="s">
        <v>2650</v>
      </c>
      <c r="K348" s="417" t="s">
        <v>3107</v>
      </c>
      <c r="L348" s="417"/>
      <c r="M348" s="417" t="s">
        <v>28840</v>
      </c>
    </row>
    <row r="349" spans="1:13" x14ac:dyDescent="0.25">
      <c r="A349" s="417" t="s">
        <v>2647</v>
      </c>
      <c r="B349" s="417" t="s">
        <v>2648</v>
      </c>
      <c r="C349" s="417" t="s">
        <v>3108</v>
      </c>
      <c r="D349" s="417" t="s">
        <v>74</v>
      </c>
      <c r="E349" s="421">
        <v>0</v>
      </c>
      <c r="F349" s="421">
        <v>0</v>
      </c>
      <c r="G349" s="422">
        <v>0</v>
      </c>
      <c r="H349" s="417" t="s">
        <v>2994</v>
      </c>
      <c r="I349" s="417" t="s">
        <v>1392</v>
      </c>
      <c r="J349" s="417" t="s">
        <v>2650</v>
      </c>
      <c r="K349" s="417" t="s">
        <v>3109</v>
      </c>
      <c r="L349" s="417"/>
      <c r="M349" s="417" t="s">
        <v>28840</v>
      </c>
    </row>
    <row r="350" spans="1:13" x14ac:dyDescent="0.25">
      <c r="A350" s="417" t="s">
        <v>2647</v>
      </c>
      <c r="B350" s="417" t="s">
        <v>2648</v>
      </c>
      <c r="C350" s="417" t="s">
        <v>3110</v>
      </c>
      <c r="D350" s="417" t="s">
        <v>74</v>
      </c>
      <c r="E350" s="421">
        <v>0</v>
      </c>
      <c r="F350" s="421">
        <v>0</v>
      </c>
      <c r="G350" s="422">
        <v>0</v>
      </c>
      <c r="H350" s="417" t="s">
        <v>2994</v>
      </c>
      <c r="I350" s="417" t="s">
        <v>1392</v>
      </c>
      <c r="J350" s="417" t="s">
        <v>2650</v>
      </c>
      <c r="K350" s="417" t="s">
        <v>3111</v>
      </c>
      <c r="L350" s="417"/>
      <c r="M350" s="417" t="s">
        <v>28840</v>
      </c>
    </row>
    <row r="351" spans="1:13" x14ac:dyDescent="0.25">
      <c r="A351" s="417" t="s">
        <v>2647</v>
      </c>
      <c r="B351" s="417" t="s">
        <v>2648</v>
      </c>
      <c r="C351" s="417" t="s">
        <v>3112</v>
      </c>
      <c r="D351" s="417" t="s">
        <v>74</v>
      </c>
      <c r="E351" s="421">
        <v>0</v>
      </c>
      <c r="F351" s="421">
        <v>0</v>
      </c>
      <c r="G351" s="422">
        <v>0</v>
      </c>
      <c r="H351" s="417" t="s">
        <v>2994</v>
      </c>
      <c r="I351" s="417" t="s">
        <v>1392</v>
      </c>
      <c r="J351" s="417" t="s">
        <v>2650</v>
      </c>
      <c r="K351" s="417" t="s">
        <v>3113</v>
      </c>
      <c r="L351" s="417"/>
      <c r="M351" s="417" t="s">
        <v>28840</v>
      </c>
    </row>
    <row r="352" spans="1:13" x14ac:dyDescent="0.25">
      <c r="A352" s="417" t="s">
        <v>2647</v>
      </c>
      <c r="B352" s="417" t="s">
        <v>2648</v>
      </c>
      <c r="C352" s="417" t="s">
        <v>3114</v>
      </c>
      <c r="D352" s="417" t="s">
        <v>73</v>
      </c>
      <c r="E352" s="421">
        <v>6.375026658714809E-3</v>
      </c>
      <c r="F352" s="421">
        <v>3.2166620590686965E-4</v>
      </c>
      <c r="G352" s="422">
        <v>16.601199235501539</v>
      </c>
      <c r="H352" s="417" t="s">
        <v>2994</v>
      </c>
      <c r="I352" s="417" t="s">
        <v>28991</v>
      </c>
      <c r="J352" s="417" t="s">
        <v>2771</v>
      </c>
      <c r="K352" s="417" t="s">
        <v>3115</v>
      </c>
      <c r="L352" s="417"/>
      <c r="M352" s="417" t="s">
        <v>28840</v>
      </c>
    </row>
    <row r="353" spans="1:13" x14ac:dyDescent="0.25">
      <c r="A353" s="417" t="s">
        <v>2647</v>
      </c>
      <c r="B353" s="417" t="s">
        <v>2648</v>
      </c>
      <c r="C353" s="417" t="s">
        <v>3116</v>
      </c>
      <c r="D353" s="417" t="s">
        <v>73</v>
      </c>
      <c r="E353" s="421">
        <v>7.3263270327966236E-4</v>
      </c>
      <c r="F353" s="421">
        <v>1.302432699429505E-4</v>
      </c>
      <c r="G353" s="422">
        <v>3.4912901351428411</v>
      </c>
      <c r="H353" s="417" t="s">
        <v>2994</v>
      </c>
      <c r="I353" s="417" t="s">
        <v>28991</v>
      </c>
      <c r="J353" s="417" t="s">
        <v>2771</v>
      </c>
      <c r="K353" s="417" t="s">
        <v>3117</v>
      </c>
      <c r="L353" s="417"/>
      <c r="M353" s="417" t="s">
        <v>28840</v>
      </c>
    </row>
    <row r="354" spans="1:13" x14ac:dyDescent="0.25">
      <c r="A354" s="417" t="s">
        <v>2647</v>
      </c>
      <c r="B354" s="417" t="s">
        <v>2648</v>
      </c>
      <c r="C354" s="417" t="s">
        <v>3118</v>
      </c>
      <c r="D354" s="417" t="s">
        <v>73</v>
      </c>
      <c r="E354" s="421">
        <v>2.5439507986293339E-2</v>
      </c>
      <c r="F354" s="421">
        <v>4.4463781581312978E-4</v>
      </c>
      <c r="G354" s="422">
        <v>51.075313756938741</v>
      </c>
      <c r="H354" s="417" t="s">
        <v>2994</v>
      </c>
      <c r="I354" s="417" t="s">
        <v>28991</v>
      </c>
      <c r="J354" s="417" t="s">
        <v>2771</v>
      </c>
      <c r="K354" s="417" t="s">
        <v>3119</v>
      </c>
      <c r="L354" s="417"/>
      <c r="M354" s="417" t="s">
        <v>28840</v>
      </c>
    </row>
    <row r="355" spans="1:13" x14ac:dyDescent="0.25">
      <c r="A355" s="417" t="s">
        <v>2647</v>
      </c>
      <c r="B355" s="417" t="s">
        <v>2648</v>
      </c>
      <c r="C355" s="417" t="s">
        <v>3120</v>
      </c>
      <c r="D355" s="417" t="s">
        <v>73</v>
      </c>
      <c r="E355" s="421">
        <v>2.415476420844187E-2</v>
      </c>
      <c r="F355" s="421">
        <v>5.217491656146617E-4</v>
      </c>
      <c r="G355" s="422">
        <v>47.622417063258993</v>
      </c>
      <c r="H355" s="417" t="s">
        <v>2994</v>
      </c>
      <c r="I355" s="417" t="s">
        <v>28991</v>
      </c>
      <c r="J355" s="417" t="s">
        <v>2771</v>
      </c>
      <c r="K355" s="417" t="s">
        <v>3121</v>
      </c>
      <c r="L355" s="417"/>
      <c r="M355" s="417" t="s">
        <v>28840</v>
      </c>
    </row>
    <row r="356" spans="1:13" x14ac:dyDescent="0.25">
      <c r="A356" s="417" t="s">
        <v>2647</v>
      </c>
      <c r="B356" s="417" t="s">
        <v>2648</v>
      </c>
      <c r="C356" s="417" t="s">
        <v>3122</v>
      </c>
      <c r="D356" s="417" t="s">
        <v>73</v>
      </c>
      <c r="E356" s="421">
        <v>5.2983502029061097E-3</v>
      </c>
      <c r="F356" s="421">
        <v>5.2882282491317767E-4</v>
      </c>
      <c r="G356" s="422">
        <v>18.816147831553028</v>
      </c>
      <c r="H356" s="417" t="s">
        <v>2994</v>
      </c>
      <c r="I356" s="417" t="s">
        <v>28991</v>
      </c>
      <c r="J356" s="417" t="s">
        <v>2771</v>
      </c>
      <c r="K356" s="417" t="s">
        <v>3123</v>
      </c>
      <c r="L356" s="417"/>
      <c r="M356" s="417" t="s">
        <v>28840</v>
      </c>
    </row>
    <row r="357" spans="1:13" x14ac:dyDescent="0.25">
      <c r="A357" s="417" t="s">
        <v>2647</v>
      </c>
      <c r="B357" s="417" t="s">
        <v>2648</v>
      </c>
      <c r="C357" s="417" t="s">
        <v>3124</v>
      </c>
      <c r="D357" s="417" t="s">
        <v>73</v>
      </c>
      <c r="E357" s="421">
        <v>3.6675566601947806E-3</v>
      </c>
      <c r="F357" s="421">
        <v>2.7244867244023002E-4</v>
      </c>
      <c r="G357" s="422">
        <v>10.666313192955503</v>
      </c>
      <c r="H357" s="417" t="s">
        <v>2994</v>
      </c>
      <c r="I357" s="417" t="s">
        <v>28991</v>
      </c>
      <c r="J357" s="417" t="s">
        <v>2771</v>
      </c>
      <c r="K357" s="417" t="s">
        <v>3125</v>
      </c>
      <c r="L357" s="417"/>
      <c r="M357" s="417" t="s">
        <v>28840</v>
      </c>
    </row>
    <row r="358" spans="1:13" x14ac:dyDescent="0.25">
      <c r="A358" s="417" t="s">
        <v>2647</v>
      </c>
      <c r="B358" s="417" t="s">
        <v>2648</v>
      </c>
      <c r="C358" s="417" t="s">
        <v>3126</v>
      </c>
      <c r="D358" s="417" t="s">
        <v>73</v>
      </c>
      <c r="E358" s="421">
        <v>5.1605934865802923E-3</v>
      </c>
      <c r="F358" s="421">
        <v>5.435220358700353E-4</v>
      </c>
      <c r="G358" s="422">
        <v>39.51578537789878</v>
      </c>
      <c r="H358" s="417" t="s">
        <v>2994</v>
      </c>
      <c r="I358" s="417" t="s">
        <v>28991</v>
      </c>
      <c r="J358" s="417" t="s">
        <v>2771</v>
      </c>
      <c r="K358" s="417" t="s">
        <v>3127</v>
      </c>
      <c r="L358" s="417"/>
      <c r="M358" s="417" t="s">
        <v>28840</v>
      </c>
    </row>
    <row r="359" spans="1:13" x14ac:dyDescent="0.25">
      <c r="A359" s="417" t="s">
        <v>2647</v>
      </c>
      <c r="B359" s="417" t="s">
        <v>2648</v>
      </c>
      <c r="C359" s="417" t="s">
        <v>3128</v>
      </c>
      <c r="D359" s="417" t="s">
        <v>73</v>
      </c>
      <c r="E359" s="421">
        <v>7.1742518632214236E-3</v>
      </c>
      <c r="F359" s="421">
        <v>7.9072244936527025E-4</v>
      </c>
      <c r="G359" s="422">
        <v>49.308948738654536</v>
      </c>
      <c r="H359" s="417" t="s">
        <v>2994</v>
      </c>
      <c r="I359" s="417" t="s">
        <v>28991</v>
      </c>
      <c r="J359" s="417" t="s">
        <v>2771</v>
      </c>
      <c r="K359" s="417" t="s">
        <v>3129</v>
      </c>
      <c r="L359" s="417"/>
      <c r="M359" s="417" t="s">
        <v>28840</v>
      </c>
    </row>
    <row r="360" spans="1:13" x14ac:dyDescent="0.25">
      <c r="A360" s="417" t="s">
        <v>2647</v>
      </c>
      <c r="B360" s="417" t="s">
        <v>2648</v>
      </c>
      <c r="C360" s="417" t="s">
        <v>3130</v>
      </c>
      <c r="D360" s="417" t="s">
        <v>73</v>
      </c>
      <c r="E360" s="421">
        <v>8.3031240134674132E-3</v>
      </c>
      <c r="F360" s="421">
        <v>7.8005955327409651E-4</v>
      </c>
      <c r="G360" s="422">
        <v>51.597602297264416</v>
      </c>
      <c r="H360" s="417" t="s">
        <v>2994</v>
      </c>
      <c r="I360" s="417" t="s">
        <v>28991</v>
      </c>
      <c r="J360" s="417" t="s">
        <v>2771</v>
      </c>
      <c r="K360" s="417" t="s">
        <v>3131</v>
      </c>
      <c r="L360" s="417"/>
      <c r="M360" s="417" t="s">
        <v>28840</v>
      </c>
    </row>
    <row r="361" spans="1:13" x14ac:dyDescent="0.25">
      <c r="A361" s="417" t="s">
        <v>2647</v>
      </c>
      <c r="B361" s="417" t="s">
        <v>2648</v>
      </c>
      <c r="C361" s="417" t="s">
        <v>3132</v>
      </c>
      <c r="D361" s="417" t="s">
        <v>73</v>
      </c>
      <c r="E361" s="421">
        <v>7.1622768077049211E-4</v>
      </c>
      <c r="F361" s="421">
        <v>1.2994662240790371E-4</v>
      </c>
      <c r="G361" s="422">
        <v>2.8445955773969489</v>
      </c>
      <c r="H361" s="417" t="s">
        <v>2994</v>
      </c>
      <c r="I361" s="417" t="s">
        <v>28991</v>
      </c>
      <c r="J361" s="417" t="s">
        <v>2771</v>
      </c>
      <c r="K361" s="417" t="s">
        <v>3133</v>
      </c>
      <c r="L361" s="417"/>
      <c r="M361" s="417" t="s">
        <v>28840</v>
      </c>
    </row>
    <row r="362" spans="1:13" x14ac:dyDescent="0.25">
      <c r="A362" s="417" t="s">
        <v>2647</v>
      </c>
      <c r="B362" s="417" t="s">
        <v>2648</v>
      </c>
      <c r="C362" s="417" t="s">
        <v>3134</v>
      </c>
      <c r="D362" s="417" t="s">
        <v>73</v>
      </c>
      <c r="E362" s="421">
        <v>9.0299690824470341E-3</v>
      </c>
      <c r="F362" s="421">
        <v>9.6962584625995697E-4</v>
      </c>
      <c r="G362" s="422">
        <v>19.194381417494323</v>
      </c>
      <c r="H362" s="417" t="s">
        <v>2994</v>
      </c>
      <c r="I362" s="417" t="s">
        <v>28991</v>
      </c>
      <c r="J362" s="417" t="s">
        <v>2771</v>
      </c>
      <c r="K362" s="417" t="s">
        <v>3135</v>
      </c>
      <c r="L362" s="417"/>
      <c r="M362" s="417" t="s">
        <v>28840</v>
      </c>
    </row>
    <row r="363" spans="1:13" x14ac:dyDescent="0.25">
      <c r="A363" s="417" t="s">
        <v>2647</v>
      </c>
      <c r="B363" s="417" t="s">
        <v>2648</v>
      </c>
      <c r="C363" s="417" t="s">
        <v>3136</v>
      </c>
      <c r="D363" s="417" t="s">
        <v>73</v>
      </c>
      <c r="E363" s="421">
        <v>8.6160650733857758E-3</v>
      </c>
      <c r="F363" s="421">
        <v>2.6376703097617999E-4</v>
      </c>
      <c r="G363" s="422">
        <v>17.922911335468989</v>
      </c>
      <c r="H363" s="417" t="s">
        <v>2994</v>
      </c>
      <c r="I363" s="417" t="s">
        <v>28991</v>
      </c>
      <c r="J363" s="417" t="s">
        <v>2771</v>
      </c>
      <c r="K363" s="417" t="s">
        <v>3137</v>
      </c>
      <c r="L363" s="417"/>
      <c r="M363" s="417" t="s">
        <v>28840</v>
      </c>
    </row>
    <row r="364" spans="1:13" x14ac:dyDescent="0.25">
      <c r="A364" s="417" t="s">
        <v>2647</v>
      </c>
      <c r="B364" s="417" t="s">
        <v>2648</v>
      </c>
      <c r="C364" s="417" t="s">
        <v>3138</v>
      </c>
      <c r="D364" s="417" t="s">
        <v>73</v>
      </c>
      <c r="E364" s="421">
        <v>1.5545626500578613E-2</v>
      </c>
      <c r="F364" s="421">
        <v>7.8083304114340002E-3</v>
      </c>
      <c r="G364" s="422">
        <v>21.939092652475729</v>
      </c>
      <c r="H364" s="417" t="s">
        <v>2994</v>
      </c>
      <c r="I364" s="417" t="s">
        <v>28991</v>
      </c>
      <c r="J364" s="417" t="s">
        <v>2771</v>
      </c>
      <c r="K364" s="417" t="s">
        <v>3139</v>
      </c>
      <c r="L364" s="417"/>
      <c r="M364" s="417" t="s">
        <v>28840</v>
      </c>
    </row>
    <row r="365" spans="1:13" x14ac:dyDescent="0.25">
      <c r="A365" s="417" t="s">
        <v>2647</v>
      </c>
      <c r="B365" s="417" t="s">
        <v>2648</v>
      </c>
      <c r="C365" s="417" t="s">
        <v>3140</v>
      </c>
      <c r="D365" s="417" t="s">
        <v>73</v>
      </c>
      <c r="E365" s="421">
        <v>2.3566227241550997E-2</v>
      </c>
      <c r="F365" s="421">
        <v>4.1184084431370311E-4</v>
      </c>
      <c r="G365" s="422">
        <v>45.385977305704714</v>
      </c>
      <c r="H365" s="417" t="s">
        <v>2994</v>
      </c>
      <c r="I365" s="417" t="s">
        <v>28991</v>
      </c>
      <c r="J365" s="417" t="s">
        <v>2771</v>
      </c>
      <c r="K365" s="417" t="s">
        <v>3141</v>
      </c>
      <c r="L365" s="417"/>
      <c r="M365" s="417" t="s">
        <v>28840</v>
      </c>
    </row>
    <row r="366" spans="1:13" x14ac:dyDescent="0.25">
      <c r="A366" s="417" t="s">
        <v>2647</v>
      </c>
      <c r="B366" s="417" t="s">
        <v>2648</v>
      </c>
      <c r="C366" s="417" t="s">
        <v>3142</v>
      </c>
      <c r="D366" s="417" t="s">
        <v>88</v>
      </c>
      <c r="E366" s="421">
        <v>6.5018616697202242E-2</v>
      </c>
      <c r="F366" s="421">
        <v>1.136258329439858E-3</v>
      </c>
      <c r="G366" s="422">
        <v>125.21874764343148</v>
      </c>
      <c r="H366" s="417" t="s">
        <v>2994</v>
      </c>
      <c r="I366" s="417" t="s">
        <v>1392</v>
      </c>
      <c r="J366" s="417" t="s">
        <v>2771</v>
      </c>
      <c r="K366" s="417" t="s">
        <v>3143</v>
      </c>
      <c r="L366" s="417"/>
      <c r="M366" s="417" t="s">
        <v>28840</v>
      </c>
    </row>
    <row r="367" spans="1:13" x14ac:dyDescent="0.25">
      <c r="A367" s="417" t="s">
        <v>2647</v>
      </c>
      <c r="B367" s="417" t="s">
        <v>2648</v>
      </c>
      <c r="C367" s="417" t="s">
        <v>3144</v>
      </c>
      <c r="D367" s="417" t="s">
        <v>73</v>
      </c>
      <c r="E367" s="421">
        <v>4.28598703300406E-2</v>
      </c>
      <c r="F367" s="421">
        <v>9.6357591892599209E-3</v>
      </c>
      <c r="G367" s="422">
        <v>201.95769214659089</v>
      </c>
      <c r="H367" s="417" t="s">
        <v>2994</v>
      </c>
      <c r="I367" s="417" t="s">
        <v>28991</v>
      </c>
      <c r="J367" s="417" t="s">
        <v>2771</v>
      </c>
      <c r="K367" s="417" t="s">
        <v>3145</v>
      </c>
      <c r="L367" s="417"/>
      <c r="M367" s="417" t="s">
        <v>28840</v>
      </c>
    </row>
    <row r="368" spans="1:13" x14ac:dyDescent="0.25">
      <c r="A368" s="417" t="s">
        <v>2647</v>
      </c>
      <c r="B368" s="417" t="s">
        <v>2803</v>
      </c>
      <c r="C368" s="417" t="s">
        <v>3146</v>
      </c>
      <c r="D368" s="417" t="s">
        <v>224</v>
      </c>
      <c r="E368" s="421">
        <v>4.0754008540141134E-2</v>
      </c>
      <c r="F368" s="421">
        <v>5.7221985088818511E-3</v>
      </c>
      <c r="G368" s="422">
        <v>413.33102568823188</v>
      </c>
      <c r="H368" s="417" t="s">
        <v>2994</v>
      </c>
      <c r="I368" s="417" t="s">
        <v>28256</v>
      </c>
      <c r="J368" s="417" t="s">
        <v>2805</v>
      </c>
      <c r="K368" s="417" t="s">
        <v>3147</v>
      </c>
      <c r="L368" s="417"/>
      <c r="M368" s="417" t="s">
        <v>28840</v>
      </c>
    </row>
    <row r="369" spans="1:13" x14ac:dyDescent="0.25">
      <c r="A369" s="417" t="s">
        <v>2647</v>
      </c>
      <c r="B369" s="417" t="s">
        <v>2803</v>
      </c>
      <c r="C369" s="417" t="s">
        <v>3148</v>
      </c>
      <c r="D369" s="417" t="s">
        <v>224</v>
      </c>
      <c r="E369" s="421">
        <v>3.3270578933333961E-2</v>
      </c>
      <c r="F369" s="421">
        <v>4.3298640155090239E-3</v>
      </c>
      <c r="G369" s="422">
        <v>375.80771935342909</v>
      </c>
      <c r="H369" s="417" t="s">
        <v>2994</v>
      </c>
      <c r="I369" s="417" t="s">
        <v>28256</v>
      </c>
      <c r="J369" s="417" t="s">
        <v>2805</v>
      </c>
      <c r="K369" s="417" t="s">
        <v>3149</v>
      </c>
      <c r="L369" s="417"/>
      <c r="M369" s="417" t="s">
        <v>28840</v>
      </c>
    </row>
    <row r="370" spans="1:13" x14ac:dyDescent="0.25">
      <c r="A370" s="417" t="s">
        <v>2647</v>
      </c>
      <c r="B370" s="417" t="s">
        <v>2803</v>
      </c>
      <c r="C370" s="417" t="s">
        <v>3150</v>
      </c>
      <c r="D370" s="417" t="s">
        <v>224</v>
      </c>
      <c r="E370" s="421">
        <v>1.1227348061523264E-2</v>
      </c>
      <c r="F370" s="421">
        <v>4.6657716598129005E-4</v>
      </c>
      <c r="G370" s="422">
        <v>68.982664388480032</v>
      </c>
      <c r="H370" s="417" t="s">
        <v>2994</v>
      </c>
      <c r="I370" s="417" t="s">
        <v>28256</v>
      </c>
      <c r="J370" s="417" t="s">
        <v>2810</v>
      </c>
      <c r="K370" s="417" t="s">
        <v>3151</v>
      </c>
      <c r="L370" s="417"/>
      <c r="M370" s="417" t="s">
        <v>28840</v>
      </c>
    </row>
    <row r="371" spans="1:13" x14ac:dyDescent="0.25">
      <c r="A371" s="417" t="s">
        <v>2647</v>
      </c>
      <c r="B371" s="417" t="s">
        <v>2803</v>
      </c>
      <c r="C371" s="417" t="s">
        <v>3152</v>
      </c>
      <c r="D371" s="417" t="s">
        <v>224</v>
      </c>
      <c r="E371" s="421">
        <v>3.9418283843572217E-2</v>
      </c>
      <c r="F371" s="421">
        <v>1.88465040478591E-3</v>
      </c>
      <c r="G371" s="422">
        <v>128.6010752844731</v>
      </c>
      <c r="H371" s="417" t="s">
        <v>2994</v>
      </c>
      <c r="I371" s="417" t="s">
        <v>28256</v>
      </c>
      <c r="J371" s="417" t="s">
        <v>2810</v>
      </c>
      <c r="K371" s="417" t="s">
        <v>3153</v>
      </c>
      <c r="L371" s="417"/>
      <c r="M371" s="417" t="s">
        <v>28840</v>
      </c>
    </row>
    <row r="372" spans="1:13" x14ac:dyDescent="0.25">
      <c r="A372" s="417" t="s">
        <v>2647</v>
      </c>
      <c r="B372" s="417" t="s">
        <v>2803</v>
      </c>
      <c r="C372" s="417" t="s">
        <v>3154</v>
      </c>
      <c r="D372" s="417" t="s">
        <v>224</v>
      </c>
      <c r="E372" s="421">
        <v>2.6017323493263775E-2</v>
      </c>
      <c r="F372" s="421">
        <v>9.3734967143672444E-4</v>
      </c>
      <c r="G372" s="422">
        <v>97.210070383192061</v>
      </c>
      <c r="H372" s="417" t="s">
        <v>2994</v>
      </c>
      <c r="I372" s="417" t="s">
        <v>28256</v>
      </c>
      <c r="J372" s="417" t="s">
        <v>2810</v>
      </c>
      <c r="K372" s="417" t="s">
        <v>3155</v>
      </c>
      <c r="L372" s="417"/>
      <c r="M372" s="417" t="s">
        <v>28840</v>
      </c>
    </row>
    <row r="373" spans="1:13" x14ac:dyDescent="0.25">
      <c r="A373" s="417" t="s">
        <v>2647</v>
      </c>
      <c r="B373" s="417" t="s">
        <v>2803</v>
      </c>
      <c r="C373" s="417" t="s">
        <v>3156</v>
      </c>
      <c r="D373" s="417" t="s">
        <v>224</v>
      </c>
      <c r="E373" s="421">
        <v>0.18574694786021881</v>
      </c>
      <c r="F373" s="421">
        <v>0.14977638453491554</v>
      </c>
      <c r="G373" s="422">
        <v>336.2178739557275</v>
      </c>
      <c r="H373" s="417" t="s">
        <v>2994</v>
      </c>
      <c r="I373" s="417" t="s">
        <v>28256</v>
      </c>
      <c r="J373" s="417" t="s">
        <v>2810</v>
      </c>
      <c r="K373" s="417" t="s">
        <v>3157</v>
      </c>
      <c r="L373" s="417"/>
      <c r="M373" s="417" t="s">
        <v>28840</v>
      </c>
    </row>
    <row r="374" spans="1:13" x14ac:dyDescent="0.25">
      <c r="A374" s="417" t="s">
        <v>2647</v>
      </c>
      <c r="B374" s="417" t="s">
        <v>2803</v>
      </c>
      <c r="C374" s="417" t="s">
        <v>3158</v>
      </c>
      <c r="D374" s="417" t="s">
        <v>224</v>
      </c>
      <c r="E374" s="421">
        <v>2.6017323493263775E-2</v>
      </c>
      <c r="F374" s="421">
        <v>9.3734967143672444E-4</v>
      </c>
      <c r="G374" s="422">
        <v>97.210070383192061</v>
      </c>
      <c r="H374" s="417" t="s">
        <v>2994</v>
      </c>
      <c r="I374" s="417" t="s">
        <v>28256</v>
      </c>
      <c r="J374" s="417" t="s">
        <v>2810</v>
      </c>
      <c r="K374" s="417" t="s">
        <v>3159</v>
      </c>
      <c r="L374" s="417"/>
      <c r="M374" s="417" t="s">
        <v>28840</v>
      </c>
    </row>
    <row r="375" spans="1:13" x14ac:dyDescent="0.25">
      <c r="A375" s="417" t="s">
        <v>2647</v>
      </c>
      <c r="B375" s="417" t="s">
        <v>2803</v>
      </c>
      <c r="C375" s="417" t="s">
        <v>3160</v>
      </c>
      <c r="D375" s="417" t="s">
        <v>224</v>
      </c>
      <c r="E375" s="421">
        <v>2.3079546721339682E-2</v>
      </c>
      <c r="F375" s="421">
        <v>5.4145561047193248E-4</v>
      </c>
      <c r="G375" s="422">
        <v>666.97514615674697</v>
      </c>
      <c r="H375" s="417" t="s">
        <v>2994</v>
      </c>
      <c r="I375" s="417" t="s">
        <v>28256</v>
      </c>
      <c r="J375" s="417" t="s">
        <v>2810</v>
      </c>
      <c r="K375" s="417" t="s">
        <v>3161</v>
      </c>
      <c r="L375" s="417"/>
      <c r="M375" s="417" t="s">
        <v>28840</v>
      </c>
    </row>
    <row r="376" spans="1:13" x14ac:dyDescent="0.25">
      <c r="A376" s="417" t="s">
        <v>2647</v>
      </c>
      <c r="B376" s="417" t="s">
        <v>2803</v>
      </c>
      <c r="C376" s="417" t="s">
        <v>3162</v>
      </c>
      <c r="D376" s="417" t="s">
        <v>224</v>
      </c>
      <c r="E376" s="421">
        <v>0.25638387127543544</v>
      </c>
      <c r="F376" s="421">
        <v>1.9781231170730038E-2</v>
      </c>
      <c r="G376" s="422">
        <v>499.54629360843529</v>
      </c>
      <c r="H376" s="417" t="s">
        <v>2994</v>
      </c>
      <c r="I376" s="417" t="s">
        <v>28256</v>
      </c>
      <c r="J376" s="417" t="s">
        <v>2810</v>
      </c>
      <c r="K376" s="417" t="s">
        <v>3163</v>
      </c>
      <c r="L376" s="417"/>
      <c r="M376" s="417" t="s">
        <v>28840</v>
      </c>
    </row>
    <row r="377" spans="1:13" x14ac:dyDescent="0.25">
      <c r="A377" s="417" t="s">
        <v>2647</v>
      </c>
      <c r="B377" s="417" t="s">
        <v>2803</v>
      </c>
      <c r="C377" s="417" t="s">
        <v>3164</v>
      </c>
      <c r="D377" s="417" t="s">
        <v>224</v>
      </c>
      <c r="E377" s="421">
        <v>0.21427388197654157</v>
      </c>
      <c r="F377" s="421">
        <v>3.0622065199992854E-3</v>
      </c>
      <c r="G377" s="422">
        <v>413.79598391509785</v>
      </c>
      <c r="H377" s="417" t="s">
        <v>2994</v>
      </c>
      <c r="I377" s="417" t="s">
        <v>28256</v>
      </c>
      <c r="J377" s="417" t="s">
        <v>2810</v>
      </c>
      <c r="K377" s="417" t="s">
        <v>3165</v>
      </c>
      <c r="L377" s="417"/>
      <c r="M377" s="417" t="s">
        <v>28840</v>
      </c>
    </row>
    <row r="378" spans="1:13" x14ac:dyDescent="0.25">
      <c r="A378" s="417" t="s">
        <v>2647</v>
      </c>
      <c r="B378" s="417" t="s">
        <v>2803</v>
      </c>
      <c r="C378" s="417" t="s">
        <v>3166</v>
      </c>
      <c r="D378" s="417" t="s">
        <v>224</v>
      </c>
      <c r="E378" s="421">
        <v>7.0887294911108466E-3</v>
      </c>
      <c r="F378" s="421">
        <v>2.6083396894555587E-4</v>
      </c>
      <c r="G378" s="422">
        <v>55.350452133632139</v>
      </c>
      <c r="H378" s="417" t="s">
        <v>2994</v>
      </c>
      <c r="I378" s="417" t="s">
        <v>28256</v>
      </c>
      <c r="J378" s="417" t="s">
        <v>2810</v>
      </c>
      <c r="K378" s="417" t="s">
        <v>3167</v>
      </c>
      <c r="L378" s="417"/>
      <c r="M378" s="417" t="s">
        <v>28840</v>
      </c>
    </row>
    <row r="379" spans="1:13" x14ac:dyDescent="0.25">
      <c r="A379" s="417" t="s">
        <v>2647</v>
      </c>
      <c r="B379" s="417" t="s">
        <v>2803</v>
      </c>
      <c r="C379" s="417" t="s">
        <v>3168</v>
      </c>
      <c r="D379" s="417" t="s">
        <v>224</v>
      </c>
      <c r="E379" s="421">
        <v>1.870766454873686E-2</v>
      </c>
      <c r="F379" s="421">
        <v>2.4640003696069714E-3</v>
      </c>
      <c r="G379" s="422">
        <v>104.19043395928412</v>
      </c>
      <c r="H379" s="417" t="s">
        <v>2994</v>
      </c>
      <c r="I379" s="417" t="s">
        <v>28256</v>
      </c>
      <c r="J379" s="417" t="s">
        <v>2810</v>
      </c>
      <c r="K379" s="417" t="s">
        <v>3169</v>
      </c>
      <c r="L379" s="417"/>
      <c r="M379" s="417" t="s">
        <v>28840</v>
      </c>
    </row>
    <row r="380" spans="1:13" x14ac:dyDescent="0.25">
      <c r="A380" s="417" t="s">
        <v>2647</v>
      </c>
      <c r="B380" s="417" t="s">
        <v>2803</v>
      </c>
      <c r="C380" s="417" t="s">
        <v>3170</v>
      </c>
      <c r="D380" s="417" t="s">
        <v>224</v>
      </c>
      <c r="E380" s="421">
        <v>4.4492554682464408E-2</v>
      </c>
      <c r="F380" s="421">
        <v>3.7571291800776686E-3</v>
      </c>
      <c r="G380" s="422">
        <v>158.34523485944175</v>
      </c>
      <c r="H380" s="417" t="s">
        <v>2994</v>
      </c>
      <c r="I380" s="417" t="s">
        <v>28256</v>
      </c>
      <c r="J380" s="417" t="s">
        <v>2810</v>
      </c>
      <c r="K380" s="417" t="s">
        <v>3171</v>
      </c>
      <c r="L380" s="417"/>
      <c r="M380" s="417" t="s">
        <v>28840</v>
      </c>
    </row>
    <row r="381" spans="1:13" x14ac:dyDescent="0.25">
      <c r="A381" s="417" t="s">
        <v>2647</v>
      </c>
      <c r="B381" s="417" t="s">
        <v>2803</v>
      </c>
      <c r="C381" s="417" t="s">
        <v>3172</v>
      </c>
      <c r="D381" s="417" t="s">
        <v>224</v>
      </c>
      <c r="E381" s="421">
        <v>3.2267803137632993E-2</v>
      </c>
      <c r="F381" s="421">
        <v>2.8932937751401469E-3</v>
      </c>
      <c r="G381" s="422">
        <v>129.67713544380072</v>
      </c>
      <c r="H381" s="417" t="s">
        <v>2994</v>
      </c>
      <c r="I381" s="417" t="s">
        <v>28256</v>
      </c>
      <c r="J381" s="417" t="s">
        <v>2810</v>
      </c>
      <c r="K381" s="417" t="s">
        <v>3173</v>
      </c>
      <c r="L381" s="417"/>
      <c r="M381" s="417" t="s">
        <v>28840</v>
      </c>
    </row>
    <row r="382" spans="1:13" x14ac:dyDescent="0.25">
      <c r="A382" s="417" t="s">
        <v>2647</v>
      </c>
      <c r="B382" s="417" t="s">
        <v>2803</v>
      </c>
      <c r="C382" s="417" t="s">
        <v>3174</v>
      </c>
      <c r="D382" s="417" t="s">
        <v>224</v>
      </c>
      <c r="E382" s="421">
        <v>0.17695128687910303</v>
      </c>
      <c r="F382" s="421">
        <v>8.2145551571483635E-2</v>
      </c>
      <c r="G382" s="422">
        <v>343.01421884439861</v>
      </c>
      <c r="H382" s="417" t="s">
        <v>2994</v>
      </c>
      <c r="I382" s="417" t="s">
        <v>28256</v>
      </c>
      <c r="J382" s="417" t="s">
        <v>2810</v>
      </c>
      <c r="K382" s="417" t="s">
        <v>3175</v>
      </c>
      <c r="L382" s="417"/>
      <c r="M382" s="417" t="s">
        <v>28840</v>
      </c>
    </row>
    <row r="383" spans="1:13" x14ac:dyDescent="0.25">
      <c r="A383" s="417" t="s">
        <v>2647</v>
      </c>
      <c r="B383" s="417" t="s">
        <v>2803</v>
      </c>
      <c r="C383" s="417" t="s">
        <v>3176</v>
      </c>
      <c r="D383" s="417" t="s">
        <v>224</v>
      </c>
      <c r="E383" s="421">
        <v>3.2267803137632993E-2</v>
      </c>
      <c r="F383" s="421">
        <v>2.8932937751401469E-3</v>
      </c>
      <c r="G383" s="422">
        <v>129.67713544380072</v>
      </c>
      <c r="H383" s="417" t="s">
        <v>2994</v>
      </c>
      <c r="I383" s="417" t="s">
        <v>28256</v>
      </c>
      <c r="J383" s="417" t="s">
        <v>2810</v>
      </c>
      <c r="K383" s="417" t="s">
        <v>3177</v>
      </c>
      <c r="L383" s="417"/>
      <c r="M383" s="417" t="s">
        <v>28840</v>
      </c>
    </row>
    <row r="384" spans="1:13" x14ac:dyDescent="0.25">
      <c r="A384" s="417" t="s">
        <v>2647</v>
      </c>
      <c r="B384" s="417" t="s">
        <v>2803</v>
      </c>
      <c r="C384" s="417" t="s">
        <v>3178</v>
      </c>
      <c r="D384" s="417" t="s">
        <v>224</v>
      </c>
      <c r="E384" s="421">
        <v>2.9591082427019758E-2</v>
      </c>
      <c r="F384" s="421">
        <v>2.5322813802095708E-3</v>
      </c>
      <c r="G384" s="422">
        <v>650.08107481770321</v>
      </c>
      <c r="H384" s="417" t="s">
        <v>2994</v>
      </c>
      <c r="I384" s="417" t="s">
        <v>28256</v>
      </c>
      <c r="J384" s="417" t="s">
        <v>2810</v>
      </c>
      <c r="K384" s="417" t="s">
        <v>3179</v>
      </c>
      <c r="L384" s="417"/>
      <c r="M384" s="417" t="s">
        <v>28840</v>
      </c>
    </row>
    <row r="385" spans="1:13" x14ac:dyDescent="0.25">
      <c r="A385" s="417" t="s">
        <v>2647</v>
      </c>
      <c r="B385" s="417" t="s">
        <v>2803</v>
      </c>
      <c r="C385" s="417" t="s">
        <v>3180</v>
      </c>
      <c r="D385" s="417" t="s">
        <v>224</v>
      </c>
      <c r="E385" s="421">
        <v>0.19157164000996996</v>
      </c>
      <c r="F385" s="421">
        <v>2.0076867515219209E-2</v>
      </c>
      <c r="G385" s="422">
        <v>439.42176757745648</v>
      </c>
      <c r="H385" s="417" t="s">
        <v>2994</v>
      </c>
      <c r="I385" s="417" t="s">
        <v>28256</v>
      </c>
      <c r="J385" s="417" t="s">
        <v>2810</v>
      </c>
      <c r="K385" s="417" t="s">
        <v>3181</v>
      </c>
      <c r="L385" s="417"/>
      <c r="M385" s="417" t="s">
        <v>28840</v>
      </c>
    </row>
    <row r="386" spans="1:13" x14ac:dyDescent="0.25">
      <c r="A386" s="417" t="s">
        <v>2647</v>
      </c>
      <c r="B386" s="417" t="s">
        <v>2803</v>
      </c>
      <c r="C386" s="417" t="s">
        <v>3182</v>
      </c>
      <c r="D386" s="417" t="s">
        <v>224</v>
      </c>
      <c r="E386" s="421">
        <v>0.16581444762016212</v>
      </c>
      <c r="F386" s="421">
        <v>4.8309324906964986E-3</v>
      </c>
      <c r="G386" s="422">
        <v>380.23231269873855</v>
      </c>
      <c r="H386" s="417" t="s">
        <v>2994</v>
      </c>
      <c r="I386" s="417" t="s">
        <v>28256</v>
      </c>
      <c r="J386" s="417" t="s">
        <v>2810</v>
      </c>
      <c r="K386" s="417" t="s">
        <v>3183</v>
      </c>
      <c r="L386" s="417"/>
      <c r="M386" s="417" t="s">
        <v>28840</v>
      </c>
    </row>
    <row r="387" spans="1:13" x14ac:dyDescent="0.25">
      <c r="A387" s="417" t="s">
        <v>2647</v>
      </c>
      <c r="B387" s="417" t="s">
        <v>2803</v>
      </c>
      <c r="C387" s="417" t="s">
        <v>3184</v>
      </c>
      <c r="D387" s="417" t="s">
        <v>224</v>
      </c>
      <c r="E387" s="421">
        <v>1.5011511659547505E-2</v>
      </c>
      <c r="F387" s="421">
        <v>2.2763849148018803E-3</v>
      </c>
      <c r="G387" s="422">
        <v>92.396732505728608</v>
      </c>
      <c r="H387" s="417" t="s">
        <v>2994</v>
      </c>
      <c r="I387" s="417" t="s">
        <v>28256</v>
      </c>
      <c r="J387" s="417" t="s">
        <v>2810</v>
      </c>
      <c r="K387" s="417" t="s">
        <v>3185</v>
      </c>
      <c r="L387" s="417"/>
      <c r="M387" s="417" t="s">
        <v>28840</v>
      </c>
    </row>
    <row r="388" spans="1:13" x14ac:dyDescent="0.25">
      <c r="A388" s="417" t="s">
        <v>2647</v>
      </c>
      <c r="B388" s="417" t="s">
        <v>2803</v>
      </c>
      <c r="C388" s="417" t="s">
        <v>3186</v>
      </c>
      <c r="D388" s="417" t="s">
        <v>224</v>
      </c>
      <c r="E388" s="421">
        <v>8.276576698729202E-3</v>
      </c>
      <c r="F388" s="421">
        <v>2.8457049811605279E-4</v>
      </c>
      <c r="G388" s="422">
        <v>52.793318164759739</v>
      </c>
      <c r="H388" s="417" t="s">
        <v>2994</v>
      </c>
      <c r="I388" s="417" t="s">
        <v>28256</v>
      </c>
      <c r="J388" s="417" t="s">
        <v>2847</v>
      </c>
      <c r="K388" s="417" t="s">
        <v>3187</v>
      </c>
      <c r="L388" s="417"/>
      <c r="M388" s="417" t="s">
        <v>28840</v>
      </c>
    </row>
    <row r="389" spans="1:13" x14ac:dyDescent="0.25">
      <c r="A389" s="417" t="s">
        <v>2647</v>
      </c>
      <c r="B389" s="417" t="s">
        <v>2803</v>
      </c>
      <c r="C389" s="417" t="s">
        <v>3188</v>
      </c>
      <c r="D389" s="417" t="s">
        <v>224</v>
      </c>
      <c r="E389" s="421">
        <v>3.5009583593614342E-2</v>
      </c>
      <c r="F389" s="421">
        <v>1.6269344121681354E-3</v>
      </c>
      <c r="G389" s="422">
        <v>109.10108744982466</v>
      </c>
      <c r="H389" s="417" t="s">
        <v>2994</v>
      </c>
      <c r="I389" s="417" t="s">
        <v>28256</v>
      </c>
      <c r="J389" s="417" t="s">
        <v>2847</v>
      </c>
      <c r="K389" s="417" t="s">
        <v>3189</v>
      </c>
      <c r="L389" s="417"/>
      <c r="M389" s="417" t="s">
        <v>28840</v>
      </c>
    </row>
    <row r="390" spans="1:13" x14ac:dyDescent="0.25">
      <c r="A390" s="417" t="s">
        <v>2647</v>
      </c>
      <c r="B390" s="417" t="s">
        <v>2803</v>
      </c>
      <c r="C390" s="417" t="s">
        <v>3190</v>
      </c>
      <c r="D390" s="417" t="s">
        <v>224</v>
      </c>
      <c r="E390" s="421">
        <v>2.2321339893564704E-2</v>
      </c>
      <c r="F390" s="421">
        <v>7.3020899248886083E-4</v>
      </c>
      <c r="G390" s="422">
        <v>79.360010748077542</v>
      </c>
      <c r="H390" s="417" t="s">
        <v>2994</v>
      </c>
      <c r="I390" s="417" t="s">
        <v>28256</v>
      </c>
      <c r="J390" s="417" t="s">
        <v>2847</v>
      </c>
      <c r="K390" s="417" t="s">
        <v>3191</v>
      </c>
      <c r="L390" s="417"/>
      <c r="M390" s="417" t="s">
        <v>28840</v>
      </c>
    </row>
    <row r="391" spans="1:13" x14ac:dyDescent="0.25">
      <c r="A391" s="417" t="s">
        <v>2647</v>
      </c>
      <c r="B391" s="417" t="s">
        <v>2803</v>
      </c>
      <c r="C391" s="417" t="s">
        <v>3192</v>
      </c>
      <c r="D391" s="417" t="s">
        <v>224</v>
      </c>
      <c r="E391" s="421">
        <v>0.17293384585774649</v>
      </c>
      <c r="F391" s="421">
        <v>0.10740355488760418</v>
      </c>
      <c r="G391" s="422">
        <v>302.81279585324637</v>
      </c>
      <c r="H391" s="422" t="s">
        <v>2994</v>
      </c>
      <c r="I391" s="417" t="s">
        <v>28256</v>
      </c>
      <c r="J391" s="417" t="s">
        <v>2847</v>
      </c>
      <c r="K391" s="417" t="s">
        <v>3193</v>
      </c>
      <c r="L391" s="417"/>
      <c r="M391" s="417" t="s">
        <v>28840</v>
      </c>
    </row>
    <row r="392" spans="1:13" x14ac:dyDescent="0.25">
      <c r="A392" s="417" t="s">
        <v>2647</v>
      </c>
      <c r="B392" s="417" t="s">
        <v>2803</v>
      </c>
      <c r="C392" s="417" t="s">
        <v>3194</v>
      </c>
      <c r="D392" s="417" t="s">
        <v>224</v>
      </c>
      <c r="E392" s="421">
        <v>2.2321339893564704E-2</v>
      </c>
      <c r="F392" s="421">
        <v>7.3020899248886083E-4</v>
      </c>
      <c r="G392" s="422">
        <v>79.360010748077542</v>
      </c>
      <c r="H392" s="422" t="s">
        <v>2994</v>
      </c>
      <c r="I392" s="417" t="s">
        <v>28256</v>
      </c>
      <c r="J392" s="417" t="s">
        <v>2847</v>
      </c>
      <c r="K392" s="417" t="s">
        <v>3195</v>
      </c>
      <c r="L392" s="417"/>
      <c r="M392" s="417" t="s">
        <v>28840</v>
      </c>
    </row>
    <row r="393" spans="1:13" x14ac:dyDescent="0.25">
      <c r="A393" s="417" t="s">
        <v>2647</v>
      </c>
      <c r="B393" s="417" t="s">
        <v>2803</v>
      </c>
      <c r="C393" s="417" t="s">
        <v>3196</v>
      </c>
      <c r="D393" s="417" t="s">
        <v>224</v>
      </c>
      <c r="E393" s="421">
        <v>1.9541748471623405E-2</v>
      </c>
      <c r="F393" s="421">
        <v>3.554512672287398E-4</v>
      </c>
      <c r="G393" s="422">
        <v>619.21500284949047</v>
      </c>
      <c r="H393" s="422" t="s">
        <v>2994</v>
      </c>
      <c r="I393" s="417" t="s">
        <v>28256</v>
      </c>
      <c r="J393" s="417" t="s">
        <v>2847</v>
      </c>
      <c r="K393" s="417" t="s">
        <v>3197</v>
      </c>
      <c r="L393" s="417"/>
      <c r="M393" s="417" t="s">
        <v>28840</v>
      </c>
    </row>
    <row r="394" spans="1:13" x14ac:dyDescent="0.25">
      <c r="A394" s="417" t="s">
        <v>2647</v>
      </c>
      <c r="B394" s="417" t="s">
        <v>2803</v>
      </c>
      <c r="C394" s="417" t="s">
        <v>3198</v>
      </c>
      <c r="D394" s="417" t="s">
        <v>224</v>
      </c>
      <c r="E394" s="421">
        <v>0.20962786547378881</v>
      </c>
      <c r="F394" s="421">
        <v>1.856803699257719E-2</v>
      </c>
      <c r="G394" s="422">
        <v>425.59091633104623</v>
      </c>
      <c r="H394" s="422" t="s">
        <v>2994</v>
      </c>
      <c r="I394" s="417" t="s">
        <v>28256</v>
      </c>
      <c r="J394" s="417" t="s">
        <v>2847</v>
      </c>
      <c r="K394" s="417" t="s">
        <v>3199</v>
      </c>
      <c r="L394" s="417"/>
      <c r="M394" s="417" t="s">
        <v>28840</v>
      </c>
    </row>
    <row r="395" spans="1:13" x14ac:dyDescent="0.25">
      <c r="A395" s="417" t="s">
        <v>2647</v>
      </c>
      <c r="B395" s="417" t="s">
        <v>2803</v>
      </c>
      <c r="C395" s="417" t="s">
        <v>3200</v>
      </c>
      <c r="D395" s="417" t="s">
        <v>224</v>
      </c>
      <c r="E395" s="421">
        <v>0.17742675509259656</v>
      </c>
      <c r="F395" s="421">
        <v>2.7416221395567906E-3</v>
      </c>
      <c r="G395" s="422">
        <v>355.93499683725207</v>
      </c>
      <c r="H395" s="422" t="s">
        <v>2994</v>
      </c>
      <c r="I395" s="417" t="s">
        <v>28256</v>
      </c>
      <c r="J395" s="417" t="s">
        <v>2847</v>
      </c>
      <c r="K395" s="417" t="s">
        <v>3201</v>
      </c>
      <c r="L395" s="417"/>
      <c r="M395" s="417" t="s">
        <v>28840</v>
      </c>
    </row>
    <row r="396" spans="1:13" x14ac:dyDescent="0.25">
      <c r="A396" s="417" t="s">
        <v>2647</v>
      </c>
      <c r="B396" s="417" t="s">
        <v>2803</v>
      </c>
      <c r="C396" s="417" t="s">
        <v>3202</v>
      </c>
      <c r="D396" s="417" t="s">
        <v>224</v>
      </c>
      <c r="E396" s="421">
        <v>4.4060675462256928E-3</v>
      </c>
      <c r="F396" s="421">
        <v>8.9811697438530889E-5</v>
      </c>
      <c r="G396" s="422">
        <v>40.275140470493376</v>
      </c>
      <c r="H396" s="422" t="s">
        <v>2994</v>
      </c>
      <c r="I396" s="417" t="s">
        <v>28256</v>
      </c>
      <c r="J396" s="417" t="s">
        <v>2847</v>
      </c>
      <c r="K396" s="417" t="s">
        <v>3203</v>
      </c>
      <c r="L396" s="417"/>
      <c r="M396" s="417" t="s">
        <v>28840</v>
      </c>
    </row>
    <row r="397" spans="1:13" x14ac:dyDescent="0.25">
      <c r="A397" s="417" t="s">
        <v>2647</v>
      </c>
      <c r="B397" s="417" t="s">
        <v>2803</v>
      </c>
      <c r="C397" s="417" t="s">
        <v>3204</v>
      </c>
      <c r="D397" s="417" t="s">
        <v>224</v>
      </c>
      <c r="E397" s="421">
        <v>1.1224240407952106E-2</v>
      </c>
      <c r="F397" s="421">
        <v>1.0716671268952375E-3</v>
      </c>
      <c r="G397" s="422">
        <v>66.667151554555232</v>
      </c>
      <c r="H397" s="422" t="s">
        <v>2994</v>
      </c>
      <c r="I397" s="417" t="s">
        <v>28256</v>
      </c>
      <c r="J397" s="417" t="s">
        <v>2847</v>
      </c>
      <c r="K397" s="417" t="s">
        <v>3205</v>
      </c>
      <c r="L397" s="417"/>
      <c r="M397" s="417" t="s">
        <v>28840</v>
      </c>
    </row>
    <row r="398" spans="1:13" x14ac:dyDescent="0.25">
      <c r="A398" s="417" t="s">
        <v>2647</v>
      </c>
      <c r="B398" s="417" t="s">
        <v>2803</v>
      </c>
      <c r="C398" s="417" t="s">
        <v>3206</v>
      </c>
      <c r="D398" s="417" t="s">
        <v>224</v>
      </c>
      <c r="E398" s="421">
        <v>3.7009130541679654E-2</v>
      </c>
      <c r="F398" s="421">
        <v>2.3647959373659343E-3</v>
      </c>
      <c r="G398" s="422">
        <v>120.82195245471286</v>
      </c>
      <c r="H398" s="422" t="s">
        <v>2994</v>
      </c>
      <c r="I398" s="417" t="s">
        <v>28256</v>
      </c>
      <c r="J398" s="417" t="s">
        <v>2847</v>
      </c>
      <c r="K398" s="417" t="s">
        <v>3207</v>
      </c>
      <c r="L398" s="417"/>
      <c r="M398" s="417" t="s">
        <v>28840</v>
      </c>
    </row>
    <row r="399" spans="1:13" x14ac:dyDescent="0.25">
      <c r="A399" s="417" t="s">
        <v>2647</v>
      </c>
      <c r="B399" s="417" t="s">
        <v>2803</v>
      </c>
      <c r="C399" s="417" t="s">
        <v>3208</v>
      </c>
      <c r="D399" s="417" t="s">
        <v>224</v>
      </c>
      <c r="E399" s="421">
        <v>2.4784378996848239E-2</v>
      </c>
      <c r="F399" s="421">
        <v>1.500960532428413E-3</v>
      </c>
      <c r="G399" s="422">
        <v>92.153853039071834</v>
      </c>
      <c r="H399" s="422" t="s">
        <v>2994</v>
      </c>
      <c r="I399" s="417" t="s">
        <v>28256</v>
      </c>
      <c r="J399" s="417" t="s">
        <v>2847</v>
      </c>
      <c r="K399" s="417" t="s">
        <v>3209</v>
      </c>
      <c r="L399" s="417"/>
      <c r="M399" s="417" t="s">
        <v>28840</v>
      </c>
    </row>
    <row r="400" spans="1:13" x14ac:dyDescent="0.25">
      <c r="A400" s="417" t="s">
        <v>2647</v>
      </c>
      <c r="B400" s="417" t="s">
        <v>2803</v>
      </c>
      <c r="C400" s="417" t="s">
        <v>3210</v>
      </c>
      <c r="D400" s="417" t="s">
        <v>224</v>
      </c>
      <c r="E400" s="421">
        <v>0.16946786273831826</v>
      </c>
      <c r="F400" s="421">
        <v>8.07532183287719E-2</v>
      </c>
      <c r="G400" s="422">
        <v>305.49093643966972</v>
      </c>
      <c r="H400" s="422" t="s">
        <v>2994</v>
      </c>
      <c r="I400" s="417" t="s">
        <v>28256</v>
      </c>
      <c r="J400" s="417" t="s">
        <v>2847</v>
      </c>
      <c r="K400" s="417" t="s">
        <v>3211</v>
      </c>
      <c r="L400" s="417"/>
      <c r="M400" s="417" t="s">
        <v>28840</v>
      </c>
    </row>
    <row r="401" spans="1:13" x14ac:dyDescent="0.25">
      <c r="A401" s="417" t="s">
        <v>2647</v>
      </c>
      <c r="B401" s="417" t="s">
        <v>2803</v>
      </c>
      <c r="C401" s="417" t="s">
        <v>3212</v>
      </c>
      <c r="D401" s="417" t="s">
        <v>224</v>
      </c>
      <c r="E401" s="421">
        <v>2.4784378996848239E-2</v>
      </c>
      <c r="F401" s="421">
        <v>1.500960532428413E-3</v>
      </c>
      <c r="G401" s="422">
        <v>92.153853039071834</v>
      </c>
      <c r="H401" s="422" t="s">
        <v>2994</v>
      </c>
      <c r="I401" s="417" t="s">
        <v>28256</v>
      </c>
      <c r="J401" s="417" t="s">
        <v>2847</v>
      </c>
      <c r="K401" s="417" t="s">
        <v>3213</v>
      </c>
      <c r="L401" s="417"/>
      <c r="M401" s="417" t="s">
        <v>28840</v>
      </c>
    </row>
    <row r="402" spans="1:13" x14ac:dyDescent="0.25">
      <c r="A402" s="417" t="s">
        <v>2647</v>
      </c>
      <c r="B402" s="417" t="s">
        <v>2803</v>
      </c>
      <c r="C402" s="417" t="s">
        <v>3214</v>
      </c>
      <c r="D402" s="417" t="s">
        <v>224</v>
      </c>
      <c r="E402" s="421">
        <v>2.2107658286235003E-2</v>
      </c>
      <c r="F402" s="421">
        <v>1.1399481374978367E-3</v>
      </c>
      <c r="G402" s="422">
        <v>612.55779241297421</v>
      </c>
      <c r="H402" s="422" t="s">
        <v>2994</v>
      </c>
      <c r="I402" s="417" t="s">
        <v>28256</v>
      </c>
      <c r="J402" s="417" t="s">
        <v>2847</v>
      </c>
      <c r="K402" s="417" t="s">
        <v>3215</v>
      </c>
      <c r="L402" s="417"/>
      <c r="M402" s="417" t="s">
        <v>28840</v>
      </c>
    </row>
    <row r="403" spans="1:13" x14ac:dyDescent="0.25">
      <c r="A403" s="417" t="s">
        <v>2647</v>
      </c>
      <c r="B403" s="417" t="s">
        <v>2803</v>
      </c>
      <c r="C403" s="417" t="s">
        <v>3216</v>
      </c>
      <c r="D403" s="417" t="s">
        <v>224</v>
      </c>
      <c r="E403" s="421">
        <v>0.1840882158691852</v>
      </c>
      <c r="F403" s="421">
        <v>1.8684534272507478E-2</v>
      </c>
      <c r="G403" s="422">
        <v>401.89848517272759</v>
      </c>
      <c r="H403" s="422" t="s">
        <v>2994</v>
      </c>
      <c r="I403" s="417" t="s">
        <v>28256</v>
      </c>
      <c r="J403" s="417" t="s">
        <v>2847</v>
      </c>
      <c r="K403" s="417" t="s">
        <v>3217</v>
      </c>
      <c r="L403" s="417"/>
      <c r="M403" s="417" t="s">
        <v>28840</v>
      </c>
    </row>
    <row r="404" spans="1:13" x14ac:dyDescent="0.25">
      <c r="A404" s="417" t="s">
        <v>2647</v>
      </c>
      <c r="B404" s="417" t="s">
        <v>2803</v>
      </c>
      <c r="C404" s="417" t="s">
        <v>3218</v>
      </c>
      <c r="D404" s="417" t="s">
        <v>224</v>
      </c>
      <c r="E404" s="421">
        <v>0.15833102347937736</v>
      </c>
      <c r="F404" s="421">
        <v>3.4385992479847643E-3</v>
      </c>
      <c r="G404" s="422">
        <v>342.70903029400966</v>
      </c>
      <c r="H404" s="422" t="s">
        <v>2994</v>
      </c>
      <c r="I404" s="417" t="s">
        <v>28256</v>
      </c>
      <c r="J404" s="417" t="s">
        <v>2847</v>
      </c>
      <c r="K404" s="417" t="s">
        <v>3219</v>
      </c>
      <c r="L404" s="417"/>
      <c r="M404" s="417" t="s">
        <v>28840</v>
      </c>
    </row>
    <row r="405" spans="1:13" x14ac:dyDescent="0.25">
      <c r="A405" s="417" t="s">
        <v>2647</v>
      </c>
      <c r="B405" s="417" t="s">
        <v>2803</v>
      </c>
      <c r="C405" s="417" t="s">
        <v>3220</v>
      </c>
      <c r="D405" s="417" t="s">
        <v>224</v>
      </c>
      <c r="E405" s="421">
        <v>7.5280875187627508E-3</v>
      </c>
      <c r="F405" s="421">
        <v>8.840516720901464E-4</v>
      </c>
      <c r="G405" s="422">
        <v>54.873450100999712</v>
      </c>
      <c r="H405" s="422" t="s">
        <v>2994</v>
      </c>
      <c r="I405" s="417" t="s">
        <v>28256</v>
      </c>
      <c r="J405" s="417" t="s">
        <v>2847</v>
      </c>
      <c r="K405" s="417" t="s">
        <v>3221</v>
      </c>
      <c r="L405" s="417"/>
      <c r="M405" s="417" t="s">
        <v>28840</v>
      </c>
    </row>
    <row r="406" spans="1:13" x14ac:dyDescent="0.25">
      <c r="A406" s="417" t="s">
        <v>2647</v>
      </c>
      <c r="B406" s="417" t="s">
        <v>2437</v>
      </c>
      <c r="C406" s="417" t="s">
        <v>3222</v>
      </c>
      <c r="D406" s="417" t="s">
        <v>88</v>
      </c>
      <c r="E406" s="421">
        <v>0.80757816471034216</v>
      </c>
      <c r="F406" s="421">
        <v>0.12014463984195919</v>
      </c>
      <c r="G406" s="422">
        <v>1664.456729241854</v>
      </c>
      <c r="H406" s="422" t="s">
        <v>2994</v>
      </c>
      <c r="I406" s="417" t="s">
        <v>1392</v>
      </c>
      <c r="J406" s="417" t="s">
        <v>2884</v>
      </c>
      <c r="K406" s="417" t="s">
        <v>3223</v>
      </c>
      <c r="L406" s="417"/>
      <c r="M406" s="417" t="s">
        <v>28840</v>
      </c>
    </row>
    <row r="407" spans="1:13" x14ac:dyDescent="0.25">
      <c r="A407" s="417" t="s">
        <v>2647</v>
      </c>
      <c r="B407" s="417" t="s">
        <v>2437</v>
      </c>
      <c r="C407" s="417" t="s">
        <v>3224</v>
      </c>
      <c r="D407" s="417" t="s">
        <v>88</v>
      </c>
      <c r="E407" s="421">
        <v>0.94936261423166945</v>
      </c>
      <c r="F407" s="421">
        <v>0.1247533972230488</v>
      </c>
      <c r="G407" s="422">
        <v>1999.720763020149</v>
      </c>
      <c r="H407" s="422" t="s">
        <v>2994</v>
      </c>
      <c r="I407" s="417" t="s">
        <v>1392</v>
      </c>
      <c r="J407" s="417" t="s">
        <v>2884</v>
      </c>
      <c r="K407" s="417" t="s">
        <v>3225</v>
      </c>
      <c r="L407" s="417"/>
      <c r="M407" s="417" t="s">
        <v>28840</v>
      </c>
    </row>
    <row r="408" spans="1:13" x14ac:dyDescent="0.25">
      <c r="A408" s="417" t="s">
        <v>2647</v>
      </c>
      <c r="B408" s="417" t="s">
        <v>2437</v>
      </c>
      <c r="C408" s="417" t="s">
        <v>3226</v>
      </c>
      <c r="D408" s="417" t="s">
        <v>224</v>
      </c>
      <c r="E408" s="421">
        <v>4.0754008540141134E-2</v>
      </c>
      <c r="F408" s="421">
        <v>5.7221985088818511E-3</v>
      </c>
      <c r="G408" s="422">
        <v>413.33102568823188</v>
      </c>
      <c r="H408" s="422" t="s">
        <v>2994</v>
      </c>
      <c r="I408" s="417" t="s">
        <v>28257</v>
      </c>
      <c r="J408" s="417" t="s">
        <v>2884</v>
      </c>
      <c r="K408" s="417" t="s">
        <v>3227</v>
      </c>
      <c r="L408" s="417"/>
      <c r="M408" s="417" t="s">
        <v>28840</v>
      </c>
    </row>
    <row r="409" spans="1:13" x14ac:dyDescent="0.25">
      <c r="A409" s="417" t="s">
        <v>2647</v>
      </c>
      <c r="B409" s="417" t="s">
        <v>2437</v>
      </c>
      <c r="C409" s="417" t="s">
        <v>3228</v>
      </c>
      <c r="D409" s="417" t="s">
        <v>88</v>
      </c>
      <c r="E409" s="421">
        <v>0.80757816471034216</v>
      </c>
      <c r="F409" s="421">
        <v>0.12014463984195919</v>
      </c>
      <c r="G409" s="422">
        <v>1664.456729241854</v>
      </c>
      <c r="H409" s="422" t="s">
        <v>2994</v>
      </c>
      <c r="I409" s="417" t="s">
        <v>1392</v>
      </c>
      <c r="J409" s="417" t="s">
        <v>2884</v>
      </c>
      <c r="K409" s="417" t="s">
        <v>3229</v>
      </c>
      <c r="L409" s="417"/>
      <c r="M409" s="417" t="s">
        <v>28840</v>
      </c>
    </row>
    <row r="410" spans="1:13" x14ac:dyDescent="0.25">
      <c r="A410" s="417" t="s">
        <v>2647</v>
      </c>
      <c r="B410" s="417" t="s">
        <v>2437</v>
      </c>
      <c r="C410" s="417" t="s">
        <v>3230</v>
      </c>
      <c r="D410" s="417" t="s">
        <v>88</v>
      </c>
      <c r="E410" s="421">
        <v>0.80757816471034216</v>
      </c>
      <c r="F410" s="421">
        <v>0.12014463984195919</v>
      </c>
      <c r="G410" s="422">
        <v>1664.456729241854</v>
      </c>
      <c r="H410" s="422" t="s">
        <v>2994</v>
      </c>
      <c r="I410" s="417" t="s">
        <v>1392</v>
      </c>
      <c r="J410" s="417" t="s">
        <v>2884</v>
      </c>
      <c r="K410" s="417" t="s">
        <v>3231</v>
      </c>
      <c r="L410" s="417"/>
      <c r="M410" s="417" t="s">
        <v>28840</v>
      </c>
    </row>
    <row r="411" spans="1:13" x14ac:dyDescent="0.25">
      <c r="A411" s="417" t="s">
        <v>2647</v>
      </c>
      <c r="B411" s="417" t="s">
        <v>2437</v>
      </c>
      <c r="C411" s="417" t="s">
        <v>3232</v>
      </c>
      <c r="D411" s="417" t="s">
        <v>88</v>
      </c>
      <c r="E411" s="421">
        <v>0.80757816471034216</v>
      </c>
      <c r="F411" s="421">
        <v>0.12014463984195919</v>
      </c>
      <c r="G411" s="422">
        <v>1664.456729241854</v>
      </c>
      <c r="H411" s="422" t="s">
        <v>2994</v>
      </c>
      <c r="I411" s="417" t="s">
        <v>1392</v>
      </c>
      <c r="J411" s="417" t="s">
        <v>2884</v>
      </c>
      <c r="K411" s="417" t="s">
        <v>3233</v>
      </c>
      <c r="L411" s="417"/>
      <c r="M411" s="417" t="s">
        <v>28840</v>
      </c>
    </row>
    <row r="412" spans="1:13" x14ac:dyDescent="0.25">
      <c r="A412" s="417" t="s">
        <v>2647</v>
      </c>
      <c r="B412" s="417" t="s">
        <v>2437</v>
      </c>
      <c r="C412" s="417" t="s">
        <v>3234</v>
      </c>
      <c r="D412" s="417" t="s">
        <v>88</v>
      </c>
      <c r="E412" s="421">
        <v>0.80757816471034216</v>
      </c>
      <c r="F412" s="421">
        <v>0.12014463984195919</v>
      </c>
      <c r="G412" s="422">
        <v>1664.456729241854</v>
      </c>
      <c r="H412" s="422" t="s">
        <v>2994</v>
      </c>
      <c r="I412" s="417" t="s">
        <v>1392</v>
      </c>
      <c r="J412" s="417" t="s">
        <v>2884</v>
      </c>
      <c r="K412" s="417" t="s">
        <v>3235</v>
      </c>
      <c r="L412" s="417"/>
      <c r="M412" s="417" t="s">
        <v>28840</v>
      </c>
    </row>
    <row r="413" spans="1:13" x14ac:dyDescent="0.25">
      <c r="A413" s="417" t="s">
        <v>2647</v>
      </c>
      <c r="B413" s="417" t="s">
        <v>2437</v>
      </c>
      <c r="C413" s="417" t="s">
        <v>3236</v>
      </c>
      <c r="D413" s="417" t="s">
        <v>88</v>
      </c>
      <c r="E413" s="421">
        <v>0.94936261423166945</v>
      </c>
      <c r="F413" s="421">
        <v>0.1247533972230488</v>
      </c>
      <c r="G413" s="422">
        <v>1999.720763020149</v>
      </c>
      <c r="H413" s="422" t="s">
        <v>2994</v>
      </c>
      <c r="I413" s="417" t="s">
        <v>1392</v>
      </c>
      <c r="J413" s="417" t="s">
        <v>2884</v>
      </c>
      <c r="K413" s="417" t="s">
        <v>3237</v>
      </c>
      <c r="L413" s="417"/>
      <c r="M413" s="417" t="s">
        <v>28840</v>
      </c>
    </row>
    <row r="414" spans="1:13" x14ac:dyDescent="0.25">
      <c r="A414" s="417" t="s">
        <v>2647</v>
      </c>
      <c r="B414" s="417" t="s">
        <v>2437</v>
      </c>
      <c r="C414" s="417" t="s">
        <v>3238</v>
      </c>
      <c r="D414" s="417" t="s">
        <v>88</v>
      </c>
      <c r="E414" s="421">
        <v>0.94936261423166945</v>
      </c>
      <c r="F414" s="421">
        <v>0.1247533972230488</v>
      </c>
      <c r="G414" s="422">
        <v>1999.720763020149</v>
      </c>
      <c r="H414" s="422" t="s">
        <v>2994</v>
      </c>
      <c r="I414" s="417" t="s">
        <v>1392</v>
      </c>
      <c r="J414" s="417" t="s">
        <v>2884</v>
      </c>
      <c r="K414" s="417" t="s">
        <v>3239</v>
      </c>
      <c r="L414" s="417"/>
      <c r="M414" s="417" t="s">
        <v>28840</v>
      </c>
    </row>
    <row r="415" spans="1:13" x14ac:dyDescent="0.25">
      <c r="A415" s="417" t="s">
        <v>2647</v>
      </c>
      <c r="B415" s="417" t="s">
        <v>2437</v>
      </c>
      <c r="C415" s="417" t="s">
        <v>3240</v>
      </c>
      <c r="D415" s="417" t="s">
        <v>88</v>
      </c>
      <c r="E415" s="421">
        <v>0.94936261423166945</v>
      </c>
      <c r="F415" s="421">
        <v>0.1247533972230488</v>
      </c>
      <c r="G415" s="422">
        <v>1999.720763020149</v>
      </c>
      <c r="H415" s="422" t="s">
        <v>2994</v>
      </c>
      <c r="I415" s="417" t="s">
        <v>1392</v>
      </c>
      <c r="J415" s="417" t="s">
        <v>2884</v>
      </c>
      <c r="K415" s="417" t="s">
        <v>3241</v>
      </c>
      <c r="L415" s="417"/>
      <c r="M415" s="417" t="s">
        <v>28840</v>
      </c>
    </row>
    <row r="416" spans="1:13" x14ac:dyDescent="0.25">
      <c r="A416" s="417" t="s">
        <v>2647</v>
      </c>
      <c r="B416" s="417" t="s">
        <v>2437</v>
      </c>
      <c r="C416" s="417" t="s">
        <v>3242</v>
      </c>
      <c r="D416" s="417" t="s">
        <v>88</v>
      </c>
      <c r="E416" s="421">
        <v>0.94936261423166945</v>
      </c>
      <c r="F416" s="421">
        <v>0.1247533972230488</v>
      </c>
      <c r="G416" s="422">
        <v>1999.720763020149</v>
      </c>
      <c r="H416" s="422" t="s">
        <v>2994</v>
      </c>
      <c r="I416" s="417" t="s">
        <v>1392</v>
      </c>
      <c r="J416" s="417" t="s">
        <v>2884</v>
      </c>
      <c r="K416" s="417" t="s">
        <v>3243</v>
      </c>
      <c r="L416" s="417"/>
      <c r="M416" s="417" t="s">
        <v>28840</v>
      </c>
    </row>
    <row r="417" spans="1:13" x14ac:dyDescent="0.25">
      <c r="A417" s="417" t="s">
        <v>2647</v>
      </c>
      <c r="B417" s="417" t="s">
        <v>2437</v>
      </c>
      <c r="C417" s="417" t="s">
        <v>3244</v>
      </c>
      <c r="D417" s="417" t="s">
        <v>224</v>
      </c>
      <c r="E417" s="421">
        <v>4.0754008540141134E-2</v>
      </c>
      <c r="F417" s="421">
        <v>5.7221985088818511E-3</v>
      </c>
      <c r="G417" s="422">
        <v>413.33102568823188</v>
      </c>
      <c r="H417" s="422" t="s">
        <v>2994</v>
      </c>
      <c r="I417" s="417" t="s">
        <v>28257</v>
      </c>
      <c r="J417" s="417" t="s">
        <v>2884</v>
      </c>
      <c r="K417" s="417" t="s">
        <v>3245</v>
      </c>
      <c r="L417" s="417"/>
      <c r="M417" s="417" t="s">
        <v>28840</v>
      </c>
    </row>
    <row r="418" spans="1:13" x14ac:dyDescent="0.25">
      <c r="A418" s="417" t="s">
        <v>2647</v>
      </c>
      <c r="B418" s="417" t="s">
        <v>2437</v>
      </c>
      <c r="C418" s="417" t="s">
        <v>3246</v>
      </c>
      <c r="D418" s="417" t="s">
        <v>224</v>
      </c>
      <c r="E418" s="421">
        <v>4.0754008540141134E-2</v>
      </c>
      <c r="F418" s="421">
        <v>5.7221985088818511E-3</v>
      </c>
      <c r="G418" s="422">
        <v>413.33102568823188</v>
      </c>
      <c r="H418" s="422" t="s">
        <v>2994</v>
      </c>
      <c r="I418" s="417" t="s">
        <v>28257</v>
      </c>
      <c r="J418" s="417" t="s">
        <v>2884</v>
      </c>
      <c r="K418" s="417" t="s">
        <v>3247</v>
      </c>
      <c r="L418" s="417"/>
      <c r="M418" s="417" t="s">
        <v>28840</v>
      </c>
    </row>
    <row r="419" spans="1:13" x14ac:dyDescent="0.25">
      <c r="A419" s="417" t="s">
        <v>2647</v>
      </c>
      <c r="B419" s="417" t="s">
        <v>2437</v>
      </c>
      <c r="C419" s="417" t="s">
        <v>3248</v>
      </c>
      <c r="D419" s="417" t="s">
        <v>224</v>
      </c>
      <c r="E419" s="421">
        <v>4.0754008540141134E-2</v>
      </c>
      <c r="F419" s="421">
        <v>5.7221985088818511E-3</v>
      </c>
      <c r="G419" s="422">
        <v>413.33102568823188</v>
      </c>
      <c r="H419" s="422" t="s">
        <v>2994</v>
      </c>
      <c r="I419" s="417" t="s">
        <v>28257</v>
      </c>
      <c r="J419" s="417" t="s">
        <v>2884</v>
      </c>
      <c r="K419" s="417" t="s">
        <v>3249</v>
      </c>
      <c r="L419" s="417"/>
      <c r="M419" s="417" t="s">
        <v>28840</v>
      </c>
    </row>
    <row r="420" spans="1:13" x14ac:dyDescent="0.25">
      <c r="A420" s="417" t="s">
        <v>2647</v>
      </c>
      <c r="B420" s="417" t="s">
        <v>2437</v>
      </c>
      <c r="C420" s="417" t="s">
        <v>3250</v>
      </c>
      <c r="D420" s="417" t="s">
        <v>224</v>
      </c>
      <c r="E420" s="421">
        <v>4.0754008540141134E-2</v>
      </c>
      <c r="F420" s="421">
        <v>5.7221985088818511E-3</v>
      </c>
      <c r="G420" s="422">
        <v>413.33102568823188</v>
      </c>
      <c r="H420" s="422" t="s">
        <v>2994</v>
      </c>
      <c r="I420" s="417" t="s">
        <v>28257</v>
      </c>
      <c r="J420" s="417" t="s">
        <v>2884</v>
      </c>
      <c r="K420" s="417" t="s">
        <v>3251</v>
      </c>
      <c r="L420" s="417"/>
      <c r="M420" s="417" t="s">
        <v>28840</v>
      </c>
    </row>
    <row r="421" spans="1:13" x14ac:dyDescent="0.25">
      <c r="A421" s="417" t="s">
        <v>2647</v>
      </c>
      <c r="B421" s="417" t="s">
        <v>2437</v>
      </c>
      <c r="C421" s="417" t="s">
        <v>3252</v>
      </c>
      <c r="D421" s="417" t="s">
        <v>88</v>
      </c>
      <c r="E421" s="421">
        <v>0.80757816471034216</v>
      </c>
      <c r="F421" s="421">
        <v>0.12014463984195919</v>
      </c>
      <c r="G421" s="422">
        <v>1664.456729241854</v>
      </c>
      <c r="H421" s="422" t="s">
        <v>2994</v>
      </c>
      <c r="I421" s="417" t="s">
        <v>1392</v>
      </c>
      <c r="J421" s="417" t="s">
        <v>2915</v>
      </c>
      <c r="K421" s="417" t="s">
        <v>3253</v>
      </c>
      <c r="L421" s="417"/>
      <c r="M421" s="417" t="s">
        <v>28840</v>
      </c>
    </row>
    <row r="422" spans="1:13" x14ac:dyDescent="0.25">
      <c r="A422" s="417" t="s">
        <v>2647</v>
      </c>
      <c r="B422" s="417" t="s">
        <v>2437</v>
      </c>
      <c r="C422" s="417" t="s">
        <v>3254</v>
      </c>
      <c r="D422" s="417" t="s">
        <v>88</v>
      </c>
      <c r="E422" s="421">
        <v>0.80757816471034216</v>
      </c>
      <c r="F422" s="421">
        <v>0.12014463984195919</v>
      </c>
      <c r="G422" s="422">
        <v>1664.456729241854</v>
      </c>
      <c r="H422" s="422" t="s">
        <v>2994</v>
      </c>
      <c r="I422" s="417" t="s">
        <v>1392</v>
      </c>
      <c r="J422" s="417" t="s">
        <v>2915</v>
      </c>
      <c r="K422" s="417" t="s">
        <v>3255</v>
      </c>
      <c r="L422" s="417"/>
      <c r="M422" s="417" t="s">
        <v>28840</v>
      </c>
    </row>
    <row r="423" spans="1:13" x14ac:dyDescent="0.25">
      <c r="A423" s="417" t="s">
        <v>2647</v>
      </c>
      <c r="B423" s="417" t="s">
        <v>2437</v>
      </c>
      <c r="C423" s="417" t="s">
        <v>3256</v>
      </c>
      <c r="D423" s="417" t="s">
        <v>88</v>
      </c>
      <c r="E423" s="421">
        <v>0.80757816471034216</v>
      </c>
      <c r="F423" s="421">
        <v>0.12014463984195919</v>
      </c>
      <c r="G423" s="422">
        <v>1664.456729241854</v>
      </c>
      <c r="H423" s="422" t="s">
        <v>2994</v>
      </c>
      <c r="I423" s="417" t="s">
        <v>1392</v>
      </c>
      <c r="J423" s="417" t="s">
        <v>2915</v>
      </c>
      <c r="K423" s="417" t="s">
        <v>3257</v>
      </c>
      <c r="L423" s="417"/>
      <c r="M423" s="417" t="s">
        <v>28840</v>
      </c>
    </row>
    <row r="424" spans="1:13" x14ac:dyDescent="0.25">
      <c r="A424" s="417" t="s">
        <v>2647</v>
      </c>
      <c r="B424" s="417" t="s">
        <v>2437</v>
      </c>
      <c r="C424" s="417" t="s">
        <v>3258</v>
      </c>
      <c r="D424" s="417" t="s">
        <v>88</v>
      </c>
      <c r="E424" s="421">
        <v>0.80757816471034216</v>
      </c>
      <c r="F424" s="421">
        <v>0.12014463984195919</v>
      </c>
      <c r="G424" s="422">
        <v>1664.456729241854</v>
      </c>
      <c r="H424" s="422" t="s">
        <v>2994</v>
      </c>
      <c r="I424" s="417" t="s">
        <v>1392</v>
      </c>
      <c r="J424" s="417" t="s">
        <v>2915</v>
      </c>
      <c r="K424" s="417" t="s">
        <v>3259</v>
      </c>
      <c r="L424" s="417"/>
      <c r="M424" s="417" t="s">
        <v>28840</v>
      </c>
    </row>
    <row r="425" spans="1:13" x14ac:dyDescent="0.25">
      <c r="A425" s="417" t="s">
        <v>2647</v>
      </c>
      <c r="B425" s="417" t="s">
        <v>2437</v>
      </c>
      <c r="C425" s="417" t="s">
        <v>3260</v>
      </c>
      <c r="D425" s="417" t="s">
        <v>88</v>
      </c>
      <c r="E425" s="421">
        <v>0.80757816471034216</v>
      </c>
      <c r="F425" s="421">
        <v>0.12014463984195919</v>
      </c>
      <c r="G425" s="422">
        <v>1664.456729241854</v>
      </c>
      <c r="H425" s="422" t="s">
        <v>2994</v>
      </c>
      <c r="I425" s="417" t="s">
        <v>1392</v>
      </c>
      <c r="J425" s="417" t="s">
        <v>2915</v>
      </c>
      <c r="K425" s="417" t="s">
        <v>3261</v>
      </c>
      <c r="L425" s="417"/>
      <c r="M425" s="417" t="s">
        <v>28840</v>
      </c>
    </row>
    <row r="426" spans="1:13" x14ac:dyDescent="0.25">
      <c r="A426" s="417" t="s">
        <v>2647</v>
      </c>
      <c r="B426" s="417" t="s">
        <v>2437</v>
      </c>
      <c r="C426" s="417" t="s">
        <v>3262</v>
      </c>
      <c r="D426" s="417" t="s">
        <v>224</v>
      </c>
      <c r="E426" s="421">
        <v>4.0754008540141134E-2</v>
      </c>
      <c r="F426" s="421">
        <v>5.7221985088818511E-3</v>
      </c>
      <c r="G426" s="422">
        <v>413.33102568823188</v>
      </c>
      <c r="H426" s="422" t="s">
        <v>2994</v>
      </c>
      <c r="I426" s="417" t="s">
        <v>28257</v>
      </c>
      <c r="J426" s="417" t="s">
        <v>2915</v>
      </c>
      <c r="K426" s="417" t="s">
        <v>3263</v>
      </c>
      <c r="L426" s="417"/>
      <c r="M426" s="417" t="s">
        <v>28840</v>
      </c>
    </row>
    <row r="427" spans="1:13" x14ac:dyDescent="0.25">
      <c r="A427" s="417" t="s">
        <v>2647</v>
      </c>
      <c r="B427" s="417" t="s">
        <v>2437</v>
      </c>
      <c r="C427" s="417" t="s">
        <v>3264</v>
      </c>
      <c r="D427" s="417" t="s">
        <v>224</v>
      </c>
      <c r="E427" s="421">
        <v>4.0754008540141134E-2</v>
      </c>
      <c r="F427" s="421">
        <v>5.7221985088818511E-3</v>
      </c>
      <c r="G427" s="422">
        <v>413.33102568823188</v>
      </c>
      <c r="H427" s="422" t="s">
        <v>2994</v>
      </c>
      <c r="I427" s="417" t="s">
        <v>28257</v>
      </c>
      <c r="J427" s="417" t="s">
        <v>2915</v>
      </c>
      <c r="K427" s="417" t="s">
        <v>3265</v>
      </c>
      <c r="L427" s="417"/>
      <c r="M427" s="417" t="s">
        <v>28840</v>
      </c>
    </row>
    <row r="428" spans="1:13" x14ac:dyDescent="0.25">
      <c r="A428" s="417" t="s">
        <v>2647</v>
      </c>
      <c r="B428" s="417" t="s">
        <v>2437</v>
      </c>
      <c r="C428" s="417" t="s">
        <v>3266</v>
      </c>
      <c r="D428" s="417" t="s">
        <v>224</v>
      </c>
      <c r="E428" s="421">
        <v>4.0754008540141134E-2</v>
      </c>
      <c r="F428" s="421">
        <v>5.7221985088818511E-3</v>
      </c>
      <c r="G428" s="422">
        <v>413.33102568823188</v>
      </c>
      <c r="H428" s="422" t="s">
        <v>2994</v>
      </c>
      <c r="I428" s="417" t="s">
        <v>28257</v>
      </c>
      <c r="J428" s="417" t="s">
        <v>2915</v>
      </c>
      <c r="K428" s="417" t="s">
        <v>3267</v>
      </c>
      <c r="L428" s="417"/>
      <c r="M428" s="417" t="s">
        <v>28840</v>
      </c>
    </row>
    <row r="429" spans="1:13" x14ac:dyDescent="0.25">
      <c r="A429" s="417" t="s">
        <v>2647</v>
      </c>
      <c r="B429" s="417" t="s">
        <v>2437</v>
      </c>
      <c r="C429" s="417" t="s">
        <v>3268</v>
      </c>
      <c r="D429" s="417" t="s">
        <v>224</v>
      </c>
      <c r="E429" s="421">
        <v>4.0754008540141134E-2</v>
      </c>
      <c r="F429" s="421">
        <v>5.7221985088818511E-3</v>
      </c>
      <c r="G429" s="422">
        <v>413.33102568823188</v>
      </c>
      <c r="H429" s="422" t="s">
        <v>2994</v>
      </c>
      <c r="I429" s="417" t="s">
        <v>28257</v>
      </c>
      <c r="J429" s="417" t="s">
        <v>2915</v>
      </c>
      <c r="K429" s="417" t="s">
        <v>3269</v>
      </c>
      <c r="L429" s="417"/>
      <c r="M429" s="417" t="s">
        <v>28840</v>
      </c>
    </row>
    <row r="430" spans="1:13" x14ac:dyDescent="0.25">
      <c r="A430" s="417" t="s">
        <v>2647</v>
      </c>
      <c r="B430" s="417" t="s">
        <v>2437</v>
      </c>
      <c r="C430" s="417" t="s">
        <v>3270</v>
      </c>
      <c r="D430" s="417" t="s">
        <v>224</v>
      </c>
      <c r="E430" s="421">
        <v>4.0754008540141134E-2</v>
      </c>
      <c r="F430" s="421">
        <v>5.7221985088818511E-3</v>
      </c>
      <c r="G430" s="422">
        <v>413.33102568823188</v>
      </c>
      <c r="H430" s="422" t="s">
        <v>2994</v>
      </c>
      <c r="I430" s="417" t="s">
        <v>28257</v>
      </c>
      <c r="J430" s="417" t="s">
        <v>2915</v>
      </c>
      <c r="K430" s="417" t="s">
        <v>3271</v>
      </c>
      <c r="L430" s="417"/>
      <c r="M430" s="417" t="s">
        <v>28840</v>
      </c>
    </row>
    <row r="431" spans="1:13" x14ac:dyDescent="0.25">
      <c r="A431" s="417" t="s">
        <v>2647</v>
      </c>
      <c r="B431" s="417" t="s">
        <v>2437</v>
      </c>
      <c r="C431" s="417" t="s">
        <v>3272</v>
      </c>
      <c r="D431" s="417" t="s">
        <v>88</v>
      </c>
      <c r="E431" s="421">
        <v>0.81484632137392454</v>
      </c>
      <c r="F431" s="421">
        <v>1.3185154683488919E-2</v>
      </c>
      <c r="G431" s="422">
        <v>1607.998766876698</v>
      </c>
      <c r="H431" s="422" t="s">
        <v>2994</v>
      </c>
      <c r="I431" s="417" t="s">
        <v>1392</v>
      </c>
      <c r="J431" s="417" t="s">
        <v>2915</v>
      </c>
      <c r="K431" s="417" t="s">
        <v>3273</v>
      </c>
      <c r="L431" s="417"/>
      <c r="M431" s="417" t="s">
        <v>28840</v>
      </c>
    </row>
    <row r="432" spans="1:13" x14ac:dyDescent="0.25">
      <c r="A432" s="417" t="s">
        <v>2647</v>
      </c>
      <c r="B432" s="417" t="s">
        <v>2437</v>
      </c>
      <c r="C432" s="417" t="s">
        <v>3274</v>
      </c>
      <c r="D432" s="417" t="s">
        <v>88</v>
      </c>
      <c r="E432" s="421">
        <v>0.88202047251688753</v>
      </c>
      <c r="F432" s="421">
        <v>1.051700344865324E-2</v>
      </c>
      <c r="G432" s="422">
        <v>1702.2501659493671</v>
      </c>
      <c r="H432" s="422" t="s">
        <v>2994</v>
      </c>
      <c r="I432" s="417" t="s">
        <v>1392</v>
      </c>
      <c r="J432" s="417" t="s">
        <v>2915</v>
      </c>
      <c r="K432" s="417" t="s">
        <v>3275</v>
      </c>
      <c r="L432" s="417"/>
      <c r="M432" s="417" t="s">
        <v>28840</v>
      </c>
    </row>
    <row r="433" spans="1:13" x14ac:dyDescent="0.25">
      <c r="A433" s="417" t="s">
        <v>2647</v>
      </c>
      <c r="B433" s="417" t="s">
        <v>2437</v>
      </c>
      <c r="C433" s="417" t="s">
        <v>3276</v>
      </c>
      <c r="D433" s="417" t="s">
        <v>392</v>
      </c>
      <c r="E433" s="421">
        <v>4.8620273190191896E-2</v>
      </c>
      <c r="F433" s="421">
        <v>7.2333124726675288E-3</v>
      </c>
      <c r="G433" s="422">
        <v>100.20867876983577</v>
      </c>
      <c r="H433" s="422" t="s">
        <v>2994</v>
      </c>
      <c r="I433" s="417" t="s">
        <v>1392</v>
      </c>
      <c r="J433" s="417" t="s">
        <v>2884</v>
      </c>
      <c r="K433" s="417" t="s">
        <v>3277</v>
      </c>
      <c r="L433" s="417"/>
      <c r="M433" s="417" t="s">
        <v>28840</v>
      </c>
    </row>
    <row r="434" spans="1:13" x14ac:dyDescent="0.25">
      <c r="A434" s="417" t="s">
        <v>2647</v>
      </c>
      <c r="B434" s="417" t="s">
        <v>2437</v>
      </c>
      <c r="C434" s="417" t="s">
        <v>3278</v>
      </c>
      <c r="D434" s="417" t="s">
        <v>392</v>
      </c>
      <c r="E434" s="421">
        <v>5.5137336053718733E-2</v>
      </c>
      <c r="F434" s="421">
        <v>7.2454612004046659E-3</v>
      </c>
      <c r="G434" s="422">
        <v>116.14031779993249</v>
      </c>
      <c r="H434" s="422" t="s">
        <v>2994</v>
      </c>
      <c r="I434" s="417" t="s">
        <v>1392</v>
      </c>
      <c r="J434" s="417" t="s">
        <v>2884</v>
      </c>
      <c r="K434" s="417" t="s">
        <v>3279</v>
      </c>
      <c r="L434" s="417"/>
      <c r="M434" s="417" t="s">
        <v>28840</v>
      </c>
    </row>
    <row r="435" spans="1:13" x14ac:dyDescent="0.25">
      <c r="A435" s="417" t="s">
        <v>2647</v>
      </c>
      <c r="B435" s="417" t="s">
        <v>2437</v>
      </c>
      <c r="C435" s="417" t="s">
        <v>3280</v>
      </c>
      <c r="D435" s="417" t="s">
        <v>392</v>
      </c>
      <c r="E435" s="421">
        <v>9.9955128317217173E-3</v>
      </c>
      <c r="F435" s="421">
        <v>1.403452339292005E-3</v>
      </c>
      <c r="G435" s="422">
        <v>101.37544057650416</v>
      </c>
      <c r="H435" s="422" t="s">
        <v>2994</v>
      </c>
      <c r="I435" s="417" t="s">
        <v>1392</v>
      </c>
      <c r="J435" s="417" t="s">
        <v>2884</v>
      </c>
      <c r="K435" s="417" t="s">
        <v>3281</v>
      </c>
      <c r="L435" s="417"/>
      <c r="M435" s="417" t="s">
        <v>28840</v>
      </c>
    </row>
    <row r="436" spans="1:13" x14ac:dyDescent="0.25">
      <c r="A436" s="417" t="s">
        <v>2647</v>
      </c>
      <c r="B436" s="417" t="s">
        <v>2437</v>
      </c>
      <c r="C436" s="417" t="s">
        <v>3282</v>
      </c>
      <c r="D436" s="417" t="s">
        <v>392</v>
      </c>
      <c r="E436" s="421">
        <v>5.6368955896781883E-2</v>
      </c>
      <c r="F436" s="421">
        <v>8.3860958609687525E-3</v>
      </c>
      <c r="G436" s="422">
        <v>116.17907970108141</v>
      </c>
      <c r="H436" s="422" t="s">
        <v>2994</v>
      </c>
      <c r="I436" s="417" t="s">
        <v>1392</v>
      </c>
      <c r="J436" s="417" t="s">
        <v>2884</v>
      </c>
      <c r="K436" s="417" t="s">
        <v>3283</v>
      </c>
      <c r="L436" s="417"/>
      <c r="M436" s="417" t="s">
        <v>28840</v>
      </c>
    </row>
    <row r="437" spans="1:13" x14ac:dyDescent="0.25">
      <c r="A437" s="417" t="s">
        <v>2647</v>
      </c>
      <c r="B437" s="417" t="s">
        <v>2437</v>
      </c>
      <c r="C437" s="417" t="s">
        <v>3284</v>
      </c>
      <c r="D437" s="417" t="s">
        <v>392</v>
      </c>
      <c r="E437" s="421">
        <v>4.8050900800265355E-2</v>
      </c>
      <c r="F437" s="421">
        <v>7.148606070596572E-3</v>
      </c>
      <c r="G437" s="422">
        <v>99.035175389890313</v>
      </c>
      <c r="H437" s="422" t="s">
        <v>2994</v>
      </c>
      <c r="I437" s="417" t="s">
        <v>1392</v>
      </c>
      <c r="J437" s="417" t="s">
        <v>2884</v>
      </c>
      <c r="K437" s="417" t="s">
        <v>3285</v>
      </c>
      <c r="L437" s="417"/>
      <c r="M437" s="417" t="s">
        <v>28840</v>
      </c>
    </row>
    <row r="438" spans="1:13" x14ac:dyDescent="0.25">
      <c r="A438" s="417" t="s">
        <v>2647</v>
      </c>
      <c r="B438" s="417" t="s">
        <v>2437</v>
      </c>
      <c r="C438" s="417" t="s">
        <v>3286</v>
      </c>
      <c r="D438" s="417" t="s">
        <v>392</v>
      </c>
      <c r="E438" s="421">
        <v>3.407979855077644E-2</v>
      </c>
      <c r="F438" s="421">
        <v>5.0701038013306783E-3</v>
      </c>
      <c r="G438" s="422">
        <v>70.240073974006236</v>
      </c>
      <c r="H438" s="422" t="s">
        <v>2994</v>
      </c>
      <c r="I438" s="417" t="s">
        <v>1392</v>
      </c>
      <c r="J438" s="417" t="s">
        <v>2884</v>
      </c>
      <c r="K438" s="417" t="s">
        <v>3287</v>
      </c>
      <c r="L438" s="417"/>
      <c r="M438" s="417" t="s">
        <v>28840</v>
      </c>
    </row>
    <row r="439" spans="1:13" x14ac:dyDescent="0.25">
      <c r="A439" s="417" t="s">
        <v>2647</v>
      </c>
      <c r="B439" s="417" t="s">
        <v>2437</v>
      </c>
      <c r="C439" s="417" t="s">
        <v>3288</v>
      </c>
      <c r="D439" s="417" t="s">
        <v>392</v>
      </c>
      <c r="E439" s="421">
        <v>2.8507509214275077E-2</v>
      </c>
      <c r="F439" s="421">
        <v>4.2411057864211593E-3</v>
      </c>
      <c r="G439" s="422">
        <v>58.755322542237444</v>
      </c>
      <c r="H439" s="422" t="s">
        <v>2994</v>
      </c>
      <c r="I439" s="417" t="s">
        <v>1392</v>
      </c>
      <c r="J439" s="417" t="s">
        <v>2884</v>
      </c>
      <c r="K439" s="417" t="s">
        <v>3289</v>
      </c>
      <c r="L439" s="417"/>
      <c r="M439" s="417" t="s">
        <v>28840</v>
      </c>
    </row>
    <row r="440" spans="1:13" x14ac:dyDescent="0.25">
      <c r="A440" s="417" t="s">
        <v>2647</v>
      </c>
      <c r="B440" s="417" t="s">
        <v>2437</v>
      </c>
      <c r="C440" s="417" t="s">
        <v>3290</v>
      </c>
      <c r="D440" s="417" t="s">
        <v>392</v>
      </c>
      <c r="E440" s="421">
        <v>7.3670538864377549E-2</v>
      </c>
      <c r="F440" s="421">
        <v>9.6808636245085868E-3</v>
      </c>
      <c r="G440" s="422">
        <v>155.17833121036355</v>
      </c>
      <c r="H440" s="422" t="s">
        <v>2994</v>
      </c>
      <c r="I440" s="417" t="s">
        <v>1392</v>
      </c>
      <c r="J440" s="417" t="s">
        <v>2884</v>
      </c>
      <c r="K440" s="417" t="s">
        <v>3291</v>
      </c>
      <c r="L440" s="417"/>
      <c r="M440" s="417" t="s">
        <v>28840</v>
      </c>
    </row>
    <row r="441" spans="1:13" x14ac:dyDescent="0.25">
      <c r="A441" s="417" t="s">
        <v>2647</v>
      </c>
      <c r="B441" s="417" t="s">
        <v>2437</v>
      </c>
      <c r="C441" s="417" t="s">
        <v>3292</v>
      </c>
      <c r="D441" s="417" t="s">
        <v>392</v>
      </c>
      <c r="E441" s="421">
        <v>6.4366785244907188E-2</v>
      </c>
      <c r="F441" s="421">
        <v>8.4582803317227086E-3</v>
      </c>
      <c r="G441" s="422">
        <v>135.58106773276609</v>
      </c>
      <c r="H441" s="422" t="s">
        <v>2994</v>
      </c>
      <c r="I441" s="417" t="s">
        <v>1392</v>
      </c>
      <c r="J441" s="417" t="s">
        <v>2884</v>
      </c>
      <c r="K441" s="417" t="s">
        <v>3293</v>
      </c>
      <c r="L441" s="417"/>
      <c r="M441" s="417" t="s">
        <v>28840</v>
      </c>
    </row>
    <row r="442" spans="1:13" x14ac:dyDescent="0.25">
      <c r="A442" s="417" t="s">
        <v>2647</v>
      </c>
      <c r="B442" s="417" t="s">
        <v>2437</v>
      </c>
      <c r="C442" s="417" t="s">
        <v>3294</v>
      </c>
      <c r="D442" s="417" t="s">
        <v>392</v>
      </c>
      <c r="E442" s="421">
        <v>4.6803576881621303E-2</v>
      </c>
      <c r="F442" s="421">
        <v>6.1503424830963056E-3</v>
      </c>
      <c r="G442" s="422">
        <v>98.586233616893338</v>
      </c>
      <c r="H442" s="422" t="s">
        <v>2994</v>
      </c>
      <c r="I442" s="417" t="s">
        <v>1392</v>
      </c>
      <c r="J442" s="417" t="s">
        <v>2884</v>
      </c>
      <c r="K442" s="417" t="s">
        <v>3295</v>
      </c>
      <c r="L442" s="417"/>
      <c r="M442" s="417" t="s">
        <v>28840</v>
      </c>
    </row>
    <row r="443" spans="1:13" x14ac:dyDescent="0.25">
      <c r="A443" s="417" t="s">
        <v>2647</v>
      </c>
      <c r="B443" s="417" t="s">
        <v>2437</v>
      </c>
      <c r="C443" s="417" t="s">
        <v>3296</v>
      </c>
      <c r="D443" s="417" t="s">
        <v>392</v>
      </c>
      <c r="E443" s="421">
        <v>3.977829353630695E-2</v>
      </c>
      <c r="F443" s="421">
        <v>5.2271673436457451E-3</v>
      </c>
      <c r="G443" s="422">
        <v>83.788299970544244</v>
      </c>
      <c r="H443" s="422" t="s">
        <v>2994</v>
      </c>
      <c r="I443" s="417" t="s">
        <v>1392</v>
      </c>
      <c r="J443" s="417" t="s">
        <v>2884</v>
      </c>
      <c r="K443" s="417" t="s">
        <v>3297</v>
      </c>
      <c r="L443" s="417"/>
      <c r="M443" s="417" t="s">
        <v>28840</v>
      </c>
    </row>
    <row r="444" spans="1:13" x14ac:dyDescent="0.25">
      <c r="A444" s="417" t="s">
        <v>2647</v>
      </c>
      <c r="B444" s="417" t="s">
        <v>2437</v>
      </c>
      <c r="C444" s="417" t="s">
        <v>3298</v>
      </c>
      <c r="D444" s="417" t="s">
        <v>392</v>
      </c>
      <c r="E444" s="421">
        <v>1.1492630408319798E-2</v>
      </c>
      <c r="F444" s="421">
        <v>1.6136599795046819E-3</v>
      </c>
      <c r="G444" s="422">
        <v>116.55934924408137</v>
      </c>
      <c r="H444" s="422" t="s">
        <v>2994</v>
      </c>
      <c r="I444" s="417" t="s">
        <v>1392</v>
      </c>
      <c r="J444" s="417" t="s">
        <v>2884</v>
      </c>
      <c r="K444" s="417" t="s">
        <v>3299</v>
      </c>
      <c r="L444" s="417"/>
      <c r="M444" s="417" t="s">
        <v>28840</v>
      </c>
    </row>
    <row r="445" spans="1:13" x14ac:dyDescent="0.25">
      <c r="A445" s="417" t="s">
        <v>2647</v>
      </c>
      <c r="B445" s="417" t="s">
        <v>2437</v>
      </c>
      <c r="C445" s="417" t="s">
        <v>3300</v>
      </c>
      <c r="D445" s="417" t="s">
        <v>392</v>
      </c>
      <c r="E445" s="421">
        <v>9.9032240752542963E-3</v>
      </c>
      <c r="F445" s="421">
        <v>1.3904942376582897E-3</v>
      </c>
      <c r="G445" s="422">
        <v>100.43943924224034</v>
      </c>
      <c r="H445" s="422" t="s">
        <v>2994</v>
      </c>
      <c r="I445" s="417" t="s">
        <v>1392</v>
      </c>
      <c r="J445" s="417" t="s">
        <v>2884</v>
      </c>
      <c r="K445" s="417" t="s">
        <v>3301</v>
      </c>
      <c r="L445" s="417"/>
      <c r="M445" s="417" t="s">
        <v>28840</v>
      </c>
    </row>
    <row r="446" spans="1:13" x14ac:dyDescent="0.25">
      <c r="A446" s="417" t="s">
        <v>2647</v>
      </c>
      <c r="B446" s="417" t="s">
        <v>2437</v>
      </c>
      <c r="C446" s="417" t="s">
        <v>3302</v>
      </c>
      <c r="D446" s="417" t="s">
        <v>392</v>
      </c>
      <c r="E446" s="421">
        <v>8.5990958019697798E-3</v>
      </c>
      <c r="F446" s="421">
        <v>1.2073838853740705E-3</v>
      </c>
      <c r="G446" s="422">
        <v>87.21284642021692</v>
      </c>
      <c r="H446" s="422" t="s">
        <v>2994</v>
      </c>
      <c r="I446" s="417" t="s">
        <v>1392</v>
      </c>
      <c r="J446" s="417" t="s">
        <v>2884</v>
      </c>
      <c r="K446" s="417" t="s">
        <v>3303</v>
      </c>
      <c r="L446" s="417"/>
      <c r="M446" s="417" t="s">
        <v>28840</v>
      </c>
    </row>
    <row r="447" spans="1:13" x14ac:dyDescent="0.25">
      <c r="A447" s="417" t="s">
        <v>2647</v>
      </c>
      <c r="B447" s="417" t="s">
        <v>2437</v>
      </c>
      <c r="C447" s="417" t="s">
        <v>3304</v>
      </c>
      <c r="D447" s="417" t="s">
        <v>392</v>
      </c>
      <c r="E447" s="421">
        <v>7.7025076140866747E-3</v>
      </c>
      <c r="F447" s="421">
        <v>1.0814955181786699E-3</v>
      </c>
      <c r="G447" s="422">
        <v>78.119563855075825</v>
      </c>
      <c r="H447" s="422" t="s">
        <v>2994</v>
      </c>
      <c r="I447" s="417" t="s">
        <v>1392</v>
      </c>
      <c r="J447" s="417" t="s">
        <v>2884</v>
      </c>
      <c r="K447" s="417" t="s">
        <v>3305</v>
      </c>
      <c r="L447" s="417"/>
      <c r="M447" s="417" t="s">
        <v>28840</v>
      </c>
    </row>
    <row r="448" spans="1:13" x14ac:dyDescent="0.25">
      <c r="A448" s="417" t="s">
        <v>2647</v>
      </c>
      <c r="B448" s="417" t="s">
        <v>2437</v>
      </c>
      <c r="C448" s="417" t="s">
        <v>3306</v>
      </c>
      <c r="D448" s="417" t="s">
        <v>397</v>
      </c>
      <c r="E448" s="421">
        <v>0.12034529810513518</v>
      </c>
      <c r="F448" s="421">
        <v>1.7903954229248759E-2</v>
      </c>
      <c r="G448" s="422">
        <v>248.03734179162106</v>
      </c>
      <c r="H448" s="422" t="s">
        <v>2994</v>
      </c>
      <c r="I448" s="417" t="s">
        <v>1392</v>
      </c>
      <c r="J448" s="417" t="s">
        <v>2915</v>
      </c>
      <c r="K448" s="417" t="s">
        <v>3307</v>
      </c>
      <c r="L448" s="417"/>
      <c r="M448" s="417" t="s">
        <v>28840</v>
      </c>
    </row>
    <row r="449" spans="1:13" x14ac:dyDescent="0.25">
      <c r="A449" s="417" t="s">
        <v>2647</v>
      </c>
      <c r="B449" s="417" t="s">
        <v>2437</v>
      </c>
      <c r="C449" s="417" t="s">
        <v>3308</v>
      </c>
      <c r="D449" s="417" t="s">
        <v>397</v>
      </c>
      <c r="E449" s="421">
        <v>4.8440153475655751E-2</v>
      </c>
      <c r="F449" s="421">
        <v>7.2065157870003973E-3</v>
      </c>
      <c r="G449" s="422">
        <v>99.837443533384899</v>
      </c>
      <c r="H449" s="422" t="s">
        <v>2994</v>
      </c>
      <c r="I449" s="417" t="s">
        <v>1392</v>
      </c>
      <c r="J449" s="417" t="s">
        <v>2915</v>
      </c>
      <c r="K449" s="417" t="s">
        <v>3309</v>
      </c>
      <c r="L449" s="417"/>
      <c r="M449" s="417" t="s">
        <v>28840</v>
      </c>
    </row>
    <row r="450" spans="1:13" x14ac:dyDescent="0.25">
      <c r="A450" s="417" t="s">
        <v>2647</v>
      </c>
      <c r="B450" s="417" t="s">
        <v>2437</v>
      </c>
      <c r="C450" s="417" t="s">
        <v>3310</v>
      </c>
      <c r="D450" s="417" t="s">
        <v>397</v>
      </c>
      <c r="E450" s="421">
        <v>2.4552798941688533E-2</v>
      </c>
      <c r="F450" s="421">
        <v>3.6527574851150852E-3</v>
      </c>
      <c r="G450" s="422">
        <v>50.604477939140082</v>
      </c>
      <c r="H450" s="422" t="s">
        <v>2994</v>
      </c>
      <c r="I450" s="417" t="s">
        <v>1392</v>
      </c>
      <c r="J450" s="417" t="s">
        <v>2915</v>
      </c>
      <c r="K450" s="417" t="s">
        <v>3311</v>
      </c>
      <c r="L450" s="417"/>
      <c r="M450" s="417" t="s">
        <v>28840</v>
      </c>
    </row>
    <row r="451" spans="1:13" x14ac:dyDescent="0.25">
      <c r="A451" s="417" t="s">
        <v>2647</v>
      </c>
      <c r="B451" s="417" t="s">
        <v>2437</v>
      </c>
      <c r="C451" s="417" t="s">
        <v>3312</v>
      </c>
      <c r="D451" s="417" t="s">
        <v>397</v>
      </c>
      <c r="E451" s="421">
        <v>2.3485988186106171E-2</v>
      </c>
      <c r="F451" s="421">
        <v>3.4940464158838575E-3</v>
      </c>
      <c r="G451" s="422">
        <v>48.405730599811598</v>
      </c>
      <c r="H451" s="422" t="s">
        <v>2994</v>
      </c>
      <c r="I451" s="417" t="s">
        <v>1392</v>
      </c>
      <c r="J451" s="417" t="s">
        <v>2915</v>
      </c>
      <c r="K451" s="417" t="s">
        <v>3313</v>
      </c>
      <c r="L451" s="417"/>
      <c r="M451" s="417" t="s">
        <v>28840</v>
      </c>
    </row>
    <row r="452" spans="1:13" x14ac:dyDescent="0.25">
      <c r="A452" s="417" t="s">
        <v>2647</v>
      </c>
      <c r="B452" s="417" t="s">
        <v>2437</v>
      </c>
      <c r="C452" s="417" t="s">
        <v>3314</v>
      </c>
      <c r="D452" s="417" t="s">
        <v>397</v>
      </c>
      <c r="E452" s="421">
        <v>2.5580845945364802E-2</v>
      </c>
      <c r="F452" s="421">
        <v>3.8057016116338997E-3</v>
      </c>
      <c r="G452" s="422">
        <v>52.723331355464971</v>
      </c>
      <c r="H452" s="422" t="s">
        <v>2994</v>
      </c>
      <c r="I452" s="417" t="s">
        <v>1392</v>
      </c>
      <c r="J452" s="417" t="s">
        <v>2915</v>
      </c>
      <c r="K452" s="417" t="s">
        <v>3315</v>
      </c>
      <c r="L452" s="417"/>
      <c r="M452" s="417" t="s">
        <v>28840</v>
      </c>
    </row>
    <row r="453" spans="1:13" x14ac:dyDescent="0.25">
      <c r="A453" s="417" t="s">
        <v>2647</v>
      </c>
      <c r="B453" s="417" t="s">
        <v>2437</v>
      </c>
      <c r="C453" s="417" t="s">
        <v>3316</v>
      </c>
      <c r="D453" s="417" t="s">
        <v>397</v>
      </c>
      <c r="E453" s="421">
        <v>1.58533093221149E-2</v>
      </c>
      <c r="F453" s="421">
        <v>2.2259352199550404E-3</v>
      </c>
      <c r="G453" s="422">
        <v>160.78576899272221</v>
      </c>
      <c r="H453" s="422" t="s">
        <v>2994</v>
      </c>
      <c r="I453" s="417" t="s">
        <v>1392</v>
      </c>
      <c r="J453" s="417" t="s">
        <v>2915</v>
      </c>
      <c r="K453" s="417" t="s">
        <v>3317</v>
      </c>
      <c r="L453" s="417"/>
      <c r="M453" s="417" t="s">
        <v>28840</v>
      </c>
    </row>
    <row r="454" spans="1:13" x14ac:dyDescent="0.25">
      <c r="A454" s="417" t="s">
        <v>2647</v>
      </c>
      <c r="B454" s="417" t="s">
        <v>2437</v>
      </c>
      <c r="C454" s="417" t="s">
        <v>3318</v>
      </c>
      <c r="D454" s="417" t="s">
        <v>397</v>
      </c>
      <c r="E454" s="421">
        <v>7.9470316653275207E-3</v>
      </c>
      <c r="F454" s="421">
        <v>1.1158287092319611E-3</v>
      </c>
      <c r="G454" s="422">
        <v>80.599550009205217</v>
      </c>
      <c r="H454" s="422" t="s">
        <v>2994</v>
      </c>
      <c r="I454" s="417" t="s">
        <v>1392</v>
      </c>
      <c r="J454" s="417" t="s">
        <v>2915</v>
      </c>
      <c r="K454" s="417" t="s">
        <v>3319</v>
      </c>
      <c r="L454" s="417"/>
      <c r="M454" s="417" t="s">
        <v>28840</v>
      </c>
    </row>
    <row r="455" spans="1:13" x14ac:dyDescent="0.25">
      <c r="A455" s="417" t="s">
        <v>2647</v>
      </c>
      <c r="B455" s="417" t="s">
        <v>2437</v>
      </c>
      <c r="C455" s="417" t="s">
        <v>3320</v>
      </c>
      <c r="D455" s="417" t="s">
        <v>397</v>
      </c>
      <c r="E455" s="421">
        <v>8.1915557165683685E-3</v>
      </c>
      <c r="F455" s="421">
        <v>1.1501619002852522E-3</v>
      </c>
      <c r="G455" s="422">
        <v>83.079536163334609</v>
      </c>
      <c r="H455" s="422" t="s">
        <v>2994</v>
      </c>
      <c r="I455" s="417" t="s">
        <v>1392</v>
      </c>
      <c r="J455" s="417" t="s">
        <v>2915</v>
      </c>
      <c r="K455" s="417" t="s">
        <v>3321</v>
      </c>
      <c r="L455" s="417"/>
      <c r="M455" s="417" t="s">
        <v>28840</v>
      </c>
    </row>
    <row r="456" spans="1:13" x14ac:dyDescent="0.25">
      <c r="A456" s="417" t="s">
        <v>2647</v>
      </c>
      <c r="B456" s="417" t="s">
        <v>2437</v>
      </c>
      <c r="C456" s="417" t="s">
        <v>3322</v>
      </c>
      <c r="D456" s="417" t="s">
        <v>397</v>
      </c>
      <c r="E456" s="421">
        <v>8.721357827590202E-3</v>
      </c>
      <c r="F456" s="421">
        <v>1.2245504809007162E-3</v>
      </c>
      <c r="G456" s="422">
        <v>88.452839497281616</v>
      </c>
      <c r="H456" s="422" t="s">
        <v>2994</v>
      </c>
      <c r="I456" s="417" t="s">
        <v>1392</v>
      </c>
      <c r="J456" s="417" t="s">
        <v>2915</v>
      </c>
      <c r="K456" s="417" t="s">
        <v>3323</v>
      </c>
      <c r="L456" s="417"/>
      <c r="M456" s="417" t="s">
        <v>28840</v>
      </c>
    </row>
    <row r="457" spans="1:13" x14ac:dyDescent="0.25">
      <c r="A457" s="417" t="s">
        <v>2647</v>
      </c>
      <c r="B457" s="417" t="s">
        <v>2437</v>
      </c>
      <c r="C457" s="417" t="s">
        <v>3324</v>
      </c>
      <c r="D457" s="417" t="s">
        <v>397</v>
      </c>
      <c r="E457" s="421">
        <v>4.1569088710943961E-2</v>
      </c>
      <c r="F457" s="421">
        <v>5.8366424790594887E-3</v>
      </c>
      <c r="G457" s="422">
        <v>421.5976462019965</v>
      </c>
      <c r="H457" s="422" t="s">
        <v>2994</v>
      </c>
      <c r="I457" s="417" t="s">
        <v>1392</v>
      </c>
      <c r="J457" s="417" t="s">
        <v>2915</v>
      </c>
      <c r="K457" s="417" t="s">
        <v>3325</v>
      </c>
      <c r="L457" s="417"/>
      <c r="M457" s="417" t="s">
        <v>28840</v>
      </c>
    </row>
    <row r="458" spans="1:13" x14ac:dyDescent="0.25">
      <c r="A458" s="417" t="s">
        <v>2647</v>
      </c>
      <c r="B458" s="417" t="s">
        <v>2437</v>
      </c>
      <c r="C458" s="417" t="s">
        <v>3326</v>
      </c>
      <c r="D458" s="417" t="s">
        <v>397</v>
      </c>
      <c r="E458" s="421">
        <v>1.2564115429264543E-3</v>
      </c>
      <c r="F458" s="421">
        <v>2.0330190006471562E-5</v>
      </c>
      <c r="G458" s="422">
        <v>2.4793732986471806</v>
      </c>
      <c r="H458" s="422" t="s">
        <v>2994</v>
      </c>
      <c r="I458" s="417" t="s">
        <v>1392</v>
      </c>
      <c r="J458" s="417" t="s">
        <v>2915</v>
      </c>
      <c r="K458" s="417" t="s">
        <v>3327</v>
      </c>
      <c r="L458" s="417"/>
      <c r="M458" s="417" t="s">
        <v>28840</v>
      </c>
    </row>
    <row r="459" spans="1:13" x14ac:dyDescent="0.25">
      <c r="A459" s="417" t="s">
        <v>2647</v>
      </c>
      <c r="B459" s="417" t="s">
        <v>2437</v>
      </c>
      <c r="C459" s="417" t="s">
        <v>3328</v>
      </c>
      <c r="D459" s="417" t="s">
        <v>397</v>
      </c>
      <c r="E459" s="421">
        <v>0.16068648968312657</v>
      </c>
      <c r="F459" s="421">
        <v>1.9159876882756473E-3</v>
      </c>
      <c r="G459" s="422">
        <v>310.11593523265572</v>
      </c>
      <c r="H459" s="422" t="s">
        <v>2994</v>
      </c>
      <c r="I459" s="417" t="s">
        <v>1392</v>
      </c>
      <c r="J459" s="417" t="s">
        <v>2915</v>
      </c>
      <c r="K459" s="417" t="s">
        <v>3329</v>
      </c>
      <c r="L459" s="417"/>
      <c r="M459" s="417" t="s">
        <v>28840</v>
      </c>
    </row>
    <row r="460" spans="1:13" x14ac:dyDescent="0.25">
      <c r="A460" s="417" t="s">
        <v>2647</v>
      </c>
      <c r="B460" s="417" t="s">
        <v>2437</v>
      </c>
      <c r="C460" s="417" t="s">
        <v>27348</v>
      </c>
      <c r="D460" s="417" t="s">
        <v>74</v>
      </c>
      <c r="E460" s="421">
        <v>0.67028987670958395</v>
      </c>
      <c r="F460" s="421">
        <v>9.9720051068826129E-2</v>
      </c>
      <c r="G460" s="422">
        <v>1381.4990852707388</v>
      </c>
      <c r="H460" s="422" t="s">
        <v>2994</v>
      </c>
      <c r="I460" s="417" t="s">
        <v>28257</v>
      </c>
      <c r="J460" s="417" t="s">
        <v>2884</v>
      </c>
      <c r="K460" s="417" t="s">
        <v>27349</v>
      </c>
      <c r="L460" s="417"/>
      <c r="M460" s="417" t="s">
        <v>28840</v>
      </c>
    </row>
    <row r="461" spans="1:13" x14ac:dyDescent="0.25">
      <c r="A461" s="417" t="s">
        <v>2647</v>
      </c>
      <c r="B461" s="417" t="s">
        <v>2437</v>
      </c>
      <c r="C461" s="417" t="s">
        <v>27291</v>
      </c>
      <c r="D461" s="417" t="s">
        <v>74</v>
      </c>
      <c r="E461" s="421">
        <v>0.6996802466887404</v>
      </c>
      <c r="F461" s="421">
        <v>9.1943253753386966E-2</v>
      </c>
      <c r="G461" s="422">
        <v>1473.7942023458497</v>
      </c>
      <c r="H461" s="422" t="s">
        <v>2994</v>
      </c>
      <c r="I461" s="417" t="s">
        <v>28257</v>
      </c>
      <c r="J461" s="417" t="s">
        <v>2884</v>
      </c>
      <c r="K461" s="417" t="s">
        <v>27350</v>
      </c>
      <c r="L461" s="417"/>
      <c r="M461" s="417" t="s">
        <v>28840</v>
      </c>
    </row>
    <row r="462" spans="1:13" x14ac:dyDescent="0.25">
      <c r="A462" s="417" t="s">
        <v>2647</v>
      </c>
      <c r="B462" s="417" t="s">
        <v>2437</v>
      </c>
      <c r="C462" s="417" t="s">
        <v>27351</v>
      </c>
      <c r="D462" s="417" t="s">
        <v>74</v>
      </c>
      <c r="E462" s="421">
        <v>0.67028987670958395</v>
      </c>
      <c r="F462" s="421">
        <v>9.9720051068826129E-2</v>
      </c>
      <c r="G462" s="422">
        <v>1381.4990852707388</v>
      </c>
      <c r="H462" s="422" t="s">
        <v>2994</v>
      </c>
      <c r="I462" s="417" t="s">
        <v>28257</v>
      </c>
      <c r="J462" s="417" t="s">
        <v>2884</v>
      </c>
      <c r="K462" s="417" t="s">
        <v>27352</v>
      </c>
      <c r="L462" s="417"/>
      <c r="M462" s="417" t="s">
        <v>28840</v>
      </c>
    </row>
    <row r="463" spans="1:13" x14ac:dyDescent="0.25">
      <c r="A463" s="417" t="s">
        <v>2647</v>
      </c>
      <c r="B463" s="417" t="s">
        <v>2437</v>
      </c>
      <c r="C463" s="417" t="s">
        <v>27353</v>
      </c>
      <c r="D463" s="417" t="s">
        <v>74</v>
      </c>
      <c r="E463" s="421">
        <v>0.67028987670958395</v>
      </c>
      <c r="F463" s="421">
        <v>9.9720051068826129E-2</v>
      </c>
      <c r="G463" s="422">
        <v>1381.4990852707388</v>
      </c>
      <c r="H463" s="422" t="s">
        <v>2994</v>
      </c>
      <c r="I463" s="417" t="s">
        <v>28257</v>
      </c>
      <c r="J463" s="417" t="s">
        <v>2884</v>
      </c>
      <c r="K463" s="417" t="s">
        <v>27354</v>
      </c>
      <c r="L463" s="417"/>
      <c r="M463" s="417" t="s">
        <v>28840</v>
      </c>
    </row>
    <row r="464" spans="1:13" x14ac:dyDescent="0.25">
      <c r="A464" s="417" t="s">
        <v>2647</v>
      </c>
      <c r="B464" s="417" t="s">
        <v>2437</v>
      </c>
      <c r="C464" s="417" t="s">
        <v>27355</v>
      </c>
      <c r="D464" s="417" t="s">
        <v>74</v>
      </c>
      <c r="E464" s="421">
        <v>0.67028987670958395</v>
      </c>
      <c r="F464" s="421">
        <v>9.9720051068826129E-2</v>
      </c>
      <c r="G464" s="422">
        <v>1381.4990852707388</v>
      </c>
      <c r="H464" s="422" t="s">
        <v>2994</v>
      </c>
      <c r="I464" s="417" t="s">
        <v>28257</v>
      </c>
      <c r="J464" s="417" t="s">
        <v>2884</v>
      </c>
      <c r="K464" s="417" t="s">
        <v>27356</v>
      </c>
      <c r="L464" s="417"/>
      <c r="M464" s="417" t="s">
        <v>28840</v>
      </c>
    </row>
    <row r="465" spans="1:13" x14ac:dyDescent="0.25">
      <c r="A465" s="417" t="s">
        <v>2647</v>
      </c>
      <c r="B465" s="417" t="s">
        <v>2437</v>
      </c>
      <c r="C465" s="417" t="s">
        <v>27357</v>
      </c>
      <c r="D465" s="417" t="s">
        <v>74</v>
      </c>
      <c r="E465" s="421">
        <v>0.67028987670958395</v>
      </c>
      <c r="F465" s="421">
        <v>9.9720051068826129E-2</v>
      </c>
      <c r="G465" s="422">
        <v>1381.4990852707388</v>
      </c>
      <c r="H465" s="422" t="s">
        <v>2994</v>
      </c>
      <c r="I465" s="417" t="s">
        <v>28257</v>
      </c>
      <c r="J465" s="417" t="s">
        <v>2884</v>
      </c>
      <c r="K465" s="417" t="s">
        <v>27358</v>
      </c>
      <c r="L465" s="417"/>
      <c r="M465" s="417" t="s">
        <v>28840</v>
      </c>
    </row>
    <row r="466" spans="1:13" x14ac:dyDescent="0.25">
      <c r="A466" s="417" t="s">
        <v>2647</v>
      </c>
      <c r="B466" s="417" t="s">
        <v>2437</v>
      </c>
      <c r="C466" s="417" t="s">
        <v>27359</v>
      </c>
      <c r="D466" s="417" t="s">
        <v>74</v>
      </c>
      <c r="E466" s="421">
        <v>0.6996802466887404</v>
      </c>
      <c r="F466" s="421">
        <v>9.1943253753386966E-2</v>
      </c>
      <c r="G466" s="422">
        <v>1473.7942023458497</v>
      </c>
      <c r="H466" s="422" t="s">
        <v>2994</v>
      </c>
      <c r="I466" s="417" t="s">
        <v>28257</v>
      </c>
      <c r="J466" s="417" t="s">
        <v>2884</v>
      </c>
      <c r="K466" s="417" t="s">
        <v>27360</v>
      </c>
      <c r="L466" s="417"/>
      <c r="M466" s="417" t="s">
        <v>28840</v>
      </c>
    </row>
    <row r="467" spans="1:13" x14ac:dyDescent="0.25">
      <c r="A467" s="417" t="s">
        <v>2647</v>
      </c>
      <c r="B467" s="417" t="s">
        <v>2437</v>
      </c>
      <c r="C467" s="417" t="s">
        <v>27361</v>
      </c>
      <c r="D467" s="417" t="s">
        <v>74</v>
      </c>
      <c r="E467" s="421">
        <v>0.6996802466887404</v>
      </c>
      <c r="F467" s="421">
        <v>9.1943253753386966E-2</v>
      </c>
      <c r="G467" s="422">
        <v>1473.7942023458497</v>
      </c>
      <c r="H467" s="422" t="s">
        <v>2994</v>
      </c>
      <c r="I467" s="417" t="s">
        <v>28257</v>
      </c>
      <c r="J467" s="417" t="s">
        <v>2884</v>
      </c>
      <c r="K467" s="417" t="s">
        <v>27362</v>
      </c>
      <c r="L467" s="417"/>
      <c r="M467" s="417" t="s">
        <v>28840</v>
      </c>
    </row>
    <row r="468" spans="1:13" x14ac:dyDescent="0.25">
      <c r="A468" s="417" t="s">
        <v>2647</v>
      </c>
      <c r="B468" s="417" t="s">
        <v>2437</v>
      </c>
      <c r="C468" s="417" t="s">
        <v>27363</v>
      </c>
      <c r="D468" s="417" t="s">
        <v>74</v>
      </c>
      <c r="E468" s="421">
        <v>0.6996802466887404</v>
      </c>
      <c r="F468" s="421">
        <v>9.1943253753386966E-2</v>
      </c>
      <c r="G468" s="422">
        <v>1473.7942023458497</v>
      </c>
      <c r="H468" s="422" t="s">
        <v>2994</v>
      </c>
      <c r="I468" s="417" t="s">
        <v>28257</v>
      </c>
      <c r="J468" s="417" t="s">
        <v>2884</v>
      </c>
      <c r="K468" s="417" t="s">
        <v>27364</v>
      </c>
      <c r="L468" s="417"/>
      <c r="M468" s="417" t="s">
        <v>28840</v>
      </c>
    </row>
    <row r="469" spans="1:13" x14ac:dyDescent="0.25">
      <c r="A469" s="417" t="s">
        <v>2647</v>
      </c>
      <c r="B469" s="417" t="s">
        <v>2437</v>
      </c>
      <c r="C469" s="417" t="s">
        <v>27365</v>
      </c>
      <c r="D469" s="417" t="s">
        <v>74</v>
      </c>
      <c r="E469" s="421">
        <v>0.6996802466887404</v>
      </c>
      <c r="F469" s="421">
        <v>9.1943253753386966E-2</v>
      </c>
      <c r="G469" s="422">
        <v>1473.7942023458497</v>
      </c>
      <c r="H469" s="422" t="s">
        <v>2994</v>
      </c>
      <c r="I469" s="417" t="s">
        <v>28257</v>
      </c>
      <c r="J469" s="417" t="s">
        <v>2884</v>
      </c>
      <c r="K469" s="417" t="s">
        <v>27366</v>
      </c>
      <c r="L469" s="417"/>
      <c r="M469" s="417" t="s">
        <v>28840</v>
      </c>
    </row>
    <row r="470" spans="1:13" x14ac:dyDescent="0.25">
      <c r="A470" s="417" t="s">
        <v>2647</v>
      </c>
      <c r="B470" s="417" t="s">
        <v>2437</v>
      </c>
      <c r="C470" s="417" t="s">
        <v>27290</v>
      </c>
      <c r="D470" s="417" t="s">
        <v>74</v>
      </c>
      <c r="E470" s="421">
        <v>0.67028987670958395</v>
      </c>
      <c r="F470" s="421">
        <v>9.9720051068826129E-2</v>
      </c>
      <c r="G470" s="422">
        <v>1381.4990852707388</v>
      </c>
      <c r="H470" s="422" t="s">
        <v>2994</v>
      </c>
      <c r="I470" s="417" t="s">
        <v>28257</v>
      </c>
      <c r="J470" s="417" t="s">
        <v>2915</v>
      </c>
      <c r="K470" s="417" t="s">
        <v>27367</v>
      </c>
      <c r="L470" s="417"/>
      <c r="M470" s="417" t="s">
        <v>28840</v>
      </c>
    </row>
    <row r="471" spans="1:13" x14ac:dyDescent="0.25">
      <c r="A471" s="417" t="s">
        <v>2647</v>
      </c>
      <c r="B471" s="417" t="s">
        <v>2437</v>
      </c>
      <c r="C471" s="417" t="s">
        <v>27368</v>
      </c>
      <c r="D471" s="417" t="s">
        <v>74</v>
      </c>
      <c r="E471" s="421">
        <v>0.67028987670958395</v>
      </c>
      <c r="F471" s="421">
        <v>9.9720051068826129E-2</v>
      </c>
      <c r="G471" s="422">
        <v>1381.4990852707388</v>
      </c>
      <c r="H471" s="422" t="s">
        <v>2994</v>
      </c>
      <c r="I471" s="417" t="s">
        <v>28257</v>
      </c>
      <c r="J471" s="417" t="s">
        <v>2915</v>
      </c>
      <c r="K471" s="417" t="s">
        <v>27369</v>
      </c>
      <c r="L471" s="417"/>
      <c r="M471" s="417" t="s">
        <v>28840</v>
      </c>
    </row>
    <row r="472" spans="1:13" x14ac:dyDescent="0.25">
      <c r="A472" s="417" t="s">
        <v>2647</v>
      </c>
      <c r="B472" s="417" t="s">
        <v>2437</v>
      </c>
      <c r="C472" s="417" t="s">
        <v>27370</v>
      </c>
      <c r="D472" s="417" t="s">
        <v>74</v>
      </c>
      <c r="E472" s="421">
        <v>0.67028987670958395</v>
      </c>
      <c r="F472" s="421">
        <v>9.9720051068826129E-2</v>
      </c>
      <c r="G472" s="422">
        <v>1381.4990852707388</v>
      </c>
      <c r="H472" s="422" t="s">
        <v>2994</v>
      </c>
      <c r="I472" s="417" t="s">
        <v>28257</v>
      </c>
      <c r="J472" s="417" t="s">
        <v>2915</v>
      </c>
      <c r="K472" s="417" t="s">
        <v>27371</v>
      </c>
      <c r="L472" s="417"/>
      <c r="M472" s="417" t="s">
        <v>28840</v>
      </c>
    </row>
    <row r="473" spans="1:13" x14ac:dyDescent="0.25">
      <c r="A473" s="417" t="s">
        <v>2647</v>
      </c>
      <c r="B473" s="417" t="s">
        <v>2437</v>
      </c>
      <c r="C473" s="417" t="s">
        <v>27372</v>
      </c>
      <c r="D473" s="417" t="s">
        <v>74</v>
      </c>
      <c r="E473" s="421">
        <v>0.67028987670958395</v>
      </c>
      <c r="F473" s="421">
        <v>9.9720051068826129E-2</v>
      </c>
      <c r="G473" s="422">
        <v>1381.4990852707388</v>
      </c>
      <c r="H473" s="422" t="s">
        <v>2994</v>
      </c>
      <c r="I473" s="417" t="s">
        <v>28257</v>
      </c>
      <c r="J473" s="417" t="s">
        <v>2915</v>
      </c>
      <c r="K473" s="417" t="s">
        <v>27373</v>
      </c>
      <c r="L473" s="417"/>
      <c r="M473" s="417" t="s">
        <v>28840</v>
      </c>
    </row>
    <row r="474" spans="1:13" x14ac:dyDescent="0.25">
      <c r="A474" s="417" t="s">
        <v>2647</v>
      </c>
      <c r="B474" s="417" t="s">
        <v>2437</v>
      </c>
      <c r="C474" s="417" t="s">
        <v>27374</v>
      </c>
      <c r="D474" s="417" t="s">
        <v>74</v>
      </c>
      <c r="E474" s="421">
        <v>0.67028987670958395</v>
      </c>
      <c r="F474" s="421">
        <v>9.9720051068826129E-2</v>
      </c>
      <c r="G474" s="422">
        <v>1381.4990852707388</v>
      </c>
      <c r="H474" s="422" t="s">
        <v>2994</v>
      </c>
      <c r="I474" s="417" t="s">
        <v>28257</v>
      </c>
      <c r="J474" s="417" t="s">
        <v>2915</v>
      </c>
      <c r="K474" s="417" t="s">
        <v>27375</v>
      </c>
      <c r="L474" s="417"/>
      <c r="M474" s="417" t="s">
        <v>28840</v>
      </c>
    </row>
    <row r="475" spans="1:13" x14ac:dyDescent="0.25">
      <c r="A475" s="417" t="s">
        <v>2647</v>
      </c>
      <c r="B475" s="417" t="s">
        <v>2437</v>
      </c>
      <c r="C475" s="417" t="s">
        <v>27376</v>
      </c>
      <c r="D475" s="417" t="s">
        <v>74</v>
      </c>
      <c r="E475" s="421">
        <v>0.78225246851896757</v>
      </c>
      <c r="F475" s="421">
        <v>1.2657748496149363E-2</v>
      </c>
      <c r="G475" s="422">
        <v>1543.6788162016301</v>
      </c>
      <c r="H475" s="422" t="s">
        <v>2994</v>
      </c>
      <c r="I475" s="417" t="s">
        <v>28257</v>
      </c>
      <c r="J475" s="417" t="s">
        <v>2915</v>
      </c>
      <c r="K475" s="417" t="s">
        <v>27377</v>
      </c>
      <c r="L475" s="417"/>
      <c r="M475" s="417" t="s">
        <v>28840</v>
      </c>
    </row>
    <row r="476" spans="1:13" x14ac:dyDescent="0.25">
      <c r="A476" s="417" t="s">
        <v>2647</v>
      </c>
      <c r="B476" s="417" t="s">
        <v>2437</v>
      </c>
      <c r="C476" s="417" t="s">
        <v>27378</v>
      </c>
      <c r="D476" s="417" t="s">
        <v>74</v>
      </c>
      <c r="E476" s="421">
        <v>0.70473435754099323</v>
      </c>
      <c r="F476" s="421">
        <v>8.4030857554739397E-3</v>
      </c>
      <c r="G476" s="422">
        <v>1360.0978825935445</v>
      </c>
      <c r="H476" s="422" t="s">
        <v>2994</v>
      </c>
      <c r="I476" s="417" t="s">
        <v>28257</v>
      </c>
      <c r="J476" s="417" t="s">
        <v>2915</v>
      </c>
      <c r="K476" s="417" t="s">
        <v>27379</v>
      </c>
      <c r="L476" s="417"/>
      <c r="M476" s="417" t="s">
        <v>28840</v>
      </c>
    </row>
    <row r="477" spans="1:13" x14ac:dyDescent="0.25">
      <c r="A477" s="417" t="s">
        <v>28839</v>
      </c>
      <c r="B477" s="417" t="s">
        <v>28814</v>
      </c>
      <c r="C477" s="417" t="s">
        <v>28635</v>
      </c>
      <c r="D477" s="417" t="s">
        <v>88</v>
      </c>
      <c r="E477" s="418">
        <v>0</v>
      </c>
      <c r="F477" s="418">
        <v>0</v>
      </c>
      <c r="G477" s="420">
        <v>140000</v>
      </c>
      <c r="H477" s="417" t="s">
        <v>2646</v>
      </c>
      <c r="I477" s="417" t="s">
        <v>28982</v>
      </c>
      <c r="J477" s="417"/>
      <c r="K477" s="417" t="s">
        <v>3330</v>
      </c>
      <c r="L477" s="417" t="s">
        <v>3331</v>
      </c>
      <c r="M477" s="417" t="s">
        <v>28422</v>
      </c>
    </row>
    <row r="478" spans="1:13" x14ac:dyDescent="0.25">
      <c r="A478" s="417" t="s">
        <v>28839</v>
      </c>
      <c r="B478" s="417" t="s">
        <v>28814</v>
      </c>
      <c r="C478" s="417" t="s">
        <v>28636</v>
      </c>
      <c r="D478" s="417" t="s">
        <v>88</v>
      </c>
      <c r="E478" s="418">
        <v>0</v>
      </c>
      <c r="F478" s="418">
        <v>0</v>
      </c>
      <c r="G478" s="420">
        <v>480000</v>
      </c>
      <c r="H478" s="417" t="s">
        <v>2646</v>
      </c>
      <c r="I478" s="417" t="s">
        <v>28982</v>
      </c>
      <c r="J478" s="417"/>
      <c r="K478" s="417" t="s">
        <v>3332</v>
      </c>
      <c r="L478" s="417" t="s">
        <v>3331</v>
      </c>
      <c r="M478" s="417" t="s">
        <v>28422</v>
      </c>
    </row>
    <row r="479" spans="1:13" x14ac:dyDescent="0.25">
      <c r="A479" s="417" t="s">
        <v>28839</v>
      </c>
      <c r="B479" s="417" t="s">
        <v>28814</v>
      </c>
      <c r="C479" s="417" t="s">
        <v>28637</v>
      </c>
      <c r="D479" s="417" t="s">
        <v>88</v>
      </c>
      <c r="E479" s="418">
        <v>0</v>
      </c>
      <c r="F479" s="418">
        <v>0</v>
      </c>
      <c r="G479" s="420">
        <v>44000</v>
      </c>
      <c r="H479" s="417" t="s">
        <v>2646</v>
      </c>
      <c r="I479" s="417" t="s">
        <v>28982</v>
      </c>
      <c r="J479" s="417"/>
      <c r="K479" s="417" t="s">
        <v>3333</v>
      </c>
      <c r="L479" s="417" t="s">
        <v>3331</v>
      </c>
      <c r="M479" s="417" t="s">
        <v>28422</v>
      </c>
    </row>
    <row r="480" spans="1:13" x14ac:dyDescent="0.25">
      <c r="A480" s="417" t="s">
        <v>28839</v>
      </c>
      <c r="B480" s="417" t="s">
        <v>28814</v>
      </c>
      <c r="C480" s="417" t="s">
        <v>28638</v>
      </c>
      <c r="D480" s="417" t="s">
        <v>88</v>
      </c>
      <c r="E480" s="418">
        <v>0</v>
      </c>
      <c r="F480" s="418">
        <v>0</v>
      </c>
      <c r="G480" s="420">
        <v>660000000</v>
      </c>
      <c r="H480" s="417" t="s">
        <v>2646</v>
      </c>
      <c r="I480" s="417" t="s">
        <v>28982</v>
      </c>
      <c r="J480" s="417"/>
      <c r="K480" s="417" t="s">
        <v>3334</v>
      </c>
      <c r="L480" s="417" t="s">
        <v>3331</v>
      </c>
      <c r="M480" s="417" t="s">
        <v>28422</v>
      </c>
    </row>
    <row r="481" spans="1:13" x14ac:dyDescent="0.25">
      <c r="A481" s="417" t="s">
        <v>28839</v>
      </c>
      <c r="B481" s="417" t="s">
        <v>28814</v>
      </c>
      <c r="C481" s="417" t="s">
        <v>28639</v>
      </c>
      <c r="D481" s="417" t="s">
        <v>88</v>
      </c>
      <c r="E481" s="418">
        <v>0</v>
      </c>
      <c r="F481" s="418">
        <v>0</v>
      </c>
      <c r="G481" s="420">
        <v>6200000</v>
      </c>
      <c r="H481" s="417" t="s">
        <v>2646</v>
      </c>
      <c r="I481" s="417" t="s">
        <v>28982</v>
      </c>
      <c r="J481" s="417"/>
      <c r="K481" s="417" t="s">
        <v>3335</v>
      </c>
      <c r="L481" s="417" t="s">
        <v>3331</v>
      </c>
      <c r="M481" s="417" t="s">
        <v>28422</v>
      </c>
    </row>
    <row r="482" spans="1:13" x14ac:dyDescent="0.25">
      <c r="A482" s="417" t="s">
        <v>28839</v>
      </c>
      <c r="B482" s="417" t="s">
        <v>28814</v>
      </c>
      <c r="C482" s="417" t="s">
        <v>28640</v>
      </c>
      <c r="D482" s="417" t="s">
        <v>88</v>
      </c>
      <c r="E482" s="418">
        <v>0</v>
      </c>
      <c r="F482" s="418">
        <v>0</v>
      </c>
      <c r="G482" s="420">
        <v>69000</v>
      </c>
      <c r="H482" s="417" t="s">
        <v>2646</v>
      </c>
      <c r="I482" s="417" t="s">
        <v>28982</v>
      </c>
      <c r="J482" s="417"/>
      <c r="K482" s="417" t="s">
        <v>3336</v>
      </c>
      <c r="L482" s="417" t="s">
        <v>3331</v>
      </c>
      <c r="M482" s="417" t="s">
        <v>28422</v>
      </c>
    </row>
    <row r="483" spans="1:13" x14ac:dyDescent="0.25">
      <c r="A483" s="417" t="s">
        <v>28839</v>
      </c>
      <c r="B483" s="417" t="s">
        <v>28814</v>
      </c>
      <c r="C483" s="417" t="s">
        <v>28641</v>
      </c>
      <c r="D483" s="417" t="s">
        <v>88</v>
      </c>
      <c r="E483" s="418">
        <v>0</v>
      </c>
      <c r="F483" s="418">
        <v>0</v>
      </c>
      <c r="G483" s="420">
        <v>2100000</v>
      </c>
      <c r="H483" s="417" t="s">
        <v>2646</v>
      </c>
      <c r="I483" s="417" t="s">
        <v>28982</v>
      </c>
      <c r="J483" s="417"/>
      <c r="K483" s="417" t="s">
        <v>3337</v>
      </c>
      <c r="L483" s="417" t="s">
        <v>3331</v>
      </c>
      <c r="M483" s="417" t="s">
        <v>28422</v>
      </c>
    </row>
    <row r="484" spans="1:13" x14ac:dyDescent="0.25">
      <c r="A484" s="417" t="s">
        <v>28839</v>
      </c>
      <c r="B484" s="417" t="s">
        <v>28814</v>
      </c>
      <c r="C484" s="417" t="s">
        <v>28642</v>
      </c>
      <c r="D484" s="417" t="s">
        <v>88</v>
      </c>
      <c r="E484" s="418">
        <v>0</v>
      </c>
      <c r="F484" s="418">
        <v>0</v>
      </c>
      <c r="G484" s="420">
        <v>8700000</v>
      </c>
      <c r="H484" s="417" t="s">
        <v>2646</v>
      </c>
      <c r="I484" s="417" t="s">
        <v>28982</v>
      </c>
      <c r="J484" s="417"/>
      <c r="K484" s="417" t="s">
        <v>3338</v>
      </c>
      <c r="L484" s="417" t="s">
        <v>3331</v>
      </c>
      <c r="M484" s="417" t="s">
        <v>28422</v>
      </c>
    </row>
    <row r="485" spans="1:13" x14ac:dyDescent="0.25">
      <c r="A485" s="417" t="s">
        <v>28839</v>
      </c>
      <c r="B485" s="417" t="s">
        <v>28814</v>
      </c>
      <c r="C485" s="417" t="s">
        <v>28643</v>
      </c>
      <c r="D485" s="417" t="s">
        <v>88</v>
      </c>
      <c r="E485" s="418">
        <v>0</v>
      </c>
      <c r="F485" s="418">
        <v>0</v>
      </c>
      <c r="G485" s="420">
        <v>12000</v>
      </c>
      <c r="H485" s="417" t="s">
        <v>2646</v>
      </c>
      <c r="I485" s="417" t="s">
        <v>28982</v>
      </c>
      <c r="J485" s="417"/>
      <c r="K485" s="417" t="s">
        <v>3339</v>
      </c>
      <c r="L485" s="417" t="s">
        <v>3331</v>
      </c>
      <c r="M485" s="417" t="s">
        <v>28422</v>
      </c>
    </row>
    <row r="486" spans="1:13" x14ac:dyDescent="0.25">
      <c r="A486" s="417" t="s">
        <v>28839</v>
      </c>
      <c r="B486" s="417" t="s">
        <v>28814</v>
      </c>
      <c r="C486" s="417" t="s">
        <v>28644</v>
      </c>
      <c r="D486" s="417" t="s">
        <v>88</v>
      </c>
      <c r="E486" s="418">
        <v>0</v>
      </c>
      <c r="F486" s="418">
        <v>0</v>
      </c>
      <c r="G486" s="420">
        <v>59000000</v>
      </c>
      <c r="H486" s="417" t="s">
        <v>2646</v>
      </c>
      <c r="I486" s="417" t="s">
        <v>28982</v>
      </c>
      <c r="J486" s="417"/>
      <c r="K486" s="417" t="s">
        <v>3340</v>
      </c>
      <c r="L486" s="417" t="s">
        <v>3331</v>
      </c>
      <c r="M486" s="417" t="s">
        <v>28422</v>
      </c>
    </row>
    <row r="487" spans="1:13" x14ac:dyDescent="0.25">
      <c r="A487" s="417" t="s">
        <v>28839</v>
      </c>
      <c r="B487" s="417" t="s">
        <v>28814</v>
      </c>
      <c r="C487" s="417" t="s">
        <v>28645</v>
      </c>
      <c r="D487" s="417" t="s">
        <v>88</v>
      </c>
      <c r="E487" s="418">
        <v>0</v>
      </c>
      <c r="F487" s="418">
        <v>0</v>
      </c>
      <c r="G487" s="420">
        <v>1100000</v>
      </c>
      <c r="H487" s="417" t="s">
        <v>2646</v>
      </c>
      <c r="I487" s="417" t="s">
        <v>28982</v>
      </c>
      <c r="J487" s="417"/>
      <c r="K487" s="417" t="s">
        <v>3341</v>
      </c>
      <c r="L487" s="417" t="s">
        <v>3331</v>
      </c>
      <c r="M487" s="417" t="s">
        <v>28422</v>
      </c>
    </row>
    <row r="488" spans="1:13" x14ac:dyDescent="0.25">
      <c r="A488" s="417" t="s">
        <v>28839</v>
      </c>
      <c r="B488" s="417" t="s">
        <v>28814</v>
      </c>
      <c r="C488" s="417" t="s">
        <v>28646</v>
      </c>
      <c r="D488" s="417" t="s">
        <v>88</v>
      </c>
      <c r="E488" s="418">
        <v>0</v>
      </c>
      <c r="F488" s="418">
        <v>0</v>
      </c>
      <c r="G488" s="420">
        <v>7300</v>
      </c>
      <c r="H488" s="417" t="s">
        <v>2646</v>
      </c>
      <c r="I488" s="417" t="s">
        <v>28982</v>
      </c>
      <c r="J488" s="417"/>
      <c r="K488" s="417" t="s">
        <v>3342</v>
      </c>
      <c r="L488" s="417" t="s">
        <v>3331</v>
      </c>
      <c r="M488" s="417" t="s">
        <v>28422</v>
      </c>
    </row>
    <row r="489" spans="1:13" x14ac:dyDescent="0.25">
      <c r="A489" s="417" t="s">
        <v>28839</v>
      </c>
      <c r="B489" s="417" t="s">
        <v>28814</v>
      </c>
      <c r="C489" s="417" t="s">
        <v>28647</v>
      </c>
      <c r="D489" s="417" t="s">
        <v>88</v>
      </c>
      <c r="E489" s="418">
        <v>0</v>
      </c>
      <c r="F489" s="418">
        <v>0</v>
      </c>
      <c r="G489" s="420">
        <v>230000</v>
      </c>
      <c r="H489" s="417" t="s">
        <v>2646</v>
      </c>
      <c r="I489" s="417" t="s">
        <v>28982</v>
      </c>
      <c r="J489" s="417"/>
      <c r="K489" s="417" t="s">
        <v>3343</v>
      </c>
      <c r="L489" s="417" t="s">
        <v>3331</v>
      </c>
      <c r="M489" s="417" t="s">
        <v>28422</v>
      </c>
    </row>
    <row r="490" spans="1:13" x14ac:dyDescent="0.25">
      <c r="A490" s="417" t="s">
        <v>28839</v>
      </c>
      <c r="B490" s="417" t="s">
        <v>28814</v>
      </c>
      <c r="C490" s="417" t="s">
        <v>28648</v>
      </c>
      <c r="D490" s="417" t="s">
        <v>88</v>
      </c>
      <c r="E490" s="418">
        <v>0</v>
      </c>
      <c r="F490" s="418">
        <v>0</v>
      </c>
      <c r="G490" s="420">
        <v>610</v>
      </c>
      <c r="H490" s="417" t="s">
        <v>2646</v>
      </c>
      <c r="I490" s="417" t="s">
        <v>28982</v>
      </c>
      <c r="J490" s="417"/>
      <c r="K490" s="417" t="s">
        <v>3344</v>
      </c>
      <c r="L490" s="417" t="s">
        <v>3331</v>
      </c>
      <c r="M490" s="417" t="s">
        <v>28422</v>
      </c>
    </row>
    <row r="491" spans="1:13" x14ac:dyDescent="0.25">
      <c r="A491" s="417" t="s">
        <v>28839</v>
      </c>
      <c r="B491" s="417" t="s">
        <v>28814</v>
      </c>
      <c r="C491" s="417" t="s">
        <v>28649</v>
      </c>
      <c r="D491" s="417" t="s">
        <v>88</v>
      </c>
      <c r="E491" s="418">
        <v>0</v>
      </c>
      <c r="F491" s="418">
        <v>0</v>
      </c>
      <c r="G491" s="420">
        <v>12000</v>
      </c>
      <c r="H491" s="417" t="s">
        <v>2646</v>
      </c>
      <c r="I491" s="417" t="s">
        <v>28982</v>
      </c>
      <c r="J491" s="417"/>
      <c r="K491" s="417" t="s">
        <v>3345</v>
      </c>
      <c r="L491" s="417" t="s">
        <v>3331</v>
      </c>
      <c r="M491" s="417" t="s">
        <v>28422</v>
      </c>
    </row>
    <row r="492" spans="1:13" x14ac:dyDescent="0.25">
      <c r="A492" s="417" t="s">
        <v>28839</v>
      </c>
      <c r="B492" s="417" t="s">
        <v>28814</v>
      </c>
      <c r="C492" s="417" t="s">
        <v>28650</v>
      </c>
      <c r="D492" s="417" t="s">
        <v>88</v>
      </c>
      <c r="E492" s="418">
        <v>0</v>
      </c>
      <c r="F492" s="418">
        <v>0</v>
      </c>
      <c r="G492" s="420">
        <v>220000</v>
      </c>
      <c r="H492" s="417" t="s">
        <v>2646</v>
      </c>
      <c r="I492" s="417" t="s">
        <v>28982</v>
      </c>
      <c r="J492" s="417"/>
      <c r="K492" s="417" t="s">
        <v>3346</v>
      </c>
      <c r="L492" s="417" t="s">
        <v>3331</v>
      </c>
      <c r="M492" s="417" t="s">
        <v>28422</v>
      </c>
    </row>
    <row r="493" spans="1:13" x14ac:dyDescent="0.25">
      <c r="A493" s="417" t="s">
        <v>28839</v>
      </c>
      <c r="B493" s="417" t="s">
        <v>28814</v>
      </c>
      <c r="C493" s="417" t="s">
        <v>28651</v>
      </c>
      <c r="D493" s="417" t="s">
        <v>88</v>
      </c>
      <c r="E493" s="418">
        <v>0</v>
      </c>
      <c r="F493" s="418">
        <v>0</v>
      </c>
      <c r="G493" s="420">
        <v>5500000</v>
      </c>
      <c r="H493" s="417" t="s">
        <v>2646</v>
      </c>
      <c r="I493" s="417" t="s">
        <v>28982</v>
      </c>
      <c r="J493" s="417"/>
      <c r="K493" s="417" t="s">
        <v>3347</v>
      </c>
      <c r="L493" s="417" t="s">
        <v>3331</v>
      </c>
      <c r="M493" s="417" t="s">
        <v>28422</v>
      </c>
    </row>
    <row r="494" spans="1:13" x14ac:dyDescent="0.25">
      <c r="A494" s="417" t="s">
        <v>28839</v>
      </c>
      <c r="B494" s="417" t="s">
        <v>28814</v>
      </c>
      <c r="C494" s="417" t="s">
        <v>28652</v>
      </c>
      <c r="D494" s="417" t="s">
        <v>88</v>
      </c>
      <c r="E494" s="418">
        <v>0</v>
      </c>
      <c r="F494" s="418">
        <v>0</v>
      </c>
      <c r="G494" s="420">
        <v>13000000</v>
      </c>
      <c r="H494" s="417" t="s">
        <v>2646</v>
      </c>
      <c r="I494" s="417" t="s">
        <v>28982</v>
      </c>
      <c r="J494" s="417"/>
      <c r="K494" s="417" t="s">
        <v>3348</v>
      </c>
      <c r="L494" s="417" t="s">
        <v>3331</v>
      </c>
      <c r="M494" s="417" t="s">
        <v>28422</v>
      </c>
    </row>
    <row r="495" spans="1:13" x14ac:dyDescent="0.25">
      <c r="A495" s="417" t="s">
        <v>28839</v>
      </c>
      <c r="B495" s="417" t="s">
        <v>28814</v>
      </c>
      <c r="C495" s="417" t="s">
        <v>28653</v>
      </c>
      <c r="D495" s="417" t="s">
        <v>88</v>
      </c>
      <c r="E495" s="418">
        <v>0</v>
      </c>
      <c r="F495" s="418">
        <v>0</v>
      </c>
      <c r="G495" s="420">
        <v>760000</v>
      </c>
      <c r="H495" s="417" t="s">
        <v>2646</v>
      </c>
      <c r="I495" s="417" t="s">
        <v>28982</v>
      </c>
      <c r="J495" s="417"/>
      <c r="K495" s="417" t="s">
        <v>3349</v>
      </c>
      <c r="L495" s="417" t="s">
        <v>3331</v>
      </c>
      <c r="M495" s="417" t="s">
        <v>28422</v>
      </c>
    </row>
    <row r="496" spans="1:13" x14ac:dyDescent="0.25">
      <c r="A496" s="417" t="s">
        <v>28839</v>
      </c>
      <c r="B496" s="417" t="s">
        <v>28814</v>
      </c>
      <c r="C496" s="417" t="s">
        <v>28654</v>
      </c>
      <c r="D496" s="417" t="s">
        <v>88</v>
      </c>
      <c r="E496" s="418">
        <v>0</v>
      </c>
      <c r="F496" s="418">
        <v>0</v>
      </c>
      <c r="G496" s="420">
        <v>270000</v>
      </c>
      <c r="H496" s="417" t="s">
        <v>2646</v>
      </c>
      <c r="I496" s="417" t="s">
        <v>28982</v>
      </c>
      <c r="J496" s="417"/>
      <c r="K496" s="417" t="s">
        <v>3350</v>
      </c>
      <c r="L496" s="417" t="s">
        <v>3331</v>
      </c>
      <c r="M496" s="417" t="s">
        <v>28422</v>
      </c>
    </row>
    <row r="497" spans="1:13" x14ac:dyDescent="0.25">
      <c r="A497" s="417" t="s">
        <v>28839</v>
      </c>
      <c r="B497" s="417" t="s">
        <v>28814</v>
      </c>
      <c r="C497" s="417" t="s">
        <v>28655</v>
      </c>
      <c r="D497" s="417" t="s">
        <v>88</v>
      </c>
      <c r="E497" s="418">
        <v>0</v>
      </c>
      <c r="F497" s="418">
        <v>0</v>
      </c>
      <c r="G497" s="420">
        <v>160000</v>
      </c>
      <c r="H497" s="417" t="s">
        <v>2646</v>
      </c>
      <c r="I497" s="417" t="s">
        <v>28982</v>
      </c>
      <c r="J497" s="417"/>
      <c r="K497" s="417" t="s">
        <v>3351</v>
      </c>
      <c r="L497" s="417" t="s">
        <v>3331</v>
      </c>
      <c r="M497" s="417" t="s">
        <v>28422</v>
      </c>
    </row>
    <row r="498" spans="1:13" x14ac:dyDescent="0.25">
      <c r="A498" s="417" t="s">
        <v>28839</v>
      </c>
      <c r="B498" s="417" t="s">
        <v>28814</v>
      </c>
      <c r="C498" s="417" t="s">
        <v>28656</v>
      </c>
      <c r="D498" s="417" t="s">
        <v>88</v>
      </c>
      <c r="E498" s="418">
        <v>0</v>
      </c>
      <c r="F498" s="418">
        <v>0</v>
      </c>
      <c r="G498" s="420">
        <v>12000</v>
      </c>
      <c r="H498" s="417" t="s">
        <v>2646</v>
      </c>
      <c r="I498" s="417" t="s">
        <v>28982</v>
      </c>
      <c r="J498" s="417"/>
      <c r="K498" s="417" t="s">
        <v>3352</v>
      </c>
      <c r="L498" s="417" t="s">
        <v>3331</v>
      </c>
      <c r="M498" s="417" t="s">
        <v>28422</v>
      </c>
    </row>
    <row r="499" spans="1:13" x14ac:dyDescent="0.25">
      <c r="A499" s="417" t="s">
        <v>28839</v>
      </c>
      <c r="B499" s="417" t="s">
        <v>28814</v>
      </c>
      <c r="C499" s="417" t="s">
        <v>28657</v>
      </c>
      <c r="D499" s="417" t="s">
        <v>88</v>
      </c>
      <c r="E499" s="418">
        <v>0</v>
      </c>
      <c r="F499" s="418">
        <v>0</v>
      </c>
      <c r="G499" s="420">
        <v>13000</v>
      </c>
      <c r="H499" s="417" t="s">
        <v>2646</v>
      </c>
      <c r="I499" s="417" t="s">
        <v>28982</v>
      </c>
      <c r="J499" s="417"/>
      <c r="K499" s="417" t="s">
        <v>3353</v>
      </c>
      <c r="L499" s="417" t="s">
        <v>3331</v>
      </c>
      <c r="M499" s="417" t="s">
        <v>28422</v>
      </c>
    </row>
    <row r="500" spans="1:13" x14ac:dyDescent="0.25">
      <c r="A500" s="417" t="s">
        <v>28839</v>
      </c>
      <c r="B500" s="417" t="s">
        <v>28814</v>
      </c>
      <c r="C500" s="417" t="s">
        <v>28658</v>
      </c>
      <c r="D500" s="417" t="s">
        <v>88</v>
      </c>
      <c r="E500" s="418">
        <v>0</v>
      </c>
      <c r="F500" s="418">
        <v>0</v>
      </c>
      <c r="G500" s="420">
        <v>9500</v>
      </c>
      <c r="H500" s="417" t="s">
        <v>2646</v>
      </c>
      <c r="I500" s="417" t="s">
        <v>28982</v>
      </c>
      <c r="J500" s="417"/>
      <c r="K500" s="417" t="s">
        <v>3354</v>
      </c>
      <c r="L500" s="417" t="s">
        <v>3331</v>
      </c>
      <c r="M500" s="417" t="s">
        <v>28422</v>
      </c>
    </row>
    <row r="501" spans="1:13" x14ac:dyDescent="0.25">
      <c r="A501" s="417" t="s">
        <v>28839</v>
      </c>
      <c r="B501" s="417" t="s">
        <v>28814</v>
      </c>
      <c r="C501" s="417" t="s">
        <v>28659</v>
      </c>
      <c r="D501" s="417" t="s">
        <v>88</v>
      </c>
      <c r="E501" s="418">
        <v>0</v>
      </c>
      <c r="F501" s="418">
        <v>0</v>
      </c>
      <c r="G501" s="420">
        <v>970000</v>
      </c>
      <c r="H501" s="417" t="s">
        <v>2646</v>
      </c>
      <c r="I501" s="417" t="s">
        <v>28982</v>
      </c>
      <c r="J501" s="417"/>
      <c r="K501" s="417" t="s">
        <v>3355</v>
      </c>
      <c r="L501" s="417" t="s">
        <v>3331</v>
      </c>
      <c r="M501" s="417" t="s">
        <v>28422</v>
      </c>
    </row>
    <row r="502" spans="1:13" x14ac:dyDescent="0.25">
      <c r="A502" s="417" t="s">
        <v>28839</v>
      </c>
      <c r="B502" s="417" t="s">
        <v>28814</v>
      </c>
      <c r="C502" s="417" t="s">
        <v>28660</v>
      </c>
      <c r="D502" s="417" t="s">
        <v>88</v>
      </c>
      <c r="E502" s="418">
        <v>0</v>
      </c>
      <c r="F502" s="418">
        <v>0</v>
      </c>
      <c r="G502" s="420">
        <v>36000</v>
      </c>
      <c r="H502" s="417" t="s">
        <v>2646</v>
      </c>
      <c r="I502" s="417" t="s">
        <v>28982</v>
      </c>
      <c r="J502" s="417"/>
      <c r="K502" s="417" t="s">
        <v>3356</v>
      </c>
      <c r="L502" s="417" t="s">
        <v>3331</v>
      </c>
      <c r="M502" s="417" t="s">
        <v>28422</v>
      </c>
    </row>
    <row r="503" spans="1:13" x14ac:dyDescent="0.25">
      <c r="A503" s="417" t="s">
        <v>28839</v>
      </c>
      <c r="B503" s="417" t="s">
        <v>28814</v>
      </c>
      <c r="C503" s="417" t="s">
        <v>28661</v>
      </c>
      <c r="D503" s="417" t="s">
        <v>88</v>
      </c>
      <c r="E503" s="418">
        <v>0</v>
      </c>
      <c r="F503" s="418">
        <v>0</v>
      </c>
      <c r="G503" s="420">
        <v>54000</v>
      </c>
      <c r="H503" s="417" t="s">
        <v>2646</v>
      </c>
      <c r="I503" s="417" t="s">
        <v>28982</v>
      </c>
      <c r="J503" s="417"/>
      <c r="K503" s="417" t="s">
        <v>3357</v>
      </c>
      <c r="L503" s="417" t="s">
        <v>3331</v>
      </c>
      <c r="M503" s="417" t="s">
        <v>28422</v>
      </c>
    </row>
    <row r="504" spans="1:13" x14ac:dyDescent="0.25">
      <c r="A504" s="417" t="s">
        <v>28839</v>
      </c>
      <c r="B504" s="417" t="s">
        <v>28814</v>
      </c>
      <c r="C504" s="417" t="s">
        <v>28662</v>
      </c>
      <c r="D504" s="417" t="s">
        <v>88</v>
      </c>
      <c r="E504" s="418">
        <v>0</v>
      </c>
      <c r="F504" s="418">
        <v>0</v>
      </c>
      <c r="G504" s="420">
        <v>75000000</v>
      </c>
      <c r="H504" s="417" t="s">
        <v>2646</v>
      </c>
      <c r="I504" s="417" t="s">
        <v>28982</v>
      </c>
      <c r="J504" s="417"/>
      <c r="K504" s="417" t="s">
        <v>3358</v>
      </c>
      <c r="L504" s="417" t="s">
        <v>3331</v>
      </c>
      <c r="M504" s="417" t="s">
        <v>28422</v>
      </c>
    </row>
    <row r="505" spans="1:13" x14ac:dyDescent="0.25">
      <c r="A505" s="417" t="s">
        <v>28839</v>
      </c>
      <c r="B505" s="417" t="s">
        <v>28814</v>
      </c>
      <c r="C505" s="417" t="s">
        <v>28663</v>
      </c>
      <c r="D505" s="417" t="s">
        <v>88</v>
      </c>
      <c r="E505" s="418">
        <v>0</v>
      </c>
      <c r="F505" s="418">
        <v>0</v>
      </c>
      <c r="G505" s="420">
        <v>250000000</v>
      </c>
      <c r="H505" s="417" t="s">
        <v>2646</v>
      </c>
      <c r="I505" s="417" t="s">
        <v>28982</v>
      </c>
      <c r="J505" s="417"/>
      <c r="K505" s="417" t="s">
        <v>3359</v>
      </c>
      <c r="L505" s="417" t="s">
        <v>3331</v>
      </c>
      <c r="M505" s="417" t="s">
        <v>28422</v>
      </c>
    </row>
    <row r="506" spans="1:13" x14ac:dyDescent="0.25">
      <c r="A506" s="417" t="s">
        <v>28839</v>
      </c>
      <c r="B506" s="417" t="s">
        <v>28814</v>
      </c>
      <c r="C506" s="417" t="s">
        <v>28664</v>
      </c>
      <c r="D506" s="417" t="s">
        <v>88</v>
      </c>
      <c r="E506" s="418">
        <v>0</v>
      </c>
      <c r="F506" s="418">
        <v>0</v>
      </c>
      <c r="G506" s="420">
        <v>1600</v>
      </c>
      <c r="H506" s="417" t="s">
        <v>2646</v>
      </c>
      <c r="I506" s="417" t="s">
        <v>28982</v>
      </c>
      <c r="J506" s="417"/>
      <c r="K506" s="417" t="s">
        <v>3360</v>
      </c>
      <c r="L506" s="417" t="s">
        <v>3331</v>
      </c>
      <c r="M506" s="417" t="s">
        <v>28422</v>
      </c>
    </row>
    <row r="507" spans="1:13" x14ac:dyDescent="0.25">
      <c r="A507" s="417" t="s">
        <v>28839</v>
      </c>
      <c r="B507" s="417" t="s">
        <v>28814</v>
      </c>
      <c r="C507" s="417" t="s">
        <v>28665</v>
      </c>
      <c r="D507" s="417" t="s">
        <v>88</v>
      </c>
      <c r="E507" s="418">
        <v>0</v>
      </c>
      <c r="F507" s="418">
        <v>0</v>
      </c>
      <c r="G507" s="420">
        <v>1700000</v>
      </c>
      <c r="H507" s="417" t="s">
        <v>2646</v>
      </c>
      <c r="I507" s="417" t="s">
        <v>28982</v>
      </c>
      <c r="J507" s="417"/>
      <c r="K507" s="417" t="s">
        <v>3361</v>
      </c>
      <c r="L507" s="417" t="s">
        <v>3331</v>
      </c>
      <c r="M507" s="417" t="s">
        <v>28422</v>
      </c>
    </row>
    <row r="508" spans="1:13" x14ac:dyDescent="0.25">
      <c r="A508" s="417" t="s">
        <v>28839</v>
      </c>
      <c r="B508" s="417" t="s">
        <v>28814</v>
      </c>
      <c r="C508" s="417" t="s">
        <v>28666</v>
      </c>
      <c r="D508" s="417" t="s">
        <v>88</v>
      </c>
      <c r="E508" s="418">
        <v>0</v>
      </c>
      <c r="F508" s="418">
        <v>0</v>
      </c>
      <c r="G508" s="420">
        <v>4200</v>
      </c>
      <c r="H508" s="417" t="s">
        <v>2646</v>
      </c>
      <c r="I508" s="417" t="s">
        <v>28982</v>
      </c>
      <c r="J508" s="417"/>
      <c r="K508" s="417" t="s">
        <v>3362</v>
      </c>
      <c r="L508" s="417" t="s">
        <v>3331</v>
      </c>
      <c r="M508" s="417" t="s">
        <v>28422</v>
      </c>
    </row>
    <row r="509" spans="1:13" x14ac:dyDescent="0.25">
      <c r="A509" s="417" t="s">
        <v>28839</v>
      </c>
      <c r="B509" s="417" t="s">
        <v>28814</v>
      </c>
      <c r="C509" s="417" t="s">
        <v>28667</v>
      </c>
      <c r="D509" s="417" t="s">
        <v>88</v>
      </c>
      <c r="E509" s="418">
        <v>0</v>
      </c>
      <c r="F509" s="418">
        <v>0</v>
      </c>
      <c r="G509" s="420">
        <v>12000</v>
      </c>
      <c r="H509" s="417" t="s">
        <v>2646</v>
      </c>
      <c r="I509" s="417" t="s">
        <v>28982</v>
      </c>
      <c r="J509" s="417"/>
      <c r="K509" s="417" t="s">
        <v>3363</v>
      </c>
      <c r="L509" s="417" t="s">
        <v>3331</v>
      </c>
      <c r="M509" s="417" t="s">
        <v>28422</v>
      </c>
    </row>
    <row r="510" spans="1:13" x14ac:dyDescent="0.25">
      <c r="A510" s="417" t="s">
        <v>28839</v>
      </c>
      <c r="B510" s="417" t="s">
        <v>28814</v>
      </c>
      <c r="C510" s="417" t="s">
        <v>28668</v>
      </c>
      <c r="D510" s="417" t="s">
        <v>88</v>
      </c>
      <c r="E510" s="418">
        <v>0</v>
      </c>
      <c r="F510" s="418">
        <v>0</v>
      </c>
      <c r="G510" s="420">
        <v>19000000</v>
      </c>
      <c r="H510" s="417" t="s">
        <v>2646</v>
      </c>
      <c r="I510" s="417" t="s">
        <v>28982</v>
      </c>
      <c r="J510" s="417"/>
      <c r="K510" s="417" t="s">
        <v>3364</v>
      </c>
      <c r="L510" s="417" t="s">
        <v>3331</v>
      </c>
      <c r="M510" s="417" t="s">
        <v>28422</v>
      </c>
    </row>
    <row r="511" spans="1:13" x14ac:dyDescent="0.25">
      <c r="A511" s="417" t="s">
        <v>28839</v>
      </c>
      <c r="B511" s="417" t="s">
        <v>28814</v>
      </c>
      <c r="C511" s="417" t="s">
        <v>28669</v>
      </c>
      <c r="D511" s="417" t="s">
        <v>88</v>
      </c>
      <c r="E511" s="418">
        <v>0</v>
      </c>
      <c r="F511" s="418">
        <v>0</v>
      </c>
      <c r="G511" s="420">
        <v>5200000</v>
      </c>
      <c r="H511" s="417" t="s">
        <v>2646</v>
      </c>
      <c r="I511" s="417" t="s">
        <v>28982</v>
      </c>
      <c r="J511" s="417"/>
      <c r="K511" s="417" t="s">
        <v>3365</v>
      </c>
      <c r="L511" s="417" t="s">
        <v>3331</v>
      </c>
      <c r="M511" s="417" t="s">
        <v>28422</v>
      </c>
    </row>
    <row r="512" spans="1:13" x14ac:dyDescent="0.25">
      <c r="A512" s="417" t="s">
        <v>28839</v>
      </c>
      <c r="B512" s="417" t="s">
        <v>28814</v>
      </c>
      <c r="C512" s="417" t="s">
        <v>28670</v>
      </c>
      <c r="D512" s="417" t="s">
        <v>88</v>
      </c>
      <c r="E512" s="418">
        <v>0</v>
      </c>
      <c r="F512" s="418">
        <v>0</v>
      </c>
      <c r="G512" s="420">
        <v>120000</v>
      </c>
      <c r="H512" s="417" t="s">
        <v>2646</v>
      </c>
      <c r="I512" s="417" t="s">
        <v>28982</v>
      </c>
      <c r="J512" s="417"/>
      <c r="K512" s="417" t="s">
        <v>3366</v>
      </c>
      <c r="L512" s="417" t="s">
        <v>3331</v>
      </c>
      <c r="M512" s="417" t="s">
        <v>28422</v>
      </c>
    </row>
    <row r="513" spans="1:13" x14ac:dyDescent="0.25">
      <c r="A513" s="417" t="s">
        <v>28839</v>
      </c>
      <c r="B513" s="417" t="s">
        <v>28814</v>
      </c>
      <c r="C513" s="417" t="s">
        <v>28671</v>
      </c>
      <c r="D513" s="417" t="s">
        <v>88</v>
      </c>
      <c r="E513" s="418">
        <v>0</v>
      </c>
      <c r="F513" s="418">
        <v>0</v>
      </c>
      <c r="G513" s="420">
        <v>620</v>
      </c>
      <c r="H513" s="417" t="s">
        <v>2646</v>
      </c>
      <c r="I513" s="417" t="s">
        <v>28982</v>
      </c>
      <c r="J513" s="417"/>
      <c r="K513" s="417" t="s">
        <v>3367</v>
      </c>
      <c r="L513" s="417" t="s">
        <v>3331</v>
      </c>
      <c r="M513" s="417" t="s">
        <v>28422</v>
      </c>
    </row>
    <row r="514" spans="1:13" x14ac:dyDescent="0.25">
      <c r="A514" s="417" t="s">
        <v>28839</v>
      </c>
      <c r="B514" s="417" t="s">
        <v>28814</v>
      </c>
      <c r="C514" s="417" t="s">
        <v>28672</v>
      </c>
      <c r="D514" s="417" t="s">
        <v>88</v>
      </c>
      <c r="E514" s="418">
        <v>0</v>
      </c>
      <c r="F514" s="418">
        <v>0</v>
      </c>
      <c r="G514" s="420">
        <v>9200000000000</v>
      </c>
      <c r="H514" s="417" t="s">
        <v>2646</v>
      </c>
      <c r="I514" s="417" t="s">
        <v>28982</v>
      </c>
      <c r="J514" s="417"/>
      <c r="K514" s="417" t="s">
        <v>3368</v>
      </c>
      <c r="L514" s="417" t="s">
        <v>3331</v>
      </c>
      <c r="M514" s="417" t="s">
        <v>28422</v>
      </c>
    </row>
    <row r="515" spans="1:13" x14ac:dyDescent="0.25">
      <c r="A515" s="417" t="s">
        <v>28839</v>
      </c>
      <c r="B515" s="417" t="s">
        <v>28814</v>
      </c>
      <c r="C515" s="417" t="s">
        <v>28673</v>
      </c>
      <c r="D515" s="417" t="s">
        <v>88</v>
      </c>
      <c r="E515" s="418">
        <v>0</v>
      </c>
      <c r="F515" s="418">
        <v>0</v>
      </c>
      <c r="G515" s="420">
        <v>3300000000</v>
      </c>
      <c r="H515" s="417" t="s">
        <v>2646</v>
      </c>
      <c r="I515" s="417" t="s">
        <v>28982</v>
      </c>
      <c r="J515" s="417"/>
      <c r="K515" s="417" t="s">
        <v>3369</v>
      </c>
      <c r="L515" s="417" t="s">
        <v>3331</v>
      </c>
      <c r="M515" s="417" t="s">
        <v>28422</v>
      </c>
    </row>
    <row r="516" spans="1:13" x14ac:dyDescent="0.25">
      <c r="A516" s="417" t="s">
        <v>28839</v>
      </c>
      <c r="B516" s="417" t="s">
        <v>28814</v>
      </c>
      <c r="C516" s="417" t="s">
        <v>28674</v>
      </c>
      <c r="D516" s="417" t="s">
        <v>88</v>
      </c>
      <c r="E516" s="418">
        <v>0</v>
      </c>
      <c r="F516" s="418">
        <v>0</v>
      </c>
      <c r="G516" s="420">
        <v>12000</v>
      </c>
      <c r="H516" s="417" t="s">
        <v>2646</v>
      </c>
      <c r="I516" s="417" t="s">
        <v>28982</v>
      </c>
      <c r="J516" s="417"/>
      <c r="K516" s="417" t="s">
        <v>3370</v>
      </c>
      <c r="L516" s="417" t="s">
        <v>3331</v>
      </c>
      <c r="M516" s="417" t="s">
        <v>28422</v>
      </c>
    </row>
    <row r="517" spans="1:13" x14ac:dyDescent="0.25">
      <c r="A517" s="417" t="s">
        <v>28839</v>
      </c>
      <c r="B517" s="417" t="s">
        <v>28814</v>
      </c>
      <c r="C517" s="417" t="s">
        <v>28675</v>
      </c>
      <c r="D517" s="417" t="s">
        <v>88</v>
      </c>
      <c r="E517" s="418">
        <v>0</v>
      </c>
      <c r="F517" s="418">
        <v>0</v>
      </c>
      <c r="G517" s="420">
        <v>12000</v>
      </c>
      <c r="H517" s="417" t="s">
        <v>2646</v>
      </c>
      <c r="I517" s="417" t="s">
        <v>28982</v>
      </c>
      <c r="J517" s="417"/>
      <c r="K517" s="417" t="s">
        <v>3371</v>
      </c>
      <c r="L517" s="417" t="s">
        <v>3331</v>
      </c>
      <c r="M517" s="417" t="s">
        <v>28422</v>
      </c>
    </row>
    <row r="518" spans="1:13" x14ac:dyDescent="0.25">
      <c r="A518" s="417" t="s">
        <v>28839</v>
      </c>
      <c r="B518" s="417" t="s">
        <v>28814</v>
      </c>
      <c r="C518" s="417" t="s">
        <v>28676</v>
      </c>
      <c r="D518" s="417" t="s">
        <v>88</v>
      </c>
      <c r="E518" s="418">
        <v>0</v>
      </c>
      <c r="F518" s="418">
        <v>0</v>
      </c>
      <c r="G518" s="420">
        <v>19000000</v>
      </c>
      <c r="H518" s="417" t="s">
        <v>2646</v>
      </c>
      <c r="I518" s="417" t="s">
        <v>28982</v>
      </c>
      <c r="J518" s="417"/>
      <c r="K518" s="417" t="s">
        <v>3372</v>
      </c>
      <c r="L518" s="417" t="s">
        <v>3331</v>
      </c>
      <c r="M518" s="417" t="s">
        <v>28422</v>
      </c>
    </row>
    <row r="519" spans="1:13" x14ac:dyDescent="0.25">
      <c r="A519" s="417" t="s">
        <v>28839</v>
      </c>
      <c r="B519" s="417" t="s">
        <v>28814</v>
      </c>
      <c r="C519" s="417" t="s">
        <v>28677</v>
      </c>
      <c r="D519" s="417" t="s">
        <v>88</v>
      </c>
      <c r="E519" s="418">
        <v>0</v>
      </c>
      <c r="F519" s="418">
        <v>0</v>
      </c>
      <c r="G519" s="420">
        <v>720000000</v>
      </c>
      <c r="H519" s="417" t="s">
        <v>2646</v>
      </c>
      <c r="I519" s="417" t="s">
        <v>28982</v>
      </c>
      <c r="J519" s="417"/>
      <c r="K519" s="417" t="s">
        <v>3373</v>
      </c>
      <c r="L519" s="417" t="s">
        <v>3331</v>
      </c>
      <c r="M519" s="417" t="s">
        <v>28422</v>
      </c>
    </row>
    <row r="520" spans="1:13" x14ac:dyDescent="0.25">
      <c r="A520" s="417" t="s">
        <v>28839</v>
      </c>
      <c r="B520" s="417" t="s">
        <v>28814</v>
      </c>
      <c r="C520" s="417" t="s">
        <v>28678</v>
      </c>
      <c r="D520" s="417" t="s">
        <v>88</v>
      </c>
      <c r="E520" s="418">
        <v>0</v>
      </c>
      <c r="F520" s="418">
        <v>0</v>
      </c>
      <c r="G520" s="420">
        <v>4300000</v>
      </c>
      <c r="H520" s="417" t="s">
        <v>2646</v>
      </c>
      <c r="I520" s="417" t="s">
        <v>28982</v>
      </c>
      <c r="J520" s="417"/>
      <c r="K520" s="417" t="s">
        <v>3374</v>
      </c>
      <c r="L520" s="417" t="s">
        <v>3331</v>
      </c>
      <c r="M520" s="417" t="s">
        <v>28422</v>
      </c>
    </row>
    <row r="521" spans="1:13" x14ac:dyDescent="0.25">
      <c r="A521" s="417" t="s">
        <v>28839</v>
      </c>
      <c r="B521" s="417" t="s">
        <v>28814</v>
      </c>
      <c r="C521" s="417" t="s">
        <v>28679</v>
      </c>
      <c r="D521" s="417" t="s">
        <v>88</v>
      </c>
      <c r="E521" s="418">
        <v>0</v>
      </c>
      <c r="F521" s="418">
        <v>0</v>
      </c>
      <c r="G521" s="420">
        <v>12000</v>
      </c>
      <c r="H521" s="417" t="s">
        <v>2646</v>
      </c>
      <c r="I521" s="417" t="s">
        <v>28982</v>
      </c>
      <c r="J521" s="417"/>
      <c r="K521" s="417" t="s">
        <v>3375</v>
      </c>
      <c r="L521" s="417" t="s">
        <v>3331</v>
      </c>
      <c r="M521" s="417" t="s">
        <v>28422</v>
      </c>
    </row>
    <row r="522" spans="1:13" x14ac:dyDescent="0.25">
      <c r="A522" s="417" t="s">
        <v>28839</v>
      </c>
      <c r="B522" s="417" t="s">
        <v>28814</v>
      </c>
      <c r="C522" s="417" t="s">
        <v>28680</v>
      </c>
      <c r="D522" s="417" t="s">
        <v>88</v>
      </c>
      <c r="E522" s="418">
        <v>0</v>
      </c>
      <c r="F522" s="418">
        <v>0</v>
      </c>
      <c r="G522" s="420">
        <v>33000</v>
      </c>
      <c r="H522" s="417" t="s">
        <v>2646</v>
      </c>
      <c r="I522" s="417" t="s">
        <v>28982</v>
      </c>
      <c r="J522" s="417"/>
      <c r="K522" s="417" t="s">
        <v>3376</v>
      </c>
      <c r="L522" s="417" t="s">
        <v>3331</v>
      </c>
      <c r="M522" s="417" t="s">
        <v>28422</v>
      </c>
    </row>
    <row r="523" spans="1:13" x14ac:dyDescent="0.25">
      <c r="A523" s="417" t="s">
        <v>28839</v>
      </c>
      <c r="B523" s="417" t="s">
        <v>28814</v>
      </c>
      <c r="C523" s="417" t="s">
        <v>28681</v>
      </c>
      <c r="D523" s="417" t="s">
        <v>88</v>
      </c>
      <c r="E523" s="418">
        <v>0</v>
      </c>
      <c r="F523" s="418">
        <v>0</v>
      </c>
      <c r="G523" s="420">
        <v>12000</v>
      </c>
      <c r="H523" s="417" t="s">
        <v>2646</v>
      </c>
      <c r="I523" s="417" t="s">
        <v>28982</v>
      </c>
      <c r="J523" s="417"/>
      <c r="K523" s="417" t="s">
        <v>3377</v>
      </c>
      <c r="L523" s="417" t="s">
        <v>3331</v>
      </c>
      <c r="M523" s="417" t="s">
        <v>28422</v>
      </c>
    </row>
    <row r="524" spans="1:13" x14ac:dyDescent="0.25">
      <c r="A524" s="417" t="s">
        <v>28839</v>
      </c>
      <c r="B524" s="417" t="s">
        <v>28814</v>
      </c>
      <c r="C524" s="417" t="s">
        <v>28682</v>
      </c>
      <c r="D524" s="417" t="s">
        <v>88</v>
      </c>
      <c r="E524" s="418">
        <v>0</v>
      </c>
      <c r="F524" s="418">
        <v>0</v>
      </c>
      <c r="G524" s="420">
        <v>6100000</v>
      </c>
      <c r="H524" s="417" t="s">
        <v>2646</v>
      </c>
      <c r="I524" s="417" t="s">
        <v>28982</v>
      </c>
      <c r="J524" s="417"/>
      <c r="K524" s="417" t="s">
        <v>3378</v>
      </c>
      <c r="L524" s="417" t="s">
        <v>3331</v>
      </c>
      <c r="M524" s="417" t="s">
        <v>28422</v>
      </c>
    </row>
    <row r="525" spans="1:13" x14ac:dyDescent="0.25">
      <c r="A525" s="417" t="s">
        <v>28839</v>
      </c>
      <c r="B525" s="417" t="s">
        <v>28814</v>
      </c>
      <c r="C525" s="417" t="s">
        <v>28683</v>
      </c>
      <c r="D525" s="417" t="s">
        <v>88</v>
      </c>
      <c r="E525" s="418">
        <v>0</v>
      </c>
      <c r="F525" s="418">
        <v>0</v>
      </c>
      <c r="G525" s="420">
        <v>7.6</v>
      </c>
      <c r="H525" s="417" t="s">
        <v>2646</v>
      </c>
      <c r="I525" s="417" t="s">
        <v>28982</v>
      </c>
      <c r="J525" s="417"/>
      <c r="K525" s="417" t="s">
        <v>3379</v>
      </c>
      <c r="L525" s="417" t="s">
        <v>3331</v>
      </c>
      <c r="M525" s="417" t="s">
        <v>28422</v>
      </c>
    </row>
    <row r="526" spans="1:13" x14ac:dyDescent="0.25">
      <c r="A526" s="417" t="s">
        <v>28839</v>
      </c>
      <c r="B526" s="417" t="s">
        <v>28814</v>
      </c>
      <c r="C526" s="417" t="s">
        <v>28684</v>
      </c>
      <c r="D526" s="417" t="s">
        <v>88</v>
      </c>
      <c r="E526" s="418">
        <v>0</v>
      </c>
      <c r="F526" s="418">
        <v>0</v>
      </c>
      <c r="G526" s="420">
        <v>12000</v>
      </c>
      <c r="H526" s="417" t="s">
        <v>2646</v>
      </c>
      <c r="I526" s="417" t="s">
        <v>28982</v>
      </c>
      <c r="J526" s="417"/>
      <c r="K526" s="417" t="s">
        <v>3380</v>
      </c>
      <c r="L526" s="417" t="s">
        <v>3331</v>
      </c>
      <c r="M526" s="417" t="s">
        <v>28422</v>
      </c>
    </row>
    <row r="527" spans="1:13" x14ac:dyDescent="0.25">
      <c r="A527" s="417" t="s">
        <v>28839</v>
      </c>
      <c r="B527" s="417" t="s">
        <v>28814</v>
      </c>
      <c r="C527" s="417" t="s">
        <v>28685</v>
      </c>
      <c r="D527" s="417" t="s">
        <v>88</v>
      </c>
      <c r="E527" s="418">
        <v>0</v>
      </c>
      <c r="F527" s="418">
        <v>0</v>
      </c>
      <c r="G527" s="420">
        <v>16000</v>
      </c>
      <c r="H527" s="417" t="s">
        <v>2646</v>
      </c>
      <c r="I527" s="417" t="s">
        <v>28982</v>
      </c>
      <c r="J527" s="417"/>
      <c r="K527" s="417" t="s">
        <v>3381</v>
      </c>
      <c r="L527" s="417" t="s">
        <v>3331</v>
      </c>
      <c r="M527" s="417" t="s">
        <v>28422</v>
      </c>
    </row>
    <row r="528" spans="1:13" x14ac:dyDescent="0.25">
      <c r="A528" s="417" t="s">
        <v>28839</v>
      </c>
      <c r="B528" s="417" t="s">
        <v>28814</v>
      </c>
      <c r="C528" s="417" t="s">
        <v>28686</v>
      </c>
      <c r="D528" s="417" t="s">
        <v>88</v>
      </c>
      <c r="E528" s="418">
        <v>0</v>
      </c>
      <c r="F528" s="418">
        <v>0</v>
      </c>
      <c r="G528" s="420">
        <v>14000000</v>
      </c>
      <c r="H528" s="417" t="s">
        <v>2646</v>
      </c>
      <c r="I528" s="417" t="s">
        <v>28982</v>
      </c>
      <c r="J528" s="417"/>
      <c r="K528" s="417" t="s">
        <v>3382</v>
      </c>
      <c r="L528" s="417" t="s">
        <v>3331</v>
      </c>
      <c r="M528" s="417" t="s">
        <v>28422</v>
      </c>
    </row>
    <row r="529" spans="1:14" x14ac:dyDescent="0.25">
      <c r="A529" s="417" t="s">
        <v>28839</v>
      </c>
      <c r="B529" s="417" t="s">
        <v>28814</v>
      </c>
      <c r="C529" s="417" t="s">
        <v>28687</v>
      </c>
      <c r="D529" s="417" t="s">
        <v>88</v>
      </c>
      <c r="E529" s="418">
        <v>0</v>
      </c>
      <c r="F529" s="418">
        <v>0</v>
      </c>
      <c r="G529" s="420">
        <v>4700000</v>
      </c>
      <c r="H529" s="417" t="s">
        <v>2646</v>
      </c>
      <c r="I529" s="417" t="s">
        <v>28982</v>
      </c>
      <c r="J529" s="417"/>
      <c r="K529" s="417" t="s">
        <v>3383</v>
      </c>
      <c r="L529" s="417" t="s">
        <v>3331</v>
      </c>
      <c r="M529" s="417" t="s">
        <v>28422</v>
      </c>
    </row>
    <row r="530" spans="1:14" x14ac:dyDescent="0.25">
      <c r="A530" s="417" t="s">
        <v>28839</v>
      </c>
      <c r="B530" s="417" t="s">
        <v>28814</v>
      </c>
      <c r="C530" s="417" t="s">
        <v>28688</v>
      </c>
      <c r="D530" s="417" t="s">
        <v>88</v>
      </c>
      <c r="E530" s="418">
        <v>0</v>
      </c>
      <c r="F530" s="418">
        <v>0</v>
      </c>
      <c r="G530" s="420">
        <v>61000</v>
      </c>
      <c r="H530" s="417" t="s">
        <v>2646</v>
      </c>
      <c r="I530" s="417" t="s">
        <v>28982</v>
      </c>
      <c r="J530" s="417"/>
      <c r="K530" s="417" t="s">
        <v>3384</v>
      </c>
      <c r="L530" s="417" t="s">
        <v>3331</v>
      </c>
      <c r="M530" s="417" t="s">
        <v>28422</v>
      </c>
    </row>
    <row r="531" spans="1:14" x14ac:dyDescent="0.25">
      <c r="A531" s="417" t="s">
        <v>28839</v>
      </c>
      <c r="B531" s="417" t="s">
        <v>28814</v>
      </c>
      <c r="C531" s="417" t="s">
        <v>28619</v>
      </c>
      <c r="D531" s="417" t="s">
        <v>88</v>
      </c>
      <c r="E531" s="418">
        <v>0</v>
      </c>
      <c r="F531" s="418">
        <v>0</v>
      </c>
      <c r="G531" s="420">
        <v>2200000</v>
      </c>
      <c r="H531" s="417" t="s">
        <v>2646</v>
      </c>
      <c r="I531" s="417" t="s">
        <v>28982</v>
      </c>
      <c r="J531" s="417"/>
      <c r="K531" s="417" t="s">
        <v>28733</v>
      </c>
      <c r="L531" s="417" t="s">
        <v>3331</v>
      </c>
      <c r="M531" s="417" t="s">
        <v>28745</v>
      </c>
    </row>
    <row r="532" spans="1:14" x14ac:dyDescent="0.25">
      <c r="A532" s="417" t="s">
        <v>28839</v>
      </c>
      <c r="B532" s="417" t="s">
        <v>28814</v>
      </c>
      <c r="C532" s="417" t="s">
        <v>28620</v>
      </c>
      <c r="D532" s="417" t="s">
        <v>88</v>
      </c>
      <c r="E532" s="418">
        <v>0</v>
      </c>
      <c r="F532" s="418">
        <v>0</v>
      </c>
      <c r="G532" s="420">
        <v>770000</v>
      </c>
      <c r="H532" s="417" t="s">
        <v>2646</v>
      </c>
      <c r="I532" s="417" t="s">
        <v>28982</v>
      </c>
      <c r="J532" s="417"/>
      <c r="K532" s="417" t="s">
        <v>28734</v>
      </c>
      <c r="L532" s="417" t="s">
        <v>3331</v>
      </c>
      <c r="M532" s="417" t="s">
        <v>28745</v>
      </c>
    </row>
    <row r="533" spans="1:14" x14ac:dyDescent="0.25">
      <c r="A533" s="417" t="s">
        <v>28839</v>
      </c>
      <c r="B533" s="417" t="s">
        <v>28814</v>
      </c>
      <c r="C533" s="417" t="s">
        <v>28621</v>
      </c>
      <c r="D533" s="417" t="s">
        <v>88</v>
      </c>
      <c r="E533" s="418">
        <v>0</v>
      </c>
      <c r="F533" s="418">
        <v>0</v>
      </c>
      <c r="G533" s="420">
        <v>37000000</v>
      </c>
      <c r="H533" s="417" t="s">
        <v>2646</v>
      </c>
      <c r="I533" s="417" t="s">
        <v>28982</v>
      </c>
      <c r="J533" s="417"/>
      <c r="K533" s="417" t="s">
        <v>28735</v>
      </c>
      <c r="L533" s="417" t="s">
        <v>3331</v>
      </c>
      <c r="M533" s="417" t="s">
        <v>28745</v>
      </c>
    </row>
    <row r="534" spans="1:14" x14ac:dyDescent="0.25">
      <c r="A534" s="417" t="s">
        <v>28839</v>
      </c>
      <c r="B534" s="417" t="s">
        <v>28814</v>
      </c>
      <c r="C534" s="417" t="s">
        <v>28689</v>
      </c>
      <c r="D534" s="417" t="s">
        <v>88</v>
      </c>
      <c r="E534" s="418">
        <v>0</v>
      </c>
      <c r="F534" s="418">
        <v>0</v>
      </c>
      <c r="G534" s="420">
        <v>29000</v>
      </c>
      <c r="H534" s="417" t="s">
        <v>2646</v>
      </c>
      <c r="I534" s="417" t="s">
        <v>28982</v>
      </c>
      <c r="J534" s="417"/>
      <c r="K534" s="417" t="s">
        <v>28736</v>
      </c>
      <c r="L534" s="417" t="s">
        <v>3331</v>
      </c>
      <c r="M534" s="417" t="s">
        <v>28745</v>
      </c>
    </row>
    <row r="535" spans="1:14" x14ac:dyDescent="0.25">
      <c r="A535" s="417" t="s">
        <v>28839</v>
      </c>
      <c r="B535" s="417" t="s">
        <v>28814</v>
      </c>
      <c r="C535" s="417" t="s">
        <v>28622</v>
      </c>
      <c r="D535" s="417" t="s">
        <v>88</v>
      </c>
      <c r="E535" s="418">
        <v>0</v>
      </c>
      <c r="F535" s="418">
        <v>0</v>
      </c>
      <c r="G535" s="420">
        <v>9300</v>
      </c>
      <c r="H535" s="417" t="s">
        <v>2646</v>
      </c>
      <c r="I535" s="417" t="s">
        <v>28982</v>
      </c>
      <c r="J535" s="417"/>
      <c r="K535" s="417" t="s">
        <v>28737</v>
      </c>
      <c r="L535" s="417" t="s">
        <v>3331</v>
      </c>
      <c r="M535" s="417" t="s">
        <v>28745</v>
      </c>
    </row>
    <row r="536" spans="1:14" x14ac:dyDescent="0.25">
      <c r="A536" s="417" t="s">
        <v>28839</v>
      </c>
      <c r="B536" s="417" t="s">
        <v>28814</v>
      </c>
      <c r="C536" s="417" t="s">
        <v>28623</v>
      </c>
      <c r="D536" s="417" t="s">
        <v>88</v>
      </c>
      <c r="E536" s="418">
        <v>0</v>
      </c>
      <c r="F536" s="418">
        <v>0</v>
      </c>
      <c r="G536" s="420">
        <v>280000</v>
      </c>
      <c r="H536" s="417" t="s">
        <v>2646</v>
      </c>
      <c r="I536" s="417" t="s">
        <v>28982</v>
      </c>
      <c r="J536" s="417"/>
      <c r="K536" s="417" t="s">
        <v>28738</v>
      </c>
      <c r="L536" s="417" t="s">
        <v>3331</v>
      </c>
      <c r="M536" s="417" t="s">
        <v>28745</v>
      </c>
    </row>
    <row r="537" spans="1:14" x14ac:dyDescent="0.25">
      <c r="A537" s="417" t="s">
        <v>28839</v>
      </c>
      <c r="B537" s="417" t="s">
        <v>28814</v>
      </c>
      <c r="C537" s="417" t="s">
        <v>28624</v>
      </c>
      <c r="D537" s="417" t="s">
        <v>88</v>
      </c>
      <c r="E537" s="418">
        <v>0</v>
      </c>
      <c r="F537" s="418">
        <v>0</v>
      </c>
      <c r="G537" s="420">
        <v>5000000</v>
      </c>
      <c r="H537" s="417" t="s">
        <v>2646</v>
      </c>
      <c r="I537" s="417" t="s">
        <v>28982</v>
      </c>
      <c r="J537" s="417"/>
      <c r="K537" s="417" t="s">
        <v>28739</v>
      </c>
      <c r="L537" s="417" t="s">
        <v>3331</v>
      </c>
      <c r="M537" s="417" t="s">
        <v>28745</v>
      </c>
    </row>
    <row r="538" spans="1:14" x14ac:dyDescent="0.25">
      <c r="A538" s="417" t="s">
        <v>28839</v>
      </c>
      <c r="B538" s="417" t="s">
        <v>28814</v>
      </c>
      <c r="C538" s="417" t="s">
        <v>28625</v>
      </c>
      <c r="D538" s="417" t="s">
        <v>88</v>
      </c>
      <c r="E538" s="418">
        <v>0</v>
      </c>
      <c r="F538" s="418">
        <v>0</v>
      </c>
      <c r="G538" s="420">
        <v>11000</v>
      </c>
      <c r="H538" s="417" t="s">
        <v>2646</v>
      </c>
      <c r="I538" s="417" t="s">
        <v>28982</v>
      </c>
      <c r="J538" s="417"/>
      <c r="K538" s="417" t="s">
        <v>28740</v>
      </c>
      <c r="L538" s="417" t="s">
        <v>3331</v>
      </c>
      <c r="M538" s="417" t="s">
        <v>28745</v>
      </c>
    </row>
    <row r="539" spans="1:14" x14ac:dyDescent="0.25">
      <c r="A539" s="417" t="s">
        <v>28839</v>
      </c>
      <c r="B539" s="417" t="s">
        <v>28814</v>
      </c>
      <c r="C539" s="417" t="s">
        <v>28626</v>
      </c>
      <c r="D539" s="417" t="s">
        <v>88</v>
      </c>
      <c r="E539" s="418">
        <v>0</v>
      </c>
      <c r="F539" s="418">
        <v>0</v>
      </c>
      <c r="G539" s="420">
        <v>8500000</v>
      </c>
      <c r="H539" s="417" t="s">
        <v>2646</v>
      </c>
      <c r="I539" s="417" t="s">
        <v>28982</v>
      </c>
      <c r="J539" s="417"/>
      <c r="K539" s="417" t="s">
        <v>28741</v>
      </c>
      <c r="L539" s="417" t="s">
        <v>3331</v>
      </c>
      <c r="M539" s="417" t="s">
        <v>28745</v>
      </c>
    </row>
    <row r="540" spans="1:14" x14ac:dyDescent="0.25">
      <c r="A540" s="417" t="s">
        <v>28839</v>
      </c>
      <c r="B540" s="417" t="s">
        <v>28814</v>
      </c>
      <c r="C540" s="417" t="s">
        <v>28627</v>
      </c>
      <c r="D540" s="417" t="s">
        <v>563</v>
      </c>
      <c r="E540" s="418">
        <v>0</v>
      </c>
      <c r="F540" s="418">
        <v>0</v>
      </c>
      <c r="G540" s="420">
        <v>630</v>
      </c>
      <c r="H540" s="417" t="s">
        <v>2646</v>
      </c>
      <c r="I540" s="417" t="s">
        <v>28982</v>
      </c>
      <c r="J540" s="417"/>
      <c r="K540" s="417" t="s">
        <v>28742</v>
      </c>
      <c r="L540" s="417" t="s">
        <v>3331</v>
      </c>
      <c r="M540" s="417" t="s">
        <v>28745</v>
      </c>
    </row>
    <row r="541" spans="1:14" x14ac:dyDescent="0.25">
      <c r="A541" s="417" t="s">
        <v>28839</v>
      </c>
      <c r="B541" s="417" t="s">
        <v>28814</v>
      </c>
      <c r="C541" s="417" t="s">
        <v>28628</v>
      </c>
      <c r="D541" s="417" t="s">
        <v>563</v>
      </c>
      <c r="E541" s="418">
        <v>0</v>
      </c>
      <c r="F541" s="418">
        <v>0</v>
      </c>
      <c r="G541" s="420">
        <v>520</v>
      </c>
      <c r="H541" s="417" t="s">
        <v>2646</v>
      </c>
      <c r="I541" s="417" t="s">
        <v>28982</v>
      </c>
      <c r="J541" s="417"/>
      <c r="K541" s="417" t="s">
        <v>28743</v>
      </c>
      <c r="L541" s="417" t="s">
        <v>3331</v>
      </c>
      <c r="M541" s="417" t="s">
        <v>28745</v>
      </c>
    </row>
    <row r="542" spans="1:14" x14ac:dyDescent="0.25">
      <c r="A542" s="417" t="s">
        <v>28839</v>
      </c>
      <c r="B542" s="417" t="s">
        <v>28814</v>
      </c>
      <c r="C542" s="417" t="s">
        <v>28629</v>
      </c>
      <c r="D542" s="417" t="s">
        <v>563</v>
      </c>
      <c r="E542" s="418">
        <v>0</v>
      </c>
      <c r="F542" s="418">
        <v>0</v>
      </c>
      <c r="G542" s="420">
        <v>560</v>
      </c>
      <c r="H542" s="417" t="s">
        <v>2646</v>
      </c>
      <c r="I542" s="417" t="s">
        <v>28982</v>
      </c>
      <c r="J542" s="417"/>
      <c r="K542" s="417" t="s">
        <v>28744</v>
      </c>
      <c r="L542" s="417" t="s">
        <v>3331</v>
      </c>
      <c r="M542" s="417" t="s">
        <v>28745</v>
      </c>
    </row>
    <row r="543" spans="1:14" x14ac:dyDescent="0.25">
      <c r="A543" s="417" t="s">
        <v>3385</v>
      </c>
      <c r="B543" s="417" t="s">
        <v>2627</v>
      </c>
      <c r="C543" s="417" t="s">
        <v>3386</v>
      </c>
      <c r="D543" s="417" t="s">
        <v>88</v>
      </c>
      <c r="E543" s="423">
        <v>8.5589314464996296</v>
      </c>
      <c r="F543" s="423">
        <v>0.37335664493592208</v>
      </c>
      <c r="G543" s="422">
        <v>20979.935877347209</v>
      </c>
      <c r="H543" s="417" t="s">
        <v>2616</v>
      </c>
      <c r="I543" s="417" t="s">
        <v>1392</v>
      </c>
      <c r="J543" s="417" t="s">
        <v>3387</v>
      </c>
      <c r="K543" s="417" t="s">
        <v>3388</v>
      </c>
      <c r="L543" s="417"/>
      <c r="M543" s="417" t="s">
        <v>28840</v>
      </c>
      <c r="N543" s="185"/>
    </row>
    <row r="544" spans="1:14" x14ac:dyDescent="0.25">
      <c r="A544" s="417" t="s">
        <v>3385</v>
      </c>
      <c r="B544" s="417" t="s">
        <v>2627</v>
      </c>
      <c r="C544" s="417" t="s">
        <v>3389</v>
      </c>
      <c r="D544" s="417" t="s">
        <v>88</v>
      </c>
      <c r="E544" s="423">
        <v>8.9213090630041876</v>
      </c>
      <c r="F544" s="423">
        <v>0.39755756926976732</v>
      </c>
      <c r="G544" s="422">
        <v>21246.002604950019</v>
      </c>
      <c r="H544" s="417" t="s">
        <v>2616</v>
      </c>
      <c r="I544" s="417" t="s">
        <v>1392</v>
      </c>
      <c r="J544" s="417" t="s">
        <v>3387</v>
      </c>
      <c r="K544" s="417" t="s">
        <v>3390</v>
      </c>
      <c r="L544" s="417"/>
      <c r="M544" s="417" t="s">
        <v>28840</v>
      </c>
      <c r="N544" s="185"/>
    </row>
    <row r="545" spans="1:14" x14ac:dyDescent="0.25">
      <c r="A545" s="417" t="s">
        <v>3385</v>
      </c>
      <c r="B545" s="417" t="s">
        <v>2627</v>
      </c>
      <c r="C545" s="417" t="s">
        <v>3391</v>
      </c>
      <c r="D545" s="417" t="s">
        <v>88</v>
      </c>
      <c r="E545" s="423">
        <v>8.4321859875149503</v>
      </c>
      <c r="F545" s="423">
        <v>0.32921246531806841</v>
      </c>
      <c r="G545" s="422">
        <v>23533.847600328481</v>
      </c>
      <c r="H545" s="417" t="s">
        <v>2616</v>
      </c>
      <c r="I545" s="417" t="s">
        <v>1392</v>
      </c>
      <c r="J545" s="417" t="s">
        <v>3387</v>
      </c>
      <c r="K545" s="417" t="s">
        <v>3392</v>
      </c>
      <c r="L545" s="417"/>
      <c r="M545" s="417" t="s">
        <v>28840</v>
      </c>
      <c r="N545" s="185"/>
    </row>
    <row r="546" spans="1:14" x14ac:dyDescent="0.25">
      <c r="A546" s="417" t="s">
        <v>3385</v>
      </c>
      <c r="B546" s="417" t="s">
        <v>2627</v>
      </c>
      <c r="C546" s="417" t="s">
        <v>3393</v>
      </c>
      <c r="D546" s="417" t="s">
        <v>88</v>
      </c>
      <c r="E546" s="423">
        <v>8.7326915471311501</v>
      </c>
      <c r="F546" s="423">
        <v>0.34928134423060031</v>
      </c>
      <c r="G546" s="422">
        <v>23754.486403459461</v>
      </c>
      <c r="H546" s="417" t="s">
        <v>2616</v>
      </c>
      <c r="I546" s="417" t="s">
        <v>1392</v>
      </c>
      <c r="J546" s="417" t="s">
        <v>3387</v>
      </c>
      <c r="K546" s="417" t="s">
        <v>3394</v>
      </c>
      <c r="L546" s="417"/>
      <c r="M546" s="417" t="s">
        <v>28840</v>
      </c>
      <c r="N546" s="185"/>
    </row>
    <row r="547" spans="1:14" x14ac:dyDescent="0.25">
      <c r="A547" s="417" t="s">
        <v>3385</v>
      </c>
      <c r="B547" s="417" t="s">
        <v>2627</v>
      </c>
      <c r="C547" s="417" t="s">
        <v>3395</v>
      </c>
      <c r="D547" s="417" t="s">
        <v>88</v>
      </c>
      <c r="E547" s="423">
        <v>2.745998797801934</v>
      </c>
      <c r="F547" s="423">
        <v>2.4922332884560989E-2</v>
      </c>
      <c r="G547" s="422">
        <v>4149.7029809744326</v>
      </c>
      <c r="H547" s="417" t="s">
        <v>2616</v>
      </c>
      <c r="I547" s="417" t="s">
        <v>1392</v>
      </c>
      <c r="J547" s="417" t="s">
        <v>3396</v>
      </c>
      <c r="K547" s="417" t="s">
        <v>3397</v>
      </c>
      <c r="L547" s="417"/>
      <c r="M547" s="417" t="s">
        <v>28840</v>
      </c>
      <c r="N547" s="185"/>
    </row>
    <row r="548" spans="1:14" x14ac:dyDescent="0.25">
      <c r="A548" s="417" t="s">
        <v>3385</v>
      </c>
      <c r="B548" s="417" t="s">
        <v>2627</v>
      </c>
      <c r="C548" s="417" t="s">
        <v>3398</v>
      </c>
      <c r="D548" s="417" t="s">
        <v>88</v>
      </c>
      <c r="E548" s="423">
        <v>4.6325517604947306</v>
      </c>
      <c r="F548" s="423">
        <v>5.3433430123104503E-2</v>
      </c>
      <c r="G548" s="422">
        <v>6370.4764860009636</v>
      </c>
      <c r="H548" s="417" t="s">
        <v>2616</v>
      </c>
      <c r="I548" s="417" t="s">
        <v>1392</v>
      </c>
      <c r="J548" s="417" t="s">
        <v>3396</v>
      </c>
      <c r="K548" s="417" t="s">
        <v>3399</v>
      </c>
      <c r="L548" s="417"/>
      <c r="M548" s="417" t="s">
        <v>28840</v>
      </c>
      <c r="N548" s="185"/>
    </row>
    <row r="549" spans="1:14" x14ac:dyDescent="0.25">
      <c r="A549" s="417" t="s">
        <v>3385</v>
      </c>
      <c r="B549" s="417" t="s">
        <v>2627</v>
      </c>
      <c r="C549" s="417" t="s">
        <v>3400</v>
      </c>
      <c r="D549" s="417" t="s">
        <v>88</v>
      </c>
      <c r="E549" s="423">
        <v>3.7246854651543551</v>
      </c>
      <c r="F549" s="423">
        <v>0.11548058987558819</v>
      </c>
      <c r="G549" s="422">
        <v>6502.6544941223738</v>
      </c>
      <c r="H549" s="417" t="s">
        <v>2616</v>
      </c>
      <c r="I549" s="417" t="s">
        <v>1392</v>
      </c>
      <c r="J549" s="417" t="s">
        <v>3396</v>
      </c>
      <c r="K549" s="417" t="s">
        <v>3401</v>
      </c>
      <c r="L549" s="417"/>
      <c r="M549" s="417" t="s">
        <v>28840</v>
      </c>
      <c r="N549" s="185"/>
    </row>
    <row r="550" spans="1:14" x14ac:dyDescent="0.25">
      <c r="A550" s="417" t="s">
        <v>3385</v>
      </c>
      <c r="B550" s="417" t="s">
        <v>2627</v>
      </c>
      <c r="C550" s="417" t="s">
        <v>3402</v>
      </c>
      <c r="D550" s="417" t="s">
        <v>88</v>
      </c>
      <c r="E550" s="423">
        <v>4.7524202927425119</v>
      </c>
      <c r="F550" s="423">
        <v>0.1871687353481167</v>
      </c>
      <c r="G550" s="422">
        <v>7216.6362624435969</v>
      </c>
      <c r="H550" s="417" t="s">
        <v>2616</v>
      </c>
      <c r="I550" s="417" t="s">
        <v>1392</v>
      </c>
      <c r="J550" s="417" t="s">
        <v>3403</v>
      </c>
      <c r="K550" s="417" t="s">
        <v>3404</v>
      </c>
      <c r="L550" s="417"/>
      <c r="M550" s="417" t="s">
        <v>28840</v>
      </c>
      <c r="N550" s="185"/>
    </row>
    <row r="551" spans="1:14" x14ac:dyDescent="0.25">
      <c r="A551" s="417" t="s">
        <v>3385</v>
      </c>
      <c r="B551" s="417" t="s">
        <v>3405</v>
      </c>
      <c r="C551" s="417" t="s">
        <v>3406</v>
      </c>
      <c r="D551" s="417" t="s">
        <v>989</v>
      </c>
      <c r="E551" s="423">
        <v>995472.27153506374</v>
      </c>
      <c r="F551" s="423">
        <v>52025.269384443433</v>
      </c>
      <c r="G551" s="422">
        <v>2073553192.9057851</v>
      </c>
      <c r="H551" s="417" t="s">
        <v>2616</v>
      </c>
      <c r="I551" s="417" t="s">
        <v>1392</v>
      </c>
      <c r="J551" s="417" t="s">
        <v>3407</v>
      </c>
      <c r="K551" s="417" t="s">
        <v>3408</v>
      </c>
      <c r="L551" s="417"/>
      <c r="M551" s="417" t="s">
        <v>28840</v>
      </c>
      <c r="N551" s="185"/>
    </row>
    <row r="552" spans="1:14" x14ac:dyDescent="0.25">
      <c r="A552" s="417" t="s">
        <v>3385</v>
      </c>
      <c r="B552" s="417" t="s">
        <v>3405</v>
      </c>
      <c r="C552" s="417" t="s">
        <v>3409</v>
      </c>
      <c r="D552" s="417" t="s">
        <v>989</v>
      </c>
      <c r="E552" s="423">
        <v>135055.56323860219</v>
      </c>
      <c r="F552" s="423">
        <v>6545.8823458620755</v>
      </c>
      <c r="G552" s="422">
        <v>273555949.78655052</v>
      </c>
      <c r="H552" s="417" t="s">
        <v>2616</v>
      </c>
      <c r="I552" s="417" t="s">
        <v>1392</v>
      </c>
      <c r="J552" s="417" t="s">
        <v>3407</v>
      </c>
      <c r="K552" s="417" t="s">
        <v>3410</v>
      </c>
      <c r="L552" s="417"/>
      <c r="M552" s="417" t="s">
        <v>28840</v>
      </c>
      <c r="N552" s="185"/>
    </row>
    <row r="553" spans="1:14" x14ac:dyDescent="0.25">
      <c r="A553" s="417" t="s">
        <v>3385</v>
      </c>
      <c r="B553" s="417" t="s">
        <v>3405</v>
      </c>
      <c r="C553" s="417" t="s">
        <v>3411</v>
      </c>
      <c r="D553" s="417" t="s">
        <v>989</v>
      </c>
      <c r="E553" s="423">
        <v>133433.37380594719</v>
      </c>
      <c r="F553" s="423">
        <v>6546.1283754042297</v>
      </c>
      <c r="G553" s="422">
        <v>263018218.80116981</v>
      </c>
      <c r="H553" s="417" t="s">
        <v>2616</v>
      </c>
      <c r="I553" s="417" t="s">
        <v>1392</v>
      </c>
      <c r="J553" s="417" t="s">
        <v>3407</v>
      </c>
      <c r="K553" s="417" t="s">
        <v>3412</v>
      </c>
      <c r="L553" s="417"/>
      <c r="M553" s="417" t="s">
        <v>28840</v>
      </c>
      <c r="N553" s="185"/>
    </row>
    <row r="554" spans="1:14" x14ac:dyDescent="0.25">
      <c r="A554" s="417" t="s">
        <v>3385</v>
      </c>
      <c r="B554" s="417" t="s">
        <v>3405</v>
      </c>
      <c r="C554" s="417" t="s">
        <v>3413</v>
      </c>
      <c r="D554" s="417" t="s">
        <v>989</v>
      </c>
      <c r="E554" s="423">
        <v>18406.142312772099</v>
      </c>
      <c r="F554" s="423">
        <v>1021.05624796619</v>
      </c>
      <c r="G554" s="422">
        <v>40657839.361529201</v>
      </c>
      <c r="H554" s="417" t="s">
        <v>2616</v>
      </c>
      <c r="I554" s="417" t="s">
        <v>1392</v>
      </c>
      <c r="J554" s="417" t="s">
        <v>3414</v>
      </c>
      <c r="K554" s="417" t="s">
        <v>3415</v>
      </c>
      <c r="L554" s="417"/>
      <c r="M554" s="417" t="s">
        <v>28840</v>
      </c>
      <c r="N554" s="185"/>
    </row>
    <row r="555" spans="1:14" x14ac:dyDescent="0.25">
      <c r="A555" s="417" t="s">
        <v>3385</v>
      </c>
      <c r="B555" s="417" t="s">
        <v>2627</v>
      </c>
      <c r="C555" s="417" t="s">
        <v>3416</v>
      </c>
      <c r="D555" s="417" t="s">
        <v>88</v>
      </c>
      <c r="E555" s="423">
        <v>4.2409018958304774</v>
      </c>
      <c r="F555" s="423">
        <v>3.38695050496182E-2</v>
      </c>
      <c r="G555" s="422">
        <v>6118.2185754179172</v>
      </c>
      <c r="H555" s="417" t="s">
        <v>2616</v>
      </c>
      <c r="I555" s="417" t="s">
        <v>1392</v>
      </c>
      <c r="J555" s="417" t="s">
        <v>3396</v>
      </c>
      <c r="K555" s="417" t="s">
        <v>3417</v>
      </c>
      <c r="L555" s="417"/>
      <c r="M555" s="417" t="s">
        <v>28840</v>
      </c>
      <c r="N555" s="185"/>
    </row>
    <row r="556" spans="1:14" x14ac:dyDescent="0.25">
      <c r="A556" s="417" t="s">
        <v>3385</v>
      </c>
      <c r="B556" s="417" t="s">
        <v>2627</v>
      </c>
      <c r="C556" s="417" t="s">
        <v>3418</v>
      </c>
      <c r="D556" s="417" t="s">
        <v>88</v>
      </c>
      <c r="E556" s="423">
        <v>3.4352232469065198</v>
      </c>
      <c r="F556" s="423">
        <v>2.322008214304495E-2</v>
      </c>
      <c r="G556" s="422">
        <v>5065.5128378329218</v>
      </c>
      <c r="H556" s="417" t="s">
        <v>2616</v>
      </c>
      <c r="I556" s="417" t="s">
        <v>1392</v>
      </c>
      <c r="J556" s="417" t="s">
        <v>3396</v>
      </c>
      <c r="K556" s="417" t="s">
        <v>3419</v>
      </c>
      <c r="L556" s="417"/>
      <c r="M556" s="417" t="s">
        <v>28840</v>
      </c>
      <c r="N556" s="185"/>
    </row>
    <row r="557" spans="1:14" x14ac:dyDescent="0.25">
      <c r="A557" s="417" t="s">
        <v>3385</v>
      </c>
      <c r="B557" s="417" t="s">
        <v>2627</v>
      </c>
      <c r="C557" s="417" t="s">
        <v>3420</v>
      </c>
      <c r="D557" s="417" t="s">
        <v>88</v>
      </c>
      <c r="E557" s="423">
        <v>5.641554911493083</v>
      </c>
      <c r="F557" s="423">
        <v>0.24391498179817181</v>
      </c>
      <c r="G557" s="422">
        <v>10427.146508897051</v>
      </c>
      <c r="H557" s="417" t="s">
        <v>2616</v>
      </c>
      <c r="I557" s="417" t="s">
        <v>1392</v>
      </c>
      <c r="J557" s="417" t="s">
        <v>3387</v>
      </c>
      <c r="K557" s="417" t="s">
        <v>3421</v>
      </c>
      <c r="L557" s="417"/>
      <c r="M557" s="417" t="s">
        <v>28840</v>
      </c>
      <c r="N557" s="185"/>
    </row>
    <row r="558" spans="1:14" x14ac:dyDescent="0.25">
      <c r="A558" s="417" t="s">
        <v>3385</v>
      </c>
      <c r="B558" s="417" t="s">
        <v>3405</v>
      </c>
      <c r="C558" s="417" t="s">
        <v>3422</v>
      </c>
      <c r="D558" s="417" t="s">
        <v>989</v>
      </c>
      <c r="E558" s="423">
        <v>237543.263834868</v>
      </c>
      <c r="F558" s="423">
        <v>11511.346936948359</v>
      </c>
      <c r="G558" s="422">
        <v>475698792.3249737</v>
      </c>
      <c r="H558" s="417" t="s">
        <v>2616</v>
      </c>
      <c r="I558" s="417" t="s">
        <v>1392</v>
      </c>
      <c r="J558" s="417" t="s">
        <v>3407</v>
      </c>
      <c r="K558" s="417" t="s">
        <v>3423</v>
      </c>
      <c r="L558" s="417"/>
      <c r="M558" s="417" t="s">
        <v>28840</v>
      </c>
      <c r="N558" s="185"/>
    </row>
    <row r="559" spans="1:14" x14ac:dyDescent="0.25">
      <c r="A559" s="417" t="s">
        <v>3385</v>
      </c>
      <c r="B559" s="417" t="s">
        <v>3405</v>
      </c>
      <c r="C559" s="417" t="s">
        <v>3424</v>
      </c>
      <c r="D559" s="417" t="s">
        <v>989</v>
      </c>
      <c r="E559" s="423">
        <v>234637.0648224194</v>
      </c>
      <c r="F559" s="423">
        <v>11512.109010370321</v>
      </c>
      <c r="G559" s="422">
        <v>456795540.90686601</v>
      </c>
      <c r="H559" s="417" t="s">
        <v>2616</v>
      </c>
      <c r="I559" s="417" t="s">
        <v>1392</v>
      </c>
      <c r="J559" s="417" t="s">
        <v>3407</v>
      </c>
      <c r="K559" s="417" t="s">
        <v>3425</v>
      </c>
      <c r="L559" s="417"/>
      <c r="M559" s="417" t="s">
        <v>28840</v>
      </c>
      <c r="N559" s="185"/>
    </row>
    <row r="560" spans="1:14" x14ac:dyDescent="0.25">
      <c r="A560" s="417" t="s">
        <v>3385</v>
      </c>
      <c r="B560" s="417" t="s">
        <v>2627</v>
      </c>
      <c r="C560" s="417" t="s">
        <v>3426</v>
      </c>
      <c r="D560" s="417" t="s">
        <v>88</v>
      </c>
      <c r="E560" s="423">
        <v>4.6325952038919187</v>
      </c>
      <c r="F560" s="423">
        <v>5.3434455458575753E-2</v>
      </c>
      <c r="G560" s="422">
        <v>6370.5443519407218</v>
      </c>
      <c r="H560" s="417" t="s">
        <v>2616</v>
      </c>
      <c r="I560" s="417" t="s">
        <v>1392</v>
      </c>
      <c r="J560" s="417" t="s">
        <v>3396</v>
      </c>
      <c r="K560" s="417" t="s">
        <v>3427</v>
      </c>
      <c r="L560" s="417"/>
      <c r="M560" s="417" t="s">
        <v>28840</v>
      </c>
      <c r="N560" s="185"/>
    </row>
    <row r="561" spans="1:14" x14ac:dyDescent="0.25">
      <c r="A561" s="417" t="s">
        <v>3385</v>
      </c>
      <c r="B561" s="417" t="s">
        <v>3405</v>
      </c>
      <c r="C561" s="417" t="s">
        <v>3428</v>
      </c>
      <c r="D561" s="417" t="s">
        <v>989</v>
      </c>
      <c r="E561" s="423">
        <v>4010391.188551513</v>
      </c>
      <c r="F561" s="423">
        <v>212563.37867555171</v>
      </c>
      <c r="G561" s="422">
        <v>10883789200.3286</v>
      </c>
      <c r="H561" s="417" t="s">
        <v>2616</v>
      </c>
      <c r="I561" s="417" t="s">
        <v>1392</v>
      </c>
      <c r="J561" s="417" t="s">
        <v>3407</v>
      </c>
      <c r="K561" s="417" t="s">
        <v>3429</v>
      </c>
      <c r="L561" s="417"/>
      <c r="M561" s="417" t="s">
        <v>28840</v>
      </c>
      <c r="N561" s="185"/>
    </row>
    <row r="562" spans="1:14" x14ac:dyDescent="0.25">
      <c r="A562" s="417" t="s">
        <v>3385</v>
      </c>
      <c r="B562" s="417" t="s">
        <v>3405</v>
      </c>
      <c r="C562" s="417" t="s">
        <v>3430</v>
      </c>
      <c r="D562" s="417" t="s">
        <v>989</v>
      </c>
      <c r="E562" s="423">
        <v>273607.54922948458</v>
      </c>
      <c r="F562" s="423">
        <v>13230.50378208745</v>
      </c>
      <c r="G562" s="422">
        <v>547154272.05385733</v>
      </c>
      <c r="H562" s="417" t="s">
        <v>2616</v>
      </c>
      <c r="I562" s="417" t="s">
        <v>1392</v>
      </c>
      <c r="J562" s="417" t="s">
        <v>3407</v>
      </c>
      <c r="K562" s="417" t="s">
        <v>3431</v>
      </c>
      <c r="L562" s="417"/>
      <c r="M562" s="417" t="s">
        <v>28840</v>
      </c>
      <c r="N562" s="185"/>
    </row>
    <row r="563" spans="1:14" x14ac:dyDescent="0.25">
      <c r="A563" s="417" t="s">
        <v>3385</v>
      </c>
      <c r="B563" s="417" t="s">
        <v>2627</v>
      </c>
      <c r="C563" s="417" t="s">
        <v>3432</v>
      </c>
      <c r="D563" s="417" t="s">
        <v>989</v>
      </c>
      <c r="E563" s="423">
        <v>2609.2082328623869</v>
      </c>
      <c r="F563" s="423">
        <v>132.5298170683125</v>
      </c>
      <c r="G563" s="422">
        <v>7076828.1639500633</v>
      </c>
      <c r="H563" s="417" t="s">
        <v>2616</v>
      </c>
      <c r="I563" s="417" t="s">
        <v>1392</v>
      </c>
      <c r="J563" s="417" t="s">
        <v>3433</v>
      </c>
      <c r="K563" s="417" t="s">
        <v>3434</v>
      </c>
      <c r="L563" s="417"/>
      <c r="M563" s="417" t="s">
        <v>28840</v>
      </c>
      <c r="N563" s="185"/>
    </row>
    <row r="564" spans="1:14" x14ac:dyDescent="0.25">
      <c r="A564" s="417" t="s">
        <v>3385</v>
      </c>
      <c r="B564" s="417" t="s">
        <v>2627</v>
      </c>
      <c r="C564" s="417" t="s">
        <v>3435</v>
      </c>
      <c r="D564" s="417" t="s">
        <v>989</v>
      </c>
      <c r="E564" s="423">
        <v>2682.6663792515392</v>
      </c>
      <c r="F564" s="423">
        <v>138.1380464555844</v>
      </c>
      <c r="G564" s="422">
        <v>7157836.2824994884</v>
      </c>
      <c r="H564" s="417" t="s">
        <v>2616</v>
      </c>
      <c r="I564" s="417" t="s">
        <v>1392</v>
      </c>
      <c r="J564" s="417" t="s">
        <v>3433</v>
      </c>
      <c r="K564" s="417" t="s">
        <v>3436</v>
      </c>
      <c r="L564" s="417"/>
      <c r="M564" s="417" t="s">
        <v>28840</v>
      </c>
      <c r="N564" s="185"/>
    </row>
    <row r="565" spans="1:14" x14ac:dyDescent="0.25">
      <c r="A565" s="417" t="s">
        <v>3385</v>
      </c>
      <c r="B565" s="417" t="s">
        <v>2627</v>
      </c>
      <c r="C565" s="417" t="s">
        <v>3437</v>
      </c>
      <c r="D565" s="417" t="s">
        <v>989</v>
      </c>
      <c r="E565" s="423">
        <v>2685.13849661731</v>
      </c>
      <c r="F565" s="423">
        <v>132.96963405475279</v>
      </c>
      <c r="G565" s="422">
        <v>7092698.1779528121</v>
      </c>
      <c r="H565" s="417" t="s">
        <v>2616</v>
      </c>
      <c r="I565" s="417" t="s">
        <v>1392</v>
      </c>
      <c r="J565" s="417" t="s">
        <v>3433</v>
      </c>
      <c r="K565" s="417" t="s">
        <v>3438</v>
      </c>
      <c r="L565" s="417"/>
      <c r="M565" s="417" t="s">
        <v>28840</v>
      </c>
      <c r="N565" s="185"/>
    </row>
    <row r="566" spans="1:14" x14ac:dyDescent="0.25">
      <c r="A566" s="417" t="s">
        <v>3385</v>
      </c>
      <c r="B566" s="417" t="s">
        <v>2627</v>
      </c>
      <c r="C566" s="417" t="s">
        <v>3439</v>
      </c>
      <c r="D566" s="417" t="s">
        <v>989</v>
      </c>
      <c r="E566" s="423">
        <v>2682.6741806540822</v>
      </c>
      <c r="F566" s="423">
        <v>138.13856746265691</v>
      </c>
      <c r="G566" s="422">
        <v>7157842.0160437487</v>
      </c>
      <c r="H566" s="417" t="s">
        <v>2616</v>
      </c>
      <c r="I566" s="417" t="s">
        <v>1392</v>
      </c>
      <c r="J566" s="417" t="s">
        <v>3433</v>
      </c>
      <c r="K566" s="417" t="s">
        <v>3440</v>
      </c>
      <c r="L566" s="417"/>
      <c r="M566" s="417" t="s">
        <v>28840</v>
      </c>
      <c r="N566" s="185"/>
    </row>
    <row r="567" spans="1:14" x14ac:dyDescent="0.25">
      <c r="A567" s="417" t="s">
        <v>3385</v>
      </c>
      <c r="B567" s="417" t="s">
        <v>2627</v>
      </c>
      <c r="C567" s="417" t="s">
        <v>3441</v>
      </c>
      <c r="D567" s="417" t="s">
        <v>989</v>
      </c>
      <c r="E567" s="423">
        <v>2676.629599265385</v>
      </c>
      <c r="F567" s="423">
        <v>132.93038112421829</v>
      </c>
      <c r="G567" s="422">
        <v>7124609.1494753836</v>
      </c>
      <c r="H567" s="417" t="s">
        <v>2616</v>
      </c>
      <c r="I567" s="417" t="s">
        <v>1392</v>
      </c>
      <c r="J567" s="417" t="s">
        <v>3433</v>
      </c>
      <c r="K567" s="417" t="s">
        <v>3442</v>
      </c>
      <c r="L567" s="417"/>
      <c r="M567" s="417" t="s">
        <v>28840</v>
      </c>
      <c r="N567" s="185"/>
    </row>
    <row r="568" spans="1:14" x14ac:dyDescent="0.25">
      <c r="A568" s="417" t="s">
        <v>3385</v>
      </c>
      <c r="B568" s="417" t="s">
        <v>2627</v>
      </c>
      <c r="C568" s="417" t="s">
        <v>3443</v>
      </c>
      <c r="D568" s="417" t="s">
        <v>989</v>
      </c>
      <c r="E568" s="423">
        <v>2890.5501864653188</v>
      </c>
      <c r="F568" s="423">
        <v>141.7795037622524</v>
      </c>
      <c r="G568" s="422">
        <v>7673892.3897986962</v>
      </c>
      <c r="H568" s="417" t="s">
        <v>2616</v>
      </c>
      <c r="I568" s="417" t="s">
        <v>1392</v>
      </c>
      <c r="J568" s="417" t="s">
        <v>3433</v>
      </c>
      <c r="K568" s="417" t="s">
        <v>3444</v>
      </c>
      <c r="L568" s="417"/>
      <c r="M568" s="417" t="s">
        <v>28840</v>
      </c>
      <c r="N568" s="185"/>
    </row>
    <row r="569" spans="1:14" x14ac:dyDescent="0.25">
      <c r="A569" s="417" t="s">
        <v>3385</v>
      </c>
      <c r="B569" s="417" t="s">
        <v>2627</v>
      </c>
      <c r="C569" s="417" t="s">
        <v>3445</v>
      </c>
      <c r="D569" s="417" t="s">
        <v>989</v>
      </c>
      <c r="E569" s="423">
        <v>2973.5306513108162</v>
      </c>
      <c r="F569" s="423">
        <v>148.02560462088121</v>
      </c>
      <c r="G569" s="422">
        <v>7774617.5244598873</v>
      </c>
      <c r="H569" s="417" t="s">
        <v>2616</v>
      </c>
      <c r="I569" s="417" t="s">
        <v>1392</v>
      </c>
      <c r="J569" s="417" t="s">
        <v>3433</v>
      </c>
      <c r="K569" s="417" t="s">
        <v>3446</v>
      </c>
      <c r="L569" s="417"/>
      <c r="M569" s="417" t="s">
        <v>28840</v>
      </c>
      <c r="N569" s="185"/>
    </row>
    <row r="570" spans="1:14" x14ac:dyDescent="0.25">
      <c r="A570" s="417" t="s">
        <v>3385</v>
      </c>
      <c r="B570" s="417" t="s">
        <v>2627</v>
      </c>
      <c r="C570" s="417" t="s">
        <v>3447</v>
      </c>
      <c r="D570" s="417" t="s">
        <v>989</v>
      </c>
      <c r="E570" s="423">
        <v>2965.8714724578622</v>
      </c>
      <c r="F570" s="423">
        <v>142.17178685221151</v>
      </c>
      <c r="G570" s="422">
        <v>7688467.6242419844</v>
      </c>
      <c r="H570" s="417" t="s">
        <v>2616</v>
      </c>
      <c r="I570" s="417" t="s">
        <v>1392</v>
      </c>
      <c r="J570" s="417" t="s">
        <v>3433</v>
      </c>
      <c r="K570" s="417" t="s">
        <v>3448</v>
      </c>
      <c r="L570" s="417"/>
      <c r="M570" s="417" t="s">
        <v>28840</v>
      </c>
      <c r="N570" s="185"/>
    </row>
    <row r="571" spans="1:14" x14ac:dyDescent="0.25">
      <c r="A571" s="417" t="s">
        <v>3385</v>
      </c>
      <c r="B571" s="417" t="s">
        <v>2627</v>
      </c>
      <c r="C571" s="417" t="s">
        <v>3449</v>
      </c>
      <c r="D571" s="417" t="s">
        <v>989</v>
      </c>
      <c r="E571" s="423">
        <v>2973.538452691877</v>
      </c>
      <c r="F571" s="423">
        <v>148.0261256216076</v>
      </c>
      <c r="G571" s="422">
        <v>7774623.2578154039</v>
      </c>
      <c r="H571" s="417" t="s">
        <v>2616</v>
      </c>
      <c r="I571" s="417" t="s">
        <v>1392</v>
      </c>
      <c r="J571" s="417" t="s">
        <v>3433</v>
      </c>
      <c r="K571" s="417" t="s">
        <v>3450</v>
      </c>
      <c r="L571" s="417"/>
      <c r="M571" s="417" t="s">
        <v>28840</v>
      </c>
      <c r="N571" s="185"/>
    </row>
    <row r="572" spans="1:14" x14ac:dyDescent="0.25">
      <c r="A572" s="417" t="s">
        <v>3385</v>
      </c>
      <c r="B572" s="417" t="s">
        <v>2627</v>
      </c>
      <c r="C572" s="417" t="s">
        <v>3451</v>
      </c>
      <c r="D572" s="417" t="s">
        <v>989</v>
      </c>
      <c r="E572" s="423">
        <v>2961.723154838357</v>
      </c>
      <c r="F572" s="423">
        <v>142.23135288269771</v>
      </c>
      <c r="G572" s="422">
        <v>7730693.7089779954</v>
      </c>
      <c r="H572" s="417" t="s">
        <v>2616</v>
      </c>
      <c r="I572" s="417" t="s">
        <v>1392</v>
      </c>
      <c r="J572" s="417" t="s">
        <v>3433</v>
      </c>
      <c r="K572" s="417" t="s">
        <v>3452</v>
      </c>
      <c r="L572" s="417"/>
      <c r="M572" s="417" t="s">
        <v>28840</v>
      </c>
      <c r="N572" s="185"/>
    </row>
    <row r="573" spans="1:14" x14ac:dyDescent="0.25">
      <c r="A573" s="417" t="s">
        <v>3385</v>
      </c>
      <c r="B573" s="417" t="s">
        <v>2627</v>
      </c>
      <c r="C573" s="417" t="s">
        <v>3453</v>
      </c>
      <c r="D573" s="417" t="s">
        <v>989</v>
      </c>
      <c r="E573" s="423">
        <v>2613.937680933625</v>
      </c>
      <c r="F573" s="423">
        <v>133.5665852006712</v>
      </c>
      <c r="G573" s="422">
        <v>6946318.9209745377</v>
      </c>
      <c r="H573" s="417" t="s">
        <v>2616</v>
      </c>
      <c r="I573" s="417" t="s">
        <v>1392</v>
      </c>
      <c r="J573" s="417" t="s">
        <v>3433</v>
      </c>
      <c r="K573" s="417" t="s">
        <v>3454</v>
      </c>
      <c r="L573" s="417"/>
      <c r="M573" s="417" t="s">
        <v>28840</v>
      </c>
      <c r="N573" s="185"/>
    </row>
    <row r="574" spans="1:14" x14ac:dyDescent="0.25">
      <c r="A574" s="417" t="s">
        <v>3385</v>
      </c>
      <c r="B574" s="417" t="s">
        <v>2627</v>
      </c>
      <c r="C574" s="417" t="s">
        <v>3455</v>
      </c>
      <c r="D574" s="417" t="s">
        <v>989</v>
      </c>
      <c r="E574" s="423">
        <v>2680.9673502280548</v>
      </c>
      <c r="F574" s="423">
        <v>138.84034836738209</v>
      </c>
      <c r="G574" s="422">
        <v>7007730.3853676766</v>
      </c>
      <c r="H574" s="417" t="s">
        <v>2616</v>
      </c>
      <c r="I574" s="417" t="s">
        <v>1392</v>
      </c>
      <c r="J574" s="417" t="s">
        <v>3433</v>
      </c>
      <c r="K574" s="417" t="s">
        <v>3456</v>
      </c>
      <c r="L574" s="417"/>
      <c r="M574" s="417" t="s">
        <v>28840</v>
      </c>
      <c r="N574" s="185"/>
    </row>
    <row r="575" spans="1:14" x14ac:dyDescent="0.25">
      <c r="A575" s="417" t="s">
        <v>3385</v>
      </c>
      <c r="B575" s="417" t="s">
        <v>2627</v>
      </c>
      <c r="C575" s="417" t="s">
        <v>3457</v>
      </c>
      <c r="D575" s="417" t="s">
        <v>989</v>
      </c>
      <c r="E575" s="423">
        <v>2687.000193423848</v>
      </c>
      <c r="F575" s="423">
        <v>133.9420016741816</v>
      </c>
      <c r="G575" s="422">
        <v>6946366.9368142122</v>
      </c>
      <c r="H575" s="417" t="s">
        <v>2616</v>
      </c>
      <c r="I575" s="417" t="s">
        <v>1392</v>
      </c>
      <c r="J575" s="417" t="s">
        <v>3433</v>
      </c>
      <c r="K575" s="417" t="s">
        <v>3458</v>
      </c>
      <c r="L575" s="417"/>
      <c r="M575" s="417" t="s">
        <v>28840</v>
      </c>
      <c r="N575" s="185"/>
    </row>
    <row r="576" spans="1:14" x14ac:dyDescent="0.25">
      <c r="A576" s="417" t="s">
        <v>3385</v>
      </c>
      <c r="B576" s="417" t="s">
        <v>2627</v>
      </c>
      <c r="C576" s="417" t="s">
        <v>3459</v>
      </c>
      <c r="D576" s="417" t="s">
        <v>989</v>
      </c>
      <c r="E576" s="423">
        <v>2680.975151642645</v>
      </c>
      <c r="F576" s="423">
        <v>138.84086936566419</v>
      </c>
      <c r="G576" s="422">
        <v>7007736.1191093931</v>
      </c>
      <c r="H576" s="417" t="s">
        <v>2616</v>
      </c>
      <c r="I576" s="417" t="s">
        <v>1392</v>
      </c>
      <c r="J576" s="417" t="s">
        <v>3433</v>
      </c>
      <c r="K576" s="417" t="s">
        <v>3460</v>
      </c>
      <c r="L576" s="417"/>
      <c r="M576" s="417" t="s">
        <v>28840</v>
      </c>
      <c r="N576" s="185"/>
    </row>
    <row r="577" spans="1:14" x14ac:dyDescent="0.25">
      <c r="A577" s="417" t="s">
        <v>3385</v>
      </c>
      <c r="B577" s="417" t="s">
        <v>2627</v>
      </c>
      <c r="C577" s="417" t="s">
        <v>3461</v>
      </c>
      <c r="D577" s="417" t="s">
        <v>989</v>
      </c>
      <c r="E577" s="423">
        <v>2678.2984778400091</v>
      </c>
      <c r="F577" s="423">
        <v>133.9138351849264</v>
      </c>
      <c r="G577" s="422">
        <v>6979613.5616461392</v>
      </c>
      <c r="H577" s="417" t="s">
        <v>2616</v>
      </c>
      <c r="I577" s="417" t="s">
        <v>1392</v>
      </c>
      <c r="J577" s="417" t="s">
        <v>3433</v>
      </c>
      <c r="K577" s="417" t="s">
        <v>3462</v>
      </c>
      <c r="L577" s="417"/>
      <c r="M577" s="417" t="s">
        <v>28840</v>
      </c>
      <c r="N577" s="185"/>
    </row>
    <row r="578" spans="1:14" x14ac:dyDescent="0.25">
      <c r="A578" s="417" t="s">
        <v>3385</v>
      </c>
      <c r="B578" s="417" t="s">
        <v>2627</v>
      </c>
      <c r="C578" s="417" t="s">
        <v>3463</v>
      </c>
      <c r="D578" s="417" t="s">
        <v>989</v>
      </c>
      <c r="E578" s="423">
        <v>2873.6329050224558</v>
      </c>
      <c r="F578" s="423">
        <v>142.10465961081209</v>
      </c>
      <c r="G578" s="422">
        <v>7497442.9485863559</v>
      </c>
      <c r="H578" s="417" t="s">
        <v>2616</v>
      </c>
      <c r="I578" s="417" t="s">
        <v>1392</v>
      </c>
      <c r="J578" s="417" t="s">
        <v>3433</v>
      </c>
      <c r="K578" s="417" t="s">
        <v>3464</v>
      </c>
      <c r="L578" s="417"/>
      <c r="M578" s="417" t="s">
        <v>28840</v>
      </c>
      <c r="N578" s="185"/>
    </row>
    <row r="579" spans="1:14" x14ac:dyDescent="0.25">
      <c r="A579" s="417" t="s">
        <v>3385</v>
      </c>
      <c r="B579" s="417" t="s">
        <v>2627</v>
      </c>
      <c r="C579" s="417" t="s">
        <v>3465</v>
      </c>
      <c r="D579" s="417" t="s">
        <v>989</v>
      </c>
      <c r="E579" s="423">
        <v>2949.450258529886</v>
      </c>
      <c r="F579" s="423">
        <v>147.96693224854269</v>
      </c>
      <c r="G579" s="422">
        <v>7577051.198030835</v>
      </c>
      <c r="H579" s="417" t="s">
        <v>2616</v>
      </c>
      <c r="I579" s="417" t="s">
        <v>1392</v>
      </c>
      <c r="J579" s="417" t="s">
        <v>3433</v>
      </c>
      <c r="K579" s="417" t="s">
        <v>3466</v>
      </c>
      <c r="L579" s="417"/>
      <c r="M579" s="417" t="s">
        <v>28840</v>
      </c>
    </row>
    <row r="580" spans="1:14" x14ac:dyDescent="0.25">
      <c r="A580" s="417" t="s">
        <v>3385</v>
      </c>
      <c r="B580" s="417" t="s">
        <v>2627</v>
      </c>
      <c r="C580" s="417" t="s">
        <v>3467</v>
      </c>
      <c r="D580" s="417" t="s">
        <v>989</v>
      </c>
      <c r="E580" s="423">
        <v>2946.1333113671471</v>
      </c>
      <c r="F580" s="423">
        <v>142.43620005504661</v>
      </c>
      <c r="G580" s="422">
        <v>7496295.8443739237</v>
      </c>
      <c r="H580" s="417" t="s">
        <v>2616</v>
      </c>
      <c r="I580" s="417" t="s">
        <v>1392</v>
      </c>
      <c r="J580" s="417" t="s">
        <v>3433</v>
      </c>
      <c r="K580" s="417" t="s">
        <v>3468</v>
      </c>
      <c r="L580" s="417"/>
      <c r="M580" s="417" t="s">
        <v>28840</v>
      </c>
    </row>
    <row r="581" spans="1:14" x14ac:dyDescent="0.25">
      <c r="A581" s="417" t="s">
        <v>3385</v>
      </c>
      <c r="B581" s="417" t="s">
        <v>2627</v>
      </c>
      <c r="C581" s="417" t="s">
        <v>3469</v>
      </c>
      <c r="D581" s="417" t="s">
        <v>989</v>
      </c>
      <c r="E581" s="423">
        <v>2949.4580598742509</v>
      </c>
      <c r="F581" s="423">
        <v>147.96745323160971</v>
      </c>
      <c r="G581" s="422">
        <v>7577056.9306421084</v>
      </c>
      <c r="H581" s="417" t="s">
        <v>2616</v>
      </c>
      <c r="I581" s="417" t="s">
        <v>1392</v>
      </c>
      <c r="J581" s="417" t="s">
        <v>3433</v>
      </c>
      <c r="K581" s="417" t="s">
        <v>3470</v>
      </c>
      <c r="L581" s="417"/>
      <c r="M581" s="417" t="s">
        <v>28840</v>
      </c>
    </row>
    <row r="582" spans="1:14" x14ac:dyDescent="0.25">
      <c r="A582" s="417" t="s">
        <v>3385</v>
      </c>
      <c r="B582" s="417" t="s">
        <v>2627</v>
      </c>
      <c r="C582" s="417" t="s">
        <v>3471</v>
      </c>
      <c r="D582" s="417" t="s">
        <v>989</v>
      </c>
      <c r="E582" s="423">
        <v>2941.4566290608109</v>
      </c>
      <c r="F582" s="423">
        <v>142.4992484019881</v>
      </c>
      <c r="G582" s="422">
        <v>7539063.8348828619</v>
      </c>
      <c r="H582" s="417" t="s">
        <v>2616</v>
      </c>
      <c r="I582" s="417" t="s">
        <v>1392</v>
      </c>
      <c r="J582" s="417" t="s">
        <v>3433</v>
      </c>
      <c r="K582" s="417" t="s">
        <v>3472</v>
      </c>
      <c r="L582" s="417"/>
      <c r="M582" s="417" t="s">
        <v>28840</v>
      </c>
    </row>
    <row r="583" spans="1:14" x14ac:dyDescent="0.25">
      <c r="A583" s="417" t="s">
        <v>3385</v>
      </c>
      <c r="B583" s="417" t="s">
        <v>2627</v>
      </c>
      <c r="C583" s="417" t="s">
        <v>3473</v>
      </c>
      <c r="D583" s="417" t="s">
        <v>989</v>
      </c>
      <c r="E583" s="423">
        <v>2991.803330055694</v>
      </c>
      <c r="F583" s="423">
        <v>141.75224744280169</v>
      </c>
      <c r="G583" s="422">
        <v>7755720.7988073491</v>
      </c>
      <c r="H583" s="417" t="s">
        <v>2616</v>
      </c>
      <c r="I583" s="417" t="s">
        <v>1392</v>
      </c>
      <c r="J583" s="417" t="s">
        <v>3433</v>
      </c>
      <c r="K583" s="417" t="s">
        <v>3474</v>
      </c>
      <c r="L583" s="417"/>
      <c r="M583" s="417" t="s">
        <v>28840</v>
      </c>
    </row>
    <row r="584" spans="1:14" x14ac:dyDescent="0.25">
      <c r="A584" s="417" t="s">
        <v>3385</v>
      </c>
      <c r="B584" s="417" t="s">
        <v>2627</v>
      </c>
      <c r="C584" s="417" t="s">
        <v>2036</v>
      </c>
      <c r="D584" s="417" t="s">
        <v>989</v>
      </c>
      <c r="E584" s="423">
        <v>3074.2968955851788</v>
      </c>
      <c r="F584" s="423">
        <v>147.98716151160519</v>
      </c>
      <c r="G584" s="422">
        <v>7856057.5150935082</v>
      </c>
      <c r="H584" s="417" t="s">
        <v>2616</v>
      </c>
      <c r="I584" s="417" t="s">
        <v>28985</v>
      </c>
      <c r="J584" s="417" t="s">
        <v>3433</v>
      </c>
      <c r="K584" s="417" t="s">
        <v>3475</v>
      </c>
      <c r="L584" s="417"/>
      <c r="M584" s="417" t="s">
        <v>28840</v>
      </c>
    </row>
    <row r="585" spans="1:14" x14ac:dyDescent="0.25">
      <c r="A585" s="417" t="s">
        <v>3385</v>
      </c>
      <c r="B585" s="417" t="s">
        <v>2627</v>
      </c>
      <c r="C585" s="417" t="s">
        <v>3476</v>
      </c>
      <c r="D585" s="417" t="s">
        <v>989</v>
      </c>
      <c r="E585" s="423">
        <v>3067.2662031013729</v>
      </c>
      <c r="F585" s="423">
        <v>142.1268939454182</v>
      </c>
      <c r="G585" s="422">
        <v>7770438.0417445023</v>
      </c>
      <c r="H585" s="417" t="s">
        <v>2616</v>
      </c>
      <c r="I585" s="417" t="s">
        <v>1392</v>
      </c>
      <c r="J585" s="417" t="s">
        <v>3433</v>
      </c>
      <c r="K585" s="417" t="s">
        <v>3477</v>
      </c>
      <c r="L585" s="417"/>
      <c r="M585" s="417" t="s">
        <v>28840</v>
      </c>
    </row>
    <row r="586" spans="1:14" x14ac:dyDescent="0.25">
      <c r="A586" s="417" t="s">
        <v>3385</v>
      </c>
      <c r="B586" s="417" t="s">
        <v>2627</v>
      </c>
      <c r="C586" s="417" t="s">
        <v>3478</v>
      </c>
      <c r="D586" s="417" t="s">
        <v>989</v>
      </c>
      <c r="E586" s="423">
        <v>3074.495829916717</v>
      </c>
      <c r="F586" s="423">
        <v>148.0004467646344</v>
      </c>
      <c r="G586" s="422">
        <v>7856203.7099802727</v>
      </c>
      <c r="H586" s="417" t="s">
        <v>2616</v>
      </c>
      <c r="I586" s="417" t="s">
        <v>1392</v>
      </c>
      <c r="J586" s="417" t="s">
        <v>3433</v>
      </c>
      <c r="K586" s="417" t="s">
        <v>3479</v>
      </c>
      <c r="L586" s="417"/>
      <c r="M586" s="417" t="s">
        <v>28840</v>
      </c>
    </row>
    <row r="587" spans="1:14" x14ac:dyDescent="0.25">
      <c r="A587" s="417" t="s">
        <v>3385</v>
      </c>
      <c r="B587" s="417" t="s">
        <v>2627</v>
      </c>
      <c r="C587" s="417" t="s">
        <v>3480</v>
      </c>
      <c r="D587" s="417" t="s">
        <v>989</v>
      </c>
      <c r="E587" s="423">
        <v>3062.827928449577</v>
      </c>
      <c r="F587" s="423">
        <v>142.17969428594</v>
      </c>
      <c r="G587" s="422">
        <v>7812367.2825470967</v>
      </c>
      <c r="H587" s="417" t="s">
        <v>2616</v>
      </c>
      <c r="I587" s="417" t="s">
        <v>1392</v>
      </c>
      <c r="J587" s="417" t="s">
        <v>3433</v>
      </c>
      <c r="K587" s="417" t="s">
        <v>3481</v>
      </c>
      <c r="L587" s="417"/>
      <c r="M587" s="417" t="s">
        <v>28840</v>
      </c>
    </row>
    <row r="588" spans="1:14" x14ac:dyDescent="0.25">
      <c r="A588" s="417" t="s">
        <v>3385</v>
      </c>
      <c r="B588" s="417" t="s">
        <v>2627</v>
      </c>
      <c r="C588" s="417" t="s">
        <v>3482</v>
      </c>
      <c r="D588" s="417" t="s">
        <v>989</v>
      </c>
      <c r="E588" s="423">
        <v>2967.142575893326</v>
      </c>
      <c r="F588" s="423">
        <v>142.0821042443018</v>
      </c>
      <c r="G588" s="422">
        <v>7573042.9845089288</v>
      </c>
      <c r="H588" s="417" t="s">
        <v>2616</v>
      </c>
      <c r="I588" s="417" t="s">
        <v>1392</v>
      </c>
      <c r="J588" s="417" t="s">
        <v>3433</v>
      </c>
      <c r="K588" s="417" t="s">
        <v>3483</v>
      </c>
      <c r="L588" s="417"/>
      <c r="M588" s="417" t="s">
        <v>28840</v>
      </c>
    </row>
    <row r="589" spans="1:14" x14ac:dyDescent="0.25">
      <c r="A589" s="417" t="s">
        <v>3385</v>
      </c>
      <c r="B589" s="417" t="s">
        <v>2627</v>
      </c>
      <c r="C589" s="417" t="s">
        <v>3484</v>
      </c>
      <c r="D589" s="417" t="s">
        <v>989</v>
      </c>
      <c r="E589" s="423">
        <v>3042.4730300283309</v>
      </c>
      <c r="F589" s="423">
        <v>147.93319007994609</v>
      </c>
      <c r="G589" s="422">
        <v>7652262.8147851583</v>
      </c>
      <c r="H589" s="417" t="s">
        <v>2616</v>
      </c>
      <c r="I589" s="417" t="s">
        <v>1392</v>
      </c>
      <c r="J589" s="417" t="s">
        <v>3433</v>
      </c>
      <c r="K589" s="417" t="s">
        <v>3485</v>
      </c>
      <c r="L589" s="417"/>
      <c r="M589" s="417" t="s">
        <v>28840</v>
      </c>
    </row>
    <row r="590" spans="1:14" x14ac:dyDescent="0.25">
      <c r="A590" s="417" t="s">
        <v>3385</v>
      </c>
      <c r="B590" s="417" t="s">
        <v>2627</v>
      </c>
      <c r="C590" s="417" t="s">
        <v>3486</v>
      </c>
      <c r="D590" s="417" t="s">
        <v>989</v>
      </c>
      <c r="E590" s="423">
        <v>3039.7845691984662</v>
      </c>
      <c r="F590" s="423">
        <v>142.3960080848</v>
      </c>
      <c r="G590" s="422">
        <v>7572037.8886092249</v>
      </c>
      <c r="H590" s="417" t="s">
        <v>2616</v>
      </c>
      <c r="I590" s="417" t="s">
        <v>1392</v>
      </c>
      <c r="J590" s="417" t="s">
        <v>3433</v>
      </c>
      <c r="K590" s="417" t="s">
        <v>3487</v>
      </c>
      <c r="L590" s="417"/>
      <c r="M590" s="417" t="s">
        <v>28840</v>
      </c>
    </row>
    <row r="591" spans="1:14" x14ac:dyDescent="0.25">
      <c r="A591" s="417" t="s">
        <v>3385</v>
      </c>
      <c r="B591" s="417" t="s">
        <v>2627</v>
      </c>
      <c r="C591" s="417" t="s">
        <v>3488</v>
      </c>
      <c r="D591" s="417" t="s">
        <v>989</v>
      </c>
      <c r="E591" s="423">
        <v>3042.6719643548981</v>
      </c>
      <c r="F591" s="423">
        <v>147.94647533289651</v>
      </c>
      <c r="G591" s="422">
        <v>7652409.009734109</v>
      </c>
      <c r="H591" s="417" t="s">
        <v>2616</v>
      </c>
      <c r="I591" s="417" t="s">
        <v>1392</v>
      </c>
      <c r="J591" s="417" t="s">
        <v>3433</v>
      </c>
      <c r="K591" s="417" t="s">
        <v>3489</v>
      </c>
      <c r="L591" s="417"/>
      <c r="M591" s="417" t="s">
        <v>28840</v>
      </c>
    </row>
    <row r="592" spans="1:14" x14ac:dyDescent="0.25">
      <c r="A592" s="417" t="s">
        <v>3385</v>
      </c>
      <c r="B592" s="417" t="s">
        <v>2627</v>
      </c>
      <c r="C592" s="417" t="s">
        <v>3490</v>
      </c>
      <c r="D592" s="417" t="s">
        <v>989</v>
      </c>
      <c r="E592" s="423">
        <v>3034.817929865585</v>
      </c>
      <c r="F592" s="423">
        <v>142.45229074637101</v>
      </c>
      <c r="G592" s="422">
        <v>7614509.0353784887</v>
      </c>
      <c r="H592" s="417" t="s">
        <v>2616</v>
      </c>
      <c r="I592" s="417" t="s">
        <v>1392</v>
      </c>
      <c r="J592" s="417" t="s">
        <v>3433</v>
      </c>
      <c r="K592" s="417" t="s">
        <v>3491</v>
      </c>
      <c r="L592" s="417"/>
      <c r="M592" s="417" t="s">
        <v>28840</v>
      </c>
    </row>
    <row r="593" spans="1:13" x14ac:dyDescent="0.25">
      <c r="A593" s="417" t="s">
        <v>3385</v>
      </c>
      <c r="B593" s="417" t="s">
        <v>2627</v>
      </c>
      <c r="C593" s="417" t="s">
        <v>3492</v>
      </c>
      <c r="D593" s="417" t="s">
        <v>989</v>
      </c>
      <c r="E593" s="423">
        <v>3093.9115637250061</v>
      </c>
      <c r="F593" s="423">
        <v>118.8410271560648</v>
      </c>
      <c r="G593" s="422">
        <v>6337709.9836599147</v>
      </c>
      <c r="H593" s="417" t="s">
        <v>2616</v>
      </c>
      <c r="I593" s="417" t="s">
        <v>1392</v>
      </c>
      <c r="J593" s="417" t="s">
        <v>3433</v>
      </c>
      <c r="K593" s="417" t="s">
        <v>3493</v>
      </c>
      <c r="L593" s="417"/>
      <c r="M593" s="417" t="s">
        <v>28840</v>
      </c>
    </row>
    <row r="594" spans="1:13" x14ac:dyDescent="0.25">
      <c r="A594" s="417" t="s">
        <v>3385</v>
      </c>
      <c r="B594" s="417" t="s">
        <v>2627</v>
      </c>
      <c r="C594" s="417" t="s">
        <v>3494</v>
      </c>
      <c r="D594" s="417" t="s">
        <v>989</v>
      </c>
      <c r="E594" s="423">
        <v>4490.253120878041</v>
      </c>
      <c r="F594" s="423">
        <v>158.38601369845171</v>
      </c>
      <c r="G594" s="422">
        <v>9535478.7266744468</v>
      </c>
      <c r="H594" s="417" t="s">
        <v>2616</v>
      </c>
      <c r="I594" s="417" t="s">
        <v>1392</v>
      </c>
      <c r="J594" s="417" t="s">
        <v>3433</v>
      </c>
      <c r="K594" s="417" t="s">
        <v>3495</v>
      </c>
      <c r="L594" s="417"/>
      <c r="M594" s="417" t="s">
        <v>28840</v>
      </c>
    </row>
    <row r="595" spans="1:13" x14ac:dyDescent="0.25">
      <c r="A595" s="417" t="s">
        <v>3385</v>
      </c>
      <c r="B595" s="417" t="s">
        <v>2627</v>
      </c>
      <c r="C595" s="417" t="s">
        <v>3496</v>
      </c>
      <c r="D595" s="417" t="s">
        <v>989</v>
      </c>
      <c r="E595" s="423">
        <v>2124.755841715039</v>
      </c>
      <c r="F595" s="423">
        <v>94.90730511223353</v>
      </c>
      <c r="G595" s="422">
        <v>5749891.8319691177</v>
      </c>
      <c r="H595" s="417" t="s">
        <v>2616</v>
      </c>
      <c r="I595" s="417" t="s">
        <v>1392</v>
      </c>
      <c r="J595" s="417" t="s">
        <v>3433</v>
      </c>
      <c r="K595" s="417" t="s">
        <v>3497</v>
      </c>
      <c r="L595" s="417"/>
      <c r="M595" s="417" t="s">
        <v>28840</v>
      </c>
    </row>
    <row r="596" spans="1:13" x14ac:dyDescent="0.25">
      <c r="A596" s="417" t="s">
        <v>3385</v>
      </c>
      <c r="B596" s="417" t="s">
        <v>2627</v>
      </c>
      <c r="C596" s="417" t="s">
        <v>3498</v>
      </c>
      <c r="D596" s="417" t="s">
        <v>989</v>
      </c>
      <c r="E596" s="423">
        <v>2118.1421721365832</v>
      </c>
      <c r="F596" s="423">
        <v>88.777184654097198</v>
      </c>
      <c r="G596" s="422">
        <v>5696162.3638048451</v>
      </c>
      <c r="H596" s="417" t="s">
        <v>2616</v>
      </c>
      <c r="I596" s="417" t="s">
        <v>1392</v>
      </c>
      <c r="J596" s="417" t="s">
        <v>3499</v>
      </c>
      <c r="K596" s="417" t="s">
        <v>3500</v>
      </c>
      <c r="L596" s="417"/>
      <c r="M596" s="417" t="s">
        <v>28840</v>
      </c>
    </row>
    <row r="597" spans="1:13" x14ac:dyDescent="0.25">
      <c r="A597" s="417" t="s">
        <v>3385</v>
      </c>
      <c r="B597" s="417" t="s">
        <v>2627</v>
      </c>
      <c r="C597" s="417" t="s">
        <v>3501</v>
      </c>
      <c r="D597" s="417" t="s">
        <v>989</v>
      </c>
      <c r="E597" s="423">
        <v>2110.7592859619231</v>
      </c>
      <c r="F597" s="423">
        <v>95.131256788189603</v>
      </c>
      <c r="G597" s="422">
        <v>5798646.4728995282</v>
      </c>
      <c r="H597" s="417" t="s">
        <v>2616</v>
      </c>
      <c r="I597" s="417" t="s">
        <v>1392</v>
      </c>
      <c r="J597" s="417" t="s">
        <v>3433</v>
      </c>
      <c r="K597" s="417" t="s">
        <v>3502</v>
      </c>
      <c r="L597" s="417"/>
      <c r="M597" s="417" t="s">
        <v>28840</v>
      </c>
    </row>
    <row r="598" spans="1:13" x14ac:dyDescent="0.25">
      <c r="A598" s="417" t="s">
        <v>3385</v>
      </c>
      <c r="B598" s="417" t="s">
        <v>2627</v>
      </c>
      <c r="C598" s="417" t="s">
        <v>3503</v>
      </c>
      <c r="D598" s="417" t="s">
        <v>989</v>
      </c>
      <c r="E598" s="423">
        <v>2104.1456166292091</v>
      </c>
      <c r="F598" s="423">
        <v>89.001136372789432</v>
      </c>
      <c r="G598" s="422">
        <v>5744917.0053821364</v>
      </c>
      <c r="H598" s="417" t="s">
        <v>2616</v>
      </c>
      <c r="I598" s="417" t="s">
        <v>1392</v>
      </c>
      <c r="J598" s="417" t="s">
        <v>3499</v>
      </c>
      <c r="K598" s="417" t="s">
        <v>3504</v>
      </c>
      <c r="L598" s="417"/>
      <c r="M598" s="417" t="s">
        <v>28840</v>
      </c>
    </row>
    <row r="599" spans="1:13" x14ac:dyDescent="0.25">
      <c r="A599" s="417" t="s">
        <v>3385</v>
      </c>
      <c r="B599" s="417" t="s">
        <v>2627</v>
      </c>
      <c r="C599" s="417" t="s">
        <v>3505</v>
      </c>
      <c r="D599" s="417" t="s">
        <v>989</v>
      </c>
      <c r="E599" s="423">
        <v>2415.6645100443429</v>
      </c>
      <c r="F599" s="423">
        <v>160.8847297268446</v>
      </c>
      <c r="G599" s="422">
        <v>6412688.7433746289</v>
      </c>
      <c r="H599" s="417" t="s">
        <v>2616</v>
      </c>
      <c r="I599" s="417" t="s">
        <v>1392</v>
      </c>
      <c r="J599" s="417" t="s">
        <v>3433</v>
      </c>
      <c r="K599" s="417" t="s">
        <v>3506</v>
      </c>
      <c r="L599" s="417"/>
      <c r="M599" s="417" t="s">
        <v>28840</v>
      </c>
    </row>
    <row r="600" spans="1:13" x14ac:dyDescent="0.25">
      <c r="A600" s="417" t="s">
        <v>3385</v>
      </c>
      <c r="B600" s="417" t="s">
        <v>2627</v>
      </c>
      <c r="C600" s="417" t="s">
        <v>3507</v>
      </c>
      <c r="D600" s="417" t="s">
        <v>989</v>
      </c>
      <c r="E600" s="423">
        <v>2377.1849765117431</v>
      </c>
      <c r="F600" s="423">
        <v>151.608546649044</v>
      </c>
      <c r="G600" s="422">
        <v>6294019.5410743887</v>
      </c>
      <c r="H600" s="417" t="s">
        <v>2616</v>
      </c>
      <c r="I600" s="417" t="s">
        <v>1392</v>
      </c>
      <c r="J600" s="417" t="s">
        <v>3499</v>
      </c>
      <c r="K600" s="417" t="s">
        <v>3508</v>
      </c>
      <c r="L600" s="417"/>
      <c r="M600" s="417" t="s">
        <v>28840</v>
      </c>
    </row>
    <row r="601" spans="1:13" x14ac:dyDescent="0.25">
      <c r="A601" s="417" t="s">
        <v>3385</v>
      </c>
      <c r="B601" s="417" t="s">
        <v>2627</v>
      </c>
      <c r="C601" s="417" t="s">
        <v>3509</v>
      </c>
      <c r="D601" s="417" t="s">
        <v>989</v>
      </c>
      <c r="E601" s="423">
        <v>2762.3672328693101</v>
      </c>
      <c r="F601" s="423">
        <v>171.6585227025835</v>
      </c>
      <c r="G601" s="422">
        <v>7217037.9266901342</v>
      </c>
      <c r="H601" s="417" t="s">
        <v>2616</v>
      </c>
      <c r="I601" s="417" t="s">
        <v>1392</v>
      </c>
      <c r="J601" s="417" t="s">
        <v>3433</v>
      </c>
      <c r="K601" s="417" t="s">
        <v>3510</v>
      </c>
      <c r="L601" s="417"/>
      <c r="M601" s="417" t="s">
        <v>28840</v>
      </c>
    </row>
    <row r="602" spans="1:13" x14ac:dyDescent="0.25">
      <c r="A602" s="417" t="s">
        <v>3385</v>
      </c>
      <c r="B602" s="417" t="s">
        <v>2627</v>
      </c>
      <c r="C602" s="417" t="s">
        <v>3511</v>
      </c>
      <c r="D602" s="417" t="s">
        <v>989</v>
      </c>
      <c r="E602" s="423">
        <v>2718.289609916058</v>
      </c>
      <c r="F602" s="423">
        <v>161.01955147292449</v>
      </c>
      <c r="G602" s="422">
        <v>7080996.3656909522</v>
      </c>
      <c r="H602" s="417" t="s">
        <v>2616</v>
      </c>
      <c r="I602" s="417" t="s">
        <v>1392</v>
      </c>
      <c r="J602" s="417" t="s">
        <v>3499</v>
      </c>
      <c r="K602" s="417" t="s">
        <v>3512</v>
      </c>
      <c r="L602" s="417"/>
      <c r="M602" s="417" t="s">
        <v>28840</v>
      </c>
    </row>
    <row r="603" spans="1:13" x14ac:dyDescent="0.25">
      <c r="A603" s="417" t="s">
        <v>3385</v>
      </c>
      <c r="B603" s="417" t="s">
        <v>2627</v>
      </c>
      <c r="C603" s="417" t="s">
        <v>3513</v>
      </c>
      <c r="D603" s="417" t="s">
        <v>989</v>
      </c>
      <c r="E603" s="423">
        <v>4103.0667834464621</v>
      </c>
      <c r="F603" s="423">
        <v>160.51271143294829</v>
      </c>
      <c r="G603" s="422">
        <v>8757740.6269134898</v>
      </c>
      <c r="H603" s="417" t="s">
        <v>2616</v>
      </c>
      <c r="I603" s="417" t="s">
        <v>1392</v>
      </c>
      <c r="J603" s="417" t="s">
        <v>3499</v>
      </c>
      <c r="K603" s="417" t="s">
        <v>3514</v>
      </c>
      <c r="L603" s="417"/>
      <c r="M603" s="417" t="s">
        <v>28840</v>
      </c>
    </row>
    <row r="604" spans="1:13" x14ac:dyDescent="0.25">
      <c r="A604" s="417" t="s">
        <v>3385</v>
      </c>
      <c r="B604" s="417" t="s">
        <v>2627</v>
      </c>
      <c r="C604" s="417" t="s">
        <v>3515</v>
      </c>
      <c r="D604" s="417" t="s">
        <v>989</v>
      </c>
      <c r="E604" s="423">
        <v>4702.0311687240337</v>
      </c>
      <c r="F604" s="423">
        <v>178.12822722260569</v>
      </c>
      <c r="G604" s="422">
        <v>10181218.984892329</v>
      </c>
      <c r="H604" s="417" t="s">
        <v>2616</v>
      </c>
      <c r="I604" s="417" t="s">
        <v>1392</v>
      </c>
      <c r="J604" s="417" t="s">
        <v>3499</v>
      </c>
      <c r="K604" s="417" t="s">
        <v>3516</v>
      </c>
      <c r="L604" s="417"/>
      <c r="M604" s="417" t="s">
        <v>28840</v>
      </c>
    </row>
    <row r="605" spans="1:13" x14ac:dyDescent="0.25">
      <c r="A605" s="417" t="s">
        <v>3385</v>
      </c>
      <c r="B605" s="417" t="s">
        <v>2627</v>
      </c>
      <c r="C605" s="417" t="s">
        <v>3517</v>
      </c>
      <c r="D605" s="417" t="s">
        <v>989</v>
      </c>
      <c r="E605" s="423">
        <v>2651.4419734828839</v>
      </c>
      <c r="F605" s="423">
        <v>138.19776254313169</v>
      </c>
      <c r="G605" s="422">
        <v>7082094.2717693709</v>
      </c>
      <c r="H605" s="417" t="s">
        <v>2616</v>
      </c>
      <c r="I605" s="417" t="s">
        <v>1392</v>
      </c>
      <c r="J605" s="417" t="s">
        <v>3433</v>
      </c>
      <c r="K605" s="417" t="s">
        <v>3518</v>
      </c>
      <c r="L605" s="417"/>
      <c r="M605" s="417" t="s">
        <v>28840</v>
      </c>
    </row>
    <row r="606" spans="1:13" x14ac:dyDescent="0.25">
      <c r="A606" s="417" t="s">
        <v>3385</v>
      </c>
      <c r="B606" s="417" t="s">
        <v>2627</v>
      </c>
      <c r="C606" s="417" t="s">
        <v>3519</v>
      </c>
      <c r="D606" s="417" t="s">
        <v>989</v>
      </c>
      <c r="E606" s="423">
        <v>2724.8057210554821</v>
      </c>
      <c r="F606" s="423">
        <v>143.80382307214049</v>
      </c>
      <c r="G606" s="422">
        <v>7163027.0847800747</v>
      </c>
      <c r="H606" s="417" t="s">
        <v>2616</v>
      </c>
      <c r="I606" s="417" t="s">
        <v>1392</v>
      </c>
      <c r="J606" s="417" t="s">
        <v>3433</v>
      </c>
      <c r="K606" s="417" t="s">
        <v>3520</v>
      </c>
      <c r="L606" s="417"/>
      <c r="M606" s="417" t="s">
        <v>28840</v>
      </c>
    </row>
    <row r="607" spans="1:13" x14ac:dyDescent="0.25">
      <c r="A607" s="417" t="s">
        <v>3385</v>
      </c>
      <c r="B607" s="417" t="s">
        <v>2627</v>
      </c>
      <c r="C607" s="417" t="s">
        <v>3521</v>
      </c>
      <c r="D607" s="417" t="s">
        <v>989</v>
      </c>
      <c r="E607" s="423">
        <v>2727.399687789014</v>
      </c>
      <c r="F607" s="423">
        <v>138.63416018935561</v>
      </c>
      <c r="G607" s="422">
        <v>7097991.818023039</v>
      </c>
      <c r="H607" s="417" t="s">
        <v>2616</v>
      </c>
      <c r="I607" s="417" t="s">
        <v>1392</v>
      </c>
      <c r="J607" s="417" t="s">
        <v>3433</v>
      </c>
      <c r="K607" s="417" t="s">
        <v>3522</v>
      </c>
      <c r="L607" s="417"/>
      <c r="M607" s="417" t="s">
        <v>28840</v>
      </c>
    </row>
    <row r="608" spans="1:13" x14ac:dyDescent="0.25">
      <c r="A608" s="417" t="s">
        <v>3385</v>
      </c>
      <c r="B608" s="417" t="s">
        <v>2627</v>
      </c>
      <c r="C608" s="417" t="s">
        <v>3523</v>
      </c>
      <c r="D608" s="417" t="s">
        <v>989</v>
      </c>
      <c r="E608" s="423">
        <v>2724.8505788357961</v>
      </c>
      <c r="F608" s="423">
        <v>143.8068187683308</v>
      </c>
      <c r="G608" s="422">
        <v>7163060.0508204484</v>
      </c>
      <c r="H608" s="417" t="s">
        <v>2616</v>
      </c>
      <c r="I608" s="417" t="s">
        <v>1392</v>
      </c>
      <c r="J608" s="417" t="s">
        <v>3433</v>
      </c>
      <c r="K608" s="417" t="s">
        <v>3524</v>
      </c>
      <c r="L608" s="417"/>
      <c r="M608" s="417" t="s">
        <v>28840</v>
      </c>
    </row>
    <row r="609" spans="1:13" x14ac:dyDescent="0.25">
      <c r="A609" s="417" t="s">
        <v>3385</v>
      </c>
      <c r="B609" s="417" t="s">
        <v>2627</v>
      </c>
      <c r="C609" s="417" t="s">
        <v>3525</v>
      </c>
      <c r="D609" s="417" t="s">
        <v>989</v>
      </c>
      <c r="E609" s="423">
        <v>2718.8345742824231</v>
      </c>
      <c r="F609" s="423">
        <v>138.59359554443299</v>
      </c>
      <c r="G609" s="422">
        <v>7129845.2373547759</v>
      </c>
      <c r="H609" s="417" t="s">
        <v>2616</v>
      </c>
      <c r="I609" s="417" t="s">
        <v>1392</v>
      </c>
      <c r="J609" s="417" t="s">
        <v>3433</v>
      </c>
      <c r="K609" s="417" t="s">
        <v>3526</v>
      </c>
      <c r="L609" s="417"/>
      <c r="M609" s="417" t="s">
        <v>28840</v>
      </c>
    </row>
    <row r="610" spans="1:13" x14ac:dyDescent="0.25">
      <c r="A610" s="417" t="s">
        <v>3385</v>
      </c>
      <c r="B610" s="417" t="s">
        <v>2627</v>
      </c>
      <c r="C610" s="417" t="s">
        <v>3527</v>
      </c>
      <c r="D610" s="417" t="s">
        <v>989</v>
      </c>
      <c r="E610" s="423">
        <v>2904.0162725877431</v>
      </c>
      <c r="F610" s="423">
        <v>145.4911422153406</v>
      </c>
      <c r="G610" s="422">
        <v>7701563.1957290163</v>
      </c>
      <c r="H610" s="417" t="s">
        <v>2616</v>
      </c>
      <c r="I610" s="417" t="s">
        <v>1392</v>
      </c>
      <c r="J610" s="417" t="s">
        <v>3433</v>
      </c>
      <c r="K610" s="417" t="s">
        <v>3528</v>
      </c>
      <c r="L610" s="417"/>
      <c r="M610" s="417" t="s">
        <v>28840</v>
      </c>
    </row>
    <row r="611" spans="1:13" x14ac:dyDescent="0.25">
      <c r="A611" s="417" t="s">
        <v>3385</v>
      </c>
      <c r="B611" s="417" t="s">
        <v>2627</v>
      </c>
      <c r="C611" s="417" t="s">
        <v>3529</v>
      </c>
      <c r="D611" s="417" t="s">
        <v>989</v>
      </c>
      <c r="E611" s="423">
        <v>2986.9023387600491</v>
      </c>
      <c r="F611" s="423">
        <v>151.73507422170229</v>
      </c>
      <c r="G611" s="422">
        <v>7802213.025354838</v>
      </c>
      <c r="H611" s="417" t="s">
        <v>2616</v>
      </c>
      <c r="I611" s="417" t="s">
        <v>1392</v>
      </c>
      <c r="J611" s="417" t="s">
        <v>3433</v>
      </c>
      <c r="K611" s="417" t="s">
        <v>3530</v>
      </c>
      <c r="L611" s="417"/>
      <c r="M611" s="417" t="s">
        <v>28840</v>
      </c>
    </row>
    <row r="612" spans="1:13" x14ac:dyDescent="0.25">
      <c r="A612" s="417" t="s">
        <v>3385</v>
      </c>
      <c r="B612" s="417" t="s">
        <v>2627</v>
      </c>
      <c r="C612" s="417" t="s">
        <v>3531</v>
      </c>
      <c r="D612" s="417" t="s">
        <v>989</v>
      </c>
      <c r="E612" s="423">
        <v>2979.3650092410871</v>
      </c>
      <c r="F612" s="423">
        <v>145.8800059747565</v>
      </c>
      <c r="G612" s="422">
        <v>7716165.9626625599</v>
      </c>
      <c r="H612" s="417" t="s">
        <v>2616</v>
      </c>
      <c r="I612" s="417" t="s">
        <v>1392</v>
      </c>
      <c r="J612" s="417" t="s">
        <v>3433</v>
      </c>
      <c r="K612" s="417" t="s">
        <v>3532</v>
      </c>
      <c r="L612" s="417"/>
      <c r="M612" s="417" t="s">
        <v>28840</v>
      </c>
    </row>
    <row r="613" spans="1:13" x14ac:dyDescent="0.25">
      <c r="A613" s="417" t="s">
        <v>3385</v>
      </c>
      <c r="B613" s="417" t="s">
        <v>2627</v>
      </c>
      <c r="C613" s="417" t="s">
        <v>3533</v>
      </c>
      <c r="D613" s="417" t="s">
        <v>989</v>
      </c>
      <c r="E613" s="423">
        <v>2986.947196483628</v>
      </c>
      <c r="F613" s="423">
        <v>151.7380699068211</v>
      </c>
      <c r="G613" s="422">
        <v>7802245.9908319563</v>
      </c>
      <c r="H613" s="417" t="s">
        <v>2616</v>
      </c>
      <c r="I613" s="417" t="s">
        <v>1392</v>
      </c>
      <c r="J613" s="417" t="s">
        <v>3433</v>
      </c>
      <c r="K613" s="417" t="s">
        <v>3534</v>
      </c>
      <c r="L613" s="417"/>
      <c r="M613" s="417" t="s">
        <v>28840</v>
      </c>
    </row>
    <row r="614" spans="1:13" x14ac:dyDescent="0.25">
      <c r="A614" s="417" t="s">
        <v>3385</v>
      </c>
      <c r="B614" s="417" t="s">
        <v>2627</v>
      </c>
      <c r="C614" s="417" t="s">
        <v>3535</v>
      </c>
      <c r="D614" s="417" t="s">
        <v>989</v>
      </c>
      <c r="E614" s="423">
        <v>2975.1604754820091</v>
      </c>
      <c r="F614" s="423">
        <v>145.9382602897544</v>
      </c>
      <c r="G614" s="422">
        <v>7758334.4952086648</v>
      </c>
      <c r="H614" s="417" t="s">
        <v>2616</v>
      </c>
      <c r="I614" s="417" t="s">
        <v>1392</v>
      </c>
      <c r="J614" s="417" t="s">
        <v>3433</v>
      </c>
      <c r="K614" s="417" t="s">
        <v>3536</v>
      </c>
      <c r="L614" s="417"/>
      <c r="M614" s="417" t="s">
        <v>28840</v>
      </c>
    </row>
    <row r="615" spans="1:13" x14ac:dyDescent="0.25">
      <c r="A615" s="417" t="s">
        <v>3385</v>
      </c>
      <c r="B615" s="417" t="s">
        <v>2627</v>
      </c>
      <c r="C615" s="417" t="s">
        <v>3537</v>
      </c>
      <c r="D615" s="417" t="s">
        <v>989</v>
      </c>
      <c r="E615" s="423">
        <v>3185.3232862953141</v>
      </c>
      <c r="F615" s="423">
        <v>257.66569402665112</v>
      </c>
      <c r="G615" s="422">
        <v>7128151.0194953755</v>
      </c>
      <c r="H615" s="417" t="s">
        <v>2616</v>
      </c>
      <c r="I615" s="417" t="s">
        <v>1392</v>
      </c>
      <c r="J615" s="417" t="s">
        <v>3433</v>
      </c>
      <c r="K615" s="417" t="s">
        <v>3538</v>
      </c>
      <c r="L615" s="417"/>
      <c r="M615" s="417" t="s">
        <v>28840</v>
      </c>
    </row>
    <row r="616" spans="1:13" x14ac:dyDescent="0.25">
      <c r="A616" s="417" t="s">
        <v>3385</v>
      </c>
      <c r="B616" s="417" t="s">
        <v>2627</v>
      </c>
      <c r="C616" s="417" t="s">
        <v>3539</v>
      </c>
      <c r="D616" s="417" t="s">
        <v>989</v>
      </c>
      <c r="E616" s="423">
        <v>3628.1865343072741</v>
      </c>
      <c r="F616" s="423">
        <v>270.3795386665779</v>
      </c>
      <c r="G616" s="422">
        <v>8201882.8867703574</v>
      </c>
      <c r="H616" s="417" t="s">
        <v>2616</v>
      </c>
      <c r="I616" s="417" t="s">
        <v>1392</v>
      </c>
      <c r="J616" s="417" t="s">
        <v>3433</v>
      </c>
      <c r="K616" s="417" t="s">
        <v>3540</v>
      </c>
      <c r="L616" s="417"/>
      <c r="M616" s="417" t="s">
        <v>28840</v>
      </c>
    </row>
    <row r="617" spans="1:13" x14ac:dyDescent="0.25">
      <c r="A617" s="417" t="s">
        <v>3385</v>
      </c>
      <c r="B617" s="417" t="s">
        <v>2627</v>
      </c>
      <c r="C617" s="417" t="s">
        <v>3541</v>
      </c>
      <c r="D617" s="417" t="s">
        <v>989</v>
      </c>
      <c r="E617" s="423">
        <v>2652.931277827221</v>
      </c>
      <c r="F617" s="423">
        <v>138.79904006293481</v>
      </c>
      <c r="G617" s="422">
        <v>6951192.2191934586</v>
      </c>
      <c r="H617" s="417" t="s">
        <v>2616</v>
      </c>
      <c r="I617" s="417" t="s">
        <v>1392</v>
      </c>
      <c r="J617" s="417" t="s">
        <v>3433</v>
      </c>
      <c r="K617" s="417" t="s">
        <v>3542</v>
      </c>
      <c r="L617" s="417"/>
      <c r="M617" s="417" t="s">
        <v>28840</v>
      </c>
    </row>
    <row r="618" spans="1:13" x14ac:dyDescent="0.25">
      <c r="A618" s="417" t="s">
        <v>3385</v>
      </c>
      <c r="B618" s="417" t="s">
        <v>2627</v>
      </c>
      <c r="C618" s="417" t="s">
        <v>3543</v>
      </c>
      <c r="D618" s="417" t="s">
        <v>989</v>
      </c>
      <c r="E618" s="423">
        <v>2719.8665483044192</v>
      </c>
      <c r="F618" s="423">
        <v>144.07063437461991</v>
      </c>
      <c r="G618" s="422">
        <v>7012528.3770906273</v>
      </c>
      <c r="H618" s="417" t="s">
        <v>2616</v>
      </c>
      <c r="I618" s="417" t="s">
        <v>1392</v>
      </c>
      <c r="J618" s="417" t="s">
        <v>3433</v>
      </c>
      <c r="K618" s="417" t="s">
        <v>3544</v>
      </c>
      <c r="L618" s="417"/>
      <c r="M618" s="417" t="s">
        <v>28840</v>
      </c>
    </row>
    <row r="619" spans="1:13" x14ac:dyDescent="0.25">
      <c r="A619" s="417" t="s">
        <v>3385</v>
      </c>
      <c r="B619" s="417" t="s">
        <v>2627</v>
      </c>
      <c r="C619" s="417" t="s">
        <v>3545</v>
      </c>
      <c r="D619" s="417" t="s">
        <v>989</v>
      </c>
      <c r="E619" s="423">
        <v>2726.021240846434</v>
      </c>
      <c r="F619" s="423">
        <v>139.17103719728459</v>
      </c>
      <c r="G619" s="422">
        <v>6951267.7669710098</v>
      </c>
      <c r="H619" s="417" t="s">
        <v>2616</v>
      </c>
      <c r="I619" s="417" t="s">
        <v>1392</v>
      </c>
      <c r="J619" s="417" t="s">
        <v>3433</v>
      </c>
      <c r="K619" s="417" t="s">
        <v>3546</v>
      </c>
      <c r="L619" s="417"/>
      <c r="M619" s="417" t="s">
        <v>28840</v>
      </c>
    </row>
    <row r="620" spans="1:13" x14ac:dyDescent="0.25">
      <c r="A620" s="417" t="s">
        <v>3385</v>
      </c>
      <c r="B620" s="417" t="s">
        <v>2627</v>
      </c>
      <c r="C620" s="417" t="s">
        <v>3547</v>
      </c>
      <c r="D620" s="417" t="s">
        <v>989</v>
      </c>
      <c r="E620" s="423">
        <v>2719.9114060450052</v>
      </c>
      <c r="F620" s="423">
        <v>144.07363006237401</v>
      </c>
      <c r="G620" s="422">
        <v>7012561.3428884745</v>
      </c>
      <c r="H620" s="417" t="s">
        <v>2616</v>
      </c>
      <c r="I620" s="417" t="s">
        <v>1392</v>
      </c>
      <c r="J620" s="417" t="s">
        <v>3433</v>
      </c>
      <c r="K620" s="417" t="s">
        <v>3548</v>
      </c>
      <c r="L620" s="417"/>
      <c r="M620" s="417" t="s">
        <v>28840</v>
      </c>
    </row>
    <row r="621" spans="1:13" x14ac:dyDescent="0.25">
      <c r="A621" s="417" t="s">
        <v>3385</v>
      </c>
      <c r="B621" s="417" t="s">
        <v>2627</v>
      </c>
      <c r="C621" s="417" t="s">
        <v>3549</v>
      </c>
      <c r="D621" s="417" t="s">
        <v>989</v>
      </c>
      <c r="E621" s="423">
        <v>2717.263309070031</v>
      </c>
      <c r="F621" s="423">
        <v>139.14155899124381</v>
      </c>
      <c r="G621" s="422">
        <v>6984456.8401683839</v>
      </c>
      <c r="H621" s="417" t="s">
        <v>2616</v>
      </c>
      <c r="I621" s="417" t="s">
        <v>1392</v>
      </c>
      <c r="J621" s="417" t="s">
        <v>3433</v>
      </c>
      <c r="K621" s="417" t="s">
        <v>3550</v>
      </c>
      <c r="L621" s="417"/>
      <c r="M621" s="417" t="s">
        <v>28840</v>
      </c>
    </row>
    <row r="622" spans="1:13" x14ac:dyDescent="0.25">
      <c r="A622" s="417" t="s">
        <v>3385</v>
      </c>
      <c r="B622" s="417" t="s">
        <v>2627</v>
      </c>
      <c r="C622" s="417" t="s">
        <v>3551</v>
      </c>
      <c r="D622" s="417" t="s">
        <v>989</v>
      </c>
      <c r="E622" s="423">
        <v>2886.0718794761592</v>
      </c>
      <c r="F622" s="423">
        <v>145.53130951484201</v>
      </c>
      <c r="G622" s="422">
        <v>7522998.105018435</v>
      </c>
      <c r="H622" s="417" t="s">
        <v>2616</v>
      </c>
      <c r="I622" s="417" t="s">
        <v>1392</v>
      </c>
      <c r="J622" s="417" t="s">
        <v>3433</v>
      </c>
      <c r="K622" s="417" t="s">
        <v>3552</v>
      </c>
      <c r="L622" s="417"/>
      <c r="M622" s="417" t="s">
        <v>28840</v>
      </c>
    </row>
    <row r="623" spans="1:13" x14ac:dyDescent="0.25">
      <c r="A623" s="417" t="s">
        <v>3385</v>
      </c>
      <c r="B623" s="417" t="s">
        <v>2627</v>
      </c>
      <c r="C623" s="417" t="s">
        <v>3553</v>
      </c>
      <c r="D623" s="417" t="s">
        <v>989</v>
      </c>
      <c r="E623" s="423">
        <v>2961.7948340599942</v>
      </c>
      <c r="F623" s="423">
        <v>151.3914132724835</v>
      </c>
      <c r="G623" s="422">
        <v>7602531.0487967608</v>
      </c>
      <c r="H623" s="417" t="s">
        <v>2616</v>
      </c>
      <c r="I623" s="417" t="s">
        <v>1392</v>
      </c>
      <c r="J623" s="417" t="s">
        <v>3433</v>
      </c>
      <c r="K623" s="417" t="s">
        <v>3554</v>
      </c>
      <c r="L623" s="417"/>
      <c r="M623" s="417" t="s">
        <v>28840</v>
      </c>
    </row>
    <row r="624" spans="1:13" x14ac:dyDescent="0.25">
      <c r="A624" s="417" t="s">
        <v>3385</v>
      </c>
      <c r="B624" s="417" t="s">
        <v>2627</v>
      </c>
      <c r="C624" s="417" t="s">
        <v>3555</v>
      </c>
      <c r="D624" s="417" t="s">
        <v>989</v>
      </c>
      <c r="E624" s="423">
        <v>2958.5997362970302</v>
      </c>
      <c r="F624" s="423">
        <v>145.85943061171329</v>
      </c>
      <c r="G624" s="422">
        <v>7521878.5332106315</v>
      </c>
      <c r="H624" s="417" t="s">
        <v>2616</v>
      </c>
      <c r="I624" s="417" t="s">
        <v>1392</v>
      </c>
      <c r="J624" s="417" t="s">
        <v>3433</v>
      </c>
      <c r="K624" s="417" t="s">
        <v>3556</v>
      </c>
      <c r="L624" s="417"/>
      <c r="M624" s="417" t="s">
        <v>28840</v>
      </c>
    </row>
    <row r="625" spans="1:13" x14ac:dyDescent="0.25">
      <c r="A625" s="417" t="s">
        <v>3385</v>
      </c>
      <c r="B625" s="417" t="s">
        <v>2627</v>
      </c>
      <c r="C625" s="417" t="s">
        <v>3557</v>
      </c>
      <c r="D625" s="417" t="s">
        <v>989</v>
      </c>
      <c r="E625" s="423">
        <v>2961.839691827241</v>
      </c>
      <c r="F625" s="423">
        <v>151.39440897289651</v>
      </c>
      <c r="G625" s="422">
        <v>7602564.0148380697</v>
      </c>
      <c r="H625" s="417" t="s">
        <v>2616</v>
      </c>
      <c r="I625" s="417" t="s">
        <v>1392</v>
      </c>
      <c r="J625" s="417" t="s">
        <v>3433</v>
      </c>
      <c r="K625" s="417" t="s">
        <v>3558</v>
      </c>
      <c r="L625" s="417"/>
      <c r="M625" s="417" t="s">
        <v>28840</v>
      </c>
    </row>
    <row r="626" spans="1:13" x14ac:dyDescent="0.25">
      <c r="A626" s="417" t="s">
        <v>3385</v>
      </c>
      <c r="B626" s="417" t="s">
        <v>2627</v>
      </c>
      <c r="C626" s="417" t="s">
        <v>3559</v>
      </c>
      <c r="D626" s="417" t="s">
        <v>989</v>
      </c>
      <c r="E626" s="423">
        <v>2953.8668378185562</v>
      </c>
      <c r="F626" s="423">
        <v>145.9211672432626</v>
      </c>
      <c r="G626" s="422">
        <v>7564588.9720790489</v>
      </c>
      <c r="H626" s="417" t="s">
        <v>2616</v>
      </c>
      <c r="I626" s="417" t="s">
        <v>1392</v>
      </c>
      <c r="J626" s="417" t="s">
        <v>3433</v>
      </c>
      <c r="K626" s="417" t="s">
        <v>3560</v>
      </c>
      <c r="L626" s="417"/>
      <c r="M626" s="417" t="s">
        <v>28840</v>
      </c>
    </row>
    <row r="627" spans="1:13" x14ac:dyDescent="0.25">
      <c r="A627" s="417" t="s">
        <v>3385</v>
      </c>
      <c r="B627" s="417" t="s">
        <v>3405</v>
      </c>
      <c r="C627" s="417" t="s">
        <v>3561</v>
      </c>
      <c r="D627" s="417" t="s">
        <v>989</v>
      </c>
      <c r="E627" s="423">
        <v>373375.7021781879</v>
      </c>
      <c r="F627" s="423">
        <v>18307.30220250164</v>
      </c>
      <c r="G627" s="422">
        <v>722923393.08148289</v>
      </c>
      <c r="H627" s="417" t="s">
        <v>2616</v>
      </c>
      <c r="I627" s="417" t="s">
        <v>1392</v>
      </c>
      <c r="J627" s="417" t="s">
        <v>3407</v>
      </c>
      <c r="K627" s="417" t="s">
        <v>3562</v>
      </c>
      <c r="L627" s="417"/>
      <c r="M627" s="417" t="s">
        <v>28840</v>
      </c>
    </row>
    <row r="628" spans="1:13" x14ac:dyDescent="0.25">
      <c r="A628" s="417" t="s">
        <v>3385</v>
      </c>
      <c r="B628" s="417" t="s">
        <v>3405</v>
      </c>
      <c r="C628" s="417" t="s">
        <v>3563</v>
      </c>
      <c r="D628" s="417" t="s">
        <v>989</v>
      </c>
      <c r="E628" s="423">
        <v>718535.53883513343</v>
      </c>
      <c r="F628" s="423">
        <v>34958.569904439457</v>
      </c>
      <c r="G628" s="422">
        <v>2203123145.9218431</v>
      </c>
      <c r="H628" s="417" t="s">
        <v>2616</v>
      </c>
      <c r="I628" s="417" t="s">
        <v>1392</v>
      </c>
      <c r="J628" s="417" t="s">
        <v>3407</v>
      </c>
      <c r="K628" s="417" t="s">
        <v>3564</v>
      </c>
      <c r="L628" s="417"/>
      <c r="M628" s="417" t="s">
        <v>28840</v>
      </c>
    </row>
    <row r="629" spans="1:13" x14ac:dyDescent="0.25">
      <c r="A629" s="417" t="s">
        <v>3385</v>
      </c>
      <c r="B629" s="417" t="s">
        <v>3405</v>
      </c>
      <c r="C629" s="417" t="s">
        <v>3565</v>
      </c>
      <c r="D629" s="417" t="s">
        <v>989</v>
      </c>
      <c r="E629" s="423">
        <v>523632.87909974571</v>
      </c>
      <c r="F629" s="423">
        <v>25521.0036300346</v>
      </c>
      <c r="G629" s="422">
        <v>1348229227.6701</v>
      </c>
      <c r="H629" s="417" t="s">
        <v>2616</v>
      </c>
      <c r="I629" s="417" t="s">
        <v>1392</v>
      </c>
      <c r="J629" s="417" t="s">
        <v>3407</v>
      </c>
      <c r="K629" s="417" t="s">
        <v>3566</v>
      </c>
      <c r="L629" s="417"/>
      <c r="M629" s="417" t="s">
        <v>28840</v>
      </c>
    </row>
    <row r="630" spans="1:13" x14ac:dyDescent="0.25">
      <c r="A630" s="417" t="s">
        <v>3385</v>
      </c>
      <c r="B630" s="417" t="s">
        <v>2627</v>
      </c>
      <c r="C630" s="417" t="s">
        <v>3567</v>
      </c>
      <c r="D630" s="417" t="s">
        <v>989</v>
      </c>
      <c r="E630" s="423">
        <v>348446.17818565812</v>
      </c>
      <c r="F630" s="423">
        <v>13226.48472265734</v>
      </c>
      <c r="G630" s="422">
        <v>938015241.00613391</v>
      </c>
      <c r="H630" s="417" t="s">
        <v>2616</v>
      </c>
      <c r="I630" s="417" t="s">
        <v>1392</v>
      </c>
      <c r="J630" s="417" t="s">
        <v>3499</v>
      </c>
      <c r="K630" s="417" t="s">
        <v>3568</v>
      </c>
      <c r="L630" s="417"/>
      <c r="M630" s="417" t="s">
        <v>28840</v>
      </c>
    </row>
    <row r="631" spans="1:13" x14ac:dyDescent="0.25">
      <c r="A631" s="417" t="s">
        <v>3385</v>
      </c>
      <c r="B631" s="417" t="s">
        <v>2627</v>
      </c>
      <c r="C631" s="417" t="s">
        <v>3569</v>
      </c>
      <c r="D631" s="417" t="s">
        <v>989</v>
      </c>
      <c r="E631" s="423">
        <v>472511.0040359103</v>
      </c>
      <c r="F631" s="423">
        <v>27104.537572126799</v>
      </c>
      <c r="G631" s="422">
        <v>1241183929.9719119</v>
      </c>
      <c r="H631" s="417" t="s">
        <v>2616</v>
      </c>
      <c r="I631" s="417" t="s">
        <v>1392</v>
      </c>
      <c r="J631" s="417" t="s">
        <v>3499</v>
      </c>
      <c r="K631" s="417" t="s">
        <v>3570</v>
      </c>
      <c r="L631" s="417"/>
      <c r="M631" s="417" t="s">
        <v>28840</v>
      </c>
    </row>
    <row r="632" spans="1:13" x14ac:dyDescent="0.25">
      <c r="A632" s="417" t="s">
        <v>3385</v>
      </c>
      <c r="B632" s="417" t="s">
        <v>2627</v>
      </c>
      <c r="C632" s="417" t="s">
        <v>3571</v>
      </c>
      <c r="D632" s="417" t="s">
        <v>989</v>
      </c>
      <c r="E632" s="423">
        <v>889211.55079685769</v>
      </c>
      <c r="F632" s="423">
        <v>31401.93355129223</v>
      </c>
      <c r="G632" s="422">
        <v>2096441471.143435</v>
      </c>
      <c r="H632" s="417" t="s">
        <v>2616</v>
      </c>
      <c r="I632" s="417" t="s">
        <v>1392</v>
      </c>
      <c r="J632" s="417" t="s">
        <v>3499</v>
      </c>
      <c r="K632" s="417" t="s">
        <v>3572</v>
      </c>
      <c r="L632" s="417"/>
      <c r="M632" s="417" t="s">
        <v>28840</v>
      </c>
    </row>
    <row r="633" spans="1:13" x14ac:dyDescent="0.25">
      <c r="A633" s="417" t="s">
        <v>3385</v>
      </c>
      <c r="B633" s="417" t="s">
        <v>3405</v>
      </c>
      <c r="C633" s="417" t="s">
        <v>3573</v>
      </c>
      <c r="D633" s="417" t="s">
        <v>989</v>
      </c>
      <c r="E633" s="423">
        <v>524483.20478291123</v>
      </c>
      <c r="F633" s="423">
        <v>25561.93835796362</v>
      </c>
      <c r="G633" s="422">
        <v>1350409687.3859091</v>
      </c>
      <c r="H633" s="417" t="s">
        <v>2616</v>
      </c>
      <c r="I633" s="417" t="s">
        <v>1392</v>
      </c>
      <c r="J633" s="417" t="s">
        <v>3407</v>
      </c>
      <c r="K633" s="417" t="s">
        <v>3574</v>
      </c>
      <c r="L633" s="417"/>
      <c r="M633" s="417" t="s">
        <v>28840</v>
      </c>
    </row>
    <row r="634" spans="1:13" x14ac:dyDescent="0.25">
      <c r="A634" s="417" t="s">
        <v>3385</v>
      </c>
      <c r="B634" s="417" t="s">
        <v>2627</v>
      </c>
      <c r="C634" s="417" t="s">
        <v>3575</v>
      </c>
      <c r="D634" s="417" t="s">
        <v>989</v>
      </c>
      <c r="E634" s="423">
        <v>516385.04515270202</v>
      </c>
      <c r="F634" s="423">
        <v>25166.6969098437</v>
      </c>
      <c r="G634" s="422">
        <v>1329288641.9555891</v>
      </c>
      <c r="H634" s="417" t="s">
        <v>2616</v>
      </c>
      <c r="I634" s="417" t="s">
        <v>1392</v>
      </c>
      <c r="J634" s="417" t="s">
        <v>3499</v>
      </c>
      <c r="K634" s="417" t="s">
        <v>3576</v>
      </c>
      <c r="L634" s="417"/>
      <c r="M634" s="417" t="s">
        <v>28840</v>
      </c>
    </row>
    <row r="635" spans="1:13" x14ac:dyDescent="0.25">
      <c r="A635" s="417" t="s">
        <v>3385</v>
      </c>
      <c r="B635" s="417" t="s">
        <v>2627</v>
      </c>
      <c r="C635" s="417" t="s">
        <v>3577</v>
      </c>
      <c r="D635" s="417" t="s">
        <v>989</v>
      </c>
      <c r="E635" s="423">
        <v>507075.05501019931</v>
      </c>
      <c r="F635" s="423">
        <v>24981.260949419651</v>
      </c>
      <c r="G635" s="422">
        <v>1261001635.2878981</v>
      </c>
      <c r="H635" s="417" t="s">
        <v>2616</v>
      </c>
      <c r="I635" s="417" t="s">
        <v>1392</v>
      </c>
      <c r="J635" s="417" t="s">
        <v>3499</v>
      </c>
      <c r="K635" s="417" t="s">
        <v>3578</v>
      </c>
      <c r="L635" s="417"/>
      <c r="M635" s="417" t="s">
        <v>28840</v>
      </c>
    </row>
    <row r="636" spans="1:13" x14ac:dyDescent="0.25">
      <c r="A636" s="417" t="s">
        <v>3385</v>
      </c>
      <c r="B636" s="417" t="s">
        <v>3405</v>
      </c>
      <c r="C636" s="417" t="s">
        <v>3579</v>
      </c>
      <c r="D636" s="417" t="s">
        <v>989</v>
      </c>
      <c r="E636" s="423">
        <v>63026.866004855947</v>
      </c>
      <c r="F636" s="423">
        <v>3406.34303177335</v>
      </c>
      <c r="G636" s="422">
        <v>123796213.4277703</v>
      </c>
      <c r="H636" s="417" t="s">
        <v>2616</v>
      </c>
      <c r="I636" s="417" t="s">
        <v>1392</v>
      </c>
      <c r="J636" s="417" t="s">
        <v>3407</v>
      </c>
      <c r="K636" s="417" t="s">
        <v>3580</v>
      </c>
      <c r="L636" s="417"/>
      <c r="M636" s="417" t="s">
        <v>28840</v>
      </c>
    </row>
    <row r="637" spans="1:13" x14ac:dyDescent="0.25">
      <c r="A637" s="417" t="s">
        <v>3385</v>
      </c>
      <c r="B637" s="417" t="s">
        <v>3405</v>
      </c>
      <c r="C637" s="417" t="s">
        <v>3581</v>
      </c>
      <c r="D637" s="417" t="s">
        <v>989</v>
      </c>
      <c r="E637" s="423">
        <v>71116.432958697565</v>
      </c>
      <c r="F637" s="423">
        <v>3648.8252802098859</v>
      </c>
      <c r="G637" s="422">
        <v>143546745.91416919</v>
      </c>
      <c r="H637" s="417" t="s">
        <v>2616</v>
      </c>
      <c r="I637" s="417" t="s">
        <v>1392</v>
      </c>
      <c r="J637" s="417" t="s">
        <v>3407</v>
      </c>
      <c r="K637" s="417" t="s">
        <v>3582</v>
      </c>
      <c r="L637" s="417"/>
      <c r="M637" s="417" t="s">
        <v>28840</v>
      </c>
    </row>
    <row r="638" spans="1:13" x14ac:dyDescent="0.25">
      <c r="A638" s="417" t="s">
        <v>3385</v>
      </c>
      <c r="B638" s="417" t="s">
        <v>3405</v>
      </c>
      <c r="C638" s="417" t="s">
        <v>3583</v>
      </c>
      <c r="D638" s="417" t="s">
        <v>989</v>
      </c>
      <c r="E638" s="423">
        <v>62889.948919140486</v>
      </c>
      <c r="F638" s="423">
        <v>3416.13627289841</v>
      </c>
      <c r="G638" s="422">
        <v>119160205.712772</v>
      </c>
      <c r="H638" s="417" t="s">
        <v>2616</v>
      </c>
      <c r="I638" s="417" t="s">
        <v>1392</v>
      </c>
      <c r="J638" s="417" t="s">
        <v>3407</v>
      </c>
      <c r="K638" s="417" t="s">
        <v>3584</v>
      </c>
      <c r="L638" s="417"/>
      <c r="M638" s="417" t="s">
        <v>28840</v>
      </c>
    </row>
    <row r="639" spans="1:13" x14ac:dyDescent="0.25">
      <c r="A639" s="417" t="s">
        <v>3385</v>
      </c>
      <c r="B639" s="417" t="s">
        <v>3405</v>
      </c>
      <c r="C639" s="417" t="s">
        <v>3585</v>
      </c>
      <c r="D639" s="417" t="s">
        <v>989</v>
      </c>
      <c r="E639" s="423">
        <v>70357.099514024856</v>
      </c>
      <c r="F639" s="423">
        <v>3639.9547166592379</v>
      </c>
      <c r="G639" s="422">
        <v>137391184.10498551</v>
      </c>
      <c r="H639" s="417" t="s">
        <v>2616</v>
      </c>
      <c r="I639" s="417" t="s">
        <v>1392</v>
      </c>
      <c r="J639" s="417" t="s">
        <v>3407</v>
      </c>
      <c r="K639" s="417" t="s">
        <v>3586</v>
      </c>
      <c r="L639" s="417"/>
      <c r="M639" s="417" t="s">
        <v>28840</v>
      </c>
    </row>
    <row r="640" spans="1:13" x14ac:dyDescent="0.25">
      <c r="A640" s="417" t="s">
        <v>3385</v>
      </c>
      <c r="B640" s="417" t="s">
        <v>3405</v>
      </c>
      <c r="C640" s="417" t="s">
        <v>3587</v>
      </c>
      <c r="D640" s="417" t="s">
        <v>989</v>
      </c>
      <c r="E640" s="423">
        <v>16377.938172366279</v>
      </c>
      <c r="F640" s="423">
        <v>601.67357441972422</v>
      </c>
      <c r="G640" s="422">
        <v>47453256.53069368</v>
      </c>
      <c r="H640" s="417" t="s">
        <v>2616</v>
      </c>
      <c r="I640" s="417" t="s">
        <v>1392</v>
      </c>
      <c r="J640" s="417" t="s">
        <v>3588</v>
      </c>
      <c r="K640" s="417" t="s">
        <v>3589</v>
      </c>
      <c r="L640" s="417"/>
      <c r="M640" s="417" t="s">
        <v>28840</v>
      </c>
    </row>
    <row r="641" spans="1:13" x14ac:dyDescent="0.25">
      <c r="A641" s="417" t="s">
        <v>3385</v>
      </c>
      <c r="B641" s="417" t="s">
        <v>2627</v>
      </c>
      <c r="C641" s="417" t="s">
        <v>3590</v>
      </c>
      <c r="D641" s="417" t="s">
        <v>88</v>
      </c>
      <c r="E641" s="423">
        <v>1.6985113602751201</v>
      </c>
      <c r="F641" s="423">
        <v>3.0984653021773691E-2</v>
      </c>
      <c r="G641" s="422">
        <v>3134.2194208118831</v>
      </c>
      <c r="H641" s="417" t="s">
        <v>2616</v>
      </c>
      <c r="I641" s="417" t="s">
        <v>1392</v>
      </c>
      <c r="J641" s="417" t="s">
        <v>3396</v>
      </c>
      <c r="K641" s="417" t="s">
        <v>3591</v>
      </c>
      <c r="L641" s="417"/>
      <c r="M641" s="417" t="s">
        <v>28840</v>
      </c>
    </row>
    <row r="642" spans="1:13" x14ac:dyDescent="0.25">
      <c r="A642" s="417" t="s">
        <v>3385</v>
      </c>
      <c r="B642" s="417" t="s">
        <v>2627</v>
      </c>
      <c r="C642" s="417" t="s">
        <v>3592</v>
      </c>
      <c r="D642" s="417" t="s">
        <v>88</v>
      </c>
      <c r="E642" s="423">
        <v>10.80069035039576</v>
      </c>
      <c r="F642" s="423">
        <v>0.37463108836890718</v>
      </c>
      <c r="G642" s="422">
        <v>31259.92830411527</v>
      </c>
      <c r="H642" s="417" t="s">
        <v>2616</v>
      </c>
      <c r="I642" s="417" t="s">
        <v>1392</v>
      </c>
      <c r="J642" s="417" t="s">
        <v>3387</v>
      </c>
      <c r="K642" s="417" t="s">
        <v>3593</v>
      </c>
      <c r="L642" s="417"/>
      <c r="M642" s="417" t="s">
        <v>28840</v>
      </c>
    </row>
    <row r="643" spans="1:13" x14ac:dyDescent="0.25">
      <c r="A643" s="417" t="s">
        <v>3385</v>
      </c>
      <c r="B643" s="417" t="s">
        <v>2627</v>
      </c>
      <c r="C643" s="417" t="s">
        <v>3594</v>
      </c>
      <c r="D643" s="417" t="s">
        <v>88</v>
      </c>
      <c r="E643" s="423">
        <v>11.190203852825841</v>
      </c>
      <c r="F643" s="423">
        <v>0.40064424814192628</v>
      </c>
      <c r="G643" s="422">
        <v>31545.918972687501</v>
      </c>
      <c r="H643" s="417" t="s">
        <v>2616</v>
      </c>
      <c r="I643" s="417" t="s">
        <v>1392</v>
      </c>
      <c r="J643" s="417" t="s">
        <v>3387</v>
      </c>
      <c r="K643" s="417" t="s">
        <v>3595</v>
      </c>
      <c r="L643" s="417"/>
      <c r="M643" s="417" t="s">
        <v>28840</v>
      </c>
    </row>
    <row r="644" spans="1:13" x14ac:dyDescent="0.25">
      <c r="A644" s="417" t="s">
        <v>3385</v>
      </c>
      <c r="B644" s="417" t="s">
        <v>2627</v>
      </c>
      <c r="C644" s="417" t="s">
        <v>972</v>
      </c>
      <c r="D644" s="417" t="s">
        <v>88</v>
      </c>
      <c r="E644" s="423">
        <v>1.4793071271700331</v>
      </c>
      <c r="F644" s="423">
        <v>5.784682775585144E-2</v>
      </c>
      <c r="G644" s="422">
        <v>2623.2784504207189</v>
      </c>
      <c r="H644" s="417" t="s">
        <v>2616</v>
      </c>
      <c r="I644" s="417" t="s">
        <v>28841</v>
      </c>
      <c r="J644" s="417" t="s">
        <v>3596</v>
      </c>
      <c r="K644" s="417" t="s">
        <v>3597</v>
      </c>
      <c r="L644" s="417"/>
      <c r="M644" s="417" t="s">
        <v>28840</v>
      </c>
    </row>
    <row r="645" spans="1:13" x14ac:dyDescent="0.25">
      <c r="A645" s="417" t="s">
        <v>3385</v>
      </c>
      <c r="B645" s="417" t="s">
        <v>2627</v>
      </c>
      <c r="C645" s="417" t="s">
        <v>3598</v>
      </c>
      <c r="D645" s="417" t="s">
        <v>88</v>
      </c>
      <c r="E645" s="423">
        <v>2.636173497915935</v>
      </c>
      <c r="F645" s="423">
        <v>7.400222165959236E-2</v>
      </c>
      <c r="G645" s="422">
        <v>4696.7805533070377</v>
      </c>
      <c r="H645" s="417" t="s">
        <v>2616</v>
      </c>
      <c r="I645" s="417" t="s">
        <v>1392</v>
      </c>
      <c r="J645" s="417" t="s">
        <v>3396</v>
      </c>
      <c r="K645" s="417" t="s">
        <v>3599</v>
      </c>
      <c r="L645" s="417"/>
      <c r="M645" s="417" t="s">
        <v>28840</v>
      </c>
    </row>
    <row r="646" spans="1:13" x14ac:dyDescent="0.25">
      <c r="A646" s="417" t="s">
        <v>3385</v>
      </c>
      <c r="B646" s="417" t="s">
        <v>2627</v>
      </c>
      <c r="C646" s="417" t="s">
        <v>3600</v>
      </c>
      <c r="D646" s="417" t="s">
        <v>88</v>
      </c>
      <c r="E646" s="423">
        <v>3.6836467476553429</v>
      </c>
      <c r="F646" s="423">
        <v>9.8032856245871519E-2</v>
      </c>
      <c r="G646" s="422">
        <v>5969.9369557568853</v>
      </c>
      <c r="H646" s="417" t="s">
        <v>2616</v>
      </c>
      <c r="I646" s="417" t="s">
        <v>1392</v>
      </c>
      <c r="J646" s="417" t="s">
        <v>3396</v>
      </c>
      <c r="K646" s="417" t="s">
        <v>3601</v>
      </c>
      <c r="L646" s="417"/>
      <c r="M646" s="417" t="s">
        <v>28840</v>
      </c>
    </row>
    <row r="647" spans="1:13" x14ac:dyDescent="0.25">
      <c r="A647" s="417" t="s">
        <v>3385</v>
      </c>
      <c r="B647" s="417" t="s">
        <v>2627</v>
      </c>
      <c r="C647" s="417" t="s">
        <v>3602</v>
      </c>
      <c r="D647" s="417" t="s">
        <v>88</v>
      </c>
      <c r="E647" s="423">
        <v>3.4427279005542841</v>
      </c>
      <c r="F647" s="423">
        <v>9.2505810352896456E-2</v>
      </c>
      <c r="G647" s="422">
        <v>5677.1109841834896</v>
      </c>
      <c r="H647" s="417" t="s">
        <v>2616</v>
      </c>
      <c r="I647" s="417" t="s">
        <v>1392</v>
      </c>
      <c r="J647" s="417" t="s">
        <v>3396</v>
      </c>
      <c r="K647" s="417" t="s">
        <v>3603</v>
      </c>
      <c r="L647" s="417"/>
      <c r="M647" s="417" t="s">
        <v>28840</v>
      </c>
    </row>
    <row r="648" spans="1:13" x14ac:dyDescent="0.25">
      <c r="A648" s="417" t="s">
        <v>3385</v>
      </c>
      <c r="B648" s="417" t="s">
        <v>2627</v>
      </c>
      <c r="C648" s="417" t="s">
        <v>962</v>
      </c>
      <c r="D648" s="417" t="s">
        <v>88</v>
      </c>
      <c r="E648" s="423">
        <v>2.3094711773518779</v>
      </c>
      <c r="F648" s="423">
        <v>4.9445522270833847E-3</v>
      </c>
      <c r="G648" s="422">
        <v>3390.9234541934829</v>
      </c>
      <c r="H648" s="417" t="s">
        <v>2616</v>
      </c>
      <c r="I648" s="417" t="s">
        <v>28841</v>
      </c>
      <c r="J648" s="417" t="s">
        <v>3396</v>
      </c>
      <c r="K648" s="417" t="s">
        <v>3604</v>
      </c>
      <c r="L648" s="417"/>
      <c r="M648" s="417" t="s">
        <v>28840</v>
      </c>
    </row>
    <row r="649" spans="1:13" x14ac:dyDescent="0.25">
      <c r="A649" s="417" t="s">
        <v>3385</v>
      </c>
      <c r="B649" s="417" t="s">
        <v>2627</v>
      </c>
      <c r="C649" s="417" t="s">
        <v>3605</v>
      </c>
      <c r="D649" s="417" t="s">
        <v>88</v>
      </c>
      <c r="E649" s="423">
        <v>3.1019772487631809</v>
      </c>
      <c r="F649" s="423">
        <v>3.0948585492567331E-2</v>
      </c>
      <c r="G649" s="422">
        <v>5221.0509763987957</v>
      </c>
      <c r="H649" s="417" t="s">
        <v>2616</v>
      </c>
      <c r="I649" s="417" t="s">
        <v>1392</v>
      </c>
      <c r="J649" s="417" t="s">
        <v>3396</v>
      </c>
      <c r="K649" s="417" t="s">
        <v>3606</v>
      </c>
      <c r="L649" s="417"/>
      <c r="M649" s="417" t="s">
        <v>28840</v>
      </c>
    </row>
    <row r="650" spans="1:13" x14ac:dyDescent="0.25">
      <c r="A650" s="417" t="s">
        <v>3385</v>
      </c>
      <c r="B650" s="417" t="s">
        <v>2627</v>
      </c>
      <c r="C650" s="417" t="s">
        <v>3607</v>
      </c>
      <c r="D650" s="417" t="s">
        <v>88</v>
      </c>
      <c r="E650" s="423">
        <v>1.2079115068695729</v>
      </c>
      <c r="F650" s="423">
        <v>0.14752718118654901</v>
      </c>
      <c r="G650" s="422">
        <v>2666.952132080005</v>
      </c>
      <c r="H650" s="417" t="s">
        <v>2616</v>
      </c>
      <c r="I650" s="417" t="s">
        <v>1392</v>
      </c>
      <c r="J650" s="417" t="s">
        <v>3396</v>
      </c>
      <c r="K650" s="417" t="s">
        <v>3608</v>
      </c>
      <c r="L650" s="417"/>
      <c r="M650" s="417" t="s">
        <v>28840</v>
      </c>
    </row>
    <row r="651" spans="1:13" x14ac:dyDescent="0.25">
      <c r="A651" s="417" t="s">
        <v>3385</v>
      </c>
      <c r="B651" s="417" t="s">
        <v>2627</v>
      </c>
      <c r="C651" s="417" t="s">
        <v>3609</v>
      </c>
      <c r="D651" s="417" t="s">
        <v>88</v>
      </c>
      <c r="E651" s="423">
        <v>7.1843172928300234</v>
      </c>
      <c r="F651" s="423">
        <v>0.23902939275955051</v>
      </c>
      <c r="G651" s="422">
        <v>17034.210594525579</v>
      </c>
      <c r="H651" s="417" t="s">
        <v>2616</v>
      </c>
      <c r="I651" s="417" t="s">
        <v>1392</v>
      </c>
      <c r="J651" s="417" t="s">
        <v>3387</v>
      </c>
      <c r="K651" s="417" t="s">
        <v>3610</v>
      </c>
      <c r="L651" s="417"/>
      <c r="M651" s="417" t="s">
        <v>28840</v>
      </c>
    </row>
    <row r="652" spans="1:13" x14ac:dyDescent="0.25">
      <c r="A652" s="417" t="s">
        <v>3385</v>
      </c>
      <c r="B652" s="417" t="s">
        <v>2627</v>
      </c>
      <c r="C652" s="417" t="s">
        <v>973</v>
      </c>
      <c r="D652" s="417" t="s">
        <v>88</v>
      </c>
      <c r="E652" s="423">
        <v>2.2037123194210699</v>
      </c>
      <c r="F652" s="423">
        <v>2.3593773251227919E-2</v>
      </c>
      <c r="G652" s="422">
        <v>3064.7372080537898</v>
      </c>
      <c r="H652" s="417" t="s">
        <v>2616</v>
      </c>
      <c r="I652" s="417" t="s">
        <v>28841</v>
      </c>
      <c r="J652" s="417" t="s">
        <v>3596</v>
      </c>
      <c r="K652" s="417" t="s">
        <v>3611</v>
      </c>
      <c r="L652" s="417"/>
      <c r="M652" s="417" t="s">
        <v>28840</v>
      </c>
    </row>
    <row r="653" spans="1:13" x14ac:dyDescent="0.25">
      <c r="A653" s="417" t="s">
        <v>3385</v>
      </c>
      <c r="B653" s="417" t="s">
        <v>2627</v>
      </c>
      <c r="C653" s="417" t="s">
        <v>3612</v>
      </c>
      <c r="D653" s="417" t="s">
        <v>88</v>
      </c>
      <c r="E653" s="423">
        <v>1.4395977646555</v>
      </c>
      <c r="F653" s="423">
        <v>3.7663640599955993E-2</v>
      </c>
      <c r="G653" s="422">
        <v>2398.9342686871441</v>
      </c>
      <c r="H653" s="417" t="s">
        <v>2616</v>
      </c>
      <c r="I653" s="417" t="s">
        <v>1392</v>
      </c>
      <c r="J653" s="417" t="s">
        <v>3396</v>
      </c>
      <c r="K653" s="417" t="s">
        <v>3613</v>
      </c>
      <c r="L653" s="417"/>
      <c r="M653" s="417" t="s">
        <v>28840</v>
      </c>
    </row>
    <row r="654" spans="1:13" x14ac:dyDescent="0.25">
      <c r="A654" s="417" t="s">
        <v>3385</v>
      </c>
      <c r="B654" s="417" t="s">
        <v>2627</v>
      </c>
      <c r="C654" s="417" t="s">
        <v>3614</v>
      </c>
      <c r="D654" s="417" t="s">
        <v>88</v>
      </c>
      <c r="E654" s="423">
        <v>2.0601717898294232</v>
      </c>
      <c r="F654" s="423">
        <v>5.9127526950173981E-2</v>
      </c>
      <c r="G654" s="422">
        <v>3755.5795518938098</v>
      </c>
      <c r="H654" s="417" t="s">
        <v>2616</v>
      </c>
      <c r="I654" s="417" t="s">
        <v>1392</v>
      </c>
      <c r="J654" s="417" t="s">
        <v>3396</v>
      </c>
      <c r="K654" s="417" t="s">
        <v>3615</v>
      </c>
      <c r="L654" s="417"/>
      <c r="M654" s="417" t="s">
        <v>28840</v>
      </c>
    </row>
    <row r="655" spans="1:13" x14ac:dyDescent="0.25">
      <c r="A655" s="417" t="s">
        <v>3385</v>
      </c>
      <c r="B655" s="417" t="s">
        <v>2627</v>
      </c>
      <c r="C655" s="417" t="s">
        <v>923</v>
      </c>
      <c r="D655" s="417" t="s">
        <v>88</v>
      </c>
      <c r="E655" s="423">
        <v>0.41647112149589549</v>
      </c>
      <c r="F655" s="423">
        <v>9.8509421549568561E-3</v>
      </c>
      <c r="G655" s="422">
        <v>725.4773448740774</v>
      </c>
      <c r="H655" s="417" t="s">
        <v>2616</v>
      </c>
      <c r="I655" s="417" t="s">
        <v>28841</v>
      </c>
      <c r="J655" s="417" t="s">
        <v>3616</v>
      </c>
      <c r="K655" s="417" t="s">
        <v>3617</v>
      </c>
      <c r="L655" s="417"/>
      <c r="M655" s="417" t="s">
        <v>28840</v>
      </c>
    </row>
    <row r="656" spans="1:13" x14ac:dyDescent="0.25">
      <c r="A656" s="417" t="s">
        <v>3385</v>
      </c>
      <c r="B656" s="417" t="s">
        <v>2627</v>
      </c>
      <c r="C656" s="417" t="s">
        <v>3618</v>
      </c>
      <c r="D656" s="417" t="s">
        <v>88</v>
      </c>
      <c r="E656" s="423">
        <v>0.83775920426575623</v>
      </c>
      <c r="F656" s="423">
        <v>2.854005875069791E-2</v>
      </c>
      <c r="G656" s="422">
        <v>1519.174360709721</v>
      </c>
      <c r="H656" s="417" t="s">
        <v>2616</v>
      </c>
      <c r="I656" s="417" t="s">
        <v>1392</v>
      </c>
      <c r="J656" s="417" t="s">
        <v>3619</v>
      </c>
      <c r="K656" s="417" t="s">
        <v>3620</v>
      </c>
      <c r="L656" s="417"/>
      <c r="M656" s="417" t="s">
        <v>28840</v>
      </c>
    </row>
    <row r="657" spans="1:13" x14ac:dyDescent="0.25">
      <c r="A657" s="417" t="s">
        <v>3385</v>
      </c>
      <c r="B657" s="417" t="s">
        <v>2627</v>
      </c>
      <c r="C657" s="417" t="s">
        <v>3621</v>
      </c>
      <c r="D657" s="417" t="s">
        <v>88</v>
      </c>
      <c r="E657" s="423">
        <v>0.97724611148674434</v>
      </c>
      <c r="F657" s="423">
        <v>3.3291978508456679E-2</v>
      </c>
      <c r="G657" s="422">
        <v>1772.116891233163</v>
      </c>
      <c r="H657" s="417" t="s">
        <v>2616</v>
      </c>
      <c r="I657" s="417" t="s">
        <v>1392</v>
      </c>
      <c r="J657" s="417" t="s">
        <v>3619</v>
      </c>
      <c r="K657" s="417" t="s">
        <v>3622</v>
      </c>
      <c r="L657" s="417"/>
      <c r="M657" s="417" t="s">
        <v>28840</v>
      </c>
    </row>
    <row r="658" spans="1:13" x14ac:dyDescent="0.25">
      <c r="A658" s="417" t="s">
        <v>3385</v>
      </c>
      <c r="B658" s="417" t="s">
        <v>2627</v>
      </c>
      <c r="C658" s="417" t="s">
        <v>3623</v>
      </c>
      <c r="D658" s="417" t="s">
        <v>88</v>
      </c>
      <c r="E658" s="423">
        <v>1.7893481355181691</v>
      </c>
      <c r="F658" s="423">
        <v>5.558222127036995E-2</v>
      </c>
      <c r="G658" s="422">
        <v>3261.5662880406921</v>
      </c>
      <c r="H658" s="417" t="s">
        <v>2616</v>
      </c>
      <c r="I658" s="417" t="s">
        <v>1392</v>
      </c>
      <c r="J658" s="417" t="s">
        <v>3624</v>
      </c>
      <c r="K658" s="417" t="s">
        <v>3625</v>
      </c>
      <c r="L658" s="417"/>
      <c r="M658" s="417" t="s">
        <v>28840</v>
      </c>
    </row>
    <row r="659" spans="1:13" x14ac:dyDescent="0.25">
      <c r="A659" s="417" t="s">
        <v>3385</v>
      </c>
      <c r="B659" s="417" t="s">
        <v>2627</v>
      </c>
      <c r="C659" s="417" t="s">
        <v>3626</v>
      </c>
      <c r="D659" s="417" t="s">
        <v>88</v>
      </c>
      <c r="E659" s="423">
        <v>4.7757060863669043</v>
      </c>
      <c r="F659" s="423">
        <v>4.8356517921781868E-2</v>
      </c>
      <c r="G659" s="422">
        <v>6616.7534986879082</v>
      </c>
      <c r="H659" s="417" t="s">
        <v>2616</v>
      </c>
      <c r="I659" s="417" t="s">
        <v>1392</v>
      </c>
      <c r="J659" s="417" t="s">
        <v>3627</v>
      </c>
      <c r="K659" s="417" t="s">
        <v>3628</v>
      </c>
      <c r="L659" s="417"/>
      <c r="M659" s="417" t="s">
        <v>28840</v>
      </c>
    </row>
    <row r="660" spans="1:13" x14ac:dyDescent="0.25">
      <c r="A660" s="417" t="s">
        <v>3385</v>
      </c>
      <c r="B660" s="417" t="s">
        <v>2627</v>
      </c>
      <c r="C660" s="417" t="s">
        <v>1011</v>
      </c>
      <c r="D660" s="417" t="s">
        <v>88</v>
      </c>
      <c r="E660" s="423">
        <v>4.5215379973532288</v>
      </c>
      <c r="F660" s="423">
        <v>2.6656694643621959E-2</v>
      </c>
      <c r="G660" s="422">
        <v>6156.7294036066942</v>
      </c>
      <c r="H660" s="417" t="s">
        <v>2616</v>
      </c>
      <c r="I660" s="417" t="s">
        <v>28841</v>
      </c>
      <c r="J660" s="417" t="s">
        <v>3629</v>
      </c>
      <c r="K660" s="417" t="s">
        <v>3630</v>
      </c>
      <c r="L660" s="417"/>
      <c r="M660" s="417" t="s">
        <v>28840</v>
      </c>
    </row>
    <row r="661" spans="1:13" x14ac:dyDescent="0.25">
      <c r="A661" s="417" t="s">
        <v>3385</v>
      </c>
      <c r="B661" s="417" t="s">
        <v>2627</v>
      </c>
      <c r="C661" s="417" t="s">
        <v>3631</v>
      </c>
      <c r="D661" s="417" t="s">
        <v>88</v>
      </c>
      <c r="E661" s="423">
        <v>3.1019783236321712</v>
      </c>
      <c r="F661" s="423">
        <v>3.094859628694872E-2</v>
      </c>
      <c r="G661" s="422">
        <v>5221.0523645440016</v>
      </c>
      <c r="H661" s="417" t="s">
        <v>2616</v>
      </c>
      <c r="I661" s="417" t="s">
        <v>1392</v>
      </c>
      <c r="J661" s="417" t="s">
        <v>3396</v>
      </c>
      <c r="K661" s="417" t="s">
        <v>3632</v>
      </c>
      <c r="L661" s="417"/>
      <c r="M661" s="417" t="s">
        <v>28840</v>
      </c>
    </row>
    <row r="662" spans="1:13" x14ac:dyDescent="0.25">
      <c r="A662" s="417" t="s">
        <v>3385</v>
      </c>
      <c r="B662" s="417" t="s">
        <v>2627</v>
      </c>
      <c r="C662" s="417" t="s">
        <v>979</v>
      </c>
      <c r="D662" s="417" t="s">
        <v>88</v>
      </c>
      <c r="E662" s="423">
        <v>4.6338470634944287</v>
      </c>
      <c r="F662" s="423">
        <v>2.4803274713402011E-2</v>
      </c>
      <c r="G662" s="422">
        <v>9905.9357713923346</v>
      </c>
      <c r="H662" s="417" t="s">
        <v>2616</v>
      </c>
      <c r="I662" s="417" t="s">
        <v>28841</v>
      </c>
      <c r="J662" s="417" t="s">
        <v>3633</v>
      </c>
      <c r="K662" s="417" t="s">
        <v>3634</v>
      </c>
      <c r="L662" s="417"/>
      <c r="M662" s="417" t="s">
        <v>28840</v>
      </c>
    </row>
    <row r="663" spans="1:13" x14ac:dyDescent="0.25">
      <c r="A663" s="417" t="s">
        <v>3385</v>
      </c>
      <c r="B663" s="417" t="s">
        <v>2627</v>
      </c>
      <c r="C663" s="417" t="s">
        <v>3635</v>
      </c>
      <c r="D663" s="417" t="s">
        <v>88</v>
      </c>
      <c r="E663" s="423">
        <v>0.44765200552990991</v>
      </c>
      <c r="F663" s="423">
        <v>2.9496238969800921E-2</v>
      </c>
      <c r="G663" s="422">
        <v>671.99029798008644</v>
      </c>
      <c r="H663" s="417" t="s">
        <v>2616</v>
      </c>
      <c r="I663" s="417" t="s">
        <v>1392</v>
      </c>
      <c r="J663" s="417" t="s">
        <v>3619</v>
      </c>
      <c r="K663" s="417" t="s">
        <v>3636</v>
      </c>
      <c r="L663" s="417"/>
      <c r="M663" s="417" t="s">
        <v>28840</v>
      </c>
    </row>
    <row r="664" spans="1:13" x14ac:dyDescent="0.25">
      <c r="A664" s="417" t="s">
        <v>3385</v>
      </c>
      <c r="B664" s="417" t="s">
        <v>2627</v>
      </c>
      <c r="C664" s="417" t="s">
        <v>3637</v>
      </c>
      <c r="D664" s="417" t="s">
        <v>88</v>
      </c>
      <c r="E664" s="423">
        <v>0.4113583518320964</v>
      </c>
      <c r="F664" s="423">
        <v>2.7106769936962531E-2</v>
      </c>
      <c r="G664" s="422">
        <v>617.53191094336682</v>
      </c>
      <c r="H664" s="417" t="s">
        <v>2616</v>
      </c>
      <c r="I664" s="417" t="s">
        <v>1392</v>
      </c>
      <c r="J664" s="417" t="s">
        <v>3619</v>
      </c>
      <c r="K664" s="417" t="s">
        <v>3638</v>
      </c>
      <c r="L664" s="417"/>
      <c r="M664" s="417" t="s">
        <v>28840</v>
      </c>
    </row>
    <row r="665" spans="1:13" x14ac:dyDescent="0.25">
      <c r="A665" s="417" t="s">
        <v>3385</v>
      </c>
      <c r="B665" s="417" t="s">
        <v>2627</v>
      </c>
      <c r="C665" s="417" t="s">
        <v>3639</v>
      </c>
      <c r="D665" s="417" t="s">
        <v>88</v>
      </c>
      <c r="E665" s="423">
        <v>0.43687305160510781</v>
      </c>
      <c r="F665" s="423">
        <v>3.1119328492257081E-2</v>
      </c>
      <c r="G665" s="422">
        <v>678.27434145568736</v>
      </c>
      <c r="H665" s="417" t="s">
        <v>2616</v>
      </c>
      <c r="I665" s="417" t="s">
        <v>1392</v>
      </c>
      <c r="J665" s="417" t="s">
        <v>3619</v>
      </c>
      <c r="K665" s="417" t="s">
        <v>3640</v>
      </c>
      <c r="L665" s="417"/>
      <c r="M665" s="417" t="s">
        <v>28840</v>
      </c>
    </row>
    <row r="666" spans="1:13" x14ac:dyDescent="0.25">
      <c r="A666" s="417" t="s">
        <v>3385</v>
      </c>
      <c r="B666" s="417" t="s">
        <v>2627</v>
      </c>
      <c r="C666" s="417" t="s">
        <v>3641</v>
      </c>
      <c r="D666" s="417" t="s">
        <v>88</v>
      </c>
      <c r="E666" s="423">
        <v>0.40145357241052521</v>
      </c>
      <c r="F666" s="423">
        <v>2.8598227298729861E-2</v>
      </c>
      <c r="G666" s="422">
        <v>623.30631779513442</v>
      </c>
      <c r="H666" s="417" t="s">
        <v>2616</v>
      </c>
      <c r="I666" s="417" t="s">
        <v>1392</v>
      </c>
      <c r="J666" s="417" t="s">
        <v>3619</v>
      </c>
      <c r="K666" s="417" t="s">
        <v>3642</v>
      </c>
      <c r="L666" s="417"/>
      <c r="M666" s="417" t="s">
        <v>28840</v>
      </c>
    </row>
    <row r="667" spans="1:13" x14ac:dyDescent="0.25">
      <c r="A667" s="417" t="s">
        <v>3385</v>
      </c>
      <c r="B667" s="417" t="s">
        <v>2627</v>
      </c>
      <c r="C667" s="417" t="s">
        <v>3643</v>
      </c>
      <c r="D667" s="417" t="s">
        <v>88</v>
      </c>
      <c r="E667" s="423">
        <v>0.66682927428239791</v>
      </c>
      <c r="F667" s="423">
        <v>2.3511432479170469E-2</v>
      </c>
      <c r="G667" s="422">
        <v>1210.668475202815</v>
      </c>
      <c r="H667" s="417" t="s">
        <v>2616</v>
      </c>
      <c r="I667" s="417" t="s">
        <v>1392</v>
      </c>
      <c r="J667" s="417" t="s">
        <v>3619</v>
      </c>
      <c r="K667" s="417" t="s">
        <v>3644</v>
      </c>
      <c r="L667" s="417"/>
      <c r="M667" s="417" t="s">
        <v>28840</v>
      </c>
    </row>
    <row r="668" spans="1:13" x14ac:dyDescent="0.25">
      <c r="A668" s="417" t="s">
        <v>3385</v>
      </c>
      <c r="B668" s="417" t="s">
        <v>2627</v>
      </c>
      <c r="C668" s="417" t="s">
        <v>3645</v>
      </c>
      <c r="D668" s="417" t="s">
        <v>88</v>
      </c>
      <c r="E668" s="423">
        <v>0.78152391186661108</v>
      </c>
      <c r="F668" s="423">
        <v>2.755539895282625E-2</v>
      </c>
      <c r="G668" s="422">
        <v>1418.90345725935</v>
      </c>
      <c r="H668" s="417" t="s">
        <v>2616</v>
      </c>
      <c r="I668" s="417" t="s">
        <v>1392</v>
      </c>
      <c r="J668" s="417" t="s">
        <v>3619</v>
      </c>
      <c r="K668" s="417" t="s">
        <v>3646</v>
      </c>
      <c r="L668" s="417"/>
      <c r="M668" s="417" t="s">
        <v>28840</v>
      </c>
    </row>
    <row r="669" spans="1:13" x14ac:dyDescent="0.25">
      <c r="A669" s="417" t="s">
        <v>3385</v>
      </c>
      <c r="B669" s="417" t="s">
        <v>2627</v>
      </c>
      <c r="C669" s="417" t="s">
        <v>3647</v>
      </c>
      <c r="D669" s="417" t="s">
        <v>88</v>
      </c>
      <c r="E669" s="423">
        <v>23.696071389938471</v>
      </c>
      <c r="F669" s="423">
        <v>0.1074270244687532</v>
      </c>
      <c r="G669" s="422">
        <v>26628.87264273403</v>
      </c>
      <c r="H669" s="417" t="s">
        <v>2616</v>
      </c>
      <c r="I669" s="417" t="s">
        <v>1392</v>
      </c>
      <c r="J669" s="417" t="s">
        <v>3596</v>
      </c>
      <c r="K669" s="417" t="s">
        <v>3648</v>
      </c>
      <c r="L669" s="417"/>
      <c r="M669" s="417" t="s">
        <v>28840</v>
      </c>
    </row>
    <row r="670" spans="1:13" x14ac:dyDescent="0.25">
      <c r="A670" s="417" t="s">
        <v>3385</v>
      </c>
      <c r="B670" s="417" t="s">
        <v>2437</v>
      </c>
      <c r="C670" s="417" t="s">
        <v>3649</v>
      </c>
      <c r="D670" s="417" t="s">
        <v>989</v>
      </c>
      <c r="E670" s="423">
        <v>71747.712609238428</v>
      </c>
      <c r="F670" s="423">
        <v>1456.3046764964481</v>
      </c>
      <c r="G670" s="422">
        <v>154077533.6832276</v>
      </c>
      <c r="H670" s="417" t="s">
        <v>2616</v>
      </c>
      <c r="I670" s="417" t="s">
        <v>1392</v>
      </c>
      <c r="J670" s="417" t="s">
        <v>3650</v>
      </c>
      <c r="K670" s="417" t="s">
        <v>3651</v>
      </c>
      <c r="L670" s="417"/>
      <c r="M670" s="417" t="s">
        <v>28840</v>
      </c>
    </row>
    <row r="671" spans="1:13" x14ac:dyDescent="0.25">
      <c r="A671" s="417" t="s">
        <v>3385</v>
      </c>
      <c r="B671" s="417" t="s">
        <v>2627</v>
      </c>
      <c r="C671" s="417" t="s">
        <v>3652</v>
      </c>
      <c r="D671" s="417" t="s">
        <v>88</v>
      </c>
      <c r="E671" s="423">
        <v>29.567500347061539</v>
      </c>
      <c r="F671" s="423">
        <v>1.267127420964254</v>
      </c>
      <c r="G671" s="422">
        <v>48433.711723785891</v>
      </c>
      <c r="H671" s="417" t="s">
        <v>2616</v>
      </c>
      <c r="I671" s="417" t="s">
        <v>1392</v>
      </c>
      <c r="J671" s="417" t="s">
        <v>3653</v>
      </c>
      <c r="K671" s="417" t="s">
        <v>3654</v>
      </c>
      <c r="L671" s="417"/>
      <c r="M671" s="417" t="s">
        <v>28840</v>
      </c>
    </row>
    <row r="672" spans="1:13" x14ac:dyDescent="0.25">
      <c r="A672" s="417" t="s">
        <v>3385</v>
      </c>
      <c r="B672" s="417" t="s">
        <v>3655</v>
      </c>
      <c r="C672" s="417" t="s">
        <v>3656</v>
      </c>
      <c r="D672" s="417" t="s">
        <v>88</v>
      </c>
      <c r="E672" s="423">
        <v>4.7770218227673213</v>
      </c>
      <c r="F672" s="423">
        <v>0.1007204862745187</v>
      </c>
      <c r="G672" s="422">
        <v>9201.9828589570461</v>
      </c>
      <c r="H672" s="417" t="s">
        <v>2616</v>
      </c>
      <c r="I672" s="417" t="s">
        <v>1392</v>
      </c>
      <c r="J672" s="417" t="s">
        <v>3657</v>
      </c>
      <c r="K672" s="417" t="s">
        <v>3658</v>
      </c>
      <c r="L672" s="417"/>
      <c r="M672" s="417" t="s">
        <v>28840</v>
      </c>
    </row>
    <row r="673" spans="1:13" x14ac:dyDescent="0.25">
      <c r="A673" s="417" t="s">
        <v>3385</v>
      </c>
      <c r="B673" s="417" t="s">
        <v>3655</v>
      </c>
      <c r="C673" s="417" t="s">
        <v>3659</v>
      </c>
      <c r="D673" s="417" t="s">
        <v>88</v>
      </c>
      <c r="E673" s="423">
        <v>5.4271963844981466</v>
      </c>
      <c r="F673" s="423">
        <v>0.1109265433530278</v>
      </c>
      <c r="G673" s="422">
        <v>10577.616289380039</v>
      </c>
      <c r="H673" s="417" t="s">
        <v>2616</v>
      </c>
      <c r="I673" s="417" t="s">
        <v>1392</v>
      </c>
      <c r="J673" s="417" t="s">
        <v>3657</v>
      </c>
      <c r="K673" s="417" t="s">
        <v>3660</v>
      </c>
      <c r="L673" s="417"/>
      <c r="M673" s="417" t="s">
        <v>28840</v>
      </c>
    </row>
    <row r="674" spans="1:13" x14ac:dyDescent="0.25">
      <c r="A674" s="417" t="s">
        <v>3385</v>
      </c>
      <c r="B674" s="417" t="s">
        <v>3655</v>
      </c>
      <c r="C674" s="417" t="s">
        <v>3661</v>
      </c>
      <c r="D674" s="417" t="s">
        <v>989</v>
      </c>
      <c r="E674" s="423">
        <v>11787.868992999291</v>
      </c>
      <c r="F674" s="423">
        <v>292.55018012477802</v>
      </c>
      <c r="G674" s="422">
        <v>33774009.452456467</v>
      </c>
      <c r="H674" s="417" t="s">
        <v>2616</v>
      </c>
      <c r="I674" s="417" t="s">
        <v>1392</v>
      </c>
      <c r="J674" s="417" t="s">
        <v>3662</v>
      </c>
      <c r="K674" s="417" t="s">
        <v>3663</v>
      </c>
      <c r="L674" s="417"/>
      <c r="M674" s="417" t="s">
        <v>28840</v>
      </c>
    </row>
    <row r="675" spans="1:13" x14ac:dyDescent="0.25">
      <c r="A675" s="417" t="s">
        <v>3385</v>
      </c>
      <c r="B675" s="417" t="s">
        <v>3655</v>
      </c>
      <c r="C675" s="417" t="s">
        <v>3664</v>
      </c>
      <c r="D675" s="417" t="s">
        <v>989</v>
      </c>
      <c r="E675" s="423">
        <v>528.73730161955177</v>
      </c>
      <c r="F675" s="423">
        <v>13.193561189372421</v>
      </c>
      <c r="G675" s="422">
        <v>1600268.619325764</v>
      </c>
      <c r="H675" s="417" t="s">
        <v>2616</v>
      </c>
      <c r="I675" s="417" t="s">
        <v>1392</v>
      </c>
      <c r="J675" s="417" t="s">
        <v>3662</v>
      </c>
      <c r="K675" s="417" t="s">
        <v>3665</v>
      </c>
      <c r="L675" s="417"/>
      <c r="M675" s="417" t="s">
        <v>28840</v>
      </c>
    </row>
    <row r="676" spans="1:13" x14ac:dyDescent="0.25">
      <c r="A676" s="417" t="s">
        <v>3385</v>
      </c>
      <c r="B676" s="417" t="s">
        <v>2627</v>
      </c>
      <c r="C676" s="417" t="s">
        <v>3666</v>
      </c>
      <c r="D676" s="417" t="s">
        <v>989</v>
      </c>
      <c r="E676" s="423">
        <v>35.551645245127787</v>
      </c>
      <c r="F676" s="423">
        <v>1.148501386484309</v>
      </c>
      <c r="G676" s="422">
        <v>98443.491570575366</v>
      </c>
      <c r="H676" s="417" t="s">
        <v>2616</v>
      </c>
      <c r="I676" s="417" t="s">
        <v>1392</v>
      </c>
      <c r="J676" s="417" t="s">
        <v>3667</v>
      </c>
      <c r="K676" s="417" t="s">
        <v>3668</v>
      </c>
      <c r="L676" s="417"/>
      <c r="M676" s="417" t="s">
        <v>28840</v>
      </c>
    </row>
    <row r="677" spans="1:13" x14ac:dyDescent="0.25">
      <c r="A677" s="417" t="s">
        <v>3385</v>
      </c>
      <c r="B677" s="417" t="s">
        <v>2627</v>
      </c>
      <c r="C677" s="417" t="s">
        <v>3669</v>
      </c>
      <c r="D677" s="417" t="s">
        <v>989</v>
      </c>
      <c r="E677" s="423">
        <v>1.751568975165358</v>
      </c>
      <c r="F677" s="423">
        <v>6.4702863914096909E-2</v>
      </c>
      <c r="G677" s="422">
        <v>4988.2725644485135</v>
      </c>
      <c r="H677" s="417" t="s">
        <v>2616</v>
      </c>
      <c r="I677" s="417" t="s">
        <v>1392</v>
      </c>
      <c r="J677" s="417" t="s">
        <v>3667</v>
      </c>
      <c r="K677" s="417" t="s">
        <v>3670</v>
      </c>
      <c r="L677" s="417"/>
      <c r="M677" s="417" t="s">
        <v>28840</v>
      </c>
    </row>
    <row r="678" spans="1:13" x14ac:dyDescent="0.25">
      <c r="A678" s="417" t="s">
        <v>3385</v>
      </c>
      <c r="B678" s="417" t="s">
        <v>2627</v>
      </c>
      <c r="C678" s="417" t="s">
        <v>3671</v>
      </c>
      <c r="D678" s="417" t="s">
        <v>989</v>
      </c>
      <c r="E678" s="423">
        <v>0.97822504377199693</v>
      </c>
      <c r="F678" s="423">
        <v>0.27105859698743279</v>
      </c>
      <c r="G678" s="422">
        <v>1744.806320187158</v>
      </c>
      <c r="H678" s="417" t="s">
        <v>2616</v>
      </c>
      <c r="I678" s="417" t="s">
        <v>1392</v>
      </c>
      <c r="J678" s="417" t="s">
        <v>3667</v>
      </c>
      <c r="K678" s="417" t="s">
        <v>3672</v>
      </c>
      <c r="L678" s="417"/>
      <c r="M678" s="417" t="s">
        <v>28840</v>
      </c>
    </row>
    <row r="679" spans="1:13" x14ac:dyDescent="0.25">
      <c r="A679" s="417" t="s">
        <v>3385</v>
      </c>
      <c r="B679" s="417" t="s">
        <v>2627</v>
      </c>
      <c r="C679" s="417" t="s">
        <v>3673</v>
      </c>
      <c r="D679" s="417" t="s">
        <v>989</v>
      </c>
      <c r="E679" s="423">
        <v>0.28730420425124431</v>
      </c>
      <c r="F679" s="423">
        <v>1.7051534853600159E-2</v>
      </c>
      <c r="G679" s="422">
        <v>494.23875304373149</v>
      </c>
      <c r="H679" s="417" t="s">
        <v>2616</v>
      </c>
      <c r="I679" s="417" t="s">
        <v>1392</v>
      </c>
      <c r="J679" s="417" t="s">
        <v>3667</v>
      </c>
      <c r="K679" s="417" t="s">
        <v>3674</v>
      </c>
      <c r="L679" s="417"/>
      <c r="M679" s="417" t="s">
        <v>28840</v>
      </c>
    </row>
    <row r="680" spans="1:13" x14ac:dyDescent="0.25">
      <c r="A680" s="417" t="s">
        <v>3385</v>
      </c>
      <c r="B680" s="417" t="s">
        <v>2627</v>
      </c>
      <c r="C680" s="417" t="s">
        <v>3675</v>
      </c>
      <c r="D680" s="417" t="s">
        <v>989</v>
      </c>
      <c r="E680" s="423">
        <v>570800.84145194315</v>
      </c>
      <c r="F680" s="423">
        <v>29419.321753869372</v>
      </c>
      <c r="G680" s="422">
        <v>1436106612.648479</v>
      </c>
      <c r="H680" s="417" t="s">
        <v>2616</v>
      </c>
      <c r="I680" s="417" t="s">
        <v>1392</v>
      </c>
      <c r="J680" s="417" t="s">
        <v>3676</v>
      </c>
      <c r="K680" s="417" t="s">
        <v>3677</v>
      </c>
      <c r="L680" s="417"/>
      <c r="M680" s="417" t="s">
        <v>28840</v>
      </c>
    </row>
    <row r="681" spans="1:13" x14ac:dyDescent="0.25">
      <c r="A681" s="417" t="s">
        <v>3385</v>
      </c>
      <c r="B681" s="417" t="s">
        <v>2437</v>
      </c>
      <c r="C681" s="417" t="s">
        <v>3678</v>
      </c>
      <c r="D681" s="417" t="s">
        <v>989</v>
      </c>
      <c r="E681" s="423">
        <v>4922819.8400172181</v>
      </c>
      <c r="F681" s="423">
        <v>278368.23588961171</v>
      </c>
      <c r="G681" s="422">
        <v>8761750237.1523113</v>
      </c>
      <c r="H681" s="417" t="s">
        <v>2616</v>
      </c>
      <c r="I681" s="417" t="s">
        <v>1392</v>
      </c>
      <c r="J681" s="417" t="s">
        <v>3679</v>
      </c>
      <c r="K681" s="417" t="s">
        <v>3680</v>
      </c>
      <c r="L681" s="417"/>
      <c r="M681" s="417" t="s">
        <v>28840</v>
      </c>
    </row>
    <row r="682" spans="1:13" x14ac:dyDescent="0.25">
      <c r="A682" s="417" t="s">
        <v>3385</v>
      </c>
      <c r="B682" s="417" t="s">
        <v>2437</v>
      </c>
      <c r="C682" s="417" t="s">
        <v>3681</v>
      </c>
      <c r="D682" s="417" t="s">
        <v>989</v>
      </c>
      <c r="E682" s="423">
        <v>1692916.379709274</v>
      </c>
      <c r="F682" s="423">
        <v>107616.446955924</v>
      </c>
      <c r="G682" s="422">
        <v>3007136893.7395892</v>
      </c>
      <c r="H682" s="417" t="s">
        <v>2616</v>
      </c>
      <c r="I682" s="417" t="s">
        <v>1392</v>
      </c>
      <c r="J682" s="417" t="s">
        <v>3679</v>
      </c>
      <c r="K682" s="417" t="s">
        <v>3682</v>
      </c>
      <c r="L682" s="417"/>
      <c r="M682" s="417" t="s">
        <v>28840</v>
      </c>
    </row>
    <row r="683" spans="1:13" x14ac:dyDescent="0.25">
      <c r="A683" s="417" t="s">
        <v>3385</v>
      </c>
      <c r="B683" s="417" t="s">
        <v>2437</v>
      </c>
      <c r="C683" s="417" t="s">
        <v>3683</v>
      </c>
      <c r="D683" s="417" t="s">
        <v>989</v>
      </c>
      <c r="E683" s="423">
        <v>355585822.80979419</v>
      </c>
      <c r="F683" s="423">
        <v>118814954.0463188</v>
      </c>
      <c r="G683" s="422">
        <v>963529714581.82166</v>
      </c>
      <c r="H683" s="417" t="s">
        <v>2616</v>
      </c>
      <c r="I683" s="417" t="s">
        <v>1392</v>
      </c>
      <c r="J683" s="417" t="s">
        <v>3679</v>
      </c>
      <c r="K683" s="417" t="s">
        <v>3684</v>
      </c>
      <c r="L683" s="417"/>
      <c r="M683" s="417" t="s">
        <v>28840</v>
      </c>
    </row>
    <row r="684" spans="1:13" x14ac:dyDescent="0.25">
      <c r="A684" s="417" t="s">
        <v>3385</v>
      </c>
      <c r="B684" s="417" t="s">
        <v>2627</v>
      </c>
      <c r="C684" s="417" t="s">
        <v>3685</v>
      </c>
      <c r="D684" s="417" t="s">
        <v>88</v>
      </c>
      <c r="E684" s="423">
        <v>2.4445435674475848</v>
      </c>
      <c r="F684" s="423">
        <v>1.85524721700344</v>
      </c>
      <c r="G684" s="422">
        <v>11344.01467430845</v>
      </c>
      <c r="H684" s="417" t="s">
        <v>2616</v>
      </c>
      <c r="I684" s="417" t="s">
        <v>1392</v>
      </c>
      <c r="J684" s="417" t="s">
        <v>3633</v>
      </c>
      <c r="K684" s="417" t="s">
        <v>3686</v>
      </c>
      <c r="L684" s="417"/>
      <c r="M684" s="417" t="s">
        <v>28840</v>
      </c>
    </row>
    <row r="685" spans="1:13" x14ac:dyDescent="0.25">
      <c r="A685" s="417" t="s">
        <v>3385</v>
      </c>
      <c r="B685" s="417" t="s">
        <v>2627</v>
      </c>
      <c r="C685" s="417" t="s">
        <v>3687</v>
      </c>
      <c r="D685" s="417" t="s">
        <v>88</v>
      </c>
      <c r="E685" s="423">
        <v>8.7282844401298938</v>
      </c>
      <c r="F685" s="423">
        <v>0.35497189138070312</v>
      </c>
      <c r="G685" s="422">
        <v>20815.006778071191</v>
      </c>
      <c r="H685" s="417" t="s">
        <v>2616</v>
      </c>
      <c r="I685" s="417" t="s">
        <v>1392</v>
      </c>
      <c r="J685" s="417" t="s">
        <v>3387</v>
      </c>
      <c r="K685" s="417" t="s">
        <v>3688</v>
      </c>
      <c r="L685" s="417"/>
      <c r="M685" s="417" t="s">
        <v>28840</v>
      </c>
    </row>
    <row r="686" spans="1:13" x14ac:dyDescent="0.25">
      <c r="A686" s="417" t="s">
        <v>3385</v>
      </c>
      <c r="B686" s="417" t="s">
        <v>2627</v>
      </c>
      <c r="C686" s="417" t="s">
        <v>925</v>
      </c>
      <c r="D686" s="417" t="s">
        <v>88</v>
      </c>
      <c r="E686" s="423">
        <v>2.716385333833605</v>
      </c>
      <c r="F686" s="423">
        <v>4.8434991288939723E-2</v>
      </c>
      <c r="G686" s="422">
        <v>5953.4864112474961</v>
      </c>
      <c r="H686" s="417" t="s">
        <v>2616</v>
      </c>
      <c r="I686" s="417" t="s">
        <v>28841</v>
      </c>
      <c r="J686" s="417" t="s">
        <v>3624</v>
      </c>
      <c r="K686" s="417" t="s">
        <v>3689</v>
      </c>
      <c r="L686" s="417"/>
      <c r="M686" s="417" t="s">
        <v>28840</v>
      </c>
    </row>
    <row r="687" spans="1:13" x14ac:dyDescent="0.25">
      <c r="A687" s="417" t="s">
        <v>3385</v>
      </c>
      <c r="B687" s="417" t="s">
        <v>2627</v>
      </c>
      <c r="C687" s="417" t="s">
        <v>3690</v>
      </c>
      <c r="D687" s="417" t="s">
        <v>88</v>
      </c>
      <c r="E687" s="423">
        <v>2.9625883509581499</v>
      </c>
      <c r="F687" s="423">
        <v>6.1864502636936623E-2</v>
      </c>
      <c r="G687" s="422">
        <v>7224.2492348171963</v>
      </c>
      <c r="H687" s="417" t="s">
        <v>2616</v>
      </c>
      <c r="I687" s="417" t="s">
        <v>1392</v>
      </c>
      <c r="J687" s="417" t="s">
        <v>3624</v>
      </c>
      <c r="K687" s="417" t="s">
        <v>3691</v>
      </c>
      <c r="L687" s="417"/>
      <c r="M687" s="417" t="s">
        <v>28840</v>
      </c>
    </row>
    <row r="688" spans="1:13" x14ac:dyDescent="0.25">
      <c r="A688" s="417" t="s">
        <v>3385</v>
      </c>
      <c r="B688" s="417" t="s">
        <v>2627</v>
      </c>
      <c r="C688" s="417" t="s">
        <v>3692</v>
      </c>
      <c r="D688" s="417" t="s">
        <v>88</v>
      </c>
      <c r="E688" s="423">
        <v>3.5291602438637901</v>
      </c>
      <c r="F688" s="423">
        <v>8.9460771248057069E-2</v>
      </c>
      <c r="G688" s="422">
        <v>12066.329306348291</v>
      </c>
      <c r="H688" s="417" t="s">
        <v>2616</v>
      </c>
      <c r="I688" s="417" t="s">
        <v>1392</v>
      </c>
      <c r="J688" s="417" t="s">
        <v>3396</v>
      </c>
      <c r="K688" s="417" t="s">
        <v>3693</v>
      </c>
      <c r="L688" s="417"/>
      <c r="M688" s="417" t="s">
        <v>28840</v>
      </c>
    </row>
    <row r="689" spans="1:13" x14ac:dyDescent="0.25">
      <c r="A689" s="417" t="s">
        <v>3385</v>
      </c>
      <c r="B689" s="417" t="s">
        <v>2627</v>
      </c>
      <c r="C689" s="417" t="s">
        <v>3694</v>
      </c>
      <c r="D689" s="417" t="s">
        <v>88</v>
      </c>
      <c r="E689" s="423">
        <v>1.6012448517348621</v>
      </c>
      <c r="F689" s="423">
        <v>3.3213350648430201E-2</v>
      </c>
      <c r="G689" s="422">
        <v>2942.845355008239</v>
      </c>
      <c r="H689" s="417" t="s">
        <v>2616</v>
      </c>
      <c r="I689" s="417" t="s">
        <v>1392</v>
      </c>
      <c r="J689" s="417" t="s">
        <v>3695</v>
      </c>
      <c r="K689" s="417" t="s">
        <v>3696</v>
      </c>
      <c r="L689" s="417"/>
      <c r="M689" s="417" t="s">
        <v>28840</v>
      </c>
    </row>
    <row r="690" spans="1:13" x14ac:dyDescent="0.25">
      <c r="A690" s="417" t="s">
        <v>3385</v>
      </c>
      <c r="B690" s="417" t="s">
        <v>2627</v>
      </c>
      <c r="C690" s="417" t="s">
        <v>3697</v>
      </c>
      <c r="D690" s="417" t="s">
        <v>88</v>
      </c>
      <c r="E690" s="423">
        <v>2.0086991517827948</v>
      </c>
      <c r="F690" s="423">
        <v>3.1963580074796889E-2</v>
      </c>
      <c r="G690" s="422">
        <v>3331.3955150282632</v>
      </c>
      <c r="H690" s="417" t="s">
        <v>2616</v>
      </c>
      <c r="I690" s="417" t="s">
        <v>1392</v>
      </c>
      <c r="J690" s="417" t="s">
        <v>3396</v>
      </c>
      <c r="K690" s="417" t="s">
        <v>3698</v>
      </c>
      <c r="L690" s="417"/>
      <c r="M690" s="417" t="s">
        <v>28840</v>
      </c>
    </row>
    <row r="691" spans="1:13" x14ac:dyDescent="0.25">
      <c r="A691" s="417" t="s">
        <v>3385</v>
      </c>
      <c r="B691" s="417" t="s">
        <v>2627</v>
      </c>
      <c r="C691" s="417" t="s">
        <v>990</v>
      </c>
      <c r="D691" s="417" t="s">
        <v>989</v>
      </c>
      <c r="E691" s="423">
        <v>78.616986418724792</v>
      </c>
      <c r="F691" s="423">
        <v>2.9372890414340391</v>
      </c>
      <c r="G691" s="422">
        <v>160463.96896037311</v>
      </c>
      <c r="H691" s="417" t="s">
        <v>2616</v>
      </c>
      <c r="I691" s="417" t="s">
        <v>28841</v>
      </c>
      <c r="J691" s="417" t="s">
        <v>3699</v>
      </c>
      <c r="K691" s="417" t="s">
        <v>3700</v>
      </c>
      <c r="L691" s="417"/>
      <c r="M691" s="417" t="s">
        <v>28840</v>
      </c>
    </row>
    <row r="692" spans="1:13" x14ac:dyDescent="0.25">
      <c r="A692" s="417" t="s">
        <v>3385</v>
      </c>
      <c r="B692" s="417" t="s">
        <v>2627</v>
      </c>
      <c r="C692" s="417" t="s">
        <v>3701</v>
      </c>
      <c r="D692" s="417" t="s">
        <v>88</v>
      </c>
      <c r="E692" s="423">
        <v>1.816871637121563</v>
      </c>
      <c r="F692" s="423">
        <v>8.7334578469382723E-2</v>
      </c>
      <c r="G692" s="422">
        <v>3649.123647647833</v>
      </c>
      <c r="H692" s="417" t="s">
        <v>2616</v>
      </c>
      <c r="I692" s="417" t="s">
        <v>1392</v>
      </c>
      <c r="J692" s="417" t="s">
        <v>3396</v>
      </c>
      <c r="K692" s="417" t="s">
        <v>3702</v>
      </c>
      <c r="L692" s="417"/>
      <c r="M692" s="417" t="s">
        <v>28840</v>
      </c>
    </row>
    <row r="693" spans="1:13" x14ac:dyDescent="0.25">
      <c r="A693" s="417" t="s">
        <v>3385</v>
      </c>
      <c r="B693" s="417" t="s">
        <v>2627</v>
      </c>
      <c r="C693" s="417" t="s">
        <v>1071</v>
      </c>
      <c r="D693" s="417" t="s">
        <v>88</v>
      </c>
      <c r="E693" s="423">
        <v>6.943219020422049</v>
      </c>
      <c r="F693" s="423">
        <v>0.17538009144481609</v>
      </c>
      <c r="G693" s="422">
        <v>15065.96296307935</v>
      </c>
      <c r="H693" s="417" t="s">
        <v>2616</v>
      </c>
      <c r="I693" s="417" t="s">
        <v>28841</v>
      </c>
      <c r="J693" s="417" t="s">
        <v>3703</v>
      </c>
      <c r="K693" s="417" t="s">
        <v>3704</v>
      </c>
      <c r="L693" s="417"/>
      <c r="M693" s="417" t="s">
        <v>28840</v>
      </c>
    </row>
    <row r="694" spans="1:13" x14ac:dyDescent="0.25">
      <c r="A694" s="417" t="s">
        <v>3385</v>
      </c>
      <c r="B694" s="417" t="s">
        <v>2627</v>
      </c>
      <c r="C694" s="417" t="s">
        <v>3705</v>
      </c>
      <c r="D694" s="417" t="s">
        <v>563</v>
      </c>
      <c r="E694" s="423">
        <v>52.889241881183978</v>
      </c>
      <c r="F694" s="423">
        <v>1.9931436569968699</v>
      </c>
      <c r="G694" s="422">
        <v>123976.4656679425</v>
      </c>
      <c r="H694" s="417" t="s">
        <v>2616</v>
      </c>
      <c r="I694" s="417" t="s">
        <v>1392</v>
      </c>
      <c r="J694" s="417" t="s">
        <v>3706</v>
      </c>
      <c r="K694" s="417" t="s">
        <v>3707</v>
      </c>
      <c r="L694" s="417"/>
      <c r="M694" s="417" t="s">
        <v>28840</v>
      </c>
    </row>
    <row r="695" spans="1:13" x14ac:dyDescent="0.25">
      <c r="A695" s="417" t="s">
        <v>3385</v>
      </c>
      <c r="B695" s="417" t="s">
        <v>2627</v>
      </c>
      <c r="C695" s="417" t="s">
        <v>3708</v>
      </c>
      <c r="D695" s="417" t="s">
        <v>563</v>
      </c>
      <c r="E695" s="423">
        <v>52.889241880734673</v>
      </c>
      <c r="F695" s="423">
        <v>1.9931436569952561</v>
      </c>
      <c r="G695" s="422">
        <v>123976.3133954582</v>
      </c>
      <c r="H695" s="417" t="s">
        <v>2616</v>
      </c>
      <c r="I695" s="417" t="s">
        <v>1392</v>
      </c>
      <c r="J695" s="417" t="s">
        <v>3706</v>
      </c>
      <c r="K695" s="417" t="s">
        <v>3709</v>
      </c>
      <c r="L695" s="417"/>
      <c r="M695" s="417" t="s">
        <v>28840</v>
      </c>
    </row>
    <row r="696" spans="1:13" x14ac:dyDescent="0.25">
      <c r="A696" s="417" t="s">
        <v>3385</v>
      </c>
      <c r="B696" s="417" t="s">
        <v>2627</v>
      </c>
      <c r="C696" s="417" t="s">
        <v>3710</v>
      </c>
      <c r="D696" s="417" t="s">
        <v>989</v>
      </c>
      <c r="E696" s="423">
        <v>11090009.649591859</v>
      </c>
      <c r="F696" s="423">
        <v>2146205.6652626311</v>
      </c>
      <c r="G696" s="422">
        <v>39901583642.469856</v>
      </c>
      <c r="H696" s="417" t="s">
        <v>2616</v>
      </c>
      <c r="I696" s="417" t="s">
        <v>1392</v>
      </c>
      <c r="J696" s="417" t="s">
        <v>3711</v>
      </c>
      <c r="K696" s="417" t="s">
        <v>3712</v>
      </c>
      <c r="L696" s="417"/>
      <c r="M696" s="417" t="s">
        <v>28840</v>
      </c>
    </row>
    <row r="697" spans="1:13" x14ac:dyDescent="0.25">
      <c r="A697" s="417" t="s">
        <v>3385</v>
      </c>
      <c r="B697" s="417" t="s">
        <v>2627</v>
      </c>
      <c r="C697" s="417" t="s">
        <v>3713</v>
      </c>
      <c r="D697" s="417" t="s">
        <v>88</v>
      </c>
      <c r="E697" s="423">
        <v>6.9271011444814761</v>
      </c>
      <c r="F697" s="423">
        <v>0.11650467869464</v>
      </c>
      <c r="G697" s="422">
        <v>13622.841021232151</v>
      </c>
      <c r="H697" s="417" t="s">
        <v>2616</v>
      </c>
      <c r="I697" s="417" t="s">
        <v>1392</v>
      </c>
      <c r="J697" s="417" t="s">
        <v>3714</v>
      </c>
      <c r="K697" s="417" t="s">
        <v>3715</v>
      </c>
      <c r="L697" s="417"/>
      <c r="M697" s="417" t="s">
        <v>28840</v>
      </c>
    </row>
    <row r="698" spans="1:13" x14ac:dyDescent="0.25">
      <c r="A698" s="417" t="s">
        <v>3385</v>
      </c>
      <c r="B698" s="417" t="s">
        <v>2627</v>
      </c>
      <c r="C698" s="417" t="s">
        <v>3716</v>
      </c>
      <c r="D698" s="417" t="s">
        <v>563</v>
      </c>
      <c r="E698" s="423">
        <v>33.512871293613273</v>
      </c>
      <c r="F698" s="423">
        <v>1.3094008035072471</v>
      </c>
      <c r="G698" s="422">
        <v>66286.59670353189</v>
      </c>
      <c r="H698" s="417" t="s">
        <v>2616</v>
      </c>
      <c r="I698" s="417" t="s">
        <v>1392</v>
      </c>
      <c r="J698" s="417" t="s">
        <v>3717</v>
      </c>
      <c r="K698" s="417" t="s">
        <v>3718</v>
      </c>
      <c r="L698" s="417"/>
      <c r="M698" s="417" t="s">
        <v>28840</v>
      </c>
    </row>
    <row r="699" spans="1:13" x14ac:dyDescent="0.25">
      <c r="A699" s="417" t="s">
        <v>3385</v>
      </c>
      <c r="B699" s="417" t="s">
        <v>2627</v>
      </c>
      <c r="C699" s="417" t="s">
        <v>3719</v>
      </c>
      <c r="D699" s="417" t="s">
        <v>593</v>
      </c>
      <c r="E699" s="423">
        <v>0.23177137931401329</v>
      </c>
      <c r="F699" s="423">
        <v>2.3055920282265479E-2</v>
      </c>
      <c r="G699" s="422">
        <v>443.8254949071636</v>
      </c>
      <c r="H699" s="417" t="s">
        <v>2616</v>
      </c>
      <c r="I699" s="417" t="s">
        <v>1392</v>
      </c>
      <c r="J699" s="417" t="s">
        <v>3717</v>
      </c>
      <c r="K699" s="417" t="s">
        <v>3720</v>
      </c>
      <c r="L699" s="417"/>
      <c r="M699" s="417" t="s">
        <v>28840</v>
      </c>
    </row>
    <row r="700" spans="1:13" x14ac:dyDescent="0.25">
      <c r="A700" s="417" t="s">
        <v>3385</v>
      </c>
      <c r="B700" s="417" t="s">
        <v>2627</v>
      </c>
      <c r="C700" s="417" t="s">
        <v>3721</v>
      </c>
      <c r="D700" s="417" t="s">
        <v>563</v>
      </c>
      <c r="E700" s="423">
        <v>1.481638320551625</v>
      </c>
      <c r="F700" s="423">
        <v>0.14738892775581791</v>
      </c>
      <c r="G700" s="422">
        <v>2837.2306512492451</v>
      </c>
      <c r="H700" s="417" t="s">
        <v>2616</v>
      </c>
      <c r="I700" s="417" t="s">
        <v>1392</v>
      </c>
      <c r="J700" s="417" t="s">
        <v>3717</v>
      </c>
      <c r="K700" s="417" t="s">
        <v>3722</v>
      </c>
      <c r="L700" s="417"/>
      <c r="M700" s="417" t="s">
        <v>28840</v>
      </c>
    </row>
    <row r="701" spans="1:13" x14ac:dyDescent="0.25">
      <c r="A701" s="417" t="s">
        <v>3385</v>
      </c>
      <c r="B701" s="417" t="s">
        <v>2627</v>
      </c>
      <c r="C701" s="417" t="s">
        <v>3723</v>
      </c>
      <c r="D701" s="417" t="s">
        <v>563</v>
      </c>
      <c r="E701" s="423">
        <v>0.18201944975813009</v>
      </c>
      <c r="F701" s="423">
        <v>1.8106747897108619E-2</v>
      </c>
      <c r="G701" s="422">
        <v>348.55413414866388</v>
      </c>
      <c r="H701" s="417" t="s">
        <v>2616</v>
      </c>
      <c r="I701" s="417" t="s">
        <v>1392</v>
      </c>
      <c r="J701" s="417" t="s">
        <v>3717</v>
      </c>
      <c r="K701" s="417" t="s">
        <v>3724</v>
      </c>
      <c r="L701" s="417"/>
      <c r="M701" s="417" t="s">
        <v>28840</v>
      </c>
    </row>
    <row r="702" spans="1:13" x14ac:dyDescent="0.25">
      <c r="A702" s="417" t="s">
        <v>3385</v>
      </c>
      <c r="B702" s="417" t="s">
        <v>2627</v>
      </c>
      <c r="C702" s="417" t="s">
        <v>3725</v>
      </c>
      <c r="D702" s="417" t="s">
        <v>563</v>
      </c>
      <c r="E702" s="423">
        <v>31.83322273306398</v>
      </c>
      <c r="F702" s="423">
        <v>1.2122626792088</v>
      </c>
      <c r="G702" s="422">
        <v>62949.468798571746</v>
      </c>
      <c r="H702" s="417" t="s">
        <v>2616</v>
      </c>
      <c r="I702" s="417" t="s">
        <v>1392</v>
      </c>
      <c r="J702" s="417" t="s">
        <v>3717</v>
      </c>
      <c r="K702" s="417" t="s">
        <v>3726</v>
      </c>
      <c r="L702" s="417"/>
      <c r="M702" s="417" t="s">
        <v>28840</v>
      </c>
    </row>
    <row r="703" spans="1:13" x14ac:dyDescent="0.25">
      <c r="A703" s="417" t="s">
        <v>3385</v>
      </c>
      <c r="B703" s="417" t="s">
        <v>2627</v>
      </c>
      <c r="C703" s="417" t="s">
        <v>3727</v>
      </c>
      <c r="D703" s="417" t="s">
        <v>563</v>
      </c>
      <c r="E703" s="423">
        <v>33.415105176261029</v>
      </c>
      <c r="F703" s="423">
        <v>1.3340720647869071</v>
      </c>
      <c r="G703" s="422">
        <v>66079.132033589136</v>
      </c>
      <c r="H703" s="417" t="s">
        <v>2616</v>
      </c>
      <c r="I703" s="417" t="s">
        <v>1392</v>
      </c>
      <c r="J703" s="417" t="s">
        <v>3717</v>
      </c>
      <c r="K703" s="417" t="s">
        <v>3728</v>
      </c>
      <c r="L703" s="417"/>
      <c r="M703" s="417" t="s">
        <v>28840</v>
      </c>
    </row>
    <row r="704" spans="1:13" x14ac:dyDescent="0.25">
      <c r="A704" s="417" t="s">
        <v>3385</v>
      </c>
      <c r="B704" s="417" t="s">
        <v>2627</v>
      </c>
      <c r="C704" s="417" t="s">
        <v>3729</v>
      </c>
      <c r="D704" s="417" t="s">
        <v>563</v>
      </c>
      <c r="E704" s="423">
        <v>33.415105176261029</v>
      </c>
      <c r="F704" s="423">
        <v>1.3340720647869071</v>
      </c>
      <c r="G704" s="422">
        <v>66079.127515389133</v>
      </c>
      <c r="H704" s="417" t="s">
        <v>2616</v>
      </c>
      <c r="I704" s="417" t="s">
        <v>1392</v>
      </c>
      <c r="J704" s="417" t="s">
        <v>3717</v>
      </c>
      <c r="K704" s="417" t="s">
        <v>3730</v>
      </c>
      <c r="L704" s="417"/>
      <c r="M704" s="417" t="s">
        <v>28840</v>
      </c>
    </row>
    <row r="705" spans="1:13" x14ac:dyDescent="0.25">
      <c r="A705" s="417" t="s">
        <v>3385</v>
      </c>
      <c r="B705" s="417" t="s">
        <v>2627</v>
      </c>
      <c r="C705" s="417" t="s">
        <v>3731</v>
      </c>
      <c r="D705" s="417" t="s">
        <v>563</v>
      </c>
      <c r="E705" s="423">
        <v>6.3168303654110289E-2</v>
      </c>
      <c r="F705" s="423">
        <v>2.3193467083435941E-2</v>
      </c>
      <c r="G705" s="422">
        <v>130.89363018939119</v>
      </c>
      <c r="H705" s="417" t="s">
        <v>2616</v>
      </c>
      <c r="I705" s="417" t="s">
        <v>1392</v>
      </c>
      <c r="J705" s="417" t="s">
        <v>3717</v>
      </c>
      <c r="K705" s="417" t="s">
        <v>3732</v>
      </c>
      <c r="L705" s="417"/>
      <c r="M705" s="417" t="s">
        <v>28840</v>
      </c>
    </row>
    <row r="706" spans="1:13" x14ac:dyDescent="0.25">
      <c r="A706" s="417" t="s">
        <v>3385</v>
      </c>
      <c r="B706" s="417" t="s">
        <v>2627</v>
      </c>
      <c r="C706" s="417" t="s">
        <v>3733</v>
      </c>
      <c r="D706" s="417" t="s">
        <v>563</v>
      </c>
      <c r="E706" s="423">
        <v>0.16775065244149001</v>
      </c>
      <c r="F706" s="423">
        <v>1.6687330840518991E-2</v>
      </c>
      <c r="G706" s="422">
        <v>321.23041528129107</v>
      </c>
      <c r="H706" s="417" t="s">
        <v>2616</v>
      </c>
      <c r="I706" s="417" t="s">
        <v>1392</v>
      </c>
      <c r="J706" s="417" t="s">
        <v>3717</v>
      </c>
      <c r="K706" s="417" t="s">
        <v>3734</v>
      </c>
      <c r="L706" s="417"/>
      <c r="M706" s="417" t="s">
        <v>28840</v>
      </c>
    </row>
    <row r="707" spans="1:13" x14ac:dyDescent="0.25">
      <c r="A707" s="417" t="s">
        <v>3385</v>
      </c>
      <c r="B707" s="417" t="s">
        <v>2627</v>
      </c>
      <c r="C707" s="417" t="s">
        <v>3735</v>
      </c>
      <c r="D707" s="417" t="s">
        <v>563</v>
      </c>
      <c r="E707" s="423">
        <v>1.072374588288306</v>
      </c>
      <c r="F707" s="423">
        <v>0.10667660147226329</v>
      </c>
      <c r="G707" s="422">
        <v>2053.5200851751638</v>
      </c>
      <c r="H707" s="417" t="s">
        <v>2616</v>
      </c>
      <c r="I707" s="417" t="s">
        <v>1392</v>
      </c>
      <c r="J707" s="417" t="s">
        <v>3717</v>
      </c>
      <c r="K707" s="417" t="s">
        <v>3736</v>
      </c>
      <c r="L707" s="417"/>
      <c r="M707" s="417" t="s">
        <v>28840</v>
      </c>
    </row>
    <row r="708" spans="1:13" x14ac:dyDescent="0.25">
      <c r="A708" s="417" t="s">
        <v>3385</v>
      </c>
      <c r="B708" s="417" t="s">
        <v>2627</v>
      </c>
      <c r="C708" s="417" t="s">
        <v>3737</v>
      </c>
      <c r="D708" s="417" t="s">
        <v>563</v>
      </c>
      <c r="E708" s="423">
        <v>0.13174135002231141</v>
      </c>
      <c r="F708" s="423">
        <v>1.310523361691374E-2</v>
      </c>
      <c r="G708" s="422">
        <v>252.27519504552339</v>
      </c>
      <c r="H708" s="417" t="s">
        <v>2616</v>
      </c>
      <c r="I708" s="417" t="s">
        <v>1392</v>
      </c>
      <c r="J708" s="417" t="s">
        <v>3717</v>
      </c>
      <c r="K708" s="417" t="s">
        <v>3738</v>
      </c>
      <c r="L708" s="417"/>
      <c r="M708" s="417" t="s">
        <v>28840</v>
      </c>
    </row>
    <row r="709" spans="1:13" x14ac:dyDescent="0.25">
      <c r="A709" s="417" t="s">
        <v>3385</v>
      </c>
      <c r="B709" s="417" t="s">
        <v>2627</v>
      </c>
      <c r="C709" s="417" t="s">
        <v>3739</v>
      </c>
      <c r="D709" s="417" t="s">
        <v>989</v>
      </c>
      <c r="E709" s="423">
        <v>15667860.530989669</v>
      </c>
      <c r="F709" s="423">
        <v>3337739.6786673991</v>
      </c>
      <c r="G709" s="422">
        <v>51406129132.698471</v>
      </c>
      <c r="H709" s="417" t="s">
        <v>2616</v>
      </c>
      <c r="I709" s="417" t="s">
        <v>1392</v>
      </c>
      <c r="J709" s="417" t="s">
        <v>3711</v>
      </c>
      <c r="K709" s="417" t="s">
        <v>3740</v>
      </c>
      <c r="L709" s="417"/>
      <c r="M709" s="417" t="s">
        <v>28840</v>
      </c>
    </row>
    <row r="710" spans="1:13" x14ac:dyDescent="0.25">
      <c r="A710" s="417" t="s">
        <v>3385</v>
      </c>
      <c r="B710" s="417" t="s">
        <v>2627</v>
      </c>
      <c r="C710" s="417" t="s">
        <v>3741</v>
      </c>
      <c r="D710" s="417" t="s">
        <v>88</v>
      </c>
      <c r="E710" s="423">
        <v>1.0551334149622149</v>
      </c>
      <c r="F710" s="423">
        <v>3.3753092869959943E-2</v>
      </c>
      <c r="G710" s="422">
        <v>2066.0956205534189</v>
      </c>
      <c r="H710" s="417" t="s">
        <v>2616</v>
      </c>
      <c r="I710" s="417" t="s">
        <v>1392</v>
      </c>
      <c r="J710" s="417" t="s">
        <v>3742</v>
      </c>
      <c r="K710" s="417" t="s">
        <v>3743</v>
      </c>
      <c r="L710" s="417"/>
      <c r="M710" s="417" t="s">
        <v>28840</v>
      </c>
    </row>
    <row r="711" spans="1:13" x14ac:dyDescent="0.25">
      <c r="A711" s="417" t="s">
        <v>3385</v>
      </c>
      <c r="B711" s="417" t="s">
        <v>2627</v>
      </c>
      <c r="C711" s="417" t="s">
        <v>935</v>
      </c>
      <c r="D711" s="417" t="s">
        <v>88</v>
      </c>
      <c r="E711" s="423">
        <v>0.62905018736675367</v>
      </c>
      <c r="F711" s="423">
        <v>1.668720401859564E-2</v>
      </c>
      <c r="G711" s="422">
        <v>1294.793388970807</v>
      </c>
      <c r="H711" s="417" t="s">
        <v>2616</v>
      </c>
      <c r="I711" s="417" t="s">
        <v>28841</v>
      </c>
      <c r="J711" s="417" t="s">
        <v>3742</v>
      </c>
      <c r="K711" s="417" t="s">
        <v>3744</v>
      </c>
      <c r="L711" s="417"/>
      <c r="M711" s="417" t="s">
        <v>28840</v>
      </c>
    </row>
    <row r="712" spans="1:13" x14ac:dyDescent="0.25">
      <c r="A712" s="417" t="s">
        <v>3385</v>
      </c>
      <c r="B712" s="417" t="s">
        <v>2627</v>
      </c>
      <c r="C712" s="417" t="s">
        <v>3745</v>
      </c>
      <c r="D712" s="417" t="s">
        <v>989</v>
      </c>
      <c r="E712" s="423">
        <v>19240236.56356518</v>
      </c>
      <c r="F712" s="423">
        <v>2324443.704385079</v>
      </c>
      <c r="G712" s="422">
        <v>63233416048.806129</v>
      </c>
      <c r="H712" s="417" t="s">
        <v>2616</v>
      </c>
      <c r="I712" s="417" t="s">
        <v>1392</v>
      </c>
      <c r="J712" s="417" t="s">
        <v>3711</v>
      </c>
      <c r="K712" s="417" t="s">
        <v>3746</v>
      </c>
      <c r="L712" s="417"/>
      <c r="M712" s="417" t="s">
        <v>28840</v>
      </c>
    </row>
    <row r="713" spans="1:13" x14ac:dyDescent="0.25">
      <c r="A713" s="417" t="s">
        <v>3385</v>
      </c>
      <c r="B713" s="417" t="s">
        <v>2627</v>
      </c>
      <c r="C713" s="417" t="s">
        <v>3747</v>
      </c>
      <c r="D713" s="417" t="s">
        <v>989</v>
      </c>
      <c r="E713" s="423">
        <v>626590.43045535905</v>
      </c>
      <c r="F713" s="423">
        <v>91595.825233504293</v>
      </c>
      <c r="G713" s="422">
        <v>2540843837.6325889</v>
      </c>
      <c r="H713" s="417" t="s">
        <v>2616</v>
      </c>
      <c r="I713" s="417" t="s">
        <v>1392</v>
      </c>
      <c r="J713" s="417" t="s">
        <v>3711</v>
      </c>
      <c r="K713" s="417" t="s">
        <v>3748</v>
      </c>
      <c r="L713" s="417"/>
      <c r="M713" s="417" t="s">
        <v>28840</v>
      </c>
    </row>
    <row r="714" spans="1:13" x14ac:dyDescent="0.25">
      <c r="A714" s="417" t="s">
        <v>3385</v>
      </c>
      <c r="B714" s="417" t="s">
        <v>2627</v>
      </c>
      <c r="C714" s="417" t="s">
        <v>936</v>
      </c>
      <c r="D714" s="417" t="s">
        <v>88</v>
      </c>
      <c r="E714" s="423">
        <v>1.1784386361779431</v>
      </c>
      <c r="F714" s="423">
        <v>2.0819422476633018E-2</v>
      </c>
      <c r="G714" s="422">
        <v>2415.7800349755989</v>
      </c>
      <c r="H714" s="417" t="s">
        <v>2616</v>
      </c>
      <c r="I714" s="417" t="s">
        <v>28841</v>
      </c>
      <c r="J714" s="417" t="s">
        <v>3749</v>
      </c>
      <c r="K714" s="417" t="s">
        <v>3750</v>
      </c>
      <c r="L714" s="417"/>
      <c r="M714" s="417" t="s">
        <v>28840</v>
      </c>
    </row>
    <row r="715" spans="1:13" x14ac:dyDescent="0.25">
      <c r="A715" s="417" t="s">
        <v>3385</v>
      </c>
      <c r="B715" s="417" t="s">
        <v>2627</v>
      </c>
      <c r="C715" s="417" t="s">
        <v>3751</v>
      </c>
      <c r="D715" s="417" t="s">
        <v>989</v>
      </c>
      <c r="E715" s="423">
        <v>2384765.784138836</v>
      </c>
      <c r="F715" s="423">
        <v>78223.58604021254</v>
      </c>
      <c r="G715" s="422">
        <v>5749695935.6035862</v>
      </c>
      <c r="H715" s="417" t="s">
        <v>2616</v>
      </c>
      <c r="I715" s="417" t="s">
        <v>1392</v>
      </c>
      <c r="J715" s="417" t="s">
        <v>3711</v>
      </c>
      <c r="K715" s="417" t="s">
        <v>3752</v>
      </c>
      <c r="L715" s="417"/>
      <c r="M715" s="417" t="s">
        <v>28840</v>
      </c>
    </row>
    <row r="716" spans="1:13" x14ac:dyDescent="0.25">
      <c r="A716" s="417" t="s">
        <v>3385</v>
      </c>
      <c r="B716" s="417" t="s">
        <v>3655</v>
      </c>
      <c r="C716" s="417" t="s">
        <v>3753</v>
      </c>
      <c r="D716" s="417" t="s">
        <v>88</v>
      </c>
      <c r="E716" s="423">
        <v>2.1513842706403472</v>
      </c>
      <c r="F716" s="423">
        <v>0.17880221046915001</v>
      </c>
      <c r="G716" s="422">
        <v>4127.8897247907116</v>
      </c>
      <c r="H716" s="417" t="s">
        <v>2616</v>
      </c>
      <c r="I716" s="417" t="s">
        <v>1392</v>
      </c>
      <c r="J716" s="417" t="s">
        <v>3754</v>
      </c>
      <c r="K716" s="417" t="s">
        <v>3755</v>
      </c>
      <c r="L716" s="417"/>
      <c r="M716" s="417" t="s">
        <v>28840</v>
      </c>
    </row>
    <row r="717" spans="1:13" x14ac:dyDescent="0.25">
      <c r="A717" s="417" t="s">
        <v>3385</v>
      </c>
      <c r="B717" s="417" t="s">
        <v>2627</v>
      </c>
      <c r="C717" s="417" t="s">
        <v>3756</v>
      </c>
      <c r="D717" s="417" t="s">
        <v>88</v>
      </c>
      <c r="E717" s="423">
        <v>5.5065636596711487</v>
      </c>
      <c r="F717" s="423">
        <v>0.1150942131518571</v>
      </c>
      <c r="G717" s="422">
        <v>12012.302177773219</v>
      </c>
      <c r="H717" s="417" t="s">
        <v>2616</v>
      </c>
      <c r="I717" s="417" t="s">
        <v>1392</v>
      </c>
      <c r="J717" s="417" t="s">
        <v>3627</v>
      </c>
      <c r="K717" s="417" t="s">
        <v>3757</v>
      </c>
      <c r="L717" s="417"/>
      <c r="M717" s="417" t="s">
        <v>28840</v>
      </c>
    </row>
    <row r="718" spans="1:13" x14ac:dyDescent="0.25">
      <c r="A718" s="417" t="s">
        <v>3385</v>
      </c>
      <c r="B718" s="417" t="s">
        <v>2627</v>
      </c>
      <c r="C718" s="417" t="s">
        <v>3758</v>
      </c>
      <c r="D718" s="417" t="s">
        <v>88</v>
      </c>
      <c r="E718" s="423">
        <v>2.6656830564354439</v>
      </c>
      <c r="F718" s="423">
        <v>0.1021786667</v>
      </c>
      <c r="G718" s="422">
        <v>12725.565996230291</v>
      </c>
      <c r="H718" s="417" t="s">
        <v>2616</v>
      </c>
      <c r="I718" s="417" t="s">
        <v>1392</v>
      </c>
      <c r="J718" s="417" t="s">
        <v>3627</v>
      </c>
      <c r="K718" s="417" t="s">
        <v>3759</v>
      </c>
      <c r="L718" s="417"/>
      <c r="M718" s="417" t="s">
        <v>28840</v>
      </c>
    </row>
    <row r="719" spans="1:13" x14ac:dyDescent="0.25">
      <c r="A719" s="417" t="s">
        <v>3385</v>
      </c>
      <c r="B719" s="417" t="s">
        <v>2627</v>
      </c>
      <c r="C719" s="417" t="s">
        <v>3760</v>
      </c>
      <c r="D719" s="417" t="s">
        <v>88</v>
      </c>
      <c r="E719" s="423">
        <v>1.3730436534946859</v>
      </c>
      <c r="F719" s="423">
        <v>8.4385206941361146E-2</v>
      </c>
      <c r="G719" s="422">
        <v>11835.616652483781</v>
      </c>
      <c r="H719" s="417" t="s">
        <v>2616</v>
      </c>
      <c r="I719" s="417" t="s">
        <v>1392</v>
      </c>
      <c r="J719" s="417" t="s">
        <v>3627</v>
      </c>
      <c r="K719" s="417" t="s">
        <v>3761</v>
      </c>
      <c r="L719" s="417"/>
      <c r="M719" s="417" t="s">
        <v>28840</v>
      </c>
    </row>
    <row r="720" spans="1:13" x14ac:dyDescent="0.25">
      <c r="A720" s="417" t="s">
        <v>3385</v>
      </c>
      <c r="B720" s="417" t="s">
        <v>2627</v>
      </c>
      <c r="C720" s="417" t="s">
        <v>3762</v>
      </c>
      <c r="D720" s="417" t="s">
        <v>88</v>
      </c>
      <c r="E720" s="423">
        <v>5.2353231645545293</v>
      </c>
      <c r="F720" s="423">
        <v>0.11187644802501159</v>
      </c>
      <c r="G720" s="422">
        <v>10750.608164337071</v>
      </c>
      <c r="H720" s="417" t="s">
        <v>2616</v>
      </c>
      <c r="I720" s="417" t="s">
        <v>1392</v>
      </c>
      <c r="J720" s="417" t="s">
        <v>3627</v>
      </c>
      <c r="K720" s="417" t="s">
        <v>3763</v>
      </c>
      <c r="L720" s="417"/>
      <c r="M720" s="417" t="s">
        <v>28840</v>
      </c>
    </row>
    <row r="721" spans="1:13" x14ac:dyDescent="0.25">
      <c r="A721" s="417" t="s">
        <v>3385</v>
      </c>
      <c r="B721" s="417" t="s">
        <v>2627</v>
      </c>
      <c r="C721" s="417" t="s">
        <v>3764</v>
      </c>
      <c r="D721" s="417" t="s">
        <v>88</v>
      </c>
      <c r="E721" s="423">
        <v>5.2353231645545293</v>
      </c>
      <c r="F721" s="423">
        <v>0.11187644802501159</v>
      </c>
      <c r="G721" s="422">
        <v>10750.60665801707</v>
      </c>
      <c r="H721" s="417" t="s">
        <v>2616</v>
      </c>
      <c r="I721" s="417" t="s">
        <v>1392</v>
      </c>
      <c r="J721" s="417" t="s">
        <v>3627</v>
      </c>
      <c r="K721" s="417" t="s">
        <v>3765</v>
      </c>
      <c r="L721" s="417"/>
      <c r="M721" s="417" t="s">
        <v>28840</v>
      </c>
    </row>
    <row r="722" spans="1:13" x14ac:dyDescent="0.25">
      <c r="A722" s="417" t="s">
        <v>3385</v>
      </c>
      <c r="B722" s="417" t="s">
        <v>2627</v>
      </c>
      <c r="C722" s="417" t="s">
        <v>3766</v>
      </c>
      <c r="D722" s="417" t="s">
        <v>88</v>
      </c>
      <c r="E722" s="423">
        <v>5.5065636596711487</v>
      </c>
      <c r="F722" s="423">
        <v>0.1150942131518571</v>
      </c>
      <c r="G722" s="422">
        <v>12012.30058157106</v>
      </c>
      <c r="H722" s="417" t="s">
        <v>2616</v>
      </c>
      <c r="I722" s="417" t="s">
        <v>1392</v>
      </c>
      <c r="J722" s="417" t="s">
        <v>3627</v>
      </c>
      <c r="K722" s="417" t="s">
        <v>3767</v>
      </c>
      <c r="L722" s="417"/>
      <c r="M722" s="417" t="s">
        <v>28840</v>
      </c>
    </row>
    <row r="723" spans="1:13" x14ac:dyDescent="0.25">
      <c r="A723" s="417" t="s">
        <v>3385</v>
      </c>
      <c r="B723" s="417" t="s">
        <v>2627</v>
      </c>
      <c r="C723" s="417" t="s">
        <v>3768</v>
      </c>
      <c r="D723" s="417" t="s">
        <v>88</v>
      </c>
      <c r="E723" s="423">
        <v>2.2234080976196419E-2</v>
      </c>
      <c r="F723" s="423">
        <v>2.1736216327673842E-3</v>
      </c>
      <c r="G723" s="422">
        <v>43.948990351049027</v>
      </c>
      <c r="H723" s="417" t="s">
        <v>2616</v>
      </c>
      <c r="I723" s="417" t="s">
        <v>1392</v>
      </c>
      <c r="J723" s="417" t="s">
        <v>3769</v>
      </c>
      <c r="K723" s="417" t="s">
        <v>3770</v>
      </c>
      <c r="L723" s="417"/>
      <c r="M723" s="417" t="s">
        <v>28840</v>
      </c>
    </row>
    <row r="724" spans="1:13" x14ac:dyDescent="0.25">
      <c r="A724" s="417" t="s">
        <v>3385</v>
      </c>
      <c r="B724" s="417" t="s">
        <v>2627</v>
      </c>
      <c r="C724" s="417" t="s">
        <v>3771</v>
      </c>
      <c r="D724" s="417" t="s">
        <v>88</v>
      </c>
      <c r="E724" s="423">
        <v>0.28670370631886771</v>
      </c>
      <c r="F724" s="423">
        <v>1.312848198966542E-2</v>
      </c>
      <c r="G724" s="422">
        <v>8701.7152395789508</v>
      </c>
      <c r="H724" s="417" t="s">
        <v>2616</v>
      </c>
      <c r="I724" s="417" t="s">
        <v>1392</v>
      </c>
      <c r="J724" s="417" t="s">
        <v>3772</v>
      </c>
      <c r="K724" s="417" t="s">
        <v>3773</v>
      </c>
      <c r="L724" s="417"/>
      <c r="M724" s="417" t="s">
        <v>28840</v>
      </c>
    </row>
    <row r="725" spans="1:13" x14ac:dyDescent="0.25">
      <c r="A725" s="417" t="s">
        <v>3385</v>
      </c>
      <c r="B725" s="417" t="s">
        <v>2623</v>
      </c>
      <c r="C725" s="417" t="s">
        <v>3774</v>
      </c>
      <c r="D725" s="417" t="s">
        <v>88</v>
      </c>
      <c r="E725" s="423">
        <v>0.70062006486698158</v>
      </c>
      <c r="F725" s="423">
        <v>2.5709387470837841E-2</v>
      </c>
      <c r="G725" s="422">
        <v>1025.5237096296721</v>
      </c>
      <c r="H725" s="417" t="s">
        <v>2616</v>
      </c>
      <c r="I725" s="417" t="s">
        <v>1392</v>
      </c>
      <c r="J725" s="417" t="s">
        <v>2624</v>
      </c>
      <c r="K725" s="417" t="s">
        <v>3775</v>
      </c>
      <c r="L725" s="417"/>
      <c r="M725" s="417" t="s">
        <v>28840</v>
      </c>
    </row>
    <row r="726" spans="1:13" x14ac:dyDescent="0.25">
      <c r="A726" s="417" t="s">
        <v>3385</v>
      </c>
      <c r="B726" s="417" t="s">
        <v>2627</v>
      </c>
      <c r="C726" s="417" t="s">
        <v>3776</v>
      </c>
      <c r="D726" s="417" t="s">
        <v>88</v>
      </c>
      <c r="E726" s="423">
        <v>5.2335146903901126</v>
      </c>
      <c r="F726" s="423">
        <v>7.9134675017942219E-2</v>
      </c>
      <c r="G726" s="422">
        <v>11967.8691801361</v>
      </c>
      <c r="H726" s="417" t="s">
        <v>2616</v>
      </c>
      <c r="I726" s="417" t="s">
        <v>1392</v>
      </c>
      <c r="J726" s="417" t="s">
        <v>3627</v>
      </c>
      <c r="K726" s="417" t="s">
        <v>3777</v>
      </c>
      <c r="L726" s="417"/>
      <c r="M726" s="417" t="s">
        <v>28840</v>
      </c>
    </row>
    <row r="727" spans="1:13" x14ac:dyDescent="0.25">
      <c r="A727" s="417" t="s">
        <v>3385</v>
      </c>
      <c r="B727" s="417" t="s">
        <v>2627</v>
      </c>
      <c r="C727" s="417" t="s">
        <v>3778</v>
      </c>
      <c r="D727" s="417" t="s">
        <v>88</v>
      </c>
      <c r="E727" s="423">
        <v>1.0999946842980479</v>
      </c>
      <c r="F727" s="423">
        <v>4.842566883559761E-2</v>
      </c>
      <c r="G727" s="422">
        <v>11791.183654616039</v>
      </c>
      <c r="H727" s="417" t="s">
        <v>2616</v>
      </c>
      <c r="I727" s="417" t="s">
        <v>1392</v>
      </c>
      <c r="J727" s="417" t="s">
        <v>3627</v>
      </c>
      <c r="K727" s="417" t="s">
        <v>3779</v>
      </c>
      <c r="L727" s="417"/>
      <c r="M727" s="417" t="s">
        <v>28840</v>
      </c>
    </row>
    <row r="728" spans="1:13" x14ac:dyDescent="0.25">
      <c r="A728" s="417" t="s">
        <v>3385</v>
      </c>
      <c r="B728" s="417" t="s">
        <v>2627</v>
      </c>
      <c r="C728" s="417" t="s">
        <v>3780</v>
      </c>
      <c r="D728" s="417" t="s">
        <v>88</v>
      </c>
      <c r="E728" s="423">
        <v>5.2335146903901126</v>
      </c>
      <c r="F728" s="423">
        <v>7.9134675017942219E-2</v>
      </c>
      <c r="G728" s="422">
        <v>11967.867583933939</v>
      </c>
      <c r="H728" s="417" t="s">
        <v>2616</v>
      </c>
      <c r="I728" s="417" t="s">
        <v>1392</v>
      </c>
      <c r="J728" s="417" t="s">
        <v>3627</v>
      </c>
      <c r="K728" s="417" t="s">
        <v>3781</v>
      </c>
      <c r="L728" s="417"/>
      <c r="M728" s="417" t="s">
        <v>28840</v>
      </c>
    </row>
    <row r="729" spans="1:13" x14ac:dyDescent="0.25">
      <c r="A729" s="417" t="s">
        <v>3385</v>
      </c>
      <c r="B729" s="417" t="s">
        <v>2627</v>
      </c>
      <c r="C729" s="417" t="s">
        <v>3782</v>
      </c>
      <c r="D729" s="417" t="s">
        <v>88</v>
      </c>
      <c r="E729" s="423">
        <v>0.37080390710015532</v>
      </c>
      <c r="F729" s="423">
        <v>2.450541064611278E-2</v>
      </c>
      <c r="G729" s="422">
        <v>806.29041628194943</v>
      </c>
      <c r="H729" s="417" t="s">
        <v>2616</v>
      </c>
      <c r="I729" s="417" t="s">
        <v>1392</v>
      </c>
      <c r="J729" s="417" t="s">
        <v>3742</v>
      </c>
      <c r="K729" s="417" t="s">
        <v>3783</v>
      </c>
      <c r="L729" s="417"/>
      <c r="M729" s="417" t="s">
        <v>28840</v>
      </c>
    </row>
    <row r="730" spans="1:13" x14ac:dyDescent="0.25">
      <c r="A730" s="417" t="s">
        <v>3385</v>
      </c>
      <c r="B730" s="417" t="s">
        <v>2627</v>
      </c>
      <c r="C730" s="417" t="s">
        <v>1088</v>
      </c>
      <c r="D730" s="417" t="s">
        <v>88</v>
      </c>
      <c r="E730" s="423">
        <v>8.9122382503881958</v>
      </c>
      <c r="F730" s="423">
        <v>8.8486535824350371E-2</v>
      </c>
      <c r="G730" s="422">
        <v>16612.291530440431</v>
      </c>
      <c r="H730" s="417" t="s">
        <v>2616</v>
      </c>
      <c r="I730" s="417" t="s">
        <v>28841</v>
      </c>
      <c r="J730" s="417" t="s">
        <v>3772</v>
      </c>
      <c r="K730" s="417" t="s">
        <v>3784</v>
      </c>
      <c r="L730" s="417"/>
      <c r="M730" s="417" t="s">
        <v>28840</v>
      </c>
    </row>
    <row r="731" spans="1:13" x14ac:dyDescent="0.25">
      <c r="A731" s="417" t="s">
        <v>3385</v>
      </c>
      <c r="B731" s="417" t="s">
        <v>2627</v>
      </c>
      <c r="C731" s="417" t="s">
        <v>3785</v>
      </c>
      <c r="D731" s="417" t="s">
        <v>88</v>
      </c>
      <c r="E731" s="423">
        <v>8.6890580701399696</v>
      </c>
      <c r="F731" s="423">
        <v>8.2903912689467008E-2</v>
      </c>
      <c r="G731" s="422">
        <v>16169.51127209028</v>
      </c>
      <c r="H731" s="417" t="s">
        <v>2616</v>
      </c>
      <c r="I731" s="417" t="s">
        <v>1392</v>
      </c>
      <c r="J731" s="417" t="s">
        <v>3772</v>
      </c>
      <c r="K731" s="417" t="s">
        <v>3786</v>
      </c>
      <c r="L731" s="417"/>
      <c r="M731" s="417" t="s">
        <v>28840</v>
      </c>
    </row>
    <row r="732" spans="1:13" x14ac:dyDescent="0.25">
      <c r="A732" s="417" t="s">
        <v>3385</v>
      </c>
      <c r="B732" s="417" t="s">
        <v>2627</v>
      </c>
      <c r="C732" s="417" t="s">
        <v>3787</v>
      </c>
      <c r="D732" s="417" t="s">
        <v>88</v>
      </c>
      <c r="E732" s="423">
        <v>4.5227038073207524</v>
      </c>
      <c r="F732" s="423">
        <v>4.8983600697540618E-2</v>
      </c>
      <c r="G732" s="422">
        <v>9260.8041349425002</v>
      </c>
      <c r="H732" s="417" t="s">
        <v>2616</v>
      </c>
      <c r="I732" s="417" t="s">
        <v>1392</v>
      </c>
      <c r="J732" s="417" t="s">
        <v>3772</v>
      </c>
      <c r="K732" s="417" t="s">
        <v>3788</v>
      </c>
      <c r="L732" s="417"/>
      <c r="M732" s="417" t="s">
        <v>28840</v>
      </c>
    </row>
    <row r="733" spans="1:13" x14ac:dyDescent="0.25">
      <c r="A733" s="417" t="s">
        <v>3385</v>
      </c>
      <c r="B733" s="417" t="s">
        <v>2627</v>
      </c>
      <c r="C733" s="417" t="s">
        <v>3789</v>
      </c>
      <c r="D733" s="417" t="s">
        <v>88</v>
      </c>
      <c r="E733" s="423">
        <v>4.7939443023712034</v>
      </c>
      <c r="F733" s="423">
        <v>5.2201365826589727E-2</v>
      </c>
      <c r="G733" s="422">
        <v>10522.4981464831</v>
      </c>
      <c r="H733" s="417" t="s">
        <v>2616</v>
      </c>
      <c r="I733" s="417" t="s">
        <v>1392</v>
      </c>
      <c r="J733" s="417" t="s">
        <v>3772</v>
      </c>
      <c r="K733" s="417" t="s">
        <v>3790</v>
      </c>
      <c r="L733" s="417"/>
      <c r="M733" s="417" t="s">
        <v>28840</v>
      </c>
    </row>
    <row r="734" spans="1:13" x14ac:dyDescent="0.25">
      <c r="A734" s="417" t="s">
        <v>3385</v>
      </c>
      <c r="B734" s="417" t="s">
        <v>2627</v>
      </c>
      <c r="C734" s="417" t="s">
        <v>1070</v>
      </c>
      <c r="D734" s="417" t="s">
        <v>88</v>
      </c>
      <c r="E734" s="423">
        <v>4.2674964630084427</v>
      </c>
      <c r="F734" s="423">
        <v>4.9745235823813801E-2</v>
      </c>
      <c r="G734" s="422">
        <v>12012.39279078085</v>
      </c>
      <c r="H734" s="417" t="s">
        <v>2616</v>
      </c>
      <c r="I734" s="417" t="s">
        <v>28841</v>
      </c>
      <c r="J734" s="417" t="s">
        <v>3772</v>
      </c>
      <c r="K734" s="417" t="s">
        <v>3791</v>
      </c>
      <c r="L734" s="417"/>
      <c r="M734" s="417" t="s">
        <v>28840</v>
      </c>
    </row>
    <row r="735" spans="1:13" x14ac:dyDescent="0.25">
      <c r="A735" s="417" t="s">
        <v>3385</v>
      </c>
      <c r="B735" s="417" t="s">
        <v>2627</v>
      </c>
      <c r="C735" s="417" t="s">
        <v>3792</v>
      </c>
      <c r="D735" s="417" t="s">
        <v>88</v>
      </c>
      <c r="E735" s="423">
        <v>4.9731535936540547</v>
      </c>
      <c r="F735" s="423">
        <v>5.3037340276762122E-2</v>
      </c>
      <c r="G735" s="422">
        <v>10015.206506093669</v>
      </c>
      <c r="H735" s="417" t="s">
        <v>2616</v>
      </c>
      <c r="I735" s="417" t="s">
        <v>1392</v>
      </c>
      <c r="J735" s="417" t="s">
        <v>3772</v>
      </c>
      <c r="K735" s="417" t="s">
        <v>3793</v>
      </c>
      <c r="L735" s="417"/>
      <c r="M735" s="417" t="s">
        <v>28840</v>
      </c>
    </row>
    <row r="736" spans="1:13" x14ac:dyDescent="0.25">
      <c r="A736" s="417" t="s">
        <v>3385</v>
      </c>
      <c r="B736" s="417" t="s">
        <v>2627</v>
      </c>
      <c r="C736" s="417" t="s">
        <v>1072</v>
      </c>
      <c r="D736" s="417" t="s">
        <v>88</v>
      </c>
      <c r="E736" s="423">
        <v>0.36153860568832408</v>
      </c>
      <c r="F736" s="423">
        <v>9.961001221933238E-3</v>
      </c>
      <c r="G736" s="422">
        <v>654.8092603624126</v>
      </c>
      <c r="H736" s="417" t="s">
        <v>2616</v>
      </c>
      <c r="I736" s="417" t="s">
        <v>28841</v>
      </c>
      <c r="J736" s="417" t="s">
        <v>3772</v>
      </c>
      <c r="K736" s="417" t="s">
        <v>3794</v>
      </c>
      <c r="L736" s="417"/>
      <c r="M736" s="417" t="s">
        <v>28840</v>
      </c>
    </row>
    <row r="737" spans="1:13" x14ac:dyDescent="0.25">
      <c r="A737" s="417" t="s">
        <v>3385</v>
      </c>
      <c r="B737" s="417" t="s">
        <v>2627</v>
      </c>
      <c r="C737" s="417" t="s">
        <v>3795</v>
      </c>
      <c r="D737" s="417" t="s">
        <v>88</v>
      </c>
      <c r="E737" s="423">
        <v>0.66042429612712417</v>
      </c>
      <c r="F737" s="423">
        <v>2.1492359611179849E-2</v>
      </c>
      <c r="G737" s="422">
        <v>10345.81262273434</v>
      </c>
      <c r="H737" s="417" t="s">
        <v>2616</v>
      </c>
      <c r="I737" s="417" t="s">
        <v>1392</v>
      </c>
      <c r="J737" s="417" t="s">
        <v>3772</v>
      </c>
      <c r="K737" s="417" t="s">
        <v>3796</v>
      </c>
      <c r="L737" s="417"/>
      <c r="M737" s="417" t="s">
        <v>28840</v>
      </c>
    </row>
    <row r="738" spans="1:13" x14ac:dyDescent="0.25">
      <c r="A738" s="417" t="s">
        <v>3385</v>
      </c>
      <c r="B738" s="417" t="s">
        <v>2627</v>
      </c>
      <c r="C738" s="417" t="s">
        <v>3797</v>
      </c>
      <c r="D738" s="417" t="s">
        <v>88</v>
      </c>
      <c r="E738" s="423">
        <v>3.0270039539293832</v>
      </c>
      <c r="F738" s="423">
        <v>2.6448287020303309E-2</v>
      </c>
      <c r="G738" s="422">
        <v>4560.0113606462464</v>
      </c>
      <c r="H738" s="417" t="s">
        <v>2616</v>
      </c>
      <c r="I738" s="417" t="s">
        <v>1392</v>
      </c>
      <c r="J738" s="417" t="s">
        <v>3798</v>
      </c>
      <c r="K738" s="417" t="s">
        <v>3799</v>
      </c>
      <c r="L738" s="417"/>
      <c r="M738" s="417" t="s">
        <v>28840</v>
      </c>
    </row>
    <row r="739" spans="1:13" x14ac:dyDescent="0.25">
      <c r="A739" s="417" t="s">
        <v>3385</v>
      </c>
      <c r="B739" s="417" t="s">
        <v>2627</v>
      </c>
      <c r="C739" s="417" t="s">
        <v>3800</v>
      </c>
      <c r="D739" s="417" t="s">
        <v>88</v>
      </c>
      <c r="E739" s="423">
        <v>3.0266765272440161</v>
      </c>
      <c r="F739" s="423">
        <v>2.5895541224367311E-2</v>
      </c>
      <c r="G739" s="422">
        <v>4562.831107441224</v>
      </c>
      <c r="H739" s="417" t="s">
        <v>2616</v>
      </c>
      <c r="I739" s="417" t="s">
        <v>1392</v>
      </c>
      <c r="J739" s="417" t="s">
        <v>3798</v>
      </c>
      <c r="K739" s="417" t="s">
        <v>3801</v>
      </c>
      <c r="L739" s="417"/>
      <c r="M739" s="417" t="s">
        <v>28840</v>
      </c>
    </row>
    <row r="740" spans="1:13" x14ac:dyDescent="0.25">
      <c r="A740" s="417" t="s">
        <v>3385</v>
      </c>
      <c r="B740" s="417" t="s">
        <v>2627</v>
      </c>
      <c r="C740" s="417" t="s">
        <v>3802</v>
      </c>
      <c r="D740" s="417" t="s">
        <v>88</v>
      </c>
      <c r="E740" s="423">
        <v>3.0264372917229752</v>
      </c>
      <c r="F740" s="423">
        <v>2.6106232839850821E-2</v>
      </c>
      <c r="G740" s="422">
        <v>4556.8724809565456</v>
      </c>
      <c r="H740" s="417" t="s">
        <v>2616</v>
      </c>
      <c r="I740" s="417" t="s">
        <v>1392</v>
      </c>
      <c r="J740" s="417" t="s">
        <v>3798</v>
      </c>
      <c r="K740" s="417" t="s">
        <v>3803</v>
      </c>
      <c r="L740" s="417"/>
      <c r="M740" s="417" t="s">
        <v>28840</v>
      </c>
    </row>
    <row r="741" spans="1:13" x14ac:dyDescent="0.25">
      <c r="A741" s="417" t="s">
        <v>3385</v>
      </c>
      <c r="B741" s="417" t="s">
        <v>2627</v>
      </c>
      <c r="C741" s="417" t="s">
        <v>3804</v>
      </c>
      <c r="D741" s="417" t="s">
        <v>88</v>
      </c>
      <c r="E741" s="423">
        <v>3.022592310390515</v>
      </c>
      <c r="F741" s="423">
        <v>2.5728202792939671E-2</v>
      </c>
      <c r="G741" s="422">
        <v>4555.3863166057981</v>
      </c>
      <c r="H741" s="417" t="s">
        <v>2616</v>
      </c>
      <c r="I741" s="417" t="s">
        <v>1392</v>
      </c>
      <c r="J741" s="417" t="s">
        <v>3798</v>
      </c>
      <c r="K741" s="417" t="s">
        <v>3805</v>
      </c>
      <c r="L741" s="417"/>
      <c r="M741" s="417" t="s">
        <v>28840</v>
      </c>
    </row>
    <row r="742" spans="1:13" x14ac:dyDescent="0.25">
      <c r="A742" s="417" t="s">
        <v>3385</v>
      </c>
      <c r="B742" s="417" t="s">
        <v>2627</v>
      </c>
      <c r="C742" s="417" t="s">
        <v>3806</v>
      </c>
      <c r="D742" s="417" t="s">
        <v>88</v>
      </c>
      <c r="E742" s="423">
        <v>3.2437980161064668</v>
      </c>
      <c r="F742" s="423">
        <v>4.1919051484927708E-2</v>
      </c>
      <c r="G742" s="422">
        <v>5005.2653800216267</v>
      </c>
      <c r="H742" s="417" t="s">
        <v>2616</v>
      </c>
      <c r="I742" s="417" t="s">
        <v>1392</v>
      </c>
      <c r="J742" s="417" t="s">
        <v>3798</v>
      </c>
      <c r="K742" s="417" t="s">
        <v>3807</v>
      </c>
      <c r="L742" s="417"/>
      <c r="M742" s="417" t="s">
        <v>28840</v>
      </c>
    </row>
    <row r="743" spans="1:13" x14ac:dyDescent="0.25">
      <c r="A743" s="417" t="s">
        <v>3385</v>
      </c>
      <c r="B743" s="417" t="s">
        <v>2627</v>
      </c>
      <c r="C743" s="417" t="s">
        <v>3808</v>
      </c>
      <c r="D743" s="417" t="s">
        <v>88</v>
      </c>
      <c r="E743" s="423">
        <v>9.2411217886524692</v>
      </c>
      <c r="F743" s="423">
        <v>1.476319467277061</v>
      </c>
      <c r="G743" s="422">
        <v>18301.47499352161</v>
      </c>
      <c r="H743" s="417" t="s">
        <v>2616</v>
      </c>
      <c r="I743" s="417" t="s">
        <v>1392</v>
      </c>
      <c r="J743" s="417" t="s">
        <v>3809</v>
      </c>
      <c r="K743" s="417" t="s">
        <v>3810</v>
      </c>
      <c r="L743" s="417"/>
      <c r="M743" s="417" t="s">
        <v>28840</v>
      </c>
    </row>
    <row r="744" spans="1:13" x14ac:dyDescent="0.25">
      <c r="A744" s="417" t="s">
        <v>3385</v>
      </c>
      <c r="B744" s="417" t="s">
        <v>2627</v>
      </c>
      <c r="C744" s="417" t="s">
        <v>3811</v>
      </c>
      <c r="D744" s="417" t="s">
        <v>88</v>
      </c>
      <c r="E744" s="423">
        <v>2.2618008755687731</v>
      </c>
      <c r="F744" s="423">
        <v>2.0273898871563559E-2</v>
      </c>
      <c r="G744" s="422">
        <v>3178.32323332947</v>
      </c>
      <c r="H744" s="417" t="s">
        <v>2616</v>
      </c>
      <c r="I744" s="417" t="s">
        <v>1392</v>
      </c>
      <c r="J744" s="417" t="s">
        <v>3742</v>
      </c>
      <c r="K744" s="417" t="s">
        <v>3812</v>
      </c>
      <c r="L744" s="417"/>
      <c r="M744" s="417" t="s">
        <v>28840</v>
      </c>
    </row>
    <row r="745" spans="1:13" x14ac:dyDescent="0.25">
      <c r="A745" s="417" t="s">
        <v>3385</v>
      </c>
      <c r="B745" s="417" t="s">
        <v>2627</v>
      </c>
      <c r="C745" s="417" t="s">
        <v>937</v>
      </c>
      <c r="D745" s="417" t="s">
        <v>88</v>
      </c>
      <c r="E745" s="423">
        <v>2.2618008764153941</v>
      </c>
      <c r="F745" s="423">
        <v>2.0273899079223331E-2</v>
      </c>
      <c r="G745" s="422">
        <v>3178.32323558592</v>
      </c>
      <c r="H745" s="417" t="s">
        <v>2616</v>
      </c>
      <c r="I745" s="417" t="s">
        <v>28841</v>
      </c>
      <c r="J745" s="417" t="s">
        <v>3742</v>
      </c>
      <c r="K745" s="417" t="s">
        <v>3813</v>
      </c>
      <c r="L745" s="417"/>
      <c r="M745" s="417" t="s">
        <v>28840</v>
      </c>
    </row>
    <row r="746" spans="1:13" x14ac:dyDescent="0.25">
      <c r="A746" s="417" t="s">
        <v>3385</v>
      </c>
      <c r="B746" s="417" t="s">
        <v>2627</v>
      </c>
      <c r="C746" s="417" t="s">
        <v>3814</v>
      </c>
      <c r="D746" s="417" t="s">
        <v>88</v>
      </c>
      <c r="E746" s="423">
        <v>3.148046126281776</v>
      </c>
      <c r="F746" s="423">
        <v>2.35131828457429E-2</v>
      </c>
      <c r="G746" s="422">
        <v>4601.8343902584629</v>
      </c>
      <c r="H746" s="417" t="s">
        <v>2616</v>
      </c>
      <c r="I746" s="417" t="s">
        <v>1392</v>
      </c>
      <c r="J746" s="417" t="s">
        <v>3742</v>
      </c>
      <c r="K746" s="417" t="s">
        <v>3815</v>
      </c>
      <c r="L746" s="417"/>
      <c r="M746" s="417" t="s">
        <v>28840</v>
      </c>
    </row>
    <row r="747" spans="1:13" x14ac:dyDescent="0.25">
      <c r="A747" s="417" t="s">
        <v>3385</v>
      </c>
      <c r="B747" s="417" t="s">
        <v>2627</v>
      </c>
      <c r="C747" s="417" t="s">
        <v>3816</v>
      </c>
      <c r="D747" s="417" t="s">
        <v>88</v>
      </c>
      <c r="E747" s="423">
        <v>2.0713759858310632</v>
      </c>
      <c r="F747" s="423">
        <v>1.6378755567004199E-2</v>
      </c>
      <c r="G747" s="422">
        <v>2855.9662846100682</v>
      </c>
      <c r="H747" s="417" t="s">
        <v>2616</v>
      </c>
      <c r="I747" s="417" t="s">
        <v>1392</v>
      </c>
      <c r="J747" s="417" t="s">
        <v>3742</v>
      </c>
      <c r="K747" s="417" t="s">
        <v>3817</v>
      </c>
      <c r="L747" s="417"/>
      <c r="M747" s="417" t="s">
        <v>28840</v>
      </c>
    </row>
    <row r="748" spans="1:13" x14ac:dyDescent="0.25">
      <c r="A748" s="417" t="s">
        <v>3385</v>
      </c>
      <c r="B748" s="417" t="s">
        <v>2627</v>
      </c>
      <c r="C748" s="417" t="s">
        <v>3818</v>
      </c>
      <c r="D748" s="417" t="s">
        <v>88</v>
      </c>
      <c r="E748" s="423">
        <v>1.0983600585151709</v>
      </c>
      <c r="F748" s="423">
        <v>3.3429607363366268E-2</v>
      </c>
      <c r="G748" s="422">
        <v>1767.7963515067161</v>
      </c>
      <c r="H748" s="417" t="s">
        <v>2616</v>
      </c>
      <c r="I748" s="417" t="s">
        <v>1392</v>
      </c>
      <c r="J748" s="417" t="s">
        <v>3742</v>
      </c>
      <c r="K748" s="417" t="s">
        <v>3819</v>
      </c>
      <c r="L748" s="417"/>
      <c r="M748" s="417" t="s">
        <v>28840</v>
      </c>
    </row>
    <row r="749" spans="1:13" x14ac:dyDescent="0.25">
      <c r="A749" s="417" t="s">
        <v>3385</v>
      </c>
      <c r="B749" s="417" t="s">
        <v>2627</v>
      </c>
      <c r="C749" s="417" t="s">
        <v>3820</v>
      </c>
      <c r="D749" s="417" t="s">
        <v>88</v>
      </c>
      <c r="E749" s="423">
        <v>1.5187955047504991</v>
      </c>
      <c r="F749" s="423">
        <v>3.6133961465165947E-2</v>
      </c>
      <c r="G749" s="422">
        <v>2598.2293077318882</v>
      </c>
      <c r="H749" s="417" t="s">
        <v>2616</v>
      </c>
      <c r="I749" s="417" t="s">
        <v>1392</v>
      </c>
      <c r="J749" s="417" t="s">
        <v>3396</v>
      </c>
      <c r="K749" s="417" t="s">
        <v>3821</v>
      </c>
      <c r="L749" s="417"/>
      <c r="M749" s="417" t="s">
        <v>28840</v>
      </c>
    </row>
    <row r="750" spans="1:13" x14ac:dyDescent="0.25">
      <c r="A750" s="417" t="s">
        <v>3385</v>
      </c>
      <c r="B750" s="417" t="s">
        <v>2627</v>
      </c>
      <c r="C750" s="417" t="s">
        <v>3822</v>
      </c>
      <c r="D750" s="417" t="s">
        <v>88</v>
      </c>
      <c r="E750" s="423">
        <v>0.95630871231196768</v>
      </c>
      <c r="F750" s="423">
        <v>3.5379119398764633E-2</v>
      </c>
      <c r="G750" s="422">
        <v>1660.629667568928</v>
      </c>
      <c r="H750" s="417" t="s">
        <v>2616</v>
      </c>
      <c r="I750" s="417" t="s">
        <v>1392</v>
      </c>
      <c r="J750" s="417" t="s">
        <v>3742</v>
      </c>
      <c r="K750" s="417" t="s">
        <v>3823</v>
      </c>
      <c r="L750" s="417"/>
      <c r="M750" s="417" t="s">
        <v>28840</v>
      </c>
    </row>
    <row r="751" spans="1:13" x14ac:dyDescent="0.25">
      <c r="A751" s="417" t="s">
        <v>3385</v>
      </c>
      <c r="B751" s="417" t="s">
        <v>2627</v>
      </c>
      <c r="C751" s="417" t="s">
        <v>3824</v>
      </c>
      <c r="D751" s="417" t="s">
        <v>88</v>
      </c>
      <c r="E751" s="423">
        <v>5.1757945087594939</v>
      </c>
      <c r="F751" s="423">
        <v>0.18397850476624919</v>
      </c>
      <c r="G751" s="422">
        <v>9779.8736072204283</v>
      </c>
      <c r="H751" s="417" t="s">
        <v>2616</v>
      </c>
      <c r="I751" s="417" t="s">
        <v>1392</v>
      </c>
      <c r="J751" s="417" t="s">
        <v>3825</v>
      </c>
      <c r="K751" s="417" t="s">
        <v>3826</v>
      </c>
      <c r="L751" s="417"/>
      <c r="M751" s="417" t="s">
        <v>28840</v>
      </c>
    </row>
    <row r="752" spans="1:13" x14ac:dyDescent="0.25">
      <c r="A752" s="417" t="s">
        <v>3385</v>
      </c>
      <c r="B752" s="417" t="s">
        <v>2627</v>
      </c>
      <c r="C752" s="417" t="s">
        <v>3827</v>
      </c>
      <c r="D752" s="417" t="s">
        <v>88</v>
      </c>
      <c r="E752" s="423">
        <v>1.298200385888135</v>
      </c>
      <c r="F752" s="423">
        <v>9.3335574889451489E-2</v>
      </c>
      <c r="G752" s="422">
        <v>3058.233356960402</v>
      </c>
      <c r="H752" s="417" t="s">
        <v>2616</v>
      </c>
      <c r="I752" s="417" t="s">
        <v>1392</v>
      </c>
      <c r="J752" s="417" t="s">
        <v>3825</v>
      </c>
      <c r="K752" s="417" t="s">
        <v>3828</v>
      </c>
      <c r="L752" s="417"/>
      <c r="M752" s="417" t="s">
        <v>28840</v>
      </c>
    </row>
    <row r="753" spans="1:13" x14ac:dyDescent="0.25">
      <c r="A753" s="417" t="s">
        <v>3385</v>
      </c>
      <c r="B753" s="417" t="s">
        <v>2627</v>
      </c>
      <c r="C753" s="417" t="s">
        <v>1039</v>
      </c>
      <c r="D753" s="417" t="s">
        <v>88</v>
      </c>
      <c r="E753" s="423">
        <v>8.2064614515748975</v>
      </c>
      <c r="F753" s="423">
        <v>6.0518333794025651E-2</v>
      </c>
      <c r="G753" s="422">
        <v>10462.7695212493</v>
      </c>
      <c r="H753" s="417" t="s">
        <v>2616</v>
      </c>
      <c r="I753" s="417" t="s">
        <v>28841</v>
      </c>
      <c r="J753" s="417" t="s">
        <v>3825</v>
      </c>
      <c r="K753" s="417" t="s">
        <v>3829</v>
      </c>
      <c r="L753" s="417"/>
      <c r="M753" s="417" t="s">
        <v>28840</v>
      </c>
    </row>
    <row r="754" spans="1:13" x14ac:dyDescent="0.25">
      <c r="A754" s="417" t="s">
        <v>3385</v>
      </c>
      <c r="B754" s="417" t="s">
        <v>2627</v>
      </c>
      <c r="C754" s="417" t="s">
        <v>1040</v>
      </c>
      <c r="D754" s="417" t="s">
        <v>88</v>
      </c>
      <c r="E754" s="423">
        <v>2.7938928569563002</v>
      </c>
      <c r="F754" s="423">
        <v>5.4366138485980313E-2</v>
      </c>
      <c r="G754" s="422">
        <v>3983.2280063057869</v>
      </c>
      <c r="H754" s="417" t="s">
        <v>2616</v>
      </c>
      <c r="I754" s="417" t="s">
        <v>28841</v>
      </c>
      <c r="J754" s="417" t="s">
        <v>3825</v>
      </c>
      <c r="K754" s="417" t="s">
        <v>3830</v>
      </c>
      <c r="L754" s="417"/>
      <c r="M754" s="417" t="s">
        <v>28840</v>
      </c>
    </row>
    <row r="755" spans="1:13" x14ac:dyDescent="0.25">
      <c r="A755" s="417" t="s">
        <v>3385</v>
      </c>
      <c r="B755" s="417" t="s">
        <v>2627</v>
      </c>
      <c r="C755" s="417" t="s">
        <v>3831</v>
      </c>
      <c r="D755" s="417" t="s">
        <v>88</v>
      </c>
      <c r="E755" s="423">
        <v>2.1037963396215642</v>
      </c>
      <c r="F755" s="423">
        <v>5.5868169691216447E-2</v>
      </c>
      <c r="G755" s="422">
        <v>3518.8166958002221</v>
      </c>
      <c r="H755" s="417" t="s">
        <v>2616</v>
      </c>
      <c r="I755" s="417" t="s">
        <v>1392</v>
      </c>
      <c r="J755" s="417" t="s">
        <v>3396</v>
      </c>
      <c r="K755" s="417" t="s">
        <v>3832</v>
      </c>
      <c r="L755" s="417"/>
      <c r="M755" s="417" t="s">
        <v>28840</v>
      </c>
    </row>
    <row r="756" spans="1:13" x14ac:dyDescent="0.25">
      <c r="A756" s="417" t="s">
        <v>3385</v>
      </c>
      <c r="B756" s="417" t="s">
        <v>2627</v>
      </c>
      <c r="C756" s="417" t="s">
        <v>3833</v>
      </c>
      <c r="D756" s="417" t="s">
        <v>88</v>
      </c>
      <c r="E756" s="423">
        <v>0.67855633092488676</v>
      </c>
      <c r="F756" s="423">
        <v>6.0840573340584818E-3</v>
      </c>
      <c r="G756" s="422">
        <v>953.60215377220698</v>
      </c>
      <c r="H756" s="417" t="s">
        <v>2616</v>
      </c>
      <c r="I756" s="417" t="s">
        <v>1392</v>
      </c>
      <c r="J756" s="417" t="s">
        <v>3653</v>
      </c>
      <c r="K756" s="417" t="s">
        <v>3834</v>
      </c>
      <c r="L756" s="417"/>
      <c r="M756" s="417" t="s">
        <v>28840</v>
      </c>
    </row>
    <row r="757" spans="1:13" x14ac:dyDescent="0.25">
      <c r="A757" s="417" t="s">
        <v>3385</v>
      </c>
      <c r="B757" s="417" t="s">
        <v>2627</v>
      </c>
      <c r="C757" s="417" t="s">
        <v>3835</v>
      </c>
      <c r="D757" s="417" t="s">
        <v>989</v>
      </c>
      <c r="E757" s="423">
        <v>77653.608681646234</v>
      </c>
      <c r="F757" s="423">
        <v>26985.294013203289</v>
      </c>
      <c r="G757" s="422">
        <v>170215872.15032101</v>
      </c>
      <c r="H757" s="417" t="s">
        <v>2616</v>
      </c>
      <c r="I757" s="417" t="s">
        <v>1392</v>
      </c>
      <c r="J757" s="417" t="s">
        <v>3836</v>
      </c>
      <c r="K757" s="417" t="s">
        <v>3837</v>
      </c>
      <c r="L757" s="417"/>
      <c r="M757" s="417" t="s">
        <v>28840</v>
      </c>
    </row>
    <row r="758" spans="1:13" x14ac:dyDescent="0.25">
      <c r="A758" s="417" t="s">
        <v>3385</v>
      </c>
      <c r="B758" s="417" t="s">
        <v>2627</v>
      </c>
      <c r="C758" s="417" t="s">
        <v>3838</v>
      </c>
      <c r="D758" s="417" t="s">
        <v>989</v>
      </c>
      <c r="E758" s="423">
        <v>39387.036518793218</v>
      </c>
      <c r="F758" s="423">
        <v>6792.7715181089834</v>
      </c>
      <c r="G758" s="422">
        <v>81165859.786548704</v>
      </c>
      <c r="H758" s="417" t="s">
        <v>2616</v>
      </c>
      <c r="I758" s="417" t="s">
        <v>1392</v>
      </c>
      <c r="J758" s="417" t="s">
        <v>3836</v>
      </c>
      <c r="K758" s="417" t="s">
        <v>3839</v>
      </c>
      <c r="L758" s="417"/>
      <c r="M758" s="417" t="s">
        <v>28840</v>
      </c>
    </row>
    <row r="759" spans="1:13" x14ac:dyDescent="0.25">
      <c r="A759" s="417" t="s">
        <v>3385</v>
      </c>
      <c r="B759" s="417" t="s">
        <v>2627</v>
      </c>
      <c r="C759" s="417" t="s">
        <v>3840</v>
      </c>
      <c r="D759" s="417" t="s">
        <v>989</v>
      </c>
      <c r="E759" s="423">
        <v>1104312.86803119</v>
      </c>
      <c r="F759" s="423">
        <v>45579.869114588008</v>
      </c>
      <c r="G759" s="422">
        <v>2668150875.5799551</v>
      </c>
      <c r="H759" s="417" t="s">
        <v>2616</v>
      </c>
      <c r="I759" s="417" t="s">
        <v>1392</v>
      </c>
      <c r="J759" s="417" t="s">
        <v>3836</v>
      </c>
      <c r="K759" s="417" t="s">
        <v>3841</v>
      </c>
      <c r="L759" s="417"/>
      <c r="M759" s="417" t="s">
        <v>28840</v>
      </c>
    </row>
    <row r="760" spans="1:13" x14ac:dyDescent="0.25">
      <c r="A760" s="417" t="s">
        <v>3385</v>
      </c>
      <c r="B760" s="417" t="s">
        <v>2627</v>
      </c>
      <c r="C760" s="417" t="s">
        <v>3842</v>
      </c>
      <c r="D760" s="417" t="s">
        <v>989</v>
      </c>
      <c r="E760" s="423">
        <v>154141.42617270219</v>
      </c>
      <c r="F760" s="423">
        <v>8079.4011920851008</v>
      </c>
      <c r="G760" s="422">
        <v>360797556.42906481</v>
      </c>
      <c r="H760" s="417" t="s">
        <v>2616</v>
      </c>
      <c r="I760" s="417" t="s">
        <v>1392</v>
      </c>
      <c r="J760" s="417" t="s">
        <v>3836</v>
      </c>
      <c r="K760" s="417" t="s">
        <v>3843</v>
      </c>
      <c r="L760" s="417"/>
      <c r="M760" s="417" t="s">
        <v>28840</v>
      </c>
    </row>
    <row r="761" spans="1:13" x14ac:dyDescent="0.25">
      <c r="A761" s="417" t="s">
        <v>3385</v>
      </c>
      <c r="B761" s="417" t="s">
        <v>2437</v>
      </c>
      <c r="C761" s="417" t="s">
        <v>3844</v>
      </c>
      <c r="D761" s="417" t="s">
        <v>88</v>
      </c>
      <c r="E761" s="423">
        <v>6.5487377762340584</v>
      </c>
      <c r="F761" s="423">
        <v>0.17407001357017859</v>
      </c>
      <c r="G761" s="422">
        <v>19402.81023832077</v>
      </c>
      <c r="H761" s="417" t="s">
        <v>2616</v>
      </c>
      <c r="I761" s="417" t="s">
        <v>1392</v>
      </c>
      <c r="J761" s="417" t="s">
        <v>3845</v>
      </c>
      <c r="K761" s="417" t="s">
        <v>3846</v>
      </c>
      <c r="L761" s="417"/>
      <c r="M761" s="417" t="s">
        <v>28840</v>
      </c>
    </row>
    <row r="762" spans="1:13" x14ac:dyDescent="0.25">
      <c r="A762" s="417" t="s">
        <v>3385</v>
      </c>
      <c r="B762" s="417" t="s">
        <v>2627</v>
      </c>
      <c r="C762" s="417" t="s">
        <v>3847</v>
      </c>
      <c r="D762" s="417" t="s">
        <v>88</v>
      </c>
      <c r="E762" s="423">
        <v>8.132827197824527E-2</v>
      </c>
      <c r="F762" s="423">
        <v>5.440882596214433E-3</v>
      </c>
      <c r="G762" s="422">
        <v>178.7095103310053</v>
      </c>
      <c r="H762" s="417" t="s">
        <v>2616</v>
      </c>
      <c r="I762" s="417" t="s">
        <v>1392</v>
      </c>
      <c r="J762" s="417" t="s">
        <v>3848</v>
      </c>
      <c r="K762" s="417" t="s">
        <v>3849</v>
      </c>
      <c r="L762" s="417"/>
      <c r="M762" s="417" t="s">
        <v>28840</v>
      </c>
    </row>
    <row r="763" spans="1:13" x14ac:dyDescent="0.25">
      <c r="A763" s="417" t="s">
        <v>3385</v>
      </c>
      <c r="B763" s="417" t="s">
        <v>2627</v>
      </c>
      <c r="C763" s="417" t="s">
        <v>3850</v>
      </c>
      <c r="D763" s="417" t="s">
        <v>563</v>
      </c>
      <c r="E763" s="423">
        <v>9.7919239478795745</v>
      </c>
      <c r="F763" s="423">
        <v>0.65508226465332098</v>
      </c>
      <c r="G763" s="422">
        <v>21516.625050149989</v>
      </c>
      <c r="H763" s="417" t="s">
        <v>2616</v>
      </c>
      <c r="I763" s="417" t="s">
        <v>1392</v>
      </c>
      <c r="J763" s="417" t="s">
        <v>3848</v>
      </c>
      <c r="K763" s="417" t="s">
        <v>3851</v>
      </c>
      <c r="L763" s="417"/>
      <c r="M763" s="417" t="s">
        <v>28840</v>
      </c>
    </row>
    <row r="764" spans="1:13" x14ac:dyDescent="0.25">
      <c r="A764" s="417" t="s">
        <v>3385</v>
      </c>
      <c r="B764" s="417" t="s">
        <v>2627</v>
      </c>
      <c r="C764" s="417" t="s">
        <v>3852</v>
      </c>
      <c r="D764" s="417" t="s">
        <v>88</v>
      </c>
      <c r="E764" s="423">
        <v>7.6980534152011948E-2</v>
      </c>
      <c r="F764" s="423">
        <v>5.1500178021845876E-3</v>
      </c>
      <c r="G764" s="422">
        <v>169.15585726572721</v>
      </c>
      <c r="H764" s="417" t="s">
        <v>2616</v>
      </c>
      <c r="I764" s="417" t="s">
        <v>1392</v>
      </c>
      <c r="J764" s="417" t="s">
        <v>3848</v>
      </c>
      <c r="K764" s="417" t="s">
        <v>3853</v>
      </c>
      <c r="L764" s="417"/>
      <c r="M764" s="417" t="s">
        <v>28840</v>
      </c>
    </row>
    <row r="765" spans="1:13" x14ac:dyDescent="0.25">
      <c r="A765" s="417" t="s">
        <v>3385</v>
      </c>
      <c r="B765" s="417" t="s">
        <v>2627</v>
      </c>
      <c r="C765" s="417" t="s">
        <v>3854</v>
      </c>
      <c r="D765" s="417" t="s">
        <v>88</v>
      </c>
      <c r="E765" s="423">
        <v>0.14127677028647961</v>
      </c>
      <c r="F765" s="423">
        <v>2.9507904222451811E-3</v>
      </c>
      <c r="G765" s="422">
        <v>184.38035058831531</v>
      </c>
      <c r="H765" s="417" t="s">
        <v>2616</v>
      </c>
      <c r="I765" s="417" t="s">
        <v>1392</v>
      </c>
      <c r="J765" s="417" t="s">
        <v>3855</v>
      </c>
      <c r="K765" s="417" t="s">
        <v>3856</v>
      </c>
      <c r="L765" s="417"/>
      <c r="M765" s="417" t="s">
        <v>28840</v>
      </c>
    </row>
    <row r="766" spans="1:13" x14ac:dyDescent="0.25">
      <c r="A766" s="417" t="s">
        <v>3385</v>
      </c>
      <c r="B766" s="417" t="s">
        <v>2627</v>
      </c>
      <c r="C766" s="417" t="s">
        <v>3857</v>
      </c>
      <c r="D766" s="417" t="s">
        <v>88</v>
      </c>
      <c r="E766" s="423">
        <v>9.0360853928733428E-2</v>
      </c>
      <c r="F766" s="423">
        <v>6.5126701724408098E-3</v>
      </c>
      <c r="G766" s="422">
        <v>159.24419986181809</v>
      </c>
      <c r="H766" s="417" t="s">
        <v>2616</v>
      </c>
      <c r="I766" s="417" t="s">
        <v>1392</v>
      </c>
      <c r="J766" s="417" t="s">
        <v>3855</v>
      </c>
      <c r="K766" s="417" t="s">
        <v>3858</v>
      </c>
      <c r="L766" s="417"/>
      <c r="M766" s="417" t="s">
        <v>28840</v>
      </c>
    </row>
    <row r="767" spans="1:13" x14ac:dyDescent="0.25">
      <c r="A767" s="417" t="s">
        <v>3385</v>
      </c>
      <c r="B767" s="417" t="s">
        <v>2627</v>
      </c>
      <c r="C767" s="417" t="s">
        <v>3859</v>
      </c>
      <c r="D767" s="417" t="s">
        <v>88</v>
      </c>
      <c r="E767" s="423">
        <v>2.206095175636798E-3</v>
      </c>
      <c r="F767" s="423">
        <v>7.7357246661856344E-5</v>
      </c>
      <c r="G767" s="422">
        <v>82.517776040289192</v>
      </c>
      <c r="H767" s="417" t="s">
        <v>2616</v>
      </c>
      <c r="I767" s="417" t="s">
        <v>1392</v>
      </c>
      <c r="J767" s="417" t="s">
        <v>3860</v>
      </c>
      <c r="K767" s="417" t="s">
        <v>3861</v>
      </c>
      <c r="L767" s="417"/>
      <c r="M767" s="417" t="s">
        <v>28840</v>
      </c>
    </row>
    <row r="768" spans="1:13" x14ac:dyDescent="0.25">
      <c r="A768" s="417" t="s">
        <v>3385</v>
      </c>
      <c r="B768" s="417" t="s">
        <v>2627</v>
      </c>
      <c r="C768" s="417" t="s">
        <v>3862</v>
      </c>
      <c r="D768" s="417" t="s">
        <v>88</v>
      </c>
      <c r="E768" s="423">
        <v>1.4434233391817109E-2</v>
      </c>
      <c r="F768" s="423">
        <v>7.0954108622994761E-4</v>
      </c>
      <c r="G768" s="422">
        <v>108.56356264753239</v>
      </c>
      <c r="H768" s="417" t="s">
        <v>2616</v>
      </c>
      <c r="I768" s="417" t="s">
        <v>1392</v>
      </c>
      <c r="J768" s="417" t="s">
        <v>3742</v>
      </c>
      <c r="K768" s="417" t="s">
        <v>3863</v>
      </c>
      <c r="L768" s="417"/>
      <c r="M768" s="417" t="s">
        <v>28840</v>
      </c>
    </row>
    <row r="769" spans="1:13" x14ac:dyDescent="0.25">
      <c r="A769" s="417" t="s">
        <v>3385</v>
      </c>
      <c r="B769" s="417" t="s">
        <v>2627</v>
      </c>
      <c r="C769" s="417" t="s">
        <v>3864</v>
      </c>
      <c r="D769" s="417" t="s">
        <v>88</v>
      </c>
      <c r="E769" s="423">
        <v>0.1001768100023351</v>
      </c>
      <c r="F769" s="423">
        <v>1.057964241993576E-3</v>
      </c>
      <c r="G769" s="422">
        <v>230.9410226750399</v>
      </c>
      <c r="H769" s="417" t="s">
        <v>2616</v>
      </c>
      <c r="I769" s="417" t="s">
        <v>1392</v>
      </c>
      <c r="J769" s="417" t="s">
        <v>3742</v>
      </c>
      <c r="K769" s="417" t="s">
        <v>3865</v>
      </c>
      <c r="L769" s="417"/>
      <c r="M769" s="417" t="s">
        <v>28840</v>
      </c>
    </row>
    <row r="770" spans="1:13" x14ac:dyDescent="0.25">
      <c r="A770" s="417" t="s">
        <v>3385</v>
      </c>
      <c r="B770" s="417" t="s">
        <v>2627</v>
      </c>
      <c r="C770" s="417" t="s">
        <v>3866</v>
      </c>
      <c r="D770" s="417" t="s">
        <v>88</v>
      </c>
      <c r="E770" s="423">
        <v>4.5960152296017727</v>
      </c>
      <c r="F770" s="423">
        <v>7.2311478946308239E-2</v>
      </c>
      <c r="G770" s="422">
        <v>6704.5745231359233</v>
      </c>
      <c r="H770" s="417" t="s">
        <v>2616</v>
      </c>
      <c r="I770" s="417" t="s">
        <v>1392</v>
      </c>
      <c r="J770" s="417" t="s">
        <v>3396</v>
      </c>
      <c r="K770" s="417" t="s">
        <v>3867</v>
      </c>
      <c r="L770" s="417"/>
      <c r="M770" s="417" t="s">
        <v>28840</v>
      </c>
    </row>
    <row r="771" spans="1:13" x14ac:dyDescent="0.25">
      <c r="A771" s="417" t="s">
        <v>3385</v>
      </c>
      <c r="B771" s="417" t="s">
        <v>2627</v>
      </c>
      <c r="C771" s="417" t="s">
        <v>3868</v>
      </c>
      <c r="D771" s="417" t="s">
        <v>88</v>
      </c>
      <c r="E771" s="423">
        <v>4.0066334443223708</v>
      </c>
      <c r="F771" s="423">
        <v>6.4029451809839946E-2</v>
      </c>
      <c r="G771" s="422">
        <v>11657.908498037439</v>
      </c>
      <c r="H771" s="417" t="s">
        <v>2616</v>
      </c>
      <c r="I771" s="417" t="s">
        <v>1392</v>
      </c>
      <c r="J771" s="417" t="s">
        <v>3633</v>
      </c>
      <c r="K771" s="417" t="s">
        <v>3869</v>
      </c>
      <c r="L771" s="417"/>
      <c r="M771" s="417" t="s">
        <v>28840</v>
      </c>
    </row>
    <row r="772" spans="1:13" x14ac:dyDescent="0.25">
      <c r="A772" s="417" t="s">
        <v>3385</v>
      </c>
      <c r="B772" s="417" t="s">
        <v>2437</v>
      </c>
      <c r="C772" s="417" t="s">
        <v>3870</v>
      </c>
      <c r="D772" s="417" t="s">
        <v>88</v>
      </c>
      <c r="E772" s="423">
        <v>4.3931018568713878</v>
      </c>
      <c r="F772" s="423">
        <v>0.20194057071492991</v>
      </c>
      <c r="G772" s="422">
        <v>55434.833384351201</v>
      </c>
      <c r="H772" s="417" t="s">
        <v>2616</v>
      </c>
      <c r="I772" s="417" t="s">
        <v>1392</v>
      </c>
      <c r="J772" s="417" t="s">
        <v>3871</v>
      </c>
      <c r="K772" s="417" t="s">
        <v>3872</v>
      </c>
      <c r="L772" s="417"/>
      <c r="M772" s="417" t="s">
        <v>28840</v>
      </c>
    </row>
    <row r="773" spans="1:13" x14ac:dyDescent="0.25">
      <c r="A773" s="417" t="s">
        <v>3385</v>
      </c>
      <c r="B773" s="417" t="s">
        <v>2437</v>
      </c>
      <c r="C773" s="417" t="s">
        <v>3873</v>
      </c>
      <c r="D773" s="417" t="s">
        <v>88</v>
      </c>
      <c r="E773" s="423">
        <v>3.2418202227133328</v>
      </c>
      <c r="F773" s="423">
        <v>0.18835255790839159</v>
      </c>
      <c r="G773" s="422">
        <v>74261.238633459958</v>
      </c>
      <c r="H773" s="417" t="s">
        <v>2616</v>
      </c>
      <c r="I773" s="417" t="s">
        <v>1392</v>
      </c>
      <c r="J773" s="417" t="s">
        <v>3871</v>
      </c>
      <c r="K773" s="417" t="s">
        <v>3874</v>
      </c>
      <c r="L773" s="417"/>
      <c r="M773" s="417" t="s">
        <v>28840</v>
      </c>
    </row>
    <row r="774" spans="1:13" x14ac:dyDescent="0.25">
      <c r="A774" s="417" t="s">
        <v>3385</v>
      </c>
      <c r="B774" s="417" t="s">
        <v>2437</v>
      </c>
      <c r="C774" s="417" t="s">
        <v>3875</v>
      </c>
      <c r="D774" s="417" t="s">
        <v>88</v>
      </c>
      <c r="E774" s="423">
        <v>3.2673404073632302</v>
      </c>
      <c r="F774" s="423">
        <v>0.19079911192808</v>
      </c>
      <c r="G774" s="422">
        <v>74310.462236767562</v>
      </c>
      <c r="H774" s="417" t="s">
        <v>2616</v>
      </c>
      <c r="I774" s="417" t="s">
        <v>1392</v>
      </c>
      <c r="J774" s="417" t="s">
        <v>3871</v>
      </c>
      <c r="K774" s="417" t="s">
        <v>3876</v>
      </c>
      <c r="L774" s="417"/>
      <c r="M774" s="417" t="s">
        <v>28840</v>
      </c>
    </row>
    <row r="775" spans="1:13" x14ac:dyDescent="0.25">
      <c r="A775" s="417" t="s">
        <v>3385</v>
      </c>
      <c r="B775" s="417" t="s">
        <v>2437</v>
      </c>
      <c r="C775" s="417" t="s">
        <v>3877</v>
      </c>
      <c r="D775" s="417" t="s">
        <v>88</v>
      </c>
      <c r="E775" s="423">
        <v>3.2418202227133328</v>
      </c>
      <c r="F775" s="423">
        <v>0.18835255790839159</v>
      </c>
      <c r="G775" s="422">
        <v>74261.238633459958</v>
      </c>
      <c r="H775" s="417" t="s">
        <v>2616</v>
      </c>
      <c r="I775" s="417" t="s">
        <v>1392</v>
      </c>
      <c r="J775" s="417" t="s">
        <v>3871</v>
      </c>
      <c r="K775" s="417" t="s">
        <v>3878</v>
      </c>
      <c r="L775" s="417"/>
      <c r="M775" s="417" t="s">
        <v>28840</v>
      </c>
    </row>
    <row r="776" spans="1:13" x14ac:dyDescent="0.25">
      <c r="A776" s="417" t="s">
        <v>3385</v>
      </c>
      <c r="B776" s="417" t="s">
        <v>2437</v>
      </c>
      <c r="C776" s="417" t="s">
        <v>3879</v>
      </c>
      <c r="D776" s="417" t="s">
        <v>88</v>
      </c>
      <c r="E776" s="423">
        <v>2.3520057330115538</v>
      </c>
      <c r="F776" s="423">
        <v>0.1171575938603661</v>
      </c>
      <c r="G776" s="422">
        <v>20237.928059018461</v>
      </c>
      <c r="H776" s="417" t="s">
        <v>2616</v>
      </c>
      <c r="I776" s="417" t="s">
        <v>1392</v>
      </c>
      <c r="J776" s="417" t="s">
        <v>3871</v>
      </c>
      <c r="K776" s="417" t="s">
        <v>3880</v>
      </c>
      <c r="L776" s="417"/>
      <c r="M776" s="417" t="s">
        <v>28840</v>
      </c>
    </row>
    <row r="777" spans="1:13" x14ac:dyDescent="0.25">
      <c r="A777" s="417" t="s">
        <v>3385</v>
      </c>
      <c r="B777" s="417" t="s">
        <v>2437</v>
      </c>
      <c r="C777" s="417" t="s">
        <v>3881</v>
      </c>
      <c r="D777" s="417" t="s">
        <v>88</v>
      </c>
      <c r="E777" s="423">
        <v>7.5171115254256069</v>
      </c>
      <c r="F777" s="423">
        <v>0.17679204675217819</v>
      </c>
      <c r="G777" s="422">
        <v>12468.54360117507</v>
      </c>
      <c r="H777" s="417" t="s">
        <v>2616</v>
      </c>
      <c r="I777" s="417" t="s">
        <v>1392</v>
      </c>
      <c r="J777" s="417" t="s">
        <v>3871</v>
      </c>
      <c r="K777" s="417" t="s">
        <v>3882</v>
      </c>
      <c r="L777" s="417"/>
      <c r="M777" s="417" t="s">
        <v>28840</v>
      </c>
    </row>
    <row r="778" spans="1:13" x14ac:dyDescent="0.25">
      <c r="A778" s="417" t="s">
        <v>3385</v>
      </c>
      <c r="B778" s="417" t="s">
        <v>2437</v>
      </c>
      <c r="C778" s="417" t="s">
        <v>3883</v>
      </c>
      <c r="D778" s="417" t="s">
        <v>88</v>
      </c>
      <c r="E778" s="423">
        <v>2.3368391805736439</v>
      </c>
      <c r="F778" s="423">
        <v>0.11743299041691679</v>
      </c>
      <c r="G778" s="422">
        <v>20225.484320958301</v>
      </c>
      <c r="H778" s="417" t="s">
        <v>2616</v>
      </c>
      <c r="I778" s="417" t="s">
        <v>1392</v>
      </c>
      <c r="J778" s="417" t="s">
        <v>3871</v>
      </c>
      <c r="K778" s="417" t="s">
        <v>3884</v>
      </c>
      <c r="L778" s="417"/>
      <c r="M778" s="417" t="s">
        <v>28840</v>
      </c>
    </row>
    <row r="779" spans="1:13" x14ac:dyDescent="0.25">
      <c r="A779" s="417" t="s">
        <v>3385</v>
      </c>
      <c r="B779" s="417" t="s">
        <v>2627</v>
      </c>
      <c r="C779" s="417" t="s">
        <v>3885</v>
      </c>
      <c r="D779" s="417" t="s">
        <v>989</v>
      </c>
      <c r="E779" s="423">
        <v>8288856.7918405067</v>
      </c>
      <c r="F779" s="423">
        <v>1830783.272554778</v>
      </c>
      <c r="G779" s="422">
        <v>28758481779.181728</v>
      </c>
      <c r="H779" s="417" t="s">
        <v>2616</v>
      </c>
      <c r="I779" s="417" t="s">
        <v>1392</v>
      </c>
      <c r="J779" s="417" t="s">
        <v>3711</v>
      </c>
      <c r="K779" s="417" t="s">
        <v>3886</v>
      </c>
      <c r="L779" s="417"/>
      <c r="M779" s="417" t="s">
        <v>28840</v>
      </c>
    </row>
    <row r="780" spans="1:13" x14ac:dyDescent="0.25">
      <c r="A780" s="417" t="s">
        <v>3385</v>
      </c>
      <c r="B780" s="417" t="s">
        <v>2627</v>
      </c>
      <c r="C780" s="417" t="s">
        <v>3887</v>
      </c>
      <c r="D780" s="417" t="s">
        <v>88</v>
      </c>
      <c r="E780" s="423">
        <v>3.2728695025021088</v>
      </c>
      <c r="F780" s="423">
        <v>0.18293620384340481</v>
      </c>
      <c r="G780" s="422">
        <v>464131.40234472911</v>
      </c>
      <c r="H780" s="417" t="s">
        <v>2616</v>
      </c>
      <c r="I780" s="417" t="s">
        <v>1392</v>
      </c>
      <c r="J780" s="417" t="s">
        <v>3772</v>
      </c>
      <c r="K780" s="417" t="s">
        <v>3888</v>
      </c>
      <c r="L780" s="417"/>
      <c r="M780" s="417" t="s">
        <v>28840</v>
      </c>
    </row>
    <row r="781" spans="1:13" x14ac:dyDescent="0.25">
      <c r="A781" s="417" t="s">
        <v>3385</v>
      </c>
      <c r="B781" s="417" t="s">
        <v>2627</v>
      </c>
      <c r="C781" s="417" t="s">
        <v>3889</v>
      </c>
      <c r="D781" s="417" t="s">
        <v>88</v>
      </c>
      <c r="E781" s="423">
        <v>0.86040179482844259</v>
      </c>
      <c r="F781" s="423">
        <v>1.423036426281417E-2</v>
      </c>
      <c r="G781" s="422">
        <v>1877.567221664317</v>
      </c>
      <c r="H781" s="417" t="s">
        <v>2616</v>
      </c>
      <c r="I781" s="417" t="s">
        <v>1392</v>
      </c>
      <c r="J781" s="417" t="s">
        <v>3772</v>
      </c>
      <c r="K781" s="417" t="s">
        <v>3890</v>
      </c>
      <c r="L781" s="417"/>
      <c r="M781" s="417" t="s">
        <v>28840</v>
      </c>
    </row>
    <row r="782" spans="1:13" x14ac:dyDescent="0.25">
      <c r="A782" s="417" t="s">
        <v>3385</v>
      </c>
      <c r="B782" s="417" t="s">
        <v>2627</v>
      </c>
      <c r="C782" s="417" t="s">
        <v>3891</v>
      </c>
      <c r="D782" s="417" t="s">
        <v>88</v>
      </c>
      <c r="E782" s="423">
        <v>1.119204574806935</v>
      </c>
      <c r="F782" s="423">
        <v>1.4423615949088199E-2</v>
      </c>
      <c r="G782" s="422">
        <v>5333.7815953827476</v>
      </c>
      <c r="H782" s="417" t="s">
        <v>2616</v>
      </c>
      <c r="I782" s="417" t="s">
        <v>1392</v>
      </c>
      <c r="J782" s="417" t="s">
        <v>3772</v>
      </c>
      <c r="K782" s="417" t="s">
        <v>3892</v>
      </c>
      <c r="L782" s="417"/>
      <c r="M782" s="417" t="s">
        <v>28840</v>
      </c>
    </row>
    <row r="783" spans="1:13" x14ac:dyDescent="0.25">
      <c r="A783" s="417" t="s">
        <v>3385</v>
      </c>
      <c r="B783" s="417" t="s">
        <v>2627</v>
      </c>
      <c r="C783" s="417" t="s">
        <v>3893</v>
      </c>
      <c r="D783" s="417" t="s">
        <v>88</v>
      </c>
      <c r="E783" s="423">
        <v>2.9260667130972888</v>
      </c>
      <c r="F783" s="423">
        <v>8.9865604341116456E-2</v>
      </c>
      <c r="G783" s="422">
        <v>16807.201127573971</v>
      </c>
      <c r="H783" s="417" t="s">
        <v>2616</v>
      </c>
      <c r="I783" s="417" t="s">
        <v>1392</v>
      </c>
      <c r="J783" s="417" t="s">
        <v>3714</v>
      </c>
      <c r="K783" s="417" t="s">
        <v>3894</v>
      </c>
      <c r="L783" s="417"/>
      <c r="M783" s="417" t="s">
        <v>28840</v>
      </c>
    </row>
    <row r="784" spans="1:13" x14ac:dyDescent="0.25">
      <c r="A784" s="417" t="s">
        <v>3385</v>
      </c>
      <c r="B784" s="417" t="s">
        <v>2627</v>
      </c>
      <c r="C784" s="417" t="s">
        <v>3895</v>
      </c>
      <c r="D784" s="417" t="s">
        <v>88</v>
      </c>
      <c r="E784" s="423">
        <v>2.1992003365859349</v>
      </c>
      <c r="F784" s="423">
        <v>8.5526854420904561E-2</v>
      </c>
      <c r="G784" s="422">
        <v>21824.47084698554</v>
      </c>
      <c r="H784" s="417" t="s">
        <v>2616</v>
      </c>
      <c r="I784" s="417" t="s">
        <v>1392</v>
      </c>
      <c r="J784" s="417" t="s">
        <v>3896</v>
      </c>
      <c r="K784" s="417" t="s">
        <v>3897</v>
      </c>
      <c r="L784" s="417"/>
      <c r="M784" s="417" t="s">
        <v>28840</v>
      </c>
    </row>
    <row r="785" spans="1:13" x14ac:dyDescent="0.25">
      <c r="A785" s="417" t="s">
        <v>3385</v>
      </c>
      <c r="B785" s="417" t="s">
        <v>2627</v>
      </c>
      <c r="C785" s="417" t="s">
        <v>3898</v>
      </c>
      <c r="D785" s="417" t="s">
        <v>88</v>
      </c>
      <c r="E785" s="423">
        <v>4.0835023771365941</v>
      </c>
      <c r="F785" s="423">
        <v>0.17916483656774451</v>
      </c>
      <c r="G785" s="422">
        <v>52949.151379098679</v>
      </c>
      <c r="H785" s="417" t="s">
        <v>2616</v>
      </c>
      <c r="I785" s="417" t="s">
        <v>1392</v>
      </c>
      <c r="J785" s="417" t="s">
        <v>3899</v>
      </c>
      <c r="K785" s="417" t="s">
        <v>3900</v>
      </c>
      <c r="L785" s="417"/>
      <c r="M785" s="417" t="s">
        <v>28840</v>
      </c>
    </row>
    <row r="786" spans="1:13" x14ac:dyDescent="0.25">
      <c r="A786" s="417" t="s">
        <v>3385</v>
      </c>
      <c r="B786" s="417" t="s">
        <v>3655</v>
      </c>
      <c r="C786" s="417" t="s">
        <v>3901</v>
      </c>
      <c r="D786" s="417" t="s">
        <v>563</v>
      </c>
      <c r="E786" s="423">
        <v>2.7983800654727631</v>
      </c>
      <c r="F786" s="423">
        <v>0.28949103859242198</v>
      </c>
      <c r="G786" s="422">
        <v>5116.2833253339386</v>
      </c>
      <c r="H786" s="417" t="s">
        <v>2616</v>
      </c>
      <c r="I786" s="417" t="s">
        <v>1392</v>
      </c>
      <c r="J786" s="417" t="s">
        <v>3902</v>
      </c>
      <c r="K786" s="417" t="s">
        <v>3903</v>
      </c>
      <c r="L786" s="417"/>
      <c r="M786" s="417" t="s">
        <v>28840</v>
      </c>
    </row>
    <row r="787" spans="1:13" x14ac:dyDescent="0.25">
      <c r="A787" s="417" t="s">
        <v>3385</v>
      </c>
      <c r="B787" s="417" t="s">
        <v>3405</v>
      </c>
      <c r="C787" s="417" t="s">
        <v>3904</v>
      </c>
      <c r="D787" s="417" t="s">
        <v>73</v>
      </c>
      <c r="E787" s="423">
        <v>9.4824895629208261E-2</v>
      </c>
      <c r="F787" s="423">
        <v>2.9535596894177498E-4</v>
      </c>
      <c r="G787" s="422">
        <v>131.905859652777</v>
      </c>
      <c r="H787" s="417" t="s">
        <v>2616</v>
      </c>
      <c r="I787" s="417" t="s">
        <v>1392</v>
      </c>
      <c r="J787" s="417" t="s">
        <v>3905</v>
      </c>
      <c r="K787" s="417" t="s">
        <v>3906</v>
      </c>
      <c r="L787" s="417"/>
      <c r="M787" s="417" t="s">
        <v>28840</v>
      </c>
    </row>
    <row r="788" spans="1:13" x14ac:dyDescent="0.25">
      <c r="A788" s="417" t="s">
        <v>3385</v>
      </c>
      <c r="B788" s="417" t="s">
        <v>3405</v>
      </c>
      <c r="C788" s="417" t="s">
        <v>3907</v>
      </c>
      <c r="D788" s="417" t="s">
        <v>73</v>
      </c>
      <c r="E788" s="423">
        <v>9.8092174956141601E-2</v>
      </c>
      <c r="F788" s="423">
        <v>3.1571980707816168E-4</v>
      </c>
      <c r="G788" s="422">
        <v>136.90660124154451</v>
      </c>
      <c r="H788" s="417" t="s">
        <v>2616</v>
      </c>
      <c r="I788" s="417" t="s">
        <v>1392</v>
      </c>
      <c r="J788" s="417" t="s">
        <v>3908</v>
      </c>
      <c r="K788" s="417" t="s">
        <v>3909</v>
      </c>
      <c r="L788" s="417"/>
      <c r="M788" s="417" t="s">
        <v>28840</v>
      </c>
    </row>
    <row r="789" spans="1:13" x14ac:dyDescent="0.25">
      <c r="A789" s="417" t="s">
        <v>3385</v>
      </c>
      <c r="B789" s="417" t="s">
        <v>2627</v>
      </c>
      <c r="C789" s="417" t="s">
        <v>3910</v>
      </c>
      <c r="D789" s="417" t="s">
        <v>88</v>
      </c>
      <c r="E789" s="423">
        <v>18.995967952381779</v>
      </c>
      <c r="F789" s="423">
        <v>0.25397199999999998</v>
      </c>
      <c r="G789" s="422">
        <v>72202.882539338912</v>
      </c>
      <c r="H789" s="417" t="s">
        <v>2616</v>
      </c>
      <c r="I789" s="417" t="s">
        <v>1392</v>
      </c>
      <c r="J789" s="417" t="s">
        <v>3396</v>
      </c>
      <c r="K789" s="417" t="s">
        <v>3911</v>
      </c>
      <c r="L789" s="417"/>
      <c r="M789" s="417" t="s">
        <v>28840</v>
      </c>
    </row>
    <row r="790" spans="1:13" x14ac:dyDescent="0.25">
      <c r="A790" s="417" t="s">
        <v>3385</v>
      </c>
      <c r="B790" s="417" t="s">
        <v>3655</v>
      </c>
      <c r="C790" s="417" t="s">
        <v>3912</v>
      </c>
      <c r="D790" s="417" t="s">
        <v>563</v>
      </c>
      <c r="E790" s="423">
        <v>0.95279299391925509</v>
      </c>
      <c r="F790" s="423">
        <v>0.14887769131012091</v>
      </c>
      <c r="G790" s="422">
        <v>2226.9972278497689</v>
      </c>
      <c r="H790" s="417" t="s">
        <v>2616</v>
      </c>
      <c r="I790" s="417" t="s">
        <v>1392</v>
      </c>
      <c r="J790" s="417" t="s">
        <v>3913</v>
      </c>
      <c r="K790" s="417" t="s">
        <v>3914</v>
      </c>
      <c r="L790" s="417"/>
      <c r="M790" s="417" t="s">
        <v>28840</v>
      </c>
    </row>
    <row r="791" spans="1:13" x14ac:dyDescent="0.25">
      <c r="A791" s="417" t="s">
        <v>3385</v>
      </c>
      <c r="B791" s="417" t="s">
        <v>2627</v>
      </c>
      <c r="C791" s="417" t="s">
        <v>1089</v>
      </c>
      <c r="D791" s="417" t="s">
        <v>88</v>
      </c>
      <c r="E791" s="423">
        <v>9.2108558590143392</v>
      </c>
      <c r="F791" s="423">
        <v>0.3175284391130957</v>
      </c>
      <c r="G791" s="422">
        <v>56629.134097307317</v>
      </c>
      <c r="H791" s="417" t="s">
        <v>2616</v>
      </c>
      <c r="I791" s="417" t="s">
        <v>28841</v>
      </c>
      <c r="J791" s="417" t="s">
        <v>3915</v>
      </c>
      <c r="K791" s="417" t="s">
        <v>3916</v>
      </c>
      <c r="L791" s="417"/>
      <c r="M791" s="417" t="s">
        <v>28840</v>
      </c>
    </row>
    <row r="792" spans="1:13" x14ac:dyDescent="0.25">
      <c r="A792" s="417" t="s">
        <v>3385</v>
      </c>
      <c r="B792" s="417" t="s">
        <v>3655</v>
      </c>
      <c r="C792" s="417" t="s">
        <v>3917</v>
      </c>
      <c r="D792" s="417" t="s">
        <v>1052</v>
      </c>
      <c r="E792" s="423">
        <v>12.016850517547621</v>
      </c>
      <c r="F792" s="423">
        <v>0.59927771687992248</v>
      </c>
      <c r="G792" s="422">
        <v>22841.84380991089</v>
      </c>
      <c r="H792" s="417" t="s">
        <v>2616</v>
      </c>
      <c r="I792" s="417" t="s">
        <v>1392</v>
      </c>
      <c r="J792" s="417" t="s">
        <v>3918</v>
      </c>
      <c r="K792" s="417" t="s">
        <v>3919</v>
      </c>
      <c r="L792" s="417"/>
      <c r="M792" s="417" t="s">
        <v>28840</v>
      </c>
    </row>
    <row r="793" spans="1:13" x14ac:dyDescent="0.25">
      <c r="A793" s="417" t="s">
        <v>3385</v>
      </c>
      <c r="B793" s="417" t="s">
        <v>3655</v>
      </c>
      <c r="C793" s="417" t="s">
        <v>3920</v>
      </c>
      <c r="D793" s="417" t="s">
        <v>88</v>
      </c>
      <c r="E793" s="423">
        <v>3.1211687420000709E-3</v>
      </c>
      <c r="F793" s="423">
        <v>1.852402891148402E-4</v>
      </c>
      <c r="G793" s="422">
        <v>26.964865563989349</v>
      </c>
      <c r="H793" s="417" t="s">
        <v>2616</v>
      </c>
      <c r="I793" s="417" t="s">
        <v>1392</v>
      </c>
      <c r="J793" s="417" t="s">
        <v>3921</v>
      </c>
      <c r="K793" s="417" t="s">
        <v>3922</v>
      </c>
      <c r="L793" s="417"/>
      <c r="M793" s="417" t="s">
        <v>28840</v>
      </c>
    </row>
    <row r="794" spans="1:13" x14ac:dyDescent="0.25">
      <c r="A794" s="417" t="s">
        <v>3385</v>
      </c>
      <c r="B794" s="417" t="s">
        <v>3655</v>
      </c>
      <c r="C794" s="417" t="s">
        <v>3923</v>
      </c>
      <c r="D794" s="417" t="s">
        <v>88</v>
      </c>
      <c r="E794" s="423">
        <v>3.1211687420000709E-3</v>
      </c>
      <c r="F794" s="423">
        <v>1.852402891148402E-4</v>
      </c>
      <c r="G794" s="422">
        <v>109.04052540398941</v>
      </c>
      <c r="H794" s="417" t="s">
        <v>2616</v>
      </c>
      <c r="I794" s="417" t="s">
        <v>1392</v>
      </c>
      <c r="J794" s="417" t="s">
        <v>3921</v>
      </c>
      <c r="K794" s="417" t="s">
        <v>3924</v>
      </c>
      <c r="L794" s="417"/>
      <c r="M794" s="417" t="s">
        <v>28840</v>
      </c>
    </row>
    <row r="795" spans="1:13" x14ac:dyDescent="0.25">
      <c r="A795" s="417" t="s">
        <v>3385</v>
      </c>
      <c r="B795" s="417" t="s">
        <v>3655</v>
      </c>
      <c r="C795" s="417" t="s">
        <v>3925</v>
      </c>
      <c r="D795" s="417" t="s">
        <v>88</v>
      </c>
      <c r="E795" s="423">
        <v>3.1211687420000709E-3</v>
      </c>
      <c r="F795" s="423">
        <v>1.852402891148402E-4</v>
      </c>
      <c r="G795" s="422">
        <v>25.165261603989379</v>
      </c>
      <c r="H795" s="417" t="s">
        <v>2616</v>
      </c>
      <c r="I795" s="417" t="s">
        <v>1392</v>
      </c>
      <c r="J795" s="417" t="s">
        <v>3921</v>
      </c>
      <c r="K795" s="417" t="s">
        <v>3926</v>
      </c>
      <c r="L795" s="417"/>
      <c r="M795" s="417" t="s">
        <v>28840</v>
      </c>
    </row>
    <row r="796" spans="1:13" x14ac:dyDescent="0.25">
      <c r="A796" s="417" t="s">
        <v>3385</v>
      </c>
      <c r="B796" s="417" t="s">
        <v>3655</v>
      </c>
      <c r="C796" s="417" t="s">
        <v>3927</v>
      </c>
      <c r="D796" s="417" t="s">
        <v>88</v>
      </c>
      <c r="E796" s="423">
        <v>3.1211687420000709E-3</v>
      </c>
      <c r="F796" s="423">
        <v>1.852402891148402E-4</v>
      </c>
      <c r="G796" s="422">
        <v>46.705557603989377</v>
      </c>
      <c r="H796" s="417" t="s">
        <v>2616</v>
      </c>
      <c r="I796" s="417" t="s">
        <v>1392</v>
      </c>
      <c r="J796" s="417" t="s">
        <v>3921</v>
      </c>
      <c r="K796" s="417" t="s">
        <v>3928</v>
      </c>
      <c r="L796" s="417"/>
      <c r="M796" s="417" t="s">
        <v>28840</v>
      </c>
    </row>
    <row r="797" spans="1:13" x14ac:dyDescent="0.25">
      <c r="A797" s="417" t="s">
        <v>3385</v>
      </c>
      <c r="B797" s="417" t="s">
        <v>3655</v>
      </c>
      <c r="C797" s="417" t="s">
        <v>3929</v>
      </c>
      <c r="D797" s="417" t="s">
        <v>88</v>
      </c>
      <c r="E797" s="423">
        <v>3.1211687420000709E-3</v>
      </c>
      <c r="F797" s="423">
        <v>1.852402891148402E-4</v>
      </c>
      <c r="G797" s="422">
        <v>188.7125556039893</v>
      </c>
      <c r="H797" s="417" t="s">
        <v>2616</v>
      </c>
      <c r="I797" s="417" t="s">
        <v>1392</v>
      </c>
      <c r="J797" s="417" t="s">
        <v>3921</v>
      </c>
      <c r="K797" s="417" t="s">
        <v>3930</v>
      </c>
      <c r="L797" s="417"/>
      <c r="M797" s="417" t="s">
        <v>28840</v>
      </c>
    </row>
    <row r="798" spans="1:13" x14ac:dyDescent="0.25">
      <c r="A798" s="417" t="s">
        <v>3385</v>
      </c>
      <c r="B798" s="417" t="s">
        <v>2627</v>
      </c>
      <c r="C798" s="417" t="s">
        <v>3931</v>
      </c>
      <c r="D798" s="417" t="s">
        <v>88</v>
      </c>
      <c r="E798" s="423">
        <v>0.1411748806138011</v>
      </c>
      <c r="F798" s="423">
        <v>1.7533534874579319E-2</v>
      </c>
      <c r="G798" s="422">
        <v>295.80451298384912</v>
      </c>
      <c r="H798" s="417" t="s">
        <v>2616</v>
      </c>
      <c r="I798" s="417" t="s">
        <v>1392</v>
      </c>
      <c r="J798" s="417" t="s">
        <v>3932</v>
      </c>
      <c r="K798" s="417" t="s">
        <v>3933</v>
      </c>
      <c r="L798" s="417"/>
      <c r="M798" s="417" t="s">
        <v>28840</v>
      </c>
    </row>
    <row r="799" spans="1:13" x14ac:dyDescent="0.25">
      <c r="A799" s="417" t="s">
        <v>3385</v>
      </c>
      <c r="B799" s="417" t="s">
        <v>2627</v>
      </c>
      <c r="C799" s="417" t="s">
        <v>953</v>
      </c>
      <c r="D799" s="417" t="s">
        <v>88</v>
      </c>
      <c r="E799" s="423">
        <v>0.16512953373858771</v>
      </c>
      <c r="F799" s="423">
        <v>1.967425430542679E-2</v>
      </c>
      <c r="G799" s="422">
        <v>341.70878789811678</v>
      </c>
      <c r="H799" s="417" t="s">
        <v>2616</v>
      </c>
      <c r="I799" s="417" t="s">
        <v>28841</v>
      </c>
      <c r="J799" s="417" t="s">
        <v>3932</v>
      </c>
      <c r="K799" s="417" t="s">
        <v>3934</v>
      </c>
      <c r="L799" s="417"/>
      <c r="M799" s="417" t="s">
        <v>28840</v>
      </c>
    </row>
    <row r="800" spans="1:13" x14ac:dyDescent="0.25">
      <c r="A800" s="417" t="s">
        <v>3385</v>
      </c>
      <c r="B800" s="417" t="s">
        <v>2627</v>
      </c>
      <c r="C800" s="417" t="s">
        <v>3935</v>
      </c>
      <c r="D800" s="417" t="s">
        <v>3936</v>
      </c>
      <c r="E800" s="423">
        <v>66348.446125020346</v>
      </c>
      <c r="F800" s="423">
        <v>2400.217255379388</v>
      </c>
      <c r="G800" s="422">
        <v>148431617.53663549</v>
      </c>
      <c r="H800" s="417" t="s">
        <v>2616</v>
      </c>
      <c r="I800" s="417" t="s">
        <v>1392</v>
      </c>
      <c r="J800" s="417" t="s">
        <v>3937</v>
      </c>
      <c r="K800" s="417" t="s">
        <v>3938</v>
      </c>
      <c r="L800" s="417"/>
      <c r="M800" s="417" t="s">
        <v>28840</v>
      </c>
    </row>
    <row r="801" spans="1:13" x14ac:dyDescent="0.25">
      <c r="A801" s="417" t="s">
        <v>3385</v>
      </c>
      <c r="B801" s="417" t="s">
        <v>2627</v>
      </c>
      <c r="C801" s="417" t="s">
        <v>3939</v>
      </c>
      <c r="D801" s="417" t="s">
        <v>3936</v>
      </c>
      <c r="E801" s="423">
        <v>206172.58051789689</v>
      </c>
      <c r="F801" s="423">
        <v>4882.6556504699474</v>
      </c>
      <c r="G801" s="422">
        <v>623267719.39164019</v>
      </c>
      <c r="H801" s="417" t="s">
        <v>2616</v>
      </c>
      <c r="I801" s="417" t="s">
        <v>1392</v>
      </c>
      <c r="J801" s="417" t="s">
        <v>3937</v>
      </c>
      <c r="K801" s="417" t="s">
        <v>3940</v>
      </c>
      <c r="L801" s="417"/>
      <c r="M801" s="417" t="s">
        <v>28840</v>
      </c>
    </row>
    <row r="802" spans="1:13" x14ac:dyDescent="0.25">
      <c r="A802" s="417" t="s">
        <v>3385</v>
      </c>
      <c r="B802" s="417" t="s">
        <v>2627</v>
      </c>
      <c r="C802" s="417" t="s">
        <v>3941</v>
      </c>
      <c r="D802" s="417" t="s">
        <v>88</v>
      </c>
      <c r="E802" s="423">
        <v>5.2340376398824437</v>
      </c>
      <c r="F802" s="423">
        <v>0.2686880192808947</v>
      </c>
      <c r="G802" s="422">
        <v>115853.0276606065</v>
      </c>
      <c r="H802" s="417" t="s">
        <v>2616</v>
      </c>
      <c r="I802" s="417" t="s">
        <v>1392</v>
      </c>
      <c r="J802" s="417" t="s">
        <v>3742</v>
      </c>
      <c r="K802" s="417" t="s">
        <v>3942</v>
      </c>
      <c r="L802" s="417"/>
      <c r="M802" s="417" t="s">
        <v>28840</v>
      </c>
    </row>
    <row r="803" spans="1:13" x14ac:dyDescent="0.25">
      <c r="A803" s="417" t="s">
        <v>3385</v>
      </c>
      <c r="B803" s="417" t="s">
        <v>2627</v>
      </c>
      <c r="C803" s="417" t="s">
        <v>1115</v>
      </c>
      <c r="D803" s="417" t="s">
        <v>88</v>
      </c>
      <c r="E803" s="423">
        <v>2.088529638566311E-2</v>
      </c>
      <c r="F803" s="423">
        <v>1.2088816868235611E-3</v>
      </c>
      <c r="G803" s="422">
        <v>44.861930763768278</v>
      </c>
      <c r="H803" s="417" t="s">
        <v>2616</v>
      </c>
      <c r="I803" s="417" t="s">
        <v>28841</v>
      </c>
      <c r="J803" s="417" t="s">
        <v>3860</v>
      </c>
      <c r="K803" s="417" t="s">
        <v>3943</v>
      </c>
      <c r="L803" s="417"/>
      <c r="M803" s="417" t="s">
        <v>28840</v>
      </c>
    </row>
    <row r="804" spans="1:13" x14ac:dyDescent="0.25">
      <c r="A804" s="417" t="s">
        <v>3385</v>
      </c>
      <c r="B804" s="417" t="s">
        <v>2627</v>
      </c>
      <c r="C804" s="417" t="s">
        <v>3944</v>
      </c>
      <c r="D804" s="417" t="s">
        <v>88</v>
      </c>
      <c r="E804" s="423">
        <v>0</v>
      </c>
      <c r="F804" s="423">
        <v>0</v>
      </c>
      <c r="G804" s="422">
        <v>0</v>
      </c>
      <c r="H804" s="417" t="s">
        <v>2616</v>
      </c>
      <c r="I804" s="417" t="s">
        <v>1392</v>
      </c>
      <c r="J804" s="417" t="s">
        <v>3945</v>
      </c>
      <c r="K804" s="417" t="s">
        <v>3946</v>
      </c>
      <c r="L804" s="417"/>
      <c r="M804" s="417" t="s">
        <v>28840</v>
      </c>
    </row>
    <row r="805" spans="1:13" x14ac:dyDescent="0.25">
      <c r="A805" s="417" t="s">
        <v>3385</v>
      </c>
      <c r="B805" s="417" t="s">
        <v>2627</v>
      </c>
      <c r="C805" s="417" t="s">
        <v>3947</v>
      </c>
      <c r="D805" s="417" t="s">
        <v>989</v>
      </c>
      <c r="E805" s="423">
        <v>0.40926904458473767</v>
      </c>
      <c r="F805" s="423">
        <v>1.5176814326815429E-2</v>
      </c>
      <c r="G805" s="422">
        <v>1509.279771044346</v>
      </c>
      <c r="H805" s="417" t="s">
        <v>2616</v>
      </c>
      <c r="I805" s="417" t="s">
        <v>1392</v>
      </c>
      <c r="J805" s="417" t="s">
        <v>3948</v>
      </c>
      <c r="K805" s="417" t="s">
        <v>3949</v>
      </c>
      <c r="L805" s="417"/>
      <c r="M805" s="417" t="s">
        <v>28840</v>
      </c>
    </row>
    <row r="806" spans="1:13" x14ac:dyDescent="0.25">
      <c r="A806" s="417" t="s">
        <v>3385</v>
      </c>
      <c r="B806" s="417" t="s">
        <v>2627</v>
      </c>
      <c r="C806" s="417" t="s">
        <v>3950</v>
      </c>
      <c r="D806" s="417" t="s">
        <v>88</v>
      </c>
      <c r="E806" s="423">
        <v>0.7737128116608829</v>
      </c>
      <c r="F806" s="423">
        <v>2.515275176557558E-2</v>
      </c>
      <c r="G806" s="422">
        <v>4778.6340879756481</v>
      </c>
      <c r="H806" s="417" t="s">
        <v>2616</v>
      </c>
      <c r="I806" s="417" t="s">
        <v>1392</v>
      </c>
      <c r="J806" s="417" t="s">
        <v>3951</v>
      </c>
      <c r="K806" s="417" t="s">
        <v>3952</v>
      </c>
      <c r="L806" s="417"/>
      <c r="M806" s="417" t="s">
        <v>28840</v>
      </c>
    </row>
    <row r="807" spans="1:13" x14ac:dyDescent="0.25">
      <c r="A807" s="417" t="s">
        <v>3385</v>
      </c>
      <c r="B807" s="417" t="s">
        <v>2627</v>
      </c>
      <c r="C807" s="417" t="s">
        <v>3953</v>
      </c>
      <c r="D807" s="417" t="s">
        <v>88</v>
      </c>
      <c r="E807" s="423">
        <v>1.5087239397412731</v>
      </c>
      <c r="F807" s="423">
        <v>3.5808375112232928E-2</v>
      </c>
      <c r="G807" s="422">
        <v>5706.7018389039486</v>
      </c>
      <c r="H807" s="417" t="s">
        <v>2616</v>
      </c>
      <c r="I807" s="417" t="s">
        <v>1392</v>
      </c>
      <c r="J807" s="417" t="s">
        <v>3951</v>
      </c>
      <c r="K807" s="417" t="s">
        <v>3954</v>
      </c>
      <c r="L807" s="417"/>
      <c r="M807" s="417" t="s">
        <v>28840</v>
      </c>
    </row>
    <row r="808" spans="1:13" x14ac:dyDescent="0.25">
      <c r="A808" s="417" t="s">
        <v>3385</v>
      </c>
      <c r="B808" s="417" t="s">
        <v>2627</v>
      </c>
      <c r="C808" s="417" t="s">
        <v>3955</v>
      </c>
      <c r="D808" s="417" t="s">
        <v>88</v>
      </c>
      <c r="E808" s="423">
        <v>1.3482617023187831</v>
      </c>
      <c r="F808" s="423">
        <v>3.2418549904627898E-2</v>
      </c>
      <c r="G808" s="422">
        <v>29033.737709058179</v>
      </c>
      <c r="H808" s="417" t="s">
        <v>2616</v>
      </c>
      <c r="I808" s="417" t="s">
        <v>1392</v>
      </c>
      <c r="J808" s="417" t="s">
        <v>3951</v>
      </c>
      <c r="K808" s="417" t="s">
        <v>3956</v>
      </c>
      <c r="L808" s="417"/>
      <c r="M808" s="417" t="s">
        <v>28840</v>
      </c>
    </row>
    <row r="809" spans="1:13" x14ac:dyDescent="0.25">
      <c r="A809" s="417" t="s">
        <v>3385</v>
      </c>
      <c r="B809" s="417" t="s">
        <v>2627</v>
      </c>
      <c r="C809" s="417" t="s">
        <v>3957</v>
      </c>
      <c r="D809" s="417" t="s">
        <v>563</v>
      </c>
      <c r="E809" s="423">
        <v>147.8833649718091</v>
      </c>
      <c r="F809" s="423">
        <v>10.935042972</v>
      </c>
      <c r="G809" s="422">
        <v>311579.54374597239</v>
      </c>
      <c r="H809" s="417" t="s">
        <v>2616</v>
      </c>
      <c r="I809" s="417" t="s">
        <v>1392</v>
      </c>
      <c r="J809" s="417" t="s">
        <v>3958</v>
      </c>
      <c r="K809" s="417" t="s">
        <v>3959</v>
      </c>
      <c r="L809" s="417"/>
      <c r="M809" s="417" t="s">
        <v>28840</v>
      </c>
    </row>
    <row r="810" spans="1:13" x14ac:dyDescent="0.25">
      <c r="A810" s="417" t="s">
        <v>3385</v>
      </c>
      <c r="B810" s="417" t="s">
        <v>2437</v>
      </c>
      <c r="C810" s="417" t="s">
        <v>3960</v>
      </c>
      <c r="D810" s="417" t="s">
        <v>88</v>
      </c>
      <c r="E810" s="423">
        <v>0.17534418869887741</v>
      </c>
      <c r="F810" s="423">
        <v>7.6974569985058111E-3</v>
      </c>
      <c r="G810" s="422">
        <v>273.54385961525008</v>
      </c>
      <c r="H810" s="417" t="s">
        <v>2616</v>
      </c>
      <c r="I810" s="417" t="s">
        <v>1392</v>
      </c>
      <c r="J810" s="417" t="s">
        <v>3961</v>
      </c>
      <c r="K810" s="417" t="s">
        <v>3962</v>
      </c>
      <c r="L810" s="417"/>
      <c r="M810" s="417" t="s">
        <v>28840</v>
      </c>
    </row>
    <row r="811" spans="1:13" x14ac:dyDescent="0.25">
      <c r="A811" s="417" t="s">
        <v>3385</v>
      </c>
      <c r="B811" s="417" t="s">
        <v>3405</v>
      </c>
      <c r="C811" s="417" t="s">
        <v>3963</v>
      </c>
      <c r="D811" s="417" t="s">
        <v>989</v>
      </c>
      <c r="E811" s="423">
        <v>1386.2594164712671</v>
      </c>
      <c r="F811" s="423">
        <v>29.025067480078739</v>
      </c>
      <c r="G811" s="422">
        <v>2366406.2186264861</v>
      </c>
      <c r="H811" s="417" t="s">
        <v>2616</v>
      </c>
      <c r="I811" s="417" t="s">
        <v>1392</v>
      </c>
      <c r="J811" s="417" t="s">
        <v>3588</v>
      </c>
      <c r="K811" s="417" t="s">
        <v>3964</v>
      </c>
      <c r="L811" s="417"/>
      <c r="M811" s="417" t="s">
        <v>28840</v>
      </c>
    </row>
    <row r="812" spans="1:13" x14ac:dyDescent="0.25">
      <c r="A812" s="417" t="s">
        <v>3385</v>
      </c>
      <c r="B812" s="417" t="s">
        <v>3405</v>
      </c>
      <c r="C812" s="417" t="s">
        <v>3965</v>
      </c>
      <c r="D812" s="417" t="s">
        <v>989</v>
      </c>
      <c r="E812" s="423">
        <v>245.35365304710919</v>
      </c>
      <c r="F812" s="423">
        <v>6.0674253517599279</v>
      </c>
      <c r="G812" s="422">
        <v>400929.41954755521</v>
      </c>
      <c r="H812" s="417" t="s">
        <v>2616</v>
      </c>
      <c r="I812" s="417" t="s">
        <v>1392</v>
      </c>
      <c r="J812" s="417" t="s">
        <v>3588</v>
      </c>
      <c r="K812" s="417" t="s">
        <v>3966</v>
      </c>
      <c r="L812" s="417"/>
      <c r="M812" s="417" t="s">
        <v>28840</v>
      </c>
    </row>
    <row r="813" spans="1:13" x14ac:dyDescent="0.25">
      <c r="A813" s="417" t="s">
        <v>3385</v>
      </c>
      <c r="B813" s="417" t="s">
        <v>2627</v>
      </c>
      <c r="C813" s="417" t="s">
        <v>3967</v>
      </c>
      <c r="D813" s="417" t="s">
        <v>88</v>
      </c>
      <c r="E813" s="423">
        <v>29.210837361649421</v>
      </c>
      <c r="F813" s="423">
        <v>1.187007079286297</v>
      </c>
      <c r="G813" s="422">
        <v>57228.22923651879</v>
      </c>
      <c r="H813" s="417" t="s">
        <v>2616</v>
      </c>
      <c r="I813" s="417" t="s">
        <v>1392</v>
      </c>
      <c r="J813" s="417" t="s">
        <v>3699</v>
      </c>
      <c r="K813" s="417" t="s">
        <v>3968</v>
      </c>
      <c r="L813" s="417"/>
      <c r="M813" s="417" t="s">
        <v>28840</v>
      </c>
    </row>
    <row r="814" spans="1:13" x14ac:dyDescent="0.25">
      <c r="A814" s="417" t="s">
        <v>3385</v>
      </c>
      <c r="B814" s="417" t="s">
        <v>2627</v>
      </c>
      <c r="C814" s="417" t="s">
        <v>3969</v>
      </c>
      <c r="D814" s="417" t="s">
        <v>88</v>
      </c>
      <c r="E814" s="423">
        <v>8.1115377267733546</v>
      </c>
      <c r="F814" s="423">
        <v>0.48326272565195838</v>
      </c>
      <c r="G814" s="422">
        <v>15949.22339031897</v>
      </c>
      <c r="H814" s="417" t="s">
        <v>2616</v>
      </c>
      <c r="I814" s="417" t="s">
        <v>1392</v>
      </c>
      <c r="J814" s="417" t="s">
        <v>3970</v>
      </c>
      <c r="K814" s="417" t="s">
        <v>3971</v>
      </c>
      <c r="L814" s="417"/>
      <c r="M814" s="417" t="s">
        <v>28840</v>
      </c>
    </row>
    <row r="815" spans="1:13" x14ac:dyDescent="0.25">
      <c r="A815" s="417" t="s">
        <v>3385</v>
      </c>
      <c r="B815" s="417" t="s">
        <v>3405</v>
      </c>
      <c r="C815" s="417" t="s">
        <v>3972</v>
      </c>
      <c r="D815" s="417" t="s">
        <v>989</v>
      </c>
      <c r="E815" s="423">
        <v>4014.9479915345942</v>
      </c>
      <c r="F815" s="423">
        <v>187.75400380905819</v>
      </c>
      <c r="G815" s="422">
        <v>6209326.741891955</v>
      </c>
      <c r="H815" s="417" t="s">
        <v>2616</v>
      </c>
      <c r="I815" s="417" t="s">
        <v>1392</v>
      </c>
      <c r="J815" s="417" t="s">
        <v>3588</v>
      </c>
      <c r="K815" s="417" t="s">
        <v>3973</v>
      </c>
      <c r="L815" s="417"/>
      <c r="M815" s="417" t="s">
        <v>28840</v>
      </c>
    </row>
    <row r="816" spans="1:13" x14ac:dyDescent="0.25">
      <c r="A816" s="417" t="s">
        <v>3385</v>
      </c>
      <c r="B816" s="417" t="s">
        <v>2627</v>
      </c>
      <c r="C816" s="417" t="s">
        <v>3974</v>
      </c>
      <c r="D816" s="417" t="s">
        <v>88</v>
      </c>
      <c r="E816" s="423">
        <v>30.157535317536169</v>
      </c>
      <c r="F816" s="423">
        <v>1.2035556719191161</v>
      </c>
      <c r="G816" s="422">
        <v>58629.662574584327</v>
      </c>
      <c r="H816" s="417" t="s">
        <v>2616</v>
      </c>
      <c r="I816" s="417" t="s">
        <v>1392</v>
      </c>
      <c r="J816" s="417" t="s">
        <v>3699</v>
      </c>
      <c r="K816" s="417" t="s">
        <v>3975</v>
      </c>
      <c r="L816" s="417"/>
      <c r="M816" s="417" t="s">
        <v>28840</v>
      </c>
    </row>
    <row r="817" spans="1:13" x14ac:dyDescent="0.25">
      <c r="A817" s="417" t="s">
        <v>3385</v>
      </c>
      <c r="B817" s="417" t="s">
        <v>2627</v>
      </c>
      <c r="C817" s="417" t="s">
        <v>3976</v>
      </c>
      <c r="D817" s="417" t="s">
        <v>88</v>
      </c>
      <c r="E817" s="423">
        <v>8.0468609386432401</v>
      </c>
      <c r="F817" s="423">
        <v>0.25320877903106098</v>
      </c>
      <c r="G817" s="422">
        <v>13968.936337241381</v>
      </c>
      <c r="H817" s="417" t="s">
        <v>2616</v>
      </c>
      <c r="I817" s="417" t="s">
        <v>1392</v>
      </c>
      <c r="J817" s="417" t="s">
        <v>3387</v>
      </c>
      <c r="K817" s="417" t="s">
        <v>3977</v>
      </c>
      <c r="L817" s="417"/>
      <c r="M817" s="417" t="s">
        <v>28840</v>
      </c>
    </row>
    <row r="818" spans="1:13" x14ac:dyDescent="0.25">
      <c r="A818" s="417" t="s">
        <v>3385</v>
      </c>
      <c r="B818" s="417" t="s">
        <v>2627</v>
      </c>
      <c r="C818" s="417" t="s">
        <v>3978</v>
      </c>
      <c r="D818" s="417" t="s">
        <v>88</v>
      </c>
      <c r="E818" s="423">
        <v>8.3227763243955355</v>
      </c>
      <c r="F818" s="423">
        <v>0.27163543387536959</v>
      </c>
      <c r="G818" s="422">
        <v>14171.520396601471</v>
      </c>
      <c r="H818" s="417" t="s">
        <v>2616</v>
      </c>
      <c r="I818" s="417" t="s">
        <v>1392</v>
      </c>
      <c r="J818" s="417" t="s">
        <v>3387</v>
      </c>
      <c r="K818" s="417" t="s">
        <v>3979</v>
      </c>
      <c r="L818" s="417"/>
      <c r="M818" s="417" t="s">
        <v>28840</v>
      </c>
    </row>
    <row r="819" spans="1:13" x14ac:dyDescent="0.25">
      <c r="A819" s="417" t="s">
        <v>3385</v>
      </c>
      <c r="B819" s="417" t="s">
        <v>2627</v>
      </c>
      <c r="C819" s="417" t="s">
        <v>3980</v>
      </c>
      <c r="D819" s="417" t="s">
        <v>88</v>
      </c>
      <c r="E819" s="423">
        <v>0.40300855317122958</v>
      </c>
      <c r="F819" s="423">
        <v>2.1747118535961819E-2</v>
      </c>
      <c r="G819" s="422">
        <v>522.60700743506834</v>
      </c>
      <c r="H819" s="417" t="s">
        <v>2616</v>
      </c>
      <c r="I819" s="417" t="s">
        <v>1392</v>
      </c>
      <c r="J819" s="417" t="s">
        <v>3981</v>
      </c>
      <c r="K819" s="417" t="s">
        <v>3982</v>
      </c>
      <c r="L819" s="417"/>
      <c r="M819" s="417" t="s">
        <v>28840</v>
      </c>
    </row>
    <row r="820" spans="1:13" x14ac:dyDescent="0.25">
      <c r="A820" s="417" t="s">
        <v>3385</v>
      </c>
      <c r="B820" s="417" t="s">
        <v>2627</v>
      </c>
      <c r="C820" s="417" t="s">
        <v>3983</v>
      </c>
      <c r="D820" s="417" t="s">
        <v>88</v>
      </c>
      <c r="E820" s="423">
        <v>0.60552362596978559</v>
      </c>
      <c r="F820" s="423">
        <v>2.136687259242916E-2</v>
      </c>
      <c r="G820" s="422">
        <v>1025.627894237467</v>
      </c>
      <c r="H820" s="417" t="s">
        <v>2616</v>
      </c>
      <c r="I820" s="417" t="s">
        <v>1392</v>
      </c>
      <c r="J820" s="417" t="s">
        <v>3984</v>
      </c>
      <c r="K820" s="417" t="s">
        <v>3985</v>
      </c>
      <c r="L820" s="417"/>
      <c r="M820" s="417" t="s">
        <v>28840</v>
      </c>
    </row>
    <row r="821" spans="1:13" x14ac:dyDescent="0.25">
      <c r="A821" s="417" t="s">
        <v>3385</v>
      </c>
      <c r="B821" s="417" t="s">
        <v>2627</v>
      </c>
      <c r="C821" s="417" t="s">
        <v>3986</v>
      </c>
      <c r="D821" s="417" t="s">
        <v>88</v>
      </c>
      <c r="E821" s="423">
        <v>4.415170205719857</v>
      </c>
      <c r="F821" s="423">
        <v>0.13602093143631611</v>
      </c>
      <c r="G821" s="422">
        <v>7935.749376960759</v>
      </c>
      <c r="H821" s="417" t="s">
        <v>2616</v>
      </c>
      <c r="I821" s="417" t="s">
        <v>1392</v>
      </c>
      <c r="J821" s="417" t="s">
        <v>3984</v>
      </c>
      <c r="K821" s="417" t="s">
        <v>3987</v>
      </c>
      <c r="L821" s="417"/>
      <c r="M821" s="417" t="s">
        <v>28840</v>
      </c>
    </row>
    <row r="822" spans="1:13" x14ac:dyDescent="0.25">
      <c r="A822" s="417" t="s">
        <v>3385</v>
      </c>
      <c r="B822" s="417" t="s">
        <v>2627</v>
      </c>
      <c r="C822" s="417" t="s">
        <v>3988</v>
      </c>
      <c r="D822" s="417" t="s">
        <v>88</v>
      </c>
      <c r="E822" s="423">
        <v>1.9472818913640451</v>
      </c>
      <c r="F822" s="423">
        <v>0.1141602078750471</v>
      </c>
      <c r="G822" s="422">
        <v>14362.2916259494</v>
      </c>
      <c r="H822" s="417" t="s">
        <v>2616</v>
      </c>
      <c r="I822" s="417" t="s">
        <v>1392</v>
      </c>
      <c r="J822" s="417" t="s">
        <v>3984</v>
      </c>
      <c r="K822" s="417" t="s">
        <v>3989</v>
      </c>
      <c r="L822" s="417"/>
      <c r="M822" s="417" t="s">
        <v>28840</v>
      </c>
    </row>
    <row r="823" spans="1:13" x14ac:dyDescent="0.25">
      <c r="A823" s="417" t="s">
        <v>3385</v>
      </c>
      <c r="B823" s="417" t="s">
        <v>2623</v>
      </c>
      <c r="C823" s="417" t="s">
        <v>3990</v>
      </c>
      <c r="D823" s="417" t="s">
        <v>88</v>
      </c>
      <c r="E823" s="423">
        <v>-0.74933667032030082</v>
      </c>
      <c r="F823" s="423">
        <v>-1.37442586774365E-2</v>
      </c>
      <c r="G823" s="422">
        <v>-1100.461918981079</v>
      </c>
      <c r="H823" s="417" t="s">
        <v>2616</v>
      </c>
      <c r="I823" s="417" t="s">
        <v>1392</v>
      </c>
      <c r="J823" s="417" t="s">
        <v>2624</v>
      </c>
      <c r="K823" s="417" t="s">
        <v>3991</v>
      </c>
      <c r="L823" s="417"/>
      <c r="M823" s="417" t="s">
        <v>28840</v>
      </c>
    </row>
    <row r="824" spans="1:13" x14ac:dyDescent="0.25">
      <c r="A824" s="417" t="s">
        <v>3385</v>
      </c>
      <c r="B824" s="417" t="s">
        <v>2623</v>
      </c>
      <c r="C824" s="417" t="s">
        <v>3992</v>
      </c>
      <c r="D824" s="417" t="s">
        <v>88</v>
      </c>
      <c r="E824" s="423">
        <v>-0.44658995281846942</v>
      </c>
      <c r="F824" s="423">
        <v>-1.433176998547228E-2</v>
      </c>
      <c r="G824" s="422">
        <v>-1158.2688914734231</v>
      </c>
      <c r="H824" s="417" t="s">
        <v>2616</v>
      </c>
      <c r="I824" s="417" t="s">
        <v>1392</v>
      </c>
      <c r="J824" s="417" t="s">
        <v>2624</v>
      </c>
      <c r="K824" s="417" t="s">
        <v>3993</v>
      </c>
      <c r="L824" s="417"/>
      <c r="M824" s="417" t="s">
        <v>28840</v>
      </c>
    </row>
    <row r="825" spans="1:13" x14ac:dyDescent="0.25">
      <c r="A825" s="417" t="s">
        <v>3385</v>
      </c>
      <c r="B825" s="417" t="s">
        <v>2627</v>
      </c>
      <c r="C825" s="417" t="s">
        <v>3994</v>
      </c>
      <c r="D825" s="417" t="s">
        <v>83</v>
      </c>
      <c r="E825" s="423">
        <v>0</v>
      </c>
      <c r="F825" s="423">
        <v>0</v>
      </c>
      <c r="G825" s="422">
        <v>59724700</v>
      </c>
      <c r="H825" s="417" t="s">
        <v>2616</v>
      </c>
      <c r="I825" s="417" t="s">
        <v>1392</v>
      </c>
      <c r="J825" s="417" t="s">
        <v>3995</v>
      </c>
      <c r="K825" s="417" t="s">
        <v>3996</v>
      </c>
      <c r="L825" s="417"/>
      <c r="M825" s="417" t="s">
        <v>28840</v>
      </c>
    </row>
    <row r="826" spans="1:13" x14ac:dyDescent="0.25">
      <c r="A826" s="417" t="s">
        <v>3385</v>
      </c>
      <c r="B826" s="417" t="s">
        <v>2627</v>
      </c>
      <c r="C826" s="417" t="s">
        <v>3997</v>
      </c>
      <c r="D826" s="417" t="s">
        <v>83</v>
      </c>
      <c r="E826" s="423">
        <v>0</v>
      </c>
      <c r="F826" s="423">
        <v>0</v>
      </c>
      <c r="G826" s="422">
        <v>68040</v>
      </c>
      <c r="H826" s="417" t="s">
        <v>2616</v>
      </c>
      <c r="I826" s="417" t="s">
        <v>1392</v>
      </c>
      <c r="J826" s="417" t="s">
        <v>3998</v>
      </c>
      <c r="K826" s="417" t="s">
        <v>3999</v>
      </c>
      <c r="L826" s="417"/>
      <c r="M826" s="417" t="s">
        <v>28840</v>
      </c>
    </row>
    <row r="827" spans="1:13" x14ac:dyDescent="0.25">
      <c r="A827" s="417" t="s">
        <v>3385</v>
      </c>
      <c r="B827" s="417" t="s">
        <v>2627</v>
      </c>
      <c r="C827" s="417" t="s">
        <v>4000</v>
      </c>
      <c r="D827" s="417" t="s">
        <v>83</v>
      </c>
      <c r="E827" s="423">
        <v>0</v>
      </c>
      <c r="F827" s="423">
        <v>0</v>
      </c>
      <c r="G827" s="422">
        <v>68040</v>
      </c>
      <c r="H827" s="417" t="s">
        <v>2616</v>
      </c>
      <c r="I827" s="417" t="s">
        <v>1392</v>
      </c>
      <c r="J827" s="417" t="s">
        <v>3998</v>
      </c>
      <c r="K827" s="417" t="s">
        <v>4001</v>
      </c>
      <c r="L827" s="417"/>
      <c r="M827" s="417" t="s">
        <v>28840</v>
      </c>
    </row>
    <row r="828" spans="1:13" x14ac:dyDescent="0.25">
      <c r="A828" s="417" t="s">
        <v>3385</v>
      </c>
      <c r="B828" s="417" t="s">
        <v>2627</v>
      </c>
      <c r="C828" s="417" t="s">
        <v>4002</v>
      </c>
      <c r="D828" s="417" t="s">
        <v>88</v>
      </c>
      <c r="E828" s="423">
        <v>10.198889823769679</v>
      </c>
      <c r="F828" s="423">
        <v>0.42510804463987878</v>
      </c>
      <c r="G828" s="422">
        <v>18563.13328975944</v>
      </c>
      <c r="H828" s="417" t="s">
        <v>2616</v>
      </c>
      <c r="I828" s="417" t="s">
        <v>1392</v>
      </c>
      <c r="J828" s="417" t="s">
        <v>3699</v>
      </c>
      <c r="K828" s="417" t="s">
        <v>4003</v>
      </c>
      <c r="L828" s="417"/>
      <c r="M828" s="417" t="s">
        <v>28840</v>
      </c>
    </row>
    <row r="829" spans="1:13" x14ac:dyDescent="0.25">
      <c r="A829" s="417" t="s">
        <v>3385</v>
      </c>
      <c r="B829" s="417" t="s">
        <v>2627</v>
      </c>
      <c r="C829" s="417" t="s">
        <v>4004</v>
      </c>
      <c r="D829" s="417" t="s">
        <v>88</v>
      </c>
      <c r="E829" s="423">
        <v>6.2335298969981483E-3</v>
      </c>
      <c r="F829" s="423">
        <v>2.3055198534343991E-4</v>
      </c>
      <c r="G829" s="422">
        <v>57.489905136978031</v>
      </c>
      <c r="H829" s="417" t="s">
        <v>2616</v>
      </c>
      <c r="I829" s="417" t="s">
        <v>1392</v>
      </c>
      <c r="J829" s="417" t="s">
        <v>3945</v>
      </c>
      <c r="K829" s="417" t="s">
        <v>4005</v>
      </c>
      <c r="L829" s="417"/>
      <c r="M829" s="417" t="s">
        <v>28840</v>
      </c>
    </row>
    <row r="830" spans="1:13" x14ac:dyDescent="0.25">
      <c r="A830" s="417" t="s">
        <v>3385</v>
      </c>
      <c r="B830" s="417" t="s">
        <v>3655</v>
      </c>
      <c r="C830" s="417" t="s">
        <v>4006</v>
      </c>
      <c r="D830" s="417" t="s">
        <v>989</v>
      </c>
      <c r="E830" s="423">
        <v>6.7912111535526352</v>
      </c>
      <c r="F830" s="423">
        <v>0.24521014767439439</v>
      </c>
      <c r="G830" s="422">
        <v>12133.427350132961</v>
      </c>
      <c r="H830" s="417" t="s">
        <v>2616</v>
      </c>
      <c r="I830" s="417" t="s">
        <v>1392</v>
      </c>
      <c r="J830" s="417" t="s">
        <v>3918</v>
      </c>
      <c r="K830" s="417" t="s">
        <v>4007</v>
      </c>
      <c r="L830" s="417"/>
      <c r="M830" s="417" t="s">
        <v>28840</v>
      </c>
    </row>
    <row r="831" spans="1:13" x14ac:dyDescent="0.25">
      <c r="A831" s="417" t="s">
        <v>3385</v>
      </c>
      <c r="B831" s="417" t="s">
        <v>2437</v>
      </c>
      <c r="C831" s="417" t="s">
        <v>4008</v>
      </c>
      <c r="D831" s="417" t="s">
        <v>989</v>
      </c>
      <c r="E831" s="423">
        <v>824316.88107548386</v>
      </c>
      <c r="F831" s="423">
        <v>19704.11757494013</v>
      </c>
      <c r="G831" s="422">
        <v>1515831376.026062</v>
      </c>
      <c r="H831" s="417" t="s">
        <v>2616</v>
      </c>
      <c r="I831" s="417" t="s">
        <v>1392</v>
      </c>
      <c r="J831" s="417" t="s">
        <v>4009</v>
      </c>
      <c r="K831" s="417" t="s">
        <v>4010</v>
      </c>
      <c r="L831" s="417"/>
      <c r="M831" s="417" t="s">
        <v>28840</v>
      </c>
    </row>
    <row r="832" spans="1:13" x14ac:dyDescent="0.25">
      <c r="A832" s="417" t="s">
        <v>3385</v>
      </c>
      <c r="B832" s="417" t="s">
        <v>2437</v>
      </c>
      <c r="C832" s="417" t="s">
        <v>4011</v>
      </c>
      <c r="D832" s="417" t="s">
        <v>989</v>
      </c>
      <c r="E832" s="423">
        <v>989041.91437380202</v>
      </c>
      <c r="F832" s="423">
        <v>23641.518631690171</v>
      </c>
      <c r="G832" s="422">
        <v>1818607964.012255</v>
      </c>
      <c r="H832" s="417" t="s">
        <v>2616</v>
      </c>
      <c r="I832" s="417" t="s">
        <v>1392</v>
      </c>
      <c r="J832" s="417" t="s">
        <v>4009</v>
      </c>
      <c r="K832" s="417" t="s">
        <v>4012</v>
      </c>
      <c r="L832" s="417"/>
      <c r="M832" s="417" t="s">
        <v>28840</v>
      </c>
    </row>
    <row r="833" spans="1:13" x14ac:dyDescent="0.25">
      <c r="A833" s="417" t="s">
        <v>3385</v>
      </c>
      <c r="B833" s="417" t="s">
        <v>2627</v>
      </c>
      <c r="C833" s="417" t="s">
        <v>4013</v>
      </c>
      <c r="D833" s="417" t="s">
        <v>88</v>
      </c>
      <c r="E833" s="423">
        <v>0.1021879977831557</v>
      </c>
      <c r="F833" s="423">
        <v>1.2850885423359951E-2</v>
      </c>
      <c r="G833" s="422">
        <v>229.49602377085051</v>
      </c>
      <c r="H833" s="417" t="s">
        <v>2616</v>
      </c>
      <c r="I833" s="417" t="s">
        <v>1392</v>
      </c>
      <c r="J833" s="417" t="s">
        <v>3742</v>
      </c>
      <c r="K833" s="417" t="s">
        <v>4014</v>
      </c>
      <c r="L833" s="417"/>
      <c r="M833" s="417" t="s">
        <v>28840</v>
      </c>
    </row>
    <row r="834" spans="1:13" x14ac:dyDescent="0.25">
      <c r="A834" s="417" t="s">
        <v>3385</v>
      </c>
      <c r="B834" s="417" t="s">
        <v>2627</v>
      </c>
      <c r="C834" s="417" t="s">
        <v>4015</v>
      </c>
      <c r="D834" s="417" t="s">
        <v>88</v>
      </c>
      <c r="E834" s="423">
        <v>1.5830103532600361E-2</v>
      </c>
      <c r="F834" s="423">
        <v>1.3745308862831811E-3</v>
      </c>
      <c r="G834" s="422">
        <v>91.621763580236475</v>
      </c>
      <c r="H834" s="417" t="s">
        <v>2616</v>
      </c>
      <c r="I834" s="417" t="s">
        <v>1392</v>
      </c>
      <c r="J834" s="417" t="s">
        <v>4016</v>
      </c>
      <c r="K834" s="417" t="s">
        <v>4017</v>
      </c>
      <c r="L834" s="417"/>
      <c r="M834" s="417" t="s">
        <v>28840</v>
      </c>
    </row>
    <row r="835" spans="1:13" x14ac:dyDescent="0.25">
      <c r="A835" s="417" t="s">
        <v>3385</v>
      </c>
      <c r="B835" s="417" t="s">
        <v>2627</v>
      </c>
      <c r="C835" s="417" t="s">
        <v>4018</v>
      </c>
      <c r="D835" s="417" t="s">
        <v>88</v>
      </c>
      <c r="E835" s="423">
        <v>1.906338150451142E-2</v>
      </c>
      <c r="F835" s="423">
        <v>1.5746345567627181E-3</v>
      </c>
      <c r="G835" s="422">
        <v>93.785533501220684</v>
      </c>
      <c r="H835" s="417" t="s">
        <v>2616</v>
      </c>
      <c r="I835" s="417" t="s">
        <v>1392</v>
      </c>
      <c r="J835" s="417" t="s">
        <v>4016</v>
      </c>
      <c r="K835" s="417" t="s">
        <v>4019</v>
      </c>
      <c r="L835" s="417"/>
      <c r="M835" s="417" t="s">
        <v>28840</v>
      </c>
    </row>
    <row r="836" spans="1:13" x14ac:dyDescent="0.25">
      <c r="A836" s="417" t="s">
        <v>3385</v>
      </c>
      <c r="B836" s="417" t="s">
        <v>2627</v>
      </c>
      <c r="C836" s="417" t="s">
        <v>4020</v>
      </c>
      <c r="D836" s="417" t="s">
        <v>88</v>
      </c>
      <c r="E836" s="423">
        <v>2.1884873861433458E-2</v>
      </c>
      <c r="F836" s="423">
        <v>2.1001990710862962E-3</v>
      </c>
      <c r="G836" s="422">
        <v>99.873269240794897</v>
      </c>
      <c r="H836" s="417" t="s">
        <v>2616</v>
      </c>
      <c r="I836" s="417" t="s">
        <v>1392</v>
      </c>
      <c r="J836" s="417" t="s">
        <v>4016</v>
      </c>
      <c r="K836" s="417" t="s">
        <v>4021</v>
      </c>
      <c r="L836" s="417"/>
      <c r="M836" s="417" t="s">
        <v>28840</v>
      </c>
    </row>
    <row r="837" spans="1:13" x14ac:dyDescent="0.25">
      <c r="A837" s="417" t="s">
        <v>3385</v>
      </c>
      <c r="B837" s="417" t="s">
        <v>2627</v>
      </c>
      <c r="C837" s="417" t="s">
        <v>4022</v>
      </c>
      <c r="D837" s="417" t="s">
        <v>88</v>
      </c>
      <c r="E837" s="423">
        <v>1.963191290952291E-2</v>
      </c>
      <c r="F837" s="423">
        <v>1.8051993859997801E-3</v>
      </c>
      <c r="G837" s="422">
        <v>103.5269175125118</v>
      </c>
      <c r="H837" s="417" t="s">
        <v>2616</v>
      </c>
      <c r="I837" s="417" t="s">
        <v>1392</v>
      </c>
      <c r="J837" s="417" t="s">
        <v>4016</v>
      </c>
      <c r="K837" s="417" t="s">
        <v>4023</v>
      </c>
      <c r="L837" s="417"/>
      <c r="M837" s="417" t="s">
        <v>28840</v>
      </c>
    </row>
    <row r="838" spans="1:13" x14ac:dyDescent="0.25">
      <c r="A838" s="417" t="s">
        <v>3385</v>
      </c>
      <c r="B838" s="417" t="s">
        <v>2627</v>
      </c>
      <c r="C838" s="417" t="s">
        <v>4024</v>
      </c>
      <c r="D838" s="417" t="s">
        <v>83</v>
      </c>
      <c r="E838" s="423">
        <v>10.082023989689329</v>
      </c>
      <c r="F838" s="423">
        <v>19.581004347207319</v>
      </c>
      <c r="G838" s="422">
        <v>55480.525545556411</v>
      </c>
      <c r="H838" s="417" t="s">
        <v>2616</v>
      </c>
      <c r="I838" s="417" t="s">
        <v>1392</v>
      </c>
      <c r="J838" s="417" t="s">
        <v>4025</v>
      </c>
      <c r="K838" s="417" t="s">
        <v>4026</v>
      </c>
      <c r="L838" s="417"/>
      <c r="M838" s="417" t="s">
        <v>28840</v>
      </c>
    </row>
    <row r="839" spans="1:13" x14ac:dyDescent="0.25">
      <c r="A839" s="417" t="s">
        <v>3385</v>
      </c>
      <c r="B839" s="417" t="s">
        <v>2627</v>
      </c>
      <c r="C839" s="417" t="s">
        <v>4027</v>
      </c>
      <c r="D839" s="417" t="s">
        <v>88</v>
      </c>
      <c r="E839" s="423">
        <v>2.047779226100644E-2</v>
      </c>
      <c r="F839" s="423">
        <v>1.9010204947081269E-3</v>
      </c>
      <c r="G839" s="422">
        <v>106.17574146557109</v>
      </c>
      <c r="H839" s="417" t="s">
        <v>2616</v>
      </c>
      <c r="I839" s="417" t="s">
        <v>1392</v>
      </c>
      <c r="J839" s="417" t="s">
        <v>4016</v>
      </c>
      <c r="K839" s="417" t="s">
        <v>4028</v>
      </c>
      <c r="L839" s="417"/>
      <c r="M839" s="417" t="s">
        <v>28840</v>
      </c>
    </row>
    <row r="840" spans="1:13" x14ac:dyDescent="0.25">
      <c r="A840" s="417" t="s">
        <v>3385</v>
      </c>
      <c r="B840" s="417" t="s">
        <v>2627</v>
      </c>
      <c r="C840" s="417" t="s">
        <v>4029</v>
      </c>
      <c r="D840" s="417" t="s">
        <v>88</v>
      </c>
      <c r="E840" s="423">
        <v>2.4540854842309379E-2</v>
      </c>
      <c r="F840" s="423">
        <v>2.0523658696219461E-3</v>
      </c>
      <c r="G840" s="422">
        <v>107.2020484153859</v>
      </c>
      <c r="H840" s="417" t="s">
        <v>2616</v>
      </c>
      <c r="I840" s="417" t="s">
        <v>1392</v>
      </c>
      <c r="J840" s="417" t="s">
        <v>4016</v>
      </c>
      <c r="K840" s="417" t="s">
        <v>4030</v>
      </c>
      <c r="L840" s="417"/>
      <c r="M840" s="417" t="s">
        <v>28840</v>
      </c>
    </row>
    <row r="841" spans="1:13" x14ac:dyDescent="0.25">
      <c r="A841" s="417" t="s">
        <v>3385</v>
      </c>
      <c r="B841" s="417" t="s">
        <v>2627</v>
      </c>
      <c r="C841" s="417" t="s">
        <v>4031</v>
      </c>
      <c r="D841" s="417" t="s">
        <v>88</v>
      </c>
      <c r="E841" s="423">
        <v>6.4107090279289819E-2</v>
      </c>
      <c r="F841" s="423">
        <v>3.6729539080802197E-2</v>
      </c>
      <c r="G841" s="422">
        <v>110.4421941562012</v>
      </c>
      <c r="H841" s="417" t="s">
        <v>2616</v>
      </c>
      <c r="I841" s="417" t="s">
        <v>1392</v>
      </c>
      <c r="J841" s="417" t="s">
        <v>4016</v>
      </c>
      <c r="K841" s="417" t="s">
        <v>4032</v>
      </c>
      <c r="L841" s="417"/>
      <c r="M841" s="417" t="s">
        <v>28840</v>
      </c>
    </row>
    <row r="842" spans="1:13" x14ac:dyDescent="0.25">
      <c r="A842" s="417" t="s">
        <v>3385</v>
      </c>
      <c r="B842" s="417" t="s">
        <v>2627</v>
      </c>
      <c r="C842" s="417" t="s">
        <v>4033</v>
      </c>
      <c r="D842" s="417" t="s">
        <v>88</v>
      </c>
      <c r="E842" s="423">
        <v>1.2237755651284399E-2</v>
      </c>
      <c r="F842" s="423">
        <v>2.2468568572500541E-2</v>
      </c>
      <c r="G842" s="422">
        <v>25.452767975811089</v>
      </c>
      <c r="H842" s="417" t="s">
        <v>2616</v>
      </c>
      <c r="I842" s="417" t="s">
        <v>1392</v>
      </c>
      <c r="J842" s="417" t="s">
        <v>4016</v>
      </c>
      <c r="K842" s="417" t="s">
        <v>4034</v>
      </c>
      <c r="L842" s="417"/>
      <c r="M842" s="417" t="s">
        <v>28840</v>
      </c>
    </row>
    <row r="843" spans="1:13" x14ac:dyDescent="0.25">
      <c r="A843" s="417" t="s">
        <v>3385</v>
      </c>
      <c r="B843" s="417" t="s">
        <v>2627</v>
      </c>
      <c r="C843" s="417" t="s">
        <v>4035</v>
      </c>
      <c r="D843" s="417" t="s">
        <v>88</v>
      </c>
      <c r="E843" s="423">
        <v>3.6772153092543107E-2</v>
      </c>
      <c r="F843" s="423">
        <v>2.7755938711911111E-2</v>
      </c>
      <c r="G843" s="422">
        <v>67.64963686215512</v>
      </c>
      <c r="H843" s="417" t="s">
        <v>2616</v>
      </c>
      <c r="I843" s="417" t="s">
        <v>1392</v>
      </c>
      <c r="J843" s="417" t="s">
        <v>4016</v>
      </c>
      <c r="K843" s="417" t="s">
        <v>4036</v>
      </c>
      <c r="L843" s="417"/>
      <c r="M843" s="417" t="s">
        <v>28840</v>
      </c>
    </row>
    <row r="844" spans="1:13" x14ac:dyDescent="0.25">
      <c r="A844" s="417" t="s">
        <v>3385</v>
      </c>
      <c r="B844" s="417" t="s">
        <v>2627</v>
      </c>
      <c r="C844" s="417" t="s">
        <v>4037</v>
      </c>
      <c r="D844" s="417" t="s">
        <v>88</v>
      </c>
      <c r="E844" s="423">
        <v>3.0311366113179541E-2</v>
      </c>
      <c r="F844" s="423">
        <v>1.515479991995216E-2</v>
      </c>
      <c r="G844" s="422">
        <v>52.727870765815837</v>
      </c>
      <c r="H844" s="417" t="s">
        <v>2616</v>
      </c>
      <c r="I844" s="417" t="s">
        <v>1392</v>
      </c>
      <c r="J844" s="417" t="s">
        <v>4016</v>
      </c>
      <c r="K844" s="417" t="s">
        <v>4038</v>
      </c>
      <c r="L844" s="417"/>
      <c r="M844" s="417" t="s">
        <v>28840</v>
      </c>
    </row>
    <row r="845" spans="1:13" x14ac:dyDescent="0.25">
      <c r="A845" s="417" t="s">
        <v>3385</v>
      </c>
      <c r="B845" s="417" t="s">
        <v>2627</v>
      </c>
      <c r="C845" s="417" t="s">
        <v>4039</v>
      </c>
      <c r="D845" s="417" t="s">
        <v>88</v>
      </c>
      <c r="E845" s="423">
        <v>1.4558833457851221E-2</v>
      </c>
      <c r="F845" s="423">
        <v>1.065762057495153E-3</v>
      </c>
      <c r="G845" s="422">
        <v>85.398056416631135</v>
      </c>
      <c r="H845" s="417" t="s">
        <v>2616</v>
      </c>
      <c r="I845" s="417" t="s">
        <v>1392</v>
      </c>
      <c r="J845" s="417" t="s">
        <v>4016</v>
      </c>
      <c r="K845" s="417" t="s">
        <v>4040</v>
      </c>
      <c r="L845" s="417"/>
      <c r="M845" s="417" t="s">
        <v>28840</v>
      </c>
    </row>
    <row r="846" spans="1:13" x14ac:dyDescent="0.25">
      <c r="A846" s="417" t="s">
        <v>3385</v>
      </c>
      <c r="B846" s="417" t="s">
        <v>2627</v>
      </c>
      <c r="C846" s="417" t="s">
        <v>4041</v>
      </c>
      <c r="D846" s="417" t="s">
        <v>88</v>
      </c>
      <c r="E846" s="423">
        <v>1.5172603152575129E-2</v>
      </c>
      <c r="F846" s="423">
        <v>1.0909252258141341E-3</v>
      </c>
      <c r="G846" s="422">
        <v>85.638517023564006</v>
      </c>
      <c r="H846" s="417" t="s">
        <v>2616</v>
      </c>
      <c r="I846" s="417" t="s">
        <v>1392</v>
      </c>
      <c r="J846" s="417" t="s">
        <v>4016</v>
      </c>
      <c r="K846" s="417" t="s">
        <v>4042</v>
      </c>
      <c r="L846" s="417"/>
      <c r="M846" s="417" t="s">
        <v>28840</v>
      </c>
    </row>
    <row r="847" spans="1:13" x14ac:dyDescent="0.25">
      <c r="A847" s="417" t="s">
        <v>3385</v>
      </c>
      <c r="B847" s="417" t="s">
        <v>2627</v>
      </c>
      <c r="C847" s="417" t="s">
        <v>4043</v>
      </c>
      <c r="D847" s="417" t="s">
        <v>88</v>
      </c>
      <c r="E847" s="423">
        <v>1.8624602789076579E-2</v>
      </c>
      <c r="F847" s="423">
        <v>1.450913821814961E-3</v>
      </c>
      <c r="G847" s="422">
        <v>97.103154312623317</v>
      </c>
      <c r="H847" s="417" t="s">
        <v>2616</v>
      </c>
      <c r="I847" s="417" t="s">
        <v>1392</v>
      </c>
      <c r="J847" s="417" t="s">
        <v>4016</v>
      </c>
      <c r="K847" s="417" t="s">
        <v>4044</v>
      </c>
      <c r="L847" s="417"/>
      <c r="M847" s="417" t="s">
        <v>28840</v>
      </c>
    </row>
    <row r="848" spans="1:13" x14ac:dyDescent="0.25">
      <c r="A848" s="417" t="s">
        <v>3385</v>
      </c>
      <c r="B848" s="417" t="s">
        <v>2627</v>
      </c>
      <c r="C848" s="417" t="s">
        <v>4045</v>
      </c>
      <c r="D848" s="417" t="s">
        <v>88</v>
      </c>
      <c r="E848" s="423">
        <v>1.8869086398455831E-2</v>
      </c>
      <c r="F848" s="423">
        <v>1.347240295427387E-3</v>
      </c>
      <c r="G848" s="422">
        <v>95.32576382010086</v>
      </c>
      <c r="H848" s="417" t="s">
        <v>2616</v>
      </c>
      <c r="I848" s="417" t="s">
        <v>1392</v>
      </c>
      <c r="J848" s="417" t="s">
        <v>4016</v>
      </c>
      <c r="K848" s="417" t="s">
        <v>4046</v>
      </c>
      <c r="L848" s="417"/>
      <c r="M848" s="417" t="s">
        <v>28840</v>
      </c>
    </row>
    <row r="849" spans="1:13" x14ac:dyDescent="0.25">
      <c r="A849" s="417" t="s">
        <v>3385</v>
      </c>
      <c r="B849" s="417" t="s">
        <v>2627</v>
      </c>
      <c r="C849" s="417" t="s">
        <v>1060</v>
      </c>
      <c r="D849" s="417" t="s">
        <v>88</v>
      </c>
      <c r="E849" s="423">
        <v>0.45035020044860208</v>
      </c>
      <c r="F849" s="423">
        <v>6.2718855786196032E-3</v>
      </c>
      <c r="G849" s="422">
        <v>4175.7602771447209</v>
      </c>
      <c r="H849" s="417" t="s">
        <v>2616</v>
      </c>
      <c r="I849" s="417" t="s">
        <v>28841</v>
      </c>
      <c r="J849" s="417" t="s">
        <v>4047</v>
      </c>
      <c r="K849" s="417" t="s">
        <v>4048</v>
      </c>
      <c r="L849" s="417"/>
      <c r="M849" s="417" t="s">
        <v>28840</v>
      </c>
    </row>
    <row r="850" spans="1:13" x14ac:dyDescent="0.25">
      <c r="A850" s="417" t="s">
        <v>3385</v>
      </c>
      <c r="B850" s="417" t="s">
        <v>2627</v>
      </c>
      <c r="C850" s="417" t="s">
        <v>4049</v>
      </c>
      <c r="D850" s="417" t="s">
        <v>88</v>
      </c>
      <c r="E850" s="423">
        <v>0.3644996282267296</v>
      </c>
      <c r="F850" s="423">
        <v>5.4722669911926817E-3</v>
      </c>
      <c r="G850" s="422">
        <v>4059.784325275371</v>
      </c>
      <c r="H850" s="417" t="s">
        <v>2616</v>
      </c>
      <c r="I850" s="417" t="s">
        <v>1392</v>
      </c>
      <c r="J850" s="417" t="s">
        <v>4047</v>
      </c>
      <c r="K850" s="417" t="s">
        <v>4050</v>
      </c>
      <c r="L850" s="417"/>
      <c r="M850" s="417" t="s">
        <v>28840</v>
      </c>
    </row>
    <row r="851" spans="1:13" x14ac:dyDescent="0.25">
      <c r="A851" s="417" t="s">
        <v>3385</v>
      </c>
      <c r="B851" s="417" t="s">
        <v>2627</v>
      </c>
      <c r="C851" s="417" t="s">
        <v>4051</v>
      </c>
      <c r="D851" s="417" t="s">
        <v>88</v>
      </c>
      <c r="E851" s="423">
        <v>0.42588673714589109</v>
      </c>
      <c r="F851" s="423">
        <v>5.6324208602413269E-3</v>
      </c>
      <c r="G851" s="422">
        <v>4714.4368283554704</v>
      </c>
      <c r="H851" s="417" t="s">
        <v>2616</v>
      </c>
      <c r="I851" s="417" t="s">
        <v>1392</v>
      </c>
      <c r="J851" s="417" t="s">
        <v>4047</v>
      </c>
      <c r="K851" s="417" t="s">
        <v>4052</v>
      </c>
      <c r="L851" s="417"/>
      <c r="M851" s="417" t="s">
        <v>28840</v>
      </c>
    </row>
    <row r="852" spans="1:13" x14ac:dyDescent="0.25">
      <c r="A852" s="417" t="s">
        <v>3385</v>
      </c>
      <c r="B852" s="417" t="s">
        <v>2627</v>
      </c>
      <c r="C852" s="417" t="s">
        <v>4053</v>
      </c>
      <c r="D852" s="417" t="s">
        <v>88</v>
      </c>
      <c r="E852" s="423">
        <v>0.39376582127875981</v>
      </c>
      <c r="F852" s="423">
        <v>8.7798341714501078E-3</v>
      </c>
      <c r="G852" s="422">
        <v>4125.4771089163751</v>
      </c>
      <c r="H852" s="417" t="s">
        <v>2616</v>
      </c>
      <c r="I852" s="417" t="s">
        <v>1392</v>
      </c>
      <c r="J852" s="417" t="s">
        <v>4054</v>
      </c>
      <c r="K852" s="417" t="s">
        <v>4055</v>
      </c>
      <c r="L852" s="417"/>
      <c r="M852" s="417" t="s">
        <v>28840</v>
      </c>
    </row>
    <row r="853" spans="1:13" x14ac:dyDescent="0.25">
      <c r="A853" s="417" t="s">
        <v>3385</v>
      </c>
      <c r="B853" s="417" t="s">
        <v>2627</v>
      </c>
      <c r="C853" s="417" t="s">
        <v>4056</v>
      </c>
      <c r="D853" s="417" t="s">
        <v>88</v>
      </c>
      <c r="E853" s="423">
        <v>0.45398331767327182</v>
      </c>
      <c r="F853" s="423">
        <v>8.9004162997896284E-3</v>
      </c>
      <c r="G853" s="422">
        <v>4777.5160142094946</v>
      </c>
      <c r="H853" s="417" t="s">
        <v>2616</v>
      </c>
      <c r="I853" s="417" t="s">
        <v>1392</v>
      </c>
      <c r="J853" s="417" t="s">
        <v>4054</v>
      </c>
      <c r="K853" s="417" t="s">
        <v>4057</v>
      </c>
      <c r="L853" s="417"/>
      <c r="M853" s="417" t="s">
        <v>28840</v>
      </c>
    </row>
    <row r="854" spans="1:13" x14ac:dyDescent="0.25">
      <c r="A854" s="417" t="s">
        <v>3385</v>
      </c>
      <c r="B854" s="417" t="s">
        <v>2627</v>
      </c>
      <c r="C854" s="417" t="s">
        <v>4058</v>
      </c>
      <c r="D854" s="417" t="s">
        <v>88</v>
      </c>
      <c r="E854" s="423">
        <v>0.1064840165050555</v>
      </c>
      <c r="F854" s="423">
        <v>1.72833114460555E-3</v>
      </c>
      <c r="G854" s="422">
        <v>968.36816746095928</v>
      </c>
      <c r="H854" s="417" t="s">
        <v>2616</v>
      </c>
      <c r="I854" s="417" t="s">
        <v>1392</v>
      </c>
      <c r="J854" s="417" t="s">
        <v>4047</v>
      </c>
      <c r="K854" s="417" t="s">
        <v>4059</v>
      </c>
      <c r="L854" s="417"/>
      <c r="M854" s="417" t="s">
        <v>28840</v>
      </c>
    </row>
    <row r="855" spans="1:13" x14ac:dyDescent="0.25">
      <c r="A855" s="417" t="s">
        <v>3385</v>
      </c>
      <c r="B855" s="417" t="s">
        <v>2627</v>
      </c>
      <c r="C855" s="417" t="s">
        <v>4060</v>
      </c>
      <c r="D855" s="417" t="s">
        <v>88</v>
      </c>
      <c r="E855" s="423">
        <v>8.8216243721220208E-2</v>
      </c>
      <c r="F855" s="423">
        <v>1.5581848719260221E-3</v>
      </c>
      <c r="G855" s="422">
        <v>945.08563260332437</v>
      </c>
      <c r="H855" s="417" t="s">
        <v>2616</v>
      </c>
      <c r="I855" s="417" t="s">
        <v>1392</v>
      </c>
      <c r="J855" s="417" t="s">
        <v>4047</v>
      </c>
      <c r="K855" s="417" t="s">
        <v>4061</v>
      </c>
      <c r="L855" s="417"/>
      <c r="M855" s="417" t="s">
        <v>28840</v>
      </c>
    </row>
    <row r="856" spans="1:13" x14ac:dyDescent="0.25">
      <c r="A856" s="417" t="s">
        <v>3385</v>
      </c>
      <c r="B856" s="417" t="s">
        <v>2627</v>
      </c>
      <c r="C856" s="417" t="s">
        <v>4062</v>
      </c>
      <c r="D856" s="417" t="s">
        <v>88</v>
      </c>
      <c r="E856" s="423">
        <v>6.927530983077998E-2</v>
      </c>
      <c r="F856" s="423">
        <v>1.1929011148428079E-3</v>
      </c>
      <c r="G856" s="422">
        <v>786.08271484019747</v>
      </c>
      <c r="H856" s="417" t="s">
        <v>2616</v>
      </c>
      <c r="I856" s="417" t="s">
        <v>1392</v>
      </c>
      <c r="J856" s="417" t="s">
        <v>4047</v>
      </c>
      <c r="K856" s="417" t="s">
        <v>4063</v>
      </c>
      <c r="L856" s="417"/>
      <c r="M856" s="417" t="s">
        <v>28840</v>
      </c>
    </row>
    <row r="857" spans="1:13" x14ac:dyDescent="0.25">
      <c r="A857" s="417" t="s">
        <v>3385</v>
      </c>
      <c r="B857" s="417" t="s">
        <v>2627</v>
      </c>
      <c r="C857" s="417" t="s">
        <v>4064</v>
      </c>
      <c r="D857" s="417" t="s">
        <v>88</v>
      </c>
      <c r="E857" s="423">
        <v>6.3906135593775207E-3</v>
      </c>
      <c r="F857" s="423">
        <v>3.9732018770983232E-4</v>
      </c>
      <c r="G857" s="422">
        <v>20.278132594648799</v>
      </c>
      <c r="H857" s="417" t="s">
        <v>2616</v>
      </c>
      <c r="I857" s="417" t="s">
        <v>1392</v>
      </c>
      <c r="J857" s="417" t="s">
        <v>3860</v>
      </c>
      <c r="K857" s="417" t="s">
        <v>4065</v>
      </c>
      <c r="L857" s="417"/>
      <c r="M857" s="417" t="s">
        <v>28840</v>
      </c>
    </row>
    <row r="858" spans="1:13" x14ac:dyDescent="0.25">
      <c r="A858" s="417" t="s">
        <v>3385</v>
      </c>
      <c r="B858" s="417" t="s">
        <v>2627</v>
      </c>
      <c r="C858" s="417" t="s">
        <v>4066</v>
      </c>
      <c r="D858" s="417" t="s">
        <v>88</v>
      </c>
      <c r="E858" s="423">
        <v>9.1850565221680853E-3</v>
      </c>
      <c r="F858" s="423">
        <v>5.8903903210000004E-4</v>
      </c>
      <c r="G858" s="422">
        <v>25.750662151826202</v>
      </c>
      <c r="H858" s="417" t="s">
        <v>2616</v>
      </c>
      <c r="I858" s="417" t="s">
        <v>1392</v>
      </c>
      <c r="J858" s="417" t="s">
        <v>4067</v>
      </c>
      <c r="K858" s="417" t="s">
        <v>4068</v>
      </c>
      <c r="L858" s="417"/>
      <c r="M858" s="417" t="s">
        <v>28840</v>
      </c>
    </row>
    <row r="859" spans="1:13" x14ac:dyDescent="0.25">
      <c r="A859" s="417" t="s">
        <v>3385</v>
      </c>
      <c r="B859" s="417" t="s">
        <v>3655</v>
      </c>
      <c r="C859" s="417" t="s">
        <v>4069</v>
      </c>
      <c r="D859" s="417" t="s">
        <v>73</v>
      </c>
      <c r="E859" s="423">
        <v>0.55779601875770746</v>
      </c>
      <c r="F859" s="423">
        <v>5.3389233800260991E-6</v>
      </c>
      <c r="G859" s="422">
        <v>752.42741465978588</v>
      </c>
      <c r="H859" s="417" t="s">
        <v>2616</v>
      </c>
      <c r="I859" s="417" t="s">
        <v>1392</v>
      </c>
      <c r="J859" s="417" t="s">
        <v>4070</v>
      </c>
      <c r="K859" s="417" t="s">
        <v>4071</v>
      </c>
      <c r="L859" s="417"/>
      <c r="M859" s="417" t="s">
        <v>28840</v>
      </c>
    </row>
    <row r="860" spans="1:13" x14ac:dyDescent="0.25">
      <c r="A860" s="417" t="s">
        <v>3385</v>
      </c>
      <c r="B860" s="417" t="s">
        <v>2627</v>
      </c>
      <c r="C860" s="417" t="s">
        <v>4072</v>
      </c>
      <c r="D860" s="417" t="s">
        <v>88</v>
      </c>
      <c r="E860" s="423">
        <v>1.8890443734090771E-2</v>
      </c>
      <c r="F860" s="423">
        <v>2.1354828233087001E-4</v>
      </c>
      <c r="G860" s="422">
        <v>35.378114605995911</v>
      </c>
      <c r="H860" s="417" t="s">
        <v>2616</v>
      </c>
      <c r="I860" s="417" t="s">
        <v>1392</v>
      </c>
      <c r="J860" s="417" t="s">
        <v>3772</v>
      </c>
      <c r="K860" s="417" t="s">
        <v>4073</v>
      </c>
      <c r="L860" s="417"/>
      <c r="M860" s="417" t="s">
        <v>28840</v>
      </c>
    </row>
    <row r="861" spans="1:13" x14ac:dyDescent="0.25">
      <c r="A861" s="417" t="s">
        <v>3385</v>
      </c>
      <c r="B861" s="417" t="s">
        <v>2627</v>
      </c>
      <c r="C861" s="417" t="s">
        <v>4074</v>
      </c>
      <c r="D861" s="417" t="s">
        <v>88</v>
      </c>
      <c r="E861" s="423">
        <v>5.678119332359338</v>
      </c>
      <c r="F861" s="423">
        <v>0.1111315501554305</v>
      </c>
      <c r="G861" s="422">
        <v>12242.63337898081</v>
      </c>
      <c r="H861" s="417" t="s">
        <v>2616</v>
      </c>
      <c r="I861" s="417" t="s">
        <v>1392</v>
      </c>
      <c r="J861" s="417" t="s">
        <v>3899</v>
      </c>
      <c r="K861" s="417" t="s">
        <v>4075</v>
      </c>
      <c r="L861" s="417"/>
      <c r="M861" s="417" t="s">
        <v>28840</v>
      </c>
    </row>
    <row r="862" spans="1:13" x14ac:dyDescent="0.25">
      <c r="A862" s="417" t="s">
        <v>3385</v>
      </c>
      <c r="B862" s="417" t="s">
        <v>2627</v>
      </c>
      <c r="C862" s="417" t="s">
        <v>4076</v>
      </c>
      <c r="D862" s="417" t="s">
        <v>88</v>
      </c>
      <c r="E862" s="423">
        <v>16.240851052446331</v>
      </c>
      <c r="F862" s="423">
        <v>1.1684874590351479</v>
      </c>
      <c r="G862" s="422">
        <v>68113.026397624926</v>
      </c>
      <c r="H862" s="417" t="s">
        <v>2616</v>
      </c>
      <c r="I862" s="417" t="s">
        <v>1392</v>
      </c>
      <c r="J862" s="417" t="s">
        <v>3899</v>
      </c>
      <c r="K862" s="417" t="s">
        <v>4077</v>
      </c>
      <c r="L862" s="417"/>
      <c r="M862" s="417" t="s">
        <v>28840</v>
      </c>
    </row>
    <row r="863" spans="1:13" x14ac:dyDescent="0.25">
      <c r="A863" s="417" t="s">
        <v>3385</v>
      </c>
      <c r="B863" s="417" t="s">
        <v>2437</v>
      </c>
      <c r="C863" s="417" t="s">
        <v>4078</v>
      </c>
      <c r="D863" s="417" t="s">
        <v>88</v>
      </c>
      <c r="E863" s="423">
        <v>6.6466281384389259</v>
      </c>
      <c r="F863" s="423">
        <v>0.27968077020345949</v>
      </c>
      <c r="G863" s="422">
        <v>17295.657595836281</v>
      </c>
      <c r="H863" s="417" t="s">
        <v>2616</v>
      </c>
      <c r="I863" s="417" t="s">
        <v>1392</v>
      </c>
      <c r="J863" s="417" t="s">
        <v>3871</v>
      </c>
      <c r="K863" s="417" t="s">
        <v>4079</v>
      </c>
      <c r="L863" s="417"/>
      <c r="M863" s="417" t="s">
        <v>28840</v>
      </c>
    </row>
    <row r="864" spans="1:13" x14ac:dyDescent="0.25">
      <c r="A864" s="417" t="s">
        <v>3385</v>
      </c>
      <c r="B864" s="417" t="s">
        <v>2437</v>
      </c>
      <c r="C864" s="417" t="s">
        <v>983</v>
      </c>
      <c r="D864" s="417" t="s">
        <v>88</v>
      </c>
      <c r="E864" s="423">
        <v>8.3668945472549403</v>
      </c>
      <c r="F864" s="423">
        <v>0.22518164502620561</v>
      </c>
      <c r="G864" s="422">
        <v>29526.446770582112</v>
      </c>
      <c r="H864" s="417" t="s">
        <v>2616</v>
      </c>
      <c r="I864" s="417" t="s">
        <v>28841</v>
      </c>
      <c r="J864" s="417" t="s">
        <v>3871</v>
      </c>
      <c r="K864" s="417" t="s">
        <v>4080</v>
      </c>
      <c r="L864" s="417"/>
      <c r="M864" s="417" t="s">
        <v>28840</v>
      </c>
    </row>
    <row r="865" spans="1:13" x14ac:dyDescent="0.25">
      <c r="A865" s="417" t="s">
        <v>3385</v>
      </c>
      <c r="B865" s="417" t="s">
        <v>2627</v>
      </c>
      <c r="C865" s="417" t="s">
        <v>4081</v>
      </c>
      <c r="D865" s="417" t="s">
        <v>88</v>
      </c>
      <c r="E865" s="423">
        <v>12.762875265654939</v>
      </c>
      <c r="F865" s="423">
        <v>0.49860564232596488</v>
      </c>
      <c r="G865" s="422">
        <v>42377.288081115003</v>
      </c>
      <c r="H865" s="417" t="s">
        <v>2616</v>
      </c>
      <c r="I865" s="417" t="s">
        <v>1392</v>
      </c>
      <c r="J865" s="417" t="s">
        <v>3714</v>
      </c>
      <c r="K865" s="417" t="s">
        <v>4082</v>
      </c>
      <c r="L865" s="417"/>
      <c r="M865" s="417" t="s">
        <v>28840</v>
      </c>
    </row>
    <row r="866" spans="1:13" x14ac:dyDescent="0.25">
      <c r="A866" s="417" t="s">
        <v>3385</v>
      </c>
      <c r="B866" s="417" t="s">
        <v>2437</v>
      </c>
      <c r="C866" s="417" t="s">
        <v>4083</v>
      </c>
      <c r="D866" s="417" t="s">
        <v>88</v>
      </c>
      <c r="E866" s="423">
        <v>12.08376850372129</v>
      </c>
      <c r="F866" s="423">
        <v>0.33299871392342573</v>
      </c>
      <c r="G866" s="422">
        <v>40617.06703200566</v>
      </c>
      <c r="H866" s="417" t="s">
        <v>2616</v>
      </c>
      <c r="I866" s="417" t="s">
        <v>1392</v>
      </c>
      <c r="J866" s="417" t="s">
        <v>3871</v>
      </c>
      <c r="K866" s="417" t="s">
        <v>4084</v>
      </c>
      <c r="L866" s="417"/>
      <c r="M866" s="417" t="s">
        <v>28840</v>
      </c>
    </row>
    <row r="867" spans="1:13" x14ac:dyDescent="0.25">
      <c r="A867" s="417" t="s">
        <v>3385</v>
      </c>
      <c r="B867" s="417" t="s">
        <v>2437</v>
      </c>
      <c r="C867" s="417" t="s">
        <v>4085</v>
      </c>
      <c r="D867" s="417" t="s">
        <v>88</v>
      </c>
      <c r="E867" s="423">
        <v>10.432080121762439</v>
      </c>
      <c r="F867" s="423">
        <v>0.32558956660868388</v>
      </c>
      <c r="G867" s="422">
        <v>43274.46765717143</v>
      </c>
      <c r="H867" s="417" t="s">
        <v>2616</v>
      </c>
      <c r="I867" s="417" t="s">
        <v>1392</v>
      </c>
      <c r="J867" s="417" t="s">
        <v>3871</v>
      </c>
      <c r="K867" s="417" t="s">
        <v>4086</v>
      </c>
      <c r="L867" s="417"/>
      <c r="M867" s="417" t="s">
        <v>28840</v>
      </c>
    </row>
    <row r="868" spans="1:13" x14ac:dyDescent="0.25">
      <c r="A868" s="417" t="s">
        <v>3385</v>
      </c>
      <c r="B868" s="417" t="s">
        <v>2437</v>
      </c>
      <c r="C868" s="417" t="s">
        <v>984</v>
      </c>
      <c r="D868" s="417" t="s">
        <v>88</v>
      </c>
      <c r="E868" s="423">
        <v>10.06295709536464</v>
      </c>
      <c r="F868" s="423">
        <v>0.38958935973465858</v>
      </c>
      <c r="G868" s="422">
        <v>41190.523329204188</v>
      </c>
      <c r="H868" s="417" t="s">
        <v>2616</v>
      </c>
      <c r="I868" s="417" t="s">
        <v>28841</v>
      </c>
      <c r="J868" s="417" t="s">
        <v>3871</v>
      </c>
      <c r="K868" s="417" t="s">
        <v>4087</v>
      </c>
      <c r="L868" s="417"/>
      <c r="M868" s="417" t="s">
        <v>28840</v>
      </c>
    </row>
    <row r="869" spans="1:13" x14ac:dyDescent="0.25">
      <c r="A869" s="417" t="s">
        <v>3385</v>
      </c>
      <c r="B869" s="417" t="s">
        <v>2437</v>
      </c>
      <c r="C869" s="417" t="s">
        <v>4088</v>
      </c>
      <c r="D869" s="417" t="s">
        <v>88</v>
      </c>
      <c r="E869" s="423">
        <v>10.063055211904571</v>
      </c>
      <c r="F869" s="423">
        <v>0.34529391830409051</v>
      </c>
      <c r="G869" s="422">
        <v>39462.123830039069</v>
      </c>
      <c r="H869" s="417" t="s">
        <v>2616</v>
      </c>
      <c r="I869" s="417" t="s">
        <v>1392</v>
      </c>
      <c r="J869" s="417" t="s">
        <v>3871</v>
      </c>
      <c r="K869" s="417" t="s">
        <v>4089</v>
      </c>
      <c r="L869" s="417"/>
      <c r="M869" s="417" t="s">
        <v>28840</v>
      </c>
    </row>
    <row r="870" spans="1:13" x14ac:dyDescent="0.25">
      <c r="A870" s="417" t="s">
        <v>3385</v>
      </c>
      <c r="B870" s="417" t="s">
        <v>2437</v>
      </c>
      <c r="C870" s="417" t="s">
        <v>4090</v>
      </c>
      <c r="D870" s="417" t="s">
        <v>88</v>
      </c>
      <c r="E870" s="423">
        <v>21.281720768448132</v>
      </c>
      <c r="F870" s="423">
        <v>1.36685337523752</v>
      </c>
      <c r="G870" s="422">
        <v>80905.626274577167</v>
      </c>
      <c r="H870" s="417" t="s">
        <v>2616</v>
      </c>
      <c r="I870" s="417" t="s">
        <v>1392</v>
      </c>
      <c r="J870" s="417" t="s">
        <v>3871</v>
      </c>
      <c r="K870" s="417" t="s">
        <v>4091</v>
      </c>
      <c r="L870" s="417"/>
      <c r="M870" s="417" t="s">
        <v>28840</v>
      </c>
    </row>
    <row r="871" spans="1:13" x14ac:dyDescent="0.25">
      <c r="A871" s="417" t="s">
        <v>3385</v>
      </c>
      <c r="B871" s="417" t="s">
        <v>2627</v>
      </c>
      <c r="C871" s="417" t="s">
        <v>4092</v>
      </c>
      <c r="D871" s="417" t="s">
        <v>88</v>
      </c>
      <c r="E871" s="423">
        <v>10.481380815419319</v>
      </c>
      <c r="F871" s="423">
        <v>0.38562568391360358</v>
      </c>
      <c r="G871" s="422">
        <v>43524.432956711164</v>
      </c>
      <c r="H871" s="417" t="s">
        <v>2616</v>
      </c>
      <c r="I871" s="417" t="s">
        <v>1392</v>
      </c>
      <c r="J871" s="417" t="s">
        <v>3714</v>
      </c>
      <c r="K871" s="417" t="s">
        <v>4093</v>
      </c>
      <c r="L871" s="417"/>
      <c r="M871" s="417" t="s">
        <v>28840</v>
      </c>
    </row>
    <row r="872" spans="1:13" x14ac:dyDescent="0.25">
      <c r="A872" s="417" t="s">
        <v>3385</v>
      </c>
      <c r="B872" s="417" t="s">
        <v>2437</v>
      </c>
      <c r="C872" s="417" t="s">
        <v>4094</v>
      </c>
      <c r="D872" s="417" t="s">
        <v>88</v>
      </c>
      <c r="E872" s="423">
        <v>4.7543034250348386</v>
      </c>
      <c r="F872" s="423">
        <v>0.15808850748300429</v>
      </c>
      <c r="G872" s="422">
        <v>9670.8156686015336</v>
      </c>
      <c r="H872" s="417" t="s">
        <v>2616</v>
      </c>
      <c r="I872" s="417" t="s">
        <v>1392</v>
      </c>
      <c r="J872" s="417" t="s">
        <v>3871</v>
      </c>
      <c r="K872" s="417" t="s">
        <v>4095</v>
      </c>
      <c r="L872" s="417"/>
      <c r="M872" s="417" t="s">
        <v>28840</v>
      </c>
    </row>
    <row r="873" spans="1:13" x14ac:dyDescent="0.25">
      <c r="A873" s="417" t="s">
        <v>3385</v>
      </c>
      <c r="B873" s="417" t="s">
        <v>2437</v>
      </c>
      <c r="C873" s="417" t="s">
        <v>4096</v>
      </c>
      <c r="D873" s="417" t="s">
        <v>88</v>
      </c>
      <c r="E873" s="423">
        <v>3.690900035540337</v>
      </c>
      <c r="F873" s="423">
        <v>0.21993262849786241</v>
      </c>
      <c r="G873" s="422">
        <v>6931.867153298962</v>
      </c>
      <c r="H873" s="417" t="s">
        <v>2616</v>
      </c>
      <c r="I873" s="417" t="s">
        <v>1392</v>
      </c>
      <c r="J873" s="417" t="s">
        <v>3871</v>
      </c>
      <c r="K873" s="417" t="s">
        <v>4097</v>
      </c>
      <c r="L873" s="417"/>
      <c r="M873" s="417" t="s">
        <v>28840</v>
      </c>
    </row>
    <row r="874" spans="1:13" x14ac:dyDescent="0.25">
      <c r="A874" s="417" t="s">
        <v>3385</v>
      </c>
      <c r="B874" s="417" t="s">
        <v>2437</v>
      </c>
      <c r="C874" s="417" t="s">
        <v>4098</v>
      </c>
      <c r="D874" s="417" t="s">
        <v>88</v>
      </c>
      <c r="E874" s="423">
        <v>3.647693330380855</v>
      </c>
      <c r="F874" s="423">
        <v>0.21862041947293781</v>
      </c>
      <c r="G874" s="422">
        <v>6850.0390085536574</v>
      </c>
      <c r="H874" s="417" t="s">
        <v>2616</v>
      </c>
      <c r="I874" s="417" t="s">
        <v>1392</v>
      </c>
      <c r="J874" s="417" t="s">
        <v>3871</v>
      </c>
      <c r="K874" s="417" t="s">
        <v>4099</v>
      </c>
      <c r="L874" s="417"/>
      <c r="M874" s="417" t="s">
        <v>28840</v>
      </c>
    </row>
    <row r="875" spans="1:13" x14ac:dyDescent="0.25">
      <c r="A875" s="417" t="s">
        <v>3385</v>
      </c>
      <c r="B875" s="417" t="s">
        <v>2627</v>
      </c>
      <c r="C875" s="417" t="s">
        <v>982</v>
      </c>
      <c r="D875" s="417" t="s">
        <v>88</v>
      </c>
      <c r="E875" s="423">
        <v>11.483647454597451</v>
      </c>
      <c r="F875" s="423">
        <v>0.49336384614691881</v>
      </c>
      <c r="G875" s="422">
        <v>38033.021433097718</v>
      </c>
      <c r="H875" s="417" t="s">
        <v>2616</v>
      </c>
      <c r="I875" s="417" t="s">
        <v>28841</v>
      </c>
      <c r="J875" s="417" t="s">
        <v>3714</v>
      </c>
      <c r="K875" s="417" t="s">
        <v>4100</v>
      </c>
      <c r="L875" s="417"/>
      <c r="M875" s="417" t="s">
        <v>28840</v>
      </c>
    </row>
    <row r="876" spans="1:13" x14ac:dyDescent="0.25">
      <c r="A876" s="417" t="s">
        <v>3385</v>
      </c>
      <c r="B876" s="417" t="s">
        <v>2627</v>
      </c>
      <c r="C876" s="417" t="s">
        <v>4101</v>
      </c>
      <c r="D876" s="417" t="s">
        <v>88</v>
      </c>
      <c r="E876" s="423">
        <v>4.4432416298648514</v>
      </c>
      <c r="F876" s="423">
        <v>0.193517145635349</v>
      </c>
      <c r="G876" s="422">
        <v>17262.204469766901</v>
      </c>
      <c r="H876" s="417" t="s">
        <v>2616</v>
      </c>
      <c r="I876" s="417" t="s">
        <v>1392</v>
      </c>
      <c r="J876" s="417" t="s">
        <v>3970</v>
      </c>
      <c r="K876" s="417" t="s">
        <v>4102</v>
      </c>
      <c r="L876" s="417"/>
      <c r="M876" s="417" t="s">
        <v>28840</v>
      </c>
    </row>
    <row r="877" spans="1:13" x14ac:dyDescent="0.25">
      <c r="A877" s="417" t="s">
        <v>3385</v>
      </c>
      <c r="B877" s="417" t="s">
        <v>2627</v>
      </c>
      <c r="C877" s="417" t="s">
        <v>4103</v>
      </c>
      <c r="D877" s="417" t="s">
        <v>88</v>
      </c>
      <c r="E877" s="423">
        <v>15.26720756998218</v>
      </c>
      <c r="F877" s="423">
        <v>0.46037967865314922</v>
      </c>
      <c r="G877" s="422">
        <v>40152.160569389504</v>
      </c>
      <c r="H877" s="417" t="s">
        <v>2616</v>
      </c>
      <c r="I877" s="417" t="s">
        <v>1392</v>
      </c>
      <c r="J877" s="417" t="s">
        <v>4104</v>
      </c>
      <c r="K877" s="417" t="s">
        <v>4105</v>
      </c>
      <c r="L877" s="417"/>
      <c r="M877" s="417" t="s">
        <v>28840</v>
      </c>
    </row>
    <row r="878" spans="1:13" x14ac:dyDescent="0.25">
      <c r="A878" s="417" t="s">
        <v>3385</v>
      </c>
      <c r="B878" s="417" t="s">
        <v>2627</v>
      </c>
      <c r="C878" s="417" t="s">
        <v>1569</v>
      </c>
      <c r="D878" s="417" t="s">
        <v>88</v>
      </c>
      <c r="E878" s="423">
        <v>13.452128573619239</v>
      </c>
      <c r="F878" s="423">
        <v>0.60704978151158651</v>
      </c>
      <c r="G878" s="422">
        <v>35225.082652205507</v>
      </c>
      <c r="H878" s="417" t="s">
        <v>2616</v>
      </c>
      <c r="I878" s="417" t="s">
        <v>1392</v>
      </c>
      <c r="J878" s="417" t="s">
        <v>3970</v>
      </c>
      <c r="K878" s="417" t="s">
        <v>4106</v>
      </c>
      <c r="L878" s="417"/>
      <c r="M878" s="417" t="s">
        <v>28840</v>
      </c>
    </row>
    <row r="879" spans="1:13" x14ac:dyDescent="0.25">
      <c r="A879" s="417" t="s">
        <v>3385</v>
      </c>
      <c r="B879" s="417" t="s">
        <v>2627</v>
      </c>
      <c r="C879" s="417" t="s">
        <v>4107</v>
      </c>
      <c r="D879" s="417" t="s">
        <v>88</v>
      </c>
      <c r="E879" s="423">
        <v>15.540476122137941</v>
      </c>
      <c r="F879" s="423">
        <v>0.4982151166901635</v>
      </c>
      <c r="G879" s="422">
        <v>38603.847633665187</v>
      </c>
      <c r="H879" s="417" t="s">
        <v>2616</v>
      </c>
      <c r="I879" s="417" t="s">
        <v>1392</v>
      </c>
      <c r="J879" s="417" t="s">
        <v>4104</v>
      </c>
      <c r="K879" s="417" t="s">
        <v>4108</v>
      </c>
      <c r="L879" s="417"/>
      <c r="M879" s="417" t="s">
        <v>28840</v>
      </c>
    </row>
    <row r="880" spans="1:13" x14ac:dyDescent="0.25">
      <c r="A880" s="417" t="s">
        <v>3385</v>
      </c>
      <c r="B880" s="417" t="s">
        <v>2627</v>
      </c>
      <c r="C880" s="417" t="s">
        <v>4109</v>
      </c>
      <c r="D880" s="417" t="s">
        <v>88</v>
      </c>
      <c r="E880" s="423">
        <v>5.2970334267675853E-3</v>
      </c>
      <c r="F880" s="423">
        <v>3.0533861959223168E-4</v>
      </c>
      <c r="G880" s="422">
        <v>26.489117828281529</v>
      </c>
      <c r="H880" s="417" t="s">
        <v>2616</v>
      </c>
      <c r="I880" s="417" t="s">
        <v>1392</v>
      </c>
      <c r="J880" s="417" t="s">
        <v>3772</v>
      </c>
      <c r="K880" s="417" t="s">
        <v>4110</v>
      </c>
      <c r="L880" s="417"/>
      <c r="M880" s="417" t="s">
        <v>28840</v>
      </c>
    </row>
    <row r="881" spans="1:13" x14ac:dyDescent="0.25">
      <c r="A881" s="417" t="s">
        <v>3385</v>
      </c>
      <c r="B881" s="417" t="s">
        <v>2627</v>
      </c>
      <c r="C881" s="417" t="s">
        <v>4111</v>
      </c>
      <c r="D881" s="417" t="s">
        <v>989</v>
      </c>
      <c r="E881" s="423">
        <v>68.50930461128938</v>
      </c>
      <c r="F881" s="423">
        <v>2.1399456313776701</v>
      </c>
      <c r="G881" s="422">
        <v>285418.68166723882</v>
      </c>
      <c r="H881" s="417" t="s">
        <v>2616</v>
      </c>
      <c r="I881" s="417" t="s">
        <v>1392</v>
      </c>
      <c r="J881" s="417" t="s">
        <v>3699</v>
      </c>
      <c r="K881" s="417" t="s">
        <v>4112</v>
      </c>
      <c r="L881" s="417"/>
      <c r="M881" s="417" t="s">
        <v>28840</v>
      </c>
    </row>
    <row r="882" spans="1:13" x14ac:dyDescent="0.25">
      <c r="A882" s="417" t="s">
        <v>3385</v>
      </c>
      <c r="B882" s="417" t="s">
        <v>2627</v>
      </c>
      <c r="C882" s="417" t="s">
        <v>4113</v>
      </c>
      <c r="D882" s="417" t="s">
        <v>88</v>
      </c>
      <c r="E882" s="423">
        <v>9.0207370570647205E-2</v>
      </c>
      <c r="F882" s="423">
        <v>1.719834522474884E-3</v>
      </c>
      <c r="G882" s="422">
        <v>176.69368815563661</v>
      </c>
      <c r="H882" s="417" t="s">
        <v>2616</v>
      </c>
      <c r="I882" s="417" t="s">
        <v>1392</v>
      </c>
      <c r="J882" s="417" t="s">
        <v>3627</v>
      </c>
      <c r="K882" s="417" t="s">
        <v>4114</v>
      </c>
      <c r="L882" s="417"/>
      <c r="M882" s="417" t="s">
        <v>28840</v>
      </c>
    </row>
    <row r="883" spans="1:13" x14ac:dyDescent="0.25">
      <c r="A883" s="417" t="s">
        <v>3385</v>
      </c>
      <c r="B883" s="417" t="s">
        <v>2627</v>
      </c>
      <c r="C883" s="417" t="s">
        <v>4115</v>
      </c>
      <c r="D883" s="417" t="s">
        <v>88</v>
      </c>
      <c r="E883" s="423">
        <v>2.8883931640201529E-2</v>
      </c>
      <c r="F883" s="423">
        <v>1.6211332884530829E-3</v>
      </c>
      <c r="G883" s="422">
        <v>51.548395290518208</v>
      </c>
      <c r="H883" s="417" t="s">
        <v>2616</v>
      </c>
      <c r="I883" s="417" t="s">
        <v>1392</v>
      </c>
      <c r="J883" s="417" t="s">
        <v>3860</v>
      </c>
      <c r="K883" s="417" t="s">
        <v>4116</v>
      </c>
      <c r="L883" s="417"/>
      <c r="M883" s="417" t="s">
        <v>28840</v>
      </c>
    </row>
    <row r="884" spans="1:13" x14ac:dyDescent="0.25">
      <c r="A884" s="417" t="s">
        <v>3385</v>
      </c>
      <c r="B884" s="417" t="s">
        <v>2627</v>
      </c>
      <c r="C884" s="417" t="s">
        <v>4117</v>
      </c>
      <c r="D884" s="417" t="s">
        <v>88</v>
      </c>
      <c r="E884" s="423">
        <v>0.4339361169763295</v>
      </c>
      <c r="F884" s="423">
        <v>2.464894776020184E-2</v>
      </c>
      <c r="G884" s="422">
        <v>2523.3245274944729</v>
      </c>
      <c r="H884" s="417" t="s">
        <v>2616</v>
      </c>
      <c r="I884" s="417" t="s">
        <v>1392</v>
      </c>
      <c r="J884" s="417" t="s">
        <v>3742</v>
      </c>
      <c r="K884" s="417" t="s">
        <v>4118</v>
      </c>
      <c r="L884" s="417"/>
      <c r="M884" s="417" t="s">
        <v>28840</v>
      </c>
    </row>
    <row r="885" spans="1:13" x14ac:dyDescent="0.25">
      <c r="A885" s="417" t="s">
        <v>3385</v>
      </c>
      <c r="B885" s="417" t="s">
        <v>2627</v>
      </c>
      <c r="C885" s="417" t="s">
        <v>4119</v>
      </c>
      <c r="D885" s="417" t="s">
        <v>88</v>
      </c>
      <c r="E885" s="423">
        <v>2.194312613438266</v>
      </c>
      <c r="F885" s="423">
        <v>8.3966561701549786E-2</v>
      </c>
      <c r="G885" s="422">
        <v>21775.795460485358</v>
      </c>
      <c r="H885" s="417" t="s">
        <v>2616</v>
      </c>
      <c r="I885" s="417" t="s">
        <v>1392</v>
      </c>
      <c r="J885" s="417" t="s">
        <v>3396</v>
      </c>
      <c r="K885" s="417" t="s">
        <v>4120</v>
      </c>
      <c r="L885" s="417"/>
      <c r="M885" s="417" t="s">
        <v>28840</v>
      </c>
    </row>
    <row r="886" spans="1:13" x14ac:dyDescent="0.25">
      <c r="A886" s="417" t="s">
        <v>3385</v>
      </c>
      <c r="B886" s="417" t="s">
        <v>2627</v>
      </c>
      <c r="C886" s="417" t="s">
        <v>4121</v>
      </c>
      <c r="D886" s="417" t="s">
        <v>88</v>
      </c>
      <c r="E886" s="423">
        <v>1.847449109405203</v>
      </c>
      <c r="F886" s="423">
        <v>4.0407753059329863E-3</v>
      </c>
      <c r="G886" s="422">
        <v>2688.1724515122551</v>
      </c>
      <c r="H886" s="417" t="s">
        <v>2616</v>
      </c>
      <c r="I886" s="417" t="s">
        <v>1392</v>
      </c>
      <c r="J886" s="417" t="s">
        <v>3396</v>
      </c>
      <c r="K886" s="417" t="s">
        <v>4122</v>
      </c>
      <c r="L886" s="417"/>
      <c r="M886" s="417" t="s">
        <v>28840</v>
      </c>
    </row>
    <row r="887" spans="1:13" x14ac:dyDescent="0.25">
      <c r="A887" s="417" t="s">
        <v>3385</v>
      </c>
      <c r="B887" s="417" t="s">
        <v>2627</v>
      </c>
      <c r="C887" s="417" t="s">
        <v>963</v>
      </c>
      <c r="D887" s="417" t="s">
        <v>88</v>
      </c>
      <c r="E887" s="423">
        <v>0.88463018222402889</v>
      </c>
      <c r="F887" s="423">
        <v>7.1593290948963216E-3</v>
      </c>
      <c r="G887" s="422">
        <v>1772.4735319942199</v>
      </c>
      <c r="H887" s="417" t="s">
        <v>2616</v>
      </c>
      <c r="I887" s="417" t="s">
        <v>28841</v>
      </c>
      <c r="J887" s="417" t="s">
        <v>4123</v>
      </c>
      <c r="K887" s="417" t="s">
        <v>4124</v>
      </c>
      <c r="L887" s="417"/>
      <c r="M887" s="417" t="s">
        <v>28840</v>
      </c>
    </row>
    <row r="888" spans="1:13" x14ac:dyDescent="0.25">
      <c r="A888" s="417" t="s">
        <v>3385</v>
      </c>
      <c r="B888" s="417" t="s">
        <v>2627</v>
      </c>
      <c r="C888" s="417" t="s">
        <v>4125</v>
      </c>
      <c r="D888" s="417" t="s">
        <v>88</v>
      </c>
      <c r="E888" s="423">
        <v>6.2257280058806126</v>
      </c>
      <c r="F888" s="423">
        <v>0.2441174346356669</v>
      </c>
      <c r="G888" s="422">
        <v>18512.9657237295</v>
      </c>
      <c r="H888" s="417" t="s">
        <v>2616</v>
      </c>
      <c r="I888" s="417" t="s">
        <v>1392</v>
      </c>
      <c r="J888" s="417" t="s">
        <v>3387</v>
      </c>
      <c r="K888" s="417" t="s">
        <v>4126</v>
      </c>
      <c r="L888" s="417"/>
      <c r="M888" s="417" t="s">
        <v>28840</v>
      </c>
    </row>
    <row r="889" spans="1:13" x14ac:dyDescent="0.25">
      <c r="A889" s="417" t="s">
        <v>3385</v>
      </c>
      <c r="B889" s="417" t="s">
        <v>2627</v>
      </c>
      <c r="C889" s="417" t="s">
        <v>4127</v>
      </c>
      <c r="D889" s="417" t="s">
        <v>88</v>
      </c>
      <c r="E889" s="423">
        <v>6.528918079604038</v>
      </c>
      <c r="F889" s="423">
        <v>0.2643662927785545</v>
      </c>
      <c r="G889" s="422">
        <v>18735.59455216784</v>
      </c>
      <c r="H889" s="417" t="s">
        <v>2616</v>
      </c>
      <c r="I889" s="417" t="s">
        <v>1392</v>
      </c>
      <c r="J889" s="417" t="s">
        <v>3387</v>
      </c>
      <c r="K889" s="417" t="s">
        <v>4128</v>
      </c>
      <c r="L889" s="417"/>
      <c r="M889" s="417" t="s">
        <v>28840</v>
      </c>
    </row>
    <row r="890" spans="1:13" x14ac:dyDescent="0.25">
      <c r="A890" s="417" t="s">
        <v>3385</v>
      </c>
      <c r="B890" s="417" t="s">
        <v>2627</v>
      </c>
      <c r="C890" s="417" t="s">
        <v>4129</v>
      </c>
      <c r="D890" s="417" t="s">
        <v>88</v>
      </c>
      <c r="E890" s="423">
        <v>8.7282844401298938</v>
      </c>
      <c r="F890" s="423">
        <v>0.35497189138070318</v>
      </c>
      <c r="G890" s="422">
        <v>20815.00673206888</v>
      </c>
      <c r="H890" s="417" t="s">
        <v>2616</v>
      </c>
      <c r="I890" s="417" t="s">
        <v>1392</v>
      </c>
      <c r="J890" s="417" t="s">
        <v>3387</v>
      </c>
      <c r="K890" s="417" t="s">
        <v>4130</v>
      </c>
      <c r="L890" s="417"/>
      <c r="M890" s="417" t="s">
        <v>28840</v>
      </c>
    </row>
    <row r="891" spans="1:13" x14ac:dyDescent="0.25">
      <c r="A891" s="417" t="s">
        <v>3385</v>
      </c>
      <c r="B891" s="417" t="s">
        <v>2627</v>
      </c>
      <c r="C891" s="417" t="s">
        <v>4131</v>
      </c>
      <c r="D891" s="417" t="s">
        <v>88</v>
      </c>
      <c r="E891" s="423">
        <v>8.7282844401298938</v>
      </c>
      <c r="F891" s="423">
        <v>0.35497189138070312</v>
      </c>
      <c r="G891" s="422">
        <v>20815.006732069702</v>
      </c>
      <c r="H891" s="417" t="s">
        <v>2616</v>
      </c>
      <c r="I891" s="417" t="s">
        <v>1392</v>
      </c>
      <c r="J891" s="417" t="s">
        <v>3387</v>
      </c>
      <c r="K891" s="417" t="s">
        <v>4132</v>
      </c>
      <c r="L891" s="417"/>
      <c r="M891" s="417" t="s">
        <v>28840</v>
      </c>
    </row>
    <row r="892" spans="1:13" x14ac:dyDescent="0.25">
      <c r="A892" s="417" t="s">
        <v>3385</v>
      </c>
      <c r="B892" s="417" t="s">
        <v>2627</v>
      </c>
      <c r="C892" s="417" t="s">
        <v>4133</v>
      </c>
      <c r="D892" s="417" t="s">
        <v>88</v>
      </c>
      <c r="E892" s="423">
        <v>3.8108671717741229</v>
      </c>
      <c r="F892" s="423">
        <v>0.1082111360440127</v>
      </c>
      <c r="G892" s="422">
        <v>32829.793149979057</v>
      </c>
      <c r="H892" s="417" t="s">
        <v>2616</v>
      </c>
      <c r="I892" s="417" t="s">
        <v>1392</v>
      </c>
      <c r="J892" s="417" t="s">
        <v>3396</v>
      </c>
      <c r="K892" s="417" t="s">
        <v>4134</v>
      </c>
      <c r="L892" s="417"/>
      <c r="M892" s="417" t="s">
        <v>28840</v>
      </c>
    </row>
    <row r="893" spans="1:13" x14ac:dyDescent="0.25">
      <c r="A893" s="417" t="s">
        <v>3385</v>
      </c>
      <c r="B893" s="417" t="s">
        <v>2627</v>
      </c>
      <c r="C893" s="417" t="s">
        <v>4135</v>
      </c>
      <c r="D893" s="417" t="s">
        <v>88</v>
      </c>
      <c r="E893" s="423">
        <v>2.2698750758928732</v>
      </c>
      <c r="F893" s="423">
        <v>6.10743748968266E-2</v>
      </c>
      <c r="G893" s="422">
        <v>26387.897265990359</v>
      </c>
      <c r="H893" s="417" t="s">
        <v>2616</v>
      </c>
      <c r="I893" s="417" t="s">
        <v>1392</v>
      </c>
      <c r="J893" s="417" t="s">
        <v>3396</v>
      </c>
      <c r="K893" s="417" t="s">
        <v>4136</v>
      </c>
      <c r="L893" s="417"/>
      <c r="M893" s="417" t="s">
        <v>28840</v>
      </c>
    </row>
    <row r="894" spans="1:13" x14ac:dyDescent="0.25">
      <c r="A894" s="417" t="s">
        <v>3385</v>
      </c>
      <c r="B894" s="417" t="s">
        <v>2627</v>
      </c>
      <c r="C894" s="417" t="s">
        <v>4137</v>
      </c>
      <c r="D894" s="417" t="s">
        <v>563</v>
      </c>
      <c r="E894" s="423">
        <v>175.76015208288459</v>
      </c>
      <c r="F894" s="423">
        <v>9.8174948003389737</v>
      </c>
      <c r="G894" s="422">
        <v>280063.56174861721</v>
      </c>
      <c r="H894" s="417" t="s">
        <v>2616</v>
      </c>
      <c r="I894" s="417" t="s">
        <v>1392</v>
      </c>
      <c r="J894" s="417" t="s">
        <v>4138</v>
      </c>
      <c r="K894" s="417" t="s">
        <v>4139</v>
      </c>
      <c r="L894" s="417"/>
      <c r="M894" s="417" t="s">
        <v>28840</v>
      </c>
    </row>
    <row r="895" spans="1:13" x14ac:dyDescent="0.25">
      <c r="A895" s="417" t="s">
        <v>3385</v>
      </c>
      <c r="B895" s="417" t="s">
        <v>2627</v>
      </c>
      <c r="C895" s="417" t="s">
        <v>4140</v>
      </c>
      <c r="D895" s="417" t="s">
        <v>563</v>
      </c>
      <c r="E895" s="423">
        <v>166.14661569075619</v>
      </c>
      <c r="F895" s="423">
        <v>9.2349846445643529</v>
      </c>
      <c r="G895" s="422">
        <v>258564.37487575761</v>
      </c>
      <c r="H895" s="417" t="s">
        <v>2616</v>
      </c>
      <c r="I895" s="417" t="s">
        <v>1392</v>
      </c>
      <c r="J895" s="417" t="s">
        <v>4138</v>
      </c>
      <c r="K895" s="417" t="s">
        <v>4141</v>
      </c>
      <c r="L895" s="417"/>
      <c r="M895" s="417" t="s">
        <v>28840</v>
      </c>
    </row>
    <row r="896" spans="1:13" x14ac:dyDescent="0.25">
      <c r="A896" s="417" t="s">
        <v>3385</v>
      </c>
      <c r="B896" s="417" t="s">
        <v>2627</v>
      </c>
      <c r="C896" s="417" t="s">
        <v>4142</v>
      </c>
      <c r="D896" s="417" t="s">
        <v>563</v>
      </c>
      <c r="E896" s="423">
        <v>154.73681588615949</v>
      </c>
      <c r="F896" s="423">
        <v>8.708832837067952</v>
      </c>
      <c r="G896" s="422">
        <v>245787.3081168459</v>
      </c>
      <c r="H896" s="417" t="s">
        <v>2616</v>
      </c>
      <c r="I896" s="417" t="s">
        <v>1392</v>
      </c>
      <c r="J896" s="417" t="s">
        <v>4138</v>
      </c>
      <c r="K896" s="417" t="s">
        <v>4143</v>
      </c>
      <c r="L896" s="417"/>
      <c r="M896" s="417" t="s">
        <v>28840</v>
      </c>
    </row>
    <row r="897" spans="1:13" x14ac:dyDescent="0.25">
      <c r="A897" s="417" t="s">
        <v>3385</v>
      </c>
      <c r="B897" s="417" t="s">
        <v>2627</v>
      </c>
      <c r="C897" s="417" t="s">
        <v>4144</v>
      </c>
      <c r="D897" s="417" t="s">
        <v>563</v>
      </c>
      <c r="E897" s="423">
        <v>199.74134413564281</v>
      </c>
      <c r="F897" s="423">
        <v>11.167730306874571</v>
      </c>
      <c r="G897" s="422">
        <v>324669.27592606068</v>
      </c>
      <c r="H897" s="417" t="s">
        <v>2616</v>
      </c>
      <c r="I897" s="417" t="s">
        <v>1392</v>
      </c>
      <c r="J897" s="417" t="s">
        <v>4138</v>
      </c>
      <c r="K897" s="417" t="s">
        <v>4145</v>
      </c>
      <c r="L897" s="417"/>
      <c r="M897" s="417" t="s">
        <v>28840</v>
      </c>
    </row>
    <row r="898" spans="1:13" x14ac:dyDescent="0.25">
      <c r="A898" s="417" t="s">
        <v>3385</v>
      </c>
      <c r="B898" s="417" t="s">
        <v>2627</v>
      </c>
      <c r="C898" s="417" t="s">
        <v>4146</v>
      </c>
      <c r="D898" s="417" t="s">
        <v>563</v>
      </c>
      <c r="E898" s="423">
        <v>184.53854271368851</v>
      </c>
      <c r="F898" s="423">
        <v>10.03545689490285</v>
      </c>
      <c r="G898" s="422">
        <v>290654.35614444391</v>
      </c>
      <c r="H898" s="417" t="s">
        <v>2616</v>
      </c>
      <c r="I898" s="417" t="s">
        <v>1392</v>
      </c>
      <c r="J898" s="417" t="s">
        <v>4138</v>
      </c>
      <c r="K898" s="417" t="s">
        <v>4147</v>
      </c>
      <c r="L898" s="417"/>
      <c r="M898" s="417" t="s">
        <v>28840</v>
      </c>
    </row>
    <row r="899" spans="1:13" x14ac:dyDescent="0.25">
      <c r="A899" s="417" t="s">
        <v>3385</v>
      </c>
      <c r="B899" s="417" t="s">
        <v>2627</v>
      </c>
      <c r="C899" s="417" t="s">
        <v>4148</v>
      </c>
      <c r="D899" s="417" t="s">
        <v>563</v>
      </c>
      <c r="E899" s="423">
        <v>176.29087049949709</v>
      </c>
      <c r="F899" s="423">
        <v>9.7867539431800488</v>
      </c>
      <c r="G899" s="422">
        <v>279918.83116488392</v>
      </c>
      <c r="H899" s="417" t="s">
        <v>2616</v>
      </c>
      <c r="I899" s="417" t="s">
        <v>1392</v>
      </c>
      <c r="J899" s="417" t="s">
        <v>4138</v>
      </c>
      <c r="K899" s="417" t="s">
        <v>4149</v>
      </c>
      <c r="L899" s="417"/>
      <c r="M899" s="417" t="s">
        <v>28840</v>
      </c>
    </row>
    <row r="900" spans="1:13" x14ac:dyDescent="0.25">
      <c r="A900" s="417" t="s">
        <v>3385</v>
      </c>
      <c r="B900" s="417" t="s">
        <v>2627</v>
      </c>
      <c r="C900" s="417" t="s">
        <v>4150</v>
      </c>
      <c r="D900" s="417" t="s">
        <v>563</v>
      </c>
      <c r="E900" s="423">
        <v>239.31598468769161</v>
      </c>
      <c r="F900" s="423">
        <v>14.15644126836378</v>
      </c>
      <c r="G900" s="422">
        <v>379924.73569528491</v>
      </c>
      <c r="H900" s="417" t="s">
        <v>2616</v>
      </c>
      <c r="I900" s="417" t="s">
        <v>1392</v>
      </c>
      <c r="J900" s="417" t="s">
        <v>4138</v>
      </c>
      <c r="K900" s="417" t="s">
        <v>4151</v>
      </c>
      <c r="L900" s="417"/>
      <c r="M900" s="417" t="s">
        <v>28840</v>
      </c>
    </row>
    <row r="901" spans="1:13" x14ac:dyDescent="0.25">
      <c r="A901" s="417" t="s">
        <v>3385</v>
      </c>
      <c r="B901" s="417" t="s">
        <v>2627</v>
      </c>
      <c r="C901" s="417" t="s">
        <v>4152</v>
      </c>
      <c r="D901" s="417" t="s">
        <v>563</v>
      </c>
      <c r="E901" s="423">
        <v>282.8185075959928</v>
      </c>
      <c r="F901" s="423">
        <v>17.084355876504642</v>
      </c>
      <c r="G901" s="422">
        <v>449605.14930686163</v>
      </c>
      <c r="H901" s="417" t="s">
        <v>2616</v>
      </c>
      <c r="I901" s="417" t="s">
        <v>1392</v>
      </c>
      <c r="J901" s="417" t="s">
        <v>4138</v>
      </c>
      <c r="K901" s="417" t="s">
        <v>4153</v>
      </c>
      <c r="L901" s="417"/>
      <c r="M901" s="417" t="s">
        <v>28840</v>
      </c>
    </row>
    <row r="902" spans="1:13" x14ac:dyDescent="0.25">
      <c r="A902" s="417" t="s">
        <v>3385</v>
      </c>
      <c r="B902" s="417" t="s">
        <v>2627</v>
      </c>
      <c r="C902" s="417" t="s">
        <v>4154</v>
      </c>
      <c r="D902" s="417" t="s">
        <v>563</v>
      </c>
      <c r="E902" s="423">
        <v>195.81347394490729</v>
      </c>
      <c r="F902" s="423">
        <v>11.228535102997981</v>
      </c>
      <c r="G902" s="422">
        <v>310244.65528728039</v>
      </c>
      <c r="H902" s="417" t="s">
        <v>2616</v>
      </c>
      <c r="I902" s="417" t="s">
        <v>1392</v>
      </c>
      <c r="J902" s="417" t="s">
        <v>4138</v>
      </c>
      <c r="K902" s="417" t="s">
        <v>4155</v>
      </c>
      <c r="L902" s="417"/>
      <c r="M902" s="417" t="s">
        <v>28840</v>
      </c>
    </row>
    <row r="903" spans="1:13" x14ac:dyDescent="0.25">
      <c r="A903" s="417" t="s">
        <v>3385</v>
      </c>
      <c r="B903" s="417" t="s">
        <v>2627</v>
      </c>
      <c r="C903" s="417" t="s">
        <v>4156</v>
      </c>
      <c r="D903" s="417" t="s">
        <v>563</v>
      </c>
      <c r="E903" s="423">
        <v>167.00602647257361</v>
      </c>
      <c r="F903" s="423">
        <v>9.5505691951497624</v>
      </c>
      <c r="G903" s="422">
        <v>266292.51513428963</v>
      </c>
      <c r="H903" s="417" t="s">
        <v>2616</v>
      </c>
      <c r="I903" s="417" t="s">
        <v>1392</v>
      </c>
      <c r="J903" s="417" t="s">
        <v>4138</v>
      </c>
      <c r="K903" s="417" t="s">
        <v>4157</v>
      </c>
      <c r="L903" s="417"/>
      <c r="M903" s="417" t="s">
        <v>28840</v>
      </c>
    </row>
    <row r="904" spans="1:13" x14ac:dyDescent="0.25">
      <c r="A904" s="417" t="s">
        <v>3385</v>
      </c>
      <c r="B904" s="417" t="s">
        <v>2627</v>
      </c>
      <c r="C904" s="417" t="s">
        <v>4158</v>
      </c>
      <c r="D904" s="417" t="s">
        <v>563</v>
      </c>
      <c r="E904" s="423">
        <v>182.3849404616472</v>
      </c>
      <c r="F904" s="423">
        <v>10.20701946179064</v>
      </c>
      <c r="G904" s="422">
        <v>294402.40429207822</v>
      </c>
      <c r="H904" s="417" t="s">
        <v>2616</v>
      </c>
      <c r="I904" s="417" t="s">
        <v>1392</v>
      </c>
      <c r="J904" s="417" t="s">
        <v>4138</v>
      </c>
      <c r="K904" s="417" t="s">
        <v>4159</v>
      </c>
      <c r="L904" s="417"/>
      <c r="M904" s="417" t="s">
        <v>28840</v>
      </c>
    </row>
    <row r="905" spans="1:13" x14ac:dyDescent="0.25">
      <c r="A905" s="417" t="s">
        <v>3385</v>
      </c>
      <c r="B905" s="417" t="s">
        <v>2627</v>
      </c>
      <c r="C905" s="417" t="s">
        <v>4160</v>
      </c>
      <c r="D905" s="417" t="s">
        <v>563</v>
      </c>
      <c r="E905" s="423">
        <v>164.8312659559985</v>
      </c>
      <c r="F905" s="423">
        <v>9.5236647994206685</v>
      </c>
      <c r="G905" s="422">
        <v>268030.47542558791</v>
      </c>
      <c r="H905" s="417" t="s">
        <v>2616</v>
      </c>
      <c r="I905" s="417" t="s">
        <v>1392</v>
      </c>
      <c r="J905" s="417" t="s">
        <v>4138</v>
      </c>
      <c r="K905" s="417" t="s">
        <v>4161</v>
      </c>
      <c r="L905" s="417"/>
      <c r="M905" s="417" t="s">
        <v>28840</v>
      </c>
    </row>
    <row r="906" spans="1:13" x14ac:dyDescent="0.25">
      <c r="A906" s="417" t="s">
        <v>3385</v>
      </c>
      <c r="B906" s="417" t="s">
        <v>2627</v>
      </c>
      <c r="C906" s="417" t="s">
        <v>4162</v>
      </c>
      <c r="D906" s="417" t="s">
        <v>563</v>
      </c>
      <c r="E906" s="423">
        <v>174.69592566781509</v>
      </c>
      <c r="F906" s="423">
        <v>9.878801992045247</v>
      </c>
      <c r="G906" s="422">
        <v>280347.98964015668</v>
      </c>
      <c r="H906" s="417" t="s">
        <v>2616</v>
      </c>
      <c r="I906" s="417" t="s">
        <v>1392</v>
      </c>
      <c r="J906" s="417" t="s">
        <v>4138</v>
      </c>
      <c r="K906" s="417" t="s">
        <v>4163</v>
      </c>
      <c r="L906" s="417"/>
      <c r="M906" s="417" t="s">
        <v>28840</v>
      </c>
    </row>
    <row r="907" spans="1:13" x14ac:dyDescent="0.25">
      <c r="A907" s="417" t="s">
        <v>3385</v>
      </c>
      <c r="B907" s="417" t="s">
        <v>2437</v>
      </c>
      <c r="C907" s="417" t="s">
        <v>4164</v>
      </c>
      <c r="D907" s="417" t="s">
        <v>989</v>
      </c>
      <c r="E907" s="423">
        <v>80.123771592263793</v>
      </c>
      <c r="F907" s="423">
        <v>5.3994281258961303</v>
      </c>
      <c r="G907" s="422">
        <v>163451.6769128766</v>
      </c>
      <c r="H907" s="417" t="s">
        <v>2616</v>
      </c>
      <c r="I907" s="417" t="s">
        <v>1392</v>
      </c>
      <c r="J907" s="417" t="s">
        <v>2638</v>
      </c>
      <c r="K907" s="417" t="s">
        <v>4165</v>
      </c>
      <c r="L907" s="417"/>
      <c r="M907" s="417" t="s">
        <v>28840</v>
      </c>
    </row>
    <row r="908" spans="1:13" x14ac:dyDescent="0.25">
      <c r="A908" s="417" t="s">
        <v>3385</v>
      </c>
      <c r="B908" s="417" t="s">
        <v>2437</v>
      </c>
      <c r="C908" s="417" t="s">
        <v>4166</v>
      </c>
      <c r="D908" s="417" t="s">
        <v>989</v>
      </c>
      <c r="E908" s="423">
        <v>62.283005420939283</v>
      </c>
      <c r="F908" s="423">
        <v>4.0900181929146511</v>
      </c>
      <c r="G908" s="422">
        <v>127714.0131880313</v>
      </c>
      <c r="H908" s="417" t="s">
        <v>2616</v>
      </c>
      <c r="I908" s="417" t="s">
        <v>1392</v>
      </c>
      <c r="J908" s="417" t="s">
        <v>4167</v>
      </c>
      <c r="K908" s="417" t="s">
        <v>4168</v>
      </c>
      <c r="L908" s="417"/>
      <c r="M908" s="417" t="s">
        <v>28840</v>
      </c>
    </row>
    <row r="909" spans="1:13" x14ac:dyDescent="0.25">
      <c r="A909" s="417" t="s">
        <v>3385</v>
      </c>
      <c r="B909" s="417" t="s">
        <v>2437</v>
      </c>
      <c r="C909" s="417" t="s">
        <v>4169</v>
      </c>
      <c r="D909" s="417" t="s">
        <v>989</v>
      </c>
      <c r="E909" s="423">
        <v>179.57180796563361</v>
      </c>
      <c r="F909" s="423">
        <v>9.4612516857812299</v>
      </c>
      <c r="G909" s="422">
        <v>461328.08242965728</v>
      </c>
      <c r="H909" s="417" t="s">
        <v>2616</v>
      </c>
      <c r="I909" s="417" t="s">
        <v>1392</v>
      </c>
      <c r="J909" s="417" t="s">
        <v>4167</v>
      </c>
      <c r="K909" s="417" t="s">
        <v>4170</v>
      </c>
      <c r="L909" s="417"/>
      <c r="M909" s="417" t="s">
        <v>28840</v>
      </c>
    </row>
    <row r="910" spans="1:13" x14ac:dyDescent="0.25">
      <c r="A910" s="417" t="s">
        <v>3385</v>
      </c>
      <c r="B910" s="417" t="s">
        <v>2437</v>
      </c>
      <c r="C910" s="417" t="s">
        <v>4171</v>
      </c>
      <c r="D910" s="417" t="s">
        <v>989</v>
      </c>
      <c r="E910" s="423">
        <v>166.58119274154899</v>
      </c>
      <c r="F910" s="423">
        <v>9.1234946090107059</v>
      </c>
      <c r="G910" s="422">
        <v>447693.26139216463</v>
      </c>
      <c r="H910" s="417" t="s">
        <v>2616</v>
      </c>
      <c r="I910" s="417" t="s">
        <v>1392</v>
      </c>
      <c r="J910" s="417" t="s">
        <v>4167</v>
      </c>
      <c r="K910" s="417" t="s">
        <v>4172</v>
      </c>
      <c r="L910" s="417"/>
      <c r="M910" s="417" t="s">
        <v>28840</v>
      </c>
    </row>
    <row r="911" spans="1:13" x14ac:dyDescent="0.25">
      <c r="A911" s="417" t="s">
        <v>3385</v>
      </c>
      <c r="B911" s="417" t="s">
        <v>2437</v>
      </c>
      <c r="C911" s="417" t="s">
        <v>4173</v>
      </c>
      <c r="D911" s="417" t="s">
        <v>989</v>
      </c>
      <c r="E911" s="423">
        <v>173.71782491353369</v>
      </c>
      <c r="F911" s="423">
        <v>9.5791542662592626</v>
      </c>
      <c r="G911" s="422">
        <v>461849.21667644108</v>
      </c>
      <c r="H911" s="417" t="s">
        <v>2616</v>
      </c>
      <c r="I911" s="417" t="s">
        <v>1392</v>
      </c>
      <c r="J911" s="417" t="s">
        <v>4167</v>
      </c>
      <c r="K911" s="417" t="s">
        <v>4174</v>
      </c>
      <c r="L911" s="417"/>
      <c r="M911" s="417" t="s">
        <v>28840</v>
      </c>
    </row>
    <row r="912" spans="1:13" x14ac:dyDescent="0.25">
      <c r="A912" s="417" t="s">
        <v>3385</v>
      </c>
      <c r="B912" s="417" t="s">
        <v>2437</v>
      </c>
      <c r="C912" s="417" t="s">
        <v>4175</v>
      </c>
      <c r="D912" s="417" t="s">
        <v>989</v>
      </c>
      <c r="E912" s="423">
        <v>198.6644966634876</v>
      </c>
      <c r="F912" s="423">
        <v>10.67977378958053</v>
      </c>
      <c r="G912" s="422">
        <v>501536.11547396798</v>
      </c>
      <c r="H912" s="417" t="s">
        <v>2616</v>
      </c>
      <c r="I912" s="417" t="s">
        <v>1392</v>
      </c>
      <c r="J912" s="417" t="s">
        <v>4167</v>
      </c>
      <c r="K912" s="417" t="s">
        <v>4176</v>
      </c>
      <c r="L912" s="417"/>
      <c r="M912" s="417" t="s">
        <v>28840</v>
      </c>
    </row>
    <row r="913" spans="1:13" x14ac:dyDescent="0.25">
      <c r="A913" s="417" t="s">
        <v>3385</v>
      </c>
      <c r="B913" s="417" t="s">
        <v>2437</v>
      </c>
      <c r="C913" s="417" t="s">
        <v>4177</v>
      </c>
      <c r="D913" s="417" t="s">
        <v>989</v>
      </c>
      <c r="E913" s="423">
        <v>185.68987420114601</v>
      </c>
      <c r="F913" s="423">
        <v>10.34213983763189</v>
      </c>
      <c r="G913" s="422">
        <v>487940.04814693448</v>
      </c>
      <c r="H913" s="417" t="s">
        <v>2616</v>
      </c>
      <c r="I913" s="417" t="s">
        <v>1392</v>
      </c>
      <c r="J913" s="417" t="s">
        <v>4167</v>
      </c>
      <c r="K913" s="417" t="s">
        <v>4178</v>
      </c>
      <c r="L913" s="417"/>
      <c r="M913" s="417" t="s">
        <v>28840</v>
      </c>
    </row>
    <row r="914" spans="1:13" x14ac:dyDescent="0.25">
      <c r="A914" s="417" t="s">
        <v>3385</v>
      </c>
      <c r="B914" s="417" t="s">
        <v>2437</v>
      </c>
      <c r="C914" s="417" t="s">
        <v>4179</v>
      </c>
      <c r="D914" s="417" t="s">
        <v>989</v>
      </c>
      <c r="E914" s="423">
        <v>192.81051360790309</v>
      </c>
      <c r="F914" s="423">
        <v>10.797676368229251</v>
      </c>
      <c r="G914" s="422">
        <v>502057.24973095622</v>
      </c>
      <c r="H914" s="417" t="s">
        <v>2616</v>
      </c>
      <c r="I914" s="417" t="s">
        <v>1392</v>
      </c>
      <c r="J914" s="417" t="s">
        <v>4167</v>
      </c>
      <c r="K914" s="417" t="s">
        <v>4180</v>
      </c>
      <c r="L914" s="417"/>
      <c r="M914" s="417" t="s">
        <v>28840</v>
      </c>
    </row>
    <row r="915" spans="1:13" x14ac:dyDescent="0.25">
      <c r="A915" s="417" t="s">
        <v>3385</v>
      </c>
      <c r="B915" s="417" t="s">
        <v>2437</v>
      </c>
      <c r="C915" s="417" t="s">
        <v>4181</v>
      </c>
      <c r="D915" s="417" t="s">
        <v>989</v>
      </c>
      <c r="E915" s="423">
        <v>206.33634459353061</v>
      </c>
      <c r="F915" s="423">
        <v>16.234252923527961</v>
      </c>
      <c r="G915" s="422">
        <v>513061.89907140692</v>
      </c>
      <c r="H915" s="417" t="s">
        <v>2616</v>
      </c>
      <c r="I915" s="417" t="s">
        <v>1392</v>
      </c>
      <c r="J915" s="417" t="s">
        <v>4167</v>
      </c>
      <c r="K915" s="417" t="s">
        <v>4182</v>
      </c>
      <c r="L915" s="417"/>
      <c r="M915" s="417" t="s">
        <v>28840</v>
      </c>
    </row>
    <row r="916" spans="1:13" x14ac:dyDescent="0.25">
      <c r="A916" s="417" t="s">
        <v>3385</v>
      </c>
      <c r="B916" s="417" t="s">
        <v>2437</v>
      </c>
      <c r="C916" s="417" t="s">
        <v>4183</v>
      </c>
      <c r="D916" s="417" t="s">
        <v>989</v>
      </c>
      <c r="E916" s="423">
        <v>193.36172212247789</v>
      </c>
      <c r="F916" s="423">
        <v>15.896618970473069</v>
      </c>
      <c r="G916" s="422">
        <v>499465.83174671332</v>
      </c>
      <c r="H916" s="417" t="s">
        <v>2616</v>
      </c>
      <c r="I916" s="417" t="s">
        <v>1392</v>
      </c>
      <c r="J916" s="417" t="s">
        <v>4167</v>
      </c>
      <c r="K916" s="417" t="s">
        <v>4184</v>
      </c>
      <c r="L916" s="417"/>
      <c r="M916" s="417" t="s">
        <v>28840</v>
      </c>
    </row>
    <row r="917" spans="1:13" x14ac:dyDescent="0.25">
      <c r="A917" s="417" t="s">
        <v>3385</v>
      </c>
      <c r="B917" s="417" t="s">
        <v>2437</v>
      </c>
      <c r="C917" s="417" t="s">
        <v>4185</v>
      </c>
      <c r="D917" s="417" t="s">
        <v>989</v>
      </c>
      <c r="E917" s="423">
        <v>200.48236153024001</v>
      </c>
      <c r="F917" s="423">
        <v>16.352155501816981</v>
      </c>
      <c r="G917" s="422">
        <v>513583.03327832487</v>
      </c>
      <c r="H917" s="417" t="s">
        <v>2616</v>
      </c>
      <c r="I917" s="417" t="s">
        <v>1392</v>
      </c>
      <c r="J917" s="417" t="s">
        <v>4167</v>
      </c>
      <c r="K917" s="417" t="s">
        <v>4186</v>
      </c>
      <c r="L917" s="417"/>
      <c r="M917" s="417" t="s">
        <v>28840</v>
      </c>
    </row>
    <row r="918" spans="1:13" x14ac:dyDescent="0.25">
      <c r="A918" s="417" t="s">
        <v>3385</v>
      </c>
      <c r="B918" s="417" t="s">
        <v>2437</v>
      </c>
      <c r="C918" s="417" t="s">
        <v>4187</v>
      </c>
      <c r="D918" s="417" t="s">
        <v>88</v>
      </c>
      <c r="E918" s="423">
        <v>8.9386738078350145</v>
      </c>
      <c r="F918" s="423">
        <v>0.32437040005263812</v>
      </c>
      <c r="G918" s="422">
        <v>58590.239483512967</v>
      </c>
      <c r="H918" s="417" t="s">
        <v>2616</v>
      </c>
      <c r="I918" s="417" t="s">
        <v>1392</v>
      </c>
      <c r="J918" s="417" t="s">
        <v>3871</v>
      </c>
      <c r="K918" s="417" t="s">
        <v>4188</v>
      </c>
      <c r="L918" s="417"/>
      <c r="M918" s="417" t="s">
        <v>28840</v>
      </c>
    </row>
    <row r="919" spans="1:13" x14ac:dyDescent="0.25">
      <c r="A919" s="417" t="s">
        <v>3385</v>
      </c>
      <c r="B919" s="417" t="s">
        <v>2627</v>
      </c>
      <c r="C919" s="417" t="s">
        <v>4189</v>
      </c>
      <c r="D919" s="417" t="s">
        <v>88</v>
      </c>
      <c r="E919" s="423">
        <v>0.27141216520467831</v>
      </c>
      <c r="F919" s="423">
        <v>6.5924105626172106E-3</v>
      </c>
      <c r="G919" s="422">
        <v>549.81362291933135</v>
      </c>
      <c r="H919" s="417" t="s">
        <v>2616</v>
      </c>
      <c r="I919" s="417" t="s">
        <v>1392</v>
      </c>
      <c r="J919" s="417" t="s">
        <v>4190</v>
      </c>
      <c r="K919" s="417" t="s">
        <v>4191</v>
      </c>
      <c r="L919" s="417"/>
      <c r="M919" s="417" t="s">
        <v>28840</v>
      </c>
    </row>
    <row r="920" spans="1:13" x14ac:dyDescent="0.25">
      <c r="A920" s="417" t="s">
        <v>3385</v>
      </c>
      <c r="B920" s="417" t="s">
        <v>2627</v>
      </c>
      <c r="C920" s="417" t="s">
        <v>4192</v>
      </c>
      <c r="D920" s="417" t="s">
        <v>88</v>
      </c>
      <c r="E920" s="423">
        <v>4.4967998759692449</v>
      </c>
      <c r="F920" s="423">
        <v>0.25955097714296183</v>
      </c>
      <c r="G920" s="422">
        <v>9713.3994890850863</v>
      </c>
      <c r="H920" s="417" t="s">
        <v>2616</v>
      </c>
      <c r="I920" s="417" t="s">
        <v>1392</v>
      </c>
      <c r="J920" s="417" t="s">
        <v>3633</v>
      </c>
      <c r="K920" s="417" t="s">
        <v>4193</v>
      </c>
      <c r="L920" s="417"/>
      <c r="M920" s="417" t="s">
        <v>28840</v>
      </c>
    </row>
    <row r="921" spans="1:13" x14ac:dyDescent="0.25">
      <c r="A921" s="417" t="s">
        <v>3385</v>
      </c>
      <c r="B921" s="417" t="s">
        <v>2437</v>
      </c>
      <c r="C921" s="417" t="s">
        <v>4194</v>
      </c>
      <c r="D921" s="417" t="s">
        <v>88</v>
      </c>
      <c r="E921" s="423">
        <v>0.65581706430836517</v>
      </c>
      <c r="F921" s="423">
        <v>0.53460370618743558</v>
      </c>
      <c r="G921" s="422">
        <v>1797.7810768295051</v>
      </c>
      <c r="H921" s="417" t="s">
        <v>2616</v>
      </c>
      <c r="I921" s="417" t="s">
        <v>1392</v>
      </c>
      <c r="J921" s="417" t="s">
        <v>4195</v>
      </c>
      <c r="K921" s="417" t="s">
        <v>4196</v>
      </c>
      <c r="L921" s="417"/>
      <c r="M921" s="417" t="s">
        <v>28840</v>
      </c>
    </row>
    <row r="922" spans="1:13" x14ac:dyDescent="0.25">
      <c r="A922" s="417" t="s">
        <v>3385</v>
      </c>
      <c r="B922" s="417" t="s">
        <v>2437</v>
      </c>
      <c r="C922" s="417" t="s">
        <v>4197</v>
      </c>
      <c r="D922" s="417" t="s">
        <v>88</v>
      </c>
      <c r="E922" s="423">
        <v>0.66484222561815598</v>
      </c>
      <c r="F922" s="423">
        <v>0.53569097832866219</v>
      </c>
      <c r="G922" s="422">
        <v>1816.0978333515691</v>
      </c>
      <c r="H922" s="417" t="s">
        <v>2616</v>
      </c>
      <c r="I922" s="417" t="s">
        <v>1392</v>
      </c>
      <c r="J922" s="417" t="s">
        <v>4195</v>
      </c>
      <c r="K922" s="417" t="s">
        <v>4198</v>
      </c>
      <c r="L922" s="417"/>
      <c r="M922" s="417" t="s">
        <v>28840</v>
      </c>
    </row>
    <row r="923" spans="1:13" x14ac:dyDescent="0.25">
      <c r="A923" s="417" t="s">
        <v>3385</v>
      </c>
      <c r="B923" s="417" t="s">
        <v>2627</v>
      </c>
      <c r="C923" s="417" t="s">
        <v>4199</v>
      </c>
      <c r="D923" s="417" t="s">
        <v>83</v>
      </c>
      <c r="E923" s="423">
        <v>0.2964330350588868</v>
      </c>
      <c r="F923" s="423">
        <v>0.4746211187230136</v>
      </c>
      <c r="G923" s="422">
        <v>386.34797578842921</v>
      </c>
      <c r="H923" s="417" t="s">
        <v>2616</v>
      </c>
      <c r="I923" s="417" t="s">
        <v>1392</v>
      </c>
      <c r="J923" s="417" t="s">
        <v>4200</v>
      </c>
      <c r="K923" s="417" t="s">
        <v>4201</v>
      </c>
      <c r="L923" s="417"/>
      <c r="M923" s="417" t="s">
        <v>28840</v>
      </c>
    </row>
    <row r="924" spans="1:13" x14ac:dyDescent="0.25">
      <c r="A924" s="417" t="s">
        <v>3385</v>
      </c>
      <c r="B924" s="417" t="s">
        <v>2627</v>
      </c>
      <c r="C924" s="417" t="s">
        <v>4202</v>
      </c>
      <c r="D924" s="417" t="s">
        <v>83</v>
      </c>
      <c r="E924" s="423">
        <v>0.54181811749590292</v>
      </c>
      <c r="F924" s="423">
        <v>0.50418812178652006</v>
      </c>
      <c r="G924" s="422">
        <v>933.3725448165809</v>
      </c>
      <c r="H924" s="417" t="s">
        <v>2616</v>
      </c>
      <c r="I924" s="417" t="s">
        <v>1392</v>
      </c>
      <c r="J924" s="417" t="s">
        <v>4203</v>
      </c>
      <c r="K924" s="417" t="s">
        <v>4204</v>
      </c>
      <c r="L924" s="417"/>
      <c r="M924" s="417" t="s">
        <v>28840</v>
      </c>
    </row>
    <row r="925" spans="1:13" x14ac:dyDescent="0.25">
      <c r="A925" s="417" t="s">
        <v>3385</v>
      </c>
      <c r="B925" s="417" t="s">
        <v>2627</v>
      </c>
      <c r="C925" s="417" t="s">
        <v>4205</v>
      </c>
      <c r="D925" s="417" t="s">
        <v>83</v>
      </c>
      <c r="E925" s="423">
        <v>0.32938057244733698</v>
      </c>
      <c r="F925" s="423">
        <v>0.50547522317744964</v>
      </c>
      <c r="G925" s="422">
        <v>466.05766886989778</v>
      </c>
      <c r="H925" s="417" t="s">
        <v>2616</v>
      </c>
      <c r="I925" s="417" t="s">
        <v>1392</v>
      </c>
      <c r="J925" s="417" t="s">
        <v>4200</v>
      </c>
      <c r="K925" s="417" t="s">
        <v>4206</v>
      </c>
      <c r="L925" s="417"/>
      <c r="M925" s="417" t="s">
        <v>28840</v>
      </c>
    </row>
    <row r="926" spans="1:13" x14ac:dyDescent="0.25">
      <c r="A926" s="417" t="s">
        <v>3385</v>
      </c>
      <c r="B926" s="417" t="s">
        <v>2627</v>
      </c>
      <c r="C926" s="417" t="s">
        <v>4207</v>
      </c>
      <c r="D926" s="417" t="s">
        <v>83</v>
      </c>
      <c r="E926" s="423">
        <v>0.18871114218119539</v>
      </c>
      <c r="F926" s="423">
        <v>0.48900608256023348</v>
      </c>
      <c r="G926" s="422">
        <v>422.47184909382861</v>
      </c>
      <c r="H926" s="417" t="s">
        <v>2616</v>
      </c>
      <c r="I926" s="417" t="s">
        <v>1392</v>
      </c>
      <c r="J926" s="417" t="s">
        <v>4200</v>
      </c>
      <c r="K926" s="417" t="s">
        <v>4208</v>
      </c>
      <c r="L926" s="417"/>
      <c r="M926" s="417" t="s">
        <v>28840</v>
      </c>
    </row>
    <row r="927" spans="1:13" x14ac:dyDescent="0.25">
      <c r="A927" s="417" t="s">
        <v>3385</v>
      </c>
      <c r="B927" s="417" t="s">
        <v>2627</v>
      </c>
      <c r="C927" s="417" t="s">
        <v>4209</v>
      </c>
      <c r="D927" s="417" t="s">
        <v>83</v>
      </c>
      <c r="E927" s="423">
        <v>0.9209952604763787</v>
      </c>
      <c r="F927" s="423">
        <v>0.32556597703567808</v>
      </c>
      <c r="G927" s="422">
        <v>1363.41426977171</v>
      </c>
      <c r="H927" s="417" t="s">
        <v>2616</v>
      </c>
      <c r="I927" s="417" t="s">
        <v>1392</v>
      </c>
      <c r="J927" s="417" t="s">
        <v>4210</v>
      </c>
      <c r="K927" s="417" t="s">
        <v>4211</v>
      </c>
      <c r="L927" s="417"/>
      <c r="M927" s="417" t="s">
        <v>28840</v>
      </c>
    </row>
    <row r="928" spans="1:13" x14ac:dyDescent="0.25">
      <c r="A928" s="417" t="s">
        <v>3385</v>
      </c>
      <c r="B928" s="417" t="s">
        <v>2627</v>
      </c>
      <c r="C928" s="417" t="s">
        <v>4212</v>
      </c>
      <c r="D928" s="417" t="s">
        <v>83</v>
      </c>
      <c r="E928" s="423">
        <v>1.025036864218511</v>
      </c>
      <c r="F928" s="423">
        <v>0.45022415332663063</v>
      </c>
      <c r="G928" s="422">
        <v>1495.6622952025939</v>
      </c>
      <c r="H928" s="417" t="s">
        <v>2616</v>
      </c>
      <c r="I928" s="417" t="s">
        <v>1392</v>
      </c>
      <c r="J928" s="417" t="s">
        <v>4210</v>
      </c>
      <c r="K928" s="417" t="s">
        <v>4213</v>
      </c>
      <c r="L928" s="417"/>
      <c r="M928" s="417" t="s">
        <v>28840</v>
      </c>
    </row>
    <row r="929" spans="1:13" x14ac:dyDescent="0.25">
      <c r="A929" s="417" t="s">
        <v>3385</v>
      </c>
      <c r="B929" s="417" t="s">
        <v>2627</v>
      </c>
      <c r="C929" s="417" t="s">
        <v>4214</v>
      </c>
      <c r="D929" s="417" t="s">
        <v>83</v>
      </c>
      <c r="E929" s="423">
        <v>1.25948228333351</v>
      </c>
      <c r="F929" s="423">
        <v>0.30227621531080617</v>
      </c>
      <c r="G929" s="422">
        <v>2469.0672510647692</v>
      </c>
      <c r="H929" s="417" t="s">
        <v>2616</v>
      </c>
      <c r="I929" s="417" t="s">
        <v>1392</v>
      </c>
      <c r="J929" s="417" t="s">
        <v>4210</v>
      </c>
      <c r="K929" s="417" t="s">
        <v>4215</v>
      </c>
      <c r="L929" s="417"/>
      <c r="M929" s="417" t="s">
        <v>28840</v>
      </c>
    </row>
    <row r="930" spans="1:13" x14ac:dyDescent="0.25">
      <c r="A930" s="417" t="s">
        <v>3385</v>
      </c>
      <c r="B930" s="417" t="s">
        <v>2627</v>
      </c>
      <c r="C930" s="417" t="s">
        <v>4216</v>
      </c>
      <c r="D930" s="417" t="s">
        <v>83</v>
      </c>
      <c r="E930" s="423">
        <v>0.31780835464463142</v>
      </c>
      <c r="F930" s="423">
        <v>1.3938329845990829</v>
      </c>
      <c r="G930" s="422">
        <v>488.45853200638282</v>
      </c>
      <c r="H930" s="417" t="s">
        <v>2616</v>
      </c>
      <c r="I930" s="417" t="s">
        <v>1392</v>
      </c>
      <c r="J930" s="417" t="s">
        <v>4210</v>
      </c>
      <c r="K930" s="417" t="s">
        <v>4217</v>
      </c>
      <c r="L930" s="417"/>
      <c r="M930" s="417" t="s">
        <v>28840</v>
      </c>
    </row>
    <row r="931" spans="1:13" x14ac:dyDescent="0.25">
      <c r="A931" s="417" t="s">
        <v>3385</v>
      </c>
      <c r="B931" s="417" t="s">
        <v>2627</v>
      </c>
      <c r="C931" s="417" t="s">
        <v>4218</v>
      </c>
      <c r="D931" s="417" t="s">
        <v>83</v>
      </c>
      <c r="E931" s="423">
        <v>0.20878995453680879</v>
      </c>
      <c r="F931" s="423">
        <v>9.0918309665256714E-2</v>
      </c>
      <c r="G931" s="422">
        <v>223.36598427096499</v>
      </c>
      <c r="H931" s="417" t="s">
        <v>2616</v>
      </c>
      <c r="I931" s="417" t="s">
        <v>1392</v>
      </c>
      <c r="J931" s="417" t="s">
        <v>4200</v>
      </c>
      <c r="K931" s="417" t="s">
        <v>4219</v>
      </c>
      <c r="L931" s="417"/>
      <c r="M931" s="417" t="s">
        <v>28840</v>
      </c>
    </row>
    <row r="932" spans="1:13" x14ac:dyDescent="0.25">
      <c r="A932" s="417" t="s">
        <v>3385</v>
      </c>
      <c r="B932" s="417" t="s">
        <v>2627</v>
      </c>
      <c r="C932" s="417" t="s">
        <v>4220</v>
      </c>
      <c r="D932" s="417" t="s">
        <v>83</v>
      </c>
      <c r="E932" s="423">
        <v>8.9721674582781769E-2</v>
      </c>
      <c r="F932" s="423">
        <v>0.39460314017400139</v>
      </c>
      <c r="G932" s="422">
        <v>102.6078338339305</v>
      </c>
      <c r="H932" s="417" t="s">
        <v>2616</v>
      </c>
      <c r="I932" s="417" t="s">
        <v>1392</v>
      </c>
      <c r="J932" s="417" t="s">
        <v>4200</v>
      </c>
      <c r="K932" s="417" t="s">
        <v>4221</v>
      </c>
      <c r="L932" s="417"/>
      <c r="M932" s="417" t="s">
        <v>28840</v>
      </c>
    </row>
    <row r="933" spans="1:13" x14ac:dyDescent="0.25">
      <c r="A933" s="417" t="s">
        <v>3385</v>
      </c>
      <c r="B933" s="417" t="s">
        <v>2627</v>
      </c>
      <c r="C933" s="417" t="s">
        <v>4222</v>
      </c>
      <c r="D933" s="417" t="s">
        <v>83</v>
      </c>
      <c r="E933" s="423">
        <v>0.16329965081284359</v>
      </c>
      <c r="F933" s="423">
        <v>0.20153702523400571</v>
      </c>
      <c r="G933" s="422">
        <v>221.91212685306269</v>
      </c>
      <c r="H933" s="417" t="s">
        <v>2616</v>
      </c>
      <c r="I933" s="417" t="s">
        <v>1392</v>
      </c>
      <c r="J933" s="417" t="s">
        <v>4210</v>
      </c>
      <c r="K933" s="417" t="s">
        <v>4223</v>
      </c>
      <c r="L933" s="417"/>
      <c r="M933" s="417" t="s">
        <v>28840</v>
      </c>
    </row>
    <row r="934" spans="1:13" x14ac:dyDescent="0.25">
      <c r="A934" s="417" t="s">
        <v>3385</v>
      </c>
      <c r="B934" s="417" t="s">
        <v>2627</v>
      </c>
      <c r="C934" s="417" t="s">
        <v>4224</v>
      </c>
      <c r="D934" s="417" t="s">
        <v>83</v>
      </c>
      <c r="E934" s="423">
        <v>1.1468403823235069</v>
      </c>
      <c r="F934" s="423">
        <v>0.167963209581073</v>
      </c>
      <c r="G934" s="422">
        <v>3601.7981881111932</v>
      </c>
      <c r="H934" s="417" t="s">
        <v>2616</v>
      </c>
      <c r="I934" s="417" t="s">
        <v>1392</v>
      </c>
      <c r="J934" s="417" t="s">
        <v>4210</v>
      </c>
      <c r="K934" s="417" t="s">
        <v>4225</v>
      </c>
      <c r="L934" s="417"/>
      <c r="M934" s="417" t="s">
        <v>28840</v>
      </c>
    </row>
    <row r="935" spans="1:13" x14ac:dyDescent="0.25">
      <c r="A935" s="417" t="s">
        <v>3385</v>
      </c>
      <c r="B935" s="417" t="s">
        <v>2627</v>
      </c>
      <c r="C935" s="417" t="s">
        <v>4226</v>
      </c>
      <c r="D935" s="417" t="s">
        <v>83</v>
      </c>
      <c r="E935" s="423">
        <v>1.1242055044493799</v>
      </c>
      <c r="F935" s="423">
        <v>4.0591806531796433</v>
      </c>
      <c r="G935" s="422">
        <v>5088.4330345402032</v>
      </c>
      <c r="H935" s="417" t="s">
        <v>2616</v>
      </c>
      <c r="I935" s="417" t="s">
        <v>1392</v>
      </c>
      <c r="J935" s="417" t="s">
        <v>4210</v>
      </c>
      <c r="K935" s="417" t="s">
        <v>4227</v>
      </c>
      <c r="L935" s="417"/>
      <c r="M935" s="417" t="s">
        <v>28840</v>
      </c>
    </row>
    <row r="936" spans="1:13" x14ac:dyDescent="0.25">
      <c r="A936" s="417" t="s">
        <v>3385</v>
      </c>
      <c r="B936" s="417" t="s">
        <v>2627</v>
      </c>
      <c r="C936" s="417" t="s">
        <v>4228</v>
      </c>
      <c r="D936" s="417" t="s">
        <v>83</v>
      </c>
      <c r="E936" s="423">
        <v>0.61567499411125315</v>
      </c>
      <c r="F936" s="423">
        <v>2.8098169312570809</v>
      </c>
      <c r="G936" s="422">
        <v>889.16184942958103</v>
      </c>
      <c r="H936" s="417" t="s">
        <v>2616</v>
      </c>
      <c r="I936" s="417" t="s">
        <v>1392</v>
      </c>
      <c r="J936" s="417" t="s">
        <v>4210</v>
      </c>
      <c r="K936" s="417" t="s">
        <v>4229</v>
      </c>
      <c r="L936" s="417"/>
      <c r="M936" s="417" t="s">
        <v>28840</v>
      </c>
    </row>
    <row r="937" spans="1:13" x14ac:dyDescent="0.25">
      <c r="A937" s="417" t="s">
        <v>3385</v>
      </c>
      <c r="B937" s="417" t="s">
        <v>2627</v>
      </c>
      <c r="C937" s="417" t="s">
        <v>4230</v>
      </c>
      <c r="D937" s="417" t="s">
        <v>83</v>
      </c>
      <c r="E937" s="423">
        <v>0.86669195956753253</v>
      </c>
      <c r="F937" s="423">
        <v>0.10708684821735689</v>
      </c>
      <c r="G937" s="422">
        <v>3251.7047480157012</v>
      </c>
      <c r="H937" s="417" t="s">
        <v>2616</v>
      </c>
      <c r="I937" s="417" t="s">
        <v>1392</v>
      </c>
      <c r="J937" s="417" t="s">
        <v>4210</v>
      </c>
      <c r="K937" s="417" t="s">
        <v>4231</v>
      </c>
      <c r="L937" s="417"/>
      <c r="M937" s="417" t="s">
        <v>28840</v>
      </c>
    </row>
    <row r="938" spans="1:13" x14ac:dyDescent="0.25">
      <c r="A938" s="417" t="s">
        <v>3385</v>
      </c>
      <c r="B938" s="417" t="s">
        <v>2627</v>
      </c>
      <c r="C938" s="417" t="s">
        <v>4232</v>
      </c>
      <c r="D938" s="417" t="s">
        <v>83</v>
      </c>
      <c r="E938" s="423">
        <v>0.7201640240744136</v>
      </c>
      <c r="F938" s="423">
        <v>5.8856818281900057E-2</v>
      </c>
      <c r="G938" s="422">
        <v>1846.8033378953301</v>
      </c>
      <c r="H938" s="417" t="s">
        <v>2616</v>
      </c>
      <c r="I938" s="417" t="s">
        <v>1392</v>
      </c>
      <c r="J938" s="417" t="s">
        <v>4210</v>
      </c>
      <c r="K938" s="417" t="s">
        <v>4233</v>
      </c>
      <c r="L938" s="417"/>
      <c r="M938" s="417" t="s">
        <v>28840</v>
      </c>
    </row>
    <row r="939" spans="1:13" x14ac:dyDescent="0.25">
      <c r="A939" s="417" t="s">
        <v>3385</v>
      </c>
      <c r="B939" s="417" t="s">
        <v>2627</v>
      </c>
      <c r="C939" s="417" t="s">
        <v>4234</v>
      </c>
      <c r="D939" s="417" t="s">
        <v>83</v>
      </c>
      <c r="E939" s="423">
        <v>0.69619479094139314</v>
      </c>
      <c r="F939" s="423">
        <v>0.1062832370098593</v>
      </c>
      <c r="G939" s="422">
        <v>868.85059872722513</v>
      </c>
      <c r="H939" s="417" t="s">
        <v>2616</v>
      </c>
      <c r="I939" s="417" t="s">
        <v>1392</v>
      </c>
      <c r="J939" s="417" t="s">
        <v>4200</v>
      </c>
      <c r="K939" s="417" t="s">
        <v>4235</v>
      </c>
      <c r="L939" s="417"/>
      <c r="M939" s="417" t="s">
        <v>28840</v>
      </c>
    </row>
    <row r="940" spans="1:13" x14ac:dyDescent="0.25">
      <c r="A940" s="417" t="s">
        <v>3385</v>
      </c>
      <c r="B940" s="417" t="s">
        <v>2627</v>
      </c>
      <c r="C940" s="417" t="s">
        <v>4236</v>
      </c>
      <c r="D940" s="417" t="s">
        <v>83</v>
      </c>
      <c r="E940" s="423">
        <v>0.75676923383722561</v>
      </c>
      <c r="F940" s="423">
        <v>0.27694124091314137</v>
      </c>
      <c r="G940" s="422">
        <v>1109.5715396028049</v>
      </c>
      <c r="H940" s="417" t="s">
        <v>2616</v>
      </c>
      <c r="I940" s="417" t="s">
        <v>1392</v>
      </c>
      <c r="J940" s="417" t="s">
        <v>4210</v>
      </c>
      <c r="K940" s="417" t="s">
        <v>4237</v>
      </c>
      <c r="L940" s="417"/>
      <c r="M940" s="417" t="s">
        <v>28840</v>
      </c>
    </row>
    <row r="941" spans="1:13" x14ac:dyDescent="0.25">
      <c r="A941" s="417" t="s">
        <v>3385</v>
      </c>
      <c r="B941" s="417" t="s">
        <v>2627</v>
      </c>
      <c r="C941" s="417" t="s">
        <v>4238</v>
      </c>
      <c r="D941" s="417" t="s">
        <v>83</v>
      </c>
      <c r="E941" s="423">
        <v>0.88195333197230452</v>
      </c>
      <c r="F941" s="423">
        <v>0.1096837570421547</v>
      </c>
      <c r="G941" s="422">
        <v>2716.249739730622</v>
      </c>
      <c r="H941" s="417" t="s">
        <v>2616</v>
      </c>
      <c r="I941" s="417" t="s">
        <v>1392</v>
      </c>
      <c r="J941" s="417" t="s">
        <v>4210</v>
      </c>
      <c r="K941" s="417" t="s">
        <v>4239</v>
      </c>
      <c r="L941" s="417"/>
      <c r="M941" s="417" t="s">
        <v>28840</v>
      </c>
    </row>
    <row r="942" spans="1:13" x14ac:dyDescent="0.25">
      <c r="A942" s="417" t="s">
        <v>3385</v>
      </c>
      <c r="B942" s="417" t="s">
        <v>2627</v>
      </c>
      <c r="C942" s="417" t="s">
        <v>4240</v>
      </c>
      <c r="D942" s="417" t="s">
        <v>83</v>
      </c>
      <c r="E942" s="423">
        <v>0.33499401081544311</v>
      </c>
      <c r="F942" s="423">
        <v>0.49318205114835773</v>
      </c>
      <c r="G942" s="422">
        <v>486.87349268307122</v>
      </c>
      <c r="H942" s="417" t="s">
        <v>2616</v>
      </c>
      <c r="I942" s="417" t="s">
        <v>1392</v>
      </c>
      <c r="J942" s="417" t="s">
        <v>4210</v>
      </c>
      <c r="K942" s="417" t="s">
        <v>4241</v>
      </c>
      <c r="L942" s="417"/>
      <c r="M942" s="417" t="s">
        <v>28840</v>
      </c>
    </row>
    <row r="943" spans="1:13" x14ac:dyDescent="0.25">
      <c r="A943" s="417" t="s">
        <v>3385</v>
      </c>
      <c r="B943" s="417" t="s">
        <v>2627</v>
      </c>
      <c r="C943" s="417" t="s">
        <v>4242</v>
      </c>
      <c r="D943" s="417" t="s">
        <v>83</v>
      </c>
      <c r="E943" s="423">
        <v>0.39657540295768179</v>
      </c>
      <c r="F943" s="423">
        <v>0.17668544157254371</v>
      </c>
      <c r="G943" s="422">
        <v>491.37693393846081</v>
      </c>
      <c r="H943" s="417" t="s">
        <v>2616</v>
      </c>
      <c r="I943" s="417" t="s">
        <v>1392</v>
      </c>
      <c r="J943" s="417" t="s">
        <v>4210</v>
      </c>
      <c r="K943" s="417" t="s">
        <v>4243</v>
      </c>
      <c r="L943" s="417"/>
      <c r="M943" s="417" t="s">
        <v>28840</v>
      </c>
    </row>
    <row r="944" spans="1:13" x14ac:dyDescent="0.25">
      <c r="A944" s="417" t="s">
        <v>3385</v>
      </c>
      <c r="B944" s="417" t="s">
        <v>3405</v>
      </c>
      <c r="C944" s="417" t="s">
        <v>4244</v>
      </c>
      <c r="D944" s="417" t="s">
        <v>73</v>
      </c>
      <c r="E944" s="423">
        <v>3.8351449365299627E-2</v>
      </c>
      <c r="F944" s="423">
        <v>7.5783396487514129E-2</v>
      </c>
      <c r="G944" s="422">
        <v>49.956839585236708</v>
      </c>
      <c r="H944" s="417" t="s">
        <v>2616</v>
      </c>
      <c r="I944" s="417" t="s">
        <v>1392</v>
      </c>
      <c r="J944" s="417" t="s">
        <v>4245</v>
      </c>
      <c r="K944" s="417" t="s">
        <v>4246</v>
      </c>
      <c r="L944" s="417"/>
      <c r="M944" s="417" t="s">
        <v>28840</v>
      </c>
    </row>
    <row r="945" spans="1:13" x14ac:dyDescent="0.25">
      <c r="A945" s="417" t="s">
        <v>3385</v>
      </c>
      <c r="B945" s="417" t="s">
        <v>3405</v>
      </c>
      <c r="C945" s="417" t="s">
        <v>4247</v>
      </c>
      <c r="D945" s="417" t="s">
        <v>73</v>
      </c>
      <c r="E945" s="423">
        <v>3.8043408517885048E-2</v>
      </c>
      <c r="F945" s="423">
        <v>7.5766613432714278E-2</v>
      </c>
      <c r="G945" s="422">
        <v>49.18335567405758</v>
      </c>
      <c r="H945" s="417" t="s">
        <v>2616</v>
      </c>
      <c r="I945" s="417" t="s">
        <v>1392</v>
      </c>
      <c r="J945" s="417" t="s">
        <v>4245</v>
      </c>
      <c r="K945" s="417" t="s">
        <v>4248</v>
      </c>
      <c r="L945" s="417"/>
      <c r="M945" s="417" t="s">
        <v>28840</v>
      </c>
    </row>
    <row r="946" spans="1:13" x14ac:dyDescent="0.25">
      <c r="A946" s="417" t="s">
        <v>3385</v>
      </c>
      <c r="B946" s="417" t="s">
        <v>3405</v>
      </c>
      <c r="C946" s="417" t="s">
        <v>4249</v>
      </c>
      <c r="D946" s="417" t="s">
        <v>73</v>
      </c>
      <c r="E946" s="423">
        <v>3.4228358034205923E-2</v>
      </c>
      <c r="F946" s="423">
        <v>6.8258398469351028E-2</v>
      </c>
      <c r="G946" s="422">
        <v>44.211718560486283</v>
      </c>
      <c r="H946" s="417" t="s">
        <v>2616</v>
      </c>
      <c r="I946" s="417" t="s">
        <v>1392</v>
      </c>
      <c r="J946" s="417" t="s">
        <v>4245</v>
      </c>
      <c r="K946" s="417" t="s">
        <v>4250</v>
      </c>
      <c r="L946" s="417"/>
      <c r="M946" s="417" t="s">
        <v>28840</v>
      </c>
    </row>
    <row r="947" spans="1:13" x14ac:dyDescent="0.25">
      <c r="A947" s="417" t="s">
        <v>3385</v>
      </c>
      <c r="B947" s="417" t="s">
        <v>3405</v>
      </c>
      <c r="C947" s="417" t="s">
        <v>4251</v>
      </c>
      <c r="D947" s="417" t="s">
        <v>73</v>
      </c>
      <c r="E947" s="423">
        <v>3.8189129677689587E-2</v>
      </c>
      <c r="F947" s="423">
        <v>7.577196490293088E-2</v>
      </c>
      <c r="G947" s="422">
        <v>49.498366475247941</v>
      </c>
      <c r="H947" s="417" t="s">
        <v>2616</v>
      </c>
      <c r="I947" s="417" t="s">
        <v>1392</v>
      </c>
      <c r="J947" s="417" t="s">
        <v>4245</v>
      </c>
      <c r="K947" s="417" t="s">
        <v>4252</v>
      </c>
      <c r="L947" s="417"/>
      <c r="M947" s="417" t="s">
        <v>28840</v>
      </c>
    </row>
    <row r="948" spans="1:13" x14ac:dyDescent="0.25">
      <c r="A948" s="417" t="s">
        <v>3385</v>
      </c>
      <c r="B948" s="417" t="s">
        <v>3405</v>
      </c>
      <c r="C948" s="417" t="s">
        <v>4253</v>
      </c>
      <c r="D948" s="417" t="s">
        <v>73</v>
      </c>
      <c r="E948" s="423">
        <v>4.1596309074519902E-2</v>
      </c>
      <c r="F948" s="423">
        <v>7.5815928345180861E-2</v>
      </c>
      <c r="G948" s="422">
        <v>56.554490546201897</v>
      </c>
      <c r="H948" s="417" t="s">
        <v>2616</v>
      </c>
      <c r="I948" s="417" t="s">
        <v>1392</v>
      </c>
      <c r="J948" s="417" t="s">
        <v>4254</v>
      </c>
      <c r="K948" s="417" t="s">
        <v>4255</v>
      </c>
      <c r="L948" s="417"/>
      <c r="M948" s="417" t="s">
        <v>28840</v>
      </c>
    </row>
    <row r="949" spans="1:13" x14ac:dyDescent="0.25">
      <c r="A949" s="417" t="s">
        <v>3385</v>
      </c>
      <c r="B949" s="417" t="s">
        <v>3405</v>
      </c>
      <c r="C949" s="417" t="s">
        <v>4256</v>
      </c>
      <c r="D949" s="417" t="s">
        <v>73</v>
      </c>
      <c r="E949" s="423">
        <v>4.0370852032951508E-2</v>
      </c>
      <c r="F949" s="423">
        <v>7.5779438072802727E-2</v>
      </c>
      <c r="G949" s="422">
        <v>52.647114631224191</v>
      </c>
      <c r="H949" s="417" t="s">
        <v>2616</v>
      </c>
      <c r="I949" s="417" t="s">
        <v>1392</v>
      </c>
      <c r="J949" s="417" t="s">
        <v>4254</v>
      </c>
      <c r="K949" s="417" t="s">
        <v>4257</v>
      </c>
      <c r="L949" s="417"/>
      <c r="M949" s="417" t="s">
        <v>28840</v>
      </c>
    </row>
    <row r="950" spans="1:13" x14ac:dyDescent="0.25">
      <c r="A950" s="417" t="s">
        <v>3385</v>
      </c>
      <c r="B950" s="417" t="s">
        <v>3405</v>
      </c>
      <c r="C950" s="417" t="s">
        <v>4258</v>
      </c>
      <c r="D950" s="417" t="s">
        <v>73</v>
      </c>
      <c r="E950" s="423">
        <v>4.0560735060855793E-2</v>
      </c>
      <c r="F950" s="423">
        <v>7.578562286860413E-2</v>
      </c>
      <c r="G950" s="422">
        <v>53.497895562369031</v>
      </c>
      <c r="H950" s="417" t="s">
        <v>2616</v>
      </c>
      <c r="I950" s="417" t="s">
        <v>1392</v>
      </c>
      <c r="J950" s="417" t="s">
        <v>4254</v>
      </c>
      <c r="K950" s="417" t="s">
        <v>4259</v>
      </c>
      <c r="L950" s="417"/>
      <c r="M950" s="417" t="s">
        <v>28840</v>
      </c>
    </row>
    <row r="951" spans="1:13" x14ac:dyDescent="0.25">
      <c r="A951" s="417" t="s">
        <v>3385</v>
      </c>
      <c r="B951" s="417" t="s">
        <v>3405</v>
      </c>
      <c r="C951" s="417" t="s">
        <v>4260</v>
      </c>
      <c r="D951" s="417" t="s">
        <v>73</v>
      </c>
      <c r="E951" s="423">
        <v>4.0790145398618423E-2</v>
      </c>
      <c r="F951" s="423">
        <v>7.5793291764681053E-2</v>
      </c>
      <c r="G951" s="422">
        <v>54.929404805680811</v>
      </c>
      <c r="H951" s="417" t="s">
        <v>2616</v>
      </c>
      <c r="I951" s="417" t="s">
        <v>1392</v>
      </c>
      <c r="J951" s="417" t="s">
        <v>4254</v>
      </c>
      <c r="K951" s="417" t="s">
        <v>4261</v>
      </c>
      <c r="L951" s="417"/>
      <c r="M951" s="417" t="s">
        <v>28840</v>
      </c>
    </row>
    <row r="952" spans="1:13" x14ac:dyDescent="0.25">
      <c r="A952" s="417" t="s">
        <v>3385</v>
      </c>
      <c r="B952" s="417" t="s">
        <v>3405</v>
      </c>
      <c r="C952" s="417" t="s">
        <v>4262</v>
      </c>
      <c r="D952" s="417" t="s">
        <v>73</v>
      </c>
      <c r="E952" s="423">
        <v>3.8023427597793438E-2</v>
      </c>
      <c r="F952" s="423">
        <v>7.5766038689381962E-2</v>
      </c>
      <c r="G952" s="422">
        <v>49.13201336108137</v>
      </c>
      <c r="H952" s="417" t="s">
        <v>2616</v>
      </c>
      <c r="I952" s="417" t="s">
        <v>1392</v>
      </c>
      <c r="J952" s="417" t="s">
        <v>4245</v>
      </c>
      <c r="K952" s="417" t="s">
        <v>4263</v>
      </c>
      <c r="L952" s="417"/>
      <c r="M952" s="417" t="s">
        <v>28840</v>
      </c>
    </row>
    <row r="953" spans="1:13" x14ac:dyDescent="0.25">
      <c r="A953" s="417" t="s">
        <v>3385</v>
      </c>
      <c r="B953" s="417" t="s">
        <v>2627</v>
      </c>
      <c r="C953" s="417" t="s">
        <v>4264</v>
      </c>
      <c r="D953" s="417" t="s">
        <v>88</v>
      </c>
      <c r="E953" s="423">
        <v>1.3788485154402881E-2</v>
      </c>
      <c r="F953" s="423">
        <v>4.1004571237462879E-4</v>
      </c>
      <c r="G953" s="422">
        <v>21.915319387178489</v>
      </c>
      <c r="H953" s="417" t="s">
        <v>2616</v>
      </c>
      <c r="I953" s="417" t="s">
        <v>1392</v>
      </c>
      <c r="J953" s="417" t="s">
        <v>4265</v>
      </c>
      <c r="K953" s="417" t="s">
        <v>4266</v>
      </c>
      <c r="L953" s="417"/>
      <c r="M953" s="417" t="s">
        <v>28840</v>
      </c>
    </row>
    <row r="954" spans="1:13" x14ac:dyDescent="0.25">
      <c r="A954" s="417" t="s">
        <v>3385</v>
      </c>
      <c r="B954" s="417" t="s">
        <v>2437</v>
      </c>
      <c r="C954" s="417" t="s">
        <v>4267</v>
      </c>
      <c r="D954" s="417" t="s">
        <v>989</v>
      </c>
      <c r="E954" s="423">
        <v>1.5632922593513729</v>
      </c>
      <c r="F954" s="423">
        <v>5.3501268045444583E-2</v>
      </c>
      <c r="G954" s="422">
        <v>2623.8728242182601</v>
      </c>
      <c r="H954" s="417" t="s">
        <v>2616</v>
      </c>
      <c r="I954" s="417" t="s">
        <v>1392</v>
      </c>
      <c r="J954" s="417" t="s">
        <v>3845</v>
      </c>
      <c r="K954" s="417" t="s">
        <v>4268</v>
      </c>
      <c r="L954" s="417"/>
      <c r="M954" s="417" t="s">
        <v>28840</v>
      </c>
    </row>
    <row r="955" spans="1:13" x14ac:dyDescent="0.25">
      <c r="A955" s="417" t="s">
        <v>3385</v>
      </c>
      <c r="B955" s="417" t="s">
        <v>2627</v>
      </c>
      <c r="C955" s="417" t="s">
        <v>4269</v>
      </c>
      <c r="D955" s="417" t="s">
        <v>88</v>
      </c>
      <c r="E955" s="423">
        <v>8.3974885081407429</v>
      </c>
      <c r="F955" s="423">
        <v>0.33288010992222178</v>
      </c>
      <c r="G955" s="422">
        <v>20572.127977002168</v>
      </c>
      <c r="H955" s="417" t="s">
        <v>2616</v>
      </c>
      <c r="I955" s="417" t="s">
        <v>1392</v>
      </c>
      <c r="J955" s="417" t="s">
        <v>3387</v>
      </c>
      <c r="K955" s="417" t="s">
        <v>4270</v>
      </c>
      <c r="L955" s="417"/>
      <c r="M955" s="417" t="s">
        <v>28840</v>
      </c>
    </row>
    <row r="956" spans="1:13" x14ac:dyDescent="0.25">
      <c r="A956" s="417" t="s">
        <v>3385</v>
      </c>
      <c r="B956" s="417" t="s">
        <v>2627</v>
      </c>
      <c r="C956" s="417" t="s">
        <v>4271</v>
      </c>
      <c r="D956" s="417" t="s">
        <v>88</v>
      </c>
      <c r="E956" s="423">
        <v>8.7282844401298938</v>
      </c>
      <c r="F956" s="423">
        <v>0.35497189138070329</v>
      </c>
      <c r="G956" s="422">
        <v>20815.00673207012</v>
      </c>
      <c r="H956" s="417" t="s">
        <v>2616</v>
      </c>
      <c r="I956" s="417" t="s">
        <v>1392</v>
      </c>
      <c r="J956" s="417" t="s">
        <v>3387</v>
      </c>
      <c r="K956" s="417" t="s">
        <v>4272</v>
      </c>
      <c r="L956" s="417"/>
      <c r="M956" s="417" t="s">
        <v>28840</v>
      </c>
    </row>
    <row r="957" spans="1:13" x14ac:dyDescent="0.25">
      <c r="A957" s="417" t="s">
        <v>3385</v>
      </c>
      <c r="B957" s="417" t="s">
        <v>2627</v>
      </c>
      <c r="C957" s="417" t="s">
        <v>4273</v>
      </c>
      <c r="D957" s="417" t="s">
        <v>88</v>
      </c>
      <c r="E957" s="423">
        <v>4.6214584798627083</v>
      </c>
      <c r="F957" s="423">
        <v>8.1756241337722718E-2</v>
      </c>
      <c r="G957" s="422">
        <v>7449.5166275443962</v>
      </c>
      <c r="H957" s="417" t="s">
        <v>2616</v>
      </c>
      <c r="I957" s="417" t="s">
        <v>1392</v>
      </c>
      <c r="J957" s="417" t="s">
        <v>3396</v>
      </c>
      <c r="K957" s="417" t="s">
        <v>4274</v>
      </c>
      <c r="L957" s="417"/>
      <c r="M957" s="417" t="s">
        <v>28840</v>
      </c>
    </row>
    <row r="958" spans="1:13" x14ac:dyDescent="0.25">
      <c r="A958" s="417" t="s">
        <v>3385</v>
      </c>
      <c r="B958" s="417" t="s">
        <v>2627</v>
      </c>
      <c r="C958" s="417" t="s">
        <v>4275</v>
      </c>
      <c r="D958" s="417" t="s">
        <v>88</v>
      </c>
      <c r="E958" s="423">
        <v>0.51923818852901038</v>
      </c>
      <c r="F958" s="423">
        <v>1.106708739002674E-2</v>
      </c>
      <c r="G958" s="422">
        <v>1436.041070082294</v>
      </c>
      <c r="H958" s="417" t="s">
        <v>2616</v>
      </c>
      <c r="I958" s="417" t="s">
        <v>1392</v>
      </c>
      <c r="J958" s="417" t="s">
        <v>4276</v>
      </c>
      <c r="K958" s="417" t="s">
        <v>4277</v>
      </c>
      <c r="L958" s="417"/>
      <c r="M958" s="417" t="s">
        <v>28840</v>
      </c>
    </row>
    <row r="959" spans="1:13" x14ac:dyDescent="0.25">
      <c r="A959" s="417" t="s">
        <v>3385</v>
      </c>
      <c r="B959" s="417" t="s">
        <v>2627</v>
      </c>
      <c r="C959" s="417" t="s">
        <v>874</v>
      </c>
      <c r="D959" s="417" t="s">
        <v>88</v>
      </c>
      <c r="E959" s="423">
        <v>0.91430937494276698</v>
      </c>
      <c r="F959" s="423">
        <v>1.137047056476624E-2</v>
      </c>
      <c r="G959" s="422">
        <v>1737.9206831972131</v>
      </c>
      <c r="H959" s="417" t="s">
        <v>2616</v>
      </c>
      <c r="I959" s="417" t="s">
        <v>28841</v>
      </c>
      <c r="J959" s="417" t="s">
        <v>4276</v>
      </c>
      <c r="K959" s="417" t="s">
        <v>4278</v>
      </c>
      <c r="L959" s="417"/>
      <c r="M959" s="417" t="s">
        <v>28840</v>
      </c>
    </row>
    <row r="960" spans="1:13" x14ac:dyDescent="0.25">
      <c r="A960" s="417" t="s">
        <v>3385</v>
      </c>
      <c r="B960" s="417" t="s">
        <v>2627</v>
      </c>
      <c r="C960" s="417" t="s">
        <v>4279</v>
      </c>
      <c r="D960" s="417" t="s">
        <v>88</v>
      </c>
      <c r="E960" s="423">
        <v>1.1736737373624051</v>
      </c>
      <c r="F960" s="423">
        <v>3.5975779036077002E-2</v>
      </c>
      <c r="G960" s="422">
        <v>2545.4183671784122</v>
      </c>
      <c r="H960" s="417" t="s">
        <v>2616</v>
      </c>
      <c r="I960" s="417" t="s">
        <v>1392</v>
      </c>
      <c r="J960" s="417" t="s">
        <v>4276</v>
      </c>
      <c r="K960" s="417" t="s">
        <v>4280</v>
      </c>
      <c r="L960" s="417"/>
      <c r="M960" s="417" t="s">
        <v>28840</v>
      </c>
    </row>
    <row r="961" spans="1:13" x14ac:dyDescent="0.25">
      <c r="A961" s="417" t="s">
        <v>3385</v>
      </c>
      <c r="B961" s="417" t="s">
        <v>2627</v>
      </c>
      <c r="C961" s="417" t="s">
        <v>4281</v>
      </c>
      <c r="D961" s="417" t="s">
        <v>88</v>
      </c>
      <c r="E961" s="423">
        <v>0.76953466235617818</v>
      </c>
      <c r="F961" s="423">
        <v>2.8534983485850918E-2</v>
      </c>
      <c r="G961" s="422">
        <v>1553.7810770950221</v>
      </c>
      <c r="H961" s="417" t="s">
        <v>2616</v>
      </c>
      <c r="I961" s="417" t="s">
        <v>1392</v>
      </c>
      <c r="J961" s="417" t="s">
        <v>4276</v>
      </c>
      <c r="K961" s="417" t="s">
        <v>4282</v>
      </c>
      <c r="L961" s="417"/>
      <c r="M961" s="417" t="s">
        <v>28840</v>
      </c>
    </row>
    <row r="962" spans="1:13" x14ac:dyDescent="0.25">
      <c r="A962" s="417" t="s">
        <v>3385</v>
      </c>
      <c r="B962" s="417" t="s">
        <v>2627</v>
      </c>
      <c r="C962" s="417" t="s">
        <v>4283</v>
      </c>
      <c r="D962" s="417" t="s">
        <v>88</v>
      </c>
      <c r="E962" s="423">
        <v>1.125106878576045</v>
      </c>
      <c r="F962" s="423">
        <v>7.8145254334208339E-2</v>
      </c>
      <c r="G962" s="422">
        <v>2142.0024573267078</v>
      </c>
      <c r="H962" s="417" t="s">
        <v>2616</v>
      </c>
      <c r="I962" s="417" t="s">
        <v>1392</v>
      </c>
      <c r="J962" s="417" t="s">
        <v>4276</v>
      </c>
      <c r="K962" s="417" t="s">
        <v>4284</v>
      </c>
      <c r="L962" s="417"/>
      <c r="M962" s="417" t="s">
        <v>28840</v>
      </c>
    </row>
    <row r="963" spans="1:13" x14ac:dyDescent="0.25">
      <c r="A963" s="417" t="s">
        <v>3385</v>
      </c>
      <c r="B963" s="417" t="s">
        <v>2627</v>
      </c>
      <c r="C963" s="417" t="s">
        <v>4285</v>
      </c>
      <c r="D963" s="417" t="s">
        <v>88</v>
      </c>
      <c r="E963" s="423">
        <v>1.3768542541684901</v>
      </c>
      <c r="F963" s="423">
        <v>5.6248295348642487E-2</v>
      </c>
      <c r="G963" s="422">
        <v>2270.3548622040071</v>
      </c>
      <c r="H963" s="417" t="s">
        <v>2616</v>
      </c>
      <c r="I963" s="417" t="s">
        <v>1392</v>
      </c>
      <c r="J963" s="417" t="s">
        <v>3629</v>
      </c>
      <c r="K963" s="417" t="s">
        <v>4286</v>
      </c>
      <c r="L963" s="417"/>
      <c r="M963" s="417" t="s">
        <v>28840</v>
      </c>
    </row>
    <row r="964" spans="1:13" x14ac:dyDescent="0.25">
      <c r="A964" s="417" t="s">
        <v>3385</v>
      </c>
      <c r="B964" s="417" t="s">
        <v>2627</v>
      </c>
      <c r="C964" s="417" t="s">
        <v>4287</v>
      </c>
      <c r="D964" s="417" t="s">
        <v>88</v>
      </c>
      <c r="E964" s="423">
        <v>0.92084199625003726</v>
      </c>
      <c r="F964" s="423">
        <v>4.3144942406716832E-2</v>
      </c>
      <c r="G964" s="422">
        <v>1789.0586122831839</v>
      </c>
      <c r="H964" s="417" t="s">
        <v>2616</v>
      </c>
      <c r="I964" s="417" t="s">
        <v>1392</v>
      </c>
      <c r="J964" s="417" t="s">
        <v>4276</v>
      </c>
      <c r="K964" s="417" t="s">
        <v>4288</v>
      </c>
      <c r="L964" s="417"/>
      <c r="M964" s="417" t="s">
        <v>28840</v>
      </c>
    </row>
    <row r="965" spans="1:13" x14ac:dyDescent="0.25">
      <c r="A965" s="417" t="s">
        <v>3385</v>
      </c>
      <c r="B965" s="417" t="s">
        <v>2627</v>
      </c>
      <c r="C965" s="417" t="s">
        <v>4289</v>
      </c>
      <c r="D965" s="417" t="s">
        <v>88</v>
      </c>
      <c r="E965" s="423">
        <v>0.86475983149832314</v>
      </c>
      <c r="F965" s="423">
        <v>5.6708694214054299E-3</v>
      </c>
      <c r="G965" s="422">
        <v>1679.001619595728</v>
      </c>
      <c r="H965" s="417" t="s">
        <v>2616</v>
      </c>
      <c r="I965" s="417" t="s">
        <v>1392</v>
      </c>
      <c r="J965" s="417" t="s">
        <v>4123</v>
      </c>
      <c r="K965" s="417" t="s">
        <v>4290</v>
      </c>
      <c r="L965" s="417"/>
      <c r="M965" s="417" t="s">
        <v>28840</v>
      </c>
    </row>
    <row r="966" spans="1:13" x14ac:dyDescent="0.25">
      <c r="A966" s="417" t="s">
        <v>3385</v>
      </c>
      <c r="B966" s="417" t="s">
        <v>2627</v>
      </c>
      <c r="C966" s="417" t="s">
        <v>4291</v>
      </c>
      <c r="D966" s="417" t="s">
        <v>88</v>
      </c>
      <c r="E966" s="423">
        <v>0.76040829081895944</v>
      </c>
      <c r="F966" s="423">
        <v>8.1159936325297527E-3</v>
      </c>
      <c r="G966" s="422">
        <v>1498.3465207013789</v>
      </c>
      <c r="H966" s="417" t="s">
        <v>2616</v>
      </c>
      <c r="I966" s="417" t="s">
        <v>1392</v>
      </c>
      <c r="J966" s="417" t="s">
        <v>4123</v>
      </c>
      <c r="K966" s="417" t="s">
        <v>4292</v>
      </c>
      <c r="L966" s="417"/>
      <c r="M966" s="417" t="s">
        <v>28840</v>
      </c>
    </row>
    <row r="967" spans="1:13" x14ac:dyDescent="0.25">
      <c r="A967" s="417" t="s">
        <v>3385</v>
      </c>
      <c r="B967" s="417" t="s">
        <v>2627</v>
      </c>
      <c r="C967" s="417" t="s">
        <v>4293</v>
      </c>
      <c r="D967" s="417" t="s">
        <v>989</v>
      </c>
      <c r="E967" s="423">
        <v>313.40987469093398</v>
      </c>
      <c r="F967" s="423">
        <v>12.27060071569853</v>
      </c>
      <c r="G967" s="422">
        <v>1491465.1349198241</v>
      </c>
      <c r="H967" s="417" t="s">
        <v>2616</v>
      </c>
      <c r="I967" s="417" t="s">
        <v>1392</v>
      </c>
      <c r="J967" s="417" t="s">
        <v>4294</v>
      </c>
      <c r="K967" s="417" t="s">
        <v>4295</v>
      </c>
      <c r="L967" s="417"/>
      <c r="M967" s="417" t="s">
        <v>28840</v>
      </c>
    </row>
    <row r="968" spans="1:13" x14ac:dyDescent="0.25">
      <c r="A968" s="417" t="s">
        <v>3385</v>
      </c>
      <c r="B968" s="417" t="s">
        <v>2627</v>
      </c>
      <c r="C968" s="417" t="s">
        <v>4296</v>
      </c>
      <c r="D968" s="417" t="s">
        <v>989</v>
      </c>
      <c r="E968" s="423">
        <v>63270148.543068431</v>
      </c>
      <c r="F968" s="423">
        <v>4448757.3938690946</v>
      </c>
      <c r="G968" s="422">
        <v>169861651483.87561</v>
      </c>
      <c r="H968" s="417" t="s">
        <v>2616</v>
      </c>
      <c r="I968" s="417" t="s">
        <v>1392</v>
      </c>
      <c r="J968" s="417" t="s">
        <v>4297</v>
      </c>
      <c r="K968" s="417" t="s">
        <v>4298</v>
      </c>
      <c r="L968" s="417"/>
      <c r="M968" s="417" t="s">
        <v>28840</v>
      </c>
    </row>
    <row r="969" spans="1:13" x14ac:dyDescent="0.25">
      <c r="A969" s="417" t="s">
        <v>3385</v>
      </c>
      <c r="B969" s="417" t="s">
        <v>3405</v>
      </c>
      <c r="C969" s="417" t="s">
        <v>4299</v>
      </c>
      <c r="D969" s="417" t="s">
        <v>73</v>
      </c>
      <c r="E969" s="423">
        <v>0.14054563594759981</v>
      </c>
      <c r="F969" s="423">
        <v>1.526322824217582E-7</v>
      </c>
      <c r="G969" s="422">
        <v>141.1046398796959</v>
      </c>
      <c r="H969" s="417" t="s">
        <v>2616</v>
      </c>
      <c r="I969" s="417" t="s">
        <v>1392</v>
      </c>
      <c r="J969" s="417" t="s">
        <v>4300</v>
      </c>
      <c r="K969" s="417" t="s">
        <v>4301</v>
      </c>
      <c r="L969" s="417"/>
      <c r="M969" s="417" t="s">
        <v>28840</v>
      </c>
    </row>
    <row r="970" spans="1:13" x14ac:dyDescent="0.25">
      <c r="A970" s="417" t="s">
        <v>3385</v>
      </c>
      <c r="B970" s="417" t="s">
        <v>2627</v>
      </c>
      <c r="C970" s="417" t="s">
        <v>4302</v>
      </c>
      <c r="D970" s="417" t="s">
        <v>88</v>
      </c>
      <c r="E970" s="423">
        <v>0.40371899246223669</v>
      </c>
      <c r="F970" s="423">
        <v>2.643789773544181E-2</v>
      </c>
      <c r="G970" s="422">
        <v>507.6907053142823</v>
      </c>
      <c r="H970" s="417" t="s">
        <v>2616</v>
      </c>
      <c r="I970" s="417" t="s">
        <v>1392</v>
      </c>
      <c r="J970" s="417" t="s">
        <v>4303</v>
      </c>
      <c r="K970" s="417" t="s">
        <v>4304</v>
      </c>
      <c r="L970" s="417"/>
      <c r="M970" s="417" t="s">
        <v>28840</v>
      </c>
    </row>
    <row r="971" spans="1:13" x14ac:dyDescent="0.25">
      <c r="A971" s="417" t="s">
        <v>3385</v>
      </c>
      <c r="B971" s="417" t="s">
        <v>2627</v>
      </c>
      <c r="C971" s="417" t="s">
        <v>4305</v>
      </c>
      <c r="D971" s="417" t="s">
        <v>88</v>
      </c>
      <c r="E971" s="423">
        <v>3.2998959636147213E-2</v>
      </c>
      <c r="F971" s="423">
        <v>3.614213694031313E-4</v>
      </c>
      <c r="G971" s="422">
        <v>63.125383374668928</v>
      </c>
      <c r="H971" s="417" t="s">
        <v>2616</v>
      </c>
      <c r="I971" s="417" t="s">
        <v>1392</v>
      </c>
      <c r="J971" s="417" t="s">
        <v>3772</v>
      </c>
      <c r="K971" s="417" t="s">
        <v>4306</v>
      </c>
      <c r="L971" s="417"/>
      <c r="M971" s="417" t="s">
        <v>28840</v>
      </c>
    </row>
    <row r="972" spans="1:13" x14ac:dyDescent="0.25">
      <c r="A972" s="417" t="s">
        <v>3385</v>
      </c>
      <c r="B972" s="417" t="s">
        <v>2627</v>
      </c>
      <c r="C972" s="417" t="s">
        <v>4307</v>
      </c>
      <c r="D972" s="417" t="s">
        <v>989</v>
      </c>
      <c r="E972" s="423">
        <v>163814339.5620544</v>
      </c>
      <c r="F972" s="423">
        <v>36718889.344365783</v>
      </c>
      <c r="G972" s="422">
        <v>381525502951.7514</v>
      </c>
      <c r="H972" s="417" t="s">
        <v>2616</v>
      </c>
      <c r="I972" s="417" t="s">
        <v>1392</v>
      </c>
      <c r="J972" s="417" t="s">
        <v>4297</v>
      </c>
      <c r="K972" s="417" t="s">
        <v>4308</v>
      </c>
      <c r="L972" s="417"/>
      <c r="M972" s="417" t="s">
        <v>28840</v>
      </c>
    </row>
    <row r="973" spans="1:13" x14ac:dyDescent="0.25">
      <c r="A973" s="417" t="s">
        <v>3385</v>
      </c>
      <c r="B973" s="417" t="s">
        <v>3655</v>
      </c>
      <c r="C973" s="417" t="s">
        <v>4309</v>
      </c>
      <c r="D973" s="417" t="s">
        <v>88</v>
      </c>
      <c r="E973" s="423">
        <v>2.170102963448536</v>
      </c>
      <c r="F973" s="423">
        <v>5.8286750209115022E-2</v>
      </c>
      <c r="G973" s="422">
        <v>18656.477680732081</v>
      </c>
      <c r="H973" s="417" t="s">
        <v>2616</v>
      </c>
      <c r="I973" s="417" t="s">
        <v>1392</v>
      </c>
      <c r="J973" s="417" t="s">
        <v>4310</v>
      </c>
      <c r="K973" s="417" t="s">
        <v>4311</v>
      </c>
      <c r="L973" s="417"/>
      <c r="M973" s="417" t="s">
        <v>28840</v>
      </c>
    </row>
    <row r="974" spans="1:13" x14ac:dyDescent="0.25">
      <c r="A974" s="417" t="s">
        <v>3385</v>
      </c>
      <c r="B974" s="417" t="s">
        <v>2627</v>
      </c>
      <c r="C974" s="417" t="s">
        <v>4312</v>
      </c>
      <c r="D974" s="417" t="s">
        <v>88</v>
      </c>
      <c r="E974" s="423">
        <v>1.525141292376345</v>
      </c>
      <c r="F974" s="423">
        <v>4.5604986248672569E-2</v>
      </c>
      <c r="G974" s="422">
        <v>2695.425863488982</v>
      </c>
      <c r="H974" s="417" t="s">
        <v>2616</v>
      </c>
      <c r="I974" s="417" t="s">
        <v>1392</v>
      </c>
      <c r="J974" s="417" t="s">
        <v>3742</v>
      </c>
      <c r="K974" s="417" t="s">
        <v>4313</v>
      </c>
      <c r="L974" s="417"/>
      <c r="M974" s="417" t="s">
        <v>28840</v>
      </c>
    </row>
    <row r="975" spans="1:13" x14ac:dyDescent="0.25">
      <c r="A975" s="417" t="s">
        <v>3385</v>
      </c>
      <c r="B975" s="417" t="s">
        <v>2627</v>
      </c>
      <c r="C975" s="417" t="s">
        <v>4314</v>
      </c>
      <c r="D975" s="417" t="s">
        <v>4315</v>
      </c>
      <c r="E975" s="423">
        <v>162.97897149482489</v>
      </c>
      <c r="F975" s="423">
        <v>8.9374952819879052</v>
      </c>
      <c r="G975" s="422">
        <v>258734.93683243851</v>
      </c>
      <c r="H975" s="417" t="s">
        <v>2616</v>
      </c>
      <c r="I975" s="417" t="s">
        <v>1392</v>
      </c>
      <c r="J975" s="417" t="s">
        <v>4138</v>
      </c>
      <c r="K975" s="417" t="s">
        <v>4316</v>
      </c>
      <c r="L975" s="417"/>
      <c r="M975" s="417" t="s">
        <v>28840</v>
      </c>
    </row>
    <row r="976" spans="1:13" x14ac:dyDescent="0.25">
      <c r="A976" s="417" t="s">
        <v>3385</v>
      </c>
      <c r="B976" s="417" t="s">
        <v>2627</v>
      </c>
      <c r="C976" s="417" t="s">
        <v>4317</v>
      </c>
      <c r="D976" s="417" t="s">
        <v>4315</v>
      </c>
      <c r="E976" s="423">
        <v>229.62997959484619</v>
      </c>
      <c r="F976" s="423">
        <v>13.05972408208009</v>
      </c>
      <c r="G976" s="422">
        <v>365598.60940076469</v>
      </c>
      <c r="H976" s="417" t="s">
        <v>2616</v>
      </c>
      <c r="I976" s="417" t="s">
        <v>1392</v>
      </c>
      <c r="J976" s="417" t="s">
        <v>4138</v>
      </c>
      <c r="K976" s="417" t="s">
        <v>4318</v>
      </c>
      <c r="L976" s="417"/>
      <c r="M976" s="417" t="s">
        <v>28840</v>
      </c>
    </row>
    <row r="977" spans="1:13" x14ac:dyDescent="0.25">
      <c r="A977" s="417" t="s">
        <v>3385</v>
      </c>
      <c r="B977" s="417" t="s">
        <v>2627</v>
      </c>
      <c r="C977" s="417" t="s">
        <v>4319</v>
      </c>
      <c r="D977" s="417" t="s">
        <v>563</v>
      </c>
      <c r="E977" s="423">
        <v>486.2479639762073</v>
      </c>
      <c r="F977" s="423">
        <v>26.401198109157619</v>
      </c>
      <c r="G977" s="422">
        <v>724874.01509413484</v>
      </c>
      <c r="H977" s="417" t="s">
        <v>2616</v>
      </c>
      <c r="I977" s="417" t="s">
        <v>1392</v>
      </c>
      <c r="J977" s="417" t="s">
        <v>4138</v>
      </c>
      <c r="K977" s="417" t="s">
        <v>4320</v>
      </c>
      <c r="L977" s="417"/>
      <c r="M977" s="417" t="s">
        <v>28840</v>
      </c>
    </row>
    <row r="978" spans="1:13" x14ac:dyDescent="0.25">
      <c r="A978" s="417" t="s">
        <v>3385</v>
      </c>
      <c r="B978" s="417" t="s">
        <v>2627</v>
      </c>
      <c r="C978" s="417" t="s">
        <v>4321</v>
      </c>
      <c r="D978" s="417" t="s">
        <v>563</v>
      </c>
      <c r="E978" s="423">
        <v>758.00963595928829</v>
      </c>
      <c r="F978" s="423">
        <v>39.604811825032783</v>
      </c>
      <c r="G978" s="422">
        <v>1063964.0898145279</v>
      </c>
      <c r="H978" s="417" t="s">
        <v>2616</v>
      </c>
      <c r="I978" s="417" t="s">
        <v>1392</v>
      </c>
      <c r="J978" s="417" t="s">
        <v>4138</v>
      </c>
      <c r="K978" s="417" t="s">
        <v>4322</v>
      </c>
      <c r="L978" s="417"/>
      <c r="M978" s="417" t="s">
        <v>28840</v>
      </c>
    </row>
    <row r="979" spans="1:13" x14ac:dyDescent="0.25">
      <c r="A979" s="417" t="s">
        <v>3385</v>
      </c>
      <c r="B979" s="417" t="s">
        <v>2627</v>
      </c>
      <c r="C979" s="417" t="s">
        <v>4323</v>
      </c>
      <c r="D979" s="417" t="s">
        <v>563</v>
      </c>
      <c r="E979" s="423">
        <v>791.5199384923618</v>
      </c>
      <c r="F979" s="423">
        <v>41.736855199733881</v>
      </c>
      <c r="G979" s="422">
        <v>1127293.370406809</v>
      </c>
      <c r="H979" s="417" t="s">
        <v>2616</v>
      </c>
      <c r="I979" s="417" t="s">
        <v>1392</v>
      </c>
      <c r="J979" s="417" t="s">
        <v>4138</v>
      </c>
      <c r="K979" s="417" t="s">
        <v>4324</v>
      </c>
      <c r="L979" s="417"/>
      <c r="M979" s="417" t="s">
        <v>28840</v>
      </c>
    </row>
    <row r="980" spans="1:13" x14ac:dyDescent="0.25">
      <c r="A980" s="417" t="s">
        <v>3385</v>
      </c>
      <c r="B980" s="417" t="s">
        <v>3405</v>
      </c>
      <c r="C980" s="417" t="s">
        <v>4325</v>
      </c>
      <c r="D980" s="417" t="s">
        <v>989</v>
      </c>
      <c r="E980" s="423">
        <v>6195.5150956978041</v>
      </c>
      <c r="F980" s="423">
        <v>211.04162783324949</v>
      </c>
      <c r="G980" s="422">
        <v>12326452.27693212</v>
      </c>
      <c r="H980" s="417" t="s">
        <v>2616</v>
      </c>
      <c r="I980" s="417" t="s">
        <v>1392</v>
      </c>
      <c r="J980" s="417" t="s">
        <v>4326</v>
      </c>
      <c r="K980" s="417" t="s">
        <v>4327</v>
      </c>
      <c r="L980" s="417"/>
      <c r="M980" s="417" t="s">
        <v>28840</v>
      </c>
    </row>
    <row r="981" spans="1:13" x14ac:dyDescent="0.25">
      <c r="A981" s="417" t="s">
        <v>3385</v>
      </c>
      <c r="B981" s="417" t="s">
        <v>3405</v>
      </c>
      <c r="C981" s="417" t="s">
        <v>4328</v>
      </c>
      <c r="D981" s="417" t="s">
        <v>4315</v>
      </c>
      <c r="E981" s="423">
        <v>20.649651814042461</v>
      </c>
      <c r="F981" s="423">
        <v>0.70340174556874313</v>
      </c>
      <c r="G981" s="422">
        <v>41084.065436227072</v>
      </c>
      <c r="H981" s="417" t="s">
        <v>2616</v>
      </c>
      <c r="I981" s="417" t="s">
        <v>1392</v>
      </c>
      <c r="J981" s="417" t="s">
        <v>4326</v>
      </c>
      <c r="K981" s="417" t="s">
        <v>4329</v>
      </c>
      <c r="L981" s="417"/>
      <c r="M981" s="417" t="s">
        <v>28840</v>
      </c>
    </row>
    <row r="982" spans="1:13" x14ac:dyDescent="0.25">
      <c r="A982" s="417" t="s">
        <v>3385</v>
      </c>
      <c r="B982" s="417" t="s">
        <v>3405</v>
      </c>
      <c r="C982" s="417" t="s">
        <v>4330</v>
      </c>
      <c r="D982" s="417" t="s">
        <v>563</v>
      </c>
      <c r="E982" s="423">
        <v>3.5104408083719409</v>
      </c>
      <c r="F982" s="423">
        <v>0.1195782967468506</v>
      </c>
      <c r="G982" s="422">
        <v>6984.2911246787426</v>
      </c>
      <c r="H982" s="417" t="s">
        <v>2616</v>
      </c>
      <c r="I982" s="417" t="s">
        <v>1392</v>
      </c>
      <c r="J982" s="417" t="s">
        <v>4326</v>
      </c>
      <c r="K982" s="417" t="s">
        <v>4331</v>
      </c>
      <c r="L982" s="417"/>
      <c r="M982" s="417" t="s">
        <v>28840</v>
      </c>
    </row>
    <row r="983" spans="1:13" x14ac:dyDescent="0.25">
      <c r="A983" s="417" t="s">
        <v>3385</v>
      </c>
      <c r="B983" s="417" t="s">
        <v>2627</v>
      </c>
      <c r="C983" s="417" t="s">
        <v>4332</v>
      </c>
      <c r="D983" s="417" t="s">
        <v>88</v>
      </c>
      <c r="E983" s="423">
        <v>0.65529826084128084</v>
      </c>
      <c r="F983" s="423">
        <v>3.3601410059855577E-2</v>
      </c>
      <c r="G983" s="422">
        <v>1828.0917228390931</v>
      </c>
      <c r="H983" s="417" t="s">
        <v>2616</v>
      </c>
      <c r="I983" s="417" t="s">
        <v>1392</v>
      </c>
      <c r="J983" s="417" t="s">
        <v>4333</v>
      </c>
      <c r="K983" s="417" t="s">
        <v>4334</v>
      </c>
      <c r="L983" s="417"/>
      <c r="M983" s="417" t="s">
        <v>28840</v>
      </c>
    </row>
    <row r="984" spans="1:13" x14ac:dyDescent="0.25">
      <c r="A984" s="417" t="s">
        <v>3385</v>
      </c>
      <c r="B984" s="417" t="s">
        <v>2627</v>
      </c>
      <c r="C984" s="417" t="s">
        <v>4335</v>
      </c>
      <c r="D984" s="417" t="s">
        <v>88</v>
      </c>
      <c r="E984" s="423">
        <v>1.5662784996906161</v>
      </c>
      <c r="F984" s="423">
        <v>8.5345280577128521E-2</v>
      </c>
      <c r="G984" s="422">
        <v>4017.4122647489021</v>
      </c>
      <c r="H984" s="417" t="s">
        <v>2616</v>
      </c>
      <c r="I984" s="417" t="s">
        <v>1392</v>
      </c>
      <c r="J984" s="417" t="s">
        <v>3742</v>
      </c>
      <c r="K984" s="417" t="s">
        <v>4336</v>
      </c>
      <c r="L984" s="417"/>
      <c r="M984" s="417" t="s">
        <v>28840</v>
      </c>
    </row>
    <row r="985" spans="1:13" x14ac:dyDescent="0.25">
      <c r="A985" s="417" t="s">
        <v>3385</v>
      </c>
      <c r="B985" s="417" t="s">
        <v>2627</v>
      </c>
      <c r="C985" s="417" t="s">
        <v>4337</v>
      </c>
      <c r="D985" s="417" t="s">
        <v>88</v>
      </c>
      <c r="E985" s="423">
        <v>11.031143395480701</v>
      </c>
      <c r="F985" s="423">
        <v>0.54062074089453549</v>
      </c>
      <c r="G985" s="422">
        <v>20648.902385661611</v>
      </c>
      <c r="H985" s="417" t="s">
        <v>2616</v>
      </c>
      <c r="I985" s="417" t="s">
        <v>1392</v>
      </c>
      <c r="J985" s="417" t="s">
        <v>3742</v>
      </c>
      <c r="K985" s="417" t="s">
        <v>4338</v>
      </c>
      <c r="L985" s="417"/>
      <c r="M985" s="417" t="s">
        <v>28840</v>
      </c>
    </row>
    <row r="986" spans="1:13" x14ac:dyDescent="0.25">
      <c r="A986" s="417" t="s">
        <v>3385</v>
      </c>
      <c r="B986" s="417" t="s">
        <v>2627</v>
      </c>
      <c r="C986" s="417" t="s">
        <v>4339</v>
      </c>
      <c r="D986" s="417" t="s">
        <v>88</v>
      </c>
      <c r="E986" s="423">
        <v>2.9296887494909081</v>
      </c>
      <c r="F986" s="423">
        <v>0.2077147455029536</v>
      </c>
      <c r="G986" s="422">
        <v>6802.1806333025834</v>
      </c>
      <c r="H986" s="417" t="s">
        <v>2616</v>
      </c>
      <c r="I986" s="417" t="s">
        <v>1392</v>
      </c>
      <c r="J986" s="417" t="s">
        <v>3742</v>
      </c>
      <c r="K986" s="417" t="s">
        <v>4340</v>
      </c>
      <c r="L986" s="417"/>
      <c r="M986" s="417" t="s">
        <v>28840</v>
      </c>
    </row>
    <row r="987" spans="1:13" x14ac:dyDescent="0.25">
      <c r="A987" s="417" t="s">
        <v>3385</v>
      </c>
      <c r="B987" s="417" t="s">
        <v>2437</v>
      </c>
      <c r="C987" s="417" t="s">
        <v>4341</v>
      </c>
      <c r="D987" s="417" t="s">
        <v>88</v>
      </c>
      <c r="E987" s="423">
        <v>0</v>
      </c>
      <c r="F987" s="423">
        <v>0</v>
      </c>
      <c r="G987" s="422">
        <v>412335.97434000002</v>
      </c>
      <c r="H987" s="417" t="s">
        <v>2616</v>
      </c>
      <c r="I987" s="417" t="s">
        <v>1392</v>
      </c>
      <c r="J987" s="417" t="s">
        <v>4342</v>
      </c>
      <c r="K987" s="417" t="s">
        <v>4343</v>
      </c>
      <c r="L987" s="417"/>
      <c r="M987" s="417" t="s">
        <v>28840</v>
      </c>
    </row>
    <row r="988" spans="1:13" x14ac:dyDescent="0.25">
      <c r="A988" s="417" t="s">
        <v>3385</v>
      </c>
      <c r="B988" s="417" t="s">
        <v>2437</v>
      </c>
      <c r="C988" s="417" t="s">
        <v>4344</v>
      </c>
      <c r="D988" s="417" t="s">
        <v>88</v>
      </c>
      <c r="E988" s="423">
        <v>0</v>
      </c>
      <c r="F988" s="423">
        <v>0</v>
      </c>
      <c r="G988" s="422">
        <v>412335.97434000002</v>
      </c>
      <c r="H988" s="417" t="s">
        <v>2616</v>
      </c>
      <c r="I988" s="417" t="s">
        <v>1392</v>
      </c>
      <c r="J988" s="417" t="s">
        <v>4342</v>
      </c>
      <c r="K988" s="417" t="s">
        <v>4345</v>
      </c>
      <c r="L988" s="417"/>
      <c r="M988" s="417" t="s">
        <v>28840</v>
      </c>
    </row>
    <row r="989" spans="1:13" x14ac:dyDescent="0.25">
      <c r="A989" s="417" t="s">
        <v>3385</v>
      </c>
      <c r="B989" s="417" t="s">
        <v>2627</v>
      </c>
      <c r="C989" s="417" t="s">
        <v>4346</v>
      </c>
      <c r="D989" s="417" t="s">
        <v>88</v>
      </c>
      <c r="E989" s="423">
        <v>16.22646923152822</v>
      </c>
      <c r="F989" s="423">
        <v>0.33939829405277971</v>
      </c>
      <c r="G989" s="422">
        <v>36628.621644374049</v>
      </c>
      <c r="H989" s="417" t="s">
        <v>2616</v>
      </c>
      <c r="I989" s="417" t="s">
        <v>1392</v>
      </c>
      <c r="J989" s="417" t="s">
        <v>4347</v>
      </c>
      <c r="K989" s="417" t="s">
        <v>4348</v>
      </c>
      <c r="L989" s="417"/>
      <c r="M989" s="417" t="s">
        <v>28840</v>
      </c>
    </row>
    <row r="990" spans="1:13" x14ac:dyDescent="0.25">
      <c r="A990" s="417" t="s">
        <v>3385</v>
      </c>
      <c r="B990" s="417" t="s">
        <v>2627</v>
      </c>
      <c r="C990" s="417" t="s">
        <v>4349</v>
      </c>
      <c r="D990" s="417" t="s">
        <v>88</v>
      </c>
      <c r="E990" s="423">
        <v>12.41557832775521</v>
      </c>
      <c r="F990" s="423">
        <v>0.24837492943642439</v>
      </c>
      <c r="G990" s="422">
        <v>26499.727887958881</v>
      </c>
      <c r="H990" s="417" t="s">
        <v>2616</v>
      </c>
      <c r="I990" s="417" t="s">
        <v>1392</v>
      </c>
      <c r="J990" s="417" t="s">
        <v>4347</v>
      </c>
      <c r="K990" s="417" t="s">
        <v>4350</v>
      </c>
      <c r="L990" s="417"/>
      <c r="M990" s="417" t="s">
        <v>28840</v>
      </c>
    </row>
    <row r="991" spans="1:13" x14ac:dyDescent="0.25">
      <c r="A991" s="417" t="s">
        <v>3385</v>
      </c>
      <c r="B991" s="417" t="s">
        <v>2627</v>
      </c>
      <c r="C991" s="417" t="s">
        <v>4351</v>
      </c>
      <c r="D991" s="417" t="s">
        <v>88</v>
      </c>
      <c r="E991" s="423">
        <v>2.4362156926068872</v>
      </c>
      <c r="F991" s="423">
        <v>0.10889177243863241</v>
      </c>
      <c r="G991" s="422">
        <v>27039.175949389341</v>
      </c>
      <c r="H991" s="417" t="s">
        <v>2616</v>
      </c>
      <c r="I991" s="417" t="s">
        <v>1392</v>
      </c>
      <c r="J991" s="417" t="s">
        <v>3627</v>
      </c>
      <c r="K991" s="417" t="s">
        <v>4352</v>
      </c>
      <c r="L991" s="417"/>
      <c r="M991" s="417" t="s">
        <v>28840</v>
      </c>
    </row>
    <row r="992" spans="1:13" x14ac:dyDescent="0.25">
      <c r="A992" s="417" t="s">
        <v>3385</v>
      </c>
      <c r="B992" s="417" t="s">
        <v>2627</v>
      </c>
      <c r="C992" s="417" t="s">
        <v>4353</v>
      </c>
      <c r="D992" s="417" t="s">
        <v>88</v>
      </c>
      <c r="E992" s="423">
        <v>2.4362156926068872</v>
      </c>
      <c r="F992" s="423">
        <v>0.10889177243863241</v>
      </c>
      <c r="G992" s="422">
        <v>25101.515949389341</v>
      </c>
      <c r="H992" s="417" t="s">
        <v>2616</v>
      </c>
      <c r="I992" s="417" t="s">
        <v>1392</v>
      </c>
      <c r="J992" s="417" t="s">
        <v>3627</v>
      </c>
      <c r="K992" s="417" t="s">
        <v>4354</v>
      </c>
      <c r="L992" s="417"/>
      <c r="M992" s="417" t="s">
        <v>28840</v>
      </c>
    </row>
    <row r="993" spans="1:13" x14ac:dyDescent="0.25">
      <c r="A993" s="417" t="s">
        <v>3385</v>
      </c>
      <c r="B993" s="417" t="s">
        <v>2627</v>
      </c>
      <c r="C993" s="417" t="s">
        <v>1090</v>
      </c>
      <c r="D993" s="417" t="s">
        <v>88</v>
      </c>
      <c r="E993" s="423">
        <v>2.1341032116752801</v>
      </c>
      <c r="F993" s="423">
        <v>7.7967127946326681E-2</v>
      </c>
      <c r="G993" s="422">
        <v>23572.801285287718</v>
      </c>
      <c r="H993" s="417" t="s">
        <v>2616</v>
      </c>
      <c r="I993" s="417" t="s">
        <v>28841</v>
      </c>
      <c r="J993" s="417" t="s">
        <v>3915</v>
      </c>
      <c r="K993" s="417" t="s">
        <v>4355</v>
      </c>
      <c r="L993" s="417"/>
      <c r="M993" s="417" t="s">
        <v>28840</v>
      </c>
    </row>
    <row r="994" spans="1:13" x14ac:dyDescent="0.25">
      <c r="A994" s="417" t="s">
        <v>3385</v>
      </c>
      <c r="B994" s="417" t="s">
        <v>2627</v>
      </c>
      <c r="C994" s="417" t="s">
        <v>4356</v>
      </c>
      <c r="D994" s="417" t="s">
        <v>88</v>
      </c>
      <c r="E994" s="423">
        <v>2.2787665504326919</v>
      </c>
      <c r="F994" s="423">
        <v>7.753932314439034E-2</v>
      </c>
      <c r="G994" s="422">
        <v>23939.333734056079</v>
      </c>
      <c r="H994" s="417" t="s">
        <v>2616</v>
      </c>
      <c r="I994" s="417" t="s">
        <v>1392</v>
      </c>
      <c r="J994" s="417" t="s">
        <v>3703</v>
      </c>
      <c r="K994" s="417" t="s">
        <v>4357</v>
      </c>
      <c r="L994" s="417"/>
      <c r="M994" s="417" t="s">
        <v>28840</v>
      </c>
    </row>
    <row r="995" spans="1:13" x14ac:dyDescent="0.25">
      <c r="A995" s="417" t="s">
        <v>3385</v>
      </c>
      <c r="B995" s="417" t="s">
        <v>2627</v>
      </c>
      <c r="C995" s="417" t="s">
        <v>895</v>
      </c>
      <c r="D995" s="417" t="s">
        <v>88</v>
      </c>
      <c r="E995" s="423">
        <v>0.23731168019925511</v>
      </c>
      <c r="F995" s="423">
        <v>3.4172850540185461E-3</v>
      </c>
      <c r="G995" s="422">
        <v>306.38681180036639</v>
      </c>
      <c r="H995" s="417" t="s">
        <v>2616</v>
      </c>
      <c r="I995" s="417" t="s">
        <v>28841</v>
      </c>
      <c r="J995" s="417" t="s">
        <v>4358</v>
      </c>
      <c r="K995" s="417" t="s">
        <v>4359</v>
      </c>
      <c r="L995" s="417"/>
      <c r="M995" s="417" t="s">
        <v>28840</v>
      </c>
    </row>
    <row r="996" spans="1:13" x14ac:dyDescent="0.25">
      <c r="A996" s="417" t="s">
        <v>3385</v>
      </c>
      <c r="B996" s="417" t="s">
        <v>2627</v>
      </c>
      <c r="C996" s="417" t="s">
        <v>4360</v>
      </c>
      <c r="D996" s="417" t="s">
        <v>88</v>
      </c>
      <c r="E996" s="423">
        <v>0.26974073924977632</v>
      </c>
      <c r="F996" s="423">
        <v>4.3268900960000002E-2</v>
      </c>
      <c r="G996" s="422">
        <v>377.85458101298639</v>
      </c>
      <c r="H996" s="417" t="s">
        <v>2616</v>
      </c>
      <c r="I996" s="417" t="s">
        <v>1392</v>
      </c>
      <c r="J996" s="417" t="s">
        <v>4361</v>
      </c>
      <c r="K996" s="417" t="s">
        <v>4362</v>
      </c>
      <c r="L996" s="417"/>
      <c r="M996" s="417" t="s">
        <v>28840</v>
      </c>
    </row>
    <row r="997" spans="1:13" x14ac:dyDescent="0.25">
      <c r="A997" s="417" t="s">
        <v>3385</v>
      </c>
      <c r="B997" s="417" t="s">
        <v>2623</v>
      </c>
      <c r="C997" s="417" t="s">
        <v>4363</v>
      </c>
      <c r="D997" s="417" t="s">
        <v>88</v>
      </c>
      <c r="E997" s="423">
        <v>7.5231530530749276E-3</v>
      </c>
      <c r="F997" s="423">
        <v>4.0187872088774548E-4</v>
      </c>
      <c r="G997" s="422">
        <v>26.74062650005191</v>
      </c>
      <c r="H997" s="417" t="s">
        <v>2616</v>
      </c>
      <c r="I997" s="417" t="s">
        <v>1392</v>
      </c>
      <c r="J997" s="417" t="s">
        <v>4364</v>
      </c>
      <c r="K997" s="417" t="s">
        <v>4365</v>
      </c>
      <c r="L997" s="417"/>
      <c r="M997" s="417" t="s">
        <v>28840</v>
      </c>
    </row>
    <row r="998" spans="1:13" x14ac:dyDescent="0.25">
      <c r="A998" s="417" t="s">
        <v>3385</v>
      </c>
      <c r="B998" s="417" t="s">
        <v>2627</v>
      </c>
      <c r="C998" s="417" t="s">
        <v>4366</v>
      </c>
      <c r="D998" s="417" t="s">
        <v>88</v>
      </c>
      <c r="E998" s="423">
        <v>0.25154392143598148</v>
      </c>
      <c r="F998" s="423">
        <v>4.8088925401079119E-3</v>
      </c>
      <c r="G998" s="422">
        <v>333.30473528178561</v>
      </c>
      <c r="H998" s="417" t="s">
        <v>2616</v>
      </c>
      <c r="I998" s="417" t="s">
        <v>1392</v>
      </c>
      <c r="J998" s="417" t="s">
        <v>3627</v>
      </c>
      <c r="K998" s="417" t="s">
        <v>4367</v>
      </c>
      <c r="L998" s="417"/>
      <c r="M998" s="417" t="s">
        <v>28840</v>
      </c>
    </row>
    <row r="999" spans="1:13" x14ac:dyDescent="0.25">
      <c r="A999" s="417" t="s">
        <v>3385</v>
      </c>
      <c r="B999" s="417" t="s">
        <v>2627</v>
      </c>
      <c r="C999" s="417" t="s">
        <v>4368</v>
      </c>
      <c r="D999" s="417" t="s">
        <v>88</v>
      </c>
      <c r="E999" s="423">
        <v>8.4259571935075286E-2</v>
      </c>
      <c r="F999" s="423">
        <v>5.0964913800000001E-3</v>
      </c>
      <c r="G999" s="422">
        <v>120.5762126159577</v>
      </c>
      <c r="H999" s="417" t="s">
        <v>2616</v>
      </c>
      <c r="I999" s="417" t="s">
        <v>1392</v>
      </c>
      <c r="J999" s="417" t="s">
        <v>4369</v>
      </c>
      <c r="K999" s="417" t="s">
        <v>4370</v>
      </c>
      <c r="L999" s="417"/>
      <c r="M999" s="417" t="s">
        <v>28840</v>
      </c>
    </row>
    <row r="1000" spans="1:13" x14ac:dyDescent="0.25">
      <c r="A1000" s="417" t="s">
        <v>3385</v>
      </c>
      <c r="B1000" s="417" t="s">
        <v>2627</v>
      </c>
      <c r="C1000" s="417" t="s">
        <v>4371</v>
      </c>
      <c r="D1000" s="417" t="s">
        <v>88</v>
      </c>
      <c r="E1000" s="423">
        <v>4.7717182143643164</v>
      </c>
      <c r="F1000" s="423">
        <v>7.0397827338762251E-2</v>
      </c>
      <c r="G1000" s="422">
        <v>6759.8113616778128</v>
      </c>
      <c r="H1000" s="417" t="s">
        <v>2616</v>
      </c>
      <c r="I1000" s="417" t="s">
        <v>1392</v>
      </c>
      <c r="J1000" s="417" t="s">
        <v>3749</v>
      </c>
      <c r="K1000" s="417" t="s">
        <v>4372</v>
      </c>
      <c r="L1000" s="417"/>
      <c r="M1000" s="417" t="s">
        <v>28840</v>
      </c>
    </row>
    <row r="1001" spans="1:13" x14ac:dyDescent="0.25">
      <c r="A1001" s="417" t="s">
        <v>3385</v>
      </c>
      <c r="B1001" s="417" t="s">
        <v>2627</v>
      </c>
      <c r="C1001" s="417" t="s">
        <v>1091</v>
      </c>
      <c r="D1001" s="417" t="s">
        <v>88</v>
      </c>
      <c r="E1001" s="423">
        <v>2.2446015952506149</v>
      </c>
      <c r="F1001" s="423">
        <v>0.120075646033344</v>
      </c>
      <c r="G1001" s="422">
        <v>24988.935467530799</v>
      </c>
      <c r="H1001" s="417" t="s">
        <v>2616</v>
      </c>
      <c r="I1001" s="417" t="s">
        <v>28841</v>
      </c>
      <c r="J1001" s="417" t="s">
        <v>3915</v>
      </c>
      <c r="K1001" s="417" t="s">
        <v>4373</v>
      </c>
      <c r="L1001" s="417"/>
      <c r="M1001" s="417" t="s">
        <v>28840</v>
      </c>
    </row>
    <row r="1002" spans="1:13" x14ac:dyDescent="0.25">
      <c r="A1002" s="417" t="s">
        <v>3385</v>
      </c>
      <c r="B1002" s="417" t="s">
        <v>2437</v>
      </c>
      <c r="C1002" s="417" t="s">
        <v>4374</v>
      </c>
      <c r="D1002" s="417" t="s">
        <v>989</v>
      </c>
      <c r="E1002" s="423">
        <v>195.51522806375431</v>
      </c>
      <c r="F1002" s="423">
        <v>12.53954525383798</v>
      </c>
      <c r="G1002" s="422">
        <v>448957.30074812192</v>
      </c>
      <c r="H1002" s="417" t="s">
        <v>2616</v>
      </c>
      <c r="I1002" s="417" t="s">
        <v>1392</v>
      </c>
      <c r="J1002" s="417" t="s">
        <v>4375</v>
      </c>
      <c r="K1002" s="417" t="s">
        <v>4376</v>
      </c>
      <c r="L1002" s="417"/>
      <c r="M1002" s="417" t="s">
        <v>28840</v>
      </c>
    </row>
    <row r="1003" spans="1:13" x14ac:dyDescent="0.25">
      <c r="A1003" s="417" t="s">
        <v>3385</v>
      </c>
      <c r="B1003" s="417" t="s">
        <v>2437</v>
      </c>
      <c r="C1003" s="417" t="s">
        <v>644</v>
      </c>
      <c r="D1003" s="417" t="s">
        <v>989</v>
      </c>
      <c r="E1003" s="423">
        <v>26961.860275586729</v>
      </c>
      <c r="F1003" s="423">
        <v>790.99682281965204</v>
      </c>
      <c r="G1003" s="422">
        <v>48530480.805671103</v>
      </c>
      <c r="H1003" s="417" t="s">
        <v>2616</v>
      </c>
      <c r="I1003" s="417"/>
      <c r="J1003" s="417" t="s">
        <v>2634</v>
      </c>
      <c r="K1003" s="417" t="s">
        <v>4377</v>
      </c>
      <c r="L1003" s="417"/>
      <c r="M1003" s="417" t="s">
        <v>28840</v>
      </c>
    </row>
    <row r="1004" spans="1:13" x14ac:dyDescent="0.25">
      <c r="A1004" s="417" t="s">
        <v>3385</v>
      </c>
      <c r="B1004" s="417" t="s">
        <v>2627</v>
      </c>
      <c r="C1004" s="417" t="s">
        <v>562</v>
      </c>
      <c r="D1004" s="417" t="s">
        <v>563</v>
      </c>
      <c r="E1004" s="423">
        <v>274.77194846264558</v>
      </c>
      <c r="F1004" s="423">
        <v>88.343743818287876</v>
      </c>
      <c r="G1004" s="422">
        <v>622243.20742321026</v>
      </c>
      <c r="H1004" s="417" t="s">
        <v>2616</v>
      </c>
      <c r="I1004" s="417" t="s">
        <v>28985</v>
      </c>
      <c r="J1004" s="417" t="s">
        <v>4378</v>
      </c>
      <c r="K1004" s="417" t="s">
        <v>4379</v>
      </c>
      <c r="L1004" s="417"/>
      <c r="M1004" s="417" t="s">
        <v>28840</v>
      </c>
    </row>
    <row r="1005" spans="1:13" x14ac:dyDescent="0.25">
      <c r="A1005" s="417" t="s">
        <v>3385</v>
      </c>
      <c r="B1005" s="417" t="s">
        <v>2627</v>
      </c>
      <c r="C1005" s="417" t="s">
        <v>4380</v>
      </c>
      <c r="D1005" s="417" t="s">
        <v>563</v>
      </c>
      <c r="E1005" s="423">
        <v>288.0721408271657</v>
      </c>
      <c r="F1005" s="423">
        <v>30.530543041559479</v>
      </c>
      <c r="G1005" s="422">
        <v>639706.17913046654</v>
      </c>
      <c r="H1005" s="417" t="s">
        <v>2616</v>
      </c>
      <c r="I1005" s="417" t="s">
        <v>1392</v>
      </c>
      <c r="J1005" s="417" t="s">
        <v>4378</v>
      </c>
      <c r="K1005" s="417" t="s">
        <v>4381</v>
      </c>
      <c r="L1005" s="417"/>
      <c r="M1005" s="417" t="s">
        <v>28840</v>
      </c>
    </row>
    <row r="1006" spans="1:13" x14ac:dyDescent="0.25">
      <c r="A1006" s="417" t="s">
        <v>3385</v>
      </c>
      <c r="B1006" s="417" t="s">
        <v>2627</v>
      </c>
      <c r="C1006" s="417" t="s">
        <v>4382</v>
      </c>
      <c r="D1006" s="417" t="s">
        <v>563</v>
      </c>
      <c r="E1006" s="423">
        <v>243.7381663173966</v>
      </c>
      <c r="F1006" s="423">
        <v>223.2412122974647</v>
      </c>
      <c r="G1006" s="422">
        <v>581496.27347895328</v>
      </c>
      <c r="H1006" s="417" t="s">
        <v>2616</v>
      </c>
      <c r="I1006" s="417" t="s">
        <v>1392</v>
      </c>
      <c r="J1006" s="417" t="s">
        <v>4378</v>
      </c>
      <c r="K1006" s="417" t="s">
        <v>4383</v>
      </c>
      <c r="L1006" s="417"/>
      <c r="M1006" s="417" t="s">
        <v>28840</v>
      </c>
    </row>
    <row r="1007" spans="1:13" x14ac:dyDescent="0.25">
      <c r="A1007" s="417" t="s">
        <v>3385</v>
      </c>
      <c r="B1007" s="417" t="s">
        <v>2627</v>
      </c>
      <c r="C1007" s="417" t="s">
        <v>559</v>
      </c>
      <c r="D1007" s="417" t="s">
        <v>83</v>
      </c>
      <c r="E1007" s="423">
        <v>165.73898364301621</v>
      </c>
      <c r="F1007" s="423">
        <v>57.702667006886813</v>
      </c>
      <c r="G1007" s="422">
        <v>476744.7339698362</v>
      </c>
      <c r="H1007" s="417" t="s">
        <v>2616</v>
      </c>
      <c r="I1007" s="417" t="s">
        <v>28985</v>
      </c>
      <c r="J1007" s="417" t="s">
        <v>4378</v>
      </c>
      <c r="K1007" s="417" t="s">
        <v>4384</v>
      </c>
      <c r="L1007" s="417"/>
      <c r="M1007" s="417" t="s">
        <v>28840</v>
      </c>
    </row>
    <row r="1008" spans="1:13" x14ac:dyDescent="0.25">
      <c r="A1008" s="417" t="s">
        <v>3385</v>
      </c>
      <c r="B1008" s="417" t="s">
        <v>2623</v>
      </c>
      <c r="C1008" s="417" t="s">
        <v>4385</v>
      </c>
      <c r="D1008" s="417" t="s">
        <v>88</v>
      </c>
      <c r="E1008" s="423">
        <v>0.46987419606669761</v>
      </c>
      <c r="F1008" s="423">
        <v>1.239592172620269</v>
      </c>
      <c r="G1008" s="422">
        <v>524.15073132204577</v>
      </c>
      <c r="H1008" s="417" t="s">
        <v>2616</v>
      </c>
      <c r="I1008" s="417" t="s">
        <v>1392</v>
      </c>
      <c r="J1008" s="417" t="s">
        <v>4364</v>
      </c>
      <c r="K1008" s="417" t="s">
        <v>4386</v>
      </c>
      <c r="L1008" s="417"/>
      <c r="M1008" s="417" t="s">
        <v>28840</v>
      </c>
    </row>
    <row r="1009" spans="1:13" x14ac:dyDescent="0.25">
      <c r="A1009" s="417" t="s">
        <v>3385</v>
      </c>
      <c r="B1009" s="417" t="s">
        <v>2627</v>
      </c>
      <c r="C1009" s="417" t="s">
        <v>4387</v>
      </c>
      <c r="D1009" s="417" t="s">
        <v>88</v>
      </c>
      <c r="E1009" s="423">
        <v>3.1684059650364152E-2</v>
      </c>
      <c r="F1009" s="423">
        <v>2.099866063108715E-3</v>
      </c>
      <c r="G1009" s="422">
        <v>114.1073892566813</v>
      </c>
      <c r="H1009" s="417" t="s">
        <v>2616</v>
      </c>
      <c r="I1009" s="417" t="s">
        <v>1392</v>
      </c>
      <c r="J1009" s="417" t="s">
        <v>4016</v>
      </c>
      <c r="K1009" s="417" t="s">
        <v>4388</v>
      </c>
      <c r="L1009" s="417"/>
      <c r="M1009" s="417" t="s">
        <v>28840</v>
      </c>
    </row>
    <row r="1010" spans="1:13" x14ac:dyDescent="0.25">
      <c r="A1010" s="417" t="s">
        <v>3385</v>
      </c>
      <c r="B1010" s="417" t="s">
        <v>2627</v>
      </c>
      <c r="C1010" s="417" t="s">
        <v>4389</v>
      </c>
      <c r="D1010" s="417" t="s">
        <v>88</v>
      </c>
      <c r="E1010" s="423">
        <v>5.0446051251231881E-2</v>
      </c>
      <c r="F1010" s="423">
        <v>3.2058077952324768E-3</v>
      </c>
      <c r="G1010" s="422">
        <v>152.15149031846011</v>
      </c>
      <c r="H1010" s="417" t="s">
        <v>2616</v>
      </c>
      <c r="I1010" s="417" t="s">
        <v>1392</v>
      </c>
      <c r="J1010" s="417" t="s">
        <v>4016</v>
      </c>
      <c r="K1010" s="417" t="s">
        <v>4390</v>
      </c>
      <c r="L1010" s="417"/>
      <c r="M1010" s="417" t="s">
        <v>28840</v>
      </c>
    </row>
    <row r="1011" spans="1:13" x14ac:dyDescent="0.25">
      <c r="A1011" s="417" t="s">
        <v>3385</v>
      </c>
      <c r="B1011" s="417" t="s">
        <v>2627</v>
      </c>
      <c r="C1011" s="417" t="s">
        <v>4391</v>
      </c>
      <c r="D1011" s="417" t="s">
        <v>88</v>
      </c>
      <c r="E1011" s="423">
        <v>4.4785907976721599E-2</v>
      </c>
      <c r="F1011" s="423">
        <v>2.7563802737981678E-3</v>
      </c>
      <c r="G1011" s="422">
        <v>140.68996581950111</v>
      </c>
      <c r="H1011" s="417" t="s">
        <v>2616</v>
      </c>
      <c r="I1011" s="417" t="s">
        <v>1392</v>
      </c>
      <c r="J1011" s="417" t="s">
        <v>4016</v>
      </c>
      <c r="K1011" s="417" t="s">
        <v>4392</v>
      </c>
      <c r="L1011" s="417"/>
      <c r="M1011" s="417" t="s">
        <v>28840</v>
      </c>
    </row>
    <row r="1012" spans="1:13" x14ac:dyDescent="0.25">
      <c r="A1012" s="417" t="s">
        <v>3385</v>
      </c>
      <c r="B1012" s="417" t="s">
        <v>2437</v>
      </c>
      <c r="C1012" s="417" t="s">
        <v>4393</v>
      </c>
      <c r="D1012" s="417" t="s">
        <v>989</v>
      </c>
      <c r="E1012" s="423">
        <v>4.0095671585730569E-3</v>
      </c>
      <c r="F1012" s="423">
        <v>9.4090193547431651E-5</v>
      </c>
      <c r="G1012" s="422">
        <v>11.31783687863893</v>
      </c>
      <c r="H1012" s="417" t="s">
        <v>2616</v>
      </c>
      <c r="I1012" s="417" t="s">
        <v>1392</v>
      </c>
      <c r="J1012" s="417" t="s">
        <v>4394</v>
      </c>
      <c r="K1012" s="417" t="s">
        <v>4395</v>
      </c>
      <c r="L1012" s="417"/>
      <c r="M1012" s="417" t="s">
        <v>28840</v>
      </c>
    </row>
    <row r="1013" spans="1:13" x14ac:dyDescent="0.25">
      <c r="A1013" s="417" t="s">
        <v>3385</v>
      </c>
      <c r="B1013" s="417" t="s">
        <v>2437</v>
      </c>
      <c r="C1013" s="417" t="s">
        <v>4396</v>
      </c>
      <c r="D1013" s="417" t="s">
        <v>989</v>
      </c>
      <c r="E1013" s="423">
        <v>4.0067635438483908E-3</v>
      </c>
      <c r="F1013" s="423">
        <v>2.4779311600087108E-4</v>
      </c>
      <c r="G1013" s="422">
        <v>11.94530835698162</v>
      </c>
      <c r="H1013" s="417" t="s">
        <v>2616</v>
      </c>
      <c r="I1013" s="417" t="s">
        <v>1392</v>
      </c>
      <c r="J1013" s="417" t="s">
        <v>4394</v>
      </c>
      <c r="K1013" s="417" t="s">
        <v>4397</v>
      </c>
      <c r="L1013" s="417"/>
      <c r="M1013" s="417" t="s">
        <v>28840</v>
      </c>
    </row>
    <row r="1014" spans="1:13" x14ac:dyDescent="0.25">
      <c r="A1014" s="417" t="s">
        <v>3385</v>
      </c>
      <c r="B1014" s="417" t="s">
        <v>2627</v>
      </c>
      <c r="C1014" s="417" t="s">
        <v>4398</v>
      </c>
      <c r="D1014" s="417" t="s">
        <v>88</v>
      </c>
      <c r="E1014" s="423">
        <v>0.42909266965644149</v>
      </c>
      <c r="F1014" s="423">
        <v>1.2357883310000001E-4</v>
      </c>
      <c r="G1014" s="422">
        <v>488.58788644306372</v>
      </c>
      <c r="H1014" s="417" t="s">
        <v>2616</v>
      </c>
      <c r="I1014" s="417" t="s">
        <v>1392</v>
      </c>
      <c r="J1014" s="417" t="s">
        <v>4399</v>
      </c>
      <c r="K1014" s="417" t="s">
        <v>4400</v>
      </c>
      <c r="L1014" s="417"/>
      <c r="M1014" s="417" t="s">
        <v>28840</v>
      </c>
    </row>
    <row r="1015" spans="1:13" x14ac:dyDescent="0.25">
      <c r="A1015" s="417" t="s">
        <v>3385</v>
      </c>
      <c r="B1015" s="417" t="s">
        <v>2437</v>
      </c>
      <c r="C1015" s="417" t="s">
        <v>4401</v>
      </c>
      <c r="D1015" s="417" t="s">
        <v>989</v>
      </c>
      <c r="E1015" s="423">
        <v>30592.958532604331</v>
      </c>
      <c r="F1015" s="423">
        <v>889.67727446926165</v>
      </c>
      <c r="G1015" s="422">
        <v>65694976.10606613</v>
      </c>
      <c r="H1015" s="417" t="s">
        <v>2616</v>
      </c>
      <c r="I1015" s="417" t="s">
        <v>1392</v>
      </c>
      <c r="J1015" s="417" t="s">
        <v>2638</v>
      </c>
      <c r="K1015" s="417" t="s">
        <v>4402</v>
      </c>
      <c r="L1015" s="417"/>
      <c r="M1015" s="417" t="s">
        <v>28840</v>
      </c>
    </row>
    <row r="1016" spans="1:13" x14ac:dyDescent="0.25">
      <c r="A1016" s="417" t="s">
        <v>3385</v>
      </c>
      <c r="B1016" s="417" t="s">
        <v>2627</v>
      </c>
      <c r="C1016" s="417" t="s">
        <v>4403</v>
      </c>
      <c r="D1016" s="417" t="s">
        <v>88</v>
      </c>
      <c r="E1016" s="423">
        <v>1.1940955507799</v>
      </c>
      <c r="F1016" s="423">
        <v>3.277421906029851E-3</v>
      </c>
      <c r="G1016" s="422">
        <v>1921.9936627567531</v>
      </c>
      <c r="H1016" s="417" t="s">
        <v>2616</v>
      </c>
      <c r="I1016" s="417" t="s">
        <v>1392</v>
      </c>
      <c r="J1016" s="417" t="s">
        <v>3396</v>
      </c>
      <c r="K1016" s="417" t="s">
        <v>4404</v>
      </c>
      <c r="L1016" s="417"/>
      <c r="M1016" s="417" t="s">
        <v>28840</v>
      </c>
    </row>
    <row r="1017" spans="1:13" x14ac:dyDescent="0.25">
      <c r="A1017" s="417" t="s">
        <v>3385</v>
      </c>
      <c r="B1017" s="417" t="s">
        <v>2627</v>
      </c>
      <c r="C1017" s="417" t="s">
        <v>4405</v>
      </c>
      <c r="D1017" s="417" t="s">
        <v>88</v>
      </c>
      <c r="E1017" s="423">
        <v>4.2962234311375012</v>
      </c>
      <c r="F1017" s="423">
        <v>9.7635679803183884E-2</v>
      </c>
      <c r="G1017" s="422">
        <v>6397.6460973608064</v>
      </c>
      <c r="H1017" s="417" t="s">
        <v>2616</v>
      </c>
      <c r="I1017" s="417" t="s">
        <v>1392</v>
      </c>
      <c r="J1017" s="417" t="s">
        <v>3396</v>
      </c>
      <c r="K1017" s="417" t="s">
        <v>4406</v>
      </c>
      <c r="L1017" s="417"/>
      <c r="M1017" s="417" t="s">
        <v>28840</v>
      </c>
    </row>
    <row r="1018" spans="1:13" x14ac:dyDescent="0.25">
      <c r="A1018" s="417" t="s">
        <v>3385</v>
      </c>
      <c r="B1018" s="417" t="s">
        <v>2627</v>
      </c>
      <c r="C1018" s="417" t="s">
        <v>4407</v>
      </c>
      <c r="D1018" s="417" t="s">
        <v>88</v>
      </c>
      <c r="E1018" s="423">
        <v>1.600184106114918</v>
      </c>
      <c r="F1018" s="423">
        <v>4.8623386704419371E-3</v>
      </c>
      <c r="G1018" s="422">
        <v>2340.4546769460981</v>
      </c>
      <c r="H1018" s="417" t="s">
        <v>2616</v>
      </c>
      <c r="I1018" s="417" t="s">
        <v>1392</v>
      </c>
      <c r="J1018" s="417" t="s">
        <v>3396</v>
      </c>
      <c r="K1018" s="417" t="s">
        <v>4408</v>
      </c>
      <c r="L1018" s="417"/>
      <c r="M1018" s="417" t="s">
        <v>28840</v>
      </c>
    </row>
    <row r="1019" spans="1:13" x14ac:dyDescent="0.25">
      <c r="A1019" s="417" t="s">
        <v>3385</v>
      </c>
      <c r="B1019" s="417" t="s">
        <v>2627</v>
      </c>
      <c r="C1019" s="417" t="s">
        <v>4409</v>
      </c>
      <c r="D1019" s="417" t="s">
        <v>88</v>
      </c>
      <c r="E1019" s="423">
        <v>4.4547084432805644</v>
      </c>
      <c r="F1019" s="423">
        <v>4.4206198716442123E-2</v>
      </c>
      <c r="G1019" s="422">
        <v>6435.8282688908312</v>
      </c>
      <c r="H1019" s="417" t="s">
        <v>2616</v>
      </c>
      <c r="I1019" s="417" t="s">
        <v>1392</v>
      </c>
      <c r="J1019" s="417" t="s">
        <v>3396</v>
      </c>
      <c r="K1019" s="417" t="s">
        <v>4410</v>
      </c>
      <c r="L1019" s="417"/>
      <c r="M1019" s="417" t="s">
        <v>28840</v>
      </c>
    </row>
    <row r="1020" spans="1:13" x14ac:dyDescent="0.25">
      <c r="A1020" s="417" t="s">
        <v>3385</v>
      </c>
      <c r="B1020" s="417" t="s">
        <v>2627</v>
      </c>
      <c r="C1020" s="417" t="s">
        <v>4411</v>
      </c>
      <c r="D1020" s="417" t="s">
        <v>88</v>
      </c>
      <c r="E1020" s="423">
        <v>3.201867728273867</v>
      </c>
      <c r="F1020" s="423">
        <v>7.7832486378264926E-2</v>
      </c>
      <c r="G1020" s="422">
        <v>4892.3647753147216</v>
      </c>
      <c r="H1020" s="417" t="s">
        <v>2616</v>
      </c>
      <c r="I1020" s="417" t="s">
        <v>1392</v>
      </c>
      <c r="J1020" s="417" t="s">
        <v>3396</v>
      </c>
      <c r="K1020" s="417" t="s">
        <v>4412</v>
      </c>
      <c r="L1020" s="417"/>
      <c r="M1020" s="417" t="s">
        <v>28840</v>
      </c>
    </row>
    <row r="1021" spans="1:13" x14ac:dyDescent="0.25">
      <c r="A1021" s="417" t="s">
        <v>3385</v>
      </c>
      <c r="B1021" s="417" t="s">
        <v>2437</v>
      </c>
      <c r="C1021" s="417" t="s">
        <v>4413</v>
      </c>
      <c r="D1021" s="417" t="s">
        <v>88</v>
      </c>
      <c r="E1021" s="423">
        <v>3.256149357414257</v>
      </c>
      <c r="F1021" s="423">
        <v>0.16593026995845081</v>
      </c>
      <c r="G1021" s="422">
        <v>6260.3069609753093</v>
      </c>
      <c r="H1021" s="417" t="s">
        <v>2616</v>
      </c>
      <c r="I1021" s="417" t="s">
        <v>1392</v>
      </c>
      <c r="J1021" s="417" t="s">
        <v>4414</v>
      </c>
      <c r="K1021" s="417" t="s">
        <v>4415</v>
      </c>
      <c r="L1021" s="417"/>
      <c r="M1021" s="417" t="s">
        <v>28840</v>
      </c>
    </row>
    <row r="1022" spans="1:13" x14ac:dyDescent="0.25">
      <c r="A1022" s="417" t="s">
        <v>3385</v>
      </c>
      <c r="B1022" s="417" t="s">
        <v>3405</v>
      </c>
      <c r="C1022" s="417" t="s">
        <v>4416</v>
      </c>
      <c r="D1022" s="417" t="s">
        <v>563</v>
      </c>
      <c r="E1022" s="423">
        <v>17.545999999999999</v>
      </c>
      <c r="F1022" s="423">
        <v>0</v>
      </c>
      <c r="G1022" s="422">
        <v>21162.212</v>
      </c>
      <c r="H1022" s="417" t="s">
        <v>2616</v>
      </c>
      <c r="I1022" s="417" t="s">
        <v>1392</v>
      </c>
      <c r="J1022" s="417" t="s">
        <v>4417</v>
      </c>
      <c r="K1022" s="417" t="s">
        <v>4418</v>
      </c>
      <c r="L1022" s="417"/>
      <c r="M1022" s="417" t="s">
        <v>28840</v>
      </c>
    </row>
    <row r="1023" spans="1:13" x14ac:dyDescent="0.25">
      <c r="A1023" s="417" t="s">
        <v>3385</v>
      </c>
      <c r="B1023" s="417" t="s">
        <v>2437</v>
      </c>
      <c r="C1023" s="417" t="s">
        <v>4419</v>
      </c>
      <c r="D1023" s="417" t="s">
        <v>989</v>
      </c>
      <c r="E1023" s="423">
        <v>478267.51388786553</v>
      </c>
      <c r="F1023" s="423">
        <v>77735.461922697621</v>
      </c>
      <c r="G1023" s="422">
        <v>1141474620.947531</v>
      </c>
      <c r="H1023" s="417" t="s">
        <v>2616</v>
      </c>
      <c r="I1023" s="417" t="s">
        <v>1392</v>
      </c>
      <c r="J1023" s="417" t="s">
        <v>4420</v>
      </c>
      <c r="K1023" s="417" t="s">
        <v>4421</v>
      </c>
      <c r="L1023" s="417"/>
      <c r="M1023" s="417" t="s">
        <v>28840</v>
      </c>
    </row>
    <row r="1024" spans="1:13" x14ac:dyDescent="0.25">
      <c r="A1024" s="417" t="s">
        <v>3385</v>
      </c>
      <c r="B1024" s="417" t="s">
        <v>2437</v>
      </c>
      <c r="C1024" s="417" t="s">
        <v>4422</v>
      </c>
      <c r="D1024" s="417" t="s">
        <v>989</v>
      </c>
      <c r="E1024" s="423">
        <v>5093.6338793983341</v>
      </c>
      <c r="F1024" s="423">
        <v>349.19059886282531</v>
      </c>
      <c r="G1024" s="422">
        <v>13074030.53983717</v>
      </c>
      <c r="H1024" s="417" t="s">
        <v>2616</v>
      </c>
      <c r="I1024" s="417" t="s">
        <v>1392</v>
      </c>
      <c r="J1024" s="417" t="s">
        <v>4420</v>
      </c>
      <c r="K1024" s="417" t="s">
        <v>4423</v>
      </c>
      <c r="L1024" s="417"/>
      <c r="M1024" s="417" t="s">
        <v>28840</v>
      </c>
    </row>
    <row r="1025" spans="1:13" x14ac:dyDescent="0.25">
      <c r="A1025" s="417" t="s">
        <v>3385</v>
      </c>
      <c r="B1025" s="417" t="s">
        <v>2627</v>
      </c>
      <c r="C1025" s="417" t="s">
        <v>4424</v>
      </c>
      <c r="D1025" s="417" t="s">
        <v>989</v>
      </c>
      <c r="E1025" s="423">
        <v>23914.715388289838</v>
      </c>
      <c r="F1025" s="423">
        <v>698.64536574542694</v>
      </c>
      <c r="G1025" s="422">
        <v>53279694.260038123</v>
      </c>
      <c r="H1025" s="417" t="s">
        <v>2616</v>
      </c>
      <c r="I1025" s="417" t="s">
        <v>1392</v>
      </c>
      <c r="J1025" s="417" t="s">
        <v>4016</v>
      </c>
      <c r="K1025" s="417" t="s">
        <v>4425</v>
      </c>
      <c r="L1025" s="417"/>
      <c r="M1025" s="417" t="s">
        <v>28840</v>
      </c>
    </row>
    <row r="1026" spans="1:13" x14ac:dyDescent="0.25">
      <c r="A1026" s="417" t="s">
        <v>3385</v>
      </c>
      <c r="B1026" s="417" t="s">
        <v>2627</v>
      </c>
      <c r="C1026" s="417" t="s">
        <v>4426</v>
      </c>
      <c r="D1026" s="417" t="s">
        <v>4427</v>
      </c>
      <c r="E1026" s="423">
        <v>129.8378522051263</v>
      </c>
      <c r="F1026" s="423">
        <v>3.3764626253246681</v>
      </c>
      <c r="G1026" s="422">
        <v>188224.1782020164</v>
      </c>
      <c r="H1026" s="417" t="s">
        <v>2616</v>
      </c>
      <c r="I1026" s="417" t="s">
        <v>1392</v>
      </c>
      <c r="J1026" s="417" t="s">
        <v>4016</v>
      </c>
      <c r="K1026" s="417" t="s">
        <v>4428</v>
      </c>
      <c r="L1026" s="417"/>
      <c r="M1026" s="417" t="s">
        <v>28840</v>
      </c>
    </row>
    <row r="1027" spans="1:13" x14ac:dyDescent="0.25">
      <c r="A1027" s="417" t="s">
        <v>3385</v>
      </c>
      <c r="B1027" s="417" t="s">
        <v>2627</v>
      </c>
      <c r="C1027" s="417" t="s">
        <v>4429</v>
      </c>
      <c r="D1027" s="417" t="s">
        <v>4427</v>
      </c>
      <c r="E1027" s="423">
        <v>64.652071305192223</v>
      </c>
      <c r="F1027" s="423">
        <v>1.751098369082829</v>
      </c>
      <c r="G1027" s="422">
        <v>91165.066607603498</v>
      </c>
      <c r="H1027" s="417" t="s">
        <v>2616</v>
      </c>
      <c r="I1027" s="417" t="s">
        <v>1392</v>
      </c>
      <c r="J1027" s="417" t="s">
        <v>4016</v>
      </c>
      <c r="K1027" s="417" t="s">
        <v>4430</v>
      </c>
      <c r="L1027" s="417"/>
      <c r="M1027" s="417" t="s">
        <v>28840</v>
      </c>
    </row>
    <row r="1028" spans="1:13" x14ac:dyDescent="0.25">
      <c r="A1028" s="417" t="s">
        <v>3385</v>
      </c>
      <c r="B1028" s="417" t="s">
        <v>2627</v>
      </c>
      <c r="C1028" s="417" t="s">
        <v>4431</v>
      </c>
      <c r="D1028" s="417" t="s">
        <v>4427</v>
      </c>
      <c r="E1028" s="423">
        <v>22.386148137009009</v>
      </c>
      <c r="F1028" s="423">
        <v>0.70922215066804895</v>
      </c>
      <c r="G1028" s="422">
        <v>33134.564823608547</v>
      </c>
      <c r="H1028" s="417" t="s">
        <v>2616</v>
      </c>
      <c r="I1028" s="417" t="s">
        <v>1392</v>
      </c>
      <c r="J1028" s="417" t="s">
        <v>4016</v>
      </c>
      <c r="K1028" s="417" t="s">
        <v>4432</v>
      </c>
      <c r="L1028" s="417"/>
      <c r="M1028" s="417" t="s">
        <v>28840</v>
      </c>
    </row>
    <row r="1029" spans="1:13" x14ac:dyDescent="0.25">
      <c r="A1029" s="417" t="s">
        <v>3385</v>
      </c>
      <c r="B1029" s="417" t="s">
        <v>2627</v>
      </c>
      <c r="C1029" s="417" t="s">
        <v>4433</v>
      </c>
      <c r="D1029" s="417" t="s">
        <v>4315</v>
      </c>
      <c r="E1029" s="423">
        <v>0.34209028762378929</v>
      </c>
      <c r="F1029" s="423">
        <v>3.7161374398206853E-2</v>
      </c>
      <c r="G1029" s="422">
        <v>2208.866316341253</v>
      </c>
      <c r="H1029" s="417" t="s">
        <v>2616</v>
      </c>
      <c r="I1029" s="417" t="s">
        <v>1392</v>
      </c>
      <c r="J1029" s="417" t="s">
        <v>3699</v>
      </c>
      <c r="K1029" s="417" t="s">
        <v>4434</v>
      </c>
      <c r="L1029" s="417"/>
      <c r="M1029" s="417" t="s">
        <v>28840</v>
      </c>
    </row>
    <row r="1030" spans="1:13" x14ac:dyDescent="0.25">
      <c r="A1030" s="417" t="s">
        <v>3385</v>
      </c>
      <c r="B1030" s="417" t="s">
        <v>2627</v>
      </c>
      <c r="C1030" s="417" t="s">
        <v>4435</v>
      </c>
      <c r="D1030" s="417" t="s">
        <v>4315</v>
      </c>
      <c r="E1030" s="423">
        <v>0.18113767500707659</v>
      </c>
      <c r="F1030" s="423">
        <v>7.6258606883107261E-3</v>
      </c>
      <c r="G1030" s="422">
        <v>1544.7669379380411</v>
      </c>
      <c r="H1030" s="417" t="s">
        <v>2616</v>
      </c>
      <c r="I1030" s="417" t="s">
        <v>1392</v>
      </c>
      <c r="J1030" s="417" t="s">
        <v>3699</v>
      </c>
      <c r="K1030" s="417" t="s">
        <v>4436</v>
      </c>
      <c r="L1030" s="417"/>
      <c r="M1030" s="417" t="s">
        <v>28840</v>
      </c>
    </row>
    <row r="1031" spans="1:13" x14ac:dyDescent="0.25">
      <c r="A1031" s="417" t="s">
        <v>3385</v>
      </c>
      <c r="B1031" s="417" t="s">
        <v>2627</v>
      </c>
      <c r="C1031" s="417" t="s">
        <v>4437</v>
      </c>
      <c r="D1031" s="417" t="s">
        <v>4315</v>
      </c>
      <c r="E1031" s="423">
        <v>0.41753818611836602</v>
      </c>
      <c r="F1031" s="423">
        <v>2.4761864968171631E-2</v>
      </c>
      <c r="G1031" s="422">
        <v>2921.855125292378</v>
      </c>
      <c r="H1031" s="417" t="s">
        <v>2616</v>
      </c>
      <c r="I1031" s="417" t="s">
        <v>1392</v>
      </c>
      <c r="J1031" s="417" t="s">
        <v>3699</v>
      </c>
      <c r="K1031" s="417" t="s">
        <v>4438</v>
      </c>
      <c r="L1031" s="417"/>
      <c r="M1031" s="417" t="s">
        <v>28840</v>
      </c>
    </row>
    <row r="1032" spans="1:13" x14ac:dyDescent="0.25">
      <c r="A1032" s="417" t="s">
        <v>3385</v>
      </c>
      <c r="B1032" s="417" t="s">
        <v>2627</v>
      </c>
      <c r="C1032" s="417" t="s">
        <v>4439</v>
      </c>
      <c r="D1032" s="417" t="s">
        <v>4315</v>
      </c>
      <c r="E1032" s="423">
        <v>0.35189003521688572</v>
      </c>
      <c r="F1032" s="423">
        <v>3.9267053227353327E-2</v>
      </c>
      <c r="G1032" s="422">
        <v>2235.205809302709</v>
      </c>
      <c r="H1032" s="417" t="s">
        <v>2616</v>
      </c>
      <c r="I1032" s="417" t="s">
        <v>1392</v>
      </c>
      <c r="J1032" s="417" t="s">
        <v>3699</v>
      </c>
      <c r="K1032" s="417" t="s">
        <v>4440</v>
      </c>
      <c r="L1032" s="417"/>
      <c r="M1032" s="417" t="s">
        <v>28840</v>
      </c>
    </row>
    <row r="1033" spans="1:13" x14ac:dyDescent="0.25">
      <c r="A1033" s="417" t="s">
        <v>3385</v>
      </c>
      <c r="B1033" s="417" t="s">
        <v>2627</v>
      </c>
      <c r="C1033" s="417" t="s">
        <v>4441</v>
      </c>
      <c r="D1033" s="417" t="s">
        <v>88</v>
      </c>
      <c r="E1033" s="423">
        <v>8.5887775616733677</v>
      </c>
      <c r="F1033" s="423">
        <v>0.5771068635257709</v>
      </c>
      <c r="G1033" s="422">
        <v>40183.807314678394</v>
      </c>
      <c r="H1033" s="417" t="s">
        <v>2616</v>
      </c>
      <c r="I1033" s="417" t="s">
        <v>1392</v>
      </c>
      <c r="J1033" s="417" t="s">
        <v>3699</v>
      </c>
      <c r="K1033" s="417" t="s">
        <v>4442</v>
      </c>
      <c r="L1033" s="417"/>
      <c r="M1033" s="417" t="s">
        <v>28840</v>
      </c>
    </row>
    <row r="1034" spans="1:13" x14ac:dyDescent="0.25">
      <c r="A1034" s="417" t="s">
        <v>3385</v>
      </c>
      <c r="B1034" s="417" t="s">
        <v>2627</v>
      </c>
      <c r="C1034" s="417" t="s">
        <v>4443</v>
      </c>
      <c r="D1034" s="417" t="s">
        <v>4315</v>
      </c>
      <c r="E1034" s="423">
        <v>2.91534238196527</v>
      </c>
      <c r="F1034" s="423">
        <v>0.14480666239654291</v>
      </c>
      <c r="G1034" s="422">
        <v>44035.559340954918</v>
      </c>
      <c r="H1034" s="417" t="s">
        <v>2616</v>
      </c>
      <c r="I1034" s="417" t="s">
        <v>1392</v>
      </c>
      <c r="J1034" s="417" t="s">
        <v>3699</v>
      </c>
      <c r="K1034" s="417" t="s">
        <v>4444</v>
      </c>
      <c r="L1034" s="417"/>
      <c r="M1034" s="417" t="s">
        <v>28840</v>
      </c>
    </row>
    <row r="1035" spans="1:13" x14ac:dyDescent="0.25">
      <c r="A1035" s="417" t="s">
        <v>3385</v>
      </c>
      <c r="B1035" s="417" t="s">
        <v>2437</v>
      </c>
      <c r="C1035" s="417" t="s">
        <v>4445</v>
      </c>
      <c r="D1035" s="417" t="s">
        <v>989</v>
      </c>
      <c r="E1035" s="423">
        <v>261.34618553757753</v>
      </c>
      <c r="F1035" s="423">
        <v>27.76352187885373</v>
      </c>
      <c r="G1035" s="422">
        <v>2530544.2015681802</v>
      </c>
      <c r="H1035" s="417" t="s">
        <v>2616</v>
      </c>
      <c r="I1035" s="417" t="s">
        <v>1392</v>
      </c>
      <c r="J1035" s="417" t="s">
        <v>4167</v>
      </c>
      <c r="K1035" s="417" t="s">
        <v>4446</v>
      </c>
      <c r="L1035" s="417"/>
      <c r="M1035" s="417" t="s">
        <v>28840</v>
      </c>
    </row>
    <row r="1036" spans="1:13" x14ac:dyDescent="0.25">
      <c r="A1036" s="417" t="s">
        <v>3385</v>
      </c>
      <c r="B1036" s="417" t="s">
        <v>2627</v>
      </c>
      <c r="C1036" s="417" t="s">
        <v>4447</v>
      </c>
      <c r="D1036" s="417" t="s">
        <v>88</v>
      </c>
      <c r="E1036" s="423">
        <v>1.721787154113086</v>
      </c>
      <c r="F1036" s="423">
        <v>9.6499093253625087E-2</v>
      </c>
      <c r="G1036" s="422">
        <v>352481.92048345652</v>
      </c>
      <c r="H1036" s="417" t="s">
        <v>2616</v>
      </c>
      <c r="I1036" s="417" t="s">
        <v>1392</v>
      </c>
      <c r="J1036" s="417" t="s">
        <v>3915</v>
      </c>
      <c r="K1036" s="417" t="s">
        <v>4448</v>
      </c>
      <c r="L1036" s="417"/>
      <c r="M1036" s="417" t="s">
        <v>28840</v>
      </c>
    </row>
    <row r="1037" spans="1:13" x14ac:dyDescent="0.25">
      <c r="A1037" s="417" t="s">
        <v>3385</v>
      </c>
      <c r="B1037" s="417" t="s">
        <v>2627</v>
      </c>
      <c r="C1037" s="417" t="s">
        <v>4449</v>
      </c>
      <c r="D1037" s="417" t="s">
        <v>88</v>
      </c>
      <c r="E1037" s="423">
        <v>0</v>
      </c>
      <c r="F1037" s="423">
        <v>0</v>
      </c>
      <c r="G1037" s="422">
        <v>240813.54</v>
      </c>
      <c r="H1037" s="417" t="s">
        <v>2616</v>
      </c>
      <c r="I1037" s="417" t="s">
        <v>1392</v>
      </c>
      <c r="J1037" s="417" t="s">
        <v>3772</v>
      </c>
      <c r="K1037" s="417" t="s">
        <v>4450</v>
      </c>
      <c r="L1037" s="417"/>
      <c r="M1037" s="417" t="s">
        <v>28840</v>
      </c>
    </row>
    <row r="1038" spans="1:13" x14ac:dyDescent="0.25">
      <c r="A1038" s="417" t="s">
        <v>3385</v>
      </c>
      <c r="B1038" s="417" t="s">
        <v>2623</v>
      </c>
      <c r="C1038" s="417" t="s">
        <v>4451</v>
      </c>
      <c r="D1038" s="417" t="s">
        <v>88</v>
      </c>
      <c r="E1038" s="423">
        <v>9.2475163673160929E-2</v>
      </c>
      <c r="F1038" s="423">
        <v>1.013462261963957E-2</v>
      </c>
      <c r="G1038" s="422">
        <v>185.77137142957841</v>
      </c>
      <c r="H1038" s="417" t="s">
        <v>2616</v>
      </c>
      <c r="I1038" s="417" t="s">
        <v>1392</v>
      </c>
      <c r="J1038" s="417" t="s">
        <v>2624</v>
      </c>
      <c r="K1038" s="417" t="s">
        <v>4452</v>
      </c>
      <c r="L1038" s="417"/>
      <c r="M1038" s="417" t="s">
        <v>28840</v>
      </c>
    </row>
    <row r="1039" spans="1:13" x14ac:dyDescent="0.25">
      <c r="A1039" s="417" t="s">
        <v>3385</v>
      </c>
      <c r="B1039" s="417" t="s">
        <v>2627</v>
      </c>
      <c r="C1039" s="417" t="s">
        <v>4453</v>
      </c>
      <c r="D1039" s="417" t="s">
        <v>88</v>
      </c>
      <c r="E1039" s="423">
        <v>2.4420146424222611</v>
      </c>
      <c r="F1039" s="423">
        <v>0.14236916280583731</v>
      </c>
      <c r="G1039" s="422">
        <v>470982.70901112148</v>
      </c>
      <c r="H1039" s="417" t="s">
        <v>2616</v>
      </c>
      <c r="I1039" s="417" t="s">
        <v>1392</v>
      </c>
      <c r="J1039" s="417" t="s">
        <v>3915</v>
      </c>
      <c r="K1039" s="417" t="s">
        <v>4454</v>
      </c>
      <c r="L1039" s="417"/>
      <c r="M1039" s="417" t="s">
        <v>28840</v>
      </c>
    </row>
    <row r="1040" spans="1:13" x14ac:dyDescent="0.25">
      <c r="A1040" s="417" t="s">
        <v>3385</v>
      </c>
      <c r="B1040" s="417" t="s">
        <v>2627</v>
      </c>
      <c r="C1040" s="417" t="s">
        <v>4455</v>
      </c>
      <c r="D1040" s="417" t="s">
        <v>88</v>
      </c>
      <c r="E1040" s="423">
        <v>8.8705637017100631</v>
      </c>
      <c r="F1040" s="423">
        <v>0.42912275832580993</v>
      </c>
      <c r="G1040" s="422">
        <v>383979.12870906782</v>
      </c>
      <c r="H1040" s="417" t="s">
        <v>2616</v>
      </c>
      <c r="I1040" s="417" t="s">
        <v>1392</v>
      </c>
      <c r="J1040" s="417" t="s">
        <v>3915</v>
      </c>
      <c r="K1040" s="417" t="s">
        <v>4456</v>
      </c>
      <c r="L1040" s="417"/>
      <c r="M1040" s="417" t="s">
        <v>28840</v>
      </c>
    </row>
    <row r="1041" spans="1:13" x14ac:dyDescent="0.25">
      <c r="A1041" s="417" t="s">
        <v>3385</v>
      </c>
      <c r="B1041" s="417" t="s">
        <v>2627</v>
      </c>
      <c r="C1041" s="417" t="s">
        <v>4457</v>
      </c>
      <c r="D1041" s="417" t="s">
        <v>88</v>
      </c>
      <c r="E1041" s="423">
        <v>0.47252376893015441</v>
      </c>
      <c r="F1041" s="423">
        <v>5.8181116838902619E-2</v>
      </c>
      <c r="G1041" s="422">
        <v>541028.47427093284</v>
      </c>
      <c r="H1041" s="417" t="s">
        <v>2616</v>
      </c>
      <c r="I1041" s="417" t="s">
        <v>1392</v>
      </c>
      <c r="J1041" s="417" t="s">
        <v>3915</v>
      </c>
      <c r="K1041" s="417" t="s">
        <v>4458</v>
      </c>
      <c r="L1041" s="417"/>
      <c r="M1041" s="417" t="s">
        <v>28840</v>
      </c>
    </row>
    <row r="1042" spans="1:13" x14ac:dyDescent="0.25">
      <c r="A1042" s="417" t="s">
        <v>3385</v>
      </c>
      <c r="B1042" s="417" t="s">
        <v>2627</v>
      </c>
      <c r="C1042" s="417" t="s">
        <v>1092</v>
      </c>
      <c r="D1042" s="417" t="s">
        <v>88</v>
      </c>
      <c r="E1042" s="423">
        <v>2.1805573804608742</v>
      </c>
      <c r="F1042" s="423">
        <v>0.1026813158542936</v>
      </c>
      <c r="G1042" s="422">
        <v>544161.51102727104</v>
      </c>
      <c r="H1042" s="417" t="s">
        <v>2616</v>
      </c>
      <c r="I1042" s="417" t="s">
        <v>28841</v>
      </c>
      <c r="J1042" s="417" t="s">
        <v>3915</v>
      </c>
      <c r="K1042" s="417" t="s">
        <v>4459</v>
      </c>
      <c r="L1042" s="417"/>
      <c r="M1042" s="417" t="s">
        <v>28840</v>
      </c>
    </row>
    <row r="1043" spans="1:13" x14ac:dyDescent="0.25">
      <c r="A1043" s="417" t="s">
        <v>3385</v>
      </c>
      <c r="B1043" s="417" t="s">
        <v>2627</v>
      </c>
      <c r="C1043" s="417" t="s">
        <v>4460</v>
      </c>
      <c r="D1043" s="417" t="s">
        <v>88</v>
      </c>
      <c r="E1043" s="423">
        <v>2.6001332206873201E-3</v>
      </c>
      <c r="F1043" s="423">
        <v>7.0237747746325604E-5</v>
      </c>
      <c r="G1043" s="422">
        <v>11.867569520457501</v>
      </c>
      <c r="H1043" s="417" t="s">
        <v>2616</v>
      </c>
      <c r="I1043" s="417" t="s">
        <v>1392</v>
      </c>
      <c r="J1043" s="417" t="s">
        <v>3742</v>
      </c>
      <c r="K1043" s="417" t="s">
        <v>4461</v>
      </c>
      <c r="L1043" s="417"/>
      <c r="M1043" s="417" t="s">
        <v>28840</v>
      </c>
    </row>
    <row r="1044" spans="1:13" x14ac:dyDescent="0.25">
      <c r="A1044" s="417" t="s">
        <v>3385</v>
      </c>
      <c r="B1044" s="417" t="s">
        <v>2627</v>
      </c>
      <c r="C1044" s="417" t="s">
        <v>4462</v>
      </c>
      <c r="D1044" s="417" t="s">
        <v>88</v>
      </c>
      <c r="E1044" s="423">
        <v>8.2905971619243495</v>
      </c>
      <c r="F1044" s="423">
        <v>6.9532826461886105E-2</v>
      </c>
      <c r="G1044" s="422">
        <v>10668.497517682919</v>
      </c>
      <c r="H1044" s="417" t="s">
        <v>2616</v>
      </c>
      <c r="I1044" s="417" t="s">
        <v>1392</v>
      </c>
      <c r="J1044" s="417" t="s">
        <v>3825</v>
      </c>
      <c r="K1044" s="417" t="s">
        <v>4463</v>
      </c>
      <c r="L1044" s="417"/>
      <c r="M1044" s="417" t="s">
        <v>28840</v>
      </c>
    </row>
    <row r="1045" spans="1:13" x14ac:dyDescent="0.25">
      <c r="A1045" s="417" t="s">
        <v>3385</v>
      </c>
      <c r="B1045" s="417" t="s">
        <v>2627</v>
      </c>
      <c r="C1045" s="417" t="s">
        <v>4464</v>
      </c>
      <c r="D1045" s="417" t="s">
        <v>88</v>
      </c>
      <c r="E1045" s="423">
        <v>8.135702117949202E-2</v>
      </c>
      <c r="F1045" s="423">
        <v>2.7728449347228382E-3</v>
      </c>
      <c r="G1045" s="422">
        <v>418.93718791024162</v>
      </c>
      <c r="H1045" s="417" t="s">
        <v>2616</v>
      </c>
      <c r="I1045" s="417" t="s">
        <v>1392</v>
      </c>
      <c r="J1045" s="417" t="s">
        <v>3742</v>
      </c>
      <c r="K1045" s="417" t="s">
        <v>4465</v>
      </c>
      <c r="L1045" s="417"/>
      <c r="M1045" s="417" t="s">
        <v>28840</v>
      </c>
    </row>
    <row r="1046" spans="1:13" x14ac:dyDescent="0.25">
      <c r="A1046" s="417" t="s">
        <v>3385</v>
      </c>
      <c r="B1046" s="417" t="s">
        <v>2627</v>
      </c>
      <c r="C1046" s="417" t="s">
        <v>4466</v>
      </c>
      <c r="D1046" s="417" t="s">
        <v>88</v>
      </c>
      <c r="E1046" s="423">
        <v>2.4229158939009241</v>
      </c>
      <c r="F1046" s="423">
        <v>0.12650295313135049</v>
      </c>
      <c r="G1046" s="422">
        <v>4786.108943163933</v>
      </c>
      <c r="H1046" s="417" t="s">
        <v>2616</v>
      </c>
      <c r="I1046" s="417" t="s">
        <v>1392</v>
      </c>
      <c r="J1046" s="417" t="s">
        <v>3742</v>
      </c>
      <c r="K1046" s="417" t="s">
        <v>4467</v>
      </c>
      <c r="L1046" s="417"/>
      <c r="M1046" s="417" t="s">
        <v>28840</v>
      </c>
    </row>
    <row r="1047" spans="1:13" x14ac:dyDescent="0.25">
      <c r="A1047" s="417" t="s">
        <v>3385</v>
      </c>
      <c r="B1047" s="417" t="s">
        <v>2627</v>
      </c>
      <c r="C1047" s="417" t="s">
        <v>4468</v>
      </c>
      <c r="D1047" s="417" t="s">
        <v>88</v>
      </c>
      <c r="E1047" s="423">
        <v>0.80515020008938987</v>
      </c>
      <c r="F1047" s="423">
        <v>4.120487495173035E-2</v>
      </c>
      <c r="G1047" s="422">
        <v>1353.279157142844</v>
      </c>
      <c r="H1047" s="417" t="s">
        <v>2616</v>
      </c>
      <c r="I1047" s="417" t="s">
        <v>1392</v>
      </c>
      <c r="J1047" s="417" t="s">
        <v>3742</v>
      </c>
      <c r="K1047" s="417" t="s">
        <v>4469</v>
      </c>
      <c r="L1047" s="417"/>
      <c r="M1047" s="417" t="s">
        <v>28840</v>
      </c>
    </row>
    <row r="1048" spans="1:13" x14ac:dyDescent="0.25">
      <c r="A1048" s="417" t="s">
        <v>3385</v>
      </c>
      <c r="B1048" s="417" t="s">
        <v>2627</v>
      </c>
      <c r="C1048" s="417" t="s">
        <v>938</v>
      </c>
      <c r="D1048" s="417" t="s">
        <v>88</v>
      </c>
      <c r="E1048" s="423">
        <v>0.82979563394513622</v>
      </c>
      <c r="F1048" s="423">
        <v>4.3374148077507883E-2</v>
      </c>
      <c r="G1048" s="422">
        <v>1407.382197888335</v>
      </c>
      <c r="H1048" s="417" t="s">
        <v>2616</v>
      </c>
      <c r="I1048" s="417" t="s">
        <v>28841</v>
      </c>
      <c r="J1048" s="417" t="s">
        <v>3742</v>
      </c>
      <c r="K1048" s="417" t="s">
        <v>4470</v>
      </c>
      <c r="L1048" s="417"/>
      <c r="M1048" s="417" t="s">
        <v>28840</v>
      </c>
    </row>
    <row r="1049" spans="1:13" x14ac:dyDescent="0.25">
      <c r="A1049" s="417" t="s">
        <v>3385</v>
      </c>
      <c r="B1049" s="417" t="s">
        <v>2627</v>
      </c>
      <c r="C1049" s="417" t="s">
        <v>1047</v>
      </c>
      <c r="D1049" s="417" t="s">
        <v>88</v>
      </c>
      <c r="E1049" s="423">
        <v>4.0045068028684012</v>
      </c>
      <c r="F1049" s="423">
        <v>7.5074867493588424E-2</v>
      </c>
      <c r="G1049" s="422">
        <v>5948.1577889146301</v>
      </c>
      <c r="H1049" s="417" t="s">
        <v>2616</v>
      </c>
      <c r="I1049" s="417" t="s">
        <v>28841</v>
      </c>
      <c r="J1049" s="417" t="s">
        <v>3825</v>
      </c>
      <c r="K1049" s="417" t="s">
        <v>4471</v>
      </c>
      <c r="L1049" s="417"/>
      <c r="M1049" s="417" t="s">
        <v>28840</v>
      </c>
    </row>
    <row r="1050" spans="1:13" x14ac:dyDescent="0.25">
      <c r="A1050" s="417" t="s">
        <v>3385</v>
      </c>
      <c r="B1050" s="417" t="s">
        <v>3655</v>
      </c>
      <c r="C1050" s="417" t="s">
        <v>4472</v>
      </c>
      <c r="D1050" s="417" t="s">
        <v>88</v>
      </c>
      <c r="E1050" s="423">
        <v>0.2622058227587114</v>
      </c>
      <c r="F1050" s="423">
        <v>3.4148296515608571E-2</v>
      </c>
      <c r="G1050" s="422">
        <v>485.29233594358078</v>
      </c>
      <c r="H1050" s="417" t="s">
        <v>2616</v>
      </c>
      <c r="I1050" s="417" t="s">
        <v>1392</v>
      </c>
      <c r="J1050" s="417" t="s">
        <v>4473</v>
      </c>
      <c r="K1050" s="417" t="s">
        <v>4474</v>
      </c>
      <c r="L1050" s="417"/>
      <c r="M1050" s="417" t="s">
        <v>28840</v>
      </c>
    </row>
    <row r="1051" spans="1:13" x14ac:dyDescent="0.25">
      <c r="A1051" s="417" t="s">
        <v>3385</v>
      </c>
      <c r="B1051" s="417" t="s">
        <v>2437</v>
      </c>
      <c r="C1051" s="417" t="s">
        <v>4475</v>
      </c>
      <c r="D1051" s="417" t="s">
        <v>4476</v>
      </c>
      <c r="E1051" s="423">
        <v>53.51270114776834</v>
      </c>
      <c r="F1051" s="423">
        <v>2.9859876446142648</v>
      </c>
      <c r="G1051" s="422">
        <v>84380.025065325564</v>
      </c>
      <c r="H1051" s="417" t="s">
        <v>2616</v>
      </c>
      <c r="I1051" s="417" t="s">
        <v>1392</v>
      </c>
      <c r="J1051" s="417" t="s">
        <v>4009</v>
      </c>
      <c r="K1051" s="417" t="s">
        <v>4477</v>
      </c>
      <c r="L1051" s="417"/>
      <c r="M1051" s="417" t="s">
        <v>28840</v>
      </c>
    </row>
    <row r="1052" spans="1:13" x14ac:dyDescent="0.25">
      <c r="A1052" s="417" t="s">
        <v>3385</v>
      </c>
      <c r="B1052" s="417" t="s">
        <v>3655</v>
      </c>
      <c r="C1052" s="417" t="s">
        <v>4478</v>
      </c>
      <c r="D1052" s="417" t="s">
        <v>88</v>
      </c>
      <c r="E1052" s="423">
        <v>7.8537940546029764E-2</v>
      </c>
      <c r="F1052" s="423">
        <v>1.7770901531940411E-2</v>
      </c>
      <c r="G1052" s="422">
        <v>363.58986158792879</v>
      </c>
      <c r="H1052" s="417" t="s">
        <v>2616</v>
      </c>
      <c r="I1052" s="417" t="s">
        <v>1392</v>
      </c>
      <c r="J1052" s="417" t="s">
        <v>4479</v>
      </c>
      <c r="K1052" s="417" t="s">
        <v>4480</v>
      </c>
      <c r="L1052" s="417"/>
      <c r="M1052" s="417" t="s">
        <v>28840</v>
      </c>
    </row>
    <row r="1053" spans="1:13" x14ac:dyDescent="0.25">
      <c r="A1053" s="417" t="s">
        <v>3385</v>
      </c>
      <c r="B1053" s="417" t="s">
        <v>2627</v>
      </c>
      <c r="C1053" s="417" t="s">
        <v>4481</v>
      </c>
      <c r="D1053" s="417" t="s">
        <v>88</v>
      </c>
      <c r="E1053" s="423">
        <v>43.180610073676263</v>
      </c>
      <c r="F1053" s="423">
        <v>1.907780465470085</v>
      </c>
      <c r="G1053" s="422">
        <v>111984.785250931</v>
      </c>
      <c r="H1053" s="417" t="s">
        <v>2616</v>
      </c>
      <c r="I1053" s="417" t="s">
        <v>1392</v>
      </c>
      <c r="J1053" s="417" t="s">
        <v>3899</v>
      </c>
      <c r="K1053" s="417" t="s">
        <v>4482</v>
      </c>
      <c r="L1053" s="417"/>
      <c r="M1053" s="417" t="s">
        <v>28840</v>
      </c>
    </row>
    <row r="1054" spans="1:13" x14ac:dyDescent="0.25">
      <c r="A1054" s="417" t="s">
        <v>3385</v>
      </c>
      <c r="B1054" s="417" t="s">
        <v>2627</v>
      </c>
      <c r="C1054" s="417" t="s">
        <v>4483</v>
      </c>
      <c r="D1054" s="417" t="s">
        <v>88</v>
      </c>
      <c r="E1054" s="423">
        <v>40.214252913055908</v>
      </c>
      <c r="F1054" s="423">
        <v>1.911904144369666</v>
      </c>
      <c r="G1054" s="422">
        <v>72338.108149695763</v>
      </c>
      <c r="H1054" s="417" t="s">
        <v>2616</v>
      </c>
      <c r="I1054" s="417" t="s">
        <v>1392</v>
      </c>
      <c r="J1054" s="417" t="s">
        <v>3899</v>
      </c>
      <c r="K1054" s="417" t="s">
        <v>4484</v>
      </c>
      <c r="L1054" s="417"/>
      <c r="M1054" s="417" t="s">
        <v>28840</v>
      </c>
    </row>
    <row r="1055" spans="1:13" x14ac:dyDescent="0.25">
      <c r="A1055" s="417" t="s">
        <v>3385</v>
      </c>
      <c r="B1055" s="417" t="s">
        <v>2627</v>
      </c>
      <c r="C1055" s="417" t="s">
        <v>4485</v>
      </c>
      <c r="D1055" s="417" t="s">
        <v>88</v>
      </c>
      <c r="E1055" s="423">
        <v>43.299139157284429</v>
      </c>
      <c r="F1055" s="423">
        <v>1.8567558107161719</v>
      </c>
      <c r="G1055" s="422">
        <v>167869.5214732649</v>
      </c>
      <c r="H1055" s="417" t="s">
        <v>2616</v>
      </c>
      <c r="I1055" s="417" t="s">
        <v>1392</v>
      </c>
      <c r="J1055" s="417" t="s">
        <v>3899</v>
      </c>
      <c r="K1055" s="417" t="s">
        <v>4486</v>
      </c>
      <c r="L1055" s="417"/>
      <c r="M1055" s="417" t="s">
        <v>28840</v>
      </c>
    </row>
    <row r="1056" spans="1:13" x14ac:dyDescent="0.25">
      <c r="A1056" s="417" t="s">
        <v>3385</v>
      </c>
      <c r="B1056" s="417" t="s">
        <v>2627</v>
      </c>
      <c r="C1056" s="417" t="s">
        <v>4487</v>
      </c>
      <c r="D1056" s="417" t="s">
        <v>88</v>
      </c>
      <c r="E1056" s="423">
        <v>50.756230866431302</v>
      </c>
      <c r="F1056" s="423">
        <v>2.4003129482230978</v>
      </c>
      <c r="G1056" s="422">
        <v>449681.93225165782</v>
      </c>
      <c r="H1056" s="417" t="s">
        <v>2616</v>
      </c>
      <c r="I1056" s="417" t="s">
        <v>1392</v>
      </c>
      <c r="J1056" s="417" t="s">
        <v>3899</v>
      </c>
      <c r="K1056" s="417" t="s">
        <v>4488</v>
      </c>
      <c r="L1056" s="417"/>
      <c r="M1056" s="417" t="s">
        <v>28840</v>
      </c>
    </row>
    <row r="1057" spans="1:13" x14ac:dyDescent="0.25">
      <c r="A1057" s="417" t="s">
        <v>3385</v>
      </c>
      <c r="B1057" s="417" t="s">
        <v>2627</v>
      </c>
      <c r="C1057" s="417" t="s">
        <v>4489</v>
      </c>
      <c r="D1057" s="417" t="s">
        <v>88</v>
      </c>
      <c r="E1057" s="423">
        <v>161.7649159448481</v>
      </c>
      <c r="F1057" s="423">
        <v>10.43764106603544</v>
      </c>
      <c r="G1057" s="422">
        <v>399472.90317133191</v>
      </c>
      <c r="H1057" s="417" t="s">
        <v>2616</v>
      </c>
      <c r="I1057" s="417" t="s">
        <v>1392</v>
      </c>
      <c r="J1057" s="417" t="s">
        <v>3899</v>
      </c>
      <c r="K1057" s="417" t="s">
        <v>4490</v>
      </c>
      <c r="L1057" s="417"/>
      <c r="M1057" s="417" t="s">
        <v>28840</v>
      </c>
    </row>
    <row r="1058" spans="1:13" x14ac:dyDescent="0.25">
      <c r="A1058" s="417" t="s">
        <v>3385</v>
      </c>
      <c r="B1058" s="417" t="s">
        <v>2627</v>
      </c>
      <c r="C1058" s="417" t="s">
        <v>4491</v>
      </c>
      <c r="D1058" s="417" t="s">
        <v>88</v>
      </c>
      <c r="E1058" s="423">
        <v>46.416599981050943</v>
      </c>
      <c r="F1058" s="423">
        <v>2.115718238369686</v>
      </c>
      <c r="G1058" s="422">
        <v>240344.74431066721</v>
      </c>
      <c r="H1058" s="417" t="s">
        <v>2616</v>
      </c>
      <c r="I1058" s="417" t="s">
        <v>1392</v>
      </c>
      <c r="J1058" s="417" t="s">
        <v>3899</v>
      </c>
      <c r="K1058" s="417" t="s">
        <v>4492</v>
      </c>
      <c r="L1058" s="417"/>
      <c r="M1058" s="417" t="s">
        <v>28840</v>
      </c>
    </row>
    <row r="1059" spans="1:13" x14ac:dyDescent="0.25">
      <c r="A1059" s="417" t="s">
        <v>3385</v>
      </c>
      <c r="B1059" s="417" t="s">
        <v>2627</v>
      </c>
      <c r="C1059" s="417" t="s">
        <v>4493</v>
      </c>
      <c r="D1059" s="417" t="s">
        <v>88</v>
      </c>
      <c r="E1059" s="423">
        <v>3.317003721068303</v>
      </c>
      <c r="F1059" s="423">
        <v>2.7303163272992651E-2</v>
      </c>
      <c r="G1059" s="422">
        <v>4968.4687147198511</v>
      </c>
      <c r="H1059" s="417" t="s">
        <v>2616</v>
      </c>
      <c r="I1059" s="417" t="s">
        <v>1392</v>
      </c>
      <c r="J1059" s="417" t="s">
        <v>3396</v>
      </c>
      <c r="K1059" s="417" t="s">
        <v>4494</v>
      </c>
      <c r="L1059" s="417"/>
      <c r="M1059" s="417" t="s">
        <v>28840</v>
      </c>
    </row>
    <row r="1060" spans="1:13" x14ac:dyDescent="0.25">
      <c r="A1060" s="417" t="s">
        <v>3385</v>
      </c>
      <c r="B1060" s="417" t="s">
        <v>2627</v>
      </c>
      <c r="C1060" s="417" t="s">
        <v>4495</v>
      </c>
      <c r="D1060" s="417" t="s">
        <v>88</v>
      </c>
      <c r="E1060" s="423">
        <v>1.1336455035079299E-2</v>
      </c>
      <c r="F1060" s="423">
        <v>2.6013247851234111E-3</v>
      </c>
      <c r="G1060" s="422">
        <v>53.550412651262413</v>
      </c>
      <c r="H1060" s="417" t="s">
        <v>2616</v>
      </c>
      <c r="I1060" s="417" t="s">
        <v>1392</v>
      </c>
      <c r="J1060" s="417" t="s">
        <v>4190</v>
      </c>
      <c r="K1060" s="417" t="s">
        <v>4496</v>
      </c>
      <c r="L1060" s="417"/>
      <c r="M1060" s="417" t="s">
        <v>28840</v>
      </c>
    </row>
    <row r="1061" spans="1:13" x14ac:dyDescent="0.25">
      <c r="A1061" s="417" t="s">
        <v>3385</v>
      </c>
      <c r="B1061" s="417" t="s">
        <v>2627</v>
      </c>
      <c r="C1061" s="417" t="s">
        <v>952</v>
      </c>
      <c r="D1061" s="417" t="s">
        <v>88</v>
      </c>
      <c r="E1061" s="423">
        <v>0.78120068569288292</v>
      </c>
      <c r="F1061" s="423">
        <v>2.125085133866535E-2</v>
      </c>
      <c r="G1061" s="422">
        <v>1251.5017741612351</v>
      </c>
      <c r="H1061" s="417" t="s">
        <v>2616</v>
      </c>
      <c r="I1061" s="417" t="s">
        <v>28841</v>
      </c>
      <c r="J1061" s="417" t="s">
        <v>3932</v>
      </c>
      <c r="K1061" s="417" t="s">
        <v>4497</v>
      </c>
      <c r="L1061" s="417"/>
      <c r="M1061" s="417" t="s">
        <v>28840</v>
      </c>
    </row>
    <row r="1062" spans="1:13" x14ac:dyDescent="0.25">
      <c r="A1062" s="417" t="s">
        <v>3385</v>
      </c>
      <c r="B1062" s="417" t="s">
        <v>2627</v>
      </c>
      <c r="C1062" s="417" t="s">
        <v>4498</v>
      </c>
      <c r="D1062" s="417" t="s">
        <v>88</v>
      </c>
      <c r="E1062" s="423">
        <v>2.7292991712633192E-3</v>
      </c>
      <c r="F1062" s="423">
        <v>4.0805153552847068E-4</v>
      </c>
      <c r="G1062" s="422">
        <v>10.00642948216273</v>
      </c>
      <c r="H1062" s="417" t="s">
        <v>2616</v>
      </c>
      <c r="I1062" s="417" t="s">
        <v>1392</v>
      </c>
      <c r="J1062" s="417" t="s">
        <v>3932</v>
      </c>
      <c r="K1062" s="417" t="s">
        <v>4499</v>
      </c>
      <c r="L1062" s="417"/>
      <c r="M1062" s="417" t="s">
        <v>28840</v>
      </c>
    </row>
    <row r="1063" spans="1:13" x14ac:dyDescent="0.25">
      <c r="A1063" s="417" t="s">
        <v>3385</v>
      </c>
      <c r="B1063" s="417" t="s">
        <v>2627</v>
      </c>
      <c r="C1063" s="417" t="s">
        <v>4500</v>
      </c>
      <c r="D1063" s="417" t="s">
        <v>88</v>
      </c>
      <c r="E1063" s="423">
        <v>0.48950168825812618</v>
      </c>
      <c r="F1063" s="423">
        <v>1.5473609051780369E-2</v>
      </c>
      <c r="G1063" s="422">
        <v>640.69462135248841</v>
      </c>
      <c r="H1063" s="417" t="s">
        <v>2616</v>
      </c>
      <c r="I1063" s="417" t="s">
        <v>1392</v>
      </c>
      <c r="J1063" s="417" t="s">
        <v>4190</v>
      </c>
      <c r="K1063" s="417" t="s">
        <v>4501</v>
      </c>
      <c r="L1063" s="417"/>
      <c r="M1063" s="417" t="s">
        <v>28840</v>
      </c>
    </row>
    <row r="1064" spans="1:13" x14ac:dyDescent="0.25">
      <c r="A1064" s="417" t="s">
        <v>3385</v>
      </c>
      <c r="B1064" s="417" t="s">
        <v>2627</v>
      </c>
      <c r="C1064" s="417" t="s">
        <v>4502</v>
      </c>
      <c r="D1064" s="417" t="s">
        <v>88</v>
      </c>
      <c r="E1064" s="423">
        <v>0.3874685236050977</v>
      </c>
      <c r="F1064" s="423">
        <v>8.5356530940323503E-3</v>
      </c>
      <c r="G1064" s="422">
        <v>510.55552951511748</v>
      </c>
      <c r="H1064" s="417" t="s">
        <v>2616</v>
      </c>
      <c r="I1064" s="417" t="s">
        <v>1392</v>
      </c>
      <c r="J1064" s="417" t="s">
        <v>4190</v>
      </c>
      <c r="K1064" s="417" t="s">
        <v>4503</v>
      </c>
      <c r="L1064" s="417"/>
      <c r="M1064" s="417" t="s">
        <v>28840</v>
      </c>
    </row>
    <row r="1065" spans="1:13" x14ac:dyDescent="0.25">
      <c r="A1065" s="417" t="s">
        <v>3385</v>
      </c>
      <c r="B1065" s="417" t="s">
        <v>2627</v>
      </c>
      <c r="C1065" s="417" t="s">
        <v>4504</v>
      </c>
      <c r="D1065" s="417" t="s">
        <v>88</v>
      </c>
      <c r="E1065" s="423">
        <v>0.476645591373758</v>
      </c>
      <c r="F1065" s="423">
        <v>0.10074384177581749</v>
      </c>
      <c r="G1065" s="422">
        <v>644.92469290448946</v>
      </c>
      <c r="H1065" s="417" t="s">
        <v>2616</v>
      </c>
      <c r="I1065" s="417" t="s">
        <v>1392</v>
      </c>
      <c r="J1065" s="417" t="s">
        <v>4190</v>
      </c>
      <c r="K1065" s="417" t="s">
        <v>4505</v>
      </c>
      <c r="L1065" s="417"/>
      <c r="M1065" s="417" t="s">
        <v>28840</v>
      </c>
    </row>
    <row r="1066" spans="1:13" x14ac:dyDescent="0.25">
      <c r="A1066" s="417" t="s">
        <v>3385</v>
      </c>
      <c r="B1066" s="417" t="s">
        <v>2627</v>
      </c>
      <c r="C1066" s="417" t="s">
        <v>4506</v>
      </c>
      <c r="D1066" s="417" t="s">
        <v>88</v>
      </c>
      <c r="E1066" s="423">
        <v>0.16818291295482751</v>
      </c>
      <c r="F1066" s="423">
        <v>9.9393966958424618E-2</v>
      </c>
      <c r="G1066" s="422">
        <v>256.58201186664252</v>
      </c>
      <c r="H1066" s="417" t="s">
        <v>2616</v>
      </c>
      <c r="I1066" s="417" t="s">
        <v>1392</v>
      </c>
      <c r="J1066" s="417" t="s">
        <v>4190</v>
      </c>
      <c r="K1066" s="417" t="s">
        <v>4507</v>
      </c>
      <c r="L1066" s="417"/>
      <c r="M1066" s="417" t="s">
        <v>28840</v>
      </c>
    </row>
    <row r="1067" spans="1:13" x14ac:dyDescent="0.25">
      <c r="A1067" s="417" t="s">
        <v>3385</v>
      </c>
      <c r="B1067" s="417" t="s">
        <v>2627</v>
      </c>
      <c r="C1067" s="417" t="s">
        <v>4508</v>
      </c>
      <c r="D1067" s="417" t="s">
        <v>88</v>
      </c>
      <c r="E1067" s="423">
        <v>0.5925957564944625</v>
      </c>
      <c r="F1067" s="423">
        <v>1.843590321454212E-2</v>
      </c>
      <c r="G1067" s="422">
        <v>946.78231812207946</v>
      </c>
      <c r="H1067" s="417" t="s">
        <v>2616</v>
      </c>
      <c r="I1067" s="417" t="s">
        <v>1392</v>
      </c>
      <c r="J1067" s="417" t="s">
        <v>4190</v>
      </c>
      <c r="K1067" s="417" t="s">
        <v>4509</v>
      </c>
      <c r="L1067" s="417"/>
      <c r="M1067" s="417" t="s">
        <v>28840</v>
      </c>
    </row>
    <row r="1068" spans="1:13" x14ac:dyDescent="0.25">
      <c r="A1068" s="417" t="s">
        <v>3385</v>
      </c>
      <c r="B1068" s="417" t="s">
        <v>2627</v>
      </c>
      <c r="C1068" s="417" t="s">
        <v>4510</v>
      </c>
      <c r="D1068" s="417" t="s">
        <v>88</v>
      </c>
      <c r="E1068" s="423">
        <v>0.1709677041421562</v>
      </c>
      <c r="F1068" s="423">
        <v>5.1759810440442658E-2</v>
      </c>
      <c r="G1068" s="422">
        <v>642.01229512500868</v>
      </c>
      <c r="H1068" s="417" t="s">
        <v>2616</v>
      </c>
      <c r="I1068" s="417" t="s">
        <v>1392</v>
      </c>
      <c r="J1068" s="417" t="s">
        <v>4190</v>
      </c>
      <c r="K1068" s="417" t="s">
        <v>4511</v>
      </c>
      <c r="L1068" s="417"/>
      <c r="M1068" s="417" t="s">
        <v>28840</v>
      </c>
    </row>
    <row r="1069" spans="1:13" x14ac:dyDescent="0.25">
      <c r="A1069" s="417" t="s">
        <v>3385</v>
      </c>
      <c r="B1069" s="417" t="s">
        <v>2627</v>
      </c>
      <c r="C1069" s="417" t="s">
        <v>4512</v>
      </c>
      <c r="D1069" s="417" t="s">
        <v>88</v>
      </c>
      <c r="E1069" s="423">
        <v>0.98411253754450922</v>
      </c>
      <c r="F1069" s="423">
        <v>2.8270838298502011E-2</v>
      </c>
      <c r="G1069" s="422">
        <v>1750.6487940306561</v>
      </c>
      <c r="H1069" s="417" t="s">
        <v>2616</v>
      </c>
      <c r="I1069" s="417" t="s">
        <v>1392</v>
      </c>
      <c r="J1069" s="417" t="s">
        <v>3396</v>
      </c>
      <c r="K1069" s="417" t="s">
        <v>4513</v>
      </c>
      <c r="L1069" s="417"/>
      <c r="M1069" s="417" t="s">
        <v>28840</v>
      </c>
    </row>
    <row r="1070" spans="1:13" x14ac:dyDescent="0.25">
      <c r="A1070" s="417" t="s">
        <v>3385</v>
      </c>
      <c r="B1070" s="417" t="s">
        <v>2627</v>
      </c>
      <c r="C1070" s="417" t="s">
        <v>4514</v>
      </c>
      <c r="D1070" s="417" t="s">
        <v>88</v>
      </c>
      <c r="E1070" s="423">
        <v>8.3197075506620255E-3</v>
      </c>
      <c r="F1070" s="423">
        <v>8.2845691731192931E-4</v>
      </c>
      <c r="G1070" s="422">
        <v>15.81351675335636</v>
      </c>
      <c r="H1070" s="417" t="s">
        <v>2616</v>
      </c>
      <c r="I1070" s="417" t="s">
        <v>1392</v>
      </c>
      <c r="J1070" s="417" t="s">
        <v>3396</v>
      </c>
      <c r="K1070" s="417" t="s">
        <v>4515</v>
      </c>
      <c r="L1070" s="417"/>
      <c r="M1070" s="417" t="s">
        <v>28840</v>
      </c>
    </row>
    <row r="1071" spans="1:13" x14ac:dyDescent="0.25">
      <c r="A1071" s="417" t="s">
        <v>3385</v>
      </c>
      <c r="B1071" s="417" t="s">
        <v>2627</v>
      </c>
      <c r="C1071" s="417" t="s">
        <v>4516</v>
      </c>
      <c r="D1071" s="417" t="s">
        <v>88</v>
      </c>
      <c r="E1071" s="423">
        <v>1.687455781835302</v>
      </c>
      <c r="F1071" s="423">
        <v>1.383908399945937E-2</v>
      </c>
      <c r="G1071" s="422">
        <v>6289.516592583519</v>
      </c>
      <c r="H1071" s="417" t="s">
        <v>2616</v>
      </c>
      <c r="I1071" s="417" t="s">
        <v>1392</v>
      </c>
      <c r="J1071" s="417" t="s">
        <v>3396</v>
      </c>
      <c r="K1071" s="417" t="s">
        <v>4517</v>
      </c>
      <c r="L1071" s="417"/>
      <c r="M1071" s="417" t="s">
        <v>28840</v>
      </c>
    </row>
    <row r="1072" spans="1:13" x14ac:dyDescent="0.25">
      <c r="A1072" s="417" t="s">
        <v>3385</v>
      </c>
      <c r="B1072" s="417" t="s">
        <v>2627</v>
      </c>
      <c r="C1072" s="417" t="s">
        <v>4518</v>
      </c>
      <c r="D1072" s="417" t="s">
        <v>88</v>
      </c>
      <c r="E1072" s="423">
        <v>10.531314347714069</v>
      </c>
      <c r="F1072" s="423">
        <v>0.2003204432924264</v>
      </c>
      <c r="G1072" s="422">
        <v>15773.59342733101</v>
      </c>
      <c r="H1072" s="417" t="s">
        <v>2616</v>
      </c>
      <c r="I1072" s="417" t="s">
        <v>1392</v>
      </c>
      <c r="J1072" s="417" t="s">
        <v>3396</v>
      </c>
      <c r="K1072" s="417" t="s">
        <v>4519</v>
      </c>
      <c r="L1072" s="417"/>
      <c r="M1072" s="417" t="s">
        <v>28840</v>
      </c>
    </row>
    <row r="1073" spans="1:13" x14ac:dyDescent="0.25">
      <c r="A1073" s="417" t="s">
        <v>3385</v>
      </c>
      <c r="B1073" s="417" t="s">
        <v>2627</v>
      </c>
      <c r="C1073" s="417" t="s">
        <v>4520</v>
      </c>
      <c r="D1073" s="417" t="s">
        <v>88</v>
      </c>
      <c r="E1073" s="423">
        <v>60.434515651150363</v>
      </c>
      <c r="F1073" s="423">
        <v>2.252722744728278</v>
      </c>
      <c r="G1073" s="422">
        <v>138162.7188206595</v>
      </c>
      <c r="H1073" s="417" t="s">
        <v>2616</v>
      </c>
      <c r="I1073" s="417" t="s">
        <v>1392</v>
      </c>
      <c r="J1073" s="417" t="s">
        <v>3396</v>
      </c>
      <c r="K1073" s="417" t="s">
        <v>4521</v>
      </c>
      <c r="L1073" s="417"/>
      <c r="M1073" s="417" t="s">
        <v>28840</v>
      </c>
    </row>
    <row r="1074" spans="1:13" x14ac:dyDescent="0.25">
      <c r="A1074" s="417" t="s">
        <v>3385</v>
      </c>
      <c r="B1074" s="417" t="s">
        <v>2627</v>
      </c>
      <c r="C1074" s="417" t="s">
        <v>4522</v>
      </c>
      <c r="D1074" s="417" t="s">
        <v>88</v>
      </c>
      <c r="E1074" s="423">
        <v>10.94369203631001</v>
      </c>
      <c r="F1074" s="423">
        <v>0.23830361184131629</v>
      </c>
      <c r="G1074" s="422">
        <v>16562.302511787391</v>
      </c>
      <c r="H1074" s="417" t="s">
        <v>2616</v>
      </c>
      <c r="I1074" s="417" t="s">
        <v>1392</v>
      </c>
      <c r="J1074" s="417" t="s">
        <v>3396</v>
      </c>
      <c r="K1074" s="417" t="s">
        <v>4523</v>
      </c>
      <c r="L1074" s="417"/>
      <c r="M1074" s="417" t="s">
        <v>28840</v>
      </c>
    </row>
    <row r="1075" spans="1:13" x14ac:dyDescent="0.25">
      <c r="A1075" s="417" t="s">
        <v>3385</v>
      </c>
      <c r="B1075" s="417" t="s">
        <v>2627</v>
      </c>
      <c r="C1075" s="417" t="s">
        <v>4524</v>
      </c>
      <c r="D1075" s="417" t="s">
        <v>88</v>
      </c>
      <c r="E1075" s="423">
        <v>55.082482148429321</v>
      </c>
      <c r="F1075" s="423">
        <v>2.0419293267420762</v>
      </c>
      <c r="G1075" s="422">
        <v>125989.81813230339</v>
      </c>
      <c r="H1075" s="417" t="s">
        <v>2616</v>
      </c>
      <c r="I1075" s="417" t="s">
        <v>1392</v>
      </c>
      <c r="J1075" s="417" t="s">
        <v>3396</v>
      </c>
      <c r="K1075" s="417" t="s">
        <v>4525</v>
      </c>
      <c r="L1075" s="417"/>
      <c r="M1075" s="417" t="s">
        <v>28840</v>
      </c>
    </row>
    <row r="1076" spans="1:13" x14ac:dyDescent="0.25">
      <c r="A1076" s="417" t="s">
        <v>3385</v>
      </c>
      <c r="B1076" s="417" t="s">
        <v>2627</v>
      </c>
      <c r="C1076" s="417" t="s">
        <v>4526</v>
      </c>
      <c r="D1076" s="417" t="s">
        <v>88</v>
      </c>
      <c r="E1076" s="423">
        <v>11.00831003431821</v>
      </c>
      <c r="F1076" s="423">
        <v>0.24551362880516669</v>
      </c>
      <c r="G1076" s="422">
        <v>16706.780345409152</v>
      </c>
      <c r="H1076" s="417" t="s">
        <v>2616</v>
      </c>
      <c r="I1076" s="417" t="s">
        <v>1392</v>
      </c>
      <c r="J1076" s="417" t="s">
        <v>3396</v>
      </c>
      <c r="K1076" s="417" t="s">
        <v>4527</v>
      </c>
      <c r="L1076" s="417"/>
      <c r="M1076" s="417" t="s">
        <v>28840</v>
      </c>
    </row>
    <row r="1077" spans="1:13" x14ac:dyDescent="0.25">
      <c r="A1077" s="417" t="s">
        <v>3385</v>
      </c>
      <c r="B1077" s="417" t="s">
        <v>2627</v>
      </c>
      <c r="C1077" s="417" t="s">
        <v>4528</v>
      </c>
      <c r="D1077" s="417" t="s">
        <v>88</v>
      </c>
      <c r="E1077" s="423">
        <v>60.592042824383689</v>
      </c>
      <c r="F1077" s="423">
        <v>2.2719749800208531</v>
      </c>
      <c r="G1077" s="422">
        <v>138498.99394524461</v>
      </c>
      <c r="H1077" s="417" t="s">
        <v>2616</v>
      </c>
      <c r="I1077" s="417" t="s">
        <v>1392</v>
      </c>
      <c r="J1077" s="417" t="s">
        <v>3396</v>
      </c>
      <c r="K1077" s="417" t="s">
        <v>4529</v>
      </c>
      <c r="L1077" s="417"/>
      <c r="M1077" s="417" t="s">
        <v>28840</v>
      </c>
    </row>
    <row r="1078" spans="1:13" x14ac:dyDescent="0.25">
      <c r="A1078" s="417" t="s">
        <v>3385</v>
      </c>
      <c r="B1078" s="417" t="s">
        <v>2437</v>
      </c>
      <c r="C1078" s="417" t="s">
        <v>4530</v>
      </c>
      <c r="D1078" s="417" t="s">
        <v>88</v>
      </c>
      <c r="E1078" s="423">
        <v>51.526002634980557</v>
      </c>
      <c r="F1078" s="423">
        <v>1.3495442131525861</v>
      </c>
      <c r="G1078" s="422">
        <v>123227.4916889921</v>
      </c>
      <c r="H1078" s="417" t="s">
        <v>2616</v>
      </c>
      <c r="I1078" s="417" t="s">
        <v>1392</v>
      </c>
      <c r="J1078" s="417" t="s">
        <v>4531</v>
      </c>
      <c r="K1078" s="417" t="s">
        <v>4532</v>
      </c>
      <c r="L1078" s="417"/>
      <c r="M1078" s="417" t="s">
        <v>28840</v>
      </c>
    </row>
    <row r="1079" spans="1:13" x14ac:dyDescent="0.25">
      <c r="A1079" s="417" t="s">
        <v>3385</v>
      </c>
      <c r="B1079" s="417" t="s">
        <v>2627</v>
      </c>
      <c r="C1079" s="417" t="s">
        <v>4533</v>
      </c>
      <c r="D1079" s="417" t="s">
        <v>88</v>
      </c>
      <c r="E1079" s="423">
        <v>1.1718852291795889</v>
      </c>
      <c r="F1079" s="423">
        <v>8.8788059113056705E-2</v>
      </c>
      <c r="G1079" s="422">
        <v>2415.9619287430128</v>
      </c>
      <c r="H1079" s="417" t="s">
        <v>2616</v>
      </c>
      <c r="I1079" s="417" t="s">
        <v>1392</v>
      </c>
      <c r="J1079" s="417" t="s">
        <v>3932</v>
      </c>
      <c r="K1079" s="417" t="s">
        <v>4534</v>
      </c>
      <c r="L1079" s="417"/>
      <c r="M1079" s="417" t="s">
        <v>28840</v>
      </c>
    </row>
    <row r="1080" spans="1:13" x14ac:dyDescent="0.25">
      <c r="A1080" s="417" t="s">
        <v>3385</v>
      </c>
      <c r="B1080" s="417" t="s">
        <v>2627</v>
      </c>
      <c r="C1080" s="417" t="s">
        <v>4535</v>
      </c>
      <c r="D1080" s="417" t="s">
        <v>88</v>
      </c>
      <c r="E1080" s="423">
        <v>1.6825715215760351</v>
      </c>
      <c r="F1080" s="423">
        <v>5.829493814723025E-3</v>
      </c>
      <c r="G1080" s="422">
        <v>4473.1986740765997</v>
      </c>
      <c r="H1080" s="417" t="s">
        <v>2616</v>
      </c>
      <c r="I1080" s="417" t="s">
        <v>1392</v>
      </c>
      <c r="J1080" s="417" t="s">
        <v>3396</v>
      </c>
      <c r="K1080" s="417" t="s">
        <v>4536</v>
      </c>
      <c r="L1080" s="417"/>
      <c r="M1080" s="417" t="s">
        <v>28840</v>
      </c>
    </row>
    <row r="1081" spans="1:13" x14ac:dyDescent="0.25">
      <c r="A1081" s="417" t="s">
        <v>3385</v>
      </c>
      <c r="B1081" s="417" t="s">
        <v>2627</v>
      </c>
      <c r="C1081" s="417" t="s">
        <v>4537</v>
      </c>
      <c r="D1081" s="417" t="s">
        <v>88</v>
      </c>
      <c r="E1081" s="423">
        <v>4.2490694852358004</v>
      </c>
      <c r="F1081" s="423">
        <v>1.0546594</v>
      </c>
      <c r="G1081" s="422">
        <v>7358.7042036247931</v>
      </c>
      <c r="H1081" s="417" t="s">
        <v>2616</v>
      </c>
      <c r="I1081" s="417" t="s">
        <v>1392</v>
      </c>
      <c r="J1081" s="417" t="s">
        <v>4538</v>
      </c>
      <c r="K1081" s="417" t="s">
        <v>4539</v>
      </c>
      <c r="L1081" s="417"/>
      <c r="M1081" s="417" t="s">
        <v>28840</v>
      </c>
    </row>
    <row r="1082" spans="1:13" x14ac:dyDescent="0.25">
      <c r="A1082" s="417" t="s">
        <v>3385</v>
      </c>
      <c r="B1082" s="417" t="s">
        <v>2627</v>
      </c>
      <c r="C1082" s="417" t="s">
        <v>4540</v>
      </c>
      <c r="D1082" s="417" t="s">
        <v>989</v>
      </c>
      <c r="E1082" s="423">
        <v>1.036880776207332</v>
      </c>
      <c r="F1082" s="423">
        <v>6.6167559556021036E-2</v>
      </c>
      <c r="G1082" s="422">
        <v>1534.182955742479</v>
      </c>
      <c r="H1082" s="417" t="s">
        <v>2616</v>
      </c>
      <c r="I1082" s="417" t="s">
        <v>1392</v>
      </c>
      <c r="J1082" s="417" t="s">
        <v>3699</v>
      </c>
      <c r="K1082" s="417" t="s">
        <v>4541</v>
      </c>
      <c r="L1082" s="417"/>
      <c r="M1082" s="417" t="s">
        <v>28840</v>
      </c>
    </row>
    <row r="1083" spans="1:13" x14ac:dyDescent="0.25">
      <c r="A1083" s="417" t="s">
        <v>3385</v>
      </c>
      <c r="B1083" s="417" t="s">
        <v>2627</v>
      </c>
      <c r="C1083" s="417" t="s">
        <v>4542</v>
      </c>
      <c r="D1083" s="417" t="s">
        <v>989</v>
      </c>
      <c r="E1083" s="423">
        <v>7.5276683720373718</v>
      </c>
      <c r="F1083" s="423">
        <v>0.53284763497429632</v>
      </c>
      <c r="G1083" s="422">
        <v>11681.7065762068</v>
      </c>
      <c r="H1083" s="417" t="s">
        <v>2616</v>
      </c>
      <c r="I1083" s="417" t="s">
        <v>1392</v>
      </c>
      <c r="J1083" s="417" t="s">
        <v>3699</v>
      </c>
      <c r="K1083" s="417" t="s">
        <v>4543</v>
      </c>
      <c r="L1083" s="417"/>
      <c r="M1083" s="417" t="s">
        <v>28840</v>
      </c>
    </row>
    <row r="1084" spans="1:13" x14ac:dyDescent="0.25">
      <c r="A1084" s="417" t="s">
        <v>3385</v>
      </c>
      <c r="B1084" s="417" t="s">
        <v>2627</v>
      </c>
      <c r="C1084" s="417" t="s">
        <v>1079</v>
      </c>
      <c r="D1084" s="417" t="s">
        <v>88</v>
      </c>
      <c r="E1084" s="423">
        <v>1.87175315631619</v>
      </c>
      <c r="F1084" s="423">
        <v>3.9066988447157183E-2</v>
      </c>
      <c r="G1084" s="422">
        <v>5450.9909444538589</v>
      </c>
      <c r="H1084" s="417" t="s">
        <v>2616</v>
      </c>
      <c r="I1084" s="417" t="s">
        <v>28841</v>
      </c>
      <c r="J1084" s="417" t="s">
        <v>4544</v>
      </c>
      <c r="K1084" s="417" t="s">
        <v>4545</v>
      </c>
      <c r="L1084" s="417"/>
      <c r="M1084" s="417" t="s">
        <v>28840</v>
      </c>
    </row>
    <row r="1085" spans="1:13" x14ac:dyDescent="0.25">
      <c r="A1085" s="417" t="s">
        <v>3385</v>
      </c>
      <c r="B1085" s="417" t="s">
        <v>2627</v>
      </c>
      <c r="C1085" s="417" t="s">
        <v>4546</v>
      </c>
      <c r="D1085" s="417" t="s">
        <v>88</v>
      </c>
      <c r="E1085" s="423">
        <v>1.87175315631619</v>
      </c>
      <c r="F1085" s="423">
        <v>3.9066988447157183E-2</v>
      </c>
      <c r="G1085" s="422">
        <v>5450.9259444538593</v>
      </c>
      <c r="H1085" s="417" t="s">
        <v>2616</v>
      </c>
      <c r="I1085" s="417" t="s">
        <v>1392</v>
      </c>
      <c r="J1085" s="417" t="s">
        <v>3627</v>
      </c>
      <c r="K1085" s="417" t="s">
        <v>4547</v>
      </c>
      <c r="L1085" s="417"/>
      <c r="M1085" s="417" t="s">
        <v>28840</v>
      </c>
    </row>
    <row r="1086" spans="1:13" x14ac:dyDescent="0.25">
      <c r="A1086" s="417" t="s">
        <v>3385</v>
      </c>
      <c r="B1086" s="417" t="s">
        <v>3655</v>
      </c>
      <c r="C1086" s="417" t="s">
        <v>4548</v>
      </c>
      <c r="D1086" s="417" t="s">
        <v>88</v>
      </c>
      <c r="E1086" s="423">
        <v>6.3326121552124914E-2</v>
      </c>
      <c r="F1086" s="423">
        <v>1.005933335619225E-3</v>
      </c>
      <c r="G1086" s="422">
        <v>1510.4269727608</v>
      </c>
      <c r="H1086" s="417" t="s">
        <v>2616</v>
      </c>
      <c r="I1086" s="417" t="s">
        <v>1392</v>
      </c>
      <c r="J1086" s="417" t="s">
        <v>4549</v>
      </c>
      <c r="K1086" s="417" t="s">
        <v>4550</v>
      </c>
      <c r="L1086" s="417"/>
      <c r="M1086" s="417" t="s">
        <v>28840</v>
      </c>
    </row>
    <row r="1087" spans="1:13" x14ac:dyDescent="0.25">
      <c r="A1087" s="417" t="s">
        <v>3385</v>
      </c>
      <c r="B1087" s="417" t="s">
        <v>3655</v>
      </c>
      <c r="C1087" s="417" t="s">
        <v>4551</v>
      </c>
      <c r="D1087" s="417" t="s">
        <v>88</v>
      </c>
      <c r="E1087" s="423">
        <v>6.4401778721378519E-2</v>
      </c>
      <c r="F1087" s="423">
        <v>1.020121645671782E-3</v>
      </c>
      <c r="G1087" s="422">
        <v>87.764682566314136</v>
      </c>
      <c r="H1087" s="417" t="s">
        <v>2616</v>
      </c>
      <c r="I1087" s="417" t="s">
        <v>1392</v>
      </c>
      <c r="J1087" s="417" t="s">
        <v>4549</v>
      </c>
      <c r="K1087" s="417" t="s">
        <v>4552</v>
      </c>
      <c r="L1087" s="417"/>
      <c r="M1087" s="417" t="s">
        <v>28840</v>
      </c>
    </row>
    <row r="1088" spans="1:13" x14ac:dyDescent="0.25">
      <c r="A1088" s="417" t="s">
        <v>3385</v>
      </c>
      <c r="B1088" s="417" t="s">
        <v>2437</v>
      </c>
      <c r="C1088" s="417" t="s">
        <v>4553</v>
      </c>
      <c r="D1088" s="417" t="s">
        <v>989</v>
      </c>
      <c r="E1088" s="423">
        <v>2.4344654600008262</v>
      </c>
      <c r="F1088" s="423">
        <v>0.13311735773023561</v>
      </c>
      <c r="G1088" s="422">
        <v>32698.853447637219</v>
      </c>
      <c r="H1088" s="417" t="s">
        <v>2616</v>
      </c>
      <c r="I1088" s="417" t="s">
        <v>1392</v>
      </c>
      <c r="J1088" s="417" t="s">
        <v>3845</v>
      </c>
      <c r="K1088" s="417" t="s">
        <v>4554</v>
      </c>
      <c r="L1088" s="417"/>
      <c r="M1088" s="417" t="s">
        <v>28840</v>
      </c>
    </row>
    <row r="1089" spans="1:13" x14ac:dyDescent="0.25">
      <c r="A1089" s="417" t="s">
        <v>3385</v>
      </c>
      <c r="B1089" s="417" t="s">
        <v>3405</v>
      </c>
      <c r="C1089" s="417" t="s">
        <v>4555</v>
      </c>
      <c r="D1089" s="417" t="s">
        <v>989</v>
      </c>
      <c r="E1089" s="423">
        <v>671.56349731671207</v>
      </c>
      <c r="F1089" s="423">
        <v>36.490199481548281</v>
      </c>
      <c r="G1089" s="422">
        <v>7457898.3962091608</v>
      </c>
      <c r="H1089" s="417" t="s">
        <v>2616</v>
      </c>
      <c r="I1089" s="417" t="s">
        <v>1392</v>
      </c>
      <c r="J1089" s="417" t="s">
        <v>4556</v>
      </c>
      <c r="K1089" s="417" t="s">
        <v>4557</v>
      </c>
      <c r="L1089" s="417"/>
      <c r="M1089" s="417" t="s">
        <v>28840</v>
      </c>
    </row>
    <row r="1090" spans="1:13" x14ac:dyDescent="0.25">
      <c r="A1090" s="417" t="s">
        <v>3385</v>
      </c>
      <c r="B1090" s="417" t="s">
        <v>3405</v>
      </c>
      <c r="C1090" s="417" t="s">
        <v>4558</v>
      </c>
      <c r="D1090" s="417" t="s">
        <v>989</v>
      </c>
      <c r="E1090" s="423">
        <v>1496.580120478171</v>
      </c>
      <c r="F1090" s="423">
        <v>93.410557167483773</v>
      </c>
      <c r="G1090" s="422">
        <v>3523772.6526458422</v>
      </c>
      <c r="H1090" s="417" t="s">
        <v>2616</v>
      </c>
      <c r="I1090" s="417" t="s">
        <v>1392</v>
      </c>
      <c r="J1090" s="417" t="s">
        <v>4556</v>
      </c>
      <c r="K1090" s="417" t="s">
        <v>4559</v>
      </c>
      <c r="L1090" s="417"/>
      <c r="M1090" s="417" t="s">
        <v>28840</v>
      </c>
    </row>
    <row r="1091" spans="1:13" x14ac:dyDescent="0.25">
      <c r="A1091" s="417" t="s">
        <v>3385</v>
      </c>
      <c r="B1091" s="417" t="s">
        <v>3405</v>
      </c>
      <c r="C1091" s="417" t="s">
        <v>4560</v>
      </c>
      <c r="D1091" s="417" t="s">
        <v>989</v>
      </c>
      <c r="E1091" s="423">
        <v>1013.012828550653</v>
      </c>
      <c r="F1091" s="423">
        <v>64.433260903434302</v>
      </c>
      <c r="G1091" s="422">
        <v>12498959.34273902</v>
      </c>
      <c r="H1091" s="417" t="s">
        <v>2616</v>
      </c>
      <c r="I1091" s="417" t="s">
        <v>1392</v>
      </c>
      <c r="J1091" s="417" t="s">
        <v>3588</v>
      </c>
      <c r="K1091" s="417" t="s">
        <v>4561</v>
      </c>
      <c r="L1091" s="417"/>
      <c r="M1091" s="417" t="s">
        <v>28840</v>
      </c>
    </row>
    <row r="1092" spans="1:13" x14ac:dyDescent="0.25">
      <c r="A1092" s="417" t="s">
        <v>3385</v>
      </c>
      <c r="B1092" s="417" t="s">
        <v>3405</v>
      </c>
      <c r="C1092" s="417" t="s">
        <v>4562</v>
      </c>
      <c r="D1092" s="417" t="s">
        <v>989</v>
      </c>
      <c r="E1092" s="423">
        <v>12.207494380376071</v>
      </c>
      <c r="F1092" s="423">
        <v>0.75156032403620132</v>
      </c>
      <c r="G1092" s="422">
        <v>220850.07964492211</v>
      </c>
      <c r="H1092" s="417" t="s">
        <v>2616</v>
      </c>
      <c r="I1092" s="417" t="s">
        <v>1392</v>
      </c>
      <c r="J1092" s="417" t="s">
        <v>3588</v>
      </c>
      <c r="K1092" s="417" t="s">
        <v>4563</v>
      </c>
      <c r="L1092" s="417"/>
      <c r="M1092" s="417" t="s">
        <v>28840</v>
      </c>
    </row>
    <row r="1093" spans="1:13" x14ac:dyDescent="0.25">
      <c r="A1093" s="417" t="s">
        <v>3385</v>
      </c>
      <c r="B1093" s="417" t="s">
        <v>2437</v>
      </c>
      <c r="C1093" s="417" t="s">
        <v>4564</v>
      </c>
      <c r="D1093" s="417" t="s">
        <v>989</v>
      </c>
      <c r="E1093" s="423">
        <v>52838.009831167597</v>
      </c>
      <c r="F1093" s="423">
        <v>2440.155354094361</v>
      </c>
      <c r="G1093" s="422">
        <v>123958118.8002824</v>
      </c>
      <c r="H1093" s="417" t="s">
        <v>2616</v>
      </c>
      <c r="I1093" s="417" t="s">
        <v>1392</v>
      </c>
      <c r="J1093" s="417" t="s">
        <v>4167</v>
      </c>
      <c r="K1093" s="417" t="s">
        <v>4565</v>
      </c>
      <c r="L1093" s="417"/>
      <c r="M1093" s="417" t="s">
        <v>28840</v>
      </c>
    </row>
    <row r="1094" spans="1:13" x14ac:dyDescent="0.25">
      <c r="A1094" s="417" t="s">
        <v>3385</v>
      </c>
      <c r="B1094" s="417" t="s">
        <v>2437</v>
      </c>
      <c r="C1094" s="417" t="s">
        <v>4566</v>
      </c>
      <c r="D1094" s="417" t="s">
        <v>3936</v>
      </c>
      <c r="E1094" s="423">
        <v>129154.20710298741</v>
      </c>
      <c r="F1094" s="423">
        <v>7418.8621785219111</v>
      </c>
      <c r="G1094" s="422">
        <v>382138897.2262125</v>
      </c>
      <c r="H1094" s="417" t="s">
        <v>2616</v>
      </c>
      <c r="I1094" s="417" t="s">
        <v>1392</v>
      </c>
      <c r="J1094" s="417" t="s">
        <v>4167</v>
      </c>
      <c r="K1094" s="417" t="s">
        <v>4567</v>
      </c>
      <c r="L1094" s="417"/>
      <c r="M1094" s="417" t="s">
        <v>28840</v>
      </c>
    </row>
    <row r="1095" spans="1:13" x14ac:dyDescent="0.25">
      <c r="A1095" s="417" t="s">
        <v>3385</v>
      </c>
      <c r="B1095" s="417" t="s">
        <v>2627</v>
      </c>
      <c r="C1095" s="417" t="s">
        <v>4568</v>
      </c>
      <c r="D1095" s="417" t="s">
        <v>88</v>
      </c>
      <c r="E1095" s="423">
        <v>5.4844642016863299</v>
      </c>
      <c r="F1095" s="423">
        <v>0.44416188986238331</v>
      </c>
      <c r="G1095" s="422">
        <v>11625.66288773869</v>
      </c>
      <c r="H1095" s="417" t="s">
        <v>2616</v>
      </c>
      <c r="I1095" s="417" t="s">
        <v>1392</v>
      </c>
      <c r="J1095" s="417" t="s">
        <v>3970</v>
      </c>
      <c r="K1095" s="417" t="s">
        <v>4569</v>
      </c>
      <c r="L1095" s="417"/>
      <c r="M1095" s="417" t="s">
        <v>28840</v>
      </c>
    </row>
    <row r="1096" spans="1:13" x14ac:dyDescent="0.25">
      <c r="A1096" s="417" t="s">
        <v>3385</v>
      </c>
      <c r="B1096" s="417" t="s">
        <v>2437</v>
      </c>
      <c r="C1096" s="417" t="s">
        <v>4570</v>
      </c>
      <c r="D1096" s="417" t="s">
        <v>88</v>
      </c>
      <c r="E1096" s="423">
        <v>8.5087760739261196</v>
      </c>
      <c r="F1096" s="423">
        <v>0.47440554132590579</v>
      </c>
      <c r="G1096" s="422">
        <v>29861.56896584863</v>
      </c>
      <c r="H1096" s="417" t="s">
        <v>2616</v>
      </c>
      <c r="I1096" s="417" t="s">
        <v>1392</v>
      </c>
      <c r="J1096" s="417" t="s">
        <v>3871</v>
      </c>
      <c r="K1096" s="417" t="s">
        <v>4571</v>
      </c>
      <c r="L1096" s="417"/>
      <c r="M1096" s="417" t="s">
        <v>28840</v>
      </c>
    </row>
    <row r="1097" spans="1:13" x14ac:dyDescent="0.25">
      <c r="A1097" s="417" t="s">
        <v>3385</v>
      </c>
      <c r="B1097" s="417" t="s">
        <v>2437</v>
      </c>
      <c r="C1097" s="417" t="s">
        <v>4572</v>
      </c>
      <c r="D1097" s="417" t="s">
        <v>88</v>
      </c>
      <c r="E1097" s="423">
        <v>5.2335146903901126</v>
      </c>
      <c r="F1097" s="423">
        <v>7.9134675017942219E-2</v>
      </c>
      <c r="G1097" s="422">
        <v>11967.8691801361</v>
      </c>
      <c r="H1097" s="417" t="s">
        <v>2616</v>
      </c>
      <c r="I1097" s="417" t="s">
        <v>1392</v>
      </c>
      <c r="J1097" s="417" t="s">
        <v>3871</v>
      </c>
      <c r="K1097" s="417" t="s">
        <v>4573</v>
      </c>
      <c r="L1097" s="417"/>
      <c r="M1097" s="417" t="s">
        <v>28840</v>
      </c>
    </row>
    <row r="1098" spans="1:13" x14ac:dyDescent="0.25">
      <c r="A1098" s="417" t="s">
        <v>3385</v>
      </c>
      <c r="B1098" s="417" t="s">
        <v>2437</v>
      </c>
      <c r="C1098" s="417" t="s">
        <v>4574</v>
      </c>
      <c r="D1098" s="417" t="s">
        <v>88</v>
      </c>
      <c r="E1098" s="423">
        <v>5.259034876200456</v>
      </c>
      <c r="F1098" s="423">
        <v>8.1581229167897701E-2</v>
      </c>
      <c r="G1098" s="422">
        <v>12017.09278287031</v>
      </c>
      <c r="H1098" s="417" t="s">
        <v>2616</v>
      </c>
      <c r="I1098" s="417" t="s">
        <v>1392</v>
      </c>
      <c r="J1098" s="417" t="s">
        <v>3871</v>
      </c>
      <c r="K1098" s="417" t="s">
        <v>4575</v>
      </c>
      <c r="L1098" s="417"/>
      <c r="M1098" s="417" t="s">
        <v>28840</v>
      </c>
    </row>
    <row r="1099" spans="1:13" x14ac:dyDescent="0.25">
      <c r="A1099" s="417" t="s">
        <v>3385</v>
      </c>
      <c r="B1099" s="417" t="s">
        <v>2437</v>
      </c>
      <c r="C1099" s="417" t="s">
        <v>4576</v>
      </c>
      <c r="D1099" s="417" t="s">
        <v>88</v>
      </c>
      <c r="E1099" s="423">
        <v>5.2335146903901126</v>
      </c>
      <c r="F1099" s="423">
        <v>7.9134675017942219E-2</v>
      </c>
      <c r="G1099" s="422">
        <v>11967.8691801361</v>
      </c>
      <c r="H1099" s="417" t="s">
        <v>2616</v>
      </c>
      <c r="I1099" s="417" t="s">
        <v>1392</v>
      </c>
      <c r="J1099" s="417" t="s">
        <v>3871</v>
      </c>
      <c r="K1099" s="417" t="s">
        <v>4577</v>
      </c>
      <c r="L1099" s="417"/>
      <c r="M1099" s="417" t="s">
        <v>28840</v>
      </c>
    </row>
    <row r="1100" spans="1:13" x14ac:dyDescent="0.25">
      <c r="A1100" s="417" t="s">
        <v>3385</v>
      </c>
      <c r="B1100" s="417" t="s">
        <v>2437</v>
      </c>
      <c r="C1100" s="417" t="s">
        <v>4578</v>
      </c>
      <c r="D1100" s="417" t="s">
        <v>88</v>
      </c>
      <c r="E1100" s="423">
        <v>6.0257275482400292</v>
      </c>
      <c r="F1100" s="423">
        <v>0.1623969108741096</v>
      </c>
      <c r="G1100" s="422">
        <v>22355.007358340979</v>
      </c>
      <c r="H1100" s="417" t="s">
        <v>2616</v>
      </c>
      <c r="I1100" s="417" t="s">
        <v>1392</v>
      </c>
      <c r="J1100" s="417" t="s">
        <v>3871</v>
      </c>
      <c r="K1100" s="417" t="s">
        <v>4579</v>
      </c>
      <c r="L1100" s="417"/>
      <c r="M1100" s="417" t="s">
        <v>28840</v>
      </c>
    </row>
    <row r="1101" spans="1:13" x14ac:dyDescent="0.25">
      <c r="A1101" s="417" t="s">
        <v>3385</v>
      </c>
      <c r="B1101" s="417" t="s">
        <v>2437</v>
      </c>
      <c r="C1101" s="417" t="s">
        <v>4580</v>
      </c>
      <c r="D1101" s="417" t="s">
        <v>88</v>
      </c>
      <c r="E1101" s="423">
        <v>16.771905450349429</v>
      </c>
      <c r="F1101" s="423">
        <v>0.57028518431842878</v>
      </c>
      <c r="G1101" s="422">
        <v>82638.900135902033</v>
      </c>
      <c r="H1101" s="417" t="s">
        <v>2616</v>
      </c>
      <c r="I1101" s="417" t="s">
        <v>1392</v>
      </c>
      <c r="J1101" s="417" t="s">
        <v>3871</v>
      </c>
      <c r="K1101" s="417" t="s">
        <v>4581</v>
      </c>
      <c r="L1101" s="417"/>
      <c r="M1101" s="417" t="s">
        <v>28840</v>
      </c>
    </row>
    <row r="1102" spans="1:13" x14ac:dyDescent="0.25">
      <c r="A1102" s="417" t="s">
        <v>3385</v>
      </c>
      <c r="B1102" s="417" t="s">
        <v>2627</v>
      </c>
      <c r="C1102" s="417" t="s">
        <v>4582</v>
      </c>
      <c r="D1102" s="417" t="s">
        <v>88</v>
      </c>
      <c r="E1102" s="423">
        <v>2.5206054089726329</v>
      </c>
      <c r="F1102" s="423">
        <v>0.1021961501237913</v>
      </c>
      <c r="G1102" s="422">
        <v>4798.3707321146794</v>
      </c>
      <c r="H1102" s="417" t="s">
        <v>2616</v>
      </c>
      <c r="I1102" s="417" t="s">
        <v>1392</v>
      </c>
      <c r="J1102" s="417" t="s">
        <v>4583</v>
      </c>
      <c r="K1102" s="417" t="s">
        <v>4584</v>
      </c>
      <c r="L1102" s="417"/>
      <c r="M1102" s="417" t="s">
        <v>28840</v>
      </c>
    </row>
    <row r="1103" spans="1:13" x14ac:dyDescent="0.25">
      <c r="A1103" s="417" t="s">
        <v>3385</v>
      </c>
      <c r="B1103" s="417" t="s">
        <v>2627</v>
      </c>
      <c r="C1103" s="417" t="s">
        <v>4585</v>
      </c>
      <c r="D1103" s="417" t="s">
        <v>88</v>
      </c>
      <c r="E1103" s="423">
        <v>5.2602076476664799</v>
      </c>
      <c r="F1103" s="423">
        <v>0.14073232549549511</v>
      </c>
      <c r="G1103" s="422">
        <v>24031.237419760349</v>
      </c>
      <c r="H1103" s="417" t="s">
        <v>2616</v>
      </c>
      <c r="I1103" s="417" t="s">
        <v>1392</v>
      </c>
      <c r="J1103" s="417" t="s">
        <v>3899</v>
      </c>
      <c r="K1103" s="417" t="s">
        <v>4586</v>
      </c>
      <c r="L1103" s="417"/>
      <c r="M1103" s="417" t="s">
        <v>28840</v>
      </c>
    </row>
    <row r="1104" spans="1:13" x14ac:dyDescent="0.25">
      <c r="A1104" s="417" t="s">
        <v>3385</v>
      </c>
      <c r="B1104" s="417" t="s">
        <v>2627</v>
      </c>
      <c r="C1104" s="417" t="s">
        <v>4587</v>
      </c>
      <c r="D1104" s="417" t="s">
        <v>88</v>
      </c>
      <c r="E1104" s="423">
        <v>5.1923753250383156</v>
      </c>
      <c r="F1104" s="423">
        <v>0.17493276108160941</v>
      </c>
      <c r="G1104" s="422">
        <v>9414.2452082334985</v>
      </c>
      <c r="H1104" s="417" t="s">
        <v>2616</v>
      </c>
      <c r="I1104" s="417" t="s">
        <v>1392</v>
      </c>
      <c r="J1104" s="417" t="s">
        <v>3896</v>
      </c>
      <c r="K1104" s="417" t="s">
        <v>4588</v>
      </c>
      <c r="L1104" s="417"/>
      <c r="M1104" s="417" t="s">
        <v>28840</v>
      </c>
    </row>
    <row r="1105" spans="1:13" x14ac:dyDescent="0.25">
      <c r="A1105" s="417" t="s">
        <v>3385</v>
      </c>
      <c r="B1105" s="417" t="s">
        <v>2627</v>
      </c>
      <c r="C1105" s="417" t="s">
        <v>4589</v>
      </c>
      <c r="D1105" s="417" t="s">
        <v>88</v>
      </c>
      <c r="E1105" s="423">
        <v>6.3193880828775946</v>
      </c>
      <c r="F1105" s="423">
        <v>0.28738131074424128</v>
      </c>
      <c r="G1105" s="422">
        <v>18030.024491414231</v>
      </c>
      <c r="H1105" s="417" t="s">
        <v>2616</v>
      </c>
      <c r="I1105" s="417" t="s">
        <v>1392</v>
      </c>
      <c r="J1105" s="417" t="s">
        <v>3899</v>
      </c>
      <c r="K1105" s="417" t="s">
        <v>4590</v>
      </c>
      <c r="L1105" s="417"/>
      <c r="M1105" s="417" t="s">
        <v>28840</v>
      </c>
    </row>
    <row r="1106" spans="1:13" x14ac:dyDescent="0.25">
      <c r="A1106" s="417" t="s">
        <v>3385</v>
      </c>
      <c r="B1106" s="417" t="s">
        <v>2627</v>
      </c>
      <c r="C1106" s="417" t="s">
        <v>4591</v>
      </c>
      <c r="D1106" s="417" t="s">
        <v>88</v>
      </c>
      <c r="E1106" s="423">
        <v>20.537996491972748</v>
      </c>
      <c r="F1106" s="423">
        <v>0.89211206091866035</v>
      </c>
      <c r="G1106" s="422">
        <v>51036.230024080709</v>
      </c>
      <c r="H1106" s="417" t="s">
        <v>2616</v>
      </c>
      <c r="I1106" s="417" t="s">
        <v>1392</v>
      </c>
      <c r="J1106" s="417" t="s">
        <v>3714</v>
      </c>
      <c r="K1106" s="417" t="s">
        <v>4592</v>
      </c>
      <c r="L1106" s="417"/>
      <c r="M1106" s="417" t="s">
        <v>28840</v>
      </c>
    </row>
    <row r="1107" spans="1:13" x14ac:dyDescent="0.25">
      <c r="A1107" s="417" t="s">
        <v>3385</v>
      </c>
      <c r="B1107" s="417" t="s">
        <v>2437</v>
      </c>
      <c r="C1107" s="417" t="s">
        <v>4593</v>
      </c>
      <c r="D1107" s="417" t="s">
        <v>88</v>
      </c>
      <c r="E1107" s="423">
        <v>8.2442493570013582</v>
      </c>
      <c r="F1107" s="423">
        <v>0.36209820382484809</v>
      </c>
      <c r="G1107" s="422">
        <v>25248.014718136619</v>
      </c>
      <c r="H1107" s="417" t="s">
        <v>2616</v>
      </c>
      <c r="I1107" s="417" t="s">
        <v>1392</v>
      </c>
      <c r="J1107" s="417" t="s">
        <v>3871</v>
      </c>
      <c r="K1107" s="417" t="s">
        <v>4594</v>
      </c>
      <c r="L1107" s="417"/>
      <c r="M1107" s="417" t="s">
        <v>28840</v>
      </c>
    </row>
    <row r="1108" spans="1:13" x14ac:dyDescent="0.25">
      <c r="A1108" s="417" t="s">
        <v>3385</v>
      </c>
      <c r="B1108" s="417" t="s">
        <v>2627</v>
      </c>
      <c r="C1108" s="417" t="s">
        <v>4595</v>
      </c>
      <c r="D1108" s="417" t="s">
        <v>88</v>
      </c>
      <c r="E1108" s="423">
        <v>1.445149369726997</v>
      </c>
      <c r="F1108" s="423">
        <v>2.492054136199363E-2</v>
      </c>
      <c r="G1108" s="422">
        <v>2115.426553950404</v>
      </c>
      <c r="H1108" s="417" t="s">
        <v>2616</v>
      </c>
      <c r="I1108" s="417" t="s">
        <v>1392</v>
      </c>
      <c r="J1108" s="417" t="s">
        <v>3633</v>
      </c>
      <c r="K1108" s="417" t="s">
        <v>4596</v>
      </c>
      <c r="L1108" s="417"/>
      <c r="M1108" s="417" t="s">
        <v>28840</v>
      </c>
    </row>
    <row r="1109" spans="1:13" x14ac:dyDescent="0.25">
      <c r="A1109" s="417" t="s">
        <v>3385</v>
      </c>
      <c r="B1109" s="417" t="s">
        <v>2627</v>
      </c>
      <c r="C1109" s="417" t="s">
        <v>4597</v>
      </c>
      <c r="D1109" s="417" t="s">
        <v>989</v>
      </c>
      <c r="E1109" s="423">
        <v>12.251481357648551</v>
      </c>
      <c r="F1109" s="423">
        <v>0.49939808543613051</v>
      </c>
      <c r="G1109" s="422">
        <v>51506.184033997837</v>
      </c>
      <c r="H1109" s="417" t="s">
        <v>2616</v>
      </c>
      <c r="I1109" s="417" t="s">
        <v>1392</v>
      </c>
      <c r="J1109" s="417" t="s">
        <v>3896</v>
      </c>
      <c r="K1109" s="417" t="s">
        <v>4598</v>
      </c>
      <c r="L1109" s="417"/>
      <c r="M1109" s="417" t="s">
        <v>28840</v>
      </c>
    </row>
    <row r="1110" spans="1:13" x14ac:dyDescent="0.25">
      <c r="A1110" s="417" t="s">
        <v>3385</v>
      </c>
      <c r="B1110" s="417" t="s">
        <v>2627</v>
      </c>
      <c r="C1110" s="417" t="s">
        <v>4599</v>
      </c>
      <c r="D1110" s="417" t="s">
        <v>989</v>
      </c>
      <c r="E1110" s="423">
        <v>3.5720660769487278</v>
      </c>
      <c r="F1110" s="423">
        <v>0.2103383428504558</v>
      </c>
      <c r="G1110" s="422">
        <v>14087.83521930688</v>
      </c>
      <c r="H1110" s="417" t="s">
        <v>2616</v>
      </c>
      <c r="I1110" s="417" t="s">
        <v>1392</v>
      </c>
      <c r="J1110" s="417" t="s">
        <v>3896</v>
      </c>
      <c r="K1110" s="417" t="s">
        <v>4600</v>
      </c>
      <c r="L1110" s="417"/>
      <c r="M1110" s="417" t="s">
        <v>28840</v>
      </c>
    </row>
    <row r="1111" spans="1:13" x14ac:dyDescent="0.25">
      <c r="A1111" s="417" t="s">
        <v>3385</v>
      </c>
      <c r="B1111" s="417" t="s">
        <v>2437</v>
      </c>
      <c r="C1111" s="417" t="s">
        <v>4601</v>
      </c>
      <c r="D1111" s="417" t="s">
        <v>88</v>
      </c>
      <c r="E1111" s="423">
        <v>5.4058250091891624</v>
      </c>
      <c r="F1111" s="423">
        <v>0.14939521760927699</v>
      </c>
      <c r="G1111" s="422">
        <v>36493.228015130953</v>
      </c>
      <c r="H1111" s="417" t="s">
        <v>2616</v>
      </c>
      <c r="I1111" s="417" t="s">
        <v>1392</v>
      </c>
      <c r="J1111" s="417" t="s">
        <v>3871</v>
      </c>
      <c r="K1111" s="417" t="s">
        <v>4602</v>
      </c>
      <c r="L1111" s="417"/>
      <c r="M1111" s="417" t="s">
        <v>28840</v>
      </c>
    </row>
    <row r="1112" spans="1:13" x14ac:dyDescent="0.25">
      <c r="A1112" s="417" t="s">
        <v>3385</v>
      </c>
      <c r="B1112" s="417" t="s">
        <v>2627</v>
      </c>
      <c r="C1112" s="417" t="s">
        <v>4603</v>
      </c>
      <c r="D1112" s="417" t="s">
        <v>88</v>
      </c>
      <c r="E1112" s="423">
        <v>0.1193397938586223</v>
      </c>
      <c r="F1112" s="423">
        <v>1.9638940800000001E-2</v>
      </c>
      <c r="G1112" s="422">
        <v>391.8543372805434</v>
      </c>
      <c r="H1112" s="417" t="s">
        <v>2616</v>
      </c>
      <c r="I1112" s="417" t="s">
        <v>1392</v>
      </c>
      <c r="J1112" s="417" t="s">
        <v>4604</v>
      </c>
      <c r="K1112" s="417" t="s">
        <v>4605</v>
      </c>
      <c r="L1112" s="417"/>
      <c r="M1112" s="417" t="s">
        <v>28840</v>
      </c>
    </row>
    <row r="1113" spans="1:13" x14ac:dyDescent="0.25">
      <c r="A1113" s="417" t="s">
        <v>3385</v>
      </c>
      <c r="B1113" s="417" t="s">
        <v>2627</v>
      </c>
      <c r="C1113" s="417" t="s">
        <v>4606</v>
      </c>
      <c r="D1113" s="417" t="s">
        <v>88</v>
      </c>
      <c r="E1113" s="423">
        <v>0.14719597673399629</v>
      </c>
      <c r="F1113" s="423">
        <v>2.0938621639999998E-2</v>
      </c>
      <c r="G1113" s="422">
        <v>456.55583232222023</v>
      </c>
      <c r="H1113" s="417" t="s">
        <v>2616</v>
      </c>
      <c r="I1113" s="417" t="s">
        <v>1392</v>
      </c>
      <c r="J1113" s="417" t="s">
        <v>4604</v>
      </c>
      <c r="K1113" s="417" t="s">
        <v>4607</v>
      </c>
      <c r="L1113" s="417"/>
      <c r="M1113" s="417" t="s">
        <v>28840</v>
      </c>
    </row>
    <row r="1114" spans="1:13" x14ac:dyDescent="0.25">
      <c r="A1114" s="417" t="s">
        <v>3385</v>
      </c>
      <c r="B1114" s="417" t="s">
        <v>2627</v>
      </c>
      <c r="C1114" s="417" t="s">
        <v>4608</v>
      </c>
      <c r="D1114" s="417" t="s">
        <v>88</v>
      </c>
      <c r="E1114" s="423">
        <v>0.16219594211810071</v>
      </c>
      <c r="F1114" s="423">
        <v>1.2285853689999999E-2</v>
      </c>
      <c r="G1114" s="422">
        <v>308.86419792860852</v>
      </c>
      <c r="H1114" s="417" t="s">
        <v>2616</v>
      </c>
      <c r="I1114" s="417" t="s">
        <v>1392</v>
      </c>
      <c r="J1114" s="417" t="s">
        <v>3627</v>
      </c>
      <c r="K1114" s="417" t="s">
        <v>4609</v>
      </c>
      <c r="L1114" s="417"/>
      <c r="M1114" s="417" t="s">
        <v>28840</v>
      </c>
    </row>
    <row r="1115" spans="1:13" x14ac:dyDescent="0.25">
      <c r="A1115" s="417" t="s">
        <v>3385</v>
      </c>
      <c r="B1115" s="417" t="s">
        <v>2627</v>
      </c>
      <c r="C1115" s="417" t="s">
        <v>4610</v>
      </c>
      <c r="D1115" s="417" t="s">
        <v>88</v>
      </c>
      <c r="E1115" s="423">
        <v>0.17841553632991081</v>
      </c>
      <c r="F1115" s="423">
        <v>1.3514439059000001E-2</v>
      </c>
      <c r="G1115" s="422">
        <v>339.75061772146933</v>
      </c>
      <c r="H1115" s="417" t="s">
        <v>2616</v>
      </c>
      <c r="I1115" s="417" t="s">
        <v>1392</v>
      </c>
      <c r="J1115" s="417" t="s">
        <v>3627</v>
      </c>
      <c r="K1115" s="417" t="s">
        <v>4611</v>
      </c>
      <c r="L1115" s="417"/>
      <c r="M1115" s="417" t="s">
        <v>28840</v>
      </c>
    </row>
    <row r="1116" spans="1:13" x14ac:dyDescent="0.25">
      <c r="A1116" s="417" t="s">
        <v>3385</v>
      </c>
      <c r="B1116" s="417" t="s">
        <v>2627</v>
      </c>
      <c r="C1116" s="417" t="s">
        <v>927</v>
      </c>
      <c r="D1116" s="417" t="s">
        <v>88</v>
      </c>
      <c r="E1116" s="423">
        <v>0.224717391965261</v>
      </c>
      <c r="F1116" s="423">
        <v>1.658866138251236E-2</v>
      </c>
      <c r="G1116" s="422">
        <v>420.60627426421593</v>
      </c>
      <c r="H1116" s="417" t="s">
        <v>2616</v>
      </c>
      <c r="I1116" s="417" t="s">
        <v>28841</v>
      </c>
      <c r="J1116" s="417" t="s">
        <v>3627</v>
      </c>
      <c r="K1116" s="417" t="s">
        <v>4612</v>
      </c>
      <c r="L1116" s="417"/>
      <c r="M1116" s="417" t="s">
        <v>28840</v>
      </c>
    </row>
    <row r="1117" spans="1:13" x14ac:dyDescent="0.25">
      <c r="A1117" s="417" t="s">
        <v>3385</v>
      </c>
      <c r="B1117" s="417" t="s">
        <v>2627</v>
      </c>
      <c r="C1117" s="417" t="s">
        <v>4613</v>
      </c>
      <c r="D1117" s="417" t="s">
        <v>88</v>
      </c>
      <c r="E1117" s="423">
        <v>0.74459863377291657</v>
      </c>
      <c r="F1117" s="423">
        <v>4.7751060769269188E-2</v>
      </c>
      <c r="G1117" s="422">
        <v>890.15895378866287</v>
      </c>
      <c r="H1117" s="417" t="s">
        <v>2616</v>
      </c>
      <c r="I1117" s="417" t="s">
        <v>1392</v>
      </c>
      <c r="J1117" s="417" t="s">
        <v>4614</v>
      </c>
      <c r="K1117" s="417" t="s">
        <v>4615</v>
      </c>
      <c r="L1117" s="417"/>
      <c r="M1117" s="417" t="s">
        <v>28840</v>
      </c>
    </row>
    <row r="1118" spans="1:13" x14ac:dyDescent="0.25">
      <c r="A1118" s="417" t="s">
        <v>3385</v>
      </c>
      <c r="B1118" s="417" t="s">
        <v>2627</v>
      </c>
      <c r="C1118" s="417" t="s">
        <v>4616</v>
      </c>
      <c r="D1118" s="417" t="s">
        <v>88</v>
      </c>
      <c r="E1118" s="423">
        <v>0.64909778486387981</v>
      </c>
      <c r="F1118" s="423">
        <v>4.1520906310547508E-2</v>
      </c>
      <c r="G1118" s="422">
        <v>775.58828092412682</v>
      </c>
      <c r="H1118" s="417" t="s">
        <v>2616</v>
      </c>
      <c r="I1118" s="417" t="s">
        <v>1392</v>
      </c>
      <c r="J1118" s="417" t="s">
        <v>4614</v>
      </c>
      <c r="K1118" s="417" t="s">
        <v>4617</v>
      </c>
      <c r="L1118" s="417"/>
      <c r="M1118" s="417" t="s">
        <v>28840</v>
      </c>
    </row>
    <row r="1119" spans="1:13" x14ac:dyDescent="0.25">
      <c r="A1119" s="417" t="s">
        <v>3385</v>
      </c>
      <c r="B1119" s="417" t="s">
        <v>2627</v>
      </c>
      <c r="C1119" s="417" t="s">
        <v>4618</v>
      </c>
      <c r="D1119" s="417" t="s">
        <v>88</v>
      </c>
      <c r="E1119" s="423">
        <v>0.6491772524544458</v>
      </c>
      <c r="F1119" s="423">
        <v>4.1523469318350742E-2</v>
      </c>
      <c r="G1119" s="422">
        <v>775.73898290677096</v>
      </c>
      <c r="H1119" s="417" t="s">
        <v>2616</v>
      </c>
      <c r="I1119" s="417" t="s">
        <v>1392</v>
      </c>
      <c r="J1119" s="417" t="s">
        <v>4614</v>
      </c>
      <c r="K1119" s="417" t="s">
        <v>4619</v>
      </c>
      <c r="L1119" s="417"/>
      <c r="M1119" s="417" t="s">
        <v>28840</v>
      </c>
    </row>
    <row r="1120" spans="1:13" x14ac:dyDescent="0.25">
      <c r="A1120" s="417" t="s">
        <v>3385</v>
      </c>
      <c r="B1120" s="417" t="s">
        <v>2627</v>
      </c>
      <c r="C1120" s="417" t="s">
        <v>4620</v>
      </c>
      <c r="D1120" s="417" t="s">
        <v>88</v>
      </c>
      <c r="E1120" s="423">
        <v>0.5854540562213042</v>
      </c>
      <c r="F1120" s="423">
        <v>3.7556982491771633E-2</v>
      </c>
      <c r="G1120" s="422">
        <v>701.26067390495336</v>
      </c>
      <c r="H1120" s="417" t="s">
        <v>2616</v>
      </c>
      <c r="I1120" s="417" t="s">
        <v>1392</v>
      </c>
      <c r="J1120" s="417" t="s">
        <v>4614</v>
      </c>
      <c r="K1120" s="417" t="s">
        <v>4621</v>
      </c>
      <c r="L1120" s="417"/>
      <c r="M1120" s="417" t="s">
        <v>28840</v>
      </c>
    </row>
    <row r="1121" spans="1:13" x14ac:dyDescent="0.25">
      <c r="A1121" s="417" t="s">
        <v>3385</v>
      </c>
      <c r="B1121" s="417" t="s">
        <v>2627</v>
      </c>
      <c r="C1121" s="417" t="s">
        <v>4622</v>
      </c>
      <c r="D1121" s="417" t="s">
        <v>88</v>
      </c>
      <c r="E1121" s="423">
        <v>0.6302482938290751</v>
      </c>
      <c r="F1121" s="423">
        <v>3.6759808759817283E-2</v>
      </c>
      <c r="G1121" s="422">
        <v>753.84482435425127</v>
      </c>
      <c r="H1121" s="417" t="s">
        <v>2616</v>
      </c>
      <c r="I1121" s="417" t="s">
        <v>1392</v>
      </c>
      <c r="J1121" s="417" t="s">
        <v>4614</v>
      </c>
      <c r="K1121" s="417" t="s">
        <v>4623</v>
      </c>
      <c r="L1121" s="417"/>
      <c r="M1121" s="417" t="s">
        <v>28840</v>
      </c>
    </row>
    <row r="1122" spans="1:13" x14ac:dyDescent="0.25">
      <c r="A1122" s="417" t="s">
        <v>3385</v>
      </c>
      <c r="B1122" s="417" t="s">
        <v>2627</v>
      </c>
      <c r="C1122" s="417" t="s">
        <v>4624</v>
      </c>
      <c r="D1122" s="417" t="s">
        <v>88</v>
      </c>
      <c r="E1122" s="423">
        <v>0.44425537861952669</v>
      </c>
      <c r="F1122" s="423">
        <v>2.8484181759181111E-2</v>
      </c>
      <c r="G1122" s="422">
        <v>570.59545045927439</v>
      </c>
      <c r="H1122" s="417" t="s">
        <v>2616</v>
      </c>
      <c r="I1122" s="417" t="s">
        <v>1392</v>
      </c>
      <c r="J1122" s="417" t="s">
        <v>4614</v>
      </c>
      <c r="K1122" s="417" t="s">
        <v>4625</v>
      </c>
      <c r="L1122" s="417"/>
      <c r="M1122" s="417" t="s">
        <v>28840</v>
      </c>
    </row>
    <row r="1123" spans="1:13" x14ac:dyDescent="0.25">
      <c r="A1123" s="417" t="s">
        <v>3385</v>
      </c>
      <c r="B1123" s="417" t="s">
        <v>2627</v>
      </c>
      <c r="C1123" s="417" t="s">
        <v>4626</v>
      </c>
      <c r="D1123" s="417" t="s">
        <v>88</v>
      </c>
      <c r="E1123" s="423">
        <v>0.46655045436524972</v>
      </c>
      <c r="F1123" s="423">
        <v>2.920324819004937E-2</v>
      </c>
      <c r="G1123" s="422">
        <v>612.87564252422976</v>
      </c>
      <c r="H1123" s="417" t="s">
        <v>2616</v>
      </c>
      <c r="I1123" s="417" t="s">
        <v>1392</v>
      </c>
      <c r="J1123" s="417" t="s">
        <v>4614</v>
      </c>
      <c r="K1123" s="417" t="s">
        <v>4627</v>
      </c>
      <c r="L1123" s="417"/>
      <c r="M1123" s="417" t="s">
        <v>28840</v>
      </c>
    </row>
    <row r="1124" spans="1:13" x14ac:dyDescent="0.25">
      <c r="A1124" s="417" t="s">
        <v>3385</v>
      </c>
      <c r="B1124" s="417" t="s">
        <v>2627</v>
      </c>
      <c r="C1124" s="417" t="s">
        <v>4628</v>
      </c>
      <c r="D1124" s="417" t="s">
        <v>88</v>
      </c>
      <c r="E1124" s="423">
        <v>0.29365630520494568</v>
      </c>
      <c r="F1124" s="423">
        <v>1.8816245646442319E-2</v>
      </c>
      <c r="G1124" s="422">
        <v>408.99820451339258</v>
      </c>
      <c r="H1124" s="417" t="s">
        <v>2616</v>
      </c>
      <c r="I1124" s="417" t="s">
        <v>1392</v>
      </c>
      <c r="J1124" s="417" t="s">
        <v>4614</v>
      </c>
      <c r="K1124" s="417" t="s">
        <v>4629</v>
      </c>
      <c r="L1124" s="417"/>
      <c r="M1124" s="417" t="s">
        <v>28840</v>
      </c>
    </row>
    <row r="1125" spans="1:13" x14ac:dyDescent="0.25">
      <c r="A1125" s="417" t="s">
        <v>3385</v>
      </c>
      <c r="B1125" s="417" t="s">
        <v>2627</v>
      </c>
      <c r="C1125" s="417" t="s">
        <v>4630</v>
      </c>
      <c r="D1125" s="417" t="s">
        <v>88</v>
      </c>
      <c r="E1125" s="423">
        <v>0.32588483052061978</v>
      </c>
      <c r="F1125" s="423">
        <v>1.985568820803545E-2</v>
      </c>
      <c r="G1125" s="422">
        <v>470.11610613868447</v>
      </c>
      <c r="H1125" s="417" t="s">
        <v>2616</v>
      </c>
      <c r="I1125" s="417" t="s">
        <v>1392</v>
      </c>
      <c r="J1125" s="417" t="s">
        <v>4614</v>
      </c>
      <c r="K1125" s="417" t="s">
        <v>4631</v>
      </c>
      <c r="L1125" s="417"/>
      <c r="M1125" s="417" t="s">
        <v>28840</v>
      </c>
    </row>
    <row r="1126" spans="1:13" x14ac:dyDescent="0.25">
      <c r="A1126" s="417" t="s">
        <v>3385</v>
      </c>
      <c r="B1126" s="417" t="s">
        <v>2623</v>
      </c>
      <c r="C1126" s="417" t="s">
        <v>4632</v>
      </c>
      <c r="D1126" s="417" t="s">
        <v>88</v>
      </c>
      <c r="E1126" s="423">
        <v>8.177415343355688E-3</v>
      </c>
      <c r="F1126" s="423">
        <v>4.1762569192490569E-4</v>
      </c>
      <c r="G1126" s="422">
        <v>27.747584558329841</v>
      </c>
      <c r="H1126" s="417" t="s">
        <v>2616</v>
      </c>
      <c r="I1126" s="417" t="s">
        <v>1392</v>
      </c>
      <c r="J1126" s="417" t="s">
        <v>4364</v>
      </c>
      <c r="K1126" s="417" t="s">
        <v>4633</v>
      </c>
      <c r="L1126" s="417"/>
      <c r="M1126" s="417" t="s">
        <v>28840</v>
      </c>
    </row>
    <row r="1127" spans="1:13" x14ac:dyDescent="0.25">
      <c r="A1127" s="417" t="s">
        <v>3385</v>
      </c>
      <c r="B1127" s="417" t="s">
        <v>2627</v>
      </c>
      <c r="C1127" s="417" t="s">
        <v>4634</v>
      </c>
      <c r="D1127" s="417" t="s">
        <v>88</v>
      </c>
      <c r="E1127" s="423">
        <v>0.10652234705012199</v>
      </c>
      <c r="F1127" s="423">
        <v>8.2495648971225334E-3</v>
      </c>
      <c r="G1127" s="422">
        <v>162.68682494356599</v>
      </c>
      <c r="H1127" s="417" t="s">
        <v>2616</v>
      </c>
      <c r="I1127" s="417" t="s">
        <v>1392</v>
      </c>
      <c r="J1127" s="417" t="s">
        <v>3848</v>
      </c>
      <c r="K1127" s="417" t="s">
        <v>4635</v>
      </c>
      <c r="L1127" s="417"/>
      <c r="M1127" s="417" t="s">
        <v>28840</v>
      </c>
    </row>
    <row r="1128" spans="1:13" x14ac:dyDescent="0.25">
      <c r="A1128" s="417" t="s">
        <v>3385</v>
      </c>
      <c r="B1128" s="417" t="s">
        <v>2627</v>
      </c>
      <c r="C1128" s="417" t="s">
        <v>4636</v>
      </c>
      <c r="D1128" s="417" t="s">
        <v>563</v>
      </c>
      <c r="E1128" s="423">
        <v>19.014238948686359</v>
      </c>
      <c r="F1128" s="423">
        <v>1.472547334152227</v>
      </c>
      <c r="G1128" s="422">
        <v>29039.598188830849</v>
      </c>
      <c r="H1128" s="417" t="s">
        <v>2616</v>
      </c>
      <c r="I1128" s="417" t="s">
        <v>1392</v>
      </c>
      <c r="J1128" s="417" t="s">
        <v>3848</v>
      </c>
      <c r="K1128" s="417" t="s">
        <v>4637</v>
      </c>
      <c r="L1128" s="417"/>
      <c r="M1128" s="417" t="s">
        <v>28840</v>
      </c>
    </row>
    <row r="1129" spans="1:13" x14ac:dyDescent="0.25">
      <c r="A1129" s="417" t="s">
        <v>3385</v>
      </c>
      <c r="B1129" s="417" t="s">
        <v>2627</v>
      </c>
      <c r="C1129" s="417" t="s">
        <v>4638</v>
      </c>
      <c r="D1129" s="417" t="s">
        <v>88</v>
      </c>
      <c r="E1129" s="423">
        <v>0.10510911524286951</v>
      </c>
      <c r="F1129" s="423">
        <v>8.1401179333427474E-3</v>
      </c>
      <c r="G1129" s="422">
        <v>160.52845946782611</v>
      </c>
      <c r="H1129" s="417" t="s">
        <v>2616</v>
      </c>
      <c r="I1129" s="417" t="s">
        <v>1392</v>
      </c>
      <c r="J1129" s="417" t="s">
        <v>3848</v>
      </c>
      <c r="K1129" s="417" t="s">
        <v>4639</v>
      </c>
      <c r="L1129" s="417"/>
      <c r="M1129" s="417" t="s">
        <v>28840</v>
      </c>
    </row>
    <row r="1130" spans="1:13" x14ac:dyDescent="0.25">
      <c r="A1130" s="417" t="s">
        <v>3385</v>
      </c>
      <c r="B1130" s="417" t="s">
        <v>2627</v>
      </c>
      <c r="C1130" s="417" t="s">
        <v>4640</v>
      </c>
      <c r="D1130" s="417" t="s">
        <v>88</v>
      </c>
      <c r="E1130" s="423">
        <v>0.25574918628373577</v>
      </c>
      <c r="F1130" s="423">
        <v>1.6976000506301159E-2</v>
      </c>
      <c r="G1130" s="422">
        <v>365.49733354755438</v>
      </c>
      <c r="H1130" s="417" t="s">
        <v>2616</v>
      </c>
      <c r="I1130" s="417" t="s">
        <v>1392</v>
      </c>
      <c r="J1130" s="417" t="s">
        <v>3619</v>
      </c>
      <c r="K1130" s="417" t="s">
        <v>4641</v>
      </c>
      <c r="L1130" s="417"/>
      <c r="M1130" s="417" t="s">
        <v>28840</v>
      </c>
    </row>
    <row r="1131" spans="1:13" x14ac:dyDescent="0.25">
      <c r="A1131" s="417" t="s">
        <v>3385</v>
      </c>
      <c r="B1131" s="417" t="s">
        <v>2627</v>
      </c>
      <c r="C1131" s="417" t="s">
        <v>4642</v>
      </c>
      <c r="D1131" s="417" t="s">
        <v>88</v>
      </c>
      <c r="E1131" s="423">
        <v>0.25176160286647792</v>
      </c>
      <c r="F1131" s="423">
        <v>1.671169028586578E-2</v>
      </c>
      <c r="G1131" s="422">
        <v>359.8032825056967</v>
      </c>
      <c r="H1131" s="417" t="s">
        <v>2616</v>
      </c>
      <c r="I1131" s="417" t="s">
        <v>1392</v>
      </c>
      <c r="J1131" s="417" t="s">
        <v>3619</v>
      </c>
      <c r="K1131" s="417" t="s">
        <v>4643</v>
      </c>
      <c r="L1131" s="417"/>
      <c r="M1131" s="417" t="s">
        <v>28840</v>
      </c>
    </row>
    <row r="1132" spans="1:13" x14ac:dyDescent="0.25">
      <c r="A1132" s="417" t="s">
        <v>3385</v>
      </c>
      <c r="B1132" s="417" t="s">
        <v>2627</v>
      </c>
      <c r="C1132" s="417" t="s">
        <v>4644</v>
      </c>
      <c r="D1132" s="417" t="s">
        <v>88</v>
      </c>
      <c r="E1132" s="423">
        <v>0.1745753619336059</v>
      </c>
      <c r="F1132" s="423">
        <v>2.3176937736879542E-2</v>
      </c>
      <c r="G1132" s="422">
        <v>247.39844937031069</v>
      </c>
      <c r="H1132" s="417" t="s">
        <v>2616</v>
      </c>
      <c r="I1132" s="417" t="s">
        <v>1392</v>
      </c>
      <c r="J1132" s="417" t="s">
        <v>4303</v>
      </c>
      <c r="K1132" s="417" t="s">
        <v>4645</v>
      </c>
      <c r="L1132" s="417"/>
      <c r="M1132" s="417" t="s">
        <v>28840</v>
      </c>
    </row>
    <row r="1133" spans="1:13" x14ac:dyDescent="0.25">
      <c r="A1133" s="417" t="s">
        <v>3385</v>
      </c>
      <c r="B1133" s="417" t="s">
        <v>2627</v>
      </c>
      <c r="C1133" s="417" t="s">
        <v>4646</v>
      </c>
      <c r="D1133" s="417" t="s">
        <v>989</v>
      </c>
      <c r="E1133" s="423">
        <v>28755967.262428381</v>
      </c>
      <c r="F1133" s="423">
        <v>7743231.5197070623</v>
      </c>
      <c r="G1133" s="422">
        <v>81142118300.649033</v>
      </c>
      <c r="H1133" s="417" t="s">
        <v>2616</v>
      </c>
      <c r="I1133" s="417" t="s">
        <v>1392</v>
      </c>
      <c r="J1133" s="417" t="s">
        <v>4647</v>
      </c>
      <c r="K1133" s="417" t="s">
        <v>4648</v>
      </c>
      <c r="L1133" s="417"/>
      <c r="M1133" s="417" t="s">
        <v>28840</v>
      </c>
    </row>
    <row r="1134" spans="1:13" x14ac:dyDescent="0.25">
      <c r="A1134" s="417" t="s">
        <v>3385</v>
      </c>
      <c r="B1134" s="417" t="s">
        <v>2627</v>
      </c>
      <c r="C1134" s="417" t="s">
        <v>4649</v>
      </c>
      <c r="D1134" s="417" t="s">
        <v>88</v>
      </c>
      <c r="E1134" s="423">
        <v>0.27346531446207101</v>
      </c>
      <c r="F1134" s="423">
        <v>2.3678086907381841E-2</v>
      </c>
      <c r="G1134" s="422">
        <v>389.36462221056632</v>
      </c>
      <c r="H1134" s="417" t="s">
        <v>2616</v>
      </c>
      <c r="I1134" s="417" t="s">
        <v>1392</v>
      </c>
      <c r="J1134" s="417" t="s">
        <v>3619</v>
      </c>
      <c r="K1134" s="417" t="s">
        <v>4650</v>
      </c>
      <c r="L1134" s="417"/>
      <c r="M1134" s="417" t="s">
        <v>28840</v>
      </c>
    </row>
    <row r="1135" spans="1:13" x14ac:dyDescent="0.25">
      <c r="A1135" s="417" t="s">
        <v>3385</v>
      </c>
      <c r="B1135" s="417" t="s">
        <v>2627</v>
      </c>
      <c r="C1135" s="417" t="s">
        <v>4651</v>
      </c>
      <c r="D1135" s="417" t="s">
        <v>88</v>
      </c>
      <c r="E1135" s="423">
        <v>0.2485375707813042</v>
      </c>
      <c r="F1135" s="423">
        <v>2.1521656716880239E-2</v>
      </c>
      <c r="G1135" s="422">
        <v>353.89960668547769</v>
      </c>
      <c r="H1135" s="417" t="s">
        <v>2616</v>
      </c>
      <c r="I1135" s="417" t="s">
        <v>1392</v>
      </c>
      <c r="J1135" s="417" t="s">
        <v>3619</v>
      </c>
      <c r="K1135" s="417" t="s">
        <v>4652</v>
      </c>
      <c r="L1135" s="417"/>
      <c r="M1135" s="417" t="s">
        <v>28840</v>
      </c>
    </row>
    <row r="1136" spans="1:13" x14ac:dyDescent="0.25">
      <c r="A1136" s="417" t="s">
        <v>3385</v>
      </c>
      <c r="B1136" s="417" t="s">
        <v>2627</v>
      </c>
      <c r="C1136" s="417" t="s">
        <v>4653</v>
      </c>
      <c r="D1136" s="417" t="s">
        <v>88</v>
      </c>
      <c r="E1136" s="423">
        <v>0.53396412214891098</v>
      </c>
      <c r="F1136" s="423">
        <v>2.8989672679999998E-2</v>
      </c>
      <c r="G1136" s="422">
        <v>648.39383869271512</v>
      </c>
      <c r="H1136" s="417" t="s">
        <v>2616</v>
      </c>
      <c r="I1136" s="417" t="s">
        <v>1392</v>
      </c>
      <c r="J1136" s="417" t="s">
        <v>4614</v>
      </c>
      <c r="K1136" s="417" t="s">
        <v>4654</v>
      </c>
      <c r="L1136" s="417"/>
      <c r="M1136" s="417" t="s">
        <v>28840</v>
      </c>
    </row>
    <row r="1137" spans="1:13" x14ac:dyDescent="0.25">
      <c r="A1137" s="417" t="s">
        <v>3385</v>
      </c>
      <c r="B1137" s="417" t="s">
        <v>2627</v>
      </c>
      <c r="C1137" s="417" t="s">
        <v>4655</v>
      </c>
      <c r="D1137" s="417" t="s">
        <v>88</v>
      </c>
      <c r="E1137" s="423">
        <v>0.68919807236854969</v>
      </c>
      <c r="F1137" s="423">
        <v>4.4225249032647823E-2</v>
      </c>
      <c r="G1137" s="422">
        <v>819.74431383932028</v>
      </c>
      <c r="H1137" s="417" t="s">
        <v>2616</v>
      </c>
      <c r="I1137" s="417" t="s">
        <v>1392</v>
      </c>
      <c r="J1137" s="417" t="s">
        <v>4303</v>
      </c>
      <c r="K1137" s="417" t="s">
        <v>4656</v>
      </c>
      <c r="L1137" s="417"/>
      <c r="M1137" s="417" t="s">
        <v>28840</v>
      </c>
    </row>
    <row r="1138" spans="1:13" x14ac:dyDescent="0.25">
      <c r="A1138" s="417" t="s">
        <v>3385</v>
      </c>
      <c r="B1138" s="417" t="s">
        <v>2627</v>
      </c>
      <c r="C1138" s="417" t="s">
        <v>4657</v>
      </c>
      <c r="D1138" s="417" t="s">
        <v>88</v>
      </c>
      <c r="E1138" s="423">
        <v>0.709885733481184</v>
      </c>
      <c r="F1138" s="423">
        <v>4.5915069649132653E-2</v>
      </c>
      <c r="G1138" s="422">
        <v>851.89392973497638</v>
      </c>
      <c r="H1138" s="417" t="s">
        <v>2616</v>
      </c>
      <c r="I1138" s="417" t="s">
        <v>1392</v>
      </c>
      <c r="J1138" s="417" t="s">
        <v>4399</v>
      </c>
      <c r="K1138" s="417" t="s">
        <v>4658</v>
      </c>
      <c r="L1138" s="417"/>
      <c r="M1138" s="417" t="s">
        <v>28840</v>
      </c>
    </row>
    <row r="1139" spans="1:13" x14ac:dyDescent="0.25">
      <c r="A1139" s="417" t="s">
        <v>3385</v>
      </c>
      <c r="B1139" s="417" t="s">
        <v>2627</v>
      </c>
      <c r="C1139" s="417" t="s">
        <v>4659</v>
      </c>
      <c r="D1139" s="417" t="s">
        <v>989</v>
      </c>
      <c r="E1139" s="423">
        <v>12855053.8619901</v>
      </c>
      <c r="F1139" s="423">
        <v>4132482.6649336191</v>
      </c>
      <c r="G1139" s="422">
        <v>34038695085.295471</v>
      </c>
      <c r="H1139" s="417" t="s">
        <v>2616</v>
      </c>
      <c r="I1139" s="417" t="s">
        <v>1392</v>
      </c>
      <c r="J1139" s="417" t="s">
        <v>4660</v>
      </c>
      <c r="K1139" s="417" t="s">
        <v>4661</v>
      </c>
      <c r="L1139" s="417"/>
      <c r="M1139" s="417" t="s">
        <v>28840</v>
      </c>
    </row>
    <row r="1140" spans="1:13" x14ac:dyDescent="0.25">
      <c r="A1140" s="417" t="s">
        <v>3385</v>
      </c>
      <c r="B1140" s="417" t="s">
        <v>2627</v>
      </c>
      <c r="C1140" s="417" t="s">
        <v>4662</v>
      </c>
      <c r="D1140" s="417" t="s">
        <v>88</v>
      </c>
      <c r="E1140" s="423">
        <v>0.74313926398692665</v>
      </c>
      <c r="F1140" s="423">
        <v>3.4835487333480589E-2</v>
      </c>
      <c r="G1140" s="422">
        <v>4033.386277207057</v>
      </c>
      <c r="H1140" s="417" t="s">
        <v>2616</v>
      </c>
      <c r="I1140" s="417" t="s">
        <v>1392</v>
      </c>
      <c r="J1140" s="417" t="s">
        <v>3616</v>
      </c>
      <c r="K1140" s="417" t="s">
        <v>4663</v>
      </c>
      <c r="L1140" s="417"/>
      <c r="M1140" s="417" t="s">
        <v>28840</v>
      </c>
    </row>
    <row r="1141" spans="1:13" x14ac:dyDescent="0.25">
      <c r="A1141" s="417" t="s">
        <v>3385</v>
      </c>
      <c r="B1141" s="417" t="s">
        <v>2627</v>
      </c>
      <c r="C1141" s="417" t="s">
        <v>4664</v>
      </c>
      <c r="D1141" s="417" t="s">
        <v>88</v>
      </c>
      <c r="E1141" s="423">
        <v>7.9868866049507901</v>
      </c>
      <c r="F1141" s="423">
        <v>0.25736683764649793</v>
      </c>
      <c r="G1141" s="422">
        <v>15233.34773945389</v>
      </c>
      <c r="H1141" s="417" t="s">
        <v>2616</v>
      </c>
      <c r="I1141" s="417" t="s">
        <v>1392</v>
      </c>
      <c r="J1141" s="417" t="s">
        <v>3742</v>
      </c>
      <c r="K1141" s="417" t="s">
        <v>4665</v>
      </c>
      <c r="L1141" s="417"/>
      <c r="M1141" s="417" t="s">
        <v>28840</v>
      </c>
    </row>
    <row r="1142" spans="1:13" x14ac:dyDescent="0.25">
      <c r="A1142" s="417" t="s">
        <v>3385</v>
      </c>
      <c r="B1142" s="417" t="s">
        <v>2627</v>
      </c>
      <c r="C1142" s="417" t="s">
        <v>4666</v>
      </c>
      <c r="D1142" s="417" t="s">
        <v>88</v>
      </c>
      <c r="E1142" s="423">
        <v>1.2259237681283901</v>
      </c>
      <c r="F1142" s="423">
        <v>2.787612454707654</v>
      </c>
      <c r="G1142" s="422">
        <v>1923.6605308935341</v>
      </c>
      <c r="H1142" s="417" t="s">
        <v>2616</v>
      </c>
      <c r="I1142" s="417" t="s">
        <v>1392</v>
      </c>
      <c r="J1142" s="417" t="s">
        <v>3633</v>
      </c>
      <c r="K1142" s="417" t="s">
        <v>4667</v>
      </c>
      <c r="L1142" s="417"/>
      <c r="M1142" s="417" t="s">
        <v>28840</v>
      </c>
    </row>
    <row r="1143" spans="1:13" x14ac:dyDescent="0.25">
      <c r="A1143" s="417" t="s">
        <v>3385</v>
      </c>
      <c r="B1143" s="417" t="s">
        <v>2437</v>
      </c>
      <c r="C1143" s="417" t="s">
        <v>4668</v>
      </c>
      <c r="D1143" s="417" t="s">
        <v>989</v>
      </c>
      <c r="E1143" s="423">
        <v>4630.2761013864056</v>
      </c>
      <c r="F1143" s="423">
        <v>234.01909104044969</v>
      </c>
      <c r="G1143" s="422">
        <v>15375932.027998449</v>
      </c>
      <c r="H1143" s="417" t="s">
        <v>2616</v>
      </c>
      <c r="I1143" s="417" t="s">
        <v>1392</v>
      </c>
      <c r="J1143" s="417" t="s">
        <v>4167</v>
      </c>
      <c r="K1143" s="417" t="s">
        <v>4669</v>
      </c>
      <c r="L1143" s="417"/>
      <c r="M1143" s="417" t="s">
        <v>28840</v>
      </c>
    </row>
    <row r="1144" spans="1:13" x14ac:dyDescent="0.25">
      <c r="A1144" s="417" t="s">
        <v>3385</v>
      </c>
      <c r="B1144" s="417" t="s">
        <v>2437</v>
      </c>
      <c r="C1144" s="417" t="s">
        <v>4670</v>
      </c>
      <c r="D1144" s="417" t="s">
        <v>88</v>
      </c>
      <c r="E1144" s="423">
        <v>15.468212937710121</v>
      </c>
      <c r="F1144" s="423">
        <v>0.47322849908621739</v>
      </c>
      <c r="G1144" s="422">
        <v>54152.894867146191</v>
      </c>
      <c r="H1144" s="417" t="s">
        <v>2616</v>
      </c>
      <c r="I1144" s="417" t="s">
        <v>1392</v>
      </c>
      <c r="J1144" s="417" t="s">
        <v>4342</v>
      </c>
      <c r="K1144" s="417" t="s">
        <v>4671</v>
      </c>
      <c r="L1144" s="417"/>
      <c r="M1144" s="417" t="s">
        <v>28840</v>
      </c>
    </row>
    <row r="1145" spans="1:13" x14ac:dyDescent="0.25">
      <c r="A1145" s="417" t="s">
        <v>3385</v>
      </c>
      <c r="B1145" s="417" t="s">
        <v>2437</v>
      </c>
      <c r="C1145" s="417" t="s">
        <v>4672</v>
      </c>
      <c r="D1145" s="417" t="s">
        <v>88</v>
      </c>
      <c r="E1145" s="423">
        <v>20.43523588526514</v>
      </c>
      <c r="F1145" s="423">
        <v>0.93491809876599508</v>
      </c>
      <c r="G1145" s="422">
        <v>50531.118509897577</v>
      </c>
      <c r="H1145" s="417" t="s">
        <v>2616</v>
      </c>
      <c r="I1145" s="417" t="s">
        <v>1392</v>
      </c>
      <c r="J1145" s="417" t="s">
        <v>4342</v>
      </c>
      <c r="K1145" s="417" t="s">
        <v>4673</v>
      </c>
      <c r="L1145" s="417"/>
      <c r="M1145" s="417" t="s">
        <v>28840</v>
      </c>
    </row>
    <row r="1146" spans="1:13" x14ac:dyDescent="0.25">
      <c r="A1146" s="417" t="s">
        <v>3385</v>
      </c>
      <c r="B1146" s="417" t="s">
        <v>2627</v>
      </c>
      <c r="C1146" s="417" t="s">
        <v>4674</v>
      </c>
      <c r="D1146" s="417" t="s">
        <v>989</v>
      </c>
      <c r="E1146" s="423">
        <v>0.70100308004904277</v>
      </c>
      <c r="F1146" s="423">
        <v>4.7969970750323172E-2</v>
      </c>
      <c r="G1146" s="422">
        <v>3627.1237831499079</v>
      </c>
      <c r="H1146" s="417" t="s">
        <v>2616</v>
      </c>
      <c r="I1146" s="417" t="s">
        <v>1392</v>
      </c>
      <c r="J1146" s="417" t="s">
        <v>3699</v>
      </c>
      <c r="K1146" s="417" t="s">
        <v>4675</v>
      </c>
      <c r="L1146" s="417"/>
      <c r="M1146" s="417" t="s">
        <v>28840</v>
      </c>
    </row>
    <row r="1147" spans="1:13" x14ac:dyDescent="0.25">
      <c r="A1147" s="417" t="s">
        <v>3385</v>
      </c>
      <c r="B1147" s="417" t="s">
        <v>2627</v>
      </c>
      <c r="C1147" s="417" t="s">
        <v>4676</v>
      </c>
      <c r="D1147" s="417" t="s">
        <v>989</v>
      </c>
      <c r="E1147" s="423">
        <v>0.70100308004904277</v>
      </c>
      <c r="F1147" s="423">
        <v>4.7969970750323172E-2</v>
      </c>
      <c r="G1147" s="422">
        <v>3627.1237831499079</v>
      </c>
      <c r="H1147" s="417" t="s">
        <v>2616</v>
      </c>
      <c r="I1147" s="417" t="s">
        <v>1392</v>
      </c>
      <c r="J1147" s="417" t="s">
        <v>3699</v>
      </c>
      <c r="K1147" s="417" t="s">
        <v>4677</v>
      </c>
      <c r="L1147" s="417"/>
      <c r="M1147" s="417" t="s">
        <v>28840</v>
      </c>
    </row>
    <row r="1148" spans="1:13" x14ac:dyDescent="0.25">
      <c r="A1148" s="417" t="s">
        <v>3385</v>
      </c>
      <c r="B1148" s="417" t="s">
        <v>2437</v>
      </c>
      <c r="C1148" s="417" t="s">
        <v>4678</v>
      </c>
      <c r="D1148" s="417" t="s">
        <v>989</v>
      </c>
      <c r="E1148" s="423">
        <v>831.30940645527085</v>
      </c>
      <c r="F1148" s="423">
        <v>41.503645147869527</v>
      </c>
      <c r="G1148" s="422">
        <v>2599039.9854229768</v>
      </c>
      <c r="H1148" s="417" t="s">
        <v>2616</v>
      </c>
      <c r="I1148" s="417" t="s">
        <v>1392</v>
      </c>
      <c r="J1148" s="417" t="s">
        <v>4167</v>
      </c>
      <c r="K1148" s="417" t="s">
        <v>4679</v>
      </c>
      <c r="L1148" s="417"/>
      <c r="M1148" s="417" t="s">
        <v>28840</v>
      </c>
    </row>
    <row r="1149" spans="1:13" x14ac:dyDescent="0.25">
      <c r="A1149" s="417" t="s">
        <v>3385</v>
      </c>
      <c r="B1149" s="417" t="s">
        <v>2437</v>
      </c>
      <c r="C1149" s="417" t="s">
        <v>4680</v>
      </c>
      <c r="D1149" s="417" t="s">
        <v>989</v>
      </c>
      <c r="E1149" s="423">
        <v>3.6781830560158522</v>
      </c>
      <c r="F1149" s="423">
        <v>0.16136089988163571</v>
      </c>
      <c r="G1149" s="422">
        <v>8815.5827310451259</v>
      </c>
      <c r="H1149" s="417" t="s">
        <v>2616</v>
      </c>
      <c r="I1149" s="417" t="s">
        <v>1392</v>
      </c>
      <c r="J1149" s="417" t="s">
        <v>4167</v>
      </c>
      <c r="K1149" s="417" t="s">
        <v>4681</v>
      </c>
      <c r="L1149" s="417"/>
      <c r="M1149" s="417" t="s">
        <v>28840</v>
      </c>
    </row>
    <row r="1150" spans="1:13" x14ac:dyDescent="0.25">
      <c r="A1150" s="417" t="s">
        <v>3385</v>
      </c>
      <c r="B1150" s="417" t="s">
        <v>2437</v>
      </c>
      <c r="C1150" s="417" t="s">
        <v>4682</v>
      </c>
      <c r="D1150" s="417" t="s">
        <v>989</v>
      </c>
      <c r="E1150" s="423">
        <v>66.076667383109708</v>
      </c>
      <c r="F1150" s="423">
        <v>2.8987105229551622</v>
      </c>
      <c r="G1150" s="422">
        <v>158367.451370931</v>
      </c>
      <c r="H1150" s="417" t="s">
        <v>2616</v>
      </c>
      <c r="I1150" s="417" t="s">
        <v>1392</v>
      </c>
      <c r="J1150" s="417" t="s">
        <v>4167</v>
      </c>
      <c r="K1150" s="417" t="s">
        <v>4683</v>
      </c>
      <c r="L1150" s="417"/>
      <c r="M1150" s="417" t="s">
        <v>28840</v>
      </c>
    </row>
    <row r="1151" spans="1:13" x14ac:dyDescent="0.25">
      <c r="A1151" s="417" t="s">
        <v>3385</v>
      </c>
      <c r="B1151" s="417" t="s">
        <v>2437</v>
      </c>
      <c r="C1151" s="417" t="s">
        <v>4684</v>
      </c>
      <c r="D1151" s="417" t="s">
        <v>989</v>
      </c>
      <c r="E1151" s="423">
        <v>11.01277789736905</v>
      </c>
      <c r="F1151" s="423">
        <v>0.48311842051316989</v>
      </c>
      <c r="G1151" s="422">
        <v>26394.575227719219</v>
      </c>
      <c r="H1151" s="417" t="s">
        <v>2616</v>
      </c>
      <c r="I1151" s="417" t="s">
        <v>1392</v>
      </c>
      <c r="J1151" s="417" t="s">
        <v>4167</v>
      </c>
      <c r="K1151" s="417" t="s">
        <v>4685</v>
      </c>
      <c r="L1151" s="417"/>
      <c r="M1151" s="417" t="s">
        <v>28840</v>
      </c>
    </row>
    <row r="1152" spans="1:13" x14ac:dyDescent="0.25">
      <c r="A1152" s="417" t="s">
        <v>3385</v>
      </c>
      <c r="B1152" s="417" t="s">
        <v>2627</v>
      </c>
      <c r="C1152" s="417" t="s">
        <v>4686</v>
      </c>
      <c r="D1152" s="417" t="s">
        <v>88</v>
      </c>
      <c r="E1152" s="423">
        <v>4.478158675887502</v>
      </c>
      <c r="F1152" s="423">
        <v>0.17435534206394329</v>
      </c>
      <c r="G1152" s="422">
        <v>20493.949027514751</v>
      </c>
      <c r="H1152" s="417" t="s">
        <v>2616</v>
      </c>
      <c r="I1152" s="417" t="s">
        <v>1392</v>
      </c>
      <c r="J1152" s="417" t="s">
        <v>4294</v>
      </c>
      <c r="K1152" s="417" t="s">
        <v>4687</v>
      </c>
      <c r="L1152" s="417"/>
      <c r="M1152" s="417" t="s">
        <v>28840</v>
      </c>
    </row>
    <row r="1153" spans="1:13" x14ac:dyDescent="0.25">
      <c r="A1153" s="417" t="s">
        <v>3385</v>
      </c>
      <c r="B1153" s="417" t="s">
        <v>2627</v>
      </c>
      <c r="C1153" s="417" t="s">
        <v>4688</v>
      </c>
      <c r="D1153" s="417" t="s">
        <v>989</v>
      </c>
      <c r="E1153" s="423">
        <v>96615373.432798728</v>
      </c>
      <c r="F1153" s="423">
        <v>13429372.914145909</v>
      </c>
      <c r="G1153" s="422">
        <v>259652491858.8342</v>
      </c>
      <c r="H1153" s="417" t="s">
        <v>2616</v>
      </c>
      <c r="I1153" s="417" t="s">
        <v>1392</v>
      </c>
      <c r="J1153" s="417" t="s">
        <v>4689</v>
      </c>
      <c r="K1153" s="417" t="s">
        <v>4690</v>
      </c>
      <c r="L1153" s="417"/>
      <c r="M1153" s="417" t="s">
        <v>28840</v>
      </c>
    </row>
    <row r="1154" spans="1:13" x14ac:dyDescent="0.25">
      <c r="A1154" s="417" t="s">
        <v>3385</v>
      </c>
      <c r="B1154" s="417" t="s">
        <v>2627</v>
      </c>
      <c r="C1154" s="417" t="s">
        <v>932</v>
      </c>
      <c r="D1154" s="417" t="s">
        <v>88</v>
      </c>
      <c r="E1154" s="423">
        <v>1.6503929586522399</v>
      </c>
      <c r="F1154" s="423">
        <v>5.3648425783070969E-2</v>
      </c>
      <c r="G1154" s="422">
        <v>2994.1162972711381</v>
      </c>
      <c r="H1154" s="417" t="s">
        <v>2616</v>
      </c>
      <c r="I1154" s="417" t="s">
        <v>28841</v>
      </c>
      <c r="J1154" s="417" t="s">
        <v>3742</v>
      </c>
      <c r="K1154" s="417" t="s">
        <v>4691</v>
      </c>
      <c r="L1154" s="417"/>
      <c r="M1154" s="417" t="s">
        <v>28840</v>
      </c>
    </row>
    <row r="1155" spans="1:13" x14ac:dyDescent="0.25">
      <c r="A1155" s="417" t="s">
        <v>3385</v>
      </c>
      <c r="B1155" s="417" t="s">
        <v>2627</v>
      </c>
      <c r="C1155" s="417" t="s">
        <v>961</v>
      </c>
      <c r="D1155" s="417" t="s">
        <v>88</v>
      </c>
      <c r="E1155" s="423">
        <v>1.9726769383146641</v>
      </c>
      <c r="F1155" s="423">
        <v>3.8915554814441658E-2</v>
      </c>
      <c r="G1155" s="422">
        <v>3182.4426718817558</v>
      </c>
      <c r="H1155" s="417" t="s">
        <v>2616</v>
      </c>
      <c r="I1155" s="417" t="s">
        <v>28841</v>
      </c>
      <c r="J1155" s="417" t="s">
        <v>3396</v>
      </c>
      <c r="K1155" s="417" t="s">
        <v>4692</v>
      </c>
      <c r="L1155" s="417"/>
      <c r="M1155" s="417" t="s">
        <v>28840</v>
      </c>
    </row>
    <row r="1156" spans="1:13" x14ac:dyDescent="0.25">
      <c r="A1156" s="417" t="s">
        <v>3385</v>
      </c>
      <c r="B1156" s="417" t="s">
        <v>3405</v>
      </c>
      <c r="C1156" s="417" t="s">
        <v>4693</v>
      </c>
      <c r="D1156" s="417" t="s">
        <v>4315</v>
      </c>
      <c r="E1156" s="423">
        <v>146.58651111497559</v>
      </c>
      <c r="F1156" s="423">
        <v>3.878593631398612</v>
      </c>
      <c r="G1156" s="422">
        <v>237981.86526679789</v>
      </c>
      <c r="H1156" s="417" t="s">
        <v>2616</v>
      </c>
      <c r="I1156" s="417" t="s">
        <v>1392</v>
      </c>
      <c r="J1156" s="417" t="s">
        <v>4694</v>
      </c>
      <c r="K1156" s="417" t="s">
        <v>4695</v>
      </c>
      <c r="L1156" s="417"/>
      <c r="M1156" s="417" t="s">
        <v>28840</v>
      </c>
    </row>
    <row r="1157" spans="1:13" x14ac:dyDescent="0.25">
      <c r="A1157" s="417" t="s">
        <v>3385</v>
      </c>
      <c r="B1157" s="417" t="s">
        <v>3655</v>
      </c>
      <c r="C1157" s="417" t="s">
        <v>4696</v>
      </c>
      <c r="D1157" s="417" t="s">
        <v>989</v>
      </c>
      <c r="E1157" s="423">
        <v>82910.666996537824</v>
      </c>
      <c r="F1157" s="423">
        <v>2139.7540922197632</v>
      </c>
      <c r="G1157" s="422">
        <v>151826780.37605539</v>
      </c>
      <c r="H1157" s="417" t="s">
        <v>2616</v>
      </c>
      <c r="I1157" s="417" t="s">
        <v>1392</v>
      </c>
      <c r="J1157" s="417" t="s">
        <v>4697</v>
      </c>
      <c r="K1157" s="417" t="s">
        <v>4698</v>
      </c>
      <c r="L1157" s="417"/>
      <c r="M1157" s="417" t="s">
        <v>28840</v>
      </c>
    </row>
    <row r="1158" spans="1:13" x14ac:dyDescent="0.25">
      <c r="A1158" s="417" t="s">
        <v>3385</v>
      </c>
      <c r="B1158" s="417" t="s">
        <v>3655</v>
      </c>
      <c r="C1158" s="417" t="s">
        <v>4699</v>
      </c>
      <c r="D1158" s="417" t="s">
        <v>989</v>
      </c>
      <c r="E1158" s="423">
        <v>5658.8381265020253</v>
      </c>
      <c r="F1158" s="423">
        <v>207.2526269805615</v>
      </c>
      <c r="G1158" s="422">
        <v>11636645.94400087</v>
      </c>
      <c r="H1158" s="417" t="s">
        <v>2616</v>
      </c>
      <c r="I1158" s="417" t="s">
        <v>1392</v>
      </c>
      <c r="J1158" s="417" t="s">
        <v>4697</v>
      </c>
      <c r="K1158" s="417" t="s">
        <v>4700</v>
      </c>
      <c r="L1158" s="417"/>
      <c r="M1158" s="417" t="s">
        <v>28840</v>
      </c>
    </row>
    <row r="1159" spans="1:13" x14ac:dyDescent="0.25">
      <c r="A1159" s="417" t="s">
        <v>3385</v>
      </c>
      <c r="B1159" s="417" t="s">
        <v>2627</v>
      </c>
      <c r="C1159" s="417" t="s">
        <v>4701</v>
      </c>
      <c r="D1159" s="417" t="s">
        <v>88</v>
      </c>
      <c r="E1159" s="423">
        <v>3.677997036010114</v>
      </c>
      <c r="F1159" s="423">
        <v>0.41509871929554149</v>
      </c>
      <c r="G1159" s="422">
        <v>8224.66262035418</v>
      </c>
      <c r="H1159" s="417" t="s">
        <v>2616</v>
      </c>
      <c r="I1159" s="417" t="s">
        <v>1392</v>
      </c>
      <c r="J1159" s="417" t="s">
        <v>3742</v>
      </c>
      <c r="K1159" s="417" t="s">
        <v>4702</v>
      </c>
      <c r="L1159" s="417"/>
      <c r="M1159" s="417" t="s">
        <v>28840</v>
      </c>
    </row>
    <row r="1160" spans="1:13" x14ac:dyDescent="0.25">
      <c r="A1160" s="417" t="s">
        <v>3385</v>
      </c>
      <c r="B1160" s="417" t="s">
        <v>2627</v>
      </c>
      <c r="C1160" s="417" t="s">
        <v>4703</v>
      </c>
      <c r="D1160" s="417" t="s">
        <v>88</v>
      </c>
      <c r="E1160" s="423">
        <v>0.54550527147615313</v>
      </c>
      <c r="F1160" s="423">
        <v>6.279383396371177E-2</v>
      </c>
      <c r="G1160" s="422">
        <v>1210.2207252396361</v>
      </c>
      <c r="H1160" s="417" t="s">
        <v>2616</v>
      </c>
      <c r="I1160" s="417" t="s">
        <v>1392</v>
      </c>
      <c r="J1160" s="417" t="s">
        <v>3932</v>
      </c>
      <c r="K1160" s="417" t="s">
        <v>4704</v>
      </c>
      <c r="L1160" s="417"/>
      <c r="M1160" s="417" t="s">
        <v>28840</v>
      </c>
    </row>
    <row r="1161" spans="1:13" x14ac:dyDescent="0.25">
      <c r="A1161" s="417" t="s">
        <v>3385</v>
      </c>
      <c r="B1161" s="417" t="s">
        <v>2627</v>
      </c>
      <c r="C1161" s="417" t="s">
        <v>4705</v>
      </c>
      <c r="D1161" s="417" t="s">
        <v>88</v>
      </c>
      <c r="E1161" s="423">
        <v>0.53639848113303512</v>
      </c>
      <c r="F1161" s="423">
        <v>6.1500589585236659E-2</v>
      </c>
      <c r="G1161" s="422">
        <v>1187.221918591747</v>
      </c>
      <c r="H1161" s="417" t="s">
        <v>2616</v>
      </c>
      <c r="I1161" s="417" t="s">
        <v>1392</v>
      </c>
      <c r="J1161" s="417" t="s">
        <v>3932</v>
      </c>
      <c r="K1161" s="417" t="s">
        <v>4706</v>
      </c>
      <c r="L1161" s="417"/>
      <c r="M1161" s="417" t="s">
        <v>28840</v>
      </c>
    </row>
    <row r="1162" spans="1:13" x14ac:dyDescent="0.25">
      <c r="A1162" s="417" t="s">
        <v>3385</v>
      </c>
      <c r="B1162" s="417" t="s">
        <v>2627</v>
      </c>
      <c r="C1162" s="417" t="s">
        <v>4707</v>
      </c>
      <c r="D1162" s="417" t="s">
        <v>88</v>
      </c>
      <c r="E1162" s="423">
        <v>0.61971375521378391</v>
      </c>
      <c r="F1162" s="423">
        <v>7.1997111107899164E-2</v>
      </c>
      <c r="G1162" s="422">
        <v>2123.9282215177168</v>
      </c>
      <c r="H1162" s="417" t="s">
        <v>2616</v>
      </c>
      <c r="I1162" s="417" t="s">
        <v>1392</v>
      </c>
      <c r="J1162" s="417" t="s">
        <v>3932</v>
      </c>
      <c r="K1162" s="417" t="s">
        <v>4708</v>
      </c>
      <c r="L1162" s="417"/>
      <c r="M1162" s="417" t="s">
        <v>28840</v>
      </c>
    </row>
    <row r="1163" spans="1:13" x14ac:dyDescent="0.25">
      <c r="A1163" s="417" t="s">
        <v>3385</v>
      </c>
      <c r="B1163" s="417" t="s">
        <v>2627</v>
      </c>
      <c r="C1163" s="417" t="s">
        <v>4709</v>
      </c>
      <c r="D1163" s="417" t="s">
        <v>88</v>
      </c>
      <c r="E1163" s="423">
        <v>0.60362518568500756</v>
      </c>
      <c r="F1163" s="423">
        <v>6.9972567846401518E-2</v>
      </c>
      <c r="G1163" s="422">
        <v>1748.91315785602</v>
      </c>
      <c r="H1163" s="417" t="s">
        <v>2616</v>
      </c>
      <c r="I1163" s="417" t="s">
        <v>1392</v>
      </c>
      <c r="J1163" s="417" t="s">
        <v>3932</v>
      </c>
      <c r="K1163" s="417" t="s">
        <v>4710</v>
      </c>
      <c r="L1163" s="417"/>
      <c r="M1163" s="417" t="s">
        <v>28840</v>
      </c>
    </row>
    <row r="1164" spans="1:13" x14ac:dyDescent="0.25">
      <c r="A1164" s="417" t="s">
        <v>3385</v>
      </c>
      <c r="B1164" s="417" t="s">
        <v>2627</v>
      </c>
      <c r="C1164" s="417" t="s">
        <v>4711</v>
      </c>
      <c r="D1164" s="417" t="s">
        <v>88</v>
      </c>
      <c r="E1164" s="423">
        <v>47.421543198746797</v>
      </c>
      <c r="F1164" s="423">
        <v>0.71198611814065349</v>
      </c>
      <c r="G1164" s="422">
        <v>89765.474963572735</v>
      </c>
      <c r="H1164" s="417" t="s">
        <v>2616</v>
      </c>
      <c r="I1164" s="417" t="s">
        <v>1392</v>
      </c>
      <c r="J1164" s="417" t="s">
        <v>3396</v>
      </c>
      <c r="K1164" s="417" t="s">
        <v>4712</v>
      </c>
      <c r="L1164" s="417"/>
      <c r="M1164" s="417" t="s">
        <v>28840</v>
      </c>
    </row>
    <row r="1165" spans="1:13" x14ac:dyDescent="0.25">
      <c r="A1165" s="417" t="s">
        <v>3385</v>
      </c>
      <c r="B1165" s="417" t="s">
        <v>2627</v>
      </c>
      <c r="C1165" s="417" t="s">
        <v>4713</v>
      </c>
      <c r="D1165" s="417" t="s">
        <v>88</v>
      </c>
      <c r="E1165" s="423">
        <v>1.574293126010488</v>
      </c>
      <c r="F1165" s="423">
        <v>5.9312207606594447E-2</v>
      </c>
      <c r="G1165" s="422">
        <v>2839.397860733508</v>
      </c>
      <c r="H1165" s="417" t="s">
        <v>2616</v>
      </c>
      <c r="I1165" s="417" t="s">
        <v>1392</v>
      </c>
      <c r="J1165" s="417" t="s">
        <v>3396</v>
      </c>
      <c r="K1165" s="417" t="s">
        <v>4714</v>
      </c>
      <c r="L1165" s="417"/>
      <c r="M1165" s="417" t="s">
        <v>28840</v>
      </c>
    </row>
    <row r="1166" spans="1:13" x14ac:dyDescent="0.25">
      <c r="A1166" s="417" t="s">
        <v>3385</v>
      </c>
      <c r="B1166" s="417" t="s">
        <v>3655</v>
      </c>
      <c r="C1166" s="417" t="s">
        <v>4715</v>
      </c>
      <c r="D1166" s="417" t="s">
        <v>1052</v>
      </c>
      <c r="E1166" s="423">
        <v>343.03597507650892</v>
      </c>
      <c r="F1166" s="423">
        <v>18.096694157080339</v>
      </c>
      <c r="G1166" s="422">
        <v>669058.69165220298</v>
      </c>
      <c r="H1166" s="417" t="s">
        <v>2616</v>
      </c>
      <c r="I1166" s="417" t="s">
        <v>1392</v>
      </c>
      <c r="J1166" s="417" t="s">
        <v>3918</v>
      </c>
      <c r="K1166" s="417" t="s">
        <v>4716</v>
      </c>
      <c r="L1166" s="417"/>
      <c r="M1166" s="417" t="s">
        <v>28840</v>
      </c>
    </row>
    <row r="1167" spans="1:13" x14ac:dyDescent="0.25">
      <c r="A1167" s="417" t="s">
        <v>3385</v>
      </c>
      <c r="B1167" s="417" t="s">
        <v>3655</v>
      </c>
      <c r="C1167" s="417" t="s">
        <v>4717</v>
      </c>
      <c r="D1167" s="417" t="s">
        <v>88</v>
      </c>
      <c r="E1167" s="423">
        <v>1.585296181383717E-2</v>
      </c>
      <c r="F1167" s="423">
        <v>4.192130722915222E-4</v>
      </c>
      <c r="G1167" s="422">
        <v>25.024552735717759</v>
      </c>
      <c r="H1167" s="417" t="s">
        <v>2616</v>
      </c>
      <c r="I1167" s="417" t="s">
        <v>1392</v>
      </c>
      <c r="J1167" s="417" t="s">
        <v>4718</v>
      </c>
      <c r="K1167" s="417" t="s">
        <v>4719</v>
      </c>
      <c r="L1167" s="417"/>
      <c r="M1167" s="417" t="s">
        <v>28840</v>
      </c>
    </row>
    <row r="1168" spans="1:13" x14ac:dyDescent="0.25">
      <c r="A1168" s="417" t="s">
        <v>3385</v>
      </c>
      <c r="B1168" s="417" t="s">
        <v>2627</v>
      </c>
      <c r="C1168" s="417" t="s">
        <v>4720</v>
      </c>
      <c r="D1168" s="417" t="s">
        <v>88</v>
      </c>
      <c r="E1168" s="423">
        <v>2.1946228376583572E-2</v>
      </c>
      <c r="F1168" s="423">
        <v>2.1400514463489431E-3</v>
      </c>
      <c r="G1168" s="422">
        <v>121.78691016425201</v>
      </c>
      <c r="H1168" s="417" t="s">
        <v>2616</v>
      </c>
      <c r="I1168" s="417" t="s">
        <v>1392</v>
      </c>
      <c r="J1168" s="417" t="s">
        <v>3860</v>
      </c>
      <c r="K1168" s="417" t="s">
        <v>4721</v>
      </c>
      <c r="L1168" s="417"/>
      <c r="M1168" s="417" t="s">
        <v>28840</v>
      </c>
    </row>
    <row r="1169" spans="1:13" x14ac:dyDescent="0.25">
      <c r="A1169" s="417" t="s">
        <v>3385</v>
      </c>
      <c r="B1169" s="417" t="s">
        <v>2627</v>
      </c>
      <c r="C1169" s="417" t="s">
        <v>4722</v>
      </c>
      <c r="D1169" s="417" t="s">
        <v>88</v>
      </c>
      <c r="E1169" s="423">
        <v>4.8009003673404562</v>
      </c>
      <c r="F1169" s="423">
        <v>0.11356505727042721</v>
      </c>
      <c r="G1169" s="422">
        <v>11197.71320230385</v>
      </c>
      <c r="H1169" s="417" t="s">
        <v>2616</v>
      </c>
      <c r="I1169" s="417" t="s">
        <v>1392</v>
      </c>
      <c r="J1169" s="417" t="s">
        <v>3627</v>
      </c>
      <c r="K1169" s="417" t="s">
        <v>4723</v>
      </c>
      <c r="L1169" s="417"/>
      <c r="M1169" s="417" t="s">
        <v>28840</v>
      </c>
    </row>
    <row r="1170" spans="1:13" x14ac:dyDescent="0.25">
      <c r="A1170" s="417" t="s">
        <v>3385</v>
      </c>
      <c r="B1170" s="417" t="s">
        <v>2627</v>
      </c>
      <c r="C1170" s="417" t="s">
        <v>4724</v>
      </c>
      <c r="D1170" s="417" t="s">
        <v>88</v>
      </c>
      <c r="E1170" s="423">
        <v>3.2524161251343662</v>
      </c>
      <c r="F1170" s="423">
        <v>8.408011239731035E-2</v>
      </c>
      <c r="G1170" s="422">
        <v>8254.8412944112188</v>
      </c>
      <c r="H1170" s="417" t="s">
        <v>2616</v>
      </c>
      <c r="I1170" s="417" t="s">
        <v>1392</v>
      </c>
      <c r="J1170" s="417" t="s">
        <v>3627</v>
      </c>
      <c r="K1170" s="417" t="s">
        <v>4725</v>
      </c>
      <c r="L1170" s="417"/>
      <c r="M1170" s="417" t="s">
        <v>28840</v>
      </c>
    </row>
    <row r="1171" spans="1:13" x14ac:dyDescent="0.25">
      <c r="A1171" s="417" t="s">
        <v>3385</v>
      </c>
      <c r="B1171" s="417" t="s">
        <v>2627</v>
      </c>
      <c r="C1171" s="417" t="s">
        <v>4726</v>
      </c>
      <c r="D1171" s="417" t="s">
        <v>88</v>
      </c>
      <c r="E1171" s="423">
        <v>0.61580782073849172</v>
      </c>
      <c r="F1171" s="423">
        <v>3.3876017097227401E-2</v>
      </c>
      <c r="G1171" s="422">
        <v>3244.005341772935</v>
      </c>
      <c r="H1171" s="417" t="s">
        <v>2616</v>
      </c>
      <c r="I1171" s="417" t="s">
        <v>1392</v>
      </c>
      <c r="J1171" s="417" t="s">
        <v>3627</v>
      </c>
      <c r="K1171" s="417" t="s">
        <v>4727</v>
      </c>
      <c r="L1171" s="417"/>
      <c r="M1171" s="417" t="s">
        <v>28840</v>
      </c>
    </row>
    <row r="1172" spans="1:13" x14ac:dyDescent="0.25">
      <c r="A1172" s="417" t="s">
        <v>3385</v>
      </c>
      <c r="B1172" s="417" t="s">
        <v>2627</v>
      </c>
      <c r="C1172" s="417" t="s">
        <v>4728</v>
      </c>
      <c r="D1172" s="417" t="s">
        <v>88</v>
      </c>
      <c r="E1172" s="423">
        <v>3.6819386180656002</v>
      </c>
      <c r="F1172" s="423">
        <v>0.1114006435999841</v>
      </c>
      <c r="G1172" s="422">
        <v>9244.6307321354907</v>
      </c>
      <c r="H1172" s="417" t="s">
        <v>2616</v>
      </c>
      <c r="I1172" s="417" t="s">
        <v>1392</v>
      </c>
      <c r="J1172" s="417" t="s">
        <v>3627</v>
      </c>
      <c r="K1172" s="417" t="s">
        <v>4729</v>
      </c>
      <c r="L1172" s="417"/>
      <c r="M1172" s="417" t="s">
        <v>28840</v>
      </c>
    </row>
    <row r="1173" spans="1:13" x14ac:dyDescent="0.25">
      <c r="A1173" s="417" t="s">
        <v>3385</v>
      </c>
      <c r="B1173" s="417" t="s">
        <v>2627</v>
      </c>
      <c r="C1173" s="417" t="s">
        <v>4730</v>
      </c>
      <c r="D1173" s="417" t="s">
        <v>88</v>
      </c>
      <c r="E1173" s="423">
        <v>3.6819386180656002</v>
      </c>
      <c r="F1173" s="423">
        <v>0.1114006435999841</v>
      </c>
      <c r="G1173" s="422">
        <v>9204.867644135491</v>
      </c>
      <c r="H1173" s="417" t="s">
        <v>2616</v>
      </c>
      <c r="I1173" s="417" t="s">
        <v>1392</v>
      </c>
      <c r="J1173" s="417" t="s">
        <v>3627</v>
      </c>
      <c r="K1173" s="417" t="s">
        <v>4731</v>
      </c>
      <c r="L1173" s="417"/>
      <c r="M1173" s="417" t="s">
        <v>28840</v>
      </c>
    </row>
    <row r="1174" spans="1:13" x14ac:dyDescent="0.25">
      <c r="A1174" s="417" t="s">
        <v>3385</v>
      </c>
      <c r="B1174" s="417" t="s">
        <v>2627</v>
      </c>
      <c r="C1174" s="417" t="s">
        <v>4732</v>
      </c>
      <c r="D1174" s="417" t="s">
        <v>88</v>
      </c>
      <c r="E1174" s="423">
        <v>1.0453303138319601</v>
      </c>
      <c r="F1174" s="423">
        <v>6.1196548302856403E-2</v>
      </c>
      <c r="G1174" s="422">
        <v>4233.7947825028368</v>
      </c>
      <c r="H1174" s="417" t="s">
        <v>2616</v>
      </c>
      <c r="I1174" s="417" t="s">
        <v>1392</v>
      </c>
      <c r="J1174" s="417" t="s">
        <v>3627</v>
      </c>
      <c r="K1174" s="417" t="s">
        <v>4733</v>
      </c>
      <c r="L1174" s="417"/>
      <c r="M1174" s="417" t="s">
        <v>28840</v>
      </c>
    </row>
    <row r="1175" spans="1:13" x14ac:dyDescent="0.25">
      <c r="A1175" s="417" t="s">
        <v>3385</v>
      </c>
      <c r="B1175" s="417" t="s">
        <v>2627</v>
      </c>
      <c r="C1175" s="417" t="s">
        <v>4734</v>
      </c>
      <c r="D1175" s="417" t="s">
        <v>88</v>
      </c>
      <c r="E1175" s="423">
        <v>5.2941748445981869</v>
      </c>
      <c r="F1175" s="423">
        <v>0.15216183784339221</v>
      </c>
      <c r="G1175" s="422">
        <v>12558.273727912599</v>
      </c>
      <c r="H1175" s="417" t="s">
        <v>2616</v>
      </c>
      <c r="I1175" s="417" t="s">
        <v>1392</v>
      </c>
      <c r="J1175" s="417" t="s">
        <v>3627</v>
      </c>
      <c r="K1175" s="417" t="s">
        <v>4735</v>
      </c>
      <c r="L1175" s="417"/>
      <c r="M1175" s="417" t="s">
        <v>28840</v>
      </c>
    </row>
    <row r="1176" spans="1:13" x14ac:dyDescent="0.25">
      <c r="A1176" s="417" t="s">
        <v>3385</v>
      </c>
      <c r="B1176" s="417" t="s">
        <v>2627</v>
      </c>
      <c r="C1176" s="417" t="s">
        <v>4736</v>
      </c>
      <c r="D1176" s="417" t="s">
        <v>88</v>
      </c>
      <c r="E1176" s="423">
        <v>5.2941748445981869</v>
      </c>
      <c r="F1176" s="423">
        <v>0.15216183784339221</v>
      </c>
      <c r="G1176" s="422">
        <v>12321.8479309126</v>
      </c>
      <c r="H1176" s="417" t="s">
        <v>2616</v>
      </c>
      <c r="I1176" s="417" t="s">
        <v>1392</v>
      </c>
      <c r="J1176" s="417" t="s">
        <v>3627</v>
      </c>
      <c r="K1176" s="417" t="s">
        <v>4737</v>
      </c>
      <c r="L1176" s="417"/>
      <c r="M1176" s="417" t="s">
        <v>28840</v>
      </c>
    </row>
    <row r="1177" spans="1:13" x14ac:dyDescent="0.25">
      <c r="A1177" s="417" t="s">
        <v>3385</v>
      </c>
      <c r="B1177" s="417" t="s">
        <v>2627</v>
      </c>
      <c r="C1177" s="417" t="s">
        <v>4738</v>
      </c>
      <c r="D1177" s="417" t="s">
        <v>88</v>
      </c>
      <c r="E1177" s="423">
        <v>2.657566540500933</v>
      </c>
      <c r="F1177" s="423">
        <v>0.1019577425929879</v>
      </c>
      <c r="G1177" s="422">
        <v>7547.437776446237</v>
      </c>
      <c r="H1177" s="417" t="s">
        <v>2616</v>
      </c>
      <c r="I1177" s="417" t="s">
        <v>1392</v>
      </c>
      <c r="J1177" s="417" t="s">
        <v>3627</v>
      </c>
      <c r="K1177" s="417" t="s">
        <v>4739</v>
      </c>
      <c r="L1177" s="417"/>
      <c r="M1177" s="417" t="s">
        <v>28840</v>
      </c>
    </row>
    <row r="1178" spans="1:13" x14ac:dyDescent="0.25">
      <c r="A1178" s="417" t="s">
        <v>3385</v>
      </c>
      <c r="B1178" s="417" t="s">
        <v>2627</v>
      </c>
      <c r="C1178" s="417" t="s">
        <v>4740</v>
      </c>
      <c r="D1178" s="417" t="s">
        <v>88</v>
      </c>
      <c r="E1178" s="423">
        <v>6.9320195390011996</v>
      </c>
      <c r="F1178" s="423">
        <v>0.147836158890949</v>
      </c>
      <c r="G1178" s="422">
        <v>149296.67324831581</v>
      </c>
      <c r="H1178" s="417" t="s">
        <v>2616</v>
      </c>
      <c r="I1178" s="417" t="s">
        <v>1392</v>
      </c>
      <c r="J1178" s="417" t="s">
        <v>3742</v>
      </c>
      <c r="K1178" s="417" t="s">
        <v>4741</v>
      </c>
      <c r="L1178" s="417"/>
      <c r="M1178" s="417" t="s">
        <v>28840</v>
      </c>
    </row>
    <row r="1179" spans="1:13" x14ac:dyDescent="0.25">
      <c r="A1179" s="417" t="s">
        <v>3385</v>
      </c>
      <c r="B1179" s="417" t="s">
        <v>2627</v>
      </c>
      <c r="C1179" s="417" t="s">
        <v>1084</v>
      </c>
      <c r="D1179" s="417" t="s">
        <v>88</v>
      </c>
      <c r="E1179" s="423">
        <v>4.4203154002695264</v>
      </c>
      <c r="F1179" s="423">
        <v>0.1155590174067217</v>
      </c>
      <c r="G1179" s="422">
        <v>11231.422488394541</v>
      </c>
      <c r="H1179" s="417" t="s">
        <v>2616</v>
      </c>
      <c r="I1179" s="417" t="s">
        <v>28841</v>
      </c>
      <c r="J1179" s="417" t="s">
        <v>4544</v>
      </c>
      <c r="K1179" s="417" t="s">
        <v>4742</v>
      </c>
      <c r="L1179" s="417"/>
      <c r="M1179" s="417" t="s">
        <v>28840</v>
      </c>
    </row>
    <row r="1180" spans="1:13" x14ac:dyDescent="0.25">
      <c r="A1180" s="417" t="s">
        <v>3385</v>
      </c>
      <c r="B1180" s="417" t="s">
        <v>2627</v>
      </c>
      <c r="C1180" s="417" t="s">
        <v>4743</v>
      </c>
      <c r="D1180" s="417" t="s">
        <v>88</v>
      </c>
      <c r="E1180" s="423">
        <v>2.743530374228341</v>
      </c>
      <c r="F1180" s="423">
        <v>5.0520367369733837E-2</v>
      </c>
      <c r="G1180" s="422">
        <v>7169.2871491368069</v>
      </c>
      <c r="H1180" s="417" t="s">
        <v>2616</v>
      </c>
      <c r="I1180" s="417" t="s">
        <v>1392</v>
      </c>
      <c r="J1180" s="417" t="s">
        <v>3627</v>
      </c>
      <c r="K1180" s="417" t="s">
        <v>4744</v>
      </c>
      <c r="L1180" s="417"/>
      <c r="M1180" s="417" t="s">
        <v>28840</v>
      </c>
    </row>
    <row r="1181" spans="1:13" x14ac:dyDescent="0.25">
      <c r="A1181" s="417" t="s">
        <v>3385</v>
      </c>
      <c r="B1181" s="417" t="s">
        <v>2627</v>
      </c>
      <c r="C1181" s="417" t="s">
        <v>1085</v>
      </c>
      <c r="D1181" s="417" t="s">
        <v>88</v>
      </c>
      <c r="E1181" s="423">
        <v>1.9562730294186701</v>
      </c>
      <c r="F1181" s="423">
        <v>4.4361957768588561E-2</v>
      </c>
      <c r="G1181" s="422">
        <v>5716.9328807642869</v>
      </c>
      <c r="H1181" s="417" t="s">
        <v>2616</v>
      </c>
      <c r="I1181" s="417" t="s">
        <v>28841</v>
      </c>
      <c r="J1181" s="417" t="s">
        <v>3627</v>
      </c>
      <c r="K1181" s="417" t="s">
        <v>4745</v>
      </c>
      <c r="L1181" s="417"/>
      <c r="M1181" s="417" t="s">
        <v>28840</v>
      </c>
    </row>
    <row r="1182" spans="1:13" x14ac:dyDescent="0.25">
      <c r="A1182" s="417" t="s">
        <v>3385</v>
      </c>
      <c r="B1182" s="417" t="s">
        <v>2627</v>
      </c>
      <c r="C1182" s="417" t="s">
        <v>4746</v>
      </c>
      <c r="D1182" s="417" t="s">
        <v>88</v>
      </c>
      <c r="E1182" s="423">
        <v>0.61580782073849172</v>
      </c>
      <c r="F1182" s="423">
        <v>3.3876017097227401E-2</v>
      </c>
      <c r="G1182" s="422">
        <v>3244.005341772935</v>
      </c>
      <c r="H1182" s="417" t="s">
        <v>2616</v>
      </c>
      <c r="I1182" s="417" t="s">
        <v>1392</v>
      </c>
      <c r="J1182" s="417" t="s">
        <v>3627</v>
      </c>
      <c r="K1182" s="417" t="s">
        <v>4747</v>
      </c>
      <c r="L1182" s="417"/>
      <c r="M1182" s="417" t="s">
        <v>28840</v>
      </c>
    </row>
    <row r="1183" spans="1:13" x14ac:dyDescent="0.25">
      <c r="A1183" s="417" t="s">
        <v>3385</v>
      </c>
      <c r="B1183" s="417" t="s">
        <v>3655</v>
      </c>
      <c r="C1183" s="417" t="s">
        <v>4748</v>
      </c>
      <c r="D1183" s="417" t="s">
        <v>88</v>
      </c>
      <c r="E1183" s="423">
        <v>2.0665705109916521</v>
      </c>
      <c r="F1183" s="423">
        <v>0.1931843973398491</v>
      </c>
      <c r="G1183" s="422">
        <v>4288.8155514554273</v>
      </c>
      <c r="H1183" s="417" t="s">
        <v>2616</v>
      </c>
      <c r="I1183" s="417" t="s">
        <v>1392</v>
      </c>
      <c r="J1183" s="417" t="s">
        <v>3754</v>
      </c>
      <c r="K1183" s="417" t="s">
        <v>4749</v>
      </c>
      <c r="L1183" s="417"/>
      <c r="M1183" s="417" t="s">
        <v>28840</v>
      </c>
    </row>
    <row r="1184" spans="1:13" x14ac:dyDescent="0.25">
      <c r="A1184" s="417" t="s">
        <v>3385</v>
      </c>
      <c r="B1184" s="417" t="s">
        <v>2627</v>
      </c>
      <c r="C1184" s="417" t="s">
        <v>4750</v>
      </c>
      <c r="D1184" s="417" t="s">
        <v>88</v>
      </c>
      <c r="E1184" s="423">
        <v>2.38579552245508</v>
      </c>
      <c r="F1184" s="423">
        <v>7.1682489000406441E-2</v>
      </c>
      <c r="G1184" s="422">
        <v>6706.7223214726628</v>
      </c>
      <c r="H1184" s="417" t="s">
        <v>2616</v>
      </c>
      <c r="I1184" s="417" t="s">
        <v>1392</v>
      </c>
      <c r="J1184" s="417" t="s">
        <v>3627</v>
      </c>
      <c r="K1184" s="417" t="s">
        <v>4751</v>
      </c>
      <c r="L1184" s="417"/>
      <c r="M1184" s="417" t="s">
        <v>28840</v>
      </c>
    </row>
    <row r="1185" spans="1:13" x14ac:dyDescent="0.25">
      <c r="A1185" s="417" t="s">
        <v>3385</v>
      </c>
      <c r="B1185" s="417" t="s">
        <v>2627</v>
      </c>
      <c r="C1185" s="417" t="s">
        <v>4752</v>
      </c>
      <c r="D1185" s="417" t="s">
        <v>88</v>
      </c>
      <c r="E1185" s="423">
        <v>2.38579552245508</v>
      </c>
      <c r="F1185" s="423">
        <v>7.1682489000406441E-2</v>
      </c>
      <c r="G1185" s="422">
        <v>6688.686311472663</v>
      </c>
      <c r="H1185" s="417" t="s">
        <v>2616</v>
      </c>
      <c r="I1185" s="417" t="s">
        <v>1392</v>
      </c>
      <c r="J1185" s="417" t="s">
        <v>3627</v>
      </c>
      <c r="K1185" s="417" t="s">
        <v>4753</v>
      </c>
      <c r="L1185" s="417"/>
      <c r="M1185" s="417" t="s">
        <v>28840</v>
      </c>
    </row>
    <row r="1186" spans="1:13" x14ac:dyDescent="0.25">
      <c r="A1186" s="417" t="s">
        <v>3385</v>
      </c>
      <c r="B1186" s="417" t="s">
        <v>2627</v>
      </c>
      <c r="C1186" s="417" t="s">
        <v>4754</v>
      </c>
      <c r="D1186" s="417" t="s">
        <v>563</v>
      </c>
      <c r="E1186" s="423">
        <v>4.0808747541279589</v>
      </c>
      <c r="F1186" s="423">
        <v>0.1173374142760014</v>
      </c>
      <c r="G1186" s="422">
        <v>11242.55241020852</v>
      </c>
      <c r="H1186" s="417" t="s">
        <v>2616</v>
      </c>
      <c r="I1186" s="417" t="s">
        <v>1392</v>
      </c>
      <c r="J1186" s="417" t="s">
        <v>3798</v>
      </c>
      <c r="K1186" s="417" t="s">
        <v>4755</v>
      </c>
      <c r="L1186" s="417"/>
      <c r="M1186" s="417" t="s">
        <v>28840</v>
      </c>
    </row>
    <row r="1187" spans="1:13" x14ac:dyDescent="0.25">
      <c r="A1187" s="417" t="s">
        <v>3385</v>
      </c>
      <c r="B1187" s="417" t="s">
        <v>2627</v>
      </c>
      <c r="C1187" s="417" t="s">
        <v>4756</v>
      </c>
      <c r="D1187" s="417" t="s">
        <v>88</v>
      </c>
      <c r="E1187" s="423">
        <v>1.0453303138319601</v>
      </c>
      <c r="F1187" s="423">
        <v>6.1196548302856403E-2</v>
      </c>
      <c r="G1187" s="422">
        <v>4233.7947825028368</v>
      </c>
      <c r="H1187" s="417" t="s">
        <v>2616</v>
      </c>
      <c r="I1187" s="417" t="s">
        <v>1392</v>
      </c>
      <c r="J1187" s="417" t="s">
        <v>3627</v>
      </c>
      <c r="K1187" s="417" t="s">
        <v>4757</v>
      </c>
      <c r="L1187" s="417"/>
      <c r="M1187" s="417" t="s">
        <v>28840</v>
      </c>
    </row>
    <row r="1188" spans="1:13" x14ac:dyDescent="0.25">
      <c r="A1188" s="417" t="s">
        <v>3385</v>
      </c>
      <c r="B1188" s="417" t="s">
        <v>2627</v>
      </c>
      <c r="C1188" s="417" t="s">
        <v>4758</v>
      </c>
      <c r="D1188" s="417" t="s">
        <v>88</v>
      </c>
      <c r="E1188" s="423">
        <v>3.9980317487165729</v>
      </c>
      <c r="F1188" s="423">
        <v>0.1124436831634804</v>
      </c>
      <c r="G1188" s="422">
        <v>10020.36531219588</v>
      </c>
      <c r="H1188" s="417" t="s">
        <v>2616</v>
      </c>
      <c r="I1188" s="417" t="s">
        <v>1392</v>
      </c>
      <c r="J1188" s="417" t="s">
        <v>3627</v>
      </c>
      <c r="K1188" s="417" t="s">
        <v>4759</v>
      </c>
      <c r="L1188" s="417"/>
      <c r="M1188" s="417" t="s">
        <v>28840</v>
      </c>
    </row>
    <row r="1189" spans="1:13" x14ac:dyDescent="0.25">
      <c r="A1189" s="417" t="s">
        <v>3385</v>
      </c>
      <c r="B1189" s="417" t="s">
        <v>2627</v>
      </c>
      <c r="C1189" s="417" t="s">
        <v>4760</v>
      </c>
      <c r="D1189" s="417" t="s">
        <v>88</v>
      </c>
      <c r="E1189" s="423">
        <v>3.9980317487165729</v>
      </c>
      <c r="F1189" s="423">
        <v>0.1124436831634804</v>
      </c>
      <c r="G1189" s="422">
        <v>9805.309292195876</v>
      </c>
      <c r="H1189" s="417" t="s">
        <v>2616</v>
      </c>
      <c r="I1189" s="417" t="s">
        <v>1392</v>
      </c>
      <c r="J1189" s="417" t="s">
        <v>3627</v>
      </c>
      <c r="K1189" s="417" t="s">
        <v>4761</v>
      </c>
      <c r="L1189" s="417"/>
      <c r="M1189" s="417" t="s">
        <v>28840</v>
      </c>
    </row>
    <row r="1190" spans="1:13" x14ac:dyDescent="0.25">
      <c r="A1190" s="417" t="s">
        <v>3385</v>
      </c>
      <c r="B1190" s="417" t="s">
        <v>2627</v>
      </c>
      <c r="C1190" s="417" t="s">
        <v>4762</v>
      </c>
      <c r="D1190" s="417" t="s">
        <v>88</v>
      </c>
      <c r="E1190" s="423">
        <v>2.657566540500933</v>
      </c>
      <c r="F1190" s="423">
        <v>0.1019577425929879</v>
      </c>
      <c r="G1190" s="422">
        <v>7547.437776446237</v>
      </c>
      <c r="H1190" s="417" t="s">
        <v>2616</v>
      </c>
      <c r="I1190" s="417" t="s">
        <v>1392</v>
      </c>
      <c r="J1190" s="417" t="s">
        <v>3627</v>
      </c>
      <c r="K1190" s="417" t="s">
        <v>4763</v>
      </c>
      <c r="L1190" s="417"/>
      <c r="M1190" s="417" t="s">
        <v>28840</v>
      </c>
    </row>
    <row r="1191" spans="1:13" x14ac:dyDescent="0.25">
      <c r="A1191" s="417" t="s">
        <v>3385</v>
      </c>
      <c r="B1191" s="417" t="s">
        <v>2627</v>
      </c>
      <c r="C1191" s="417" t="s">
        <v>1093</v>
      </c>
      <c r="D1191" s="417" t="s">
        <v>88</v>
      </c>
      <c r="E1191" s="423">
        <v>20.397561788975381</v>
      </c>
      <c r="F1191" s="423">
        <v>0.84912639606280527</v>
      </c>
      <c r="G1191" s="422">
        <v>47811.684019738837</v>
      </c>
      <c r="H1191" s="417" t="s">
        <v>2616</v>
      </c>
      <c r="I1191" s="417" t="s">
        <v>28841</v>
      </c>
      <c r="J1191" s="417" t="s">
        <v>3915</v>
      </c>
      <c r="K1191" s="417" t="s">
        <v>4764</v>
      </c>
      <c r="L1191" s="417"/>
      <c r="M1191" s="417" t="s">
        <v>28840</v>
      </c>
    </row>
    <row r="1192" spans="1:13" x14ac:dyDescent="0.25">
      <c r="A1192" s="417" t="s">
        <v>3385</v>
      </c>
      <c r="B1192" s="417" t="s">
        <v>3405</v>
      </c>
      <c r="C1192" s="417" t="s">
        <v>4765</v>
      </c>
      <c r="D1192" s="417" t="s">
        <v>88</v>
      </c>
      <c r="E1192" s="423">
        <v>3.6232691787275719</v>
      </c>
      <c r="F1192" s="423">
        <v>0.1137485432867173</v>
      </c>
      <c r="G1192" s="422">
        <v>12016.543402732001</v>
      </c>
      <c r="H1192" s="417" t="s">
        <v>2616</v>
      </c>
      <c r="I1192" s="417" t="s">
        <v>1392</v>
      </c>
      <c r="J1192" s="417" t="s">
        <v>4417</v>
      </c>
      <c r="K1192" s="417" t="s">
        <v>4766</v>
      </c>
      <c r="L1192" s="417"/>
      <c r="M1192" s="417" t="s">
        <v>28840</v>
      </c>
    </row>
    <row r="1193" spans="1:13" x14ac:dyDescent="0.25">
      <c r="A1193" s="417" t="s">
        <v>3385</v>
      </c>
      <c r="B1193" s="417" t="s">
        <v>2627</v>
      </c>
      <c r="C1193" s="417" t="s">
        <v>918</v>
      </c>
      <c r="D1193" s="417" t="s">
        <v>563</v>
      </c>
      <c r="E1193" s="423">
        <v>158.5241456088597</v>
      </c>
      <c r="F1193" s="423">
        <v>7.7864853380943551</v>
      </c>
      <c r="G1193" s="422">
        <v>303314.05759377999</v>
      </c>
      <c r="H1193" s="417" t="s">
        <v>2616</v>
      </c>
      <c r="I1193" s="417" t="s">
        <v>28841</v>
      </c>
      <c r="J1193" s="417" t="s">
        <v>4767</v>
      </c>
      <c r="K1193" s="417" t="s">
        <v>4768</v>
      </c>
      <c r="L1193" s="417"/>
      <c r="M1193" s="417" t="s">
        <v>28840</v>
      </c>
    </row>
    <row r="1194" spans="1:13" x14ac:dyDescent="0.25">
      <c r="A1194" s="417" t="s">
        <v>3385</v>
      </c>
      <c r="B1194" s="417" t="s">
        <v>2627</v>
      </c>
      <c r="C1194" s="417" t="s">
        <v>4769</v>
      </c>
      <c r="D1194" s="417" t="s">
        <v>563</v>
      </c>
      <c r="E1194" s="423">
        <v>158.5241456088597</v>
      </c>
      <c r="F1194" s="423">
        <v>7.7864853380943551</v>
      </c>
      <c r="G1194" s="422">
        <v>303312.96699628769</v>
      </c>
      <c r="H1194" s="417" t="s">
        <v>2616</v>
      </c>
      <c r="I1194" s="417" t="s">
        <v>1392</v>
      </c>
      <c r="J1194" s="417" t="s">
        <v>3627</v>
      </c>
      <c r="K1194" s="417" t="s">
        <v>4770</v>
      </c>
      <c r="L1194" s="417"/>
      <c r="M1194" s="417" t="s">
        <v>28840</v>
      </c>
    </row>
    <row r="1195" spans="1:13" x14ac:dyDescent="0.25">
      <c r="A1195" s="417" t="s">
        <v>3385</v>
      </c>
      <c r="B1195" s="417" t="s">
        <v>2437</v>
      </c>
      <c r="C1195" s="417" t="s">
        <v>4771</v>
      </c>
      <c r="D1195" s="417" t="s">
        <v>88</v>
      </c>
      <c r="E1195" s="423">
        <v>3.73094663569701</v>
      </c>
      <c r="F1195" s="423">
        <v>0.2337715922039339</v>
      </c>
      <c r="G1195" s="422">
        <v>7124.4548288753431</v>
      </c>
      <c r="H1195" s="417" t="s">
        <v>2616</v>
      </c>
      <c r="I1195" s="417" t="s">
        <v>1392</v>
      </c>
      <c r="J1195" s="417" t="s">
        <v>3871</v>
      </c>
      <c r="K1195" s="417" t="s">
        <v>4772</v>
      </c>
      <c r="L1195" s="417"/>
      <c r="M1195" s="417" t="s">
        <v>28840</v>
      </c>
    </row>
    <row r="1196" spans="1:13" x14ac:dyDescent="0.25">
      <c r="A1196" s="417" t="s">
        <v>3385</v>
      </c>
      <c r="B1196" s="417" t="s">
        <v>2627</v>
      </c>
      <c r="C1196" s="417" t="s">
        <v>924</v>
      </c>
      <c r="D1196" s="417" t="s">
        <v>88</v>
      </c>
      <c r="E1196" s="423">
        <v>1.8600353135976841E-2</v>
      </c>
      <c r="F1196" s="423">
        <v>9.3494284753133897E-4</v>
      </c>
      <c r="G1196" s="422">
        <v>52.089372102731758</v>
      </c>
      <c r="H1196" s="417" t="s">
        <v>2616</v>
      </c>
      <c r="I1196" s="417" t="s">
        <v>28841</v>
      </c>
      <c r="J1196" s="417" t="s">
        <v>3616</v>
      </c>
      <c r="K1196" s="417" t="s">
        <v>4773</v>
      </c>
      <c r="L1196" s="417"/>
      <c r="M1196" s="417" t="s">
        <v>28840</v>
      </c>
    </row>
    <row r="1197" spans="1:13" x14ac:dyDescent="0.25">
      <c r="A1197" s="417" t="s">
        <v>3385</v>
      </c>
      <c r="B1197" s="417" t="s">
        <v>2627</v>
      </c>
      <c r="C1197" s="417" t="s">
        <v>1116</v>
      </c>
      <c r="D1197" s="417" t="s">
        <v>88</v>
      </c>
      <c r="E1197" s="423">
        <v>3.3418277033278329E-3</v>
      </c>
      <c r="F1197" s="423">
        <v>8.4238723373834698E-5</v>
      </c>
      <c r="G1197" s="422">
        <v>5.3008415260448372</v>
      </c>
      <c r="H1197" s="417" t="s">
        <v>2616</v>
      </c>
      <c r="I1197" s="417" t="s">
        <v>28841</v>
      </c>
      <c r="J1197" s="417" t="s">
        <v>3860</v>
      </c>
      <c r="K1197" s="417" t="s">
        <v>4774</v>
      </c>
      <c r="L1197" s="417"/>
      <c r="M1197" s="417" t="s">
        <v>28840</v>
      </c>
    </row>
    <row r="1198" spans="1:13" x14ac:dyDescent="0.25">
      <c r="A1198" s="417" t="s">
        <v>3385</v>
      </c>
      <c r="B1198" s="417" t="s">
        <v>2627</v>
      </c>
      <c r="C1198" s="417" t="s">
        <v>4775</v>
      </c>
      <c r="D1198" s="417" t="s">
        <v>88</v>
      </c>
      <c r="E1198" s="423">
        <v>3.2702419626665022E-2</v>
      </c>
      <c r="F1198" s="423">
        <v>2.1137212113964349E-3</v>
      </c>
      <c r="G1198" s="422">
        <v>156.77494333277139</v>
      </c>
      <c r="H1198" s="417" t="s">
        <v>2616</v>
      </c>
      <c r="I1198" s="417" t="s">
        <v>1392</v>
      </c>
      <c r="J1198" s="417" t="s">
        <v>4016</v>
      </c>
      <c r="K1198" s="417" t="s">
        <v>4776</v>
      </c>
      <c r="L1198" s="417"/>
      <c r="M1198" s="417" t="s">
        <v>28840</v>
      </c>
    </row>
    <row r="1199" spans="1:13" x14ac:dyDescent="0.25">
      <c r="A1199" s="417" t="s">
        <v>3385</v>
      </c>
      <c r="B1199" s="417" t="s">
        <v>2627</v>
      </c>
      <c r="C1199" s="417" t="s">
        <v>4777</v>
      </c>
      <c r="D1199" s="417" t="s">
        <v>88</v>
      </c>
      <c r="E1199" s="423">
        <v>2.804086831737302E-2</v>
      </c>
      <c r="F1199" s="423">
        <v>1.319561639817656E-3</v>
      </c>
      <c r="G1199" s="422">
        <v>104.5880459527265</v>
      </c>
      <c r="H1199" s="417" t="s">
        <v>2616</v>
      </c>
      <c r="I1199" s="417" t="s">
        <v>1392</v>
      </c>
      <c r="J1199" s="417" t="s">
        <v>4016</v>
      </c>
      <c r="K1199" s="417" t="s">
        <v>4778</v>
      </c>
      <c r="L1199" s="417"/>
      <c r="M1199" s="417" t="s">
        <v>28840</v>
      </c>
    </row>
    <row r="1200" spans="1:13" x14ac:dyDescent="0.25">
      <c r="A1200" s="417" t="s">
        <v>3385</v>
      </c>
      <c r="B1200" s="417" t="s">
        <v>2627</v>
      </c>
      <c r="C1200" s="417" t="s">
        <v>4779</v>
      </c>
      <c r="D1200" s="417" t="s">
        <v>88</v>
      </c>
      <c r="E1200" s="423">
        <v>4.1724074697807627E-4</v>
      </c>
      <c r="F1200" s="423">
        <v>4.3276288223343423E-5</v>
      </c>
      <c r="G1200" s="422">
        <v>9.6852607848618746</v>
      </c>
      <c r="H1200" s="417" t="s">
        <v>2616</v>
      </c>
      <c r="I1200" s="417" t="s">
        <v>1392</v>
      </c>
      <c r="J1200" s="417" t="s">
        <v>4016</v>
      </c>
      <c r="K1200" s="417" t="s">
        <v>4780</v>
      </c>
      <c r="L1200" s="417"/>
      <c r="M1200" s="417" t="s">
        <v>28840</v>
      </c>
    </row>
    <row r="1201" spans="1:13" x14ac:dyDescent="0.25">
      <c r="A1201" s="417" t="s">
        <v>3385</v>
      </c>
      <c r="B1201" s="417" t="s">
        <v>2627</v>
      </c>
      <c r="C1201" s="417" t="s">
        <v>4781</v>
      </c>
      <c r="D1201" s="417" t="s">
        <v>88</v>
      </c>
      <c r="E1201" s="423">
        <v>2.8586309828813401E-2</v>
      </c>
      <c r="F1201" s="423">
        <v>1.7298414582419979E-3</v>
      </c>
      <c r="G1201" s="422">
        <v>125.7215250242164</v>
      </c>
      <c r="H1201" s="417" t="s">
        <v>2616</v>
      </c>
      <c r="I1201" s="417" t="s">
        <v>1392</v>
      </c>
      <c r="J1201" s="417" t="s">
        <v>4016</v>
      </c>
      <c r="K1201" s="417" t="s">
        <v>4782</v>
      </c>
      <c r="L1201" s="417"/>
      <c r="M1201" s="417" t="s">
        <v>28840</v>
      </c>
    </row>
    <row r="1202" spans="1:13" x14ac:dyDescent="0.25">
      <c r="A1202" s="417" t="s">
        <v>3385</v>
      </c>
      <c r="B1202" s="417" t="s">
        <v>2627</v>
      </c>
      <c r="C1202" s="417" t="s">
        <v>4783</v>
      </c>
      <c r="D1202" s="417" t="s">
        <v>88</v>
      </c>
      <c r="E1202" s="423">
        <v>3.3299579688552058E-2</v>
      </c>
      <c r="F1202" s="423">
        <v>1.962173659041572E-3</v>
      </c>
      <c r="G1202" s="422">
        <v>154.9806263879841</v>
      </c>
      <c r="H1202" s="417" t="s">
        <v>2616</v>
      </c>
      <c r="I1202" s="417" t="s">
        <v>1392</v>
      </c>
      <c r="J1202" s="417" t="s">
        <v>4016</v>
      </c>
      <c r="K1202" s="417" t="s">
        <v>4784</v>
      </c>
      <c r="L1202" s="417"/>
      <c r="M1202" s="417" t="s">
        <v>28840</v>
      </c>
    </row>
    <row r="1203" spans="1:13" x14ac:dyDescent="0.25">
      <c r="A1203" s="417" t="s">
        <v>3385</v>
      </c>
      <c r="B1203" s="417" t="s">
        <v>2627</v>
      </c>
      <c r="C1203" s="417" t="s">
        <v>4785</v>
      </c>
      <c r="D1203" s="417" t="s">
        <v>88</v>
      </c>
      <c r="E1203" s="423">
        <v>3.9792642661236832E-2</v>
      </c>
      <c r="F1203" s="423">
        <v>2.6046854592229399E-3</v>
      </c>
      <c r="G1203" s="422">
        <v>177.3409886351217</v>
      </c>
      <c r="H1203" s="417" t="s">
        <v>2616</v>
      </c>
      <c r="I1203" s="417" t="s">
        <v>1392</v>
      </c>
      <c r="J1203" s="417" t="s">
        <v>4016</v>
      </c>
      <c r="K1203" s="417" t="s">
        <v>4786</v>
      </c>
      <c r="L1203" s="417"/>
      <c r="M1203" s="417" t="s">
        <v>28840</v>
      </c>
    </row>
    <row r="1204" spans="1:13" x14ac:dyDescent="0.25">
      <c r="A1204" s="417" t="s">
        <v>3385</v>
      </c>
      <c r="B1204" s="417" t="s">
        <v>2627</v>
      </c>
      <c r="C1204" s="417" t="s">
        <v>4787</v>
      </c>
      <c r="D1204" s="417" t="s">
        <v>88</v>
      </c>
      <c r="E1204" s="423">
        <v>3.8836493231274992E-2</v>
      </c>
      <c r="F1204" s="423">
        <v>1.7407535631784989E-3</v>
      </c>
      <c r="G1204" s="422">
        <v>128.10846366290949</v>
      </c>
      <c r="H1204" s="417" t="s">
        <v>2616</v>
      </c>
      <c r="I1204" s="417" t="s">
        <v>1392</v>
      </c>
      <c r="J1204" s="417" t="s">
        <v>4016</v>
      </c>
      <c r="K1204" s="417" t="s">
        <v>4788</v>
      </c>
      <c r="L1204" s="417"/>
      <c r="M1204" s="417" t="s">
        <v>28840</v>
      </c>
    </row>
    <row r="1205" spans="1:13" x14ac:dyDescent="0.25">
      <c r="A1205" s="417" t="s">
        <v>3385</v>
      </c>
      <c r="B1205" s="417" t="s">
        <v>2627</v>
      </c>
      <c r="C1205" s="417" t="s">
        <v>4789</v>
      </c>
      <c r="D1205" s="417" t="s">
        <v>88</v>
      </c>
      <c r="E1205" s="423">
        <v>3.2691775551771253E-2</v>
      </c>
      <c r="F1205" s="423">
        <v>2.0948634726657141E-3</v>
      </c>
      <c r="G1205" s="422">
        <v>135.24357770265269</v>
      </c>
      <c r="H1205" s="417" t="s">
        <v>2616</v>
      </c>
      <c r="I1205" s="417" t="s">
        <v>1392</v>
      </c>
      <c r="J1205" s="417" t="s">
        <v>4016</v>
      </c>
      <c r="K1205" s="417" t="s">
        <v>4790</v>
      </c>
      <c r="L1205" s="417"/>
      <c r="M1205" s="417" t="s">
        <v>28840</v>
      </c>
    </row>
    <row r="1206" spans="1:13" x14ac:dyDescent="0.25">
      <c r="A1206" s="417" t="s">
        <v>3385</v>
      </c>
      <c r="B1206" s="417" t="s">
        <v>2627</v>
      </c>
      <c r="C1206" s="417" t="s">
        <v>4791</v>
      </c>
      <c r="D1206" s="417" t="s">
        <v>88</v>
      </c>
      <c r="E1206" s="423">
        <v>3.110524393450672E-2</v>
      </c>
      <c r="F1206" s="423">
        <v>1.9588776441345828E-3</v>
      </c>
      <c r="G1206" s="422">
        <v>140.4630609006918</v>
      </c>
      <c r="H1206" s="417" t="s">
        <v>2616</v>
      </c>
      <c r="I1206" s="417" t="s">
        <v>1392</v>
      </c>
      <c r="J1206" s="417" t="s">
        <v>4016</v>
      </c>
      <c r="K1206" s="417" t="s">
        <v>4792</v>
      </c>
      <c r="L1206" s="417"/>
      <c r="M1206" s="417" t="s">
        <v>28840</v>
      </c>
    </row>
    <row r="1207" spans="1:13" x14ac:dyDescent="0.25">
      <c r="A1207" s="417" t="s">
        <v>3385</v>
      </c>
      <c r="B1207" s="417" t="s">
        <v>2627</v>
      </c>
      <c r="C1207" s="417" t="s">
        <v>4793</v>
      </c>
      <c r="D1207" s="417" t="s">
        <v>88</v>
      </c>
      <c r="E1207" s="423">
        <v>4.699646847838989E-2</v>
      </c>
      <c r="F1207" s="423">
        <v>3.366711352071004E-3</v>
      </c>
      <c r="G1207" s="422">
        <v>168.42130957762689</v>
      </c>
      <c r="H1207" s="417" t="s">
        <v>2616</v>
      </c>
      <c r="I1207" s="417" t="s">
        <v>1392</v>
      </c>
      <c r="J1207" s="417" t="s">
        <v>4016</v>
      </c>
      <c r="K1207" s="417" t="s">
        <v>4794</v>
      </c>
      <c r="L1207" s="417"/>
      <c r="M1207" s="417" t="s">
        <v>28840</v>
      </c>
    </row>
    <row r="1208" spans="1:13" x14ac:dyDescent="0.25">
      <c r="A1208" s="417" t="s">
        <v>3385</v>
      </c>
      <c r="B1208" s="417" t="s">
        <v>2627</v>
      </c>
      <c r="C1208" s="417" t="s">
        <v>4795</v>
      </c>
      <c r="D1208" s="417" t="s">
        <v>88</v>
      </c>
      <c r="E1208" s="423">
        <v>3.6545360152758222E-2</v>
      </c>
      <c r="F1208" s="423">
        <v>2.4651795562584682E-3</v>
      </c>
      <c r="G1208" s="422">
        <v>159.34797121832969</v>
      </c>
      <c r="H1208" s="417" t="s">
        <v>2616</v>
      </c>
      <c r="I1208" s="417" t="s">
        <v>1392</v>
      </c>
      <c r="J1208" s="417" t="s">
        <v>4016</v>
      </c>
      <c r="K1208" s="417" t="s">
        <v>4796</v>
      </c>
      <c r="L1208" s="417"/>
      <c r="M1208" s="417" t="s">
        <v>28840</v>
      </c>
    </row>
    <row r="1209" spans="1:13" x14ac:dyDescent="0.25">
      <c r="A1209" s="417" t="s">
        <v>3385</v>
      </c>
      <c r="B1209" s="417" t="s">
        <v>2627</v>
      </c>
      <c r="C1209" s="417" t="s">
        <v>4797</v>
      </c>
      <c r="D1209" s="417" t="s">
        <v>88</v>
      </c>
      <c r="E1209" s="423">
        <v>4.1436524442309261E-2</v>
      </c>
      <c r="F1209" s="423">
        <v>1.737920712875415E-3</v>
      </c>
      <c r="G1209" s="422">
        <v>130.0809582344333</v>
      </c>
      <c r="H1209" s="417" t="s">
        <v>2616</v>
      </c>
      <c r="I1209" s="417" t="s">
        <v>1392</v>
      </c>
      <c r="J1209" s="417" t="s">
        <v>4016</v>
      </c>
      <c r="K1209" s="417" t="s">
        <v>4798</v>
      </c>
      <c r="L1209" s="417"/>
      <c r="M1209" s="417" t="s">
        <v>28840</v>
      </c>
    </row>
    <row r="1210" spans="1:13" x14ac:dyDescent="0.25">
      <c r="A1210" s="417" t="s">
        <v>3385</v>
      </c>
      <c r="B1210" s="417" t="s">
        <v>2627</v>
      </c>
      <c r="C1210" s="417" t="s">
        <v>4799</v>
      </c>
      <c r="D1210" s="417" t="s">
        <v>4427</v>
      </c>
      <c r="E1210" s="423">
        <v>25.76968009341315</v>
      </c>
      <c r="F1210" s="423">
        <v>0.73451697469383748</v>
      </c>
      <c r="G1210" s="422">
        <v>37740.072758372196</v>
      </c>
      <c r="H1210" s="417" t="s">
        <v>2616</v>
      </c>
      <c r="I1210" s="417" t="s">
        <v>1392</v>
      </c>
      <c r="J1210" s="417" t="s">
        <v>4016</v>
      </c>
      <c r="K1210" s="417" t="s">
        <v>4800</v>
      </c>
      <c r="L1210" s="417"/>
      <c r="M1210" s="417" t="s">
        <v>28840</v>
      </c>
    </row>
    <row r="1211" spans="1:13" x14ac:dyDescent="0.25">
      <c r="A1211" s="417" t="s">
        <v>3385</v>
      </c>
      <c r="B1211" s="417" t="s">
        <v>2627</v>
      </c>
      <c r="C1211" s="417" t="s">
        <v>4801</v>
      </c>
      <c r="D1211" s="417" t="s">
        <v>88</v>
      </c>
      <c r="E1211" s="423">
        <v>0.81743831282537693</v>
      </c>
      <c r="F1211" s="423">
        <v>5.1483342061572991E-2</v>
      </c>
      <c r="G1211" s="422">
        <v>954.40214431956463</v>
      </c>
      <c r="H1211" s="417" t="s">
        <v>2616</v>
      </c>
      <c r="I1211" s="417" t="s">
        <v>1392</v>
      </c>
      <c r="J1211" s="417" t="s">
        <v>4614</v>
      </c>
      <c r="K1211" s="417" t="s">
        <v>4802</v>
      </c>
      <c r="L1211" s="417"/>
      <c r="M1211" s="417" t="s">
        <v>28840</v>
      </c>
    </row>
    <row r="1212" spans="1:13" x14ac:dyDescent="0.25">
      <c r="A1212" s="417" t="s">
        <v>3385</v>
      </c>
      <c r="B1212" s="417" t="s">
        <v>2627</v>
      </c>
      <c r="C1212" s="417" t="s">
        <v>4803</v>
      </c>
      <c r="D1212" s="417" t="s">
        <v>88</v>
      </c>
      <c r="E1212" s="423">
        <v>3.147776373325696</v>
      </c>
      <c r="F1212" s="423">
        <v>4.6398415443988053E-2</v>
      </c>
      <c r="G1212" s="422">
        <v>13102.819621422879</v>
      </c>
      <c r="H1212" s="417" t="s">
        <v>2616</v>
      </c>
      <c r="I1212" s="417" t="s">
        <v>1392</v>
      </c>
      <c r="J1212" s="417" t="s">
        <v>4054</v>
      </c>
      <c r="K1212" s="417" t="s">
        <v>4804</v>
      </c>
      <c r="L1212" s="417"/>
      <c r="M1212" s="417" t="s">
        <v>28840</v>
      </c>
    </row>
    <row r="1213" spans="1:13" x14ac:dyDescent="0.25">
      <c r="A1213" s="417" t="s">
        <v>3385</v>
      </c>
      <c r="B1213" s="417" t="s">
        <v>2627</v>
      </c>
      <c r="C1213" s="417" t="s">
        <v>4805</v>
      </c>
      <c r="D1213" s="417" t="s">
        <v>88</v>
      </c>
      <c r="E1213" s="423">
        <v>3.3267181367670489</v>
      </c>
      <c r="F1213" s="423">
        <v>6.5525878151605182E-2</v>
      </c>
      <c r="G1213" s="422">
        <v>13461.24875652129</v>
      </c>
      <c r="H1213" s="417" t="s">
        <v>2616</v>
      </c>
      <c r="I1213" s="417" t="s">
        <v>1392</v>
      </c>
      <c r="J1213" s="417" t="s">
        <v>4054</v>
      </c>
      <c r="K1213" s="417" t="s">
        <v>4806</v>
      </c>
      <c r="L1213" s="417"/>
      <c r="M1213" s="417" t="s">
        <v>28840</v>
      </c>
    </row>
    <row r="1214" spans="1:13" x14ac:dyDescent="0.25">
      <c r="A1214" s="417" t="s">
        <v>3385</v>
      </c>
      <c r="B1214" s="417" t="s">
        <v>3405</v>
      </c>
      <c r="C1214" s="417" t="s">
        <v>4807</v>
      </c>
      <c r="D1214" s="417" t="s">
        <v>989</v>
      </c>
      <c r="E1214" s="423">
        <v>729.76232816442257</v>
      </c>
      <c r="F1214" s="423">
        <v>19.867246646540789</v>
      </c>
      <c r="G1214" s="422">
        <v>1802358.5137621399</v>
      </c>
      <c r="H1214" s="417" t="s">
        <v>2616</v>
      </c>
      <c r="I1214" s="417" t="s">
        <v>1392</v>
      </c>
      <c r="J1214" s="417" t="s">
        <v>4808</v>
      </c>
      <c r="K1214" s="417" t="s">
        <v>4809</v>
      </c>
      <c r="L1214" s="417"/>
      <c r="M1214" s="417" t="s">
        <v>28840</v>
      </c>
    </row>
    <row r="1215" spans="1:13" x14ac:dyDescent="0.25">
      <c r="A1215" s="417" t="s">
        <v>3385</v>
      </c>
      <c r="B1215" s="417" t="s">
        <v>2437</v>
      </c>
      <c r="C1215" s="417" t="s">
        <v>4810</v>
      </c>
      <c r="D1215" s="417" t="s">
        <v>563</v>
      </c>
      <c r="E1215" s="423">
        <v>3.6544171436225539</v>
      </c>
      <c r="F1215" s="423">
        <v>5.8803636109039388E-2</v>
      </c>
      <c r="G1215" s="422">
        <v>4811.283958563673</v>
      </c>
      <c r="H1215" s="417" t="s">
        <v>2616</v>
      </c>
      <c r="I1215" s="417" t="s">
        <v>1392</v>
      </c>
      <c r="J1215" s="417" t="s">
        <v>3845</v>
      </c>
      <c r="K1215" s="417" t="s">
        <v>4811</v>
      </c>
      <c r="L1215" s="417"/>
      <c r="M1215" s="417" t="s">
        <v>28840</v>
      </c>
    </row>
    <row r="1216" spans="1:13" x14ac:dyDescent="0.25">
      <c r="A1216" s="417" t="s">
        <v>3385</v>
      </c>
      <c r="B1216" s="417" t="s">
        <v>2627</v>
      </c>
      <c r="C1216" s="417" t="s">
        <v>4812</v>
      </c>
      <c r="D1216" s="417" t="s">
        <v>88</v>
      </c>
      <c r="E1216" s="423">
        <v>6.6050918857011913</v>
      </c>
      <c r="F1216" s="423">
        <v>0.16040526755206161</v>
      </c>
      <c r="G1216" s="422">
        <v>12386.06143892028</v>
      </c>
      <c r="H1216" s="417" t="s">
        <v>2616</v>
      </c>
      <c r="I1216" s="417" t="s">
        <v>1392</v>
      </c>
      <c r="J1216" s="417" t="s">
        <v>3633</v>
      </c>
      <c r="K1216" s="417" t="s">
        <v>4813</v>
      </c>
      <c r="L1216" s="417"/>
      <c r="M1216" s="417" t="s">
        <v>28840</v>
      </c>
    </row>
    <row r="1217" spans="1:13" x14ac:dyDescent="0.25">
      <c r="A1217" s="417" t="s">
        <v>3385</v>
      </c>
      <c r="B1217" s="417" t="s">
        <v>2627</v>
      </c>
      <c r="C1217" s="417" t="s">
        <v>4814</v>
      </c>
      <c r="D1217" s="417" t="s">
        <v>88</v>
      </c>
      <c r="E1217" s="423">
        <v>6.1269388664937627E-2</v>
      </c>
      <c r="F1217" s="423">
        <v>6.5321061702527409E-3</v>
      </c>
      <c r="G1217" s="422">
        <v>198.1491604099237</v>
      </c>
      <c r="H1217" s="417" t="s">
        <v>2616</v>
      </c>
      <c r="I1217" s="417" t="s">
        <v>1392</v>
      </c>
      <c r="J1217" s="417" t="s">
        <v>4815</v>
      </c>
      <c r="K1217" s="417" t="s">
        <v>4816</v>
      </c>
      <c r="L1217" s="417"/>
      <c r="M1217" s="417" t="s">
        <v>28840</v>
      </c>
    </row>
    <row r="1218" spans="1:13" x14ac:dyDescent="0.25">
      <c r="A1218" s="417" t="s">
        <v>3385</v>
      </c>
      <c r="B1218" s="417" t="s">
        <v>2627</v>
      </c>
      <c r="C1218" s="417" t="s">
        <v>4817</v>
      </c>
      <c r="D1218" s="417" t="s">
        <v>563</v>
      </c>
      <c r="E1218" s="423">
        <v>2.1604729638162099</v>
      </c>
      <c r="F1218" s="423">
        <v>0.67750054498976708</v>
      </c>
      <c r="G1218" s="422">
        <v>3596.561641756994</v>
      </c>
      <c r="H1218" s="417" t="s">
        <v>2616</v>
      </c>
      <c r="I1218" s="417" t="s">
        <v>1392</v>
      </c>
      <c r="J1218" s="417" t="s">
        <v>4016</v>
      </c>
      <c r="K1218" s="417" t="s">
        <v>4818</v>
      </c>
      <c r="L1218" s="417"/>
      <c r="M1218" s="417" t="s">
        <v>28840</v>
      </c>
    </row>
    <row r="1219" spans="1:13" x14ac:dyDescent="0.25">
      <c r="A1219" s="417" t="s">
        <v>3385</v>
      </c>
      <c r="B1219" s="417" t="s">
        <v>2437</v>
      </c>
      <c r="C1219" s="417" t="s">
        <v>4819</v>
      </c>
      <c r="D1219" s="417" t="s">
        <v>88</v>
      </c>
      <c r="E1219" s="423">
        <v>2.18738898901973</v>
      </c>
      <c r="F1219" s="423">
        <v>0.18656461767817639</v>
      </c>
      <c r="G1219" s="422">
        <v>4840.0776445947486</v>
      </c>
      <c r="H1219" s="417" t="s">
        <v>2616</v>
      </c>
      <c r="I1219" s="417" t="s">
        <v>1392</v>
      </c>
      <c r="J1219" s="417" t="s">
        <v>3871</v>
      </c>
      <c r="K1219" s="417" t="s">
        <v>4820</v>
      </c>
      <c r="L1219" s="417"/>
      <c r="M1219" s="417" t="s">
        <v>28840</v>
      </c>
    </row>
    <row r="1220" spans="1:13" x14ac:dyDescent="0.25">
      <c r="A1220" s="417" t="s">
        <v>3385</v>
      </c>
      <c r="B1220" s="417" t="s">
        <v>2627</v>
      </c>
      <c r="C1220" s="417" t="s">
        <v>1094</v>
      </c>
      <c r="D1220" s="417" t="s">
        <v>88</v>
      </c>
      <c r="E1220" s="423">
        <v>6.9200444997858996</v>
      </c>
      <c r="F1220" s="423">
        <v>0.53438662712537233</v>
      </c>
      <c r="G1220" s="422">
        <v>19089.26890310676</v>
      </c>
      <c r="H1220" s="417" t="s">
        <v>2616</v>
      </c>
      <c r="I1220" s="417" t="s">
        <v>28841</v>
      </c>
      <c r="J1220" s="417" t="s">
        <v>3915</v>
      </c>
      <c r="K1220" s="417" t="s">
        <v>4821</v>
      </c>
      <c r="L1220" s="417"/>
      <c r="M1220" s="417" t="s">
        <v>28840</v>
      </c>
    </row>
    <row r="1221" spans="1:13" x14ac:dyDescent="0.25">
      <c r="A1221" s="417" t="s">
        <v>3385</v>
      </c>
      <c r="B1221" s="417" t="s">
        <v>2627</v>
      </c>
      <c r="C1221" s="417" t="s">
        <v>4822</v>
      </c>
      <c r="D1221" s="417" t="s">
        <v>83</v>
      </c>
      <c r="E1221" s="423">
        <v>198.97042657198509</v>
      </c>
      <c r="F1221" s="423">
        <v>5.0441746495005884</v>
      </c>
      <c r="G1221" s="422">
        <v>310895.35786809609</v>
      </c>
      <c r="H1221" s="417" t="s">
        <v>2616</v>
      </c>
      <c r="I1221" s="417" t="s">
        <v>1392</v>
      </c>
      <c r="J1221" s="417" t="s">
        <v>4823</v>
      </c>
      <c r="K1221" s="417" t="s">
        <v>4824</v>
      </c>
      <c r="L1221" s="417"/>
      <c r="M1221" s="417" t="s">
        <v>28840</v>
      </c>
    </row>
    <row r="1222" spans="1:13" x14ac:dyDescent="0.25">
      <c r="A1222" s="417" t="s">
        <v>3385</v>
      </c>
      <c r="B1222" s="417" t="s">
        <v>3405</v>
      </c>
      <c r="C1222" s="417" t="s">
        <v>4825</v>
      </c>
      <c r="D1222" s="417" t="s">
        <v>73</v>
      </c>
      <c r="E1222" s="423">
        <v>2.115784311165269E-2</v>
      </c>
      <c r="F1222" s="423">
        <v>0.1213674772838356</v>
      </c>
      <c r="G1222" s="422">
        <v>70.870162941911133</v>
      </c>
      <c r="H1222" s="417" t="s">
        <v>2616</v>
      </c>
      <c r="I1222" s="417" t="s">
        <v>1392</v>
      </c>
      <c r="J1222" s="417" t="s">
        <v>4245</v>
      </c>
      <c r="K1222" s="417" t="s">
        <v>4826</v>
      </c>
      <c r="L1222" s="417"/>
      <c r="M1222" s="417" t="s">
        <v>28840</v>
      </c>
    </row>
    <row r="1223" spans="1:13" x14ac:dyDescent="0.25">
      <c r="A1223" s="417" t="s">
        <v>3385</v>
      </c>
      <c r="B1223" s="417" t="s">
        <v>3405</v>
      </c>
      <c r="C1223" s="417" t="s">
        <v>4827</v>
      </c>
      <c r="D1223" s="417" t="s">
        <v>73</v>
      </c>
      <c r="E1223" s="423">
        <v>2.126157069349412E-2</v>
      </c>
      <c r="F1223" s="423">
        <v>0.1214423381223327</v>
      </c>
      <c r="G1223" s="422">
        <v>58.86534750722123</v>
      </c>
      <c r="H1223" s="417" t="s">
        <v>2616</v>
      </c>
      <c r="I1223" s="417" t="s">
        <v>1392</v>
      </c>
      <c r="J1223" s="417" t="s">
        <v>4245</v>
      </c>
      <c r="K1223" s="417" t="s">
        <v>4828</v>
      </c>
      <c r="L1223" s="417"/>
      <c r="M1223" s="417" t="s">
        <v>28840</v>
      </c>
    </row>
    <row r="1224" spans="1:13" x14ac:dyDescent="0.25">
      <c r="A1224" s="417" t="s">
        <v>3385</v>
      </c>
      <c r="B1224" s="417" t="s">
        <v>3405</v>
      </c>
      <c r="C1224" s="417" t="s">
        <v>4829</v>
      </c>
      <c r="D1224" s="417" t="s">
        <v>73</v>
      </c>
      <c r="E1224" s="423">
        <v>2.118373984519668E-2</v>
      </c>
      <c r="F1224" s="423">
        <v>0.12137064894871499</v>
      </c>
      <c r="G1224" s="422">
        <v>58.723054533048213</v>
      </c>
      <c r="H1224" s="417" t="s">
        <v>2616</v>
      </c>
      <c r="I1224" s="417" t="s">
        <v>1392</v>
      </c>
      <c r="J1224" s="417" t="s">
        <v>4245</v>
      </c>
      <c r="K1224" s="417" t="s">
        <v>4830</v>
      </c>
      <c r="L1224" s="417"/>
      <c r="M1224" s="417" t="s">
        <v>28840</v>
      </c>
    </row>
    <row r="1225" spans="1:13" x14ac:dyDescent="0.25">
      <c r="A1225" s="417" t="s">
        <v>3385</v>
      </c>
      <c r="B1225" s="417" t="s">
        <v>3405</v>
      </c>
      <c r="C1225" s="417" t="s">
        <v>4831</v>
      </c>
      <c r="D1225" s="417" t="s">
        <v>73</v>
      </c>
      <c r="E1225" s="423">
        <v>8.7223743314198687E-3</v>
      </c>
      <c r="F1225" s="423">
        <v>0.142993879716069</v>
      </c>
      <c r="G1225" s="422">
        <v>55.362546893399482</v>
      </c>
      <c r="H1225" s="417" t="s">
        <v>2616</v>
      </c>
      <c r="I1225" s="417" t="s">
        <v>1392</v>
      </c>
      <c r="J1225" s="417" t="s">
        <v>4245</v>
      </c>
      <c r="K1225" s="417" t="s">
        <v>4832</v>
      </c>
      <c r="L1225" s="417"/>
      <c r="M1225" s="417" t="s">
        <v>28840</v>
      </c>
    </row>
    <row r="1226" spans="1:13" x14ac:dyDescent="0.25">
      <c r="A1226" s="417" t="s">
        <v>3385</v>
      </c>
      <c r="B1226" s="417" t="s">
        <v>3405</v>
      </c>
      <c r="C1226" s="417" t="s">
        <v>4833</v>
      </c>
      <c r="D1226" s="417" t="s">
        <v>73</v>
      </c>
      <c r="E1226" s="423">
        <v>2.1209705460725588E-2</v>
      </c>
      <c r="F1226" s="423">
        <v>0.1214049067577143</v>
      </c>
      <c r="G1226" s="422">
        <v>64.867597940038408</v>
      </c>
      <c r="H1226" s="417" t="s">
        <v>2616</v>
      </c>
      <c r="I1226" s="417" t="s">
        <v>1392</v>
      </c>
      <c r="J1226" s="417" t="s">
        <v>4245</v>
      </c>
      <c r="K1226" s="417" t="s">
        <v>4834</v>
      </c>
      <c r="L1226" s="417"/>
      <c r="M1226" s="417" t="s">
        <v>28840</v>
      </c>
    </row>
    <row r="1227" spans="1:13" x14ac:dyDescent="0.25">
      <c r="A1227" s="417" t="s">
        <v>3385</v>
      </c>
      <c r="B1227" s="417" t="s">
        <v>2627</v>
      </c>
      <c r="C1227" s="417" t="s">
        <v>4835</v>
      </c>
      <c r="D1227" s="417" t="s">
        <v>83</v>
      </c>
      <c r="E1227" s="423">
        <v>57.73179502722332</v>
      </c>
      <c r="F1227" s="423">
        <v>249.22741646879149</v>
      </c>
      <c r="G1227" s="422">
        <v>203387.9658900912</v>
      </c>
      <c r="H1227" s="417" t="s">
        <v>2616</v>
      </c>
      <c r="I1227" s="417" t="s">
        <v>1392</v>
      </c>
      <c r="J1227" s="417" t="s">
        <v>4823</v>
      </c>
      <c r="K1227" s="417" t="s">
        <v>4836</v>
      </c>
      <c r="L1227" s="417"/>
      <c r="M1227" s="417" t="s">
        <v>28840</v>
      </c>
    </row>
    <row r="1228" spans="1:13" x14ac:dyDescent="0.25">
      <c r="A1228" s="417" t="s">
        <v>3385</v>
      </c>
      <c r="B1228" s="417" t="s">
        <v>3405</v>
      </c>
      <c r="C1228" s="417" t="s">
        <v>4837</v>
      </c>
      <c r="D1228" s="417" t="s">
        <v>989</v>
      </c>
      <c r="E1228" s="423">
        <v>75398.934851496611</v>
      </c>
      <c r="F1228" s="423">
        <v>2276.706086105527</v>
      </c>
      <c r="G1228" s="422">
        <v>172380489.8745726</v>
      </c>
      <c r="H1228" s="417" t="s">
        <v>2616</v>
      </c>
      <c r="I1228" s="417" t="s">
        <v>1392</v>
      </c>
      <c r="J1228" s="417" t="s">
        <v>3588</v>
      </c>
      <c r="K1228" s="417" t="s">
        <v>4838</v>
      </c>
      <c r="L1228" s="417"/>
      <c r="M1228" s="417" t="s">
        <v>28840</v>
      </c>
    </row>
    <row r="1229" spans="1:13" x14ac:dyDescent="0.25">
      <c r="A1229" s="417" t="s">
        <v>3385</v>
      </c>
      <c r="B1229" s="417" t="s">
        <v>3405</v>
      </c>
      <c r="C1229" s="417" t="s">
        <v>4839</v>
      </c>
      <c r="D1229" s="417" t="s">
        <v>989</v>
      </c>
      <c r="E1229" s="423">
        <v>11055.54281746995</v>
      </c>
      <c r="F1229" s="423">
        <v>390.206331255338</v>
      </c>
      <c r="G1229" s="422">
        <v>25526956.06756841</v>
      </c>
      <c r="H1229" s="417" t="s">
        <v>2616</v>
      </c>
      <c r="I1229" s="417" t="s">
        <v>1392</v>
      </c>
      <c r="J1229" s="417" t="s">
        <v>3588</v>
      </c>
      <c r="K1229" s="417" t="s">
        <v>4840</v>
      </c>
      <c r="L1229" s="417"/>
      <c r="M1229" s="417" t="s">
        <v>28840</v>
      </c>
    </row>
    <row r="1230" spans="1:13" x14ac:dyDescent="0.25">
      <c r="A1230" s="417" t="s">
        <v>3385</v>
      </c>
      <c r="B1230" s="417" t="s">
        <v>3405</v>
      </c>
      <c r="C1230" s="417" t="s">
        <v>4841</v>
      </c>
      <c r="D1230" s="417" t="s">
        <v>989</v>
      </c>
      <c r="E1230" s="423">
        <v>15110.05914098022</v>
      </c>
      <c r="F1230" s="423">
        <v>499.27774148923038</v>
      </c>
      <c r="G1230" s="422">
        <v>28542176.452519082</v>
      </c>
      <c r="H1230" s="417" t="s">
        <v>2616</v>
      </c>
      <c r="I1230" s="417" t="s">
        <v>1392</v>
      </c>
      <c r="J1230" s="417" t="s">
        <v>3588</v>
      </c>
      <c r="K1230" s="417" t="s">
        <v>4842</v>
      </c>
      <c r="L1230" s="417"/>
      <c r="M1230" s="417" t="s">
        <v>28840</v>
      </c>
    </row>
    <row r="1231" spans="1:13" x14ac:dyDescent="0.25">
      <c r="A1231" s="417" t="s">
        <v>3385</v>
      </c>
      <c r="B1231" s="417" t="s">
        <v>3405</v>
      </c>
      <c r="C1231" s="417" t="s">
        <v>4843</v>
      </c>
      <c r="D1231" s="417" t="s">
        <v>989</v>
      </c>
      <c r="E1231" s="423">
        <v>200103.02670600789</v>
      </c>
      <c r="F1231" s="423">
        <v>5496.1539012900148</v>
      </c>
      <c r="G1231" s="422">
        <v>317880306.96193188</v>
      </c>
      <c r="H1231" s="417" t="s">
        <v>2616</v>
      </c>
      <c r="I1231" s="417" t="s">
        <v>1392</v>
      </c>
      <c r="J1231" s="417" t="s">
        <v>3588</v>
      </c>
      <c r="K1231" s="417" t="s">
        <v>4844</v>
      </c>
      <c r="L1231" s="417"/>
      <c r="M1231" s="417" t="s">
        <v>28840</v>
      </c>
    </row>
    <row r="1232" spans="1:13" x14ac:dyDescent="0.25">
      <c r="A1232" s="417" t="s">
        <v>3385</v>
      </c>
      <c r="B1232" s="417" t="s">
        <v>3405</v>
      </c>
      <c r="C1232" s="417" t="s">
        <v>4845</v>
      </c>
      <c r="D1232" s="417" t="s">
        <v>989</v>
      </c>
      <c r="E1232" s="423">
        <v>37363.421000162001</v>
      </c>
      <c r="F1232" s="423">
        <v>1178.950570687829</v>
      </c>
      <c r="G1232" s="422">
        <v>92285018.604785994</v>
      </c>
      <c r="H1232" s="417" t="s">
        <v>2616</v>
      </c>
      <c r="I1232" s="417" t="s">
        <v>1392</v>
      </c>
      <c r="J1232" s="417" t="s">
        <v>3588</v>
      </c>
      <c r="K1232" s="417" t="s">
        <v>4846</v>
      </c>
      <c r="L1232" s="417"/>
      <c r="M1232" s="417" t="s">
        <v>28840</v>
      </c>
    </row>
    <row r="1233" spans="1:13" x14ac:dyDescent="0.25">
      <c r="A1233" s="417" t="s">
        <v>3385</v>
      </c>
      <c r="B1233" s="417" t="s">
        <v>3405</v>
      </c>
      <c r="C1233" s="417" t="s">
        <v>4847</v>
      </c>
      <c r="D1233" s="417" t="s">
        <v>989</v>
      </c>
      <c r="E1233" s="423">
        <v>39389.616392225347</v>
      </c>
      <c r="F1233" s="423">
        <v>1301.8208871606239</v>
      </c>
      <c r="G1233" s="422">
        <v>74401313.391182169</v>
      </c>
      <c r="H1233" s="417" t="s">
        <v>2616</v>
      </c>
      <c r="I1233" s="417" t="s">
        <v>1392</v>
      </c>
      <c r="J1233" s="417" t="s">
        <v>3588</v>
      </c>
      <c r="K1233" s="417" t="s">
        <v>4848</v>
      </c>
      <c r="L1233" s="417"/>
      <c r="M1233" s="417" t="s">
        <v>28840</v>
      </c>
    </row>
    <row r="1234" spans="1:13" x14ac:dyDescent="0.25">
      <c r="A1234" s="417" t="s">
        <v>3385</v>
      </c>
      <c r="B1234" s="417" t="s">
        <v>3405</v>
      </c>
      <c r="C1234" s="417" t="s">
        <v>4849</v>
      </c>
      <c r="D1234" s="417" t="s">
        <v>989</v>
      </c>
      <c r="E1234" s="423">
        <v>93605.060791344265</v>
      </c>
      <c r="F1234" s="423">
        <v>2599.3676502189442</v>
      </c>
      <c r="G1234" s="422">
        <v>186213134.56978899</v>
      </c>
      <c r="H1234" s="417" t="s">
        <v>2616</v>
      </c>
      <c r="I1234" s="417" t="s">
        <v>1392</v>
      </c>
      <c r="J1234" s="417" t="s">
        <v>4556</v>
      </c>
      <c r="K1234" s="417" t="s">
        <v>4850</v>
      </c>
      <c r="L1234" s="417"/>
      <c r="M1234" s="417" t="s">
        <v>28840</v>
      </c>
    </row>
    <row r="1235" spans="1:13" x14ac:dyDescent="0.25">
      <c r="A1235" s="417" t="s">
        <v>3385</v>
      </c>
      <c r="B1235" s="417" t="s">
        <v>3405</v>
      </c>
      <c r="C1235" s="417" t="s">
        <v>4851</v>
      </c>
      <c r="D1235" s="417" t="s">
        <v>989</v>
      </c>
      <c r="E1235" s="423">
        <v>11055.54281748691</v>
      </c>
      <c r="F1235" s="423">
        <v>390.20633125519299</v>
      </c>
      <c r="G1235" s="422">
        <v>25526956.066092242</v>
      </c>
      <c r="H1235" s="417" t="s">
        <v>2616</v>
      </c>
      <c r="I1235" s="417" t="s">
        <v>1392</v>
      </c>
      <c r="J1235" s="417" t="s">
        <v>4556</v>
      </c>
      <c r="K1235" s="417" t="s">
        <v>4852</v>
      </c>
      <c r="L1235" s="417"/>
      <c r="M1235" s="417" t="s">
        <v>28840</v>
      </c>
    </row>
    <row r="1236" spans="1:13" x14ac:dyDescent="0.25">
      <c r="A1236" s="417" t="s">
        <v>3385</v>
      </c>
      <c r="B1236" s="417" t="s">
        <v>3405</v>
      </c>
      <c r="C1236" s="417" t="s">
        <v>4853</v>
      </c>
      <c r="D1236" s="417" t="s">
        <v>989</v>
      </c>
      <c r="E1236" s="423">
        <v>15110.05914103662</v>
      </c>
      <c r="F1236" s="423">
        <v>499.27774148903899</v>
      </c>
      <c r="G1236" s="422">
        <v>28542176.452296939</v>
      </c>
      <c r="H1236" s="417" t="s">
        <v>2616</v>
      </c>
      <c r="I1236" s="417" t="s">
        <v>1392</v>
      </c>
      <c r="J1236" s="417" t="s">
        <v>4556</v>
      </c>
      <c r="K1236" s="417" t="s">
        <v>4854</v>
      </c>
      <c r="L1236" s="417"/>
      <c r="M1236" s="417" t="s">
        <v>28840</v>
      </c>
    </row>
    <row r="1237" spans="1:13" x14ac:dyDescent="0.25">
      <c r="A1237" s="417" t="s">
        <v>3385</v>
      </c>
      <c r="B1237" s="417" t="s">
        <v>3405</v>
      </c>
      <c r="C1237" s="417" t="s">
        <v>4855</v>
      </c>
      <c r="D1237" s="417" t="s">
        <v>989</v>
      </c>
      <c r="E1237" s="423">
        <v>70333.870707896727</v>
      </c>
      <c r="F1237" s="423">
        <v>1954.539781582494</v>
      </c>
      <c r="G1237" s="422">
        <v>109885693.19761699</v>
      </c>
      <c r="H1237" s="417" t="s">
        <v>2616</v>
      </c>
      <c r="I1237" s="417" t="s">
        <v>1392</v>
      </c>
      <c r="J1237" s="417" t="s">
        <v>3588</v>
      </c>
      <c r="K1237" s="417" t="s">
        <v>4856</v>
      </c>
      <c r="L1237" s="417"/>
      <c r="M1237" s="417" t="s">
        <v>28840</v>
      </c>
    </row>
    <row r="1238" spans="1:13" x14ac:dyDescent="0.25">
      <c r="A1238" s="417" t="s">
        <v>3385</v>
      </c>
      <c r="B1238" s="417" t="s">
        <v>3405</v>
      </c>
      <c r="C1238" s="417" t="s">
        <v>4857</v>
      </c>
      <c r="D1238" s="417" t="s">
        <v>989</v>
      </c>
      <c r="E1238" s="423">
        <v>11055.54281748691</v>
      </c>
      <c r="F1238" s="423">
        <v>390.20633125519299</v>
      </c>
      <c r="G1238" s="422">
        <v>25526956.066092242</v>
      </c>
      <c r="H1238" s="417" t="s">
        <v>2616</v>
      </c>
      <c r="I1238" s="417" t="s">
        <v>1392</v>
      </c>
      <c r="J1238" s="417" t="s">
        <v>3588</v>
      </c>
      <c r="K1238" s="417" t="s">
        <v>4858</v>
      </c>
      <c r="L1238" s="417"/>
      <c r="M1238" s="417" t="s">
        <v>28840</v>
      </c>
    </row>
    <row r="1239" spans="1:13" x14ac:dyDescent="0.25">
      <c r="A1239" s="417" t="s">
        <v>3385</v>
      </c>
      <c r="B1239" s="417" t="s">
        <v>3405</v>
      </c>
      <c r="C1239" s="417" t="s">
        <v>4859</v>
      </c>
      <c r="D1239" s="417" t="s">
        <v>989</v>
      </c>
      <c r="E1239" s="423">
        <v>15110.05914103662</v>
      </c>
      <c r="F1239" s="423">
        <v>499.27774148903899</v>
      </c>
      <c r="G1239" s="422">
        <v>28542176.452296939</v>
      </c>
      <c r="H1239" s="417" t="s">
        <v>2616</v>
      </c>
      <c r="I1239" s="417" t="s">
        <v>1392</v>
      </c>
      <c r="J1239" s="417" t="s">
        <v>3588</v>
      </c>
      <c r="K1239" s="417" t="s">
        <v>4860</v>
      </c>
      <c r="L1239" s="417"/>
      <c r="M1239" s="417" t="s">
        <v>28840</v>
      </c>
    </row>
    <row r="1240" spans="1:13" x14ac:dyDescent="0.25">
      <c r="A1240" s="417" t="s">
        <v>3385</v>
      </c>
      <c r="B1240" s="417" t="s">
        <v>3405</v>
      </c>
      <c r="C1240" s="417" t="s">
        <v>4861</v>
      </c>
      <c r="D1240" s="417" t="s">
        <v>989</v>
      </c>
      <c r="E1240" s="423">
        <v>125218.71526324991</v>
      </c>
      <c r="F1240" s="423">
        <v>3459.094951369103</v>
      </c>
      <c r="G1240" s="422">
        <v>197345200.4401097</v>
      </c>
      <c r="H1240" s="417" t="s">
        <v>2616</v>
      </c>
      <c r="I1240" s="417" t="s">
        <v>1392</v>
      </c>
      <c r="J1240" s="417" t="s">
        <v>3588</v>
      </c>
      <c r="K1240" s="417" t="s">
        <v>4862</v>
      </c>
      <c r="L1240" s="417"/>
      <c r="M1240" s="417" t="s">
        <v>28840</v>
      </c>
    </row>
    <row r="1241" spans="1:13" x14ac:dyDescent="0.25">
      <c r="A1241" s="417" t="s">
        <v>3385</v>
      </c>
      <c r="B1241" s="417" t="s">
        <v>3405</v>
      </c>
      <c r="C1241" s="417" t="s">
        <v>4863</v>
      </c>
      <c r="D1241" s="417" t="s">
        <v>989</v>
      </c>
      <c r="E1241" s="423">
        <v>21577.97488928026</v>
      </c>
      <c r="F1241" s="423">
        <v>715.84911460924104</v>
      </c>
      <c r="G1241" s="422">
        <v>51798865.06610027</v>
      </c>
      <c r="H1241" s="417" t="s">
        <v>2616</v>
      </c>
      <c r="I1241" s="417" t="s">
        <v>1392</v>
      </c>
      <c r="J1241" s="417" t="s">
        <v>3588</v>
      </c>
      <c r="K1241" s="417" t="s">
        <v>4864</v>
      </c>
      <c r="L1241" s="417"/>
      <c r="M1241" s="417" t="s">
        <v>28840</v>
      </c>
    </row>
    <row r="1242" spans="1:13" x14ac:dyDescent="0.25">
      <c r="A1242" s="417" t="s">
        <v>3385</v>
      </c>
      <c r="B1242" s="417" t="s">
        <v>3405</v>
      </c>
      <c r="C1242" s="417" t="s">
        <v>4865</v>
      </c>
      <c r="D1242" s="417" t="s">
        <v>989</v>
      </c>
      <c r="E1242" s="423">
        <v>25740.1017973577</v>
      </c>
      <c r="F1242" s="423">
        <v>850.20070073309284</v>
      </c>
      <c r="G1242" s="422">
        <v>48626244.586316973</v>
      </c>
      <c r="H1242" s="417" t="s">
        <v>2616</v>
      </c>
      <c r="I1242" s="417" t="s">
        <v>1392</v>
      </c>
      <c r="J1242" s="417" t="s">
        <v>3588</v>
      </c>
      <c r="K1242" s="417" t="s">
        <v>4866</v>
      </c>
      <c r="L1242" s="417"/>
      <c r="M1242" s="417" t="s">
        <v>28840</v>
      </c>
    </row>
    <row r="1243" spans="1:13" x14ac:dyDescent="0.25">
      <c r="A1243" s="417" t="s">
        <v>3385</v>
      </c>
      <c r="B1243" s="417" t="s">
        <v>3405</v>
      </c>
      <c r="C1243" s="417" t="s">
        <v>4867</v>
      </c>
      <c r="D1243" s="417" t="s">
        <v>989</v>
      </c>
      <c r="E1243" s="423">
        <v>27277.96672596156</v>
      </c>
      <c r="F1243" s="423">
        <v>763.30135653138132</v>
      </c>
      <c r="G1243" s="422">
        <v>42147842.757424161</v>
      </c>
      <c r="H1243" s="417" t="s">
        <v>2616</v>
      </c>
      <c r="I1243" s="417" t="s">
        <v>1392</v>
      </c>
      <c r="J1243" s="417" t="s">
        <v>3588</v>
      </c>
      <c r="K1243" s="417" t="s">
        <v>4868</v>
      </c>
      <c r="L1243" s="417"/>
      <c r="M1243" s="417" t="s">
        <v>28840</v>
      </c>
    </row>
    <row r="1244" spans="1:13" x14ac:dyDescent="0.25">
      <c r="A1244" s="417" t="s">
        <v>3385</v>
      </c>
      <c r="B1244" s="417" t="s">
        <v>3405</v>
      </c>
      <c r="C1244" s="417" t="s">
        <v>4869</v>
      </c>
      <c r="D1244" s="417" t="s">
        <v>989</v>
      </c>
      <c r="E1244" s="423">
        <v>3792.1953037966141</v>
      </c>
      <c r="F1244" s="423">
        <v>146.74242954267939</v>
      </c>
      <c r="G1244" s="422">
        <v>8199950.2827027617</v>
      </c>
      <c r="H1244" s="417" t="s">
        <v>2616</v>
      </c>
      <c r="I1244" s="417" t="s">
        <v>1392</v>
      </c>
      <c r="J1244" s="417" t="s">
        <v>3588</v>
      </c>
      <c r="K1244" s="417" t="s">
        <v>4870</v>
      </c>
      <c r="L1244" s="417"/>
      <c r="M1244" s="417" t="s">
        <v>28840</v>
      </c>
    </row>
    <row r="1245" spans="1:13" x14ac:dyDescent="0.25">
      <c r="A1245" s="417" t="s">
        <v>3385</v>
      </c>
      <c r="B1245" s="417" t="s">
        <v>3405</v>
      </c>
      <c r="C1245" s="417" t="s">
        <v>4871</v>
      </c>
      <c r="D1245" s="417" t="s">
        <v>989</v>
      </c>
      <c r="E1245" s="423">
        <v>6260.8646102542389</v>
      </c>
      <c r="F1245" s="423">
        <v>206.84383899683161</v>
      </c>
      <c r="G1245" s="422">
        <v>11826915.51334537</v>
      </c>
      <c r="H1245" s="417" t="s">
        <v>2616</v>
      </c>
      <c r="I1245" s="417" t="s">
        <v>1392</v>
      </c>
      <c r="J1245" s="417" t="s">
        <v>3588</v>
      </c>
      <c r="K1245" s="417" t="s">
        <v>4872</v>
      </c>
      <c r="L1245" s="417"/>
      <c r="M1245" s="417" t="s">
        <v>28840</v>
      </c>
    </row>
    <row r="1246" spans="1:13" x14ac:dyDescent="0.25">
      <c r="A1246" s="417" t="s">
        <v>3385</v>
      </c>
      <c r="B1246" s="417" t="s">
        <v>3405</v>
      </c>
      <c r="C1246" s="417" t="s">
        <v>4873</v>
      </c>
      <c r="D1246" s="417" t="s">
        <v>989</v>
      </c>
      <c r="E1246" s="423">
        <v>286664.38309336698</v>
      </c>
      <c r="F1246" s="423">
        <v>40902.026284194173</v>
      </c>
      <c r="G1246" s="422">
        <v>618114645.59768438</v>
      </c>
      <c r="H1246" s="417" t="s">
        <v>2616</v>
      </c>
      <c r="I1246" s="417" t="s">
        <v>1392</v>
      </c>
      <c r="J1246" s="417" t="s">
        <v>4874</v>
      </c>
      <c r="K1246" s="417" t="s">
        <v>4875</v>
      </c>
      <c r="L1246" s="417"/>
      <c r="M1246" s="417" t="s">
        <v>28840</v>
      </c>
    </row>
    <row r="1247" spans="1:13" x14ac:dyDescent="0.25">
      <c r="A1247" s="417" t="s">
        <v>3385</v>
      </c>
      <c r="B1247" s="417" t="s">
        <v>3405</v>
      </c>
      <c r="C1247" s="417" t="s">
        <v>4876</v>
      </c>
      <c r="D1247" s="417" t="s">
        <v>989</v>
      </c>
      <c r="E1247" s="423">
        <v>44614.741270820203</v>
      </c>
      <c r="F1247" s="423">
        <v>1159.309214552308</v>
      </c>
      <c r="G1247" s="422">
        <v>95863462.801865712</v>
      </c>
      <c r="H1247" s="417" t="s">
        <v>2616</v>
      </c>
      <c r="I1247" s="417" t="s">
        <v>1392</v>
      </c>
      <c r="J1247" s="417" t="s">
        <v>4874</v>
      </c>
      <c r="K1247" s="417" t="s">
        <v>4877</v>
      </c>
      <c r="L1247" s="417"/>
      <c r="M1247" s="417" t="s">
        <v>28840</v>
      </c>
    </row>
    <row r="1248" spans="1:13" x14ac:dyDescent="0.25">
      <c r="A1248" s="417" t="s">
        <v>3385</v>
      </c>
      <c r="B1248" s="417" t="s">
        <v>3405</v>
      </c>
      <c r="C1248" s="417" t="s">
        <v>4878</v>
      </c>
      <c r="D1248" s="417" t="s">
        <v>989</v>
      </c>
      <c r="E1248" s="423">
        <v>49756.576792356973</v>
      </c>
      <c r="F1248" s="423">
        <v>476.10416617531422</v>
      </c>
      <c r="G1248" s="422">
        <v>73075491.11892882</v>
      </c>
      <c r="H1248" s="417" t="s">
        <v>2616</v>
      </c>
      <c r="I1248" s="417" t="s">
        <v>1392</v>
      </c>
      <c r="J1248" s="417" t="s">
        <v>4874</v>
      </c>
      <c r="K1248" s="417" t="s">
        <v>4879</v>
      </c>
      <c r="L1248" s="417"/>
      <c r="M1248" s="417" t="s">
        <v>28840</v>
      </c>
    </row>
    <row r="1249" spans="1:13" x14ac:dyDescent="0.25">
      <c r="A1249" s="417" t="s">
        <v>3385</v>
      </c>
      <c r="B1249" s="417" t="s">
        <v>3405</v>
      </c>
      <c r="C1249" s="417" t="s">
        <v>4880</v>
      </c>
      <c r="D1249" s="417" t="s">
        <v>989</v>
      </c>
      <c r="E1249" s="423">
        <v>229535.94212591389</v>
      </c>
      <c r="F1249" s="423">
        <v>32652.273556494951</v>
      </c>
      <c r="G1249" s="422">
        <v>494922600.6997785</v>
      </c>
      <c r="H1249" s="417" t="s">
        <v>2616</v>
      </c>
      <c r="I1249" s="417" t="s">
        <v>1392</v>
      </c>
      <c r="J1249" s="417" t="s">
        <v>4874</v>
      </c>
      <c r="K1249" s="417" t="s">
        <v>4881</v>
      </c>
      <c r="L1249" s="417"/>
      <c r="M1249" s="417" t="s">
        <v>28840</v>
      </c>
    </row>
    <row r="1250" spans="1:13" x14ac:dyDescent="0.25">
      <c r="A1250" s="417" t="s">
        <v>3385</v>
      </c>
      <c r="B1250" s="417" t="s">
        <v>3405</v>
      </c>
      <c r="C1250" s="417" t="s">
        <v>4882</v>
      </c>
      <c r="D1250" s="417" t="s">
        <v>989</v>
      </c>
      <c r="E1250" s="423">
        <v>42920.641246004969</v>
      </c>
      <c r="F1250" s="423">
        <v>1075.5946728339541</v>
      </c>
      <c r="G1250" s="422">
        <v>88416500.618084714</v>
      </c>
      <c r="H1250" s="417" t="s">
        <v>2616</v>
      </c>
      <c r="I1250" s="417" t="s">
        <v>1392</v>
      </c>
      <c r="J1250" s="417" t="s">
        <v>4874</v>
      </c>
      <c r="K1250" s="417" t="s">
        <v>4883</v>
      </c>
      <c r="L1250" s="417"/>
      <c r="M1250" s="417" t="s">
        <v>28840</v>
      </c>
    </row>
    <row r="1251" spans="1:13" x14ac:dyDescent="0.25">
      <c r="A1251" s="417" t="s">
        <v>3385</v>
      </c>
      <c r="B1251" s="417" t="s">
        <v>3405</v>
      </c>
      <c r="C1251" s="417" t="s">
        <v>4884</v>
      </c>
      <c r="D1251" s="417" t="s">
        <v>989</v>
      </c>
      <c r="E1251" s="423">
        <v>49756.576793136781</v>
      </c>
      <c r="F1251" s="423">
        <v>476.10416617790253</v>
      </c>
      <c r="G1251" s="422">
        <v>73075491.119779319</v>
      </c>
      <c r="H1251" s="417" t="s">
        <v>2616</v>
      </c>
      <c r="I1251" s="417" t="s">
        <v>1392</v>
      </c>
      <c r="J1251" s="417" t="s">
        <v>4874</v>
      </c>
      <c r="K1251" s="417" t="s">
        <v>4885</v>
      </c>
      <c r="L1251" s="417"/>
      <c r="M1251" s="417" t="s">
        <v>28840</v>
      </c>
    </row>
    <row r="1252" spans="1:13" x14ac:dyDescent="0.25">
      <c r="A1252" s="417" t="s">
        <v>3385</v>
      </c>
      <c r="B1252" s="417" t="s">
        <v>2627</v>
      </c>
      <c r="C1252" s="417" t="s">
        <v>4886</v>
      </c>
      <c r="D1252" s="417" t="s">
        <v>73</v>
      </c>
      <c r="E1252" s="423">
        <v>2.7165280855659849E-2</v>
      </c>
      <c r="F1252" s="423">
        <v>5.1879795366254681E-4</v>
      </c>
      <c r="G1252" s="422">
        <v>369.838511038874</v>
      </c>
      <c r="H1252" s="417" t="s">
        <v>2616</v>
      </c>
      <c r="I1252" s="417" t="s">
        <v>1392</v>
      </c>
      <c r="J1252" s="417" t="s">
        <v>4887</v>
      </c>
      <c r="K1252" s="417" t="s">
        <v>4888</v>
      </c>
      <c r="L1252" s="417"/>
      <c r="M1252" s="417" t="s">
        <v>28840</v>
      </c>
    </row>
    <row r="1253" spans="1:13" x14ac:dyDescent="0.25">
      <c r="A1253" s="417" t="s">
        <v>3385</v>
      </c>
      <c r="B1253" s="417" t="s">
        <v>3405</v>
      </c>
      <c r="C1253" s="417" t="s">
        <v>4889</v>
      </c>
      <c r="D1253" s="417" t="s">
        <v>73</v>
      </c>
      <c r="E1253" s="423">
        <v>7.7773260508858244E-2</v>
      </c>
      <c r="F1253" s="423">
        <v>5.1965269449055957E-4</v>
      </c>
      <c r="G1253" s="422">
        <v>425.09189539812041</v>
      </c>
      <c r="H1253" s="417" t="s">
        <v>2616</v>
      </c>
      <c r="I1253" s="417" t="s">
        <v>1392</v>
      </c>
      <c r="J1253" s="417" t="s">
        <v>4890</v>
      </c>
      <c r="K1253" s="417" t="s">
        <v>4891</v>
      </c>
      <c r="L1253" s="417"/>
      <c r="M1253" s="417" t="s">
        <v>28840</v>
      </c>
    </row>
    <row r="1254" spans="1:13" x14ac:dyDescent="0.25">
      <c r="A1254" s="417" t="s">
        <v>3385</v>
      </c>
      <c r="B1254" s="417" t="s">
        <v>3655</v>
      </c>
      <c r="C1254" s="417" t="s">
        <v>4892</v>
      </c>
      <c r="D1254" s="417" t="s">
        <v>1052</v>
      </c>
      <c r="E1254" s="423">
        <v>165.1088824069175</v>
      </c>
      <c r="F1254" s="423">
        <v>5.2333907933724051</v>
      </c>
      <c r="G1254" s="422">
        <v>317369.56550203648</v>
      </c>
      <c r="H1254" s="417" t="s">
        <v>2616</v>
      </c>
      <c r="I1254" s="417" t="s">
        <v>1392</v>
      </c>
      <c r="J1254" s="417" t="s">
        <v>3918</v>
      </c>
      <c r="K1254" s="417" t="s">
        <v>4893</v>
      </c>
      <c r="L1254" s="417"/>
      <c r="M1254" s="417" t="s">
        <v>28840</v>
      </c>
    </row>
    <row r="1255" spans="1:13" x14ac:dyDescent="0.25">
      <c r="A1255" s="417" t="s">
        <v>3385</v>
      </c>
      <c r="B1255" s="417" t="s">
        <v>2627</v>
      </c>
      <c r="C1255" s="417" t="s">
        <v>4894</v>
      </c>
      <c r="D1255" s="417" t="s">
        <v>989</v>
      </c>
      <c r="E1255" s="423">
        <v>8.2985441643395443</v>
      </c>
      <c r="F1255" s="423">
        <v>0.33260863976009619</v>
      </c>
      <c r="G1255" s="422">
        <v>25758.597129398029</v>
      </c>
      <c r="H1255" s="417" t="s">
        <v>2616</v>
      </c>
      <c r="I1255" s="417" t="s">
        <v>1392</v>
      </c>
      <c r="J1255" s="417" t="s">
        <v>4294</v>
      </c>
      <c r="K1255" s="417" t="s">
        <v>4895</v>
      </c>
      <c r="L1255" s="417"/>
      <c r="M1255" s="417" t="s">
        <v>28840</v>
      </c>
    </row>
    <row r="1256" spans="1:13" x14ac:dyDescent="0.25">
      <c r="A1256" s="417" t="s">
        <v>3385</v>
      </c>
      <c r="B1256" s="417" t="s">
        <v>2627</v>
      </c>
      <c r="C1256" s="417" t="s">
        <v>4896</v>
      </c>
      <c r="D1256" s="417" t="s">
        <v>989</v>
      </c>
      <c r="E1256" s="423">
        <v>614505.23971346417</v>
      </c>
      <c r="F1256" s="423">
        <v>257288.62156114139</v>
      </c>
      <c r="G1256" s="422">
        <v>3064063758.3160739</v>
      </c>
      <c r="H1256" s="417" t="s">
        <v>2616</v>
      </c>
      <c r="I1256" s="417" t="s">
        <v>1392</v>
      </c>
      <c r="J1256" s="417" t="s">
        <v>4897</v>
      </c>
      <c r="K1256" s="417" t="s">
        <v>4898</v>
      </c>
      <c r="L1256" s="417"/>
      <c r="M1256" s="417" t="s">
        <v>28840</v>
      </c>
    </row>
    <row r="1257" spans="1:13" x14ac:dyDescent="0.25">
      <c r="A1257" s="417" t="s">
        <v>3385</v>
      </c>
      <c r="B1257" s="417" t="s">
        <v>2623</v>
      </c>
      <c r="C1257" s="417" t="s">
        <v>4899</v>
      </c>
      <c r="D1257" s="417" t="s">
        <v>88</v>
      </c>
      <c r="E1257" s="423">
        <v>0</v>
      </c>
      <c r="F1257" s="423">
        <v>0</v>
      </c>
      <c r="G1257" s="422">
        <v>0</v>
      </c>
      <c r="H1257" s="417" t="s">
        <v>2616</v>
      </c>
      <c r="I1257" s="417" t="s">
        <v>1392</v>
      </c>
      <c r="J1257" s="417" t="s">
        <v>4310</v>
      </c>
      <c r="K1257" s="417" t="s">
        <v>4900</v>
      </c>
      <c r="L1257" s="417"/>
      <c r="M1257" s="417" t="s">
        <v>28840</v>
      </c>
    </row>
    <row r="1258" spans="1:13" x14ac:dyDescent="0.25">
      <c r="A1258" s="417" t="s">
        <v>3385</v>
      </c>
      <c r="B1258" s="417" t="s">
        <v>3655</v>
      </c>
      <c r="C1258" s="417" t="s">
        <v>4901</v>
      </c>
      <c r="D1258" s="417" t="s">
        <v>83</v>
      </c>
      <c r="E1258" s="423">
        <v>9.683348152708067E-2</v>
      </c>
      <c r="F1258" s="423">
        <v>7.6636713525062416E-3</v>
      </c>
      <c r="G1258" s="422">
        <v>244.81844753504649</v>
      </c>
      <c r="H1258" s="417" t="s">
        <v>2616</v>
      </c>
      <c r="I1258" s="417" t="s">
        <v>1392</v>
      </c>
      <c r="J1258" s="417" t="s">
        <v>4902</v>
      </c>
      <c r="K1258" s="417" t="s">
        <v>4903</v>
      </c>
      <c r="L1258" s="417"/>
      <c r="M1258" s="417" t="s">
        <v>28840</v>
      </c>
    </row>
    <row r="1259" spans="1:13" x14ac:dyDescent="0.25">
      <c r="A1259" s="417" t="s">
        <v>3385</v>
      </c>
      <c r="B1259" s="417" t="s">
        <v>3655</v>
      </c>
      <c r="C1259" s="417" t="s">
        <v>4904</v>
      </c>
      <c r="D1259" s="417" t="s">
        <v>83</v>
      </c>
      <c r="E1259" s="423">
        <v>0.1044266022683641</v>
      </c>
      <c r="F1259" s="423">
        <v>8.6038668936330442E-3</v>
      </c>
      <c r="G1259" s="422">
        <v>260.91610944119037</v>
      </c>
      <c r="H1259" s="417" t="s">
        <v>2616</v>
      </c>
      <c r="I1259" s="417" t="s">
        <v>1392</v>
      </c>
      <c r="J1259" s="417" t="s">
        <v>4902</v>
      </c>
      <c r="K1259" s="417" t="s">
        <v>4905</v>
      </c>
      <c r="L1259" s="417"/>
      <c r="M1259" s="417" t="s">
        <v>28840</v>
      </c>
    </row>
    <row r="1260" spans="1:13" x14ac:dyDescent="0.25">
      <c r="A1260" s="417" t="s">
        <v>3385</v>
      </c>
      <c r="B1260" s="417" t="s">
        <v>3655</v>
      </c>
      <c r="C1260" s="417" t="s">
        <v>4906</v>
      </c>
      <c r="D1260" s="417" t="s">
        <v>83</v>
      </c>
      <c r="E1260" s="423">
        <v>8.9824446989948015E-2</v>
      </c>
      <c r="F1260" s="423">
        <v>6.795798545375974E-3</v>
      </c>
      <c r="G1260" s="422">
        <v>229.9590671304442</v>
      </c>
      <c r="H1260" s="417" t="s">
        <v>2616</v>
      </c>
      <c r="I1260" s="417" t="s">
        <v>1392</v>
      </c>
      <c r="J1260" s="417" t="s">
        <v>4902</v>
      </c>
      <c r="K1260" s="417" t="s">
        <v>4907</v>
      </c>
      <c r="L1260" s="417"/>
      <c r="M1260" s="417" t="s">
        <v>28840</v>
      </c>
    </row>
    <row r="1261" spans="1:13" x14ac:dyDescent="0.25">
      <c r="A1261" s="417" t="s">
        <v>3385</v>
      </c>
      <c r="B1261" s="417" t="s">
        <v>3655</v>
      </c>
      <c r="C1261" s="417" t="s">
        <v>4908</v>
      </c>
      <c r="D1261" s="417" t="s">
        <v>83</v>
      </c>
      <c r="E1261" s="423">
        <v>4.1351859198889257E-2</v>
      </c>
      <c r="F1261" s="423">
        <v>5.0462144547780263E-3</v>
      </c>
      <c r="G1261" s="422">
        <v>88.21405844466932</v>
      </c>
      <c r="H1261" s="417" t="s">
        <v>2616</v>
      </c>
      <c r="I1261" s="417" t="s">
        <v>1392</v>
      </c>
      <c r="J1261" s="417" t="s">
        <v>4902</v>
      </c>
      <c r="K1261" s="417" t="s">
        <v>4909</v>
      </c>
      <c r="L1261" s="417"/>
      <c r="M1261" s="417" t="s">
        <v>28840</v>
      </c>
    </row>
    <row r="1262" spans="1:13" x14ac:dyDescent="0.25">
      <c r="A1262" s="417" t="s">
        <v>3385</v>
      </c>
      <c r="B1262" s="417" t="s">
        <v>3655</v>
      </c>
      <c r="C1262" s="417" t="s">
        <v>4910</v>
      </c>
      <c r="D1262" s="417" t="s">
        <v>83</v>
      </c>
      <c r="E1262" s="423">
        <v>4.4272290238740977E-2</v>
      </c>
      <c r="F1262" s="423">
        <v>5.4078281232558933E-3</v>
      </c>
      <c r="G1262" s="422">
        <v>94.405466915453474</v>
      </c>
      <c r="H1262" s="417" t="s">
        <v>2616</v>
      </c>
      <c r="I1262" s="417" t="s">
        <v>1392</v>
      </c>
      <c r="J1262" s="417" t="s">
        <v>4902</v>
      </c>
      <c r="K1262" s="417" t="s">
        <v>4911</v>
      </c>
      <c r="L1262" s="417"/>
      <c r="M1262" s="417" t="s">
        <v>28840</v>
      </c>
    </row>
    <row r="1263" spans="1:13" x14ac:dyDescent="0.25">
      <c r="A1263" s="417" t="s">
        <v>3385</v>
      </c>
      <c r="B1263" s="417" t="s">
        <v>3655</v>
      </c>
      <c r="C1263" s="417" t="s">
        <v>4912</v>
      </c>
      <c r="D1263" s="417" t="s">
        <v>83</v>
      </c>
      <c r="E1263" s="423">
        <v>4.7192721249885161E-2</v>
      </c>
      <c r="F1263" s="423">
        <v>5.7694417749461283E-3</v>
      </c>
      <c r="G1263" s="422">
        <v>100.5968752306338</v>
      </c>
      <c r="H1263" s="417" t="s">
        <v>2616</v>
      </c>
      <c r="I1263" s="417" t="s">
        <v>1392</v>
      </c>
      <c r="J1263" s="417" t="s">
        <v>4902</v>
      </c>
      <c r="K1263" s="417" t="s">
        <v>4913</v>
      </c>
      <c r="L1263" s="417"/>
      <c r="M1263" s="417" t="s">
        <v>28840</v>
      </c>
    </row>
    <row r="1264" spans="1:13" x14ac:dyDescent="0.25">
      <c r="A1264" s="417" t="s">
        <v>3385</v>
      </c>
      <c r="B1264" s="417" t="s">
        <v>3655</v>
      </c>
      <c r="C1264" s="417" t="s">
        <v>4914</v>
      </c>
      <c r="D1264" s="417" t="s">
        <v>83</v>
      </c>
      <c r="E1264" s="423">
        <v>0.13492188504128241</v>
      </c>
      <c r="F1264" s="423">
        <v>1.0197626274247539E-2</v>
      </c>
      <c r="G1264" s="422">
        <v>345.34248501811942</v>
      </c>
      <c r="H1264" s="417" t="s">
        <v>2616</v>
      </c>
      <c r="I1264" s="417" t="s">
        <v>1392</v>
      </c>
      <c r="J1264" s="417" t="s">
        <v>4915</v>
      </c>
      <c r="K1264" s="417" t="s">
        <v>4916</v>
      </c>
      <c r="L1264" s="417"/>
      <c r="M1264" s="417" t="s">
        <v>28840</v>
      </c>
    </row>
    <row r="1265" spans="1:13" x14ac:dyDescent="0.25">
      <c r="A1265" s="417" t="s">
        <v>3385</v>
      </c>
      <c r="B1265" s="417" t="s">
        <v>3655</v>
      </c>
      <c r="C1265" s="417" t="s">
        <v>4917</v>
      </c>
      <c r="D1265" s="417" t="s">
        <v>83</v>
      </c>
      <c r="E1265" s="423">
        <v>5.398798196422494E-2</v>
      </c>
      <c r="F1265" s="423">
        <v>6.5653121083983981E-3</v>
      </c>
      <c r="G1265" s="422">
        <v>115.1331613307601</v>
      </c>
      <c r="H1265" s="417" t="s">
        <v>2616</v>
      </c>
      <c r="I1265" s="417" t="s">
        <v>1392</v>
      </c>
      <c r="J1265" s="417" t="s">
        <v>4915</v>
      </c>
      <c r="K1265" s="417" t="s">
        <v>4918</v>
      </c>
      <c r="L1265" s="417"/>
      <c r="M1265" s="417" t="s">
        <v>28840</v>
      </c>
    </row>
    <row r="1266" spans="1:13" x14ac:dyDescent="0.25">
      <c r="A1266" s="417" t="s">
        <v>3385</v>
      </c>
      <c r="B1266" s="417" t="s">
        <v>3655</v>
      </c>
      <c r="C1266" s="417" t="s">
        <v>4919</v>
      </c>
      <c r="D1266" s="417" t="s">
        <v>83</v>
      </c>
      <c r="E1266" s="423">
        <v>5.7784542347147493E-2</v>
      </c>
      <c r="F1266" s="423">
        <v>7.0354098779672244E-3</v>
      </c>
      <c r="G1266" s="422">
        <v>123.1819924019017</v>
      </c>
      <c r="H1266" s="417" t="s">
        <v>2616</v>
      </c>
      <c r="I1266" s="417" t="s">
        <v>1392</v>
      </c>
      <c r="J1266" s="417" t="s">
        <v>4915</v>
      </c>
      <c r="K1266" s="417" t="s">
        <v>4920</v>
      </c>
      <c r="L1266" s="417"/>
      <c r="M1266" s="417" t="s">
        <v>28840</v>
      </c>
    </row>
    <row r="1267" spans="1:13" x14ac:dyDescent="0.25">
      <c r="A1267" s="417" t="s">
        <v>3385</v>
      </c>
      <c r="B1267" s="417" t="s">
        <v>3655</v>
      </c>
      <c r="C1267" s="417" t="s">
        <v>4921</v>
      </c>
      <c r="D1267" s="417" t="s">
        <v>83</v>
      </c>
      <c r="E1267" s="423">
        <v>6.1581102696306463E-2</v>
      </c>
      <c r="F1267" s="423">
        <v>7.5055076456587971E-3</v>
      </c>
      <c r="G1267" s="422">
        <v>131.23082321419031</v>
      </c>
      <c r="H1267" s="417" t="s">
        <v>2616</v>
      </c>
      <c r="I1267" s="417" t="s">
        <v>1392</v>
      </c>
      <c r="J1267" s="417" t="s">
        <v>4915</v>
      </c>
      <c r="K1267" s="417" t="s">
        <v>4922</v>
      </c>
      <c r="L1267" s="417"/>
      <c r="M1267" s="417" t="s">
        <v>28840</v>
      </c>
    </row>
    <row r="1268" spans="1:13" x14ac:dyDescent="0.25">
      <c r="A1268" s="417" t="s">
        <v>3385</v>
      </c>
      <c r="B1268" s="417" t="s">
        <v>3655</v>
      </c>
      <c r="C1268" s="417" t="s">
        <v>4923</v>
      </c>
      <c r="D1268" s="417" t="s">
        <v>83</v>
      </c>
      <c r="E1268" s="423">
        <v>2.7547817196175911E-2</v>
      </c>
      <c r="F1268" s="423">
        <v>3.3159151536866498E-3</v>
      </c>
      <c r="G1268" s="422">
        <v>59.106877940207852</v>
      </c>
      <c r="H1268" s="417" t="s">
        <v>2616</v>
      </c>
      <c r="I1268" s="417" t="s">
        <v>1392</v>
      </c>
      <c r="J1268" s="417" t="s">
        <v>4902</v>
      </c>
      <c r="K1268" s="417" t="s">
        <v>4924</v>
      </c>
      <c r="L1268" s="417"/>
      <c r="M1268" s="417" t="s">
        <v>28840</v>
      </c>
    </row>
    <row r="1269" spans="1:13" x14ac:dyDescent="0.25">
      <c r="A1269" s="417" t="s">
        <v>3385</v>
      </c>
      <c r="B1269" s="417" t="s">
        <v>3655</v>
      </c>
      <c r="C1269" s="417" t="s">
        <v>4925</v>
      </c>
      <c r="D1269" s="417" t="s">
        <v>83</v>
      </c>
      <c r="E1269" s="423">
        <v>2.9416893074124921E-2</v>
      </c>
      <c r="F1269" s="423">
        <v>3.547347902520444E-3</v>
      </c>
      <c r="G1269" s="422">
        <v>63.069379328362949</v>
      </c>
      <c r="H1269" s="417" t="s">
        <v>2616</v>
      </c>
      <c r="I1269" s="417" t="s">
        <v>1392</v>
      </c>
      <c r="J1269" s="417" t="s">
        <v>4902</v>
      </c>
      <c r="K1269" s="417" t="s">
        <v>4926</v>
      </c>
      <c r="L1269" s="417"/>
      <c r="M1269" s="417" t="s">
        <v>28840</v>
      </c>
    </row>
    <row r="1270" spans="1:13" x14ac:dyDescent="0.25">
      <c r="A1270" s="417" t="s">
        <v>3385</v>
      </c>
      <c r="B1270" s="417" t="s">
        <v>3655</v>
      </c>
      <c r="C1270" s="417" t="s">
        <v>4927</v>
      </c>
      <c r="D1270" s="417" t="s">
        <v>83</v>
      </c>
      <c r="E1270" s="423">
        <v>3.1344377572211E-2</v>
      </c>
      <c r="F1270" s="423">
        <v>3.7860129242386822E-3</v>
      </c>
      <c r="G1270" s="422">
        <v>67.155708870127285</v>
      </c>
      <c r="H1270" s="417" t="s">
        <v>2616</v>
      </c>
      <c r="I1270" s="417" t="s">
        <v>1392</v>
      </c>
      <c r="J1270" s="417" t="s">
        <v>4902</v>
      </c>
      <c r="K1270" s="417" t="s">
        <v>4928</v>
      </c>
      <c r="L1270" s="417"/>
      <c r="M1270" s="417" t="s">
        <v>28840</v>
      </c>
    </row>
    <row r="1271" spans="1:13" x14ac:dyDescent="0.25">
      <c r="A1271" s="417" t="s">
        <v>3385</v>
      </c>
      <c r="B1271" s="417" t="s">
        <v>3655</v>
      </c>
      <c r="C1271" s="417" t="s">
        <v>4929</v>
      </c>
      <c r="D1271" s="417" t="s">
        <v>83</v>
      </c>
      <c r="E1271" s="423">
        <v>0.127641478035568</v>
      </c>
      <c r="F1271" s="423">
        <v>7.5830369607541486E-3</v>
      </c>
      <c r="G1271" s="422">
        <v>345.76127693959921</v>
      </c>
      <c r="H1271" s="417" t="s">
        <v>2616</v>
      </c>
      <c r="I1271" s="417" t="s">
        <v>1392</v>
      </c>
      <c r="J1271" s="417" t="s">
        <v>4915</v>
      </c>
      <c r="K1271" s="417" t="s">
        <v>4930</v>
      </c>
      <c r="L1271" s="417"/>
      <c r="M1271" s="417" t="s">
        <v>28840</v>
      </c>
    </row>
    <row r="1272" spans="1:13" x14ac:dyDescent="0.25">
      <c r="A1272" s="417" t="s">
        <v>3385</v>
      </c>
      <c r="B1272" s="417" t="s">
        <v>3655</v>
      </c>
      <c r="C1272" s="417" t="s">
        <v>4931</v>
      </c>
      <c r="D1272" s="417" t="s">
        <v>83</v>
      </c>
      <c r="E1272" s="423">
        <v>0.13406642635748789</v>
      </c>
      <c r="F1272" s="423">
        <v>8.3785870337633565E-3</v>
      </c>
      <c r="G1272" s="422">
        <v>359.3823754905805</v>
      </c>
      <c r="H1272" s="417" t="s">
        <v>2616</v>
      </c>
      <c r="I1272" s="417" t="s">
        <v>1392</v>
      </c>
      <c r="J1272" s="417" t="s">
        <v>4902</v>
      </c>
      <c r="K1272" s="417" t="s">
        <v>4932</v>
      </c>
      <c r="L1272" s="417"/>
      <c r="M1272" s="417" t="s">
        <v>28840</v>
      </c>
    </row>
    <row r="1273" spans="1:13" x14ac:dyDescent="0.25">
      <c r="A1273" s="417" t="s">
        <v>3385</v>
      </c>
      <c r="B1273" s="417" t="s">
        <v>3655</v>
      </c>
      <c r="C1273" s="417" t="s">
        <v>4933</v>
      </c>
      <c r="D1273" s="417" t="s">
        <v>83</v>
      </c>
      <c r="E1273" s="423">
        <v>0.12180061592199951</v>
      </c>
      <c r="F1273" s="423">
        <v>6.8598096211778918E-3</v>
      </c>
      <c r="G1273" s="422">
        <v>333.37846007559949</v>
      </c>
      <c r="H1273" s="417" t="s">
        <v>2616</v>
      </c>
      <c r="I1273" s="417" t="s">
        <v>1392</v>
      </c>
      <c r="J1273" s="417" t="s">
        <v>4902</v>
      </c>
      <c r="K1273" s="417" t="s">
        <v>4934</v>
      </c>
      <c r="L1273" s="417"/>
      <c r="M1273" s="417" t="s">
        <v>28840</v>
      </c>
    </row>
    <row r="1274" spans="1:13" x14ac:dyDescent="0.25">
      <c r="A1274" s="417" t="s">
        <v>3385</v>
      </c>
      <c r="B1274" s="417" t="s">
        <v>3655</v>
      </c>
      <c r="C1274" s="417" t="s">
        <v>4935</v>
      </c>
      <c r="D1274" s="417" t="s">
        <v>83</v>
      </c>
      <c r="E1274" s="423">
        <v>3.5671511830455201E-2</v>
      </c>
      <c r="F1274" s="423">
        <v>4.3270713069893394E-3</v>
      </c>
      <c r="G1274" s="422">
        <v>76.289915646783754</v>
      </c>
      <c r="H1274" s="417" t="s">
        <v>2616</v>
      </c>
      <c r="I1274" s="417" t="s">
        <v>1392</v>
      </c>
      <c r="J1274" s="417" t="s">
        <v>4902</v>
      </c>
      <c r="K1274" s="417" t="s">
        <v>4936</v>
      </c>
      <c r="L1274" s="417"/>
      <c r="M1274" s="417" t="s">
        <v>28840</v>
      </c>
    </row>
    <row r="1275" spans="1:13" x14ac:dyDescent="0.25">
      <c r="A1275" s="417" t="s">
        <v>3385</v>
      </c>
      <c r="B1275" s="417" t="s">
        <v>3655</v>
      </c>
      <c r="C1275" s="417" t="s">
        <v>4937</v>
      </c>
      <c r="D1275" s="417" t="s">
        <v>83</v>
      </c>
      <c r="E1275" s="423">
        <v>3.8299899782098752E-2</v>
      </c>
      <c r="F1275" s="423">
        <v>4.6525236098675978E-3</v>
      </c>
      <c r="G1275" s="422">
        <v>81.86218321999938</v>
      </c>
      <c r="H1275" s="417" t="s">
        <v>2616</v>
      </c>
      <c r="I1275" s="417" t="s">
        <v>1392</v>
      </c>
      <c r="J1275" s="417" t="s">
        <v>4902</v>
      </c>
      <c r="K1275" s="417" t="s">
        <v>4938</v>
      </c>
      <c r="L1275" s="417"/>
      <c r="M1275" s="417" t="s">
        <v>28840</v>
      </c>
    </row>
    <row r="1276" spans="1:13" x14ac:dyDescent="0.25">
      <c r="A1276" s="417" t="s">
        <v>3385</v>
      </c>
      <c r="B1276" s="417" t="s">
        <v>3655</v>
      </c>
      <c r="C1276" s="417" t="s">
        <v>4939</v>
      </c>
      <c r="D1276" s="417" t="s">
        <v>83</v>
      </c>
      <c r="E1276" s="423">
        <v>4.092828773076921E-2</v>
      </c>
      <c r="F1276" s="423">
        <v>4.9779759125952476E-3</v>
      </c>
      <c r="G1276" s="422">
        <v>87.434450686598751</v>
      </c>
      <c r="H1276" s="417" t="s">
        <v>2616</v>
      </c>
      <c r="I1276" s="417" t="s">
        <v>1392</v>
      </c>
      <c r="J1276" s="417" t="s">
        <v>4902</v>
      </c>
      <c r="K1276" s="417" t="s">
        <v>4940</v>
      </c>
      <c r="L1276" s="417"/>
      <c r="M1276" s="417" t="s">
        <v>28840</v>
      </c>
    </row>
    <row r="1277" spans="1:13" x14ac:dyDescent="0.25">
      <c r="A1277" s="417" t="s">
        <v>3385</v>
      </c>
      <c r="B1277" s="417" t="s">
        <v>3655</v>
      </c>
      <c r="C1277" s="417" t="s">
        <v>4941</v>
      </c>
      <c r="D1277" s="417" t="s">
        <v>83</v>
      </c>
      <c r="E1277" s="423">
        <v>0.13420876649471</v>
      </c>
      <c r="F1277" s="423">
        <v>7.9661172651968488E-3</v>
      </c>
      <c r="G1277" s="422">
        <v>363.45322475297911</v>
      </c>
      <c r="H1277" s="417" t="s">
        <v>2616</v>
      </c>
      <c r="I1277" s="417" t="s">
        <v>1392</v>
      </c>
      <c r="J1277" s="417" t="s">
        <v>4915</v>
      </c>
      <c r="K1277" s="417" t="s">
        <v>4942</v>
      </c>
      <c r="L1277" s="417"/>
      <c r="M1277" s="417" t="s">
        <v>28840</v>
      </c>
    </row>
    <row r="1278" spans="1:13" x14ac:dyDescent="0.25">
      <c r="A1278" s="417" t="s">
        <v>3385</v>
      </c>
      <c r="B1278" s="417" t="s">
        <v>2437</v>
      </c>
      <c r="C1278" s="417" t="s">
        <v>4943</v>
      </c>
      <c r="D1278" s="417" t="s">
        <v>989</v>
      </c>
      <c r="E1278" s="423">
        <v>619133.1598688073</v>
      </c>
      <c r="F1278" s="423">
        <v>39410.198814889212</v>
      </c>
      <c r="G1278" s="422">
        <v>1466996356.6594751</v>
      </c>
      <c r="H1278" s="417" t="s">
        <v>2616</v>
      </c>
      <c r="I1278" s="417" t="s">
        <v>1392</v>
      </c>
      <c r="J1278" s="417" t="s">
        <v>4944</v>
      </c>
      <c r="K1278" s="417" t="s">
        <v>4945</v>
      </c>
      <c r="L1278" s="417"/>
      <c r="M1278" s="417" t="s">
        <v>28840</v>
      </c>
    </row>
    <row r="1279" spans="1:13" x14ac:dyDescent="0.25">
      <c r="A1279" s="417" t="s">
        <v>3385</v>
      </c>
      <c r="B1279" s="417" t="s">
        <v>3405</v>
      </c>
      <c r="C1279" s="417" t="s">
        <v>4946</v>
      </c>
      <c r="D1279" s="417" t="s">
        <v>88</v>
      </c>
      <c r="E1279" s="423">
        <v>3.167078295953146</v>
      </c>
      <c r="F1279" s="423">
        <v>0.1430369053846004</v>
      </c>
      <c r="G1279" s="422">
        <v>9213.907406490991</v>
      </c>
      <c r="H1279" s="417" t="s">
        <v>2616</v>
      </c>
      <c r="I1279" s="417" t="s">
        <v>1392</v>
      </c>
      <c r="J1279" s="417" t="s">
        <v>4417</v>
      </c>
      <c r="K1279" s="417" t="s">
        <v>4947</v>
      </c>
      <c r="L1279" s="417"/>
      <c r="M1279" s="417" t="s">
        <v>28840</v>
      </c>
    </row>
    <row r="1280" spans="1:13" x14ac:dyDescent="0.25">
      <c r="A1280" s="417" t="s">
        <v>3385</v>
      </c>
      <c r="B1280" s="417" t="s">
        <v>2627</v>
      </c>
      <c r="C1280" s="417" t="s">
        <v>4948</v>
      </c>
      <c r="D1280" s="417" t="s">
        <v>88</v>
      </c>
      <c r="E1280" s="423">
        <v>2.034585217275885E-2</v>
      </c>
      <c r="F1280" s="423">
        <v>5.1286564272969308E-4</v>
      </c>
      <c r="G1280" s="422">
        <v>31.88669306501016</v>
      </c>
      <c r="H1280" s="417" t="s">
        <v>2616</v>
      </c>
      <c r="I1280" s="417" t="s">
        <v>1392</v>
      </c>
      <c r="J1280" s="417" t="s">
        <v>3742</v>
      </c>
      <c r="K1280" s="417" t="s">
        <v>4949</v>
      </c>
      <c r="L1280" s="417"/>
      <c r="M1280" s="417" t="s">
        <v>28840</v>
      </c>
    </row>
    <row r="1281" spans="1:13" x14ac:dyDescent="0.25">
      <c r="A1281" s="417" t="s">
        <v>3385</v>
      </c>
      <c r="B1281" s="417" t="s">
        <v>2627</v>
      </c>
      <c r="C1281" s="417" t="s">
        <v>4950</v>
      </c>
      <c r="D1281" s="417" t="s">
        <v>83</v>
      </c>
      <c r="E1281" s="423">
        <v>138.7149275495328</v>
      </c>
      <c r="F1281" s="423">
        <v>9.0463462739891849</v>
      </c>
      <c r="G1281" s="422">
        <v>193611.17342250011</v>
      </c>
      <c r="H1281" s="417" t="s">
        <v>2616</v>
      </c>
      <c r="I1281" s="417" t="s">
        <v>1392</v>
      </c>
      <c r="J1281" s="417" t="s">
        <v>4399</v>
      </c>
      <c r="K1281" s="417" t="s">
        <v>4951</v>
      </c>
      <c r="L1281" s="417"/>
      <c r="M1281" s="417" t="s">
        <v>28840</v>
      </c>
    </row>
    <row r="1282" spans="1:13" x14ac:dyDescent="0.25">
      <c r="A1282" s="417" t="s">
        <v>3385</v>
      </c>
      <c r="B1282" s="417" t="s">
        <v>2627</v>
      </c>
      <c r="C1282" s="417" t="s">
        <v>4952</v>
      </c>
      <c r="D1282" s="417" t="s">
        <v>83</v>
      </c>
      <c r="E1282" s="423">
        <v>135.7720167261208</v>
      </c>
      <c r="F1282" s="423">
        <v>9.4128897309011741</v>
      </c>
      <c r="G1282" s="422">
        <v>182196.8121282674</v>
      </c>
      <c r="H1282" s="417" t="s">
        <v>2616</v>
      </c>
      <c r="I1282" s="417" t="s">
        <v>1392</v>
      </c>
      <c r="J1282" s="417" t="s">
        <v>4399</v>
      </c>
      <c r="K1282" s="417" t="s">
        <v>4953</v>
      </c>
      <c r="L1282" s="417"/>
      <c r="M1282" s="417" t="s">
        <v>28840</v>
      </c>
    </row>
    <row r="1283" spans="1:13" x14ac:dyDescent="0.25">
      <c r="A1283" s="417" t="s">
        <v>3385</v>
      </c>
      <c r="B1283" s="417" t="s">
        <v>2627</v>
      </c>
      <c r="C1283" s="417" t="s">
        <v>4954</v>
      </c>
      <c r="D1283" s="417" t="s">
        <v>83</v>
      </c>
      <c r="E1283" s="423">
        <v>139.4543923831892</v>
      </c>
      <c r="F1283" s="423">
        <v>9.0766410662275945</v>
      </c>
      <c r="G1283" s="422">
        <v>197365.5950854026</v>
      </c>
      <c r="H1283" s="417" t="s">
        <v>2616</v>
      </c>
      <c r="I1283" s="417" t="s">
        <v>1392</v>
      </c>
      <c r="J1283" s="417" t="s">
        <v>4399</v>
      </c>
      <c r="K1283" s="417" t="s">
        <v>4955</v>
      </c>
      <c r="L1283" s="417"/>
      <c r="M1283" s="417" t="s">
        <v>28840</v>
      </c>
    </row>
    <row r="1284" spans="1:13" x14ac:dyDescent="0.25">
      <c r="A1284" s="417" t="s">
        <v>3385</v>
      </c>
      <c r="B1284" s="417" t="s">
        <v>2627</v>
      </c>
      <c r="C1284" s="417" t="s">
        <v>4956</v>
      </c>
      <c r="D1284" s="417" t="s">
        <v>83</v>
      </c>
      <c r="E1284" s="423">
        <v>137.75702788737181</v>
      </c>
      <c r="F1284" s="423">
        <v>9.000156820630604</v>
      </c>
      <c r="G1284" s="422">
        <v>189520.27551736709</v>
      </c>
      <c r="H1284" s="417" t="s">
        <v>2616</v>
      </c>
      <c r="I1284" s="417" t="s">
        <v>1392</v>
      </c>
      <c r="J1284" s="417" t="s">
        <v>4399</v>
      </c>
      <c r="K1284" s="417" t="s">
        <v>4957</v>
      </c>
      <c r="L1284" s="417"/>
      <c r="M1284" s="417" t="s">
        <v>28840</v>
      </c>
    </row>
    <row r="1285" spans="1:13" x14ac:dyDescent="0.25">
      <c r="A1285" s="417" t="s">
        <v>3385</v>
      </c>
      <c r="B1285" s="417" t="s">
        <v>2627</v>
      </c>
      <c r="C1285" s="417" t="s">
        <v>4958</v>
      </c>
      <c r="D1285" s="417" t="s">
        <v>83</v>
      </c>
      <c r="E1285" s="423">
        <v>135.77013057116201</v>
      </c>
      <c r="F1285" s="423">
        <v>9.4124276903472364</v>
      </c>
      <c r="G1285" s="422">
        <v>182189.9016236249</v>
      </c>
      <c r="H1285" s="417" t="s">
        <v>2616</v>
      </c>
      <c r="I1285" s="417" t="s">
        <v>1392</v>
      </c>
      <c r="J1285" s="417" t="s">
        <v>4399</v>
      </c>
      <c r="K1285" s="417" t="s">
        <v>4959</v>
      </c>
      <c r="L1285" s="417"/>
      <c r="M1285" s="417" t="s">
        <v>28840</v>
      </c>
    </row>
    <row r="1286" spans="1:13" x14ac:dyDescent="0.25">
      <c r="A1286" s="417" t="s">
        <v>3385</v>
      </c>
      <c r="B1286" s="417" t="s">
        <v>2627</v>
      </c>
      <c r="C1286" s="417" t="s">
        <v>4960</v>
      </c>
      <c r="D1286" s="417" t="s">
        <v>83</v>
      </c>
      <c r="E1286" s="423">
        <v>139.45250625244839</v>
      </c>
      <c r="F1286" s="423">
        <v>9.0761790270151899</v>
      </c>
      <c r="G1286" s="422">
        <v>197358.68474655011</v>
      </c>
      <c r="H1286" s="417" t="s">
        <v>2616</v>
      </c>
      <c r="I1286" s="417" t="s">
        <v>1392</v>
      </c>
      <c r="J1286" s="417" t="s">
        <v>4399</v>
      </c>
      <c r="K1286" s="417" t="s">
        <v>4961</v>
      </c>
      <c r="L1286" s="417"/>
      <c r="M1286" s="417" t="s">
        <v>28840</v>
      </c>
    </row>
    <row r="1287" spans="1:13" x14ac:dyDescent="0.25">
      <c r="A1287" s="417" t="s">
        <v>3385</v>
      </c>
      <c r="B1287" s="417" t="s">
        <v>2627</v>
      </c>
      <c r="C1287" s="417" t="s">
        <v>4962</v>
      </c>
      <c r="D1287" s="417" t="s">
        <v>83</v>
      </c>
      <c r="E1287" s="423">
        <v>148.60906975905479</v>
      </c>
      <c r="F1287" s="423">
        <v>9.6357192959500875</v>
      </c>
      <c r="G1287" s="422">
        <v>206333.97511810681</v>
      </c>
      <c r="H1287" s="417" t="s">
        <v>2616</v>
      </c>
      <c r="I1287" s="417" t="s">
        <v>1392</v>
      </c>
      <c r="J1287" s="417" t="s">
        <v>4399</v>
      </c>
      <c r="K1287" s="417" t="s">
        <v>4963</v>
      </c>
      <c r="L1287" s="417"/>
      <c r="M1287" s="417" t="s">
        <v>28840</v>
      </c>
    </row>
    <row r="1288" spans="1:13" x14ac:dyDescent="0.25">
      <c r="A1288" s="417" t="s">
        <v>3385</v>
      </c>
      <c r="B1288" s="417" t="s">
        <v>2627</v>
      </c>
      <c r="C1288" s="417" t="s">
        <v>4964</v>
      </c>
      <c r="D1288" s="417" t="s">
        <v>83</v>
      </c>
      <c r="E1288" s="423">
        <v>149.48014558572271</v>
      </c>
      <c r="F1288" s="423">
        <v>9.6839252467909365</v>
      </c>
      <c r="G1288" s="422">
        <v>210633.07272584079</v>
      </c>
      <c r="H1288" s="417" t="s">
        <v>2616</v>
      </c>
      <c r="I1288" s="417" t="s">
        <v>1392</v>
      </c>
      <c r="J1288" s="417" t="s">
        <v>4399</v>
      </c>
      <c r="K1288" s="417" t="s">
        <v>4965</v>
      </c>
      <c r="L1288" s="417"/>
      <c r="M1288" s="417" t="s">
        <v>28840</v>
      </c>
    </row>
    <row r="1289" spans="1:13" x14ac:dyDescent="0.25">
      <c r="A1289" s="417" t="s">
        <v>3385</v>
      </c>
      <c r="B1289" s="417" t="s">
        <v>2627</v>
      </c>
      <c r="C1289" s="417" t="s">
        <v>4966</v>
      </c>
      <c r="D1289" s="417" t="s">
        <v>83</v>
      </c>
      <c r="E1289" s="423">
        <v>96.547186991598892</v>
      </c>
      <c r="F1289" s="423">
        <v>6.3393241626481869</v>
      </c>
      <c r="G1289" s="422">
        <v>148363.94476882691</v>
      </c>
      <c r="H1289" s="417" t="s">
        <v>2616</v>
      </c>
      <c r="I1289" s="417" t="s">
        <v>1392</v>
      </c>
      <c r="J1289" s="417" t="s">
        <v>4399</v>
      </c>
      <c r="K1289" s="417" t="s">
        <v>4967</v>
      </c>
      <c r="L1289" s="417"/>
      <c r="M1289" s="417" t="s">
        <v>28840</v>
      </c>
    </row>
    <row r="1290" spans="1:13" x14ac:dyDescent="0.25">
      <c r="A1290" s="417" t="s">
        <v>3385</v>
      </c>
      <c r="B1290" s="417" t="s">
        <v>2627</v>
      </c>
      <c r="C1290" s="417" t="s">
        <v>4968</v>
      </c>
      <c r="D1290" s="417" t="s">
        <v>83</v>
      </c>
      <c r="E1290" s="423">
        <v>93.604276168519888</v>
      </c>
      <c r="F1290" s="423">
        <v>6.7058676194181661</v>
      </c>
      <c r="G1290" s="422">
        <v>136949.58337286001</v>
      </c>
      <c r="H1290" s="417" t="s">
        <v>2616</v>
      </c>
      <c r="I1290" s="417" t="s">
        <v>1392</v>
      </c>
      <c r="J1290" s="417" t="s">
        <v>4399</v>
      </c>
      <c r="K1290" s="417" t="s">
        <v>4969</v>
      </c>
      <c r="L1290" s="417"/>
      <c r="M1290" s="417" t="s">
        <v>28840</v>
      </c>
    </row>
    <row r="1291" spans="1:13" x14ac:dyDescent="0.25">
      <c r="A1291" s="417" t="s">
        <v>3385</v>
      </c>
      <c r="B1291" s="417" t="s">
        <v>2627</v>
      </c>
      <c r="C1291" s="417" t="s">
        <v>4970</v>
      </c>
      <c r="D1291" s="417" t="s">
        <v>83</v>
      </c>
      <c r="E1291" s="423">
        <v>97.286651842939762</v>
      </c>
      <c r="F1291" s="423">
        <v>6.3696189553721672</v>
      </c>
      <c r="G1291" s="422">
        <v>152118.3663164032</v>
      </c>
      <c r="H1291" s="417" t="s">
        <v>2616</v>
      </c>
      <c r="I1291" s="417" t="s">
        <v>1392</v>
      </c>
      <c r="J1291" s="417" t="s">
        <v>4399</v>
      </c>
      <c r="K1291" s="417" t="s">
        <v>4971</v>
      </c>
      <c r="L1291" s="417"/>
      <c r="M1291" s="417" t="s">
        <v>28840</v>
      </c>
    </row>
    <row r="1292" spans="1:13" x14ac:dyDescent="0.25">
      <c r="A1292" s="417" t="s">
        <v>3385</v>
      </c>
      <c r="B1292" s="417" t="s">
        <v>2627</v>
      </c>
      <c r="C1292" s="417" t="s">
        <v>4972</v>
      </c>
      <c r="D1292" s="417" t="s">
        <v>83</v>
      </c>
      <c r="E1292" s="423">
        <v>95.589287325894873</v>
      </c>
      <c r="F1292" s="423">
        <v>6.2931347094284851</v>
      </c>
      <c r="G1292" s="422">
        <v>144273.04654484781</v>
      </c>
      <c r="H1292" s="417" t="s">
        <v>2616</v>
      </c>
      <c r="I1292" s="417" t="s">
        <v>1392</v>
      </c>
      <c r="J1292" s="417" t="s">
        <v>4399</v>
      </c>
      <c r="K1292" s="417" t="s">
        <v>4973</v>
      </c>
      <c r="L1292" s="417"/>
      <c r="M1292" s="417" t="s">
        <v>28840</v>
      </c>
    </row>
    <row r="1293" spans="1:13" x14ac:dyDescent="0.25">
      <c r="A1293" s="417" t="s">
        <v>3385</v>
      </c>
      <c r="B1293" s="417" t="s">
        <v>2627</v>
      </c>
      <c r="C1293" s="417" t="s">
        <v>4974</v>
      </c>
      <c r="D1293" s="417" t="s">
        <v>83</v>
      </c>
      <c r="E1293" s="423">
        <v>93.602390015674644</v>
      </c>
      <c r="F1293" s="423">
        <v>6.705405578987758</v>
      </c>
      <c r="G1293" s="422">
        <v>136942.67300952281</v>
      </c>
      <c r="H1293" s="417" t="s">
        <v>2616</v>
      </c>
      <c r="I1293" s="417" t="s">
        <v>1392</v>
      </c>
      <c r="J1293" s="417" t="s">
        <v>4399</v>
      </c>
      <c r="K1293" s="417" t="s">
        <v>4975</v>
      </c>
      <c r="L1293" s="417"/>
      <c r="M1293" s="417" t="s">
        <v>28840</v>
      </c>
    </row>
    <row r="1294" spans="1:13" x14ac:dyDescent="0.25">
      <c r="A1294" s="417" t="s">
        <v>3385</v>
      </c>
      <c r="B1294" s="417" t="s">
        <v>2627</v>
      </c>
      <c r="C1294" s="417" t="s">
        <v>4976</v>
      </c>
      <c r="D1294" s="417" t="s">
        <v>83</v>
      </c>
      <c r="E1294" s="423">
        <v>97.284765692763102</v>
      </c>
      <c r="F1294" s="423">
        <v>6.3691569158684622</v>
      </c>
      <c r="G1294" s="422">
        <v>152111.4559794059</v>
      </c>
      <c r="H1294" s="417" t="s">
        <v>2616</v>
      </c>
      <c r="I1294" s="417" t="s">
        <v>1392</v>
      </c>
      <c r="J1294" s="417" t="s">
        <v>4399</v>
      </c>
      <c r="K1294" s="417" t="s">
        <v>4977</v>
      </c>
      <c r="L1294" s="417"/>
      <c r="M1294" s="417" t="s">
        <v>28840</v>
      </c>
    </row>
    <row r="1295" spans="1:13" x14ac:dyDescent="0.25">
      <c r="A1295" s="417" t="s">
        <v>3385</v>
      </c>
      <c r="B1295" s="417" t="s">
        <v>2627</v>
      </c>
      <c r="C1295" s="417" t="s">
        <v>4978</v>
      </c>
      <c r="D1295" s="417" t="s">
        <v>83</v>
      </c>
      <c r="E1295" s="423">
        <v>103.42934773027891</v>
      </c>
      <c r="F1295" s="423">
        <v>6.7353384622492101</v>
      </c>
      <c r="G1295" s="422">
        <v>157854.8015011838</v>
      </c>
      <c r="H1295" s="417" t="s">
        <v>2616</v>
      </c>
      <c r="I1295" s="417" t="s">
        <v>1392</v>
      </c>
      <c r="J1295" s="417" t="s">
        <v>4399</v>
      </c>
      <c r="K1295" s="417" t="s">
        <v>4979</v>
      </c>
      <c r="L1295" s="417"/>
      <c r="M1295" s="417" t="s">
        <v>28840</v>
      </c>
    </row>
    <row r="1296" spans="1:13" x14ac:dyDescent="0.25">
      <c r="A1296" s="417" t="s">
        <v>3385</v>
      </c>
      <c r="B1296" s="417" t="s">
        <v>2627</v>
      </c>
      <c r="C1296" s="417" t="s">
        <v>4980</v>
      </c>
      <c r="D1296" s="417" t="s">
        <v>83</v>
      </c>
      <c r="E1296" s="423">
        <v>104.3004235471859</v>
      </c>
      <c r="F1296" s="423">
        <v>6.7835444128184701</v>
      </c>
      <c r="G1296" s="422">
        <v>162153.89902055269</v>
      </c>
      <c r="H1296" s="417" t="s">
        <v>2616</v>
      </c>
      <c r="I1296" s="417" t="s">
        <v>1392</v>
      </c>
      <c r="J1296" s="417" t="s">
        <v>4399</v>
      </c>
      <c r="K1296" s="417" t="s">
        <v>4981</v>
      </c>
      <c r="L1296" s="417"/>
      <c r="M1296" s="417" t="s">
        <v>28840</v>
      </c>
    </row>
    <row r="1297" spans="1:13" x14ac:dyDescent="0.25">
      <c r="A1297" s="417" t="s">
        <v>3385</v>
      </c>
      <c r="B1297" s="417" t="s">
        <v>2627</v>
      </c>
      <c r="C1297" s="417" t="s">
        <v>4982</v>
      </c>
      <c r="D1297" s="417" t="s">
        <v>83</v>
      </c>
      <c r="E1297" s="423">
        <v>3.2953779110855441</v>
      </c>
      <c r="F1297" s="423">
        <v>0.36581807946921319</v>
      </c>
      <c r="G1297" s="422">
        <v>7687.4120218061271</v>
      </c>
      <c r="H1297" s="417" t="s">
        <v>2616</v>
      </c>
      <c r="I1297" s="417" t="s">
        <v>1392</v>
      </c>
      <c r="J1297" s="417" t="s">
        <v>4399</v>
      </c>
      <c r="K1297" s="417" t="s">
        <v>4983</v>
      </c>
      <c r="L1297" s="417"/>
      <c r="M1297" s="417" t="s">
        <v>28840</v>
      </c>
    </row>
    <row r="1298" spans="1:13" x14ac:dyDescent="0.25">
      <c r="A1298" s="417" t="s">
        <v>3385</v>
      </c>
      <c r="B1298" s="417" t="s">
        <v>2627</v>
      </c>
      <c r="C1298" s="417" t="s">
        <v>4984</v>
      </c>
      <c r="D1298" s="417" t="s">
        <v>83</v>
      </c>
      <c r="E1298" s="423">
        <v>203.96463799819199</v>
      </c>
      <c r="F1298" s="423">
        <v>12.751238423788701</v>
      </c>
      <c r="G1298" s="422">
        <v>305186.73355118412</v>
      </c>
      <c r="H1298" s="417" t="s">
        <v>2616</v>
      </c>
      <c r="I1298" s="417" t="s">
        <v>1392</v>
      </c>
      <c r="J1298" s="417" t="s">
        <v>4399</v>
      </c>
      <c r="K1298" s="417" t="s">
        <v>4985</v>
      </c>
      <c r="L1298" s="417"/>
      <c r="M1298" s="417" t="s">
        <v>28840</v>
      </c>
    </row>
    <row r="1299" spans="1:13" x14ac:dyDescent="0.25">
      <c r="A1299" s="417" t="s">
        <v>3385</v>
      </c>
      <c r="B1299" s="417" t="s">
        <v>2627</v>
      </c>
      <c r="C1299" s="417" t="s">
        <v>4986</v>
      </c>
      <c r="D1299" s="417" t="s">
        <v>83</v>
      </c>
      <c r="E1299" s="423">
        <v>203.96463799953409</v>
      </c>
      <c r="F1299" s="423">
        <v>12.75123842371949</v>
      </c>
      <c r="G1299" s="422">
        <v>273613.93352117942</v>
      </c>
      <c r="H1299" s="417" t="s">
        <v>2616</v>
      </c>
      <c r="I1299" s="417" t="s">
        <v>1392</v>
      </c>
      <c r="J1299" s="417" t="s">
        <v>4399</v>
      </c>
      <c r="K1299" s="417" t="s">
        <v>4987</v>
      </c>
      <c r="L1299" s="417"/>
      <c r="M1299" s="417" t="s">
        <v>28840</v>
      </c>
    </row>
    <row r="1300" spans="1:13" x14ac:dyDescent="0.25">
      <c r="A1300" s="417" t="s">
        <v>3385</v>
      </c>
      <c r="B1300" s="417" t="s">
        <v>2627</v>
      </c>
      <c r="C1300" s="417" t="s">
        <v>4988</v>
      </c>
      <c r="D1300" s="417" t="s">
        <v>83</v>
      </c>
      <c r="E1300" s="423">
        <v>160.87622208100069</v>
      </c>
      <c r="F1300" s="423">
        <v>10.29173729760674</v>
      </c>
      <c r="G1300" s="422">
        <v>226306.4823604569</v>
      </c>
      <c r="H1300" s="417" t="s">
        <v>2616</v>
      </c>
      <c r="I1300" s="417" t="s">
        <v>1392</v>
      </c>
      <c r="J1300" s="417" t="s">
        <v>4399</v>
      </c>
      <c r="K1300" s="417" t="s">
        <v>4989</v>
      </c>
      <c r="L1300" s="417"/>
      <c r="M1300" s="417" t="s">
        <v>28840</v>
      </c>
    </row>
    <row r="1301" spans="1:13" x14ac:dyDescent="0.25">
      <c r="A1301" s="417" t="s">
        <v>3385</v>
      </c>
      <c r="B1301" s="417" t="s">
        <v>2627</v>
      </c>
      <c r="C1301" s="417" t="s">
        <v>4990</v>
      </c>
      <c r="D1301" s="417" t="s">
        <v>83</v>
      </c>
      <c r="E1301" s="423">
        <v>112.6845185826719</v>
      </c>
      <c r="F1301" s="423">
        <v>7.1979977431736861</v>
      </c>
      <c r="G1301" s="422">
        <v>174595.36364263049</v>
      </c>
      <c r="H1301" s="417" t="s">
        <v>2616</v>
      </c>
      <c r="I1301" s="417" t="s">
        <v>1392</v>
      </c>
      <c r="J1301" s="417" t="s">
        <v>4399</v>
      </c>
      <c r="K1301" s="417" t="s">
        <v>4991</v>
      </c>
      <c r="L1301" s="417"/>
      <c r="M1301" s="417" t="s">
        <v>28840</v>
      </c>
    </row>
    <row r="1302" spans="1:13" x14ac:dyDescent="0.25">
      <c r="A1302" s="417" t="s">
        <v>3385</v>
      </c>
      <c r="B1302" s="417" t="s">
        <v>2627</v>
      </c>
      <c r="C1302" s="417" t="s">
        <v>4992</v>
      </c>
      <c r="D1302" s="417" t="s">
        <v>83</v>
      </c>
      <c r="E1302" s="423">
        <v>3.721338617231762</v>
      </c>
      <c r="F1302" s="423">
        <v>0.38065047830140841</v>
      </c>
      <c r="G1302" s="422">
        <v>8422.4699442288293</v>
      </c>
      <c r="H1302" s="417" t="s">
        <v>2616</v>
      </c>
      <c r="I1302" s="417" t="s">
        <v>1392</v>
      </c>
      <c r="J1302" s="417" t="s">
        <v>4399</v>
      </c>
      <c r="K1302" s="417" t="s">
        <v>4993</v>
      </c>
      <c r="L1302" s="417"/>
      <c r="M1302" s="417" t="s">
        <v>28840</v>
      </c>
    </row>
    <row r="1303" spans="1:13" x14ac:dyDescent="0.25">
      <c r="A1303" s="417" t="s">
        <v>3385</v>
      </c>
      <c r="B1303" s="417" t="s">
        <v>2627</v>
      </c>
      <c r="C1303" s="417" t="s">
        <v>4994</v>
      </c>
      <c r="D1303" s="417" t="s">
        <v>83</v>
      </c>
      <c r="E1303" s="423">
        <v>225.91553365487911</v>
      </c>
      <c r="F1303" s="423">
        <v>13.961665641000289</v>
      </c>
      <c r="G1303" s="422">
        <v>338392.29880653531</v>
      </c>
      <c r="H1303" s="417" t="s">
        <v>2616</v>
      </c>
      <c r="I1303" s="417" t="s">
        <v>1392</v>
      </c>
      <c r="J1303" s="417" t="s">
        <v>4399</v>
      </c>
      <c r="K1303" s="417" t="s">
        <v>4995</v>
      </c>
      <c r="L1303" s="417"/>
      <c r="M1303" s="417" t="s">
        <v>28840</v>
      </c>
    </row>
    <row r="1304" spans="1:13" x14ac:dyDescent="0.25">
      <c r="A1304" s="417" t="s">
        <v>3385</v>
      </c>
      <c r="B1304" s="417" t="s">
        <v>2627</v>
      </c>
      <c r="C1304" s="417" t="s">
        <v>4996</v>
      </c>
      <c r="D1304" s="417" t="s">
        <v>83</v>
      </c>
      <c r="E1304" s="423">
        <v>225.91553365411431</v>
      </c>
      <c r="F1304" s="423">
        <v>13.96166564086484</v>
      </c>
      <c r="G1304" s="422">
        <v>303291.49875605688</v>
      </c>
      <c r="H1304" s="417" t="s">
        <v>2616</v>
      </c>
      <c r="I1304" s="417" t="s">
        <v>1392</v>
      </c>
      <c r="J1304" s="417" t="s">
        <v>4399</v>
      </c>
      <c r="K1304" s="417" t="s">
        <v>4997</v>
      </c>
      <c r="L1304" s="417"/>
      <c r="M1304" s="417" t="s">
        <v>28840</v>
      </c>
    </row>
    <row r="1305" spans="1:13" x14ac:dyDescent="0.25">
      <c r="A1305" s="417" t="s">
        <v>3385</v>
      </c>
      <c r="B1305" s="417" t="s">
        <v>2627</v>
      </c>
      <c r="C1305" s="417" t="s">
        <v>4998</v>
      </c>
      <c r="D1305" s="417" t="s">
        <v>83</v>
      </c>
      <c r="E1305" s="423">
        <v>262.16407959557591</v>
      </c>
      <c r="F1305" s="423">
        <v>16.860765792753011</v>
      </c>
      <c r="G1305" s="422">
        <v>328858.15609966061</v>
      </c>
      <c r="H1305" s="417" t="s">
        <v>2616</v>
      </c>
      <c r="I1305" s="417" t="s">
        <v>1392</v>
      </c>
      <c r="J1305" s="417" t="s">
        <v>4399</v>
      </c>
      <c r="K1305" s="417" t="s">
        <v>4999</v>
      </c>
      <c r="L1305" s="417"/>
      <c r="M1305" s="417" t="s">
        <v>28840</v>
      </c>
    </row>
    <row r="1306" spans="1:13" x14ac:dyDescent="0.25">
      <c r="A1306" s="417" t="s">
        <v>3385</v>
      </c>
      <c r="B1306" s="417" t="s">
        <v>2627</v>
      </c>
      <c r="C1306" s="417" t="s">
        <v>5000</v>
      </c>
      <c r="D1306" s="417" t="s">
        <v>83</v>
      </c>
      <c r="E1306" s="423">
        <v>299.55282101457158</v>
      </c>
      <c r="F1306" s="423">
        <v>19.2412033465516</v>
      </c>
      <c r="G1306" s="422">
        <v>373476.86413445091</v>
      </c>
      <c r="H1306" s="417" t="s">
        <v>2616</v>
      </c>
      <c r="I1306" s="417" t="s">
        <v>1392</v>
      </c>
      <c r="J1306" s="417" t="s">
        <v>4399</v>
      </c>
      <c r="K1306" s="417" t="s">
        <v>5001</v>
      </c>
      <c r="L1306" s="417"/>
      <c r="M1306" s="417" t="s">
        <v>28840</v>
      </c>
    </row>
    <row r="1307" spans="1:13" x14ac:dyDescent="0.25">
      <c r="A1307" s="417" t="s">
        <v>3385</v>
      </c>
      <c r="B1307" s="417" t="s">
        <v>2627</v>
      </c>
      <c r="C1307" s="417" t="s">
        <v>5002</v>
      </c>
      <c r="D1307" s="417" t="s">
        <v>83</v>
      </c>
      <c r="E1307" s="423">
        <v>230.6487994481146</v>
      </c>
      <c r="F1307" s="423">
        <v>14.80481482145902</v>
      </c>
      <c r="G1307" s="422">
        <v>291049.83400177502</v>
      </c>
      <c r="H1307" s="417" t="s">
        <v>2616</v>
      </c>
      <c r="I1307" s="417" t="s">
        <v>1392</v>
      </c>
      <c r="J1307" s="417" t="s">
        <v>4399</v>
      </c>
      <c r="K1307" s="417" t="s">
        <v>5003</v>
      </c>
      <c r="L1307" s="417"/>
      <c r="M1307" s="417" t="s">
        <v>28840</v>
      </c>
    </row>
    <row r="1308" spans="1:13" x14ac:dyDescent="0.25">
      <c r="A1308" s="417" t="s">
        <v>3385</v>
      </c>
      <c r="B1308" s="417" t="s">
        <v>2627</v>
      </c>
      <c r="C1308" s="417" t="s">
        <v>5004</v>
      </c>
      <c r="D1308" s="417" t="s">
        <v>83</v>
      </c>
      <c r="E1308" s="423">
        <v>263.26249840968222</v>
      </c>
      <c r="F1308" s="423">
        <v>16.8737446519884</v>
      </c>
      <c r="G1308" s="422">
        <v>329940.00819308468</v>
      </c>
      <c r="H1308" s="417" t="s">
        <v>2616</v>
      </c>
      <c r="I1308" s="417" t="s">
        <v>1392</v>
      </c>
      <c r="J1308" s="417" t="s">
        <v>4399</v>
      </c>
      <c r="K1308" s="417" t="s">
        <v>5005</v>
      </c>
      <c r="L1308" s="417"/>
      <c r="M1308" s="417" t="s">
        <v>28840</v>
      </c>
    </row>
    <row r="1309" spans="1:13" x14ac:dyDescent="0.25">
      <c r="A1309" s="417" t="s">
        <v>3385</v>
      </c>
      <c r="B1309" s="417" t="s">
        <v>2627</v>
      </c>
      <c r="C1309" s="417" t="s">
        <v>5006</v>
      </c>
      <c r="D1309" s="417" t="s">
        <v>83</v>
      </c>
      <c r="E1309" s="423">
        <v>221.58774331131011</v>
      </c>
      <c r="F1309" s="423">
        <v>14.25604062433832</v>
      </c>
      <c r="G1309" s="422">
        <v>280965.92000988411</v>
      </c>
      <c r="H1309" s="417" t="s">
        <v>2616</v>
      </c>
      <c r="I1309" s="417" t="s">
        <v>1392</v>
      </c>
      <c r="J1309" s="417" t="s">
        <v>4399</v>
      </c>
      <c r="K1309" s="417" t="s">
        <v>5007</v>
      </c>
      <c r="L1309" s="417"/>
      <c r="M1309" s="417" t="s">
        <v>28840</v>
      </c>
    </row>
    <row r="1310" spans="1:13" x14ac:dyDescent="0.25">
      <c r="A1310" s="417" t="s">
        <v>3385</v>
      </c>
      <c r="B1310" s="417" t="s">
        <v>2627</v>
      </c>
      <c r="C1310" s="417" t="s">
        <v>5008</v>
      </c>
      <c r="D1310" s="417" t="s">
        <v>83</v>
      </c>
      <c r="E1310" s="423">
        <v>251.01909224636071</v>
      </c>
      <c r="F1310" s="423">
        <v>16.12676317408777</v>
      </c>
      <c r="G1310" s="422">
        <v>316139.42438509507</v>
      </c>
      <c r="H1310" s="417" t="s">
        <v>2616</v>
      </c>
      <c r="I1310" s="417" t="s">
        <v>1392</v>
      </c>
      <c r="J1310" s="417" t="s">
        <v>4399</v>
      </c>
      <c r="K1310" s="417" t="s">
        <v>5009</v>
      </c>
      <c r="L1310" s="417"/>
      <c r="M1310" s="417" t="s">
        <v>28840</v>
      </c>
    </row>
    <row r="1311" spans="1:13" x14ac:dyDescent="0.25">
      <c r="A1311" s="417" t="s">
        <v>3385</v>
      </c>
      <c r="B1311" s="417" t="s">
        <v>2627</v>
      </c>
      <c r="C1311" s="417" t="s">
        <v>5010</v>
      </c>
      <c r="D1311" s="417" t="s">
        <v>83</v>
      </c>
      <c r="E1311" s="423">
        <v>224.42846740005859</v>
      </c>
      <c r="F1311" s="423">
        <v>13.23365262940813</v>
      </c>
      <c r="G1311" s="422">
        <v>283874.49294901971</v>
      </c>
      <c r="H1311" s="417" t="s">
        <v>2616</v>
      </c>
      <c r="I1311" s="417" t="s">
        <v>1392</v>
      </c>
      <c r="J1311" s="417" t="s">
        <v>4399</v>
      </c>
      <c r="K1311" s="417" t="s">
        <v>5011</v>
      </c>
      <c r="L1311" s="417"/>
      <c r="M1311" s="417" t="s">
        <v>28840</v>
      </c>
    </row>
    <row r="1312" spans="1:13" x14ac:dyDescent="0.25">
      <c r="A1312" s="417" t="s">
        <v>3385</v>
      </c>
      <c r="B1312" s="417" t="s">
        <v>2627</v>
      </c>
      <c r="C1312" s="417" t="s">
        <v>5012</v>
      </c>
      <c r="D1312" s="417" t="s">
        <v>83</v>
      </c>
      <c r="E1312" s="423">
        <v>256.09969180331768</v>
      </c>
      <c r="F1312" s="423">
        <v>15.064527582606409</v>
      </c>
      <c r="G1312" s="422">
        <v>321677.49493567733</v>
      </c>
      <c r="H1312" s="417" t="s">
        <v>2616</v>
      </c>
      <c r="I1312" s="417" t="s">
        <v>1392</v>
      </c>
      <c r="J1312" s="417" t="s">
        <v>4399</v>
      </c>
      <c r="K1312" s="417" t="s">
        <v>5013</v>
      </c>
      <c r="L1312" s="417"/>
      <c r="M1312" s="417" t="s">
        <v>28840</v>
      </c>
    </row>
    <row r="1313" spans="1:13" x14ac:dyDescent="0.25">
      <c r="A1313" s="417" t="s">
        <v>3385</v>
      </c>
      <c r="B1313" s="417" t="s">
        <v>2627</v>
      </c>
      <c r="C1313" s="417" t="s">
        <v>5014</v>
      </c>
      <c r="D1313" s="417" t="s">
        <v>83</v>
      </c>
      <c r="E1313" s="423">
        <v>163.05080539284771</v>
      </c>
      <c r="F1313" s="423">
        <v>10.50269571899493</v>
      </c>
      <c r="G1313" s="422">
        <v>223402.19978343279</v>
      </c>
      <c r="H1313" s="417" t="s">
        <v>2616</v>
      </c>
      <c r="I1313" s="417" t="s">
        <v>1392</v>
      </c>
      <c r="J1313" s="417" t="s">
        <v>4399</v>
      </c>
      <c r="K1313" s="417" t="s">
        <v>5015</v>
      </c>
      <c r="L1313" s="417"/>
      <c r="M1313" s="417" t="s">
        <v>28840</v>
      </c>
    </row>
    <row r="1314" spans="1:13" x14ac:dyDescent="0.25">
      <c r="A1314" s="417" t="s">
        <v>3385</v>
      </c>
      <c r="B1314" s="417" t="s">
        <v>2627</v>
      </c>
      <c r="C1314" s="417" t="s">
        <v>5016</v>
      </c>
      <c r="D1314" s="417" t="s">
        <v>83</v>
      </c>
      <c r="E1314" s="423">
        <v>164.02892537501779</v>
      </c>
      <c r="F1314" s="423">
        <v>10.56962487113854</v>
      </c>
      <c r="G1314" s="422">
        <v>230148.98335141619</v>
      </c>
      <c r="H1314" s="417" t="s">
        <v>2616</v>
      </c>
      <c r="I1314" s="417" t="s">
        <v>1392</v>
      </c>
      <c r="J1314" s="417" t="s">
        <v>4399</v>
      </c>
      <c r="K1314" s="417" t="s">
        <v>5017</v>
      </c>
      <c r="L1314" s="417"/>
      <c r="M1314" s="417" t="s">
        <v>28840</v>
      </c>
    </row>
    <row r="1315" spans="1:13" x14ac:dyDescent="0.25">
      <c r="A1315" s="417" t="s">
        <v>3385</v>
      </c>
      <c r="B1315" s="417" t="s">
        <v>2627</v>
      </c>
      <c r="C1315" s="417" t="s">
        <v>5018</v>
      </c>
      <c r="D1315" s="417" t="s">
        <v>83</v>
      </c>
      <c r="E1315" s="423">
        <v>185.42238403566549</v>
      </c>
      <c r="F1315" s="423">
        <v>11.91978932234797</v>
      </c>
      <c r="G1315" s="422">
        <v>252042.73262617429</v>
      </c>
      <c r="H1315" s="417" t="s">
        <v>2616</v>
      </c>
      <c r="I1315" s="417" t="s">
        <v>1392</v>
      </c>
      <c r="J1315" s="417" t="s">
        <v>4399</v>
      </c>
      <c r="K1315" s="417" t="s">
        <v>5019</v>
      </c>
      <c r="L1315" s="417"/>
      <c r="M1315" s="417" t="s">
        <v>28840</v>
      </c>
    </row>
    <row r="1316" spans="1:13" x14ac:dyDescent="0.25">
      <c r="A1316" s="417" t="s">
        <v>3385</v>
      </c>
      <c r="B1316" s="417" t="s">
        <v>2627</v>
      </c>
      <c r="C1316" s="417" t="s">
        <v>5020</v>
      </c>
      <c r="D1316" s="417" t="s">
        <v>83</v>
      </c>
      <c r="E1316" s="423">
        <v>186.21151075608751</v>
      </c>
      <c r="F1316" s="423">
        <v>11.98175465706611</v>
      </c>
      <c r="G1316" s="422">
        <v>258252.62158728871</v>
      </c>
      <c r="H1316" s="417" t="s">
        <v>2616</v>
      </c>
      <c r="I1316" s="417" t="s">
        <v>1392</v>
      </c>
      <c r="J1316" s="417" t="s">
        <v>4399</v>
      </c>
      <c r="K1316" s="417" t="s">
        <v>5021</v>
      </c>
      <c r="L1316" s="417"/>
      <c r="M1316" s="417" t="s">
        <v>28840</v>
      </c>
    </row>
    <row r="1317" spans="1:13" x14ac:dyDescent="0.25">
      <c r="A1317" s="417" t="s">
        <v>3385</v>
      </c>
      <c r="B1317" s="417" t="s">
        <v>2627</v>
      </c>
      <c r="C1317" s="417" t="s">
        <v>5022</v>
      </c>
      <c r="D1317" s="417" t="s">
        <v>83</v>
      </c>
      <c r="E1317" s="423">
        <v>113.35311115700991</v>
      </c>
      <c r="F1317" s="423">
        <v>7.3122768032164149</v>
      </c>
      <c r="G1317" s="422">
        <v>170075.1086250339</v>
      </c>
      <c r="H1317" s="417" t="s">
        <v>2616</v>
      </c>
      <c r="I1317" s="417" t="s">
        <v>1392</v>
      </c>
      <c r="J1317" s="417" t="s">
        <v>4399</v>
      </c>
      <c r="K1317" s="417" t="s">
        <v>5023</v>
      </c>
      <c r="L1317" s="417"/>
      <c r="M1317" s="417" t="s">
        <v>28840</v>
      </c>
    </row>
    <row r="1318" spans="1:13" x14ac:dyDescent="0.25">
      <c r="A1318" s="417" t="s">
        <v>3385</v>
      </c>
      <c r="B1318" s="417" t="s">
        <v>2627</v>
      </c>
      <c r="C1318" s="417" t="s">
        <v>5024</v>
      </c>
      <c r="D1318" s="417" t="s">
        <v>83</v>
      </c>
      <c r="E1318" s="423">
        <v>114.3312311403669</v>
      </c>
      <c r="F1318" s="423">
        <v>7.3792059531281016</v>
      </c>
      <c r="G1318" s="422">
        <v>176821.89223748629</v>
      </c>
      <c r="H1318" s="417" t="s">
        <v>2616</v>
      </c>
      <c r="I1318" s="417" t="s">
        <v>1392</v>
      </c>
      <c r="J1318" s="417" t="s">
        <v>4399</v>
      </c>
      <c r="K1318" s="417" t="s">
        <v>5025</v>
      </c>
      <c r="L1318" s="417"/>
      <c r="M1318" s="417" t="s">
        <v>28840</v>
      </c>
    </row>
    <row r="1319" spans="1:13" x14ac:dyDescent="0.25">
      <c r="A1319" s="417" t="s">
        <v>3385</v>
      </c>
      <c r="B1319" s="417" t="s">
        <v>2627</v>
      </c>
      <c r="C1319" s="417" t="s">
        <v>5026</v>
      </c>
      <c r="D1319" s="417" t="s">
        <v>83</v>
      </c>
      <c r="E1319" s="423">
        <v>128.1947361309706</v>
      </c>
      <c r="F1319" s="423">
        <v>8.2459735998227757</v>
      </c>
      <c r="G1319" s="422">
        <v>190635.77934201559</v>
      </c>
      <c r="H1319" s="417" t="s">
        <v>2616</v>
      </c>
      <c r="I1319" s="417" t="s">
        <v>1392</v>
      </c>
      <c r="J1319" s="417" t="s">
        <v>4399</v>
      </c>
      <c r="K1319" s="417" t="s">
        <v>5027</v>
      </c>
      <c r="L1319" s="417"/>
      <c r="M1319" s="417" t="s">
        <v>28840</v>
      </c>
    </row>
    <row r="1320" spans="1:13" x14ac:dyDescent="0.25">
      <c r="A1320" s="417" t="s">
        <v>3385</v>
      </c>
      <c r="B1320" s="417" t="s">
        <v>2627</v>
      </c>
      <c r="C1320" s="417" t="s">
        <v>5028</v>
      </c>
      <c r="D1320" s="417" t="s">
        <v>83</v>
      </c>
      <c r="E1320" s="423">
        <v>128.9838628403829</v>
      </c>
      <c r="F1320" s="423">
        <v>8.3079389340086607</v>
      </c>
      <c r="G1320" s="422">
        <v>196845.66819601951</v>
      </c>
      <c r="H1320" s="417" t="s">
        <v>2616</v>
      </c>
      <c r="I1320" s="417" t="s">
        <v>1392</v>
      </c>
      <c r="J1320" s="417" t="s">
        <v>4399</v>
      </c>
      <c r="K1320" s="417" t="s">
        <v>5029</v>
      </c>
      <c r="L1320" s="417"/>
      <c r="M1320" s="417" t="s">
        <v>28840</v>
      </c>
    </row>
    <row r="1321" spans="1:13" x14ac:dyDescent="0.25">
      <c r="A1321" s="417" t="s">
        <v>3385</v>
      </c>
      <c r="B1321" s="417" t="s">
        <v>2627</v>
      </c>
      <c r="C1321" s="417" t="s">
        <v>5030</v>
      </c>
      <c r="D1321" s="417" t="s">
        <v>83</v>
      </c>
      <c r="E1321" s="423">
        <v>3.6627766782851299</v>
      </c>
      <c r="F1321" s="423">
        <v>0.38256551182832921</v>
      </c>
      <c r="G1321" s="422">
        <v>8380.2195307881993</v>
      </c>
      <c r="H1321" s="417" t="s">
        <v>2616</v>
      </c>
      <c r="I1321" s="417" t="s">
        <v>1392</v>
      </c>
      <c r="J1321" s="417" t="s">
        <v>4399</v>
      </c>
      <c r="K1321" s="417" t="s">
        <v>5031</v>
      </c>
      <c r="L1321" s="417"/>
      <c r="M1321" s="417" t="s">
        <v>28840</v>
      </c>
    </row>
    <row r="1322" spans="1:13" x14ac:dyDescent="0.25">
      <c r="A1322" s="417" t="s">
        <v>3385</v>
      </c>
      <c r="B1322" s="417" t="s">
        <v>2627</v>
      </c>
      <c r="C1322" s="417" t="s">
        <v>5032</v>
      </c>
      <c r="D1322" s="417" t="s">
        <v>83</v>
      </c>
      <c r="E1322" s="423">
        <v>247.07214572411641</v>
      </c>
      <c r="F1322" s="423">
        <v>15.33006428845739</v>
      </c>
      <c r="G1322" s="422">
        <v>355451.41024215007</v>
      </c>
      <c r="H1322" s="417" t="s">
        <v>2616</v>
      </c>
      <c r="I1322" s="417" t="s">
        <v>1392</v>
      </c>
      <c r="J1322" s="417" t="s">
        <v>4399</v>
      </c>
      <c r="K1322" s="417" t="s">
        <v>5033</v>
      </c>
      <c r="L1322" s="417"/>
      <c r="M1322" s="417" t="s">
        <v>28840</v>
      </c>
    </row>
    <row r="1323" spans="1:13" x14ac:dyDescent="0.25">
      <c r="A1323" s="417" t="s">
        <v>3385</v>
      </c>
      <c r="B1323" s="417" t="s">
        <v>2627</v>
      </c>
      <c r="C1323" s="417" t="s">
        <v>5034</v>
      </c>
      <c r="D1323" s="417" t="s">
        <v>83</v>
      </c>
      <c r="E1323" s="423">
        <v>247.07214573108141</v>
      </c>
      <c r="F1323" s="423">
        <v>15.330064288827129</v>
      </c>
      <c r="G1323" s="422">
        <v>325130.21031085879</v>
      </c>
      <c r="H1323" s="417" t="s">
        <v>2616</v>
      </c>
      <c r="I1323" s="417" t="s">
        <v>1392</v>
      </c>
      <c r="J1323" s="417" t="s">
        <v>4399</v>
      </c>
      <c r="K1323" s="417" t="s">
        <v>5035</v>
      </c>
      <c r="L1323" s="417"/>
      <c r="M1323" s="417" t="s">
        <v>28840</v>
      </c>
    </row>
    <row r="1324" spans="1:13" x14ac:dyDescent="0.25">
      <c r="A1324" s="417" t="s">
        <v>3385</v>
      </c>
      <c r="B1324" s="417" t="s">
        <v>2627</v>
      </c>
      <c r="C1324" s="417" t="s">
        <v>5036</v>
      </c>
      <c r="D1324" s="417" t="s">
        <v>989</v>
      </c>
      <c r="E1324" s="423">
        <v>2969181.918124604</v>
      </c>
      <c r="F1324" s="423">
        <v>488848.72927984199</v>
      </c>
      <c r="G1324" s="422">
        <v>7292290673.0032167</v>
      </c>
      <c r="H1324" s="417" t="s">
        <v>2616</v>
      </c>
      <c r="I1324" s="417" t="s">
        <v>1392</v>
      </c>
      <c r="J1324" s="417" t="s">
        <v>5037</v>
      </c>
      <c r="K1324" s="417" t="s">
        <v>5038</v>
      </c>
      <c r="L1324" s="417"/>
      <c r="M1324" s="417" t="s">
        <v>28840</v>
      </c>
    </row>
    <row r="1325" spans="1:13" x14ac:dyDescent="0.25">
      <c r="A1325" s="417" t="s">
        <v>3385</v>
      </c>
      <c r="B1325" s="417" t="s">
        <v>2627</v>
      </c>
      <c r="C1325" s="417" t="s">
        <v>5039</v>
      </c>
      <c r="D1325" s="417" t="s">
        <v>4315</v>
      </c>
      <c r="E1325" s="423">
        <v>375.7695684366127</v>
      </c>
      <c r="F1325" s="423">
        <v>22.012774686149069</v>
      </c>
      <c r="G1325" s="422">
        <v>577054.56182482291</v>
      </c>
      <c r="H1325" s="417" t="s">
        <v>2616</v>
      </c>
      <c r="I1325" s="417" t="s">
        <v>1392</v>
      </c>
      <c r="J1325" s="417" t="s">
        <v>4138</v>
      </c>
      <c r="K1325" s="417" t="s">
        <v>5040</v>
      </c>
      <c r="L1325" s="417"/>
      <c r="M1325" s="417" t="s">
        <v>28840</v>
      </c>
    </row>
    <row r="1326" spans="1:13" x14ac:dyDescent="0.25">
      <c r="A1326" s="417" t="s">
        <v>3385</v>
      </c>
      <c r="B1326" s="417" t="s">
        <v>2627</v>
      </c>
      <c r="C1326" s="417" t="s">
        <v>5041</v>
      </c>
      <c r="D1326" s="417" t="s">
        <v>4315</v>
      </c>
      <c r="E1326" s="423">
        <v>370.75886612407322</v>
      </c>
      <c r="F1326" s="423">
        <v>21.75779887529486</v>
      </c>
      <c r="G1326" s="422">
        <v>566618.05964910297</v>
      </c>
      <c r="H1326" s="417" t="s">
        <v>2616</v>
      </c>
      <c r="I1326" s="417" t="s">
        <v>1392</v>
      </c>
      <c r="J1326" s="417" t="s">
        <v>4138</v>
      </c>
      <c r="K1326" s="417" t="s">
        <v>5042</v>
      </c>
      <c r="L1326" s="417"/>
      <c r="M1326" s="417" t="s">
        <v>28840</v>
      </c>
    </row>
    <row r="1327" spans="1:13" x14ac:dyDescent="0.25">
      <c r="A1327" s="417" t="s">
        <v>3385</v>
      </c>
      <c r="B1327" s="417" t="s">
        <v>2627</v>
      </c>
      <c r="C1327" s="417" t="s">
        <v>5043</v>
      </c>
      <c r="D1327" s="417" t="s">
        <v>4315</v>
      </c>
      <c r="E1327" s="423">
        <v>162.20874431186999</v>
      </c>
      <c r="F1327" s="423">
        <v>8.898301198256803</v>
      </c>
      <c r="G1327" s="422">
        <v>257130.67624309991</v>
      </c>
      <c r="H1327" s="417" t="s">
        <v>2616</v>
      </c>
      <c r="I1327" s="417" t="s">
        <v>1392</v>
      </c>
      <c r="J1327" s="417" t="s">
        <v>4138</v>
      </c>
      <c r="K1327" s="417" t="s">
        <v>5044</v>
      </c>
      <c r="L1327" s="417"/>
      <c r="M1327" s="417" t="s">
        <v>28840</v>
      </c>
    </row>
    <row r="1328" spans="1:13" x14ac:dyDescent="0.25">
      <c r="A1328" s="417" t="s">
        <v>3385</v>
      </c>
      <c r="B1328" s="417" t="s">
        <v>2627</v>
      </c>
      <c r="C1328" s="417" t="s">
        <v>5045</v>
      </c>
      <c r="D1328" s="417" t="s">
        <v>4315</v>
      </c>
      <c r="E1328" s="423">
        <v>157.26313764880541</v>
      </c>
      <c r="F1328" s="423">
        <v>8.6466390675524298</v>
      </c>
      <c r="G1328" s="422">
        <v>246829.73886591001</v>
      </c>
      <c r="H1328" s="417" t="s">
        <v>2616</v>
      </c>
      <c r="I1328" s="417" t="s">
        <v>1392</v>
      </c>
      <c r="J1328" s="417" t="s">
        <v>4138</v>
      </c>
      <c r="K1328" s="417" t="s">
        <v>5046</v>
      </c>
      <c r="L1328" s="417"/>
      <c r="M1328" s="417" t="s">
        <v>28840</v>
      </c>
    </row>
    <row r="1329" spans="1:13" x14ac:dyDescent="0.25">
      <c r="A1329" s="417" t="s">
        <v>3385</v>
      </c>
      <c r="B1329" s="417" t="s">
        <v>2627</v>
      </c>
      <c r="C1329" s="417" t="s">
        <v>5047</v>
      </c>
      <c r="D1329" s="417" t="s">
        <v>4315</v>
      </c>
      <c r="E1329" s="423">
        <v>230.83538166306769</v>
      </c>
      <c r="F1329" s="423">
        <v>13.367753131076769</v>
      </c>
      <c r="G1329" s="422">
        <v>346257.9204260878</v>
      </c>
      <c r="H1329" s="417" t="s">
        <v>2616</v>
      </c>
      <c r="I1329" s="417" t="s">
        <v>1392</v>
      </c>
      <c r="J1329" s="417" t="s">
        <v>4138</v>
      </c>
      <c r="K1329" s="417" t="s">
        <v>5048</v>
      </c>
      <c r="L1329" s="417"/>
      <c r="M1329" s="417" t="s">
        <v>28840</v>
      </c>
    </row>
    <row r="1330" spans="1:13" x14ac:dyDescent="0.25">
      <c r="A1330" s="417" t="s">
        <v>3385</v>
      </c>
      <c r="B1330" s="417" t="s">
        <v>2627</v>
      </c>
      <c r="C1330" s="417" t="s">
        <v>5049</v>
      </c>
      <c r="D1330" s="417" t="s">
        <v>4315</v>
      </c>
      <c r="E1330" s="423">
        <v>241.86747764905181</v>
      </c>
      <c r="F1330" s="423">
        <v>13.866133115028401</v>
      </c>
      <c r="G1330" s="422">
        <v>375443.45574595447</v>
      </c>
      <c r="H1330" s="417" t="s">
        <v>2616</v>
      </c>
      <c r="I1330" s="417" t="s">
        <v>1392</v>
      </c>
      <c r="J1330" s="417" t="s">
        <v>4138</v>
      </c>
      <c r="K1330" s="417" t="s">
        <v>5050</v>
      </c>
      <c r="L1330" s="417"/>
      <c r="M1330" s="417" t="s">
        <v>28840</v>
      </c>
    </row>
    <row r="1331" spans="1:13" x14ac:dyDescent="0.25">
      <c r="A1331" s="417" t="s">
        <v>3385</v>
      </c>
      <c r="B1331" s="417" t="s">
        <v>2627</v>
      </c>
      <c r="C1331" s="417" t="s">
        <v>5051</v>
      </c>
      <c r="D1331" s="417" t="s">
        <v>4315</v>
      </c>
      <c r="E1331" s="423">
        <v>275.22532091985539</v>
      </c>
      <c r="F1331" s="423">
        <v>15.68430423123934</v>
      </c>
      <c r="G1331" s="422">
        <v>435484.44287883781</v>
      </c>
      <c r="H1331" s="417" t="s">
        <v>2616</v>
      </c>
      <c r="I1331" s="417" t="s">
        <v>1392</v>
      </c>
      <c r="J1331" s="417" t="s">
        <v>4138</v>
      </c>
      <c r="K1331" s="417" t="s">
        <v>5052</v>
      </c>
      <c r="L1331" s="417"/>
      <c r="M1331" s="417" t="s">
        <v>28840</v>
      </c>
    </row>
    <row r="1332" spans="1:13" x14ac:dyDescent="0.25">
      <c r="A1332" s="417" t="s">
        <v>3385</v>
      </c>
      <c r="B1332" s="417" t="s">
        <v>2623</v>
      </c>
      <c r="C1332" s="417" t="s">
        <v>5053</v>
      </c>
      <c r="D1332" s="417" t="s">
        <v>88</v>
      </c>
      <c r="E1332" s="423">
        <v>5.4841950030551393E-3</v>
      </c>
      <c r="F1332" s="423">
        <v>2.555238689907014E-4</v>
      </c>
      <c r="G1332" s="422">
        <v>9.6938335939773381</v>
      </c>
      <c r="H1332" s="417" t="s">
        <v>2616</v>
      </c>
      <c r="I1332" s="417" t="s">
        <v>1392</v>
      </c>
      <c r="J1332" s="417" t="s">
        <v>4364</v>
      </c>
      <c r="K1332" s="417" t="s">
        <v>5054</v>
      </c>
      <c r="L1332" s="417"/>
      <c r="M1332" s="417" t="s">
        <v>28840</v>
      </c>
    </row>
    <row r="1333" spans="1:13" x14ac:dyDescent="0.25">
      <c r="A1333" s="417" t="s">
        <v>3385</v>
      </c>
      <c r="B1333" s="417" t="s">
        <v>2437</v>
      </c>
      <c r="C1333" s="417" t="s">
        <v>5055</v>
      </c>
      <c r="D1333" s="417" t="s">
        <v>989</v>
      </c>
      <c r="E1333" s="423">
        <v>45.364471046881917</v>
      </c>
      <c r="F1333" s="423">
        <v>2.3690394219441022</v>
      </c>
      <c r="G1333" s="422">
        <v>73704.524934913163</v>
      </c>
      <c r="H1333" s="417" t="s">
        <v>2616</v>
      </c>
      <c r="I1333" s="417" t="s">
        <v>1392</v>
      </c>
      <c r="J1333" s="417" t="s">
        <v>5056</v>
      </c>
      <c r="K1333" s="417" t="s">
        <v>5057</v>
      </c>
      <c r="L1333" s="417"/>
      <c r="M1333" s="417" t="s">
        <v>28840</v>
      </c>
    </row>
    <row r="1334" spans="1:13" x14ac:dyDescent="0.25">
      <c r="A1334" s="417" t="s">
        <v>3385</v>
      </c>
      <c r="B1334" s="417" t="s">
        <v>2627</v>
      </c>
      <c r="C1334" s="417" t="s">
        <v>5058</v>
      </c>
      <c r="D1334" s="417" t="s">
        <v>83</v>
      </c>
      <c r="E1334" s="423">
        <v>295.15471774536451</v>
      </c>
      <c r="F1334" s="423">
        <v>18.925823386180809</v>
      </c>
      <c r="G1334" s="422">
        <v>418366.23785787832</v>
      </c>
      <c r="H1334" s="417" t="s">
        <v>2616</v>
      </c>
      <c r="I1334" s="417" t="s">
        <v>1392</v>
      </c>
      <c r="J1334" s="417" t="s">
        <v>3981</v>
      </c>
      <c r="K1334" s="417" t="s">
        <v>5059</v>
      </c>
      <c r="L1334" s="417"/>
      <c r="M1334" s="417" t="s">
        <v>28840</v>
      </c>
    </row>
    <row r="1335" spans="1:13" x14ac:dyDescent="0.25">
      <c r="A1335" s="417" t="s">
        <v>3385</v>
      </c>
      <c r="B1335" s="417" t="s">
        <v>2627</v>
      </c>
      <c r="C1335" s="417" t="s">
        <v>5060</v>
      </c>
      <c r="D1335" s="417" t="s">
        <v>83</v>
      </c>
      <c r="E1335" s="423">
        <v>295.15471774536451</v>
      </c>
      <c r="F1335" s="423">
        <v>18.925823386180809</v>
      </c>
      <c r="G1335" s="422">
        <v>370990.23785787832</v>
      </c>
      <c r="H1335" s="417" t="s">
        <v>2616</v>
      </c>
      <c r="I1335" s="417" t="s">
        <v>1392</v>
      </c>
      <c r="J1335" s="417" t="s">
        <v>3627</v>
      </c>
      <c r="K1335" s="417" t="s">
        <v>5061</v>
      </c>
      <c r="L1335" s="417"/>
      <c r="M1335" s="417" t="s">
        <v>28840</v>
      </c>
    </row>
    <row r="1336" spans="1:13" x14ac:dyDescent="0.25">
      <c r="A1336" s="417" t="s">
        <v>3385</v>
      </c>
      <c r="B1336" s="417" t="s">
        <v>2627</v>
      </c>
      <c r="C1336" s="417" t="s">
        <v>5062</v>
      </c>
      <c r="D1336" s="417" t="s">
        <v>83</v>
      </c>
      <c r="E1336" s="423">
        <v>262.56093953701833</v>
      </c>
      <c r="F1336" s="423">
        <v>16.819239248615919</v>
      </c>
      <c r="G1336" s="422">
        <v>383003.29304202931</v>
      </c>
      <c r="H1336" s="417" t="s">
        <v>2616</v>
      </c>
      <c r="I1336" s="417" t="s">
        <v>1392</v>
      </c>
      <c r="J1336" s="417" t="s">
        <v>3981</v>
      </c>
      <c r="K1336" s="417" t="s">
        <v>5063</v>
      </c>
      <c r="L1336" s="417"/>
      <c r="M1336" s="417" t="s">
        <v>28840</v>
      </c>
    </row>
    <row r="1337" spans="1:13" x14ac:dyDescent="0.25">
      <c r="A1337" s="417" t="s">
        <v>3385</v>
      </c>
      <c r="B1337" s="417" t="s">
        <v>2627</v>
      </c>
      <c r="C1337" s="417" t="s">
        <v>5064</v>
      </c>
      <c r="D1337" s="417" t="s">
        <v>83</v>
      </c>
      <c r="E1337" s="423">
        <v>262.56093953701833</v>
      </c>
      <c r="F1337" s="423">
        <v>16.819239248615919</v>
      </c>
      <c r="G1337" s="422">
        <v>333359.29304202931</v>
      </c>
      <c r="H1337" s="417" t="s">
        <v>2616</v>
      </c>
      <c r="I1337" s="417" t="s">
        <v>1392</v>
      </c>
      <c r="J1337" s="417" t="s">
        <v>3627</v>
      </c>
      <c r="K1337" s="417" t="s">
        <v>5065</v>
      </c>
      <c r="L1337" s="417"/>
      <c r="M1337" s="417" t="s">
        <v>28840</v>
      </c>
    </row>
    <row r="1338" spans="1:13" x14ac:dyDescent="0.25">
      <c r="A1338" s="417" t="s">
        <v>3385</v>
      </c>
      <c r="B1338" s="417" t="s">
        <v>2623</v>
      </c>
      <c r="C1338" s="417" t="s">
        <v>5066</v>
      </c>
      <c r="D1338" s="417" t="s">
        <v>88</v>
      </c>
      <c r="E1338" s="423">
        <v>8.2597241262904585E-3</v>
      </c>
      <c r="F1338" s="423">
        <v>4.2045590378228222E-4</v>
      </c>
      <c r="G1338" s="422">
        <v>27.883137912692451</v>
      </c>
      <c r="H1338" s="417" t="s">
        <v>2616</v>
      </c>
      <c r="I1338" s="417" t="s">
        <v>1392</v>
      </c>
      <c r="J1338" s="417" t="s">
        <v>4364</v>
      </c>
      <c r="K1338" s="417" t="s">
        <v>5067</v>
      </c>
      <c r="L1338" s="417"/>
      <c r="M1338" s="417" t="s">
        <v>28840</v>
      </c>
    </row>
    <row r="1339" spans="1:13" x14ac:dyDescent="0.25">
      <c r="A1339" s="417" t="s">
        <v>3385</v>
      </c>
      <c r="B1339" s="417" t="s">
        <v>2627</v>
      </c>
      <c r="C1339" s="417" t="s">
        <v>919</v>
      </c>
      <c r="D1339" s="417" t="s">
        <v>83</v>
      </c>
      <c r="E1339" s="423">
        <v>237.7648826777006</v>
      </c>
      <c r="F1339" s="423">
        <v>15.28404365063586</v>
      </c>
      <c r="G1339" s="422">
        <v>349519.6597181157</v>
      </c>
      <c r="H1339" s="417" t="s">
        <v>2616</v>
      </c>
      <c r="I1339" s="417" t="s">
        <v>28841</v>
      </c>
      <c r="J1339" s="417" t="s">
        <v>3981</v>
      </c>
      <c r="K1339" s="417" t="s">
        <v>5068</v>
      </c>
      <c r="L1339" s="417"/>
      <c r="M1339" s="417" t="s">
        <v>28840</v>
      </c>
    </row>
    <row r="1340" spans="1:13" x14ac:dyDescent="0.25">
      <c r="A1340" s="417" t="s">
        <v>3385</v>
      </c>
      <c r="B1340" s="417" t="s">
        <v>2627</v>
      </c>
      <c r="C1340" s="417" t="s">
        <v>5069</v>
      </c>
      <c r="D1340" s="417" t="s">
        <v>83</v>
      </c>
      <c r="E1340" s="423">
        <v>237.7648826777006</v>
      </c>
      <c r="F1340" s="423">
        <v>15.28404365063586</v>
      </c>
      <c r="G1340" s="422">
        <v>301891.6597181157</v>
      </c>
      <c r="H1340" s="417" t="s">
        <v>2616</v>
      </c>
      <c r="I1340" s="417" t="s">
        <v>1392</v>
      </c>
      <c r="J1340" s="417" t="s">
        <v>3627</v>
      </c>
      <c r="K1340" s="417" t="s">
        <v>5070</v>
      </c>
      <c r="L1340" s="417"/>
      <c r="M1340" s="417" t="s">
        <v>28840</v>
      </c>
    </row>
    <row r="1341" spans="1:13" x14ac:dyDescent="0.25">
      <c r="A1341" s="417" t="s">
        <v>3385</v>
      </c>
      <c r="B1341" s="417" t="s">
        <v>2623</v>
      </c>
      <c r="C1341" s="417" t="s">
        <v>5071</v>
      </c>
      <c r="D1341" s="417" t="s">
        <v>88</v>
      </c>
      <c r="E1341" s="423">
        <v>1.00877635121197E-2</v>
      </c>
      <c r="F1341" s="423">
        <v>4.6668988887147578E-4</v>
      </c>
      <c r="G1341" s="422">
        <v>30.726021852782999</v>
      </c>
      <c r="H1341" s="417" t="s">
        <v>2616</v>
      </c>
      <c r="I1341" s="417" t="s">
        <v>1392</v>
      </c>
      <c r="J1341" s="417" t="s">
        <v>4364</v>
      </c>
      <c r="K1341" s="417" t="s">
        <v>5072</v>
      </c>
      <c r="L1341" s="417"/>
      <c r="M1341" s="417" t="s">
        <v>28840</v>
      </c>
    </row>
    <row r="1342" spans="1:13" x14ac:dyDescent="0.25">
      <c r="A1342" s="417" t="s">
        <v>3385</v>
      </c>
      <c r="B1342" s="417" t="s">
        <v>2627</v>
      </c>
      <c r="C1342" s="417" t="s">
        <v>5073</v>
      </c>
      <c r="D1342" s="417" t="s">
        <v>83</v>
      </c>
      <c r="E1342" s="423">
        <v>145.72270325672349</v>
      </c>
      <c r="F1342" s="423">
        <v>9.5791607808606045</v>
      </c>
      <c r="G1342" s="422">
        <v>249504.458153582</v>
      </c>
      <c r="H1342" s="417" t="s">
        <v>2616</v>
      </c>
      <c r="I1342" s="417" t="s">
        <v>1392</v>
      </c>
      <c r="J1342" s="417" t="s">
        <v>3981</v>
      </c>
      <c r="K1342" s="417" t="s">
        <v>5074</v>
      </c>
      <c r="L1342" s="417"/>
      <c r="M1342" s="417" t="s">
        <v>28840</v>
      </c>
    </row>
    <row r="1343" spans="1:13" x14ac:dyDescent="0.25">
      <c r="A1343" s="417" t="s">
        <v>3385</v>
      </c>
      <c r="B1343" s="417" t="s">
        <v>2627</v>
      </c>
      <c r="C1343" s="417" t="s">
        <v>5075</v>
      </c>
      <c r="D1343" s="417" t="s">
        <v>83</v>
      </c>
      <c r="E1343" s="423">
        <v>145.72270325672349</v>
      </c>
      <c r="F1343" s="423">
        <v>9.5791607808606045</v>
      </c>
      <c r="G1343" s="422">
        <v>202128.458153582</v>
      </c>
      <c r="H1343" s="417" t="s">
        <v>2616</v>
      </c>
      <c r="I1343" s="417" t="s">
        <v>1392</v>
      </c>
      <c r="J1343" s="417" t="s">
        <v>3627</v>
      </c>
      <c r="K1343" s="417" t="s">
        <v>5076</v>
      </c>
      <c r="L1343" s="417"/>
      <c r="M1343" s="417" t="s">
        <v>28840</v>
      </c>
    </row>
    <row r="1344" spans="1:13" x14ac:dyDescent="0.25">
      <c r="A1344" s="417" t="s">
        <v>3385</v>
      </c>
      <c r="B1344" s="417" t="s">
        <v>2627</v>
      </c>
      <c r="C1344" s="417" t="s">
        <v>5077</v>
      </c>
      <c r="D1344" s="417" t="s">
        <v>989</v>
      </c>
      <c r="E1344" s="423">
        <v>0.93891676122895129</v>
      </c>
      <c r="F1344" s="423">
        <v>3.238440118890127E-2</v>
      </c>
      <c r="G1344" s="422">
        <v>3171.808918386344</v>
      </c>
      <c r="H1344" s="417" t="s">
        <v>2616</v>
      </c>
      <c r="I1344" s="417" t="s">
        <v>1392</v>
      </c>
      <c r="J1344" s="417" t="s">
        <v>3667</v>
      </c>
      <c r="K1344" s="417" t="s">
        <v>5078</v>
      </c>
      <c r="L1344" s="417"/>
      <c r="M1344" s="417" t="s">
        <v>28840</v>
      </c>
    </row>
    <row r="1345" spans="1:13" x14ac:dyDescent="0.25">
      <c r="A1345" s="417" t="s">
        <v>3385</v>
      </c>
      <c r="B1345" s="417" t="s">
        <v>2627</v>
      </c>
      <c r="C1345" s="417" t="s">
        <v>5079</v>
      </c>
      <c r="D1345" s="417" t="s">
        <v>88</v>
      </c>
      <c r="E1345" s="423">
        <v>6.685992520652805</v>
      </c>
      <c r="F1345" s="423">
        <v>0.61547437806302163</v>
      </c>
      <c r="G1345" s="422">
        <v>21908.936550973311</v>
      </c>
      <c r="H1345" s="417" t="s">
        <v>2616</v>
      </c>
      <c r="I1345" s="417" t="s">
        <v>1392</v>
      </c>
      <c r="J1345" s="417" t="s">
        <v>3896</v>
      </c>
      <c r="K1345" s="417" t="s">
        <v>5080</v>
      </c>
      <c r="L1345" s="417"/>
      <c r="M1345" s="417" t="s">
        <v>28840</v>
      </c>
    </row>
    <row r="1346" spans="1:13" x14ac:dyDescent="0.25">
      <c r="A1346" s="417" t="s">
        <v>3385</v>
      </c>
      <c r="B1346" s="417" t="s">
        <v>2627</v>
      </c>
      <c r="C1346" s="417" t="s">
        <v>5081</v>
      </c>
      <c r="D1346" s="417" t="s">
        <v>88</v>
      </c>
      <c r="E1346" s="423">
        <v>6.5794966674816227</v>
      </c>
      <c r="F1346" s="423">
        <v>0.52705069009700878</v>
      </c>
      <c r="G1346" s="422">
        <v>23590.85283965111</v>
      </c>
      <c r="H1346" s="417" t="s">
        <v>2616</v>
      </c>
      <c r="I1346" s="417" t="s">
        <v>1392</v>
      </c>
      <c r="J1346" s="417" t="s">
        <v>3899</v>
      </c>
      <c r="K1346" s="417" t="s">
        <v>5082</v>
      </c>
      <c r="L1346" s="417"/>
      <c r="M1346" s="417" t="s">
        <v>28840</v>
      </c>
    </row>
    <row r="1347" spans="1:13" x14ac:dyDescent="0.25">
      <c r="A1347" s="417" t="s">
        <v>3385</v>
      </c>
      <c r="B1347" s="417" t="s">
        <v>2627</v>
      </c>
      <c r="C1347" s="417" t="s">
        <v>5083</v>
      </c>
      <c r="D1347" s="417" t="s">
        <v>88</v>
      </c>
      <c r="E1347" s="423">
        <v>50.103582748520353</v>
      </c>
      <c r="F1347" s="423">
        <v>1.8245931547397509</v>
      </c>
      <c r="G1347" s="422">
        <v>579650.06585279887</v>
      </c>
      <c r="H1347" s="417" t="s">
        <v>2616</v>
      </c>
      <c r="I1347" s="417" t="s">
        <v>1392</v>
      </c>
      <c r="J1347" s="417" t="s">
        <v>3899</v>
      </c>
      <c r="K1347" s="417" t="s">
        <v>5084</v>
      </c>
      <c r="L1347" s="417"/>
      <c r="M1347" s="417" t="s">
        <v>28840</v>
      </c>
    </row>
    <row r="1348" spans="1:13" x14ac:dyDescent="0.25">
      <c r="A1348" s="417" t="s">
        <v>3385</v>
      </c>
      <c r="B1348" s="417" t="s">
        <v>3405</v>
      </c>
      <c r="C1348" s="417" t="s">
        <v>5085</v>
      </c>
      <c r="D1348" s="417" t="s">
        <v>989</v>
      </c>
      <c r="E1348" s="423">
        <v>2488.7239045394372</v>
      </c>
      <c r="F1348" s="423">
        <v>140.34771875810611</v>
      </c>
      <c r="G1348" s="422">
        <v>4580262.4098869711</v>
      </c>
      <c r="H1348" s="417" t="s">
        <v>2616</v>
      </c>
      <c r="I1348" s="417" t="s">
        <v>1392</v>
      </c>
      <c r="J1348" s="417" t="s">
        <v>3588</v>
      </c>
      <c r="K1348" s="417" t="s">
        <v>5086</v>
      </c>
      <c r="L1348" s="417"/>
      <c r="M1348" s="417" t="s">
        <v>28840</v>
      </c>
    </row>
    <row r="1349" spans="1:13" x14ac:dyDescent="0.25">
      <c r="A1349" s="417" t="s">
        <v>3385</v>
      </c>
      <c r="B1349" s="417" t="s">
        <v>3405</v>
      </c>
      <c r="C1349" s="417" t="s">
        <v>5087</v>
      </c>
      <c r="D1349" s="417" t="s">
        <v>989</v>
      </c>
      <c r="E1349" s="423">
        <v>1490.908505486</v>
      </c>
      <c r="F1349" s="423">
        <v>65.45978240943893</v>
      </c>
      <c r="G1349" s="422">
        <v>7195797.0465342812</v>
      </c>
      <c r="H1349" s="417" t="s">
        <v>2616</v>
      </c>
      <c r="I1349" s="417" t="s">
        <v>1392</v>
      </c>
      <c r="J1349" s="417" t="s">
        <v>4417</v>
      </c>
      <c r="K1349" s="417" t="s">
        <v>5088</v>
      </c>
      <c r="L1349" s="417"/>
      <c r="M1349" s="417" t="s">
        <v>28840</v>
      </c>
    </row>
    <row r="1350" spans="1:13" x14ac:dyDescent="0.25">
      <c r="A1350" s="417" t="s">
        <v>3385</v>
      </c>
      <c r="B1350" s="417" t="s">
        <v>2437</v>
      </c>
      <c r="C1350" s="417" t="s">
        <v>5089</v>
      </c>
      <c r="D1350" s="417" t="s">
        <v>989</v>
      </c>
      <c r="E1350" s="423">
        <v>3246.020648897173</v>
      </c>
      <c r="F1350" s="423">
        <v>148.9643801452504</v>
      </c>
      <c r="G1350" s="422">
        <v>6809770.126511164</v>
      </c>
      <c r="H1350" s="417" t="s">
        <v>2616</v>
      </c>
      <c r="I1350" s="417" t="s">
        <v>1392</v>
      </c>
      <c r="J1350" s="417" t="s">
        <v>4375</v>
      </c>
      <c r="K1350" s="417" t="s">
        <v>5090</v>
      </c>
      <c r="L1350" s="417"/>
      <c r="M1350" s="417" t="s">
        <v>28840</v>
      </c>
    </row>
    <row r="1351" spans="1:13" x14ac:dyDescent="0.25">
      <c r="A1351" s="417" t="s">
        <v>3385</v>
      </c>
      <c r="B1351" s="417" t="s">
        <v>3655</v>
      </c>
      <c r="C1351" s="417" t="s">
        <v>5091</v>
      </c>
      <c r="D1351" s="417" t="s">
        <v>88</v>
      </c>
      <c r="E1351" s="423">
        <v>0.34908879904429291</v>
      </c>
      <c r="F1351" s="423">
        <v>1.6517787756033731E-2</v>
      </c>
      <c r="G1351" s="422">
        <v>1406.730145541316</v>
      </c>
      <c r="H1351" s="417" t="s">
        <v>2616</v>
      </c>
      <c r="I1351" s="417" t="s">
        <v>1392</v>
      </c>
      <c r="J1351" s="417" t="s">
        <v>4549</v>
      </c>
      <c r="K1351" s="417" t="s">
        <v>5092</v>
      </c>
      <c r="L1351" s="417"/>
      <c r="M1351" s="417" t="s">
        <v>28840</v>
      </c>
    </row>
    <row r="1352" spans="1:13" x14ac:dyDescent="0.25">
      <c r="A1352" s="417" t="s">
        <v>3385</v>
      </c>
      <c r="B1352" s="417" t="s">
        <v>3655</v>
      </c>
      <c r="C1352" s="417" t="s">
        <v>5093</v>
      </c>
      <c r="D1352" s="417" t="s">
        <v>88</v>
      </c>
      <c r="E1352" s="423">
        <v>0.35346939647181541</v>
      </c>
      <c r="F1352" s="423">
        <v>1.818713781632075E-2</v>
      </c>
      <c r="G1352" s="422">
        <v>1462.8713679789889</v>
      </c>
      <c r="H1352" s="417" t="s">
        <v>2616</v>
      </c>
      <c r="I1352" s="417" t="s">
        <v>1392</v>
      </c>
      <c r="J1352" s="417" t="s">
        <v>4549</v>
      </c>
      <c r="K1352" s="417" t="s">
        <v>5094</v>
      </c>
      <c r="L1352" s="417"/>
      <c r="M1352" s="417" t="s">
        <v>28840</v>
      </c>
    </row>
    <row r="1353" spans="1:13" x14ac:dyDescent="0.25">
      <c r="A1353" s="417" t="s">
        <v>3385</v>
      </c>
      <c r="B1353" s="417" t="s">
        <v>2627</v>
      </c>
      <c r="C1353" s="417" t="s">
        <v>5095</v>
      </c>
      <c r="D1353" s="417" t="s">
        <v>989</v>
      </c>
      <c r="E1353" s="423">
        <v>23.83526563052191</v>
      </c>
      <c r="F1353" s="423">
        <v>1.4029942628989831</v>
      </c>
      <c r="G1353" s="422">
        <v>110041.68387381179</v>
      </c>
      <c r="H1353" s="417" t="s">
        <v>2616</v>
      </c>
      <c r="I1353" s="417" t="s">
        <v>1392</v>
      </c>
      <c r="J1353" s="417" t="s">
        <v>3667</v>
      </c>
      <c r="K1353" s="417" t="s">
        <v>5096</v>
      </c>
      <c r="L1353" s="417"/>
      <c r="M1353" s="417" t="s">
        <v>28840</v>
      </c>
    </row>
    <row r="1354" spans="1:13" x14ac:dyDescent="0.25">
      <c r="A1354" s="417" t="s">
        <v>3385</v>
      </c>
      <c r="B1354" s="417" t="s">
        <v>2627</v>
      </c>
      <c r="C1354" s="417" t="s">
        <v>5097</v>
      </c>
      <c r="D1354" s="417" t="s">
        <v>989</v>
      </c>
      <c r="E1354" s="423">
        <v>16.051573443403701</v>
      </c>
      <c r="F1354" s="423">
        <v>0.90178957702533991</v>
      </c>
      <c r="G1354" s="422">
        <v>72719.536953988179</v>
      </c>
      <c r="H1354" s="417" t="s">
        <v>2616</v>
      </c>
      <c r="I1354" s="417" t="s">
        <v>1392</v>
      </c>
      <c r="J1354" s="417" t="s">
        <v>3667</v>
      </c>
      <c r="K1354" s="417" t="s">
        <v>5098</v>
      </c>
      <c r="L1354" s="417"/>
      <c r="M1354" s="417" t="s">
        <v>28840</v>
      </c>
    </row>
    <row r="1355" spans="1:13" x14ac:dyDescent="0.25">
      <c r="A1355" s="417" t="s">
        <v>3385</v>
      </c>
      <c r="B1355" s="417" t="s">
        <v>3405</v>
      </c>
      <c r="C1355" s="417" t="s">
        <v>5099</v>
      </c>
      <c r="D1355" s="417" t="s">
        <v>989</v>
      </c>
      <c r="E1355" s="423">
        <v>15529.312631421721</v>
      </c>
      <c r="F1355" s="423">
        <v>139.23260556505741</v>
      </c>
      <c r="G1355" s="422">
        <v>20695554.305303071</v>
      </c>
      <c r="H1355" s="417" t="s">
        <v>2616</v>
      </c>
      <c r="I1355" s="417" t="s">
        <v>1392</v>
      </c>
      <c r="J1355" s="417" t="s">
        <v>3588</v>
      </c>
      <c r="K1355" s="417" t="s">
        <v>5100</v>
      </c>
      <c r="L1355" s="417"/>
      <c r="M1355" s="417" t="s">
        <v>28840</v>
      </c>
    </row>
    <row r="1356" spans="1:13" x14ac:dyDescent="0.25">
      <c r="A1356" s="417" t="s">
        <v>3385</v>
      </c>
      <c r="B1356" s="417" t="s">
        <v>2437</v>
      </c>
      <c r="C1356" s="417" t="s">
        <v>5101</v>
      </c>
      <c r="D1356" s="417" t="s">
        <v>989</v>
      </c>
      <c r="E1356" s="423">
        <v>1441.686930424519</v>
      </c>
      <c r="F1356" s="423">
        <v>70.435533880098887</v>
      </c>
      <c r="G1356" s="422">
        <v>6025769.9812294887</v>
      </c>
      <c r="H1356" s="417" t="s">
        <v>2616</v>
      </c>
      <c r="I1356" s="417" t="s">
        <v>1392</v>
      </c>
      <c r="J1356" s="417" t="s">
        <v>3650</v>
      </c>
      <c r="K1356" s="417" t="s">
        <v>5102</v>
      </c>
      <c r="L1356" s="417"/>
      <c r="M1356" s="417" t="s">
        <v>28840</v>
      </c>
    </row>
    <row r="1357" spans="1:13" x14ac:dyDescent="0.25">
      <c r="A1357" s="417" t="s">
        <v>3385</v>
      </c>
      <c r="B1357" s="417" t="s">
        <v>2437</v>
      </c>
      <c r="C1357" s="417" t="s">
        <v>5103</v>
      </c>
      <c r="D1357" s="417" t="s">
        <v>88</v>
      </c>
      <c r="E1357" s="423">
        <v>31.659974399858559</v>
      </c>
      <c r="F1357" s="423">
        <v>1.3058494339139719</v>
      </c>
      <c r="G1357" s="422">
        <v>71226.992888016699</v>
      </c>
      <c r="H1357" s="417" t="s">
        <v>2616</v>
      </c>
      <c r="I1357" s="417" t="s">
        <v>1392</v>
      </c>
      <c r="J1357" s="417" t="s">
        <v>4342</v>
      </c>
      <c r="K1357" s="417" t="s">
        <v>5104</v>
      </c>
      <c r="L1357" s="417"/>
      <c r="M1357" s="417" t="s">
        <v>28840</v>
      </c>
    </row>
    <row r="1358" spans="1:13" x14ac:dyDescent="0.25">
      <c r="A1358" s="417" t="s">
        <v>3385</v>
      </c>
      <c r="B1358" s="417" t="s">
        <v>2627</v>
      </c>
      <c r="C1358" s="417" t="s">
        <v>5105</v>
      </c>
      <c r="D1358" s="417" t="s">
        <v>88</v>
      </c>
      <c r="E1358" s="423">
        <v>5.1261978115355484</v>
      </c>
      <c r="F1358" s="423">
        <v>0.25878169027436482</v>
      </c>
      <c r="G1358" s="422">
        <v>10072.332128526659</v>
      </c>
      <c r="H1358" s="417" t="s">
        <v>2616</v>
      </c>
      <c r="I1358" s="417" t="s">
        <v>1392</v>
      </c>
      <c r="J1358" s="417" t="s">
        <v>4347</v>
      </c>
      <c r="K1358" s="417" t="s">
        <v>5106</v>
      </c>
      <c r="L1358" s="417"/>
      <c r="M1358" s="417" t="s">
        <v>28840</v>
      </c>
    </row>
    <row r="1359" spans="1:13" x14ac:dyDescent="0.25">
      <c r="A1359" s="417" t="s">
        <v>3385</v>
      </c>
      <c r="B1359" s="417" t="s">
        <v>2437</v>
      </c>
      <c r="C1359" s="417" t="s">
        <v>5107</v>
      </c>
      <c r="D1359" s="417" t="s">
        <v>88</v>
      </c>
      <c r="E1359" s="423">
        <v>22.762821716750139</v>
      </c>
      <c r="F1359" s="423">
        <v>0.5649425376455659</v>
      </c>
      <c r="G1359" s="422">
        <v>79992.759350287844</v>
      </c>
      <c r="H1359" s="417" t="s">
        <v>2616</v>
      </c>
      <c r="I1359" s="417" t="s">
        <v>1392</v>
      </c>
      <c r="J1359" s="417" t="s">
        <v>4342</v>
      </c>
      <c r="K1359" s="417" t="s">
        <v>5108</v>
      </c>
      <c r="L1359" s="417"/>
      <c r="M1359" s="417" t="s">
        <v>28840</v>
      </c>
    </row>
    <row r="1360" spans="1:13" x14ac:dyDescent="0.25">
      <c r="A1360" s="417" t="s">
        <v>3385</v>
      </c>
      <c r="B1360" s="417" t="s">
        <v>2437</v>
      </c>
      <c r="C1360" s="417" t="s">
        <v>5109</v>
      </c>
      <c r="D1360" s="417" t="s">
        <v>4315</v>
      </c>
      <c r="E1360" s="423">
        <v>1336.6125684985409</v>
      </c>
      <c r="F1360" s="423">
        <v>30.505273514119079</v>
      </c>
      <c r="G1360" s="422">
        <v>2587969.467986973</v>
      </c>
      <c r="H1360" s="417" t="s">
        <v>2616</v>
      </c>
      <c r="I1360" s="417" t="s">
        <v>1392</v>
      </c>
      <c r="J1360" s="417" t="s">
        <v>2634</v>
      </c>
      <c r="K1360" s="417" t="s">
        <v>5110</v>
      </c>
      <c r="L1360" s="417"/>
      <c r="M1360" s="417" t="s">
        <v>28840</v>
      </c>
    </row>
    <row r="1361" spans="1:13" x14ac:dyDescent="0.25">
      <c r="A1361" s="417" t="s">
        <v>3385</v>
      </c>
      <c r="B1361" s="417" t="s">
        <v>2627</v>
      </c>
      <c r="C1361" s="417" t="s">
        <v>5111</v>
      </c>
      <c r="D1361" s="417" t="s">
        <v>989</v>
      </c>
      <c r="E1361" s="423">
        <v>113.64432183959551</v>
      </c>
      <c r="F1361" s="423">
        <v>7.236732806167459</v>
      </c>
      <c r="G1361" s="422">
        <v>318498.31335342862</v>
      </c>
      <c r="H1361" s="417" t="s">
        <v>2616</v>
      </c>
      <c r="I1361" s="417" t="s">
        <v>1392</v>
      </c>
      <c r="J1361" s="417" t="s">
        <v>3798</v>
      </c>
      <c r="K1361" s="417" t="s">
        <v>5112</v>
      </c>
      <c r="L1361" s="417"/>
      <c r="M1361" s="417" t="s">
        <v>28840</v>
      </c>
    </row>
    <row r="1362" spans="1:13" x14ac:dyDescent="0.25">
      <c r="A1362" s="417" t="s">
        <v>3385</v>
      </c>
      <c r="B1362" s="417" t="s">
        <v>3405</v>
      </c>
      <c r="C1362" s="417" t="s">
        <v>5113</v>
      </c>
      <c r="D1362" s="417" t="s">
        <v>989</v>
      </c>
      <c r="E1362" s="423">
        <v>5446.3519903381184</v>
      </c>
      <c r="F1362" s="423">
        <v>193.27823569186481</v>
      </c>
      <c r="G1362" s="422">
        <v>9171203.9276520368</v>
      </c>
      <c r="H1362" s="417" t="s">
        <v>2616</v>
      </c>
      <c r="I1362" s="417" t="s">
        <v>1392</v>
      </c>
      <c r="J1362" s="417" t="s">
        <v>4417</v>
      </c>
      <c r="K1362" s="417" t="s">
        <v>5114</v>
      </c>
      <c r="L1362" s="417"/>
      <c r="M1362" s="417" t="s">
        <v>28840</v>
      </c>
    </row>
    <row r="1363" spans="1:13" x14ac:dyDescent="0.25">
      <c r="A1363" s="417" t="s">
        <v>3385</v>
      </c>
      <c r="B1363" s="417" t="s">
        <v>2437</v>
      </c>
      <c r="C1363" s="417" t="s">
        <v>5115</v>
      </c>
      <c r="D1363" s="417" t="s">
        <v>88</v>
      </c>
      <c r="E1363" s="423">
        <v>5.8385675357962743</v>
      </c>
      <c r="F1363" s="423">
        <v>0.1125967981600321</v>
      </c>
      <c r="G1363" s="422">
        <v>11765.950968616829</v>
      </c>
      <c r="H1363" s="417" t="s">
        <v>2616</v>
      </c>
      <c r="I1363" s="417" t="s">
        <v>1392</v>
      </c>
      <c r="J1363" s="417" t="s">
        <v>3871</v>
      </c>
      <c r="K1363" s="417" t="s">
        <v>5116</v>
      </c>
      <c r="L1363" s="417"/>
      <c r="M1363" s="417" t="s">
        <v>28840</v>
      </c>
    </row>
    <row r="1364" spans="1:13" x14ac:dyDescent="0.25">
      <c r="A1364" s="417" t="s">
        <v>3385</v>
      </c>
      <c r="B1364" s="417" t="s">
        <v>2437</v>
      </c>
      <c r="C1364" s="417" t="s">
        <v>5117</v>
      </c>
      <c r="D1364" s="417" t="s">
        <v>989</v>
      </c>
      <c r="E1364" s="423">
        <v>2960.7142474419788</v>
      </c>
      <c r="F1364" s="423">
        <v>150.14901813590379</v>
      </c>
      <c r="G1364" s="422">
        <v>5111972.7730267048</v>
      </c>
      <c r="H1364" s="417" t="s">
        <v>2616</v>
      </c>
      <c r="I1364" s="417" t="s">
        <v>1392</v>
      </c>
      <c r="J1364" s="417" t="s">
        <v>3650</v>
      </c>
      <c r="K1364" s="417" t="s">
        <v>5118</v>
      </c>
      <c r="L1364" s="417"/>
      <c r="M1364" s="417" t="s">
        <v>28840</v>
      </c>
    </row>
    <row r="1365" spans="1:13" x14ac:dyDescent="0.25">
      <c r="A1365" s="417" t="s">
        <v>3385</v>
      </c>
      <c r="B1365" s="417" t="s">
        <v>2627</v>
      </c>
      <c r="C1365" s="417" t="s">
        <v>5119</v>
      </c>
      <c r="D1365" s="417" t="s">
        <v>88</v>
      </c>
      <c r="E1365" s="423">
        <v>1.6347557597211939</v>
      </c>
      <c r="F1365" s="423">
        <v>8.4984916576719527E-2</v>
      </c>
      <c r="G1365" s="422">
        <v>14314.776324830151</v>
      </c>
      <c r="H1365" s="417" t="s">
        <v>2616</v>
      </c>
      <c r="I1365" s="417" t="s">
        <v>1392</v>
      </c>
      <c r="J1365" s="417" t="s">
        <v>3742</v>
      </c>
      <c r="K1365" s="417" t="s">
        <v>5120</v>
      </c>
      <c r="L1365" s="417"/>
      <c r="M1365" s="417" t="s">
        <v>28840</v>
      </c>
    </row>
    <row r="1366" spans="1:13" x14ac:dyDescent="0.25">
      <c r="A1366" s="417" t="s">
        <v>3385</v>
      </c>
      <c r="B1366" s="417" t="s">
        <v>2627</v>
      </c>
      <c r="C1366" s="417" t="s">
        <v>5121</v>
      </c>
      <c r="D1366" s="417" t="s">
        <v>88</v>
      </c>
      <c r="E1366" s="423">
        <v>4.5535353067753688</v>
      </c>
      <c r="F1366" s="423">
        <v>0.22908398996064769</v>
      </c>
      <c r="G1366" s="422">
        <v>86826.294602290305</v>
      </c>
      <c r="H1366" s="417" t="s">
        <v>2616</v>
      </c>
      <c r="I1366" s="417" t="s">
        <v>1392</v>
      </c>
      <c r="J1366" s="417" t="s">
        <v>3714</v>
      </c>
      <c r="K1366" s="417" t="s">
        <v>5122</v>
      </c>
      <c r="L1366" s="417"/>
      <c r="M1366" s="417" t="s">
        <v>28840</v>
      </c>
    </row>
    <row r="1367" spans="1:13" x14ac:dyDescent="0.25">
      <c r="A1367" s="417" t="s">
        <v>3385</v>
      </c>
      <c r="B1367" s="417" t="s">
        <v>2627</v>
      </c>
      <c r="C1367" s="417" t="s">
        <v>5123</v>
      </c>
      <c r="D1367" s="417" t="s">
        <v>88</v>
      </c>
      <c r="E1367" s="423">
        <v>0.39008169459369818</v>
      </c>
      <c r="F1367" s="423">
        <v>2.7323280135575442E-2</v>
      </c>
      <c r="G1367" s="422">
        <v>5244.0707834824916</v>
      </c>
      <c r="H1367" s="417" t="s">
        <v>2616</v>
      </c>
      <c r="I1367" s="417" t="s">
        <v>1392</v>
      </c>
      <c r="J1367" s="417" t="s">
        <v>3915</v>
      </c>
      <c r="K1367" s="417" t="s">
        <v>5124</v>
      </c>
      <c r="L1367" s="417"/>
      <c r="M1367" s="417" t="s">
        <v>28840</v>
      </c>
    </row>
    <row r="1368" spans="1:13" x14ac:dyDescent="0.25">
      <c r="A1368" s="417" t="s">
        <v>3385</v>
      </c>
      <c r="B1368" s="417" t="s">
        <v>2627</v>
      </c>
      <c r="C1368" s="417" t="s">
        <v>5125</v>
      </c>
      <c r="D1368" s="417" t="s">
        <v>88</v>
      </c>
      <c r="E1368" s="423">
        <v>0.31361152742290321</v>
      </c>
      <c r="F1368" s="423">
        <v>2.2955206159549071E-2</v>
      </c>
      <c r="G1368" s="422">
        <v>4355.2782811966636</v>
      </c>
      <c r="H1368" s="417" t="s">
        <v>2616</v>
      </c>
      <c r="I1368" s="417" t="s">
        <v>1392</v>
      </c>
      <c r="J1368" s="417" t="s">
        <v>3915</v>
      </c>
      <c r="K1368" s="417" t="s">
        <v>5126</v>
      </c>
      <c r="L1368" s="417"/>
      <c r="M1368" s="417" t="s">
        <v>28840</v>
      </c>
    </row>
    <row r="1369" spans="1:13" x14ac:dyDescent="0.25">
      <c r="A1369" s="417" t="s">
        <v>3385</v>
      </c>
      <c r="B1369" s="417" t="s">
        <v>2627</v>
      </c>
      <c r="C1369" s="417" t="s">
        <v>5127</v>
      </c>
      <c r="D1369" s="417" t="s">
        <v>88</v>
      </c>
      <c r="E1369" s="423">
        <v>0.68073228131814711</v>
      </c>
      <c r="F1369" s="423">
        <v>4.6379803112964718E-2</v>
      </c>
      <c r="G1369" s="422">
        <v>8077.0872920974107</v>
      </c>
      <c r="H1369" s="417" t="s">
        <v>2616</v>
      </c>
      <c r="I1369" s="417" t="s">
        <v>1392</v>
      </c>
      <c r="J1369" s="417" t="s">
        <v>3915</v>
      </c>
      <c r="K1369" s="417" t="s">
        <v>5128</v>
      </c>
      <c r="L1369" s="417"/>
      <c r="M1369" s="417" t="s">
        <v>28840</v>
      </c>
    </row>
    <row r="1370" spans="1:13" x14ac:dyDescent="0.25">
      <c r="A1370" s="417" t="s">
        <v>3385</v>
      </c>
      <c r="B1370" s="417" t="s">
        <v>2627</v>
      </c>
      <c r="C1370" s="417" t="s">
        <v>5129</v>
      </c>
      <c r="D1370" s="417" t="s">
        <v>88</v>
      </c>
      <c r="E1370" s="423">
        <v>0.1513679606197573</v>
      </c>
      <c r="F1370" s="423">
        <v>1.005095666191924E-2</v>
      </c>
      <c r="G1370" s="422">
        <v>2371.143793322186</v>
      </c>
      <c r="H1370" s="417" t="s">
        <v>2616</v>
      </c>
      <c r="I1370" s="417" t="s">
        <v>1392</v>
      </c>
      <c r="J1370" s="417" t="s">
        <v>3915</v>
      </c>
      <c r="K1370" s="417" t="s">
        <v>5130</v>
      </c>
      <c r="L1370" s="417"/>
      <c r="M1370" s="417" t="s">
        <v>28840</v>
      </c>
    </row>
    <row r="1371" spans="1:13" x14ac:dyDescent="0.25">
      <c r="A1371" s="417" t="s">
        <v>3385</v>
      </c>
      <c r="B1371" s="417" t="s">
        <v>2627</v>
      </c>
      <c r="C1371" s="417" t="s">
        <v>5131</v>
      </c>
      <c r="D1371" s="417" t="s">
        <v>88</v>
      </c>
      <c r="E1371" s="423">
        <v>0.36100282062607869</v>
      </c>
      <c r="F1371" s="423">
        <v>2.570426600202216E-2</v>
      </c>
      <c r="G1371" s="422">
        <v>5068.9919331765932</v>
      </c>
      <c r="H1371" s="417" t="s">
        <v>2616</v>
      </c>
      <c r="I1371" s="417" t="s">
        <v>1392</v>
      </c>
      <c r="J1371" s="417" t="s">
        <v>3915</v>
      </c>
      <c r="K1371" s="417" t="s">
        <v>5132</v>
      </c>
      <c r="L1371" s="417"/>
      <c r="M1371" s="417" t="s">
        <v>28840</v>
      </c>
    </row>
    <row r="1372" spans="1:13" x14ac:dyDescent="0.25">
      <c r="A1372" s="417" t="s">
        <v>3385</v>
      </c>
      <c r="B1372" s="417" t="s">
        <v>2627</v>
      </c>
      <c r="C1372" s="417" t="s">
        <v>5133</v>
      </c>
      <c r="D1372" s="417" t="s">
        <v>88</v>
      </c>
      <c r="E1372" s="423">
        <v>0.67754262305421897</v>
      </c>
      <c r="F1372" s="423">
        <v>4.6541522680627501E-2</v>
      </c>
      <c r="G1372" s="422">
        <v>7888.9409083927203</v>
      </c>
      <c r="H1372" s="417" t="s">
        <v>2616</v>
      </c>
      <c r="I1372" s="417" t="s">
        <v>1392</v>
      </c>
      <c r="J1372" s="417" t="s">
        <v>3915</v>
      </c>
      <c r="K1372" s="417" t="s">
        <v>5134</v>
      </c>
      <c r="L1372" s="417"/>
      <c r="M1372" s="417" t="s">
        <v>28840</v>
      </c>
    </row>
    <row r="1373" spans="1:13" x14ac:dyDescent="0.25">
      <c r="A1373" s="417" t="s">
        <v>3385</v>
      </c>
      <c r="B1373" s="417" t="s">
        <v>2627</v>
      </c>
      <c r="C1373" s="417" t="s">
        <v>5135</v>
      </c>
      <c r="D1373" s="417" t="s">
        <v>88</v>
      </c>
      <c r="E1373" s="423">
        <v>1.628926821253978</v>
      </c>
      <c r="F1373" s="423">
        <v>8.3059660370018884E-2</v>
      </c>
      <c r="G1373" s="422">
        <v>18604.771110938731</v>
      </c>
      <c r="H1373" s="417" t="s">
        <v>2616</v>
      </c>
      <c r="I1373" s="417" t="s">
        <v>1392</v>
      </c>
      <c r="J1373" s="417" t="s">
        <v>3742</v>
      </c>
      <c r="K1373" s="417" t="s">
        <v>5136</v>
      </c>
      <c r="L1373" s="417"/>
      <c r="M1373" s="417" t="s">
        <v>28840</v>
      </c>
    </row>
    <row r="1374" spans="1:13" x14ac:dyDescent="0.25">
      <c r="A1374" s="417" t="s">
        <v>3385</v>
      </c>
      <c r="B1374" s="417" t="s">
        <v>3655</v>
      </c>
      <c r="C1374" s="417" t="s">
        <v>5137</v>
      </c>
      <c r="D1374" s="417" t="s">
        <v>88</v>
      </c>
      <c r="E1374" s="423">
        <v>1.4286164969046971</v>
      </c>
      <c r="F1374" s="423">
        <v>0.1845778451240539</v>
      </c>
      <c r="G1374" s="422">
        <v>6762.7294422518271</v>
      </c>
      <c r="H1374" s="417" t="s">
        <v>2616</v>
      </c>
      <c r="I1374" s="417" t="s">
        <v>1392</v>
      </c>
      <c r="J1374" s="417" t="s">
        <v>3754</v>
      </c>
      <c r="K1374" s="417" t="s">
        <v>5138</v>
      </c>
      <c r="L1374" s="417"/>
      <c r="M1374" s="417" t="s">
        <v>28840</v>
      </c>
    </row>
    <row r="1375" spans="1:13" x14ac:dyDescent="0.25">
      <c r="A1375" s="417" t="s">
        <v>3385</v>
      </c>
      <c r="B1375" s="417" t="s">
        <v>2623</v>
      </c>
      <c r="C1375" s="417" t="s">
        <v>5139</v>
      </c>
      <c r="D1375" s="417" t="s">
        <v>88</v>
      </c>
      <c r="E1375" s="423">
        <v>4.0036143088217724</v>
      </c>
      <c r="F1375" s="423">
        <v>0.14690759495692499</v>
      </c>
      <c r="G1375" s="422">
        <v>5860.1792123162813</v>
      </c>
      <c r="H1375" s="417" t="s">
        <v>2616</v>
      </c>
      <c r="I1375" s="417" t="s">
        <v>1392</v>
      </c>
      <c r="J1375" s="417" t="s">
        <v>2624</v>
      </c>
      <c r="K1375" s="417" t="s">
        <v>5140</v>
      </c>
      <c r="L1375" s="417"/>
      <c r="M1375" s="417" t="s">
        <v>28840</v>
      </c>
    </row>
    <row r="1376" spans="1:13" x14ac:dyDescent="0.25">
      <c r="A1376" s="417" t="s">
        <v>3385</v>
      </c>
      <c r="B1376" s="417" t="s">
        <v>2623</v>
      </c>
      <c r="C1376" s="417" t="s">
        <v>5141</v>
      </c>
      <c r="D1376" s="417" t="s">
        <v>88</v>
      </c>
      <c r="E1376" s="423">
        <v>4.0160657214556599</v>
      </c>
      <c r="F1376" s="423">
        <v>0.44013260438551161</v>
      </c>
      <c r="G1376" s="422">
        <v>8067.7881701847491</v>
      </c>
      <c r="H1376" s="417" t="s">
        <v>2616</v>
      </c>
      <c r="I1376" s="417" t="s">
        <v>1392</v>
      </c>
      <c r="J1376" s="417" t="s">
        <v>2624</v>
      </c>
      <c r="K1376" s="417" t="s">
        <v>5142</v>
      </c>
      <c r="L1376" s="417"/>
      <c r="M1376" s="417" t="s">
        <v>28840</v>
      </c>
    </row>
    <row r="1377" spans="1:13" x14ac:dyDescent="0.25">
      <c r="A1377" s="417" t="s">
        <v>3385</v>
      </c>
      <c r="B1377" s="417" t="s">
        <v>2627</v>
      </c>
      <c r="C1377" s="417" t="s">
        <v>5143</v>
      </c>
      <c r="D1377" s="417" t="s">
        <v>88</v>
      </c>
      <c r="E1377" s="423">
        <v>1.361704248776614</v>
      </c>
      <c r="F1377" s="423">
        <v>8.1920997887038813E-2</v>
      </c>
      <c r="G1377" s="422">
        <v>18718.66715088749</v>
      </c>
      <c r="H1377" s="417" t="s">
        <v>2616</v>
      </c>
      <c r="I1377" s="417" t="s">
        <v>1392</v>
      </c>
      <c r="J1377" s="417" t="s">
        <v>3627</v>
      </c>
      <c r="K1377" s="417" t="s">
        <v>5144</v>
      </c>
      <c r="L1377" s="417"/>
      <c r="M1377" s="417" t="s">
        <v>28840</v>
      </c>
    </row>
    <row r="1378" spans="1:13" x14ac:dyDescent="0.25">
      <c r="A1378" s="417" t="s">
        <v>3385</v>
      </c>
      <c r="B1378" s="417" t="s">
        <v>2627</v>
      </c>
      <c r="C1378" s="417" t="s">
        <v>5145</v>
      </c>
      <c r="D1378" s="417" t="s">
        <v>88</v>
      </c>
      <c r="E1378" s="423">
        <v>2.9953888985150838</v>
      </c>
      <c r="F1378" s="423">
        <v>0.18146464106434751</v>
      </c>
      <c r="G1378" s="422">
        <v>84553.308783321845</v>
      </c>
      <c r="H1378" s="417" t="s">
        <v>2616</v>
      </c>
      <c r="I1378" s="417" t="s">
        <v>1392</v>
      </c>
      <c r="J1378" s="417" t="s">
        <v>3627</v>
      </c>
      <c r="K1378" s="417" t="s">
        <v>5146</v>
      </c>
      <c r="L1378" s="417"/>
      <c r="M1378" s="417" t="s">
        <v>28840</v>
      </c>
    </row>
    <row r="1379" spans="1:13" x14ac:dyDescent="0.25">
      <c r="A1379" s="417" t="s">
        <v>3385</v>
      </c>
      <c r="B1379" s="417" t="s">
        <v>2627</v>
      </c>
      <c r="C1379" s="417" t="s">
        <v>5147</v>
      </c>
      <c r="D1379" s="417" t="s">
        <v>88</v>
      </c>
      <c r="E1379" s="423">
        <v>1.912057781099926</v>
      </c>
      <c r="F1379" s="423">
        <v>0.108569335007301</v>
      </c>
      <c r="G1379" s="422">
        <v>25596.096236136931</v>
      </c>
      <c r="H1379" s="417" t="s">
        <v>2616</v>
      </c>
      <c r="I1379" s="417" t="s">
        <v>1392</v>
      </c>
      <c r="J1379" s="417" t="s">
        <v>3627</v>
      </c>
      <c r="K1379" s="417" t="s">
        <v>5148</v>
      </c>
      <c r="L1379" s="417"/>
      <c r="M1379" s="417" t="s">
        <v>28840</v>
      </c>
    </row>
    <row r="1380" spans="1:13" x14ac:dyDescent="0.25">
      <c r="A1380" s="417" t="s">
        <v>3385</v>
      </c>
      <c r="B1380" s="417" t="s">
        <v>2627</v>
      </c>
      <c r="C1380" s="417" t="s">
        <v>5149</v>
      </c>
      <c r="D1380" s="417" t="s">
        <v>88</v>
      </c>
      <c r="E1380" s="423">
        <v>1.912057781099926</v>
      </c>
      <c r="F1380" s="423">
        <v>0.108569335007301</v>
      </c>
      <c r="G1380" s="422">
        <v>24126.656236136929</v>
      </c>
      <c r="H1380" s="417" t="s">
        <v>2616</v>
      </c>
      <c r="I1380" s="417" t="s">
        <v>1392</v>
      </c>
      <c r="J1380" s="417" t="s">
        <v>3627</v>
      </c>
      <c r="K1380" s="417" t="s">
        <v>5150</v>
      </c>
      <c r="L1380" s="417"/>
      <c r="M1380" s="417" t="s">
        <v>28840</v>
      </c>
    </row>
    <row r="1381" spans="1:13" x14ac:dyDescent="0.25">
      <c r="A1381" s="417" t="s">
        <v>3385</v>
      </c>
      <c r="B1381" s="417" t="s">
        <v>2627</v>
      </c>
      <c r="C1381" s="417" t="s">
        <v>5151</v>
      </c>
      <c r="D1381" s="417" t="s">
        <v>88</v>
      </c>
      <c r="E1381" s="423">
        <v>1.0734069594894029</v>
      </c>
      <c r="F1381" s="423">
        <v>6.4354473367997503E-2</v>
      </c>
      <c r="G1381" s="422">
        <v>7100.7892197614956</v>
      </c>
      <c r="H1381" s="417" t="s">
        <v>2616</v>
      </c>
      <c r="I1381" s="417" t="s">
        <v>1392</v>
      </c>
      <c r="J1381" s="417" t="s">
        <v>3627</v>
      </c>
      <c r="K1381" s="417" t="s">
        <v>5152</v>
      </c>
      <c r="L1381" s="417"/>
      <c r="M1381" s="417" t="s">
        <v>28840</v>
      </c>
    </row>
    <row r="1382" spans="1:13" x14ac:dyDescent="0.25">
      <c r="A1382" s="417" t="s">
        <v>3385</v>
      </c>
      <c r="B1382" s="417" t="s">
        <v>2627</v>
      </c>
      <c r="C1382" s="417" t="s">
        <v>5153</v>
      </c>
      <c r="D1382" s="417" t="s">
        <v>88</v>
      </c>
      <c r="E1382" s="423">
        <v>0.47971807516944931</v>
      </c>
      <c r="F1382" s="423">
        <v>2.769173012368157E-2</v>
      </c>
      <c r="G1382" s="422">
        <v>66388.297308540379</v>
      </c>
      <c r="H1382" s="417" t="s">
        <v>2616</v>
      </c>
      <c r="I1382" s="417" t="s">
        <v>1392</v>
      </c>
      <c r="J1382" s="417" t="s">
        <v>3915</v>
      </c>
      <c r="K1382" s="417" t="s">
        <v>5154</v>
      </c>
      <c r="L1382" s="417"/>
      <c r="M1382" s="417" t="s">
        <v>28840</v>
      </c>
    </row>
    <row r="1383" spans="1:13" x14ac:dyDescent="0.25">
      <c r="A1383" s="417" t="s">
        <v>3385</v>
      </c>
      <c r="B1383" s="417" t="s">
        <v>2623</v>
      </c>
      <c r="C1383" s="417" t="s">
        <v>5155</v>
      </c>
      <c r="D1383" s="417" t="s">
        <v>88</v>
      </c>
      <c r="E1383" s="423">
        <v>7.8383176609428862</v>
      </c>
      <c r="F1383" s="423">
        <v>0.85902444455770055</v>
      </c>
      <c r="G1383" s="422">
        <v>15746.23618620601</v>
      </c>
      <c r="H1383" s="417" t="s">
        <v>2616</v>
      </c>
      <c r="I1383" s="417" t="s">
        <v>1392</v>
      </c>
      <c r="J1383" s="417" t="s">
        <v>2624</v>
      </c>
      <c r="K1383" s="417" t="s">
        <v>5156</v>
      </c>
      <c r="L1383" s="417"/>
      <c r="M1383" s="417" t="s">
        <v>28840</v>
      </c>
    </row>
    <row r="1384" spans="1:13" x14ac:dyDescent="0.25">
      <c r="A1384" s="417" t="s">
        <v>3385</v>
      </c>
      <c r="B1384" s="417" t="s">
        <v>2627</v>
      </c>
      <c r="C1384" s="417" t="s">
        <v>5157</v>
      </c>
      <c r="D1384" s="417" t="s">
        <v>88</v>
      </c>
      <c r="E1384" s="423">
        <v>1.6099452996682</v>
      </c>
      <c r="F1384" s="423">
        <v>7.7644690446567896E-2</v>
      </c>
      <c r="G1384" s="422">
        <v>22129.72157390443</v>
      </c>
      <c r="H1384" s="417" t="s">
        <v>2616</v>
      </c>
      <c r="I1384" s="417" t="s">
        <v>1392</v>
      </c>
      <c r="J1384" s="417" t="s">
        <v>3915</v>
      </c>
      <c r="K1384" s="417" t="s">
        <v>5158</v>
      </c>
      <c r="L1384" s="417"/>
      <c r="M1384" s="417" t="s">
        <v>28840</v>
      </c>
    </row>
    <row r="1385" spans="1:13" x14ac:dyDescent="0.25">
      <c r="A1385" s="417" t="s">
        <v>3385</v>
      </c>
      <c r="B1385" s="417" t="s">
        <v>2627</v>
      </c>
      <c r="C1385" s="417" t="s">
        <v>5159</v>
      </c>
      <c r="D1385" s="417" t="s">
        <v>88</v>
      </c>
      <c r="E1385" s="423">
        <v>1.386786600380939</v>
      </c>
      <c r="F1385" s="423">
        <v>6.2291918789126849E-2</v>
      </c>
      <c r="G1385" s="422">
        <v>14269.719064799239</v>
      </c>
      <c r="H1385" s="417" t="s">
        <v>2616</v>
      </c>
      <c r="I1385" s="417" t="s">
        <v>1392</v>
      </c>
      <c r="J1385" s="417" t="s">
        <v>3915</v>
      </c>
      <c r="K1385" s="417" t="s">
        <v>5160</v>
      </c>
      <c r="L1385" s="417"/>
      <c r="M1385" s="417" t="s">
        <v>28840</v>
      </c>
    </row>
    <row r="1386" spans="1:13" x14ac:dyDescent="0.25">
      <c r="A1386" s="417" t="s">
        <v>3385</v>
      </c>
      <c r="B1386" s="417" t="s">
        <v>2627</v>
      </c>
      <c r="C1386" s="417" t="s">
        <v>5161</v>
      </c>
      <c r="D1386" s="417" t="s">
        <v>88</v>
      </c>
      <c r="E1386" s="423">
        <v>0.80147070015781352</v>
      </c>
      <c r="F1386" s="423">
        <v>0.14475728554864581</v>
      </c>
      <c r="G1386" s="422">
        <v>7297.3408179203952</v>
      </c>
      <c r="H1386" s="417" t="s">
        <v>2616</v>
      </c>
      <c r="I1386" s="417" t="s">
        <v>1392</v>
      </c>
      <c r="J1386" s="417" t="s">
        <v>3915</v>
      </c>
      <c r="K1386" s="417" t="s">
        <v>5162</v>
      </c>
      <c r="L1386" s="417"/>
      <c r="M1386" s="417" t="s">
        <v>28840</v>
      </c>
    </row>
    <row r="1387" spans="1:13" x14ac:dyDescent="0.25">
      <c r="A1387" s="417" t="s">
        <v>3385</v>
      </c>
      <c r="B1387" s="417" t="s">
        <v>2627</v>
      </c>
      <c r="C1387" s="417" t="s">
        <v>5163</v>
      </c>
      <c r="D1387" s="417" t="s">
        <v>88</v>
      </c>
      <c r="E1387" s="423">
        <v>1.0017382268718069</v>
      </c>
      <c r="F1387" s="423">
        <v>2.6908510833157689E-2</v>
      </c>
      <c r="G1387" s="422">
        <v>5030.2668734436511</v>
      </c>
      <c r="H1387" s="417" t="s">
        <v>2616</v>
      </c>
      <c r="I1387" s="417" t="s">
        <v>1392</v>
      </c>
      <c r="J1387" s="417" t="s">
        <v>3915</v>
      </c>
      <c r="K1387" s="417" t="s">
        <v>5164</v>
      </c>
      <c r="L1387" s="417"/>
      <c r="M1387" s="417" t="s">
        <v>28840</v>
      </c>
    </row>
    <row r="1388" spans="1:13" x14ac:dyDescent="0.25">
      <c r="A1388" s="417" t="s">
        <v>3385</v>
      </c>
      <c r="B1388" s="417" t="s">
        <v>2627</v>
      </c>
      <c r="C1388" s="417" t="s">
        <v>5165</v>
      </c>
      <c r="D1388" s="417" t="s">
        <v>88</v>
      </c>
      <c r="E1388" s="423">
        <v>2.6932764178714228</v>
      </c>
      <c r="F1388" s="423">
        <v>0.15053999661199211</v>
      </c>
      <c r="G1388" s="422">
        <v>81086.934122315812</v>
      </c>
      <c r="H1388" s="417" t="s">
        <v>2616</v>
      </c>
      <c r="I1388" s="417" t="s">
        <v>1392</v>
      </c>
      <c r="J1388" s="417" t="s">
        <v>3915</v>
      </c>
      <c r="K1388" s="417" t="s">
        <v>5166</v>
      </c>
      <c r="L1388" s="417"/>
      <c r="M1388" s="417" t="s">
        <v>28840</v>
      </c>
    </row>
    <row r="1389" spans="1:13" x14ac:dyDescent="0.25">
      <c r="A1389" s="417" t="s">
        <v>3385</v>
      </c>
      <c r="B1389" s="417" t="s">
        <v>2627</v>
      </c>
      <c r="C1389" s="417" t="s">
        <v>5167</v>
      </c>
      <c r="D1389" s="417" t="s">
        <v>88</v>
      </c>
      <c r="E1389" s="423">
        <v>2.5165798235240322</v>
      </c>
      <c r="F1389" s="423">
        <v>0.12605577445129379</v>
      </c>
      <c r="G1389" s="422">
        <v>86792.822051869618</v>
      </c>
      <c r="H1389" s="417" t="s">
        <v>2616</v>
      </c>
      <c r="I1389" s="417" t="s">
        <v>1392</v>
      </c>
      <c r="J1389" s="417" t="s">
        <v>3915</v>
      </c>
      <c r="K1389" s="417" t="s">
        <v>5168</v>
      </c>
      <c r="L1389" s="417"/>
      <c r="M1389" s="417" t="s">
        <v>28840</v>
      </c>
    </row>
    <row r="1390" spans="1:13" x14ac:dyDescent="0.25">
      <c r="A1390" s="417" t="s">
        <v>3385</v>
      </c>
      <c r="B1390" s="417" t="s">
        <v>2627</v>
      </c>
      <c r="C1390" s="417" t="s">
        <v>5169</v>
      </c>
      <c r="D1390" s="417" t="s">
        <v>88</v>
      </c>
      <c r="E1390" s="423">
        <v>3.9889400633998422</v>
      </c>
      <c r="F1390" s="423">
        <v>0.217169356484156</v>
      </c>
      <c r="G1390" s="422">
        <v>103694.1604759015</v>
      </c>
      <c r="H1390" s="417" t="s">
        <v>2616</v>
      </c>
      <c r="I1390" s="417" t="s">
        <v>1392</v>
      </c>
      <c r="J1390" s="417" t="s">
        <v>3915</v>
      </c>
      <c r="K1390" s="417" t="s">
        <v>5170</v>
      </c>
      <c r="L1390" s="417"/>
      <c r="M1390" s="417" t="s">
        <v>28840</v>
      </c>
    </row>
    <row r="1391" spans="1:13" x14ac:dyDescent="0.25">
      <c r="A1391" s="417" t="s">
        <v>3385</v>
      </c>
      <c r="B1391" s="417" t="s">
        <v>2627</v>
      </c>
      <c r="C1391" s="417" t="s">
        <v>5171</v>
      </c>
      <c r="D1391" s="417" t="s">
        <v>88</v>
      </c>
      <c r="E1391" s="423">
        <v>1.6284015816210891</v>
      </c>
      <c r="F1391" s="423">
        <v>6.8519470644767266E-2</v>
      </c>
      <c r="G1391" s="422">
        <v>14914.010501359069</v>
      </c>
      <c r="H1391" s="417" t="s">
        <v>2616</v>
      </c>
      <c r="I1391" s="417" t="s">
        <v>1392</v>
      </c>
      <c r="J1391" s="417" t="s">
        <v>3915</v>
      </c>
      <c r="K1391" s="417" t="s">
        <v>5172</v>
      </c>
      <c r="L1391" s="417"/>
      <c r="M1391" s="417" t="s">
        <v>28840</v>
      </c>
    </row>
    <row r="1392" spans="1:13" x14ac:dyDescent="0.25">
      <c r="A1392" s="417" t="s">
        <v>3385</v>
      </c>
      <c r="B1392" s="417" t="s">
        <v>2627</v>
      </c>
      <c r="C1392" s="417" t="s">
        <v>5173</v>
      </c>
      <c r="D1392" s="417" t="s">
        <v>88</v>
      </c>
      <c r="E1392" s="423">
        <v>2.812297729346775</v>
      </c>
      <c r="F1392" s="423">
        <v>0.16103202673793429</v>
      </c>
      <c r="G1392" s="422">
        <v>73271.449195197172</v>
      </c>
      <c r="H1392" s="417" t="s">
        <v>2616</v>
      </c>
      <c r="I1392" s="417" t="s">
        <v>1392</v>
      </c>
      <c r="J1392" s="417" t="s">
        <v>3915</v>
      </c>
      <c r="K1392" s="417" t="s">
        <v>5174</v>
      </c>
      <c r="L1392" s="417"/>
      <c r="M1392" s="417" t="s">
        <v>28840</v>
      </c>
    </row>
    <row r="1393" spans="1:13" x14ac:dyDescent="0.25">
      <c r="A1393" s="417" t="s">
        <v>3385</v>
      </c>
      <c r="B1393" s="417" t="s">
        <v>2627</v>
      </c>
      <c r="C1393" s="417" t="s">
        <v>5175</v>
      </c>
      <c r="D1393" s="417" t="s">
        <v>88</v>
      </c>
      <c r="E1393" s="423">
        <v>1.5018720238259671</v>
      </c>
      <c r="F1393" s="423">
        <v>6.2475421310460473E-2</v>
      </c>
      <c r="G1393" s="422">
        <v>7187.3672782684471</v>
      </c>
      <c r="H1393" s="417" t="s">
        <v>2616</v>
      </c>
      <c r="I1393" s="417" t="s">
        <v>1392</v>
      </c>
      <c r="J1393" s="417" t="s">
        <v>3915</v>
      </c>
      <c r="K1393" s="417" t="s">
        <v>5176</v>
      </c>
      <c r="L1393" s="417"/>
      <c r="M1393" s="417" t="s">
        <v>28840</v>
      </c>
    </row>
    <row r="1394" spans="1:13" x14ac:dyDescent="0.25">
      <c r="A1394" s="417" t="s">
        <v>3385</v>
      </c>
      <c r="B1394" s="417" t="s">
        <v>2627</v>
      </c>
      <c r="C1394" s="417" t="s">
        <v>5177</v>
      </c>
      <c r="D1394" s="417" t="s">
        <v>88</v>
      </c>
      <c r="E1394" s="423">
        <v>4.1567346641665548</v>
      </c>
      <c r="F1394" s="423">
        <v>0.42365627527781929</v>
      </c>
      <c r="G1394" s="422">
        <v>18301.168854215179</v>
      </c>
      <c r="H1394" s="417" t="s">
        <v>2616</v>
      </c>
      <c r="I1394" s="417" t="s">
        <v>1392</v>
      </c>
      <c r="J1394" s="417" t="s">
        <v>3915</v>
      </c>
      <c r="K1394" s="417" t="s">
        <v>5178</v>
      </c>
      <c r="L1394" s="417"/>
      <c r="M1394" s="417" t="s">
        <v>28840</v>
      </c>
    </row>
    <row r="1395" spans="1:13" x14ac:dyDescent="0.25">
      <c r="A1395" s="417" t="s">
        <v>3385</v>
      </c>
      <c r="B1395" s="417" t="s">
        <v>2627</v>
      </c>
      <c r="C1395" s="417" t="s">
        <v>1120</v>
      </c>
      <c r="D1395" s="417" t="s">
        <v>88</v>
      </c>
      <c r="E1395" s="423">
        <v>0.43976491984809751</v>
      </c>
      <c r="F1395" s="423">
        <v>0.67474373997720805</v>
      </c>
      <c r="G1395" s="422">
        <v>1687.575223234267</v>
      </c>
      <c r="H1395" s="417" t="s">
        <v>2616</v>
      </c>
      <c r="I1395" s="417" t="s">
        <v>28841</v>
      </c>
      <c r="J1395" s="417" t="s">
        <v>5179</v>
      </c>
      <c r="K1395" s="417" t="s">
        <v>5180</v>
      </c>
      <c r="L1395" s="417"/>
      <c r="M1395" s="417" t="s">
        <v>28840</v>
      </c>
    </row>
    <row r="1396" spans="1:13" x14ac:dyDescent="0.25">
      <c r="A1396" s="417" t="s">
        <v>3385</v>
      </c>
      <c r="B1396" s="417" t="s">
        <v>2627</v>
      </c>
      <c r="C1396" s="417" t="s">
        <v>5181</v>
      </c>
      <c r="D1396" s="417" t="s">
        <v>88</v>
      </c>
      <c r="E1396" s="423">
        <v>0.86471618182731025</v>
      </c>
      <c r="F1396" s="423">
        <v>0.60488253459738606</v>
      </c>
      <c r="G1396" s="422">
        <v>1744.912817625655</v>
      </c>
      <c r="H1396" s="417" t="s">
        <v>2616</v>
      </c>
      <c r="I1396" s="417" t="s">
        <v>1392</v>
      </c>
      <c r="J1396" s="417" t="s">
        <v>5182</v>
      </c>
      <c r="K1396" s="417" t="s">
        <v>5183</v>
      </c>
      <c r="L1396" s="417"/>
      <c r="M1396" s="417" t="s">
        <v>28840</v>
      </c>
    </row>
    <row r="1397" spans="1:13" x14ac:dyDescent="0.25">
      <c r="A1397" s="417" t="s">
        <v>3385</v>
      </c>
      <c r="B1397" s="417" t="s">
        <v>2627</v>
      </c>
      <c r="C1397" s="417" t="s">
        <v>1002</v>
      </c>
      <c r="D1397" s="417" t="s">
        <v>88</v>
      </c>
      <c r="E1397" s="423">
        <v>1.129248638813633E-2</v>
      </c>
      <c r="F1397" s="423">
        <v>2.8576790276106011E-4</v>
      </c>
      <c r="G1397" s="422">
        <v>72.441798144163741</v>
      </c>
      <c r="H1397" s="417" t="s">
        <v>2616</v>
      </c>
      <c r="I1397" s="417" t="s">
        <v>28841</v>
      </c>
      <c r="J1397" s="417" t="s">
        <v>4016</v>
      </c>
      <c r="K1397" s="417" t="s">
        <v>5184</v>
      </c>
      <c r="L1397" s="417"/>
      <c r="M1397" s="417" t="s">
        <v>28840</v>
      </c>
    </row>
    <row r="1398" spans="1:13" x14ac:dyDescent="0.25">
      <c r="A1398" s="417" t="s">
        <v>3385</v>
      </c>
      <c r="B1398" s="417" t="s">
        <v>2627</v>
      </c>
      <c r="C1398" s="417" t="s">
        <v>5185</v>
      </c>
      <c r="D1398" s="417" t="s">
        <v>88</v>
      </c>
      <c r="E1398" s="423">
        <v>0.42831251526970088</v>
      </c>
      <c r="F1398" s="423">
        <v>4.873701294910074E-3</v>
      </c>
      <c r="G1398" s="422">
        <v>3548.2284119218129</v>
      </c>
      <c r="H1398" s="417" t="s">
        <v>2616</v>
      </c>
      <c r="I1398" s="417" t="s">
        <v>1392</v>
      </c>
      <c r="J1398" s="417" t="s">
        <v>4047</v>
      </c>
      <c r="K1398" s="417" t="s">
        <v>5186</v>
      </c>
      <c r="L1398" s="417"/>
      <c r="M1398" s="417" t="s">
        <v>28840</v>
      </c>
    </row>
    <row r="1399" spans="1:13" x14ac:dyDescent="0.25">
      <c r="A1399" s="417" t="s">
        <v>3385</v>
      </c>
      <c r="B1399" s="417" t="s">
        <v>2627</v>
      </c>
      <c r="C1399" s="417" t="s">
        <v>1125</v>
      </c>
      <c r="D1399" s="417" t="s">
        <v>88</v>
      </c>
      <c r="E1399" s="423">
        <v>0.56055595714001072</v>
      </c>
      <c r="F1399" s="423">
        <v>1.957704886154251</v>
      </c>
      <c r="G1399" s="422">
        <v>1423.14314721306</v>
      </c>
      <c r="H1399" s="417" t="s">
        <v>2616</v>
      </c>
      <c r="I1399" s="417" t="s">
        <v>28841</v>
      </c>
      <c r="J1399" s="417" t="s">
        <v>5187</v>
      </c>
      <c r="K1399" s="417" t="s">
        <v>5188</v>
      </c>
      <c r="L1399" s="417"/>
      <c r="M1399" s="417" t="s">
        <v>28840</v>
      </c>
    </row>
    <row r="1400" spans="1:13" x14ac:dyDescent="0.25">
      <c r="A1400" s="417" t="s">
        <v>3385</v>
      </c>
      <c r="B1400" s="417" t="s">
        <v>2627</v>
      </c>
      <c r="C1400" s="417" t="s">
        <v>1124</v>
      </c>
      <c r="D1400" s="417" t="s">
        <v>88</v>
      </c>
      <c r="E1400" s="423">
        <v>0.96338181643007692</v>
      </c>
      <c r="F1400" s="423">
        <v>0.58764283532734518</v>
      </c>
      <c r="G1400" s="422">
        <v>1689.6337341317931</v>
      </c>
      <c r="H1400" s="417" t="s">
        <v>2616</v>
      </c>
      <c r="I1400" s="417" t="s">
        <v>28841</v>
      </c>
      <c r="J1400" s="417" t="s">
        <v>5187</v>
      </c>
      <c r="K1400" s="417" t="s">
        <v>5189</v>
      </c>
      <c r="L1400" s="417"/>
      <c r="M1400" s="417" t="s">
        <v>28840</v>
      </c>
    </row>
    <row r="1401" spans="1:13" x14ac:dyDescent="0.25">
      <c r="A1401" s="417" t="s">
        <v>3385</v>
      </c>
      <c r="B1401" s="417" t="s">
        <v>2627</v>
      </c>
      <c r="C1401" s="417" t="s">
        <v>5190</v>
      </c>
      <c r="D1401" s="417" t="s">
        <v>88</v>
      </c>
      <c r="E1401" s="423">
        <v>0.84240744312694871</v>
      </c>
      <c r="F1401" s="423">
        <v>5.4248824688049258E-2</v>
      </c>
      <c r="G1401" s="422">
        <v>1444.3755453862609</v>
      </c>
      <c r="H1401" s="417" t="s">
        <v>2616</v>
      </c>
      <c r="I1401" s="417" t="s">
        <v>1392</v>
      </c>
      <c r="J1401" s="417" t="s">
        <v>5187</v>
      </c>
      <c r="K1401" s="417" t="s">
        <v>5191</v>
      </c>
      <c r="L1401" s="417"/>
      <c r="M1401" s="417" t="s">
        <v>28840</v>
      </c>
    </row>
    <row r="1402" spans="1:13" x14ac:dyDescent="0.25">
      <c r="A1402" s="417" t="s">
        <v>3385</v>
      </c>
      <c r="B1402" s="417" t="s">
        <v>2627</v>
      </c>
      <c r="C1402" s="417" t="s">
        <v>5192</v>
      </c>
      <c r="D1402" s="417" t="s">
        <v>88</v>
      </c>
      <c r="E1402" s="423">
        <v>0.84004574930477593</v>
      </c>
      <c r="F1402" s="423">
        <v>5.1397612650685529E-2</v>
      </c>
      <c r="G1402" s="422">
        <v>1456.780542491914</v>
      </c>
      <c r="H1402" s="417" t="s">
        <v>2616</v>
      </c>
      <c r="I1402" s="417" t="s">
        <v>1392</v>
      </c>
      <c r="J1402" s="417" t="s">
        <v>5187</v>
      </c>
      <c r="K1402" s="417" t="s">
        <v>5193</v>
      </c>
      <c r="L1402" s="417"/>
      <c r="M1402" s="417" t="s">
        <v>28840</v>
      </c>
    </row>
    <row r="1403" spans="1:13" x14ac:dyDescent="0.25">
      <c r="A1403" s="417" t="s">
        <v>3385</v>
      </c>
      <c r="B1403" s="417" t="s">
        <v>2627</v>
      </c>
      <c r="C1403" s="417" t="s">
        <v>5194</v>
      </c>
      <c r="D1403" s="417" t="s">
        <v>88</v>
      </c>
      <c r="E1403" s="423">
        <v>0.93526104386247422</v>
      </c>
      <c r="F1403" s="423">
        <v>0.63576705000886802</v>
      </c>
      <c r="G1403" s="422">
        <v>1826.649976322331</v>
      </c>
      <c r="H1403" s="417" t="s">
        <v>2616</v>
      </c>
      <c r="I1403" s="417" t="s">
        <v>1392</v>
      </c>
      <c r="J1403" s="417" t="s">
        <v>5187</v>
      </c>
      <c r="K1403" s="417" t="s">
        <v>5195</v>
      </c>
      <c r="L1403" s="417"/>
      <c r="M1403" s="417" t="s">
        <v>28840</v>
      </c>
    </row>
    <row r="1404" spans="1:13" x14ac:dyDescent="0.25">
      <c r="A1404" s="417" t="s">
        <v>3385</v>
      </c>
      <c r="B1404" s="417" t="s">
        <v>2627</v>
      </c>
      <c r="C1404" s="417" t="s">
        <v>5196</v>
      </c>
      <c r="D1404" s="417" t="s">
        <v>88</v>
      </c>
      <c r="E1404" s="423">
        <v>0.92042862714135931</v>
      </c>
      <c r="F1404" s="423">
        <v>0.6288786686597666</v>
      </c>
      <c r="G1404" s="422">
        <v>1908.1823527866211</v>
      </c>
      <c r="H1404" s="417" t="s">
        <v>2616</v>
      </c>
      <c r="I1404" s="417" t="s">
        <v>1392</v>
      </c>
      <c r="J1404" s="417" t="s">
        <v>5187</v>
      </c>
      <c r="K1404" s="417" t="s">
        <v>5197</v>
      </c>
      <c r="L1404" s="417"/>
      <c r="M1404" s="417" t="s">
        <v>28840</v>
      </c>
    </row>
    <row r="1405" spans="1:13" x14ac:dyDescent="0.25">
      <c r="A1405" s="417" t="s">
        <v>3385</v>
      </c>
      <c r="B1405" s="417" t="s">
        <v>2627</v>
      </c>
      <c r="C1405" s="417" t="s">
        <v>5198</v>
      </c>
      <c r="D1405" s="417" t="s">
        <v>88</v>
      </c>
      <c r="E1405" s="423">
        <v>0.96861124659984699</v>
      </c>
      <c r="F1405" s="423">
        <v>0.39693769531023199</v>
      </c>
      <c r="G1405" s="422">
        <v>1825.8147428462801</v>
      </c>
      <c r="H1405" s="417" t="s">
        <v>2616</v>
      </c>
      <c r="I1405" s="417" t="s">
        <v>1392</v>
      </c>
      <c r="J1405" s="417" t="s">
        <v>5187</v>
      </c>
      <c r="K1405" s="417" t="s">
        <v>5199</v>
      </c>
      <c r="L1405" s="417"/>
      <c r="M1405" s="417" t="s">
        <v>28840</v>
      </c>
    </row>
    <row r="1406" spans="1:13" x14ac:dyDescent="0.25">
      <c r="A1406" s="417" t="s">
        <v>3385</v>
      </c>
      <c r="B1406" s="417" t="s">
        <v>2627</v>
      </c>
      <c r="C1406" s="417" t="s">
        <v>5200</v>
      </c>
      <c r="D1406" s="417" t="s">
        <v>88</v>
      </c>
      <c r="E1406" s="423">
        <v>0.95509519134026177</v>
      </c>
      <c r="F1406" s="423">
        <v>0.39340592672044489</v>
      </c>
      <c r="G1406" s="422">
        <v>1911.7010737891469</v>
      </c>
      <c r="H1406" s="417" t="s">
        <v>2616</v>
      </c>
      <c r="I1406" s="417" t="s">
        <v>1392</v>
      </c>
      <c r="J1406" s="417" t="s">
        <v>5187</v>
      </c>
      <c r="K1406" s="417" t="s">
        <v>5201</v>
      </c>
      <c r="L1406" s="417"/>
      <c r="M1406" s="417" t="s">
        <v>28840</v>
      </c>
    </row>
    <row r="1407" spans="1:13" x14ac:dyDescent="0.25">
      <c r="A1407" s="417" t="s">
        <v>3385</v>
      </c>
      <c r="B1407" s="417" t="s">
        <v>2627</v>
      </c>
      <c r="C1407" s="417" t="s">
        <v>5202</v>
      </c>
      <c r="D1407" s="417" t="s">
        <v>88</v>
      </c>
      <c r="E1407" s="423">
        <v>2.945443286514295</v>
      </c>
      <c r="F1407" s="423">
        <v>7.5820443577382296E-2</v>
      </c>
      <c r="G1407" s="422">
        <v>41825.202384312637</v>
      </c>
      <c r="H1407" s="417" t="s">
        <v>2616</v>
      </c>
      <c r="I1407" s="417" t="s">
        <v>1392</v>
      </c>
      <c r="J1407" s="417" t="s">
        <v>4047</v>
      </c>
      <c r="K1407" s="417" t="s">
        <v>5203</v>
      </c>
      <c r="L1407" s="417"/>
      <c r="M1407" s="417" t="s">
        <v>28840</v>
      </c>
    </row>
    <row r="1408" spans="1:13" x14ac:dyDescent="0.25">
      <c r="A1408" s="417" t="s">
        <v>3385</v>
      </c>
      <c r="B1408" s="417" t="s">
        <v>2627</v>
      </c>
      <c r="C1408" s="417" t="s">
        <v>5204</v>
      </c>
      <c r="D1408" s="417" t="s">
        <v>88</v>
      </c>
      <c r="E1408" s="423">
        <v>3.2500010629414611</v>
      </c>
      <c r="F1408" s="423">
        <v>7.4971456822058774E-2</v>
      </c>
      <c r="G1408" s="422">
        <v>26531.748040967821</v>
      </c>
      <c r="H1408" s="417" t="s">
        <v>2616</v>
      </c>
      <c r="I1408" s="417" t="s">
        <v>1392</v>
      </c>
      <c r="J1408" s="417" t="s">
        <v>4047</v>
      </c>
      <c r="K1408" s="417" t="s">
        <v>5205</v>
      </c>
      <c r="L1408" s="417"/>
      <c r="M1408" s="417" t="s">
        <v>28840</v>
      </c>
    </row>
    <row r="1409" spans="1:13" x14ac:dyDescent="0.25">
      <c r="A1409" s="417" t="s">
        <v>3385</v>
      </c>
      <c r="B1409" s="417" t="s">
        <v>2627</v>
      </c>
      <c r="C1409" s="417" t="s">
        <v>5206</v>
      </c>
      <c r="D1409" s="417" t="s">
        <v>88</v>
      </c>
      <c r="E1409" s="423">
        <v>0.29167721229151539</v>
      </c>
      <c r="F1409" s="423">
        <v>7.5081983526139847E-3</v>
      </c>
      <c r="G1409" s="422">
        <v>4061.1396871905631</v>
      </c>
      <c r="H1409" s="417" t="s">
        <v>2616</v>
      </c>
      <c r="I1409" s="417" t="s">
        <v>1392</v>
      </c>
      <c r="J1409" s="417" t="s">
        <v>4054</v>
      </c>
      <c r="K1409" s="417" t="s">
        <v>5207</v>
      </c>
      <c r="L1409" s="417"/>
      <c r="M1409" s="417" t="s">
        <v>28840</v>
      </c>
    </row>
    <row r="1410" spans="1:13" x14ac:dyDescent="0.25">
      <c r="A1410" s="417" t="s">
        <v>3385</v>
      </c>
      <c r="B1410" s="417" t="s">
        <v>2627</v>
      </c>
      <c r="C1410" s="417" t="s">
        <v>5208</v>
      </c>
      <c r="D1410" s="417" t="s">
        <v>88</v>
      </c>
      <c r="E1410" s="423">
        <v>0.35945495445239711</v>
      </c>
      <c r="F1410" s="423">
        <v>1.2957610005103121E-2</v>
      </c>
      <c r="G1410" s="422">
        <v>4186.2953709576277</v>
      </c>
      <c r="H1410" s="417" t="s">
        <v>2616</v>
      </c>
      <c r="I1410" s="417" t="s">
        <v>1392</v>
      </c>
      <c r="J1410" s="417" t="s">
        <v>4054</v>
      </c>
      <c r="K1410" s="417" t="s">
        <v>5209</v>
      </c>
      <c r="L1410" s="417"/>
      <c r="M1410" s="417" t="s">
        <v>28840</v>
      </c>
    </row>
    <row r="1411" spans="1:13" x14ac:dyDescent="0.25">
      <c r="A1411" s="417" t="s">
        <v>3385</v>
      </c>
      <c r="B1411" s="417" t="s">
        <v>2627</v>
      </c>
      <c r="C1411" s="417" t="s">
        <v>5210</v>
      </c>
      <c r="D1411" s="417" t="s">
        <v>88</v>
      </c>
      <c r="E1411" s="423">
        <v>0.1073768286014805</v>
      </c>
      <c r="F1411" s="423">
        <v>1.807140886242693E-3</v>
      </c>
      <c r="G1411" s="422">
        <v>208.28491647465779</v>
      </c>
      <c r="H1411" s="417" t="s">
        <v>2616</v>
      </c>
      <c r="I1411" s="417" t="s">
        <v>1392</v>
      </c>
      <c r="J1411" s="417" t="s">
        <v>3627</v>
      </c>
      <c r="K1411" s="417" t="s">
        <v>5211</v>
      </c>
      <c r="L1411" s="417"/>
      <c r="M1411" s="417" t="s">
        <v>28840</v>
      </c>
    </row>
    <row r="1412" spans="1:13" x14ac:dyDescent="0.25">
      <c r="A1412" s="417" t="s">
        <v>3385</v>
      </c>
      <c r="B1412" s="417" t="s">
        <v>2627</v>
      </c>
      <c r="C1412" s="417" t="s">
        <v>5212</v>
      </c>
      <c r="D1412" s="417" t="s">
        <v>88</v>
      </c>
      <c r="E1412" s="423">
        <v>57.365040409155391</v>
      </c>
      <c r="F1412" s="423">
        <v>2.1364457880852532</v>
      </c>
      <c r="G1412" s="422">
        <v>494689.46025374491</v>
      </c>
      <c r="H1412" s="417" t="s">
        <v>2616</v>
      </c>
      <c r="I1412" s="417" t="s">
        <v>1392</v>
      </c>
      <c r="J1412" s="417" t="s">
        <v>4294</v>
      </c>
      <c r="K1412" s="417" t="s">
        <v>5213</v>
      </c>
      <c r="L1412" s="417"/>
      <c r="M1412" s="417" t="s">
        <v>28840</v>
      </c>
    </row>
    <row r="1413" spans="1:13" x14ac:dyDescent="0.25">
      <c r="A1413" s="417" t="s">
        <v>3385</v>
      </c>
      <c r="B1413" s="417" t="s">
        <v>2627</v>
      </c>
      <c r="C1413" s="417" t="s">
        <v>5214</v>
      </c>
      <c r="D1413" s="417" t="s">
        <v>83</v>
      </c>
      <c r="E1413" s="423">
        <v>119.0398202399608</v>
      </c>
      <c r="F1413" s="423">
        <v>187.19002256614311</v>
      </c>
      <c r="G1413" s="422">
        <v>326028.31033709098</v>
      </c>
      <c r="H1413" s="417" t="s">
        <v>2616</v>
      </c>
      <c r="I1413" s="417" t="s">
        <v>1392</v>
      </c>
      <c r="J1413" s="417" t="s">
        <v>4016</v>
      </c>
      <c r="K1413" s="417" t="s">
        <v>5215</v>
      </c>
      <c r="L1413" s="417"/>
      <c r="M1413" s="417" t="s">
        <v>28840</v>
      </c>
    </row>
    <row r="1414" spans="1:13" x14ac:dyDescent="0.25">
      <c r="A1414" s="417" t="s">
        <v>3385</v>
      </c>
      <c r="B1414" s="417" t="s">
        <v>2627</v>
      </c>
      <c r="C1414" s="417" t="s">
        <v>5216</v>
      </c>
      <c r="D1414" s="417" t="s">
        <v>83</v>
      </c>
      <c r="E1414" s="423">
        <v>119.0398202399608</v>
      </c>
      <c r="F1414" s="423">
        <v>187.19002256614311</v>
      </c>
      <c r="G1414" s="422">
        <v>317842.059537091</v>
      </c>
      <c r="H1414" s="417" t="s">
        <v>2616</v>
      </c>
      <c r="I1414" s="417" t="s">
        <v>1392</v>
      </c>
      <c r="J1414" s="417" t="s">
        <v>4016</v>
      </c>
      <c r="K1414" s="417" t="s">
        <v>5217</v>
      </c>
      <c r="L1414" s="417"/>
      <c r="M1414" s="417" t="s">
        <v>28840</v>
      </c>
    </row>
    <row r="1415" spans="1:13" x14ac:dyDescent="0.25">
      <c r="A1415" s="417" t="s">
        <v>3385</v>
      </c>
      <c r="B1415" s="417" t="s">
        <v>2627</v>
      </c>
      <c r="C1415" s="417" t="s">
        <v>5218</v>
      </c>
      <c r="D1415" s="417" t="s">
        <v>83</v>
      </c>
      <c r="E1415" s="423">
        <v>131.83314231769879</v>
      </c>
      <c r="F1415" s="423">
        <v>173.27369179009011</v>
      </c>
      <c r="G1415" s="422">
        <v>339937.55637041241</v>
      </c>
      <c r="H1415" s="417" t="s">
        <v>2616</v>
      </c>
      <c r="I1415" s="417" t="s">
        <v>1392</v>
      </c>
      <c r="J1415" s="417" t="s">
        <v>4016</v>
      </c>
      <c r="K1415" s="417" t="s">
        <v>5219</v>
      </c>
      <c r="L1415" s="417"/>
      <c r="M1415" s="417" t="s">
        <v>28840</v>
      </c>
    </row>
    <row r="1416" spans="1:13" x14ac:dyDescent="0.25">
      <c r="A1416" s="417" t="s">
        <v>3385</v>
      </c>
      <c r="B1416" s="417" t="s">
        <v>2627</v>
      </c>
      <c r="C1416" s="417" t="s">
        <v>5220</v>
      </c>
      <c r="D1416" s="417" t="s">
        <v>83</v>
      </c>
      <c r="E1416" s="423">
        <v>83.380330391915152</v>
      </c>
      <c r="F1416" s="423">
        <v>214.164114278</v>
      </c>
      <c r="G1416" s="422">
        <v>278263.98870515969</v>
      </c>
      <c r="H1416" s="417" t="s">
        <v>2616</v>
      </c>
      <c r="I1416" s="417" t="s">
        <v>1392</v>
      </c>
      <c r="J1416" s="417" t="s">
        <v>4016</v>
      </c>
      <c r="K1416" s="417" t="s">
        <v>5221</v>
      </c>
      <c r="L1416" s="417"/>
      <c r="M1416" s="417" t="s">
        <v>28840</v>
      </c>
    </row>
    <row r="1417" spans="1:13" x14ac:dyDescent="0.25">
      <c r="A1417" s="417" t="s">
        <v>3385</v>
      </c>
      <c r="B1417" s="417" t="s">
        <v>2627</v>
      </c>
      <c r="C1417" s="417" t="s">
        <v>5222</v>
      </c>
      <c r="D1417" s="417" t="s">
        <v>83</v>
      </c>
      <c r="E1417" s="423">
        <v>83.380330391915152</v>
      </c>
      <c r="F1417" s="423">
        <v>214.164114278</v>
      </c>
      <c r="G1417" s="422">
        <v>270352.48790515983</v>
      </c>
      <c r="H1417" s="417" t="s">
        <v>2616</v>
      </c>
      <c r="I1417" s="417" t="s">
        <v>1392</v>
      </c>
      <c r="J1417" s="417" t="s">
        <v>4016</v>
      </c>
      <c r="K1417" s="417" t="s">
        <v>5223</v>
      </c>
      <c r="L1417" s="417"/>
      <c r="M1417" s="417" t="s">
        <v>28840</v>
      </c>
    </row>
    <row r="1418" spans="1:13" x14ac:dyDescent="0.25">
      <c r="A1418" s="417" t="s">
        <v>3385</v>
      </c>
      <c r="B1418" s="417" t="s">
        <v>2627</v>
      </c>
      <c r="C1418" s="417" t="s">
        <v>5224</v>
      </c>
      <c r="D1418" s="417" t="s">
        <v>989</v>
      </c>
      <c r="E1418" s="423">
        <v>197.0663192042631</v>
      </c>
      <c r="F1418" s="423">
        <v>10.30207444945046</v>
      </c>
      <c r="G1418" s="422">
        <v>676860.90227065969</v>
      </c>
      <c r="H1418" s="417" t="s">
        <v>2616</v>
      </c>
      <c r="I1418" s="417" t="s">
        <v>1392</v>
      </c>
      <c r="J1418" s="417" t="s">
        <v>3699</v>
      </c>
      <c r="K1418" s="417" t="s">
        <v>5225</v>
      </c>
      <c r="L1418" s="417"/>
      <c r="M1418" s="417" t="s">
        <v>28840</v>
      </c>
    </row>
    <row r="1419" spans="1:13" x14ac:dyDescent="0.25">
      <c r="A1419" s="417" t="s">
        <v>3385</v>
      </c>
      <c r="B1419" s="417" t="s">
        <v>2627</v>
      </c>
      <c r="C1419" s="417" t="s">
        <v>5226</v>
      </c>
      <c r="D1419" s="417" t="s">
        <v>88</v>
      </c>
      <c r="E1419" s="423">
        <v>0.14171958049555519</v>
      </c>
      <c r="F1419" s="423">
        <v>0.28182441449004952</v>
      </c>
      <c r="G1419" s="422">
        <v>6377.6257481259527</v>
      </c>
      <c r="H1419" s="417" t="s">
        <v>2616</v>
      </c>
      <c r="I1419" s="417" t="s">
        <v>1392</v>
      </c>
      <c r="J1419" s="417" t="s">
        <v>5227</v>
      </c>
      <c r="K1419" s="417" t="s">
        <v>5228</v>
      </c>
      <c r="L1419" s="417"/>
      <c r="M1419" s="417" t="s">
        <v>28840</v>
      </c>
    </row>
    <row r="1420" spans="1:13" x14ac:dyDescent="0.25">
      <c r="A1420" s="417" t="s">
        <v>3385</v>
      </c>
      <c r="B1420" s="417" t="s">
        <v>2627</v>
      </c>
      <c r="C1420" s="417" t="s">
        <v>5229</v>
      </c>
      <c r="D1420" s="417" t="s">
        <v>88</v>
      </c>
      <c r="E1420" s="423">
        <v>0.33658043032705531</v>
      </c>
      <c r="F1420" s="423">
        <v>2.3416263881796298E-3</v>
      </c>
      <c r="G1420" s="422">
        <v>909.35623454406687</v>
      </c>
      <c r="H1420" s="417" t="s">
        <v>2616</v>
      </c>
      <c r="I1420" s="417" t="s">
        <v>1392</v>
      </c>
      <c r="J1420" s="417" t="s">
        <v>5230</v>
      </c>
      <c r="K1420" s="417" t="s">
        <v>5231</v>
      </c>
      <c r="L1420" s="417"/>
      <c r="M1420" s="417" t="s">
        <v>28840</v>
      </c>
    </row>
    <row r="1421" spans="1:13" x14ac:dyDescent="0.25">
      <c r="A1421" s="417" t="s">
        <v>3385</v>
      </c>
      <c r="B1421" s="417" t="s">
        <v>2627</v>
      </c>
      <c r="C1421" s="417" t="s">
        <v>5232</v>
      </c>
      <c r="D1421" s="417" t="s">
        <v>88</v>
      </c>
      <c r="E1421" s="423">
        <v>0.63656644866864609</v>
      </c>
      <c r="F1421" s="423">
        <v>2.5000458114478102E-3</v>
      </c>
      <c r="G1421" s="422">
        <v>1261.198527918433</v>
      </c>
      <c r="H1421" s="417" t="s">
        <v>2616</v>
      </c>
      <c r="I1421" s="417" t="s">
        <v>1392</v>
      </c>
      <c r="J1421" s="417" t="s">
        <v>5230</v>
      </c>
      <c r="K1421" s="417" t="s">
        <v>5233</v>
      </c>
      <c r="L1421" s="417"/>
      <c r="M1421" s="417" t="s">
        <v>28840</v>
      </c>
    </row>
    <row r="1422" spans="1:13" x14ac:dyDescent="0.25">
      <c r="A1422" s="417" t="s">
        <v>3385</v>
      </c>
      <c r="B1422" s="417" t="s">
        <v>2627</v>
      </c>
      <c r="C1422" s="417" t="s">
        <v>5234</v>
      </c>
      <c r="D1422" s="417" t="s">
        <v>88</v>
      </c>
      <c r="E1422" s="423">
        <v>0.54534146627611979</v>
      </c>
      <c r="F1422" s="423">
        <v>2.4160254338491849E-3</v>
      </c>
      <c r="G1422" s="422">
        <v>1121.909641722282</v>
      </c>
      <c r="H1422" s="417" t="s">
        <v>2616</v>
      </c>
      <c r="I1422" s="417" t="s">
        <v>1392</v>
      </c>
      <c r="J1422" s="417" t="s">
        <v>5230</v>
      </c>
      <c r="K1422" s="417" t="s">
        <v>5235</v>
      </c>
      <c r="L1422" s="417"/>
      <c r="M1422" s="417" t="s">
        <v>28840</v>
      </c>
    </row>
    <row r="1423" spans="1:13" x14ac:dyDescent="0.25">
      <c r="A1423" s="417" t="s">
        <v>3385</v>
      </c>
      <c r="B1423" s="417" t="s">
        <v>2627</v>
      </c>
      <c r="C1423" s="417" t="s">
        <v>5236</v>
      </c>
      <c r="D1423" s="417" t="s">
        <v>88</v>
      </c>
      <c r="E1423" s="423">
        <v>0.31382256160657512</v>
      </c>
      <c r="F1423" s="423">
        <v>2.5086635338030252E-3</v>
      </c>
      <c r="G1423" s="422">
        <v>1028.7410252682009</v>
      </c>
      <c r="H1423" s="417" t="s">
        <v>2616</v>
      </c>
      <c r="I1423" s="417" t="s">
        <v>1392</v>
      </c>
      <c r="J1423" s="417" t="s">
        <v>5230</v>
      </c>
      <c r="K1423" s="417" t="s">
        <v>5237</v>
      </c>
      <c r="L1423" s="417"/>
      <c r="M1423" s="417" t="s">
        <v>28840</v>
      </c>
    </row>
    <row r="1424" spans="1:13" x14ac:dyDescent="0.25">
      <c r="A1424" s="417" t="s">
        <v>3385</v>
      </c>
      <c r="B1424" s="417" t="s">
        <v>2627</v>
      </c>
      <c r="C1424" s="417" t="s">
        <v>5238</v>
      </c>
      <c r="D1424" s="417" t="s">
        <v>88</v>
      </c>
      <c r="E1424" s="423">
        <v>0.36374487802291611</v>
      </c>
      <c r="F1424" s="423">
        <v>2.121669439445268E-3</v>
      </c>
      <c r="G1424" s="422">
        <v>907.09844111391885</v>
      </c>
      <c r="H1424" s="417" t="s">
        <v>2616</v>
      </c>
      <c r="I1424" s="417" t="s">
        <v>1392</v>
      </c>
      <c r="J1424" s="417" t="s">
        <v>5230</v>
      </c>
      <c r="K1424" s="417" t="s">
        <v>5239</v>
      </c>
      <c r="L1424" s="417"/>
      <c r="M1424" s="417" t="s">
        <v>28840</v>
      </c>
    </row>
    <row r="1425" spans="1:13" x14ac:dyDescent="0.25">
      <c r="A1425" s="417" t="s">
        <v>3385</v>
      </c>
      <c r="B1425" s="417" t="s">
        <v>2627</v>
      </c>
      <c r="C1425" s="417" t="s">
        <v>5240</v>
      </c>
      <c r="D1425" s="417" t="s">
        <v>88</v>
      </c>
      <c r="E1425" s="423">
        <v>0.44553316871578869</v>
      </c>
      <c r="F1425" s="423">
        <v>2.9608569204267478E-3</v>
      </c>
      <c r="G1425" s="422">
        <v>1035.4253092650829</v>
      </c>
      <c r="H1425" s="417" t="s">
        <v>2616</v>
      </c>
      <c r="I1425" s="417" t="s">
        <v>1392</v>
      </c>
      <c r="J1425" s="417" t="s">
        <v>5230</v>
      </c>
      <c r="K1425" s="417" t="s">
        <v>5241</v>
      </c>
      <c r="L1425" s="417"/>
      <c r="M1425" s="417" t="s">
        <v>28840</v>
      </c>
    </row>
    <row r="1426" spans="1:13" x14ac:dyDescent="0.25">
      <c r="A1426" s="417" t="s">
        <v>3385</v>
      </c>
      <c r="B1426" s="417" t="s">
        <v>2627</v>
      </c>
      <c r="C1426" s="417" t="s">
        <v>5242</v>
      </c>
      <c r="D1426" s="417" t="s">
        <v>88</v>
      </c>
      <c r="E1426" s="423">
        <v>0.82845538882920156</v>
      </c>
      <c r="F1426" s="423">
        <v>2.8081850407042528E-3</v>
      </c>
      <c r="G1426" s="422">
        <v>1467.7469740389331</v>
      </c>
      <c r="H1426" s="417" t="s">
        <v>2616</v>
      </c>
      <c r="I1426" s="417" t="s">
        <v>1392</v>
      </c>
      <c r="J1426" s="417" t="s">
        <v>5230</v>
      </c>
      <c r="K1426" s="417" t="s">
        <v>5243</v>
      </c>
      <c r="L1426" s="417"/>
      <c r="M1426" s="417" t="s">
        <v>28840</v>
      </c>
    </row>
    <row r="1427" spans="1:13" x14ac:dyDescent="0.25">
      <c r="A1427" s="417" t="s">
        <v>3385</v>
      </c>
      <c r="B1427" s="417" t="s">
        <v>2627</v>
      </c>
      <c r="C1427" s="417" t="s">
        <v>5244</v>
      </c>
      <c r="D1427" s="417" t="s">
        <v>88</v>
      </c>
      <c r="E1427" s="423">
        <v>0.35863707596575739</v>
      </c>
      <c r="F1427" s="423">
        <v>1.757687645129723E-3</v>
      </c>
      <c r="G1427" s="422">
        <v>888.59613000846412</v>
      </c>
      <c r="H1427" s="417" t="s">
        <v>2616</v>
      </c>
      <c r="I1427" s="417" t="s">
        <v>1392</v>
      </c>
      <c r="J1427" s="417" t="s">
        <v>5230</v>
      </c>
      <c r="K1427" s="417" t="s">
        <v>5245</v>
      </c>
      <c r="L1427" s="417"/>
      <c r="M1427" s="417" t="s">
        <v>28840</v>
      </c>
    </row>
    <row r="1428" spans="1:13" x14ac:dyDescent="0.25">
      <c r="A1428" s="417" t="s">
        <v>3385</v>
      </c>
      <c r="B1428" s="417" t="s">
        <v>2627</v>
      </c>
      <c r="C1428" s="417" t="s">
        <v>5246</v>
      </c>
      <c r="D1428" s="417" t="s">
        <v>88</v>
      </c>
      <c r="E1428" s="423">
        <v>0.33066929927823319</v>
      </c>
      <c r="F1428" s="423">
        <v>4.5904740416052286E-3</v>
      </c>
      <c r="G1428" s="422">
        <v>923.7670047754076</v>
      </c>
      <c r="H1428" s="417" t="s">
        <v>2616</v>
      </c>
      <c r="I1428" s="417" t="s">
        <v>1392</v>
      </c>
      <c r="J1428" s="417" t="s">
        <v>5230</v>
      </c>
      <c r="K1428" s="417" t="s">
        <v>5247</v>
      </c>
      <c r="L1428" s="417"/>
      <c r="M1428" s="417" t="s">
        <v>28840</v>
      </c>
    </row>
    <row r="1429" spans="1:13" x14ac:dyDescent="0.25">
      <c r="A1429" s="417" t="s">
        <v>3385</v>
      </c>
      <c r="B1429" s="417" t="s">
        <v>2627</v>
      </c>
      <c r="C1429" s="417" t="s">
        <v>5248</v>
      </c>
      <c r="D1429" s="417" t="s">
        <v>88</v>
      </c>
      <c r="E1429" s="423">
        <v>0.43965476084890021</v>
      </c>
      <c r="F1429" s="423">
        <v>4.963658763902098E-3</v>
      </c>
      <c r="G1429" s="422">
        <v>1627.168266760599</v>
      </c>
      <c r="H1429" s="417" t="s">
        <v>2616</v>
      </c>
      <c r="I1429" s="417" t="s">
        <v>1392</v>
      </c>
      <c r="J1429" s="417" t="s">
        <v>5230</v>
      </c>
      <c r="K1429" s="417" t="s">
        <v>5249</v>
      </c>
      <c r="L1429" s="417"/>
      <c r="M1429" s="417" t="s">
        <v>28840</v>
      </c>
    </row>
    <row r="1430" spans="1:13" x14ac:dyDescent="0.25">
      <c r="A1430" s="417" t="s">
        <v>3385</v>
      </c>
      <c r="B1430" s="417" t="s">
        <v>2627</v>
      </c>
      <c r="C1430" s="417" t="s">
        <v>5250</v>
      </c>
      <c r="D1430" s="417" t="s">
        <v>88</v>
      </c>
      <c r="E1430" s="423">
        <v>0.35184982527996861</v>
      </c>
      <c r="F1430" s="423">
        <v>2.6447852043918751E-3</v>
      </c>
      <c r="G1430" s="422">
        <v>888.89476590795459</v>
      </c>
      <c r="H1430" s="417" t="s">
        <v>2616</v>
      </c>
      <c r="I1430" s="417" t="s">
        <v>1392</v>
      </c>
      <c r="J1430" s="417" t="s">
        <v>5230</v>
      </c>
      <c r="K1430" s="417" t="s">
        <v>5251</v>
      </c>
      <c r="L1430" s="417"/>
      <c r="M1430" s="417" t="s">
        <v>28840</v>
      </c>
    </row>
    <row r="1431" spans="1:13" x14ac:dyDescent="0.25">
      <c r="A1431" s="417" t="s">
        <v>3385</v>
      </c>
      <c r="B1431" s="417" t="s">
        <v>2627</v>
      </c>
      <c r="C1431" s="417" t="s">
        <v>5252</v>
      </c>
      <c r="D1431" s="417" t="s">
        <v>88</v>
      </c>
      <c r="E1431" s="423">
        <v>0.2003543194333556</v>
      </c>
      <c r="F1431" s="423">
        <v>3.5040496764988608E-3</v>
      </c>
      <c r="G1431" s="422">
        <v>722.57949090422994</v>
      </c>
      <c r="H1431" s="417" t="s">
        <v>2616</v>
      </c>
      <c r="I1431" s="417" t="s">
        <v>1392</v>
      </c>
      <c r="J1431" s="417" t="s">
        <v>5230</v>
      </c>
      <c r="K1431" s="417" t="s">
        <v>5253</v>
      </c>
      <c r="L1431" s="417"/>
      <c r="M1431" s="417" t="s">
        <v>28840</v>
      </c>
    </row>
    <row r="1432" spans="1:13" x14ac:dyDescent="0.25">
      <c r="A1432" s="417" t="s">
        <v>3385</v>
      </c>
      <c r="B1432" s="417" t="s">
        <v>2627</v>
      </c>
      <c r="C1432" s="417" t="s">
        <v>5254</v>
      </c>
      <c r="D1432" s="417" t="s">
        <v>88</v>
      </c>
      <c r="E1432" s="423">
        <v>1.2565229605656121</v>
      </c>
      <c r="F1432" s="423">
        <v>2.7952610598306919E-3</v>
      </c>
      <c r="G1432" s="422">
        <v>2019.289999236664</v>
      </c>
      <c r="H1432" s="417" t="s">
        <v>2616</v>
      </c>
      <c r="I1432" s="417" t="s">
        <v>1392</v>
      </c>
      <c r="J1432" s="417" t="s">
        <v>5230</v>
      </c>
      <c r="K1432" s="417" t="s">
        <v>5255</v>
      </c>
      <c r="L1432" s="417"/>
      <c r="M1432" s="417" t="s">
        <v>28840</v>
      </c>
    </row>
    <row r="1433" spans="1:13" x14ac:dyDescent="0.25">
      <c r="A1433" s="417" t="s">
        <v>3385</v>
      </c>
      <c r="B1433" s="417" t="s">
        <v>2627</v>
      </c>
      <c r="C1433" s="417" t="s">
        <v>5256</v>
      </c>
      <c r="D1433" s="417" t="s">
        <v>88</v>
      </c>
      <c r="E1433" s="423">
        <v>0.62908919622525317</v>
      </c>
      <c r="F1433" s="423">
        <v>2.7774065154948279E-3</v>
      </c>
      <c r="G1433" s="422">
        <v>1227.6561140562919</v>
      </c>
      <c r="H1433" s="417" t="s">
        <v>2616</v>
      </c>
      <c r="I1433" s="417" t="s">
        <v>1392</v>
      </c>
      <c r="J1433" s="417" t="s">
        <v>5230</v>
      </c>
      <c r="K1433" s="417" t="s">
        <v>5257</v>
      </c>
      <c r="L1433" s="417"/>
      <c r="M1433" s="417" t="s">
        <v>28840</v>
      </c>
    </row>
    <row r="1434" spans="1:13" x14ac:dyDescent="0.25">
      <c r="A1434" s="417" t="s">
        <v>3385</v>
      </c>
      <c r="B1434" s="417" t="s">
        <v>2627</v>
      </c>
      <c r="C1434" s="417" t="s">
        <v>5258</v>
      </c>
      <c r="D1434" s="417" t="s">
        <v>88</v>
      </c>
      <c r="E1434" s="423">
        <v>0.63115148315975989</v>
      </c>
      <c r="F1434" s="423">
        <v>2.5787698774120621E-3</v>
      </c>
      <c r="G1434" s="422">
        <v>1255.99419010575</v>
      </c>
      <c r="H1434" s="417" t="s">
        <v>2616</v>
      </c>
      <c r="I1434" s="417" t="s">
        <v>1392</v>
      </c>
      <c r="J1434" s="417" t="s">
        <v>5230</v>
      </c>
      <c r="K1434" s="417" t="s">
        <v>5259</v>
      </c>
      <c r="L1434" s="417"/>
      <c r="M1434" s="417" t="s">
        <v>28840</v>
      </c>
    </row>
    <row r="1435" spans="1:13" x14ac:dyDescent="0.25">
      <c r="A1435" s="417" t="s">
        <v>3385</v>
      </c>
      <c r="B1435" s="417" t="s">
        <v>2627</v>
      </c>
      <c r="C1435" s="417" t="s">
        <v>5260</v>
      </c>
      <c r="D1435" s="417" t="s">
        <v>88</v>
      </c>
      <c r="E1435" s="423">
        <v>0.43893429590963079</v>
      </c>
      <c r="F1435" s="423">
        <v>2.4853542826393511E-3</v>
      </c>
      <c r="G1435" s="422">
        <v>1026.474738773918</v>
      </c>
      <c r="H1435" s="417" t="s">
        <v>2616</v>
      </c>
      <c r="I1435" s="417" t="s">
        <v>1392</v>
      </c>
      <c r="J1435" s="417" t="s">
        <v>5230</v>
      </c>
      <c r="K1435" s="417" t="s">
        <v>5261</v>
      </c>
      <c r="L1435" s="417"/>
      <c r="M1435" s="417" t="s">
        <v>28840</v>
      </c>
    </row>
    <row r="1436" spans="1:13" x14ac:dyDescent="0.25">
      <c r="A1436" s="417" t="s">
        <v>3385</v>
      </c>
      <c r="B1436" s="417" t="s">
        <v>2627</v>
      </c>
      <c r="C1436" s="417" t="s">
        <v>5262</v>
      </c>
      <c r="D1436" s="417" t="s">
        <v>88</v>
      </c>
      <c r="E1436" s="423">
        <v>0.22359544475085391</v>
      </c>
      <c r="F1436" s="423">
        <v>2.4414157960914308E-3</v>
      </c>
      <c r="G1436" s="422">
        <v>775.4996246089695</v>
      </c>
      <c r="H1436" s="417" t="s">
        <v>2616</v>
      </c>
      <c r="I1436" s="417" t="s">
        <v>1392</v>
      </c>
      <c r="J1436" s="417" t="s">
        <v>5230</v>
      </c>
      <c r="K1436" s="417" t="s">
        <v>5263</v>
      </c>
      <c r="L1436" s="417"/>
      <c r="M1436" s="417" t="s">
        <v>28840</v>
      </c>
    </row>
    <row r="1437" spans="1:13" x14ac:dyDescent="0.25">
      <c r="A1437" s="417" t="s">
        <v>3385</v>
      </c>
      <c r="B1437" s="417" t="s">
        <v>2627</v>
      </c>
      <c r="C1437" s="417" t="s">
        <v>5264</v>
      </c>
      <c r="D1437" s="417" t="s">
        <v>88</v>
      </c>
      <c r="E1437" s="423">
        <v>0.20444051478745459</v>
      </c>
      <c r="F1437" s="423">
        <v>3.587691108282688E-3</v>
      </c>
      <c r="G1437" s="422">
        <v>713.65189202757063</v>
      </c>
      <c r="H1437" s="417" t="s">
        <v>2616</v>
      </c>
      <c r="I1437" s="417" t="s">
        <v>1392</v>
      </c>
      <c r="J1437" s="417" t="s">
        <v>5230</v>
      </c>
      <c r="K1437" s="417" t="s">
        <v>5265</v>
      </c>
      <c r="L1437" s="417"/>
      <c r="M1437" s="417" t="s">
        <v>28840</v>
      </c>
    </row>
    <row r="1438" spans="1:13" x14ac:dyDescent="0.25">
      <c r="A1438" s="417" t="s">
        <v>3385</v>
      </c>
      <c r="B1438" s="417" t="s">
        <v>2627</v>
      </c>
      <c r="C1438" s="417" t="s">
        <v>5266</v>
      </c>
      <c r="D1438" s="417" t="s">
        <v>88</v>
      </c>
      <c r="E1438" s="423">
        <v>0.5319167267511371</v>
      </c>
      <c r="F1438" s="423">
        <v>1.811210234821398E-3</v>
      </c>
      <c r="G1438" s="422">
        <v>1120.38557342731</v>
      </c>
      <c r="H1438" s="417" t="s">
        <v>2616</v>
      </c>
      <c r="I1438" s="417" t="s">
        <v>1392</v>
      </c>
      <c r="J1438" s="417" t="s">
        <v>5230</v>
      </c>
      <c r="K1438" s="417" t="s">
        <v>5267</v>
      </c>
      <c r="L1438" s="417"/>
      <c r="M1438" s="417" t="s">
        <v>28840</v>
      </c>
    </row>
    <row r="1439" spans="1:13" x14ac:dyDescent="0.25">
      <c r="A1439" s="417" t="s">
        <v>3385</v>
      </c>
      <c r="B1439" s="417" t="s">
        <v>2627</v>
      </c>
      <c r="C1439" s="417" t="s">
        <v>5268</v>
      </c>
      <c r="D1439" s="417" t="s">
        <v>88</v>
      </c>
      <c r="E1439" s="423">
        <v>0.74313848518805758</v>
      </c>
      <c r="F1439" s="423">
        <v>6.1053590507926386E-3</v>
      </c>
      <c r="G1439" s="422">
        <v>1795.4427591959679</v>
      </c>
      <c r="H1439" s="417" t="s">
        <v>2616</v>
      </c>
      <c r="I1439" s="417" t="s">
        <v>1392</v>
      </c>
      <c r="J1439" s="417" t="s">
        <v>5230</v>
      </c>
      <c r="K1439" s="417" t="s">
        <v>5269</v>
      </c>
      <c r="L1439" s="417"/>
      <c r="M1439" s="417" t="s">
        <v>28840</v>
      </c>
    </row>
    <row r="1440" spans="1:13" x14ac:dyDescent="0.25">
      <c r="A1440" s="417" t="s">
        <v>3385</v>
      </c>
      <c r="B1440" s="417" t="s">
        <v>2627</v>
      </c>
      <c r="C1440" s="417" t="s">
        <v>5270</v>
      </c>
      <c r="D1440" s="417" t="s">
        <v>88</v>
      </c>
      <c r="E1440" s="423">
        <v>0.79055402562986132</v>
      </c>
      <c r="F1440" s="423">
        <v>4.1151988863956414E-3</v>
      </c>
      <c r="G1440" s="422">
        <v>1810.924190980958</v>
      </c>
      <c r="H1440" s="417" t="s">
        <v>2616</v>
      </c>
      <c r="I1440" s="417" t="s">
        <v>1392</v>
      </c>
      <c r="J1440" s="417" t="s">
        <v>5230</v>
      </c>
      <c r="K1440" s="417" t="s">
        <v>5271</v>
      </c>
      <c r="L1440" s="417"/>
      <c r="M1440" s="417" t="s">
        <v>28840</v>
      </c>
    </row>
    <row r="1441" spans="1:13" x14ac:dyDescent="0.25">
      <c r="A1441" s="417" t="s">
        <v>3385</v>
      </c>
      <c r="B1441" s="417" t="s">
        <v>2627</v>
      </c>
      <c r="C1441" s="417" t="s">
        <v>5272</v>
      </c>
      <c r="D1441" s="417" t="s">
        <v>88</v>
      </c>
      <c r="E1441" s="423">
        <v>0.61643222194513414</v>
      </c>
      <c r="F1441" s="423">
        <v>2.82443543415152E-3</v>
      </c>
      <c r="G1441" s="422">
        <v>1275.7502437011381</v>
      </c>
      <c r="H1441" s="417" t="s">
        <v>2616</v>
      </c>
      <c r="I1441" s="417" t="s">
        <v>1392</v>
      </c>
      <c r="J1441" s="417" t="s">
        <v>5230</v>
      </c>
      <c r="K1441" s="417" t="s">
        <v>5273</v>
      </c>
      <c r="L1441" s="417"/>
      <c r="M1441" s="417" t="s">
        <v>28840</v>
      </c>
    </row>
    <row r="1442" spans="1:13" x14ac:dyDescent="0.25">
      <c r="A1442" s="417" t="s">
        <v>3385</v>
      </c>
      <c r="B1442" s="417" t="s">
        <v>2627</v>
      </c>
      <c r="C1442" s="417" t="s">
        <v>5274</v>
      </c>
      <c r="D1442" s="417" t="s">
        <v>88</v>
      </c>
      <c r="E1442" s="423">
        <v>0.83220183860969976</v>
      </c>
      <c r="F1442" s="423">
        <v>2.0915062765656731E-3</v>
      </c>
      <c r="G1442" s="422">
        <v>1524.763726733408</v>
      </c>
      <c r="H1442" s="417" t="s">
        <v>2616</v>
      </c>
      <c r="I1442" s="417" t="s">
        <v>1392</v>
      </c>
      <c r="J1442" s="417" t="s">
        <v>5230</v>
      </c>
      <c r="K1442" s="417" t="s">
        <v>5275</v>
      </c>
      <c r="L1442" s="417"/>
      <c r="M1442" s="417" t="s">
        <v>28840</v>
      </c>
    </row>
    <row r="1443" spans="1:13" x14ac:dyDescent="0.25">
      <c r="A1443" s="417" t="s">
        <v>3385</v>
      </c>
      <c r="B1443" s="417" t="s">
        <v>2627</v>
      </c>
      <c r="C1443" s="417" t="s">
        <v>5276</v>
      </c>
      <c r="D1443" s="417" t="s">
        <v>88</v>
      </c>
      <c r="E1443" s="423">
        <v>0.20530448394182249</v>
      </c>
      <c r="F1443" s="423">
        <v>3.1279661785923829E-3</v>
      </c>
      <c r="G1443" s="422">
        <v>738.71498626374967</v>
      </c>
      <c r="H1443" s="417" t="s">
        <v>2616</v>
      </c>
      <c r="I1443" s="417" t="s">
        <v>1392</v>
      </c>
      <c r="J1443" s="417" t="s">
        <v>5230</v>
      </c>
      <c r="K1443" s="417" t="s">
        <v>5277</v>
      </c>
      <c r="L1443" s="417"/>
      <c r="M1443" s="417" t="s">
        <v>28840</v>
      </c>
    </row>
    <row r="1444" spans="1:13" x14ac:dyDescent="0.25">
      <c r="A1444" s="417" t="s">
        <v>3385</v>
      </c>
      <c r="B1444" s="417" t="s">
        <v>2627</v>
      </c>
      <c r="C1444" s="417" t="s">
        <v>5278</v>
      </c>
      <c r="D1444" s="417" t="s">
        <v>88</v>
      </c>
      <c r="E1444" s="423">
        <v>0.20332948248173199</v>
      </c>
      <c r="F1444" s="423">
        <v>5.0990693513410399E-3</v>
      </c>
      <c r="G1444" s="422">
        <v>1182.056474267499</v>
      </c>
      <c r="H1444" s="417" t="s">
        <v>2616</v>
      </c>
      <c r="I1444" s="417" t="s">
        <v>1392</v>
      </c>
      <c r="J1444" s="417" t="s">
        <v>5230</v>
      </c>
      <c r="K1444" s="417" t="s">
        <v>5279</v>
      </c>
      <c r="L1444" s="417"/>
      <c r="M1444" s="417" t="s">
        <v>28840</v>
      </c>
    </row>
    <row r="1445" spans="1:13" x14ac:dyDescent="0.25">
      <c r="A1445" s="417" t="s">
        <v>3385</v>
      </c>
      <c r="B1445" s="417" t="s">
        <v>2627</v>
      </c>
      <c r="C1445" s="417" t="s">
        <v>5280</v>
      </c>
      <c r="D1445" s="417" t="s">
        <v>88</v>
      </c>
      <c r="E1445" s="423">
        <v>0.19259397154184099</v>
      </c>
      <c r="F1445" s="423">
        <v>4.2416500894555328E-3</v>
      </c>
      <c r="G1445" s="422">
        <v>1174.0339966174211</v>
      </c>
      <c r="H1445" s="417" t="s">
        <v>2616</v>
      </c>
      <c r="I1445" s="417" t="s">
        <v>1392</v>
      </c>
      <c r="J1445" s="417" t="s">
        <v>5230</v>
      </c>
      <c r="K1445" s="417" t="s">
        <v>5281</v>
      </c>
      <c r="L1445" s="417"/>
      <c r="M1445" s="417" t="s">
        <v>28840</v>
      </c>
    </row>
    <row r="1446" spans="1:13" x14ac:dyDescent="0.25">
      <c r="A1446" s="417" t="s">
        <v>3385</v>
      </c>
      <c r="B1446" s="417" t="s">
        <v>2627</v>
      </c>
      <c r="C1446" s="417" t="s">
        <v>5282</v>
      </c>
      <c r="D1446" s="417" t="s">
        <v>88</v>
      </c>
      <c r="E1446" s="423">
        <v>0.31171817839081972</v>
      </c>
      <c r="F1446" s="423">
        <v>2.8134624995947719E-3</v>
      </c>
      <c r="G1446" s="422">
        <v>903.46088622213654</v>
      </c>
      <c r="H1446" s="417" t="s">
        <v>2616</v>
      </c>
      <c r="I1446" s="417" t="s">
        <v>1392</v>
      </c>
      <c r="J1446" s="417" t="s">
        <v>5230</v>
      </c>
      <c r="K1446" s="417" t="s">
        <v>5283</v>
      </c>
      <c r="L1446" s="417"/>
      <c r="M1446" s="417" t="s">
        <v>28840</v>
      </c>
    </row>
    <row r="1447" spans="1:13" x14ac:dyDescent="0.25">
      <c r="A1447" s="417" t="s">
        <v>3385</v>
      </c>
      <c r="B1447" s="417" t="s">
        <v>2627</v>
      </c>
      <c r="C1447" s="417" t="s">
        <v>5284</v>
      </c>
      <c r="D1447" s="417" t="s">
        <v>88</v>
      </c>
      <c r="E1447" s="423">
        <v>0.7328745292644594</v>
      </c>
      <c r="F1447" s="423">
        <v>4.0945148753783918E-3</v>
      </c>
      <c r="G1447" s="422">
        <v>1403.3419058360359</v>
      </c>
      <c r="H1447" s="417" t="s">
        <v>2616</v>
      </c>
      <c r="I1447" s="417" t="s">
        <v>1392</v>
      </c>
      <c r="J1447" s="417" t="s">
        <v>5230</v>
      </c>
      <c r="K1447" s="417" t="s">
        <v>5285</v>
      </c>
      <c r="L1447" s="417"/>
      <c r="M1447" s="417" t="s">
        <v>28840</v>
      </c>
    </row>
    <row r="1448" spans="1:13" x14ac:dyDescent="0.25">
      <c r="A1448" s="417" t="s">
        <v>3385</v>
      </c>
      <c r="B1448" s="417" t="s">
        <v>2627</v>
      </c>
      <c r="C1448" s="417" t="s">
        <v>5286</v>
      </c>
      <c r="D1448" s="417" t="s">
        <v>88</v>
      </c>
      <c r="E1448" s="423">
        <v>1.1848338230728921</v>
      </c>
      <c r="F1448" s="423">
        <v>2.5984508879265652E-3</v>
      </c>
      <c r="G1448" s="422">
        <v>1929.6534240966771</v>
      </c>
      <c r="H1448" s="417" t="s">
        <v>2616</v>
      </c>
      <c r="I1448" s="417" t="s">
        <v>1392</v>
      </c>
      <c r="J1448" s="417" t="s">
        <v>5230</v>
      </c>
      <c r="K1448" s="417" t="s">
        <v>5287</v>
      </c>
      <c r="L1448" s="417"/>
      <c r="M1448" s="417" t="s">
        <v>28840</v>
      </c>
    </row>
    <row r="1449" spans="1:13" x14ac:dyDescent="0.25">
      <c r="A1449" s="417" t="s">
        <v>3385</v>
      </c>
      <c r="B1449" s="417" t="s">
        <v>2627</v>
      </c>
      <c r="C1449" s="417" t="s">
        <v>5288</v>
      </c>
      <c r="D1449" s="417" t="s">
        <v>88</v>
      </c>
      <c r="E1449" s="423">
        <v>0.54164198271654174</v>
      </c>
      <c r="F1449" s="423">
        <v>2.516773704270738E-3</v>
      </c>
      <c r="G1449" s="422">
        <v>1115.063524187477</v>
      </c>
      <c r="H1449" s="417" t="s">
        <v>2616</v>
      </c>
      <c r="I1449" s="417" t="s">
        <v>1392</v>
      </c>
      <c r="J1449" s="417" t="s">
        <v>5230</v>
      </c>
      <c r="K1449" s="417" t="s">
        <v>5289</v>
      </c>
      <c r="L1449" s="417"/>
      <c r="M1449" s="417" t="s">
        <v>28840</v>
      </c>
    </row>
    <row r="1450" spans="1:13" x14ac:dyDescent="0.25">
      <c r="A1450" s="417" t="s">
        <v>3385</v>
      </c>
      <c r="B1450" s="417" t="s">
        <v>2627</v>
      </c>
      <c r="C1450" s="417" t="s">
        <v>5290</v>
      </c>
      <c r="D1450" s="417" t="s">
        <v>88</v>
      </c>
      <c r="E1450" s="423">
        <v>0.57569639058183675</v>
      </c>
      <c r="F1450" s="423">
        <v>2.165275232160591E-3</v>
      </c>
      <c r="G1450" s="422">
        <v>1205.0147632179719</v>
      </c>
      <c r="H1450" s="417" t="s">
        <v>2616</v>
      </c>
      <c r="I1450" s="417" t="s">
        <v>1392</v>
      </c>
      <c r="J1450" s="417" t="s">
        <v>5230</v>
      </c>
      <c r="K1450" s="417" t="s">
        <v>5291</v>
      </c>
      <c r="L1450" s="417"/>
      <c r="M1450" s="417" t="s">
        <v>28840</v>
      </c>
    </row>
    <row r="1451" spans="1:13" x14ac:dyDescent="0.25">
      <c r="A1451" s="417" t="s">
        <v>3385</v>
      </c>
      <c r="B1451" s="417" t="s">
        <v>2627</v>
      </c>
      <c r="C1451" s="417" t="s">
        <v>5292</v>
      </c>
      <c r="D1451" s="417" t="s">
        <v>88</v>
      </c>
      <c r="E1451" s="423">
        <v>0.8834341100207812</v>
      </c>
      <c r="F1451" s="423">
        <v>2.1147794573862719E-3</v>
      </c>
      <c r="G1451" s="422">
        <v>1549.418023564871</v>
      </c>
      <c r="H1451" s="417" t="s">
        <v>2616</v>
      </c>
      <c r="I1451" s="417" t="s">
        <v>1392</v>
      </c>
      <c r="J1451" s="417" t="s">
        <v>5230</v>
      </c>
      <c r="K1451" s="417" t="s">
        <v>5293</v>
      </c>
      <c r="L1451" s="417"/>
      <c r="M1451" s="417" t="s">
        <v>28840</v>
      </c>
    </row>
    <row r="1452" spans="1:13" x14ac:dyDescent="0.25">
      <c r="A1452" s="417" t="s">
        <v>3385</v>
      </c>
      <c r="B1452" s="417" t="s">
        <v>2627</v>
      </c>
      <c r="C1452" s="417" t="s">
        <v>5294</v>
      </c>
      <c r="D1452" s="417" t="s">
        <v>88</v>
      </c>
      <c r="E1452" s="423">
        <v>0.1114916961431562</v>
      </c>
      <c r="F1452" s="423">
        <v>2.747748478247792E-3</v>
      </c>
      <c r="G1452" s="422">
        <v>600.48599526744681</v>
      </c>
      <c r="H1452" s="417" t="s">
        <v>2616</v>
      </c>
      <c r="I1452" s="417" t="s">
        <v>1392</v>
      </c>
      <c r="J1452" s="417" t="s">
        <v>5230</v>
      </c>
      <c r="K1452" s="417" t="s">
        <v>5295</v>
      </c>
      <c r="L1452" s="417"/>
      <c r="M1452" s="417" t="s">
        <v>28840</v>
      </c>
    </row>
    <row r="1453" spans="1:13" x14ac:dyDescent="0.25">
      <c r="A1453" s="417" t="s">
        <v>3385</v>
      </c>
      <c r="B1453" s="417" t="s">
        <v>2627</v>
      </c>
      <c r="C1453" s="417" t="s">
        <v>5296</v>
      </c>
      <c r="D1453" s="417" t="s">
        <v>88</v>
      </c>
      <c r="E1453" s="423">
        <v>9.9821449141195437E-2</v>
      </c>
      <c r="F1453" s="423">
        <v>1.488487445596884E-3</v>
      </c>
      <c r="G1453" s="422">
        <v>574.75360473393084</v>
      </c>
      <c r="H1453" s="417" t="s">
        <v>2616</v>
      </c>
      <c r="I1453" s="417" t="s">
        <v>1392</v>
      </c>
      <c r="J1453" s="417" t="s">
        <v>5230</v>
      </c>
      <c r="K1453" s="417" t="s">
        <v>5297</v>
      </c>
      <c r="L1453" s="417"/>
      <c r="M1453" s="417" t="s">
        <v>28840</v>
      </c>
    </row>
    <row r="1454" spans="1:13" x14ac:dyDescent="0.25">
      <c r="A1454" s="417" t="s">
        <v>3385</v>
      </c>
      <c r="B1454" s="417" t="s">
        <v>2627</v>
      </c>
      <c r="C1454" s="417" t="s">
        <v>5298</v>
      </c>
      <c r="D1454" s="417" t="s">
        <v>88</v>
      </c>
      <c r="E1454" s="423">
        <v>0.44065761972277789</v>
      </c>
      <c r="F1454" s="423">
        <v>2.824435432803626E-3</v>
      </c>
      <c r="G1454" s="422">
        <v>1060.861520504596</v>
      </c>
      <c r="H1454" s="417" t="s">
        <v>2616</v>
      </c>
      <c r="I1454" s="417" t="s">
        <v>1392</v>
      </c>
      <c r="J1454" s="417" t="s">
        <v>5230</v>
      </c>
      <c r="K1454" s="417" t="s">
        <v>5299</v>
      </c>
      <c r="L1454" s="417"/>
      <c r="M1454" s="417" t="s">
        <v>28840</v>
      </c>
    </row>
    <row r="1455" spans="1:13" x14ac:dyDescent="0.25">
      <c r="A1455" s="417" t="s">
        <v>3385</v>
      </c>
      <c r="B1455" s="417" t="s">
        <v>2627</v>
      </c>
      <c r="C1455" s="417" t="s">
        <v>5300</v>
      </c>
      <c r="D1455" s="417" t="s">
        <v>88</v>
      </c>
      <c r="E1455" s="423">
        <v>0.372992506241969</v>
      </c>
      <c r="F1455" s="423">
        <v>2.6332405034636482E-3</v>
      </c>
      <c r="G1455" s="422">
        <v>914.26810538995312</v>
      </c>
      <c r="H1455" s="417" t="s">
        <v>2616</v>
      </c>
      <c r="I1455" s="417" t="s">
        <v>1392</v>
      </c>
      <c r="J1455" s="417" t="s">
        <v>5230</v>
      </c>
      <c r="K1455" s="417" t="s">
        <v>5301</v>
      </c>
      <c r="L1455" s="417"/>
      <c r="M1455" s="417" t="s">
        <v>28840</v>
      </c>
    </row>
    <row r="1456" spans="1:13" x14ac:dyDescent="0.25">
      <c r="A1456" s="417" t="s">
        <v>3385</v>
      </c>
      <c r="B1456" s="417" t="s">
        <v>2627</v>
      </c>
      <c r="C1456" s="417" t="s">
        <v>5302</v>
      </c>
      <c r="D1456" s="417" t="s">
        <v>88</v>
      </c>
      <c r="E1456" s="423">
        <v>0.2969225913126316</v>
      </c>
      <c r="F1456" s="423">
        <v>3.2200568256297479E-3</v>
      </c>
      <c r="G1456" s="422">
        <v>849.63872451642317</v>
      </c>
      <c r="H1456" s="417" t="s">
        <v>2616</v>
      </c>
      <c r="I1456" s="417" t="s">
        <v>1392</v>
      </c>
      <c r="J1456" s="417" t="s">
        <v>5230</v>
      </c>
      <c r="K1456" s="417" t="s">
        <v>5303</v>
      </c>
      <c r="L1456" s="417"/>
      <c r="M1456" s="417" t="s">
        <v>28840</v>
      </c>
    </row>
    <row r="1457" spans="1:13" x14ac:dyDescent="0.25">
      <c r="A1457" s="417" t="s">
        <v>3385</v>
      </c>
      <c r="B1457" s="417" t="s">
        <v>2627</v>
      </c>
      <c r="C1457" s="417" t="s">
        <v>5304</v>
      </c>
      <c r="D1457" s="417" t="s">
        <v>88</v>
      </c>
      <c r="E1457" s="423">
        <v>0.27706634068119118</v>
      </c>
      <c r="F1457" s="423">
        <v>2.064197727906324E-3</v>
      </c>
      <c r="G1457" s="422">
        <v>823.04616639849053</v>
      </c>
      <c r="H1457" s="417" t="s">
        <v>2616</v>
      </c>
      <c r="I1457" s="417" t="s">
        <v>1392</v>
      </c>
      <c r="J1457" s="417" t="s">
        <v>5230</v>
      </c>
      <c r="K1457" s="417" t="s">
        <v>5305</v>
      </c>
      <c r="L1457" s="417"/>
      <c r="M1457" s="417" t="s">
        <v>28840</v>
      </c>
    </row>
    <row r="1458" spans="1:13" x14ac:dyDescent="0.25">
      <c r="A1458" s="417" t="s">
        <v>3385</v>
      </c>
      <c r="B1458" s="417" t="s">
        <v>2627</v>
      </c>
      <c r="C1458" s="417" t="s">
        <v>5306</v>
      </c>
      <c r="D1458" s="417" t="s">
        <v>88</v>
      </c>
      <c r="E1458" s="423">
        <v>0.77546312641993276</v>
      </c>
      <c r="F1458" s="423">
        <v>2.2526151594283628E-3</v>
      </c>
      <c r="G1458" s="422">
        <v>1433.027091783784</v>
      </c>
      <c r="H1458" s="417" t="s">
        <v>2616</v>
      </c>
      <c r="I1458" s="417" t="s">
        <v>1392</v>
      </c>
      <c r="J1458" s="417" t="s">
        <v>5230</v>
      </c>
      <c r="K1458" s="417" t="s">
        <v>5307</v>
      </c>
      <c r="L1458" s="417"/>
      <c r="M1458" s="417" t="s">
        <v>28840</v>
      </c>
    </row>
    <row r="1459" spans="1:13" x14ac:dyDescent="0.25">
      <c r="A1459" s="417" t="s">
        <v>3385</v>
      </c>
      <c r="B1459" s="417" t="s">
        <v>2627</v>
      </c>
      <c r="C1459" s="417" t="s">
        <v>5308</v>
      </c>
      <c r="D1459" s="417" t="s">
        <v>88</v>
      </c>
      <c r="E1459" s="423">
        <v>0.6039630107443662</v>
      </c>
      <c r="F1459" s="423">
        <v>3.504232823256011E-3</v>
      </c>
      <c r="G1459" s="422">
        <v>1244.040405539236</v>
      </c>
      <c r="H1459" s="417" t="s">
        <v>2616</v>
      </c>
      <c r="I1459" s="417" t="s">
        <v>1392</v>
      </c>
      <c r="J1459" s="417" t="s">
        <v>5230</v>
      </c>
      <c r="K1459" s="417" t="s">
        <v>5309</v>
      </c>
      <c r="L1459" s="417"/>
      <c r="M1459" s="417" t="s">
        <v>28840</v>
      </c>
    </row>
    <row r="1460" spans="1:13" x14ac:dyDescent="0.25">
      <c r="A1460" s="417" t="s">
        <v>3385</v>
      </c>
      <c r="B1460" s="417" t="s">
        <v>2627</v>
      </c>
      <c r="C1460" s="417" t="s">
        <v>5310</v>
      </c>
      <c r="D1460" s="417" t="s">
        <v>88</v>
      </c>
      <c r="E1460" s="423">
        <v>0.23535904507366201</v>
      </c>
      <c r="F1460" s="423">
        <v>1.866297640002646E-3</v>
      </c>
      <c r="G1460" s="422">
        <v>790.73763235745548</v>
      </c>
      <c r="H1460" s="417" t="s">
        <v>2616</v>
      </c>
      <c r="I1460" s="417" t="s">
        <v>1392</v>
      </c>
      <c r="J1460" s="417" t="s">
        <v>5230</v>
      </c>
      <c r="K1460" s="417" t="s">
        <v>5311</v>
      </c>
      <c r="L1460" s="417"/>
      <c r="M1460" s="417" t="s">
        <v>28840</v>
      </c>
    </row>
    <row r="1461" spans="1:13" x14ac:dyDescent="0.25">
      <c r="A1461" s="417" t="s">
        <v>3385</v>
      </c>
      <c r="B1461" s="417" t="s">
        <v>2627</v>
      </c>
      <c r="C1461" s="417" t="s">
        <v>5312</v>
      </c>
      <c r="D1461" s="417" t="s">
        <v>88</v>
      </c>
      <c r="E1461" s="423">
        <v>0.65036974094095623</v>
      </c>
      <c r="F1461" s="423">
        <v>6.0569323075252849E-3</v>
      </c>
      <c r="G1461" s="422">
        <v>1416.5042148699779</v>
      </c>
      <c r="H1461" s="417" t="s">
        <v>2616</v>
      </c>
      <c r="I1461" s="417" t="s">
        <v>1392</v>
      </c>
      <c r="J1461" s="417" t="s">
        <v>5230</v>
      </c>
      <c r="K1461" s="417" t="s">
        <v>5313</v>
      </c>
      <c r="L1461" s="417"/>
      <c r="M1461" s="417" t="s">
        <v>28840</v>
      </c>
    </row>
    <row r="1462" spans="1:13" x14ac:dyDescent="0.25">
      <c r="A1462" s="417" t="s">
        <v>3385</v>
      </c>
      <c r="B1462" s="417" t="s">
        <v>2627</v>
      </c>
      <c r="C1462" s="417" t="s">
        <v>5314</v>
      </c>
      <c r="D1462" s="417" t="s">
        <v>88</v>
      </c>
      <c r="E1462" s="423">
        <v>6.2546117769638094</v>
      </c>
      <c r="F1462" s="423">
        <v>3.766636288650811E-3</v>
      </c>
      <c r="G1462" s="422">
        <v>8088.134500756104</v>
      </c>
      <c r="H1462" s="417" t="s">
        <v>2616</v>
      </c>
      <c r="I1462" s="417" t="s">
        <v>1392</v>
      </c>
      <c r="J1462" s="417" t="s">
        <v>5230</v>
      </c>
      <c r="K1462" s="417" t="s">
        <v>5315</v>
      </c>
      <c r="L1462" s="417"/>
      <c r="M1462" s="417" t="s">
        <v>28840</v>
      </c>
    </row>
    <row r="1463" spans="1:13" x14ac:dyDescent="0.25">
      <c r="A1463" s="417" t="s">
        <v>3385</v>
      </c>
      <c r="B1463" s="417" t="s">
        <v>2627</v>
      </c>
      <c r="C1463" s="417" t="s">
        <v>5316</v>
      </c>
      <c r="D1463" s="417" t="s">
        <v>88</v>
      </c>
      <c r="E1463" s="423">
        <v>0.45238791478023421</v>
      </c>
      <c r="F1463" s="423">
        <v>2.8688783501645589E-3</v>
      </c>
      <c r="G1463" s="422">
        <v>1068.5171742977359</v>
      </c>
      <c r="H1463" s="417" t="s">
        <v>2616</v>
      </c>
      <c r="I1463" s="417" t="s">
        <v>1392</v>
      </c>
      <c r="J1463" s="417" t="s">
        <v>5230</v>
      </c>
      <c r="K1463" s="417" t="s">
        <v>5317</v>
      </c>
      <c r="L1463" s="417"/>
      <c r="M1463" s="417" t="s">
        <v>28840</v>
      </c>
    </row>
    <row r="1464" spans="1:13" x14ac:dyDescent="0.25">
      <c r="A1464" s="417" t="s">
        <v>3385</v>
      </c>
      <c r="B1464" s="417" t="s">
        <v>2627</v>
      </c>
      <c r="C1464" s="417" t="s">
        <v>5318</v>
      </c>
      <c r="D1464" s="417" t="s">
        <v>88</v>
      </c>
      <c r="E1464" s="423">
        <v>0.44278975167177131</v>
      </c>
      <c r="F1464" s="423">
        <v>2.416025433878451E-3</v>
      </c>
      <c r="G1464" s="422">
        <v>997.4352505405227</v>
      </c>
      <c r="H1464" s="417" t="s">
        <v>2616</v>
      </c>
      <c r="I1464" s="417" t="s">
        <v>1392</v>
      </c>
      <c r="J1464" s="417" t="s">
        <v>5230</v>
      </c>
      <c r="K1464" s="417" t="s">
        <v>5319</v>
      </c>
      <c r="L1464" s="417"/>
      <c r="M1464" s="417" t="s">
        <v>28840</v>
      </c>
    </row>
    <row r="1465" spans="1:13" x14ac:dyDescent="0.25">
      <c r="A1465" s="417" t="s">
        <v>3385</v>
      </c>
      <c r="B1465" s="417" t="s">
        <v>2627</v>
      </c>
      <c r="C1465" s="417" t="s">
        <v>5320</v>
      </c>
      <c r="D1465" s="417" t="s">
        <v>88</v>
      </c>
      <c r="E1465" s="423">
        <v>0.57356962413620771</v>
      </c>
      <c r="F1465" s="423">
        <v>3.7255850597971039E-3</v>
      </c>
      <c r="G1465" s="422">
        <v>1630.4549559783329</v>
      </c>
      <c r="H1465" s="417" t="s">
        <v>2616</v>
      </c>
      <c r="I1465" s="417" t="s">
        <v>1392</v>
      </c>
      <c r="J1465" s="417" t="s">
        <v>5230</v>
      </c>
      <c r="K1465" s="417" t="s">
        <v>5321</v>
      </c>
      <c r="L1465" s="417"/>
      <c r="M1465" s="417" t="s">
        <v>28840</v>
      </c>
    </row>
    <row r="1466" spans="1:13" x14ac:dyDescent="0.25">
      <c r="A1466" s="417" t="s">
        <v>3385</v>
      </c>
      <c r="B1466" s="417" t="s">
        <v>2627</v>
      </c>
      <c r="C1466" s="417" t="s">
        <v>5322</v>
      </c>
      <c r="D1466" s="417" t="s">
        <v>88</v>
      </c>
      <c r="E1466" s="423">
        <v>0.12992184630374201</v>
      </c>
      <c r="F1466" s="423">
        <v>2.3438353714822068E-3</v>
      </c>
      <c r="G1466" s="422">
        <v>655.3249526586718</v>
      </c>
      <c r="H1466" s="417" t="s">
        <v>2616</v>
      </c>
      <c r="I1466" s="417" t="s">
        <v>1392</v>
      </c>
      <c r="J1466" s="417" t="s">
        <v>5230</v>
      </c>
      <c r="K1466" s="417" t="s">
        <v>5323</v>
      </c>
      <c r="L1466" s="417"/>
      <c r="M1466" s="417" t="s">
        <v>28840</v>
      </c>
    </row>
    <row r="1467" spans="1:13" x14ac:dyDescent="0.25">
      <c r="A1467" s="417" t="s">
        <v>3385</v>
      </c>
      <c r="B1467" s="417" t="s">
        <v>2627</v>
      </c>
      <c r="C1467" s="417" t="s">
        <v>5324</v>
      </c>
      <c r="D1467" s="417" t="s">
        <v>88</v>
      </c>
      <c r="E1467" s="423">
        <v>0.44711436248921471</v>
      </c>
      <c r="F1467" s="423">
        <v>4.526765171179236E-3</v>
      </c>
      <c r="G1467" s="422">
        <v>1057.872125690812</v>
      </c>
      <c r="H1467" s="417" t="s">
        <v>2616</v>
      </c>
      <c r="I1467" s="417" t="s">
        <v>1392</v>
      </c>
      <c r="J1467" s="417" t="s">
        <v>5230</v>
      </c>
      <c r="K1467" s="417" t="s">
        <v>5325</v>
      </c>
      <c r="L1467" s="417"/>
      <c r="M1467" s="417" t="s">
        <v>28840</v>
      </c>
    </row>
    <row r="1468" spans="1:13" x14ac:dyDescent="0.25">
      <c r="A1468" s="417" t="s">
        <v>3385</v>
      </c>
      <c r="B1468" s="417" t="s">
        <v>2627</v>
      </c>
      <c r="C1468" s="417" t="s">
        <v>5326</v>
      </c>
      <c r="D1468" s="417" t="s">
        <v>88</v>
      </c>
      <c r="E1468" s="423">
        <v>2.3458495110750972</v>
      </c>
      <c r="F1468" s="423">
        <v>4.4195370791194014E-3</v>
      </c>
      <c r="G1468" s="422">
        <v>3366.417386559071</v>
      </c>
      <c r="H1468" s="417" t="s">
        <v>2616</v>
      </c>
      <c r="I1468" s="417" t="s">
        <v>1392</v>
      </c>
      <c r="J1468" s="417" t="s">
        <v>5230</v>
      </c>
      <c r="K1468" s="417" t="s">
        <v>5327</v>
      </c>
      <c r="L1468" s="417"/>
      <c r="M1468" s="417" t="s">
        <v>28840</v>
      </c>
    </row>
    <row r="1469" spans="1:13" x14ac:dyDescent="0.25">
      <c r="A1469" s="417" t="s">
        <v>3385</v>
      </c>
      <c r="B1469" s="417" t="s">
        <v>2627</v>
      </c>
      <c r="C1469" s="417" t="s">
        <v>5328</v>
      </c>
      <c r="D1469" s="417" t="s">
        <v>88</v>
      </c>
      <c r="E1469" s="423">
        <v>2.2536739661562519</v>
      </c>
      <c r="F1469" s="423">
        <v>2.4160254339736929E-3</v>
      </c>
      <c r="G1469" s="422">
        <v>3195.9566744810859</v>
      </c>
      <c r="H1469" s="417" t="s">
        <v>2616</v>
      </c>
      <c r="I1469" s="417" t="s">
        <v>1392</v>
      </c>
      <c r="J1469" s="417" t="s">
        <v>5230</v>
      </c>
      <c r="K1469" s="417" t="s">
        <v>5329</v>
      </c>
      <c r="L1469" s="417"/>
      <c r="M1469" s="417" t="s">
        <v>28840</v>
      </c>
    </row>
    <row r="1470" spans="1:13" x14ac:dyDescent="0.25">
      <c r="A1470" s="417" t="s">
        <v>3385</v>
      </c>
      <c r="B1470" s="417" t="s">
        <v>2627</v>
      </c>
      <c r="C1470" s="417" t="s">
        <v>5330</v>
      </c>
      <c r="D1470" s="417" t="s">
        <v>88</v>
      </c>
      <c r="E1470" s="423">
        <v>0.32815534902910609</v>
      </c>
      <c r="F1470" s="423">
        <v>1.7271421500718381E-3</v>
      </c>
      <c r="G1470" s="422">
        <v>867.58872482342724</v>
      </c>
      <c r="H1470" s="417" t="s">
        <v>2616</v>
      </c>
      <c r="I1470" s="417" t="s">
        <v>1392</v>
      </c>
      <c r="J1470" s="417" t="s">
        <v>5230</v>
      </c>
      <c r="K1470" s="417" t="s">
        <v>5331</v>
      </c>
      <c r="L1470" s="417"/>
      <c r="M1470" s="417" t="s">
        <v>28840</v>
      </c>
    </row>
    <row r="1471" spans="1:13" x14ac:dyDescent="0.25">
      <c r="A1471" s="417" t="s">
        <v>3385</v>
      </c>
      <c r="B1471" s="417" t="s">
        <v>2627</v>
      </c>
      <c r="C1471" s="417" t="s">
        <v>5332</v>
      </c>
      <c r="D1471" s="417" t="s">
        <v>88</v>
      </c>
      <c r="E1471" s="423">
        <v>0.6273593599516758</v>
      </c>
      <c r="F1471" s="423">
        <v>1.8112102349365209E-3</v>
      </c>
      <c r="G1471" s="422">
        <v>1236.4057262334829</v>
      </c>
      <c r="H1471" s="417" t="s">
        <v>2616</v>
      </c>
      <c r="I1471" s="417" t="s">
        <v>1392</v>
      </c>
      <c r="J1471" s="417" t="s">
        <v>5230</v>
      </c>
      <c r="K1471" s="417" t="s">
        <v>5333</v>
      </c>
      <c r="L1471" s="417"/>
      <c r="M1471" s="417" t="s">
        <v>28840</v>
      </c>
    </row>
    <row r="1472" spans="1:13" x14ac:dyDescent="0.25">
      <c r="A1472" s="417" t="s">
        <v>3385</v>
      </c>
      <c r="B1472" s="417" t="s">
        <v>2627</v>
      </c>
      <c r="C1472" s="417" t="s">
        <v>5334</v>
      </c>
      <c r="D1472" s="417" t="s">
        <v>88</v>
      </c>
      <c r="E1472" s="423">
        <v>0.53235436871145092</v>
      </c>
      <c r="F1472" s="423">
        <v>1.5009863502939229E-3</v>
      </c>
      <c r="G1472" s="422">
        <v>1099.3175026360309</v>
      </c>
      <c r="H1472" s="417" t="s">
        <v>2616</v>
      </c>
      <c r="I1472" s="417" t="s">
        <v>1392</v>
      </c>
      <c r="J1472" s="417" t="s">
        <v>5230</v>
      </c>
      <c r="K1472" s="417" t="s">
        <v>5335</v>
      </c>
      <c r="L1472" s="417"/>
      <c r="M1472" s="417" t="s">
        <v>28840</v>
      </c>
    </row>
    <row r="1473" spans="1:13" x14ac:dyDescent="0.25">
      <c r="A1473" s="417" t="s">
        <v>3385</v>
      </c>
      <c r="B1473" s="417" t="s">
        <v>2627</v>
      </c>
      <c r="C1473" s="417" t="s">
        <v>5336</v>
      </c>
      <c r="D1473" s="417" t="s">
        <v>88</v>
      </c>
      <c r="E1473" s="423">
        <v>0.30965953237952598</v>
      </c>
      <c r="F1473" s="423">
        <v>2.2102812650518179E-3</v>
      </c>
      <c r="G1473" s="422">
        <v>873.31547335864991</v>
      </c>
      <c r="H1473" s="417" t="s">
        <v>2616</v>
      </c>
      <c r="I1473" s="417" t="s">
        <v>1392</v>
      </c>
      <c r="J1473" s="417" t="s">
        <v>5230</v>
      </c>
      <c r="K1473" s="417" t="s">
        <v>5337</v>
      </c>
      <c r="L1473" s="417"/>
      <c r="M1473" s="417" t="s">
        <v>28840</v>
      </c>
    </row>
    <row r="1474" spans="1:13" x14ac:dyDescent="0.25">
      <c r="A1474" s="417" t="s">
        <v>3385</v>
      </c>
      <c r="B1474" s="417" t="s">
        <v>2627</v>
      </c>
      <c r="C1474" s="417" t="s">
        <v>5338</v>
      </c>
      <c r="D1474" s="417" t="s">
        <v>88</v>
      </c>
      <c r="E1474" s="423">
        <v>0.35980562255624837</v>
      </c>
      <c r="F1474" s="423">
        <v>1.866350814955164E-3</v>
      </c>
      <c r="G1474" s="422">
        <v>896.01818241535977</v>
      </c>
      <c r="H1474" s="417" t="s">
        <v>2616</v>
      </c>
      <c r="I1474" s="417" t="s">
        <v>1392</v>
      </c>
      <c r="J1474" s="417" t="s">
        <v>5230</v>
      </c>
      <c r="K1474" s="417" t="s">
        <v>5339</v>
      </c>
      <c r="L1474" s="417"/>
      <c r="M1474" s="417" t="s">
        <v>28840</v>
      </c>
    </row>
    <row r="1475" spans="1:13" x14ac:dyDescent="0.25">
      <c r="A1475" s="417" t="s">
        <v>3385</v>
      </c>
      <c r="B1475" s="417" t="s">
        <v>2627</v>
      </c>
      <c r="C1475" s="417" t="s">
        <v>5340</v>
      </c>
      <c r="D1475" s="417" t="s">
        <v>88</v>
      </c>
      <c r="E1475" s="423">
        <v>0.4367431910537633</v>
      </c>
      <c r="F1475" s="423">
        <v>2.296967555946508E-3</v>
      </c>
      <c r="G1475" s="422">
        <v>996.55635159673227</v>
      </c>
      <c r="H1475" s="417" t="s">
        <v>2616</v>
      </c>
      <c r="I1475" s="417" t="s">
        <v>1392</v>
      </c>
      <c r="J1475" s="417" t="s">
        <v>5230</v>
      </c>
      <c r="K1475" s="417" t="s">
        <v>5341</v>
      </c>
      <c r="L1475" s="417"/>
      <c r="M1475" s="417" t="s">
        <v>28840</v>
      </c>
    </row>
    <row r="1476" spans="1:13" x14ac:dyDescent="0.25">
      <c r="A1476" s="417" t="s">
        <v>3385</v>
      </c>
      <c r="B1476" s="417" t="s">
        <v>2627</v>
      </c>
      <c r="C1476" s="417" t="s">
        <v>5342</v>
      </c>
      <c r="D1476" s="417" t="s">
        <v>88</v>
      </c>
      <c r="E1476" s="423">
        <v>0.80990239230918293</v>
      </c>
      <c r="F1476" s="423">
        <v>1.5009863503577369E-3</v>
      </c>
      <c r="G1476" s="422">
        <v>1435.4724896380651</v>
      </c>
      <c r="H1476" s="417" t="s">
        <v>2616</v>
      </c>
      <c r="I1476" s="417" t="s">
        <v>1392</v>
      </c>
      <c r="J1476" s="417" t="s">
        <v>5230</v>
      </c>
      <c r="K1476" s="417" t="s">
        <v>5343</v>
      </c>
      <c r="L1476" s="417"/>
      <c r="M1476" s="417" t="s">
        <v>28840</v>
      </c>
    </row>
    <row r="1477" spans="1:13" x14ac:dyDescent="0.25">
      <c r="A1477" s="417" t="s">
        <v>3385</v>
      </c>
      <c r="B1477" s="417" t="s">
        <v>2627</v>
      </c>
      <c r="C1477" s="417" t="s">
        <v>5344</v>
      </c>
      <c r="D1477" s="417" t="s">
        <v>88</v>
      </c>
      <c r="E1477" s="423">
        <v>0.35802482708055478</v>
      </c>
      <c r="F1477" s="423">
        <v>1.7145500883581741E-3</v>
      </c>
      <c r="G1477" s="422">
        <v>887.53107202239426</v>
      </c>
      <c r="H1477" s="417" t="s">
        <v>2616</v>
      </c>
      <c r="I1477" s="417" t="s">
        <v>1392</v>
      </c>
      <c r="J1477" s="417" t="s">
        <v>5230</v>
      </c>
      <c r="K1477" s="417" t="s">
        <v>5345</v>
      </c>
      <c r="L1477" s="417"/>
      <c r="M1477" s="417" t="s">
        <v>28840</v>
      </c>
    </row>
    <row r="1478" spans="1:13" x14ac:dyDescent="0.25">
      <c r="A1478" s="417" t="s">
        <v>3385</v>
      </c>
      <c r="B1478" s="417" t="s">
        <v>2627</v>
      </c>
      <c r="C1478" s="417" t="s">
        <v>5346</v>
      </c>
      <c r="D1478" s="417" t="s">
        <v>88</v>
      </c>
      <c r="E1478" s="423">
        <v>0.29464999744109499</v>
      </c>
      <c r="F1478" s="423">
        <v>2.253221989509255E-3</v>
      </c>
      <c r="G1478" s="422">
        <v>805.67693342897292</v>
      </c>
      <c r="H1478" s="417" t="s">
        <v>2616</v>
      </c>
      <c r="I1478" s="417" t="s">
        <v>1392</v>
      </c>
      <c r="J1478" s="417" t="s">
        <v>5230</v>
      </c>
      <c r="K1478" s="417" t="s">
        <v>5347</v>
      </c>
      <c r="L1478" s="417"/>
      <c r="M1478" s="417" t="s">
        <v>28840</v>
      </c>
    </row>
    <row r="1479" spans="1:13" x14ac:dyDescent="0.25">
      <c r="A1479" s="417" t="s">
        <v>3385</v>
      </c>
      <c r="B1479" s="417" t="s">
        <v>2627</v>
      </c>
      <c r="C1479" s="417" t="s">
        <v>5348</v>
      </c>
      <c r="D1479" s="417" t="s">
        <v>88</v>
      </c>
      <c r="E1479" s="423">
        <v>0.401855604078388</v>
      </c>
      <c r="F1479" s="423">
        <v>2.5138409593781661E-3</v>
      </c>
      <c r="G1479" s="422">
        <v>990.59015453691677</v>
      </c>
      <c r="H1479" s="417" t="s">
        <v>2616</v>
      </c>
      <c r="I1479" s="417" t="s">
        <v>1392</v>
      </c>
      <c r="J1479" s="417" t="s">
        <v>5230</v>
      </c>
      <c r="K1479" s="417" t="s">
        <v>5349</v>
      </c>
      <c r="L1479" s="417"/>
      <c r="M1479" s="417" t="s">
        <v>28840</v>
      </c>
    </row>
    <row r="1480" spans="1:13" x14ac:dyDescent="0.25">
      <c r="A1480" s="417" t="s">
        <v>3385</v>
      </c>
      <c r="B1480" s="417" t="s">
        <v>2627</v>
      </c>
      <c r="C1480" s="417" t="s">
        <v>5350</v>
      </c>
      <c r="D1480" s="417" t="s">
        <v>88</v>
      </c>
      <c r="E1480" s="423">
        <v>0.33561595332537408</v>
      </c>
      <c r="F1480" s="423">
        <v>1.5009863503899149E-3</v>
      </c>
      <c r="G1480" s="422">
        <v>860.65459208566051</v>
      </c>
      <c r="H1480" s="417" t="s">
        <v>2616</v>
      </c>
      <c r="I1480" s="417" t="s">
        <v>1392</v>
      </c>
      <c r="J1480" s="417" t="s">
        <v>5230</v>
      </c>
      <c r="K1480" s="417" t="s">
        <v>5351</v>
      </c>
      <c r="L1480" s="417"/>
      <c r="M1480" s="417" t="s">
        <v>28840</v>
      </c>
    </row>
    <row r="1481" spans="1:13" x14ac:dyDescent="0.25">
      <c r="A1481" s="417" t="s">
        <v>3385</v>
      </c>
      <c r="B1481" s="417" t="s">
        <v>2627</v>
      </c>
      <c r="C1481" s="417" t="s">
        <v>5352</v>
      </c>
      <c r="D1481" s="417" t="s">
        <v>88</v>
      </c>
      <c r="E1481" s="423">
        <v>0.19537040211088411</v>
      </c>
      <c r="F1481" s="423">
        <v>3.1276244015542441E-3</v>
      </c>
      <c r="G1481" s="422">
        <v>700.54079190484651</v>
      </c>
      <c r="H1481" s="417" t="s">
        <v>2616</v>
      </c>
      <c r="I1481" s="417" t="s">
        <v>1392</v>
      </c>
      <c r="J1481" s="417" t="s">
        <v>5230</v>
      </c>
      <c r="K1481" s="417" t="s">
        <v>5353</v>
      </c>
      <c r="L1481" s="417"/>
      <c r="M1481" s="417" t="s">
        <v>28840</v>
      </c>
    </row>
    <row r="1482" spans="1:13" x14ac:dyDescent="0.25">
      <c r="A1482" s="417" t="s">
        <v>3385</v>
      </c>
      <c r="B1482" s="417" t="s">
        <v>2627</v>
      </c>
      <c r="C1482" s="417" t="s">
        <v>5354</v>
      </c>
      <c r="D1482" s="417" t="s">
        <v>88</v>
      </c>
      <c r="E1482" s="423">
        <v>1.243369976631501</v>
      </c>
      <c r="F1482" s="423">
        <v>1.811210234890855E-3</v>
      </c>
      <c r="G1482" s="422">
        <v>1983.8717110262301</v>
      </c>
      <c r="H1482" s="417" t="s">
        <v>2616</v>
      </c>
      <c r="I1482" s="417" t="s">
        <v>1392</v>
      </c>
      <c r="J1482" s="417" t="s">
        <v>5230</v>
      </c>
      <c r="K1482" s="417" t="s">
        <v>5355</v>
      </c>
      <c r="L1482" s="417"/>
      <c r="M1482" s="417" t="s">
        <v>28840</v>
      </c>
    </row>
    <row r="1483" spans="1:13" x14ac:dyDescent="0.25">
      <c r="A1483" s="417" t="s">
        <v>3385</v>
      </c>
      <c r="B1483" s="417" t="s">
        <v>2627</v>
      </c>
      <c r="C1483" s="417" t="s">
        <v>5356</v>
      </c>
      <c r="D1483" s="417" t="s">
        <v>88</v>
      </c>
      <c r="E1483" s="423">
        <v>0.61097067889147072</v>
      </c>
      <c r="F1483" s="423">
        <v>1.500986350319483E-3</v>
      </c>
      <c r="G1483" s="422">
        <v>1196.1369092351781</v>
      </c>
      <c r="H1483" s="417" t="s">
        <v>2616</v>
      </c>
      <c r="I1483" s="417" t="s">
        <v>1392</v>
      </c>
      <c r="J1483" s="417" t="s">
        <v>5230</v>
      </c>
      <c r="K1483" s="417" t="s">
        <v>5357</v>
      </c>
      <c r="L1483" s="417"/>
      <c r="M1483" s="417" t="s">
        <v>28840</v>
      </c>
    </row>
    <row r="1484" spans="1:13" x14ac:dyDescent="0.25">
      <c r="A1484" s="417" t="s">
        <v>3385</v>
      </c>
      <c r="B1484" s="417" t="s">
        <v>2627</v>
      </c>
      <c r="C1484" s="417" t="s">
        <v>5358</v>
      </c>
      <c r="D1484" s="417" t="s">
        <v>88</v>
      </c>
      <c r="E1484" s="423">
        <v>0.62089215573128542</v>
      </c>
      <c r="F1484" s="423">
        <v>1.8112102348613131E-3</v>
      </c>
      <c r="G1484" s="422">
        <v>1228.3679253792429</v>
      </c>
      <c r="H1484" s="417" t="s">
        <v>2616</v>
      </c>
      <c r="I1484" s="417" t="s">
        <v>1392</v>
      </c>
      <c r="J1484" s="417" t="s">
        <v>5230</v>
      </c>
      <c r="K1484" s="417" t="s">
        <v>5359</v>
      </c>
      <c r="L1484" s="417"/>
      <c r="M1484" s="417" t="s">
        <v>28840</v>
      </c>
    </row>
    <row r="1485" spans="1:13" x14ac:dyDescent="0.25">
      <c r="A1485" s="417" t="s">
        <v>3385</v>
      </c>
      <c r="B1485" s="417" t="s">
        <v>2627</v>
      </c>
      <c r="C1485" s="417" t="s">
        <v>5360</v>
      </c>
      <c r="D1485" s="417" t="s">
        <v>88</v>
      </c>
      <c r="E1485" s="423">
        <v>0.43014431823535759</v>
      </c>
      <c r="F1485" s="423">
        <v>1.821464912497915E-3</v>
      </c>
      <c r="G1485" s="422">
        <v>987.60578102037323</v>
      </c>
      <c r="H1485" s="417" t="s">
        <v>2616</v>
      </c>
      <c r="I1485" s="417" t="s">
        <v>1392</v>
      </c>
      <c r="J1485" s="417" t="s">
        <v>5230</v>
      </c>
      <c r="K1485" s="417" t="s">
        <v>5361</v>
      </c>
      <c r="L1485" s="417"/>
      <c r="M1485" s="417" t="s">
        <v>28840</v>
      </c>
    </row>
    <row r="1486" spans="1:13" x14ac:dyDescent="0.25">
      <c r="A1486" s="417" t="s">
        <v>3385</v>
      </c>
      <c r="B1486" s="417" t="s">
        <v>2627</v>
      </c>
      <c r="C1486" s="417" t="s">
        <v>5362</v>
      </c>
      <c r="D1486" s="417" t="s">
        <v>88</v>
      </c>
      <c r="E1486" s="423">
        <v>0.2148054671100762</v>
      </c>
      <c r="F1486" s="423">
        <v>1.7775264223984361E-3</v>
      </c>
      <c r="G1486" s="422">
        <v>736.63066695135501</v>
      </c>
      <c r="H1486" s="417" t="s">
        <v>2616</v>
      </c>
      <c r="I1486" s="417" t="s">
        <v>1392</v>
      </c>
      <c r="J1486" s="417" t="s">
        <v>5230</v>
      </c>
      <c r="K1486" s="417" t="s">
        <v>5363</v>
      </c>
      <c r="L1486" s="417"/>
      <c r="M1486" s="417" t="s">
        <v>28840</v>
      </c>
    </row>
    <row r="1487" spans="1:13" x14ac:dyDescent="0.25">
      <c r="A1487" s="417" t="s">
        <v>3385</v>
      </c>
      <c r="B1487" s="417" t="s">
        <v>2627</v>
      </c>
      <c r="C1487" s="417" t="s">
        <v>5364</v>
      </c>
      <c r="D1487" s="417" t="s">
        <v>88</v>
      </c>
      <c r="E1487" s="423">
        <v>0.20418937256564529</v>
      </c>
      <c r="F1487" s="423">
        <v>3.568722839976226E-3</v>
      </c>
      <c r="G1487" s="422">
        <v>712.54135037095875</v>
      </c>
      <c r="H1487" s="417" t="s">
        <v>2616</v>
      </c>
      <c r="I1487" s="417" t="s">
        <v>1392</v>
      </c>
      <c r="J1487" s="417" t="s">
        <v>5230</v>
      </c>
      <c r="K1487" s="417" t="s">
        <v>5365</v>
      </c>
      <c r="L1487" s="417"/>
      <c r="M1487" s="417" t="s">
        <v>28840</v>
      </c>
    </row>
    <row r="1488" spans="1:13" x14ac:dyDescent="0.25">
      <c r="A1488" s="417" t="s">
        <v>3385</v>
      </c>
      <c r="B1488" s="417" t="s">
        <v>2627</v>
      </c>
      <c r="C1488" s="417" t="s">
        <v>5366</v>
      </c>
      <c r="D1488" s="417" t="s">
        <v>88</v>
      </c>
      <c r="E1488" s="423">
        <v>0.53191672675132751</v>
      </c>
      <c r="F1488" s="423">
        <v>1.8112102348362079E-3</v>
      </c>
      <c r="G1488" s="422">
        <v>1120.3855734264721</v>
      </c>
      <c r="H1488" s="417" t="s">
        <v>2616</v>
      </c>
      <c r="I1488" s="417" t="s">
        <v>1392</v>
      </c>
      <c r="J1488" s="417" t="s">
        <v>5230</v>
      </c>
      <c r="K1488" s="417" t="s">
        <v>5367</v>
      </c>
      <c r="L1488" s="417"/>
      <c r="M1488" s="417" t="s">
        <v>28840</v>
      </c>
    </row>
    <row r="1489" spans="1:13" x14ac:dyDescent="0.25">
      <c r="A1489" s="417" t="s">
        <v>3385</v>
      </c>
      <c r="B1489" s="417" t="s">
        <v>2627</v>
      </c>
      <c r="C1489" s="417" t="s">
        <v>5368</v>
      </c>
      <c r="D1489" s="417" t="s">
        <v>88</v>
      </c>
      <c r="E1489" s="423">
        <v>0.71792725070721275</v>
      </c>
      <c r="F1489" s="423">
        <v>4.471319843667625E-3</v>
      </c>
      <c r="G1489" s="422">
        <v>1370.8432699444029</v>
      </c>
      <c r="H1489" s="417" t="s">
        <v>2616</v>
      </c>
      <c r="I1489" s="417" t="s">
        <v>1392</v>
      </c>
      <c r="J1489" s="417" t="s">
        <v>5230</v>
      </c>
      <c r="K1489" s="417" t="s">
        <v>5369</v>
      </c>
      <c r="L1489" s="417"/>
      <c r="M1489" s="417" t="s">
        <v>28840</v>
      </c>
    </row>
    <row r="1490" spans="1:13" x14ac:dyDescent="0.25">
      <c r="A1490" s="417" t="s">
        <v>3385</v>
      </c>
      <c r="B1490" s="417" t="s">
        <v>2627</v>
      </c>
      <c r="C1490" s="417" t="s">
        <v>5370</v>
      </c>
      <c r="D1490" s="417" t="s">
        <v>88</v>
      </c>
      <c r="E1490" s="423">
        <v>0.7688881210045021</v>
      </c>
      <c r="F1490" s="423">
        <v>2.7109464423907561E-3</v>
      </c>
      <c r="G1490" s="422">
        <v>1446.034004898062</v>
      </c>
      <c r="H1490" s="417" t="s">
        <v>2616</v>
      </c>
      <c r="I1490" s="417" t="s">
        <v>1392</v>
      </c>
      <c r="J1490" s="417" t="s">
        <v>5230</v>
      </c>
      <c r="K1490" s="417" t="s">
        <v>5371</v>
      </c>
      <c r="L1490" s="417"/>
      <c r="M1490" s="417" t="s">
        <v>28840</v>
      </c>
    </row>
    <row r="1491" spans="1:13" x14ac:dyDescent="0.25">
      <c r="A1491" s="417" t="s">
        <v>3385</v>
      </c>
      <c r="B1491" s="417" t="s">
        <v>2627</v>
      </c>
      <c r="C1491" s="417" t="s">
        <v>5372</v>
      </c>
      <c r="D1491" s="417" t="s">
        <v>88</v>
      </c>
      <c r="E1491" s="423">
        <v>0.60138743364390157</v>
      </c>
      <c r="F1491" s="423">
        <v>1.727142150564165E-3</v>
      </c>
      <c r="G1491" s="422">
        <v>1201.165404478649</v>
      </c>
      <c r="H1491" s="417" t="s">
        <v>2616</v>
      </c>
      <c r="I1491" s="417" t="s">
        <v>1392</v>
      </c>
      <c r="J1491" s="417" t="s">
        <v>5230</v>
      </c>
      <c r="K1491" s="417" t="s">
        <v>5373</v>
      </c>
      <c r="L1491" s="417"/>
      <c r="M1491" s="417" t="s">
        <v>28840</v>
      </c>
    </row>
    <row r="1492" spans="1:13" x14ac:dyDescent="0.25">
      <c r="A1492" s="417" t="s">
        <v>3385</v>
      </c>
      <c r="B1492" s="417" t="s">
        <v>2627</v>
      </c>
      <c r="C1492" s="417" t="s">
        <v>5374</v>
      </c>
      <c r="D1492" s="417" t="s">
        <v>88</v>
      </c>
      <c r="E1492" s="423">
        <v>0.81952961393485779</v>
      </c>
      <c r="F1492" s="423">
        <v>1.167256167844402E-3</v>
      </c>
      <c r="G1492" s="422">
        <v>1461.940917600647</v>
      </c>
      <c r="H1492" s="417" t="s">
        <v>2616</v>
      </c>
      <c r="I1492" s="417" t="s">
        <v>1392</v>
      </c>
      <c r="J1492" s="417" t="s">
        <v>5230</v>
      </c>
      <c r="K1492" s="417" t="s">
        <v>5375</v>
      </c>
      <c r="L1492" s="417"/>
      <c r="M1492" s="417" t="s">
        <v>28840</v>
      </c>
    </row>
    <row r="1493" spans="1:13" x14ac:dyDescent="0.25">
      <c r="A1493" s="417" t="s">
        <v>3385</v>
      </c>
      <c r="B1493" s="417" t="s">
        <v>2627</v>
      </c>
      <c r="C1493" s="417" t="s">
        <v>5376</v>
      </c>
      <c r="D1493" s="417" t="s">
        <v>88</v>
      </c>
      <c r="E1493" s="423">
        <v>0.19651450630979231</v>
      </c>
      <c r="F1493" s="423">
        <v>2.464076806044554E-3</v>
      </c>
      <c r="G1493" s="422">
        <v>699.84602861195447</v>
      </c>
      <c r="H1493" s="417" t="s">
        <v>2616</v>
      </c>
      <c r="I1493" s="417" t="s">
        <v>1392</v>
      </c>
      <c r="J1493" s="417" t="s">
        <v>5230</v>
      </c>
      <c r="K1493" s="417" t="s">
        <v>5377</v>
      </c>
      <c r="L1493" s="417"/>
      <c r="M1493" s="417" t="s">
        <v>28840</v>
      </c>
    </row>
    <row r="1494" spans="1:13" x14ac:dyDescent="0.25">
      <c r="A1494" s="417" t="s">
        <v>3385</v>
      </c>
      <c r="B1494" s="417" t="s">
        <v>2627</v>
      </c>
      <c r="C1494" s="417" t="s">
        <v>5378</v>
      </c>
      <c r="D1494" s="417" t="s">
        <v>88</v>
      </c>
      <c r="E1494" s="423">
        <v>0.1757546947809627</v>
      </c>
      <c r="F1494" s="423">
        <v>3.3118389686926379E-3</v>
      </c>
      <c r="G1494" s="422">
        <v>717.65078289549672</v>
      </c>
      <c r="H1494" s="417" t="s">
        <v>2616</v>
      </c>
      <c r="I1494" s="417" t="s">
        <v>1392</v>
      </c>
      <c r="J1494" s="417" t="s">
        <v>5230</v>
      </c>
      <c r="K1494" s="417" t="s">
        <v>5379</v>
      </c>
      <c r="L1494" s="417"/>
      <c r="M1494" s="417" t="s">
        <v>28840</v>
      </c>
    </row>
    <row r="1495" spans="1:13" x14ac:dyDescent="0.25">
      <c r="A1495" s="417" t="s">
        <v>3385</v>
      </c>
      <c r="B1495" s="417" t="s">
        <v>2627</v>
      </c>
      <c r="C1495" s="417" t="s">
        <v>5380</v>
      </c>
      <c r="D1495" s="417" t="s">
        <v>88</v>
      </c>
      <c r="E1495" s="423">
        <v>0.16501918383088809</v>
      </c>
      <c r="F1495" s="423">
        <v>2.4544197053814961E-3</v>
      </c>
      <c r="G1495" s="422">
        <v>709.6283052614516</v>
      </c>
      <c r="H1495" s="417" t="s">
        <v>2616</v>
      </c>
      <c r="I1495" s="417" t="s">
        <v>1392</v>
      </c>
      <c r="J1495" s="417" t="s">
        <v>5230</v>
      </c>
      <c r="K1495" s="417" t="s">
        <v>5381</v>
      </c>
      <c r="L1495" s="417"/>
      <c r="M1495" s="417" t="s">
        <v>28840</v>
      </c>
    </row>
    <row r="1496" spans="1:13" x14ac:dyDescent="0.25">
      <c r="A1496" s="417" t="s">
        <v>3385</v>
      </c>
      <c r="B1496" s="417" t="s">
        <v>2627</v>
      </c>
      <c r="C1496" s="417" t="s">
        <v>5382</v>
      </c>
      <c r="D1496" s="417" t="s">
        <v>88</v>
      </c>
      <c r="E1496" s="423">
        <v>0.29682383824091019</v>
      </c>
      <c r="F1496" s="423">
        <v>1.7271421505127859E-3</v>
      </c>
      <c r="G1496" s="422">
        <v>829.62189587138982</v>
      </c>
      <c r="H1496" s="417" t="s">
        <v>2616</v>
      </c>
      <c r="I1496" s="417" t="s">
        <v>1392</v>
      </c>
      <c r="J1496" s="417" t="s">
        <v>5230</v>
      </c>
      <c r="K1496" s="417" t="s">
        <v>5383</v>
      </c>
      <c r="L1496" s="417"/>
      <c r="M1496" s="417" t="s">
        <v>28840</v>
      </c>
    </row>
    <row r="1497" spans="1:13" x14ac:dyDescent="0.25">
      <c r="A1497" s="417" t="s">
        <v>3385</v>
      </c>
      <c r="B1497" s="417" t="s">
        <v>2627</v>
      </c>
      <c r="C1497" s="417" t="s">
        <v>5384</v>
      </c>
      <c r="D1497" s="417" t="s">
        <v>88</v>
      </c>
      <c r="E1497" s="423">
        <v>0.69843816330707631</v>
      </c>
      <c r="F1497" s="423">
        <v>1.862723013184847E-3</v>
      </c>
      <c r="G1497" s="422">
        <v>1306.519713690036</v>
      </c>
      <c r="H1497" s="417" t="s">
        <v>2616</v>
      </c>
      <c r="I1497" s="417" t="s">
        <v>1392</v>
      </c>
      <c r="J1497" s="417" t="s">
        <v>5230</v>
      </c>
      <c r="K1497" s="417" t="s">
        <v>5385</v>
      </c>
      <c r="L1497" s="417"/>
      <c r="M1497" s="417" t="s">
        <v>28840</v>
      </c>
    </row>
    <row r="1498" spans="1:13" x14ac:dyDescent="0.25">
      <c r="A1498" s="417" t="s">
        <v>3385</v>
      </c>
      <c r="B1498" s="417" t="s">
        <v>2627</v>
      </c>
      <c r="C1498" s="417" t="s">
        <v>5386</v>
      </c>
      <c r="D1498" s="417" t="s">
        <v>88</v>
      </c>
      <c r="E1498" s="423">
        <v>1.17431143599164</v>
      </c>
      <c r="F1498" s="423">
        <v>1.8112102349129679E-3</v>
      </c>
      <c r="G1498" s="422">
        <v>1901.318793658384</v>
      </c>
      <c r="H1498" s="417" t="s">
        <v>2616</v>
      </c>
      <c r="I1498" s="417" t="s">
        <v>1392</v>
      </c>
      <c r="J1498" s="417" t="s">
        <v>5230</v>
      </c>
      <c r="K1498" s="417" t="s">
        <v>5387</v>
      </c>
      <c r="L1498" s="417"/>
      <c r="M1498" s="417" t="s">
        <v>28840</v>
      </c>
    </row>
    <row r="1499" spans="1:13" x14ac:dyDescent="0.25">
      <c r="A1499" s="417" t="s">
        <v>3385</v>
      </c>
      <c r="B1499" s="417" t="s">
        <v>2627</v>
      </c>
      <c r="C1499" s="417" t="s">
        <v>5388</v>
      </c>
      <c r="D1499" s="417" t="s">
        <v>88</v>
      </c>
      <c r="E1499" s="423">
        <v>0.53599656299793086</v>
      </c>
      <c r="F1499" s="423">
        <v>2.1587065644198891E-3</v>
      </c>
      <c r="G1499" s="422">
        <v>1098.77117573852</v>
      </c>
      <c r="H1499" s="417" t="s">
        <v>2616</v>
      </c>
      <c r="I1499" s="417" t="s">
        <v>1392</v>
      </c>
      <c r="J1499" s="417" t="s">
        <v>5230</v>
      </c>
      <c r="K1499" s="417" t="s">
        <v>5389</v>
      </c>
      <c r="L1499" s="417"/>
      <c r="M1499" s="417" t="s">
        <v>28840</v>
      </c>
    </row>
    <row r="1500" spans="1:13" x14ac:dyDescent="0.25">
      <c r="A1500" s="417" t="s">
        <v>3385</v>
      </c>
      <c r="B1500" s="417" t="s">
        <v>2627</v>
      </c>
      <c r="C1500" s="417" t="s">
        <v>5390</v>
      </c>
      <c r="D1500" s="417" t="s">
        <v>88</v>
      </c>
      <c r="E1500" s="423">
        <v>0.57530246505225957</v>
      </c>
      <c r="F1500" s="423">
        <v>2.1397433703199921E-3</v>
      </c>
      <c r="G1500" s="422">
        <v>1198.380396207551</v>
      </c>
      <c r="H1500" s="417" t="s">
        <v>2616</v>
      </c>
      <c r="I1500" s="417" t="s">
        <v>1392</v>
      </c>
      <c r="J1500" s="417" t="s">
        <v>5230</v>
      </c>
      <c r="K1500" s="417" t="s">
        <v>5391</v>
      </c>
      <c r="L1500" s="417"/>
      <c r="M1500" s="417" t="s">
        <v>28840</v>
      </c>
    </row>
    <row r="1501" spans="1:13" x14ac:dyDescent="0.25">
      <c r="A1501" s="417" t="s">
        <v>3385</v>
      </c>
      <c r="B1501" s="417" t="s">
        <v>2627</v>
      </c>
      <c r="C1501" s="417" t="s">
        <v>5392</v>
      </c>
      <c r="D1501" s="417" t="s">
        <v>88</v>
      </c>
      <c r="E1501" s="423">
        <v>0.88211881163211547</v>
      </c>
      <c r="F1501" s="423">
        <v>2.0163743748899988E-3</v>
      </c>
      <c r="G1501" s="422">
        <v>1545.876194749444</v>
      </c>
      <c r="H1501" s="417" t="s">
        <v>2616</v>
      </c>
      <c r="I1501" s="417" t="s">
        <v>1392</v>
      </c>
      <c r="J1501" s="417" t="s">
        <v>5230</v>
      </c>
      <c r="K1501" s="417" t="s">
        <v>5393</v>
      </c>
      <c r="L1501" s="417"/>
      <c r="M1501" s="417" t="s">
        <v>28840</v>
      </c>
    </row>
    <row r="1502" spans="1:13" x14ac:dyDescent="0.25">
      <c r="A1502" s="417" t="s">
        <v>3385</v>
      </c>
      <c r="B1502" s="417" t="s">
        <v>2627</v>
      </c>
      <c r="C1502" s="417" t="s">
        <v>5394</v>
      </c>
      <c r="D1502" s="417" t="s">
        <v>88</v>
      </c>
      <c r="E1502" s="423">
        <v>0.11023598505239721</v>
      </c>
      <c r="F1502" s="423">
        <v>2.6529071398656858E-3</v>
      </c>
      <c r="G1502" s="422">
        <v>594.93328703582222</v>
      </c>
      <c r="H1502" s="417" t="s">
        <v>2616</v>
      </c>
      <c r="I1502" s="417" t="s">
        <v>1392</v>
      </c>
      <c r="J1502" s="417" t="s">
        <v>5230</v>
      </c>
      <c r="K1502" s="417" t="s">
        <v>5395</v>
      </c>
      <c r="L1502" s="417"/>
      <c r="M1502" s="417" t="s">
        <v>28840</v>
      </c>
    </row>
    <row r="1503" spans="1:13" x14ac:dyDescent="0.25">
      <c r="A1503" s="417" t="s">
        <v>3385</v>
      </c>
      <c r="B1503" s="417" t="s">
        <v>2627</v>
      </c>
      <c r="C1503" s="417" t="s">
        <v>5396</v>
      </c>
      <c r="D1503" s="417" t="s">
        <v>88</v>
      </c>
      <c r="E1503" s="423">
        <v>9.9821449141053009E-2</v>
      </c>
      <c r="F1503" s="423">
        <v>1.488487445604226E-3</v>
      </c>
      <c r="G1503" s="422">
        <v>574.75360481391067</v>
      </c>
      <c r="H1503" s="417" t="s">
        <v>2616</v>
      </c>
      <c r="I1503" s="417" t="s">
        <v>1392</v>
      </c>
      <c r="J1503" s="417" t="s">
        <v>5230</v>
      </c>
      <c r="K1503" s="417" t="s">
        <v>5397</v>
      </c>
      <c r="L1503" s="417"/>
      <c r="M1503" s="417" t="s">
        <v>28840</v>
      </c>
    </row>
    <row r="1504" spans="1:13" x14ac:dyDescent="0.25">
      <c r="A1504" s="417" t="s">
        <v>3385</v>
      </c>
      <c r="B1504" s="417" t="s">
        <v>2627</v>
      </c>
      <c r="C1504" s="417" t="s">
        <v>5398</v>
      </c>
      <c r="D1504" s="417" t="s">
        <v>88</v>
      </c>
      <c r="E1504" s="423">
        <v>0.42561283168341663</v>
      </c>
      <c r="F1504" s="423">
        <v>1.727142150458715E-3</v>
      </c>
      <c r="G1504" s="422">
        <v>986.27668172155552</v>
      </c>
      <c r="H1504" s="417" t="s">
        <v>2616</v>
      </c>
      <c r="I1504" s="417" t="s">
        <v>1392</v>
      </c>
      <c r="J1504" s="417" t="s">
        <v>5230</v>
      </c>
      <c r="K1504" s="417" t="s">
        <v>5399</v>
      </c>
      <c r="L1504" s="417"/>
      <c r="M1504" s="417" t="s">
        <v>28840</v>
      </c>
    </row>
    <row r="1505" spans="1:13" x14ac:dyDescent="0.25">
      <c r="A1505" s="417" t="s">
        <v>3385</v>
      </c>
      <c r="B1505" s="417" t="s">
        <v>2627</v>
      </c>
      <c r="C1505" s="417" t="s">
        <v>5400</v>
      </c>
      <c r="D1505" s="417" t="s">
        <v>88</v>
      </c>
      <c r="E1505" s="423">
        <v>0.35629480937505131</v>
      </c>
      <c r="F1505" s="423">
        <v>1.456761682265794E-3</v>
      </c>
      <c r="G1505" s="422">
        <v>885.22106942523908</v>
      </c>
      <c r="H1505" s="417" t="s">
        <v>2616</v>
      </c>
      <c r="I1505" s="417" t="s">
        <v>1392</v>
      </c>
      <c r="J1505" s="417" t="s">
        <v>5230</v>
      </c>
      <c r="K1505" s="417" t="s">
        <v>5401</v>
      </c>
      <c r="L1505" s="417"/>
      <c r="M1505" s="417" t="s">
        <v>28840</v>
      </c>
    </row>
    <row r="1506" spans="1:13" x14ac:dyDescent="0.25">
      <c r="A1506" s="417" t="s">
        <v>3385</v>
      </c>
      <c r="B1506" s="417" t="s">
        <v>2627</v>
      </c>
      <c r="C1506" s="417" t="s">
        <v>5402</v>
      </c>
      <c r="D1506" s="417" t="s">
        <v>88</v>
      </c>
      <c r="E1506" s="423">
        <v>0.28813261368007642</v>
      </c>
      <c r="F1506" s="423">
        <v>2.556167453091339E-3</v>
      </c>
      <c r="G1506" s="422">
        <v>810.76976686208855</v>
      </c>
      <c r="H1506" s="417" t="s">
        <v>2616</v>
      </c>
      <c r="I1506" s="417" t="s">
        <v>1392</v>
      </c>
      <c r="J1506" s="417" t="s">
        <v>5230</v>
      </c>
      <c r="K1506" s="417" t="s">
        <v>5403</v>
      </c>
      <c r="L1506" s="417"/>
      <c r="M1506" s="417" t="s">
        <v>28840</v>
      </c>
    </row>
    <row r="1507" spans="1:13" x14ac:dyDescent="0.25">
      <c r="A1507" s="417" t="s">
        <v>3385</v>
      </c>
      <c r="B1507" s="417" t="s">
        <v>2627</v>
      </c>
      <c r="C1507" s="417" t="s">
        <v>5404</v>
      </c>
      <c r="D1507" s="417" t="s">
        <v>88</v>
      </c>
      <c r="E1507" s="423">
        <v>0.27244503314341639</v>
      </c>
      <c r="F1507" s="423">
        <v>1.727142150458715E-3</v>
      </c>
      <c r="G1507" s="422">
        <v>800.13594149365008</v>
      </c>
      <c r="H1507" s="417" t="s">
        <v>2616</v>
      </c>
      <c r="I1507" s="417" t="s">
        <v>1392</v>
      </c>
      <c r="J1507" s="417" t="s">
        <v>5230</v>
      </c>
      <c r="K1507" s="417" t="s">
        <v>5405</v>
      </c>
      <c r="L1507" s="417"/>
      <c r="M1507" s="417" t="s">
        <v>28840</v>
      </c>
    </row>
    <row r="1508" spans="1:13" x14ac:dyDescent="0.25">
      <c r="A1508" s="417" t="s">
        <v>3385</v>
      </c>
      <c r="B1508" s="417" t="s">
        <v>2627</v>
      </c>
      <c r="C1508" s="417" t="s">
        <v>5406</v>
      </c>
      <c r="D1508" s="417" t="s">
        <v>88</v>
      </c>
      <c r="E1508" s="423">
        <v>0.76667314853783441</v>
      </c>
      <c r="F1508" s="423">
        <v>1.5887257674854929E-3</v>
      </c>
      <c r="G1508" s="422">
        <v>1394.1581335839719</v>
      </c>
      <c r="H1508" s="417" t="s">
        <v>2616</v>
      </c>
      <c r="I1508" s="417" t="s">
        <v>1392</v>
      </c>
      <c r="J1508" s="417" t="s">
        <v>5230</v>
      </c>
      <c r="K1508" s="417" t="s">
        <v>5407</v>
      </c>
      <c r="L1508" s="417"/>
      <c r="M1508" s="417" t="s">
        <v>28840</v>
      </c>
    </row>
    <row r="1509" spans="1:13" x14ac:dyDescent="0.25">
      <c r="A1509" s="417" t="s">
        <v>3385</v>
      </c>
      <c r="B1509" s="417" t="s">
        <v>2627</v>
      </c>
      <c r="C1509" s="417" t="s">
        <v>5408</v>
      </c>
      <c r="D1509" s="417" t="s">
        <v>88</v>
      </c>
      <c r="E1509" s="423">
        <v>0.57022278158181139</v>
      </c>
      <c r="F1509" s="423">
        <v>1.5031947830298829E-3</v>
      </c>
      <c r="G1509" s="422">
        <v>1149.234136026922</v>
      </c>
      <c r="H1509" s="417" t="s">
        <v>2616</v>
      </c>
      <c r="I1509" s="417" t="s">
        <v>1392</v>
      </c>
      <c r="J1509" s="417" t="s">
        <v>5230</v>
      </c>
      <c r="K1509" s="417" t="s">
        <v>5409</v>
      </c>
      <c r="L1509" s="417"/>
      <c r="M1509" s="417" t="s">
        <v>28840</v>
      </c>
    </row>
    <row r="1510" spans="1:13" x14ac:dyDescent="0.25">
      <c r="A1510" s="417" t="s">
        <v>3385</v>
      </c>
      <c r="B1510" s="417" t="s">
        <v>2627</v>
      </c>
      <c r="C1510" s="417" t="s">
        <v>5410</v>
      </c>
      <c r="D1510" s="417" t="s">
        <v>88</v>
      </c>
      <c r="E1510" s="423">
        <v>0.22551629330942</v>
      </c>
      <c r="F1510" s="423">
        <v>1.1484154502159249E-3</v>
      </c>
      <c r="G1510" s="422">
        <v>741.94199310521344</v>
      </c>
      <c r="H1510" s="417" t="s">
        <v>2616</v>
      </c>
      <c r="I1510" s="417" t="s">
        <v>1392</v>
      </c>
      <c r="J1510" s="417" t="s">
        <v>5230</v>
      </c>
      <c r="K1510" s="417" t="s">
        <v>5411</v>
      </c>
      <c r="L1510" s="417"/>
      <c r="M1510" s="417" t="s">
        <v>28840</v>
      </c>
    </row>
    <row r="1511" spans="1:13" x14ac:dyDescent="0.25">
      <c r="A1511" s="417" t="s">
        <v>3385</v>
      </c>
      <c r="B1511" s="417" t="s">
        <v>2627</v>
      </c>
      <c r="C1511" s="417" t="s">
        <v>5412</v>
      </c>
      <c r="D1511" s="417" t="s">
        <v>88</v>
      </c>
      <c r="E1511" s="423">
        <v>0.6424912301411515</v>
      </c>
      <c r="F1511" s="423">
        <v>5.5462950539919634E-3</v>
      </c>
      <c r="G1511" s="422">
        <v>1283.8168744287971</v>
      </c>
      <c r="H1511" s="417" t="s">
        <v>2616</v>
      </c>
      <c r="I1511" s="417" t="s">
        <v>1392</v>
      </c>
      <c r="J1511" s="417" t="s">
        <v>5230</v>
      </c>
      <c r="K1511" s="417" t="s">
        <v>5413</v>
      </c>
      <c r="L1511" s="417"/>
      <c r="M1511" s="417" t="s">
        <v>28840</v>
      </c>
    </row>
    <row r="1512" spans="1:13" x14ac:dyDescent="0.25">
      <c r="A1512" s="417" t="s">
        <v>3385</v>
      </c>
      <c r="B1512" s="417" t="s">
        <v>2627</v>
      </c>
      <c r="C1512" s="417" t="s">
        <v>5414</v>
      </c>
      <c r="D1512" s="417" t="s">
        <v>88</v>
      </c>
      <c r="E1512" s="423">
        <v>6.2252926869834511</v>
      </c>
      <c r="F1512" s="423">
        <v>1.866350818687914E-3</v>
      </c>
      <c r="G1512" s="422">
        <v>8005.6663524721962</v>
      </c>
      <c r="H1512" s="417" t="s">
        <v>2616</v>
      </c>
      <c r="I1512" s="417" t="s">
        <v>1392</v>
      </c>
      <c r="J1512" s="417" t="s">
        <v>5230</v>
      </c>
      <c r="K1512" s="417" t="s">
        <v>5415</v>
      </c>
      <c r="L1512" s="417"/>
      <c r="M1512" s="417" t="s">
        <v>28840</v>
      </c>
    </row>
    <row r="1513" spans="1:13" x14ac:dyDescent="0.25">
      <c r="A1513" s="417" t="s">
        <v>3385</v>
      </c>
      <c r="B1513" s="417" t="s">
        <v>2627</v>
      </c>
      <c r="C1513" s="417" t="s">
        <v>5416</v>
      </c>
      <c r="D1513" s="417" t="s">
        <v>88</v>
      </c>
      <c r="E1513" s="423">
        <v>0.43809536615553107</v>
      </c>
      <c r="F1513" s="423">
        <v>1.8264497331906789E-3</v>
      </c>
      <c r="G1513" s="422">
        <v>997.66157749523154</v>
      </c>
      <c r="H1513" s="417" t="s">
        <v>2616</v>
      </c>
      <c r="I1513" s="417" t="s">
        <v>1392</v>
      </c>
      <c r="J1513" s="417" t="s">
        <v>5230</v>
      </c>
      <c r="K1513" s="417" t="s">
        <v>5417</v>
      </c>
      <c r="L1513" s="417"/>
      <c r="M1513" s="417" t="s">
        <v>28840</v>
      </c>
    </row>
    <row r="1514" spans="1:13" x14ac:dyDescent="0.25">
      <c r="A1514" s="417" t="s">
        <v>3385</v>
      </c>
      <c r="B1514" s="417" t="s">
        <v>2627</v>
      </c>
      <c r="C1514" s="417" t="s">
        <v>5418</v>
      </c>
      <c r="D1514" s="417" t="s">
        <v>88</v>
      </c>
      <c r="E1514" s="423">
        <v>0.42980265410718282</v>
      </c>
      <c r="F1514" s="423">
        <v>1.500986350357735E-3</v>
      </c>
      <c r="G1514" s="422">
        <v>974.84311144856702</v>
      </c>
      <c r="H1514" s="417" t="s">
        <v>2616</v>
      </c>
      <c r="I1514" s="417" t="s">
        <v>1392</v>
      </c>
      <c r="J1514" s="417" t="s">
        <v>5230</v>
      </c>
      <c r="K1514" s="417" t="s">
        <v>5419</v>
      </c>
      <c r="L1514" s="417"/>
      <c r="M1514" s="417" t="s">
        <v>28840</v>
      </c>
    </row>
    <row r="1515" spans="1:13" x14ac:dyDescent="0.25">
      <c r="A1515" s="417" t="s">
        <v>3385</v>
      </c>
      <c r="B1515" s="417" t="s">
        <v>2627</v>
      </c>
      <c r="C1515" s="417" t="s">
        <v>5420</v>
      </c>
      <c r="D1515" s="417" t="s">
        <v>88</v>
      </c>
      <c r="E1515" s="423">
        <v>0.54599483641769664</v>
      </c>
      <c r="F1515" s="423">
        <v>1.9383546750417341E-3</v>
      </c>
      <c r="G1515" s="422">
        <v>1166.049264635516</v>
      </c>
      <c r="H1515" s="417" t="s">
        <v>2616</v>
      </c>
      <c r="I1515" s="417" t="s">
        <v>1392</v>
      </c>
      <c r="J1515" s="417" t="s">
        <v>5230</v>
      </c>
      <c r="K1515" s="417" t="s">
        <v>5421</v>
      </c>
      <c r="L1515" s="417"/>
      <c r="M1515" s="417" t="s">
        <v>28840</v>
      </c>
    </row>
    <row r="1516" spans="1:13" x14ac:dyDescent="0.25">
      <c r="A1516" s="417" t="s">
        <v>3385</v>
      </c>
      <c r="B1516" s="417" t="s">
        <v>2627</v>
      </c>
      <c r="C1516" s="417" t="s">
        <v>5422</v>
      </c>
      <c r="D1516" s="417" t="s">
        <v>88</v>
      </c>
      <c r="E1516" s="423">
        <v>0.1211318688493225</v>
      </c>
      <c r="F1516" s="423">
        <v>1.679946019670197E-3</v>
      </c>
      <c r="G1516" s="422">
        <v>616.45599534547557</v>
      </c>
      <c r="H1516" s="417" t="s">
        <v>2616</v>
      </c>
      <c r="I1516" s="417" t="s">
        <v>1392</v>
      </c>
      <c r="J1516" s="417" t="s">
        <v>5230</v>
      </c>
      <c r="K1516" s="417" t="s">
        <v>5423</v>
      </c>
      <c r="L1516" s="417"/>
      <c r="M1516" s="417" t="s">
        <v>28840</v>
      </c>
    </row>
    <row r="1517" spans="1:13" x14ac:dyDescent="0.25">
      <c r="A1517" s="417" t="s">
        <v>3385</v>
      </c>
      <c r="B1517" s="417" t="s">
        <v>2627</v>
      </c>
      <c r="C1517" s="417" t="s">
        <v>5424</v>
      </c>
      <c r="D1517" s="417" t="s">
        <v>88</v>
      </c>
      <c r="E1517" s="423">
        <v>0.4106538999167833</v>
      </c>
      <c r="F1517" s="423">
        <v>2.1392420011889621E-3</v>
      </c>
      <c r="G1517" s="422">
        <v>948.67439375813285</v>
      </c>
      <c r="H1517" s="417" t="s">
        <v>2616</v>
      </c>
      <c r="I1517" s="417" t="s">
        <v>1392</v>
      </c>
      <c r="J1517" s="417" t="s">
        <v>5230</v>
      </c>
      <c r="K1517" s="417" t="s">
        <v>5425</v>
      </c>
      <c r="L1517" s="417"/>
      <c r="M1517" s="417" t="s">
        <v>28840</v>
      </c>
    </row>
    <row r="1518" spans="1:13" x14ac:dyDescent="0.25">
      <c r="A1518" s="417" t="s">
        <v>3385</v>
      </c>
      <c r="B1518" s="417" t="s">
        <v>2627</v>
      </c>
      <c r="C1518" s="417" t="s">
        <v>5426</v>
      </c>
      <c r="D1518" s="417" t="s">
        <v>88</v>
      </c>
      <c r="E1518" s="423">
        <v>2.3064569572245839</v>
      </c>
      <c r="F1518" s="423">
        <v>1.866350818874422E-3</v>
      </c>
      <c r="G1518" s="422">
        <v>3255.6148011381379</v>
      </c>
      <c r="H1518" s="417" t="s">
        <v>2616</v>
      </c>
      <c r="I1518" s="417" t="s">
        <v>1392</v>
      </c>
      <c r="J1518" s="417" t="s">
        <v>5230</v>
      </c>
      <c r="K1518" s="417" t="s">
        <v>5427</v>
      </c>
      <c r="L1518" s="417"/>
      <c r="M1518" s="417" t="s">
        <v>28840</v>
      </c>
    </row>
    <row r="1519" spans="1:13" x14ac:dyDescent="0.25">
      <c r="A1519" s="417" t="s">
        <v>3385</v>
      </c>
      <c r="B1519" s="417" t="s">
        <v>2627</v>
      </c>
      <c r="C1519" s="417" t="s">
        <v>5428</v>
      </c>
      <c r="D1519" s="417" t="s">
        <v>88</v>
      </c>
      <c r="E1519" s="423">
        <v>2.2406868685919181</v>
      </c>
      <c r="F1519" s="423">
        <v>1.5009863504556161E-3</v>
      </c>
      <c r="G1519" s="422">
        <v>3173.364535390433</v>
      </c>
      <c r="H1519" s="417" t="s">
        <v>2616</v>
      </c>
      <c r="I1519" s="417" t="s">
        <v>1392</v>
      </c>
      <c r="J1519" s="417" t="s">
        <v>5230</v>
      </c>
      <c r="K1519" s="417" t="s">
        <v>5429</v>
      </c>
      <c r="L1519" s="417"/>
      <c r="M1519" s="417" t="s">
        <v>28840</v>
      </c>
    </row>
    <row r="1520" spans="1:13" x14ac:dyDescent="0.25">
      <c r="A1520" s="417" t="s">
        <v>3385</v>
      </c>
      <c r="B1520" s="417" t="s">
        <v>2627</v>
      </c>
      <c r="C1520" s="417" t="s">
        <v>5430</v>
      </c>
      <c r="D1520" s="417" t="s">
        <v>88</v>
      </c>
      <c r="E1520" s="423">
        <v>0.34320013705885422</v>
      </c>
      <c r="F1520" s="423">
        <v>2.824435432155339E-3</v>
      </c>
      <c r="G1520" s="422">
        <v>942.17356360500287</v>
      </c>
      <c r="H1520" s="417" t="s">
        <v>2616</v>
      </c>
      <c r="I1520" s="417" t="s">
        <v>1392</v>
      </c>
      <c r="J1520" s="417" t="s">
        <v>5230</v>
      </c>
      <c r="K1520" s="417" t="s">
        <v>5431</v>
      </c>
      <c r="L1520" s="417"/>
      <c r="M1520" s="417" t="s">
        <v>28840</v>
      </c>
    </row>
    <row r="1521" spans="1:13" x14ac:dyDescent="0.25">
      <c r="A1521" s="417" t="s">
        <v>3385</v>
      </c>
      <c r="B1521" s="417" t="s">
        <v>2627</v>
      </c>
      <c r="C1521" s="417" t="s">
        <v>5432</v>
      </c>
      <c r="D1521" s="417" t="s">
        <v>88</v>
      </c>
      <c r="E1521" s="423">
        <v>0.64051234383335864</v>
      </c>
      <c r="F1521" s="423">
        <v>2.7952610585527588E-3</v>
      </c>
      <c r="G1521" s="422">
        <v>1271.8240143501071</v>
      </c>
      <c r="H1521" s="417" t="s">
        <v>2616</v>
      </c>
      <c r="I1521" s="417" t="s">
        <v>1392</v>
      </c>
      <c r="J1521" s="417" t="s">
        <v>5230</v>
      </c>
      <c r="K1521" s="417" t="s">
        <v>5433</v>
      </c>
      <c r="L1521" s="417"/>
      <c r="M1521" s="417" t="s">
        <v>28840</v>
      </c>
    </row>
    <row r="1522" spans="1:13" x14ac:dyDescent="0.25">
      <c r="A1522" s="417" t="s">
        <v>3385</v>
      </c>
      <c r="B1522" s="417" t="s">
        <v>2627</v>
      </c>
      <c r="C1522" s="417" t="s">
        <v>5434</v>
      </c>
      <c r="D1522" s="417" t="s">
        <v>88</v>
      </c>
      <c r="E1522" s="423">
        <v>0.55090736523035178</v>
      </c>
      <c r="F1522" s="423">
        <v>2.8081850407258671E-3</v>
      </c>
      <c r="G1522" s="422">
        <v>1131.5919870347241</v>
      </c>
      <c r="H1522" s="417" t="s">
        <v>2616</v>
      </c>
      <c r="I1522" s="417" t="s">
        <v>1392</v>
      </c>
      <c r="J1522" s="417" t="s">
        <v>5230</v>
      </c>
      <c r="K1522" s="417" t="s">
        <v>5435</v>
      </c>
      <c r="L1522" s="417"/>
      <c r="M1522" s="417" t="s">
        <v>28840</v>
      </c>
    </row>
    <row r="1523" spans="1:13" x14ac:dyDescent="0.25">
      <c r="A1523" s="417" t="s">
        <v>3385</v>
      </c>
      <c r="B1523" s="417" t="s">
        <v>2627</v>
      </c>
      <c r="C1523" s="417" t="s">
        <v>5436</v>
      </c>
      <c r="D1523" s="417" t="s">
        <v>88</v>
      </c>
      <c r="E1523" s="423">
        <v>0.3263116492922461</v>
      </c>
      <c r="F1523" s="423">
        <v>3.4038103403658511E-3</v>
      </c>
      <c r="G1523" s="422">
        <v>1495.017680974129</v>
      </c>
      <c r="H1523" s="417" t="s">
        <v>2616</v>
      </c>
      <c r="I1523" s="417" t="s">
        <v>1392</v>
      </c>
      <c r="J1523" s="417" t="s">
        <v>5230</v>
      </c>
      <c r="K1523" s="417" t="s">
        <v>5437</v>
      </c>
      <c r="L1523" s="417"/>
      <c r="M1523" s="417" t="s">
        <v>28840</v>
      </c>
    </row>
    <row r="1524" spans="1:13" x14ac:dyDescent="0.25">
      <c r="A1524" s="417" t="s">
        <v>3385</v>
      </c>
      <c r="B1524" s="417" t="s">
        <v>2627</v>
      </c>
      <c r="C1524" s="417" t="s">
        <v>5438</v>
      </c>
      <c r="D1524" s="417" t="s">
        <v>88</v>
      </c>
      <c r="E1524" s="423">
        <v>0.39919817665674212</v>
      </c>
      <c r="F1524" s="423">
        <v>4.4195370796272183E-3</v>
      </c>
      <c r="G1524" s="422">
        <v>1006.820768309011</v>
      </c>
      <c r="H1524" s="417" t="s">
        <v>2616</v>
      </c>
      <c r="I1524" s="417" t="s">
        <v>1392</v>
      </c>
      <c r="J1524" s="417" t="s">
        <v>5230</v>
      </c>
      <c r="K1524" s="417" t="s">
        <v>5439</v>
      </c>
      <c r="L1524" s="417"/>
      <c r="M1524" s="417" t="s">
        <v>28840</v>
      </c>
    </row>
    <row r="1525" spans="1:13" x14ac:dyDescent="0.25">
      <c r="A1525" s="417" t="s">
        <v>3385</v>
      </c>
      <c r="B1525" s="417" t="s">
        <v>2627</v>
      </c>
      <c r="C1525" s="417" t="s">
        <v>5440</v>
      </c>
      <c r="D1525" s="417" t="s">
        <v>88</v>
      </c>
      <c r="E1525" s="423">
        <v>0.44930030205333188</v>
      </c>
      <c r="F1525" s="423">
        <v>3.2453809374460079E-3</v>
      </c>
      <c r="G1525" s="422">
        <v>1052.0834341034199</v>
      </c>
      <c r="H1525" s="417" t="s">
        <v>2616</v>
      </c>
      <c r="I1525" s="417" t="s">
        <v>1392</v>
      </c>
      <c r="J1525" s="417" t="s">
        <v>5230</v>
      </c>
      <c r="K1525" s="417" t="s">
        <v>5441</v>
      </c>
      <c r="L1525" s="417"/>
      <c r="M1525" s="417" t="s">
        <v>28840</v>
      </c>
    </row>
    <row r="1526" spans="1:13" x14ac:dyDescent="0.25">
      <c r="A1526" s="417" t="s">
        <v>3385</v>
      </c>
      <c r="B1526" s="417" t="s">
        <v>2627</v>
      </c>
      <c r="C1526" s="417" t="s">
        <v>5442</v>
      </c>
      <c r="D1526" s="417" t="s">
        <v>88</v>
      </c>
      <c r="E1526" s="423">
        <v>0.82845538882829683</v>
      </c>
      <c r="F1526" s="423">
        <v>2.8081850407371402E-3</v>
      </c>
      <c r="G1526" s="422">
        <v>1467.7469740505701</v>
      </c>
      <c r="H1526" s="417" t="s">
        <v>2616</v>
      </c>
      <c r="I1526" s="417" t="s">
        <v>1392</v>
      </c>
      <c r="J1526" s="417" t="s">
        <v>5230</v>
      </c>
      <c r="K1526" s="417" t="s">
        <v>5443</v>
      </c>
      <c r="L1526" s="417"/>
      <c r="M1526" s="417" t="s">
        <v>28840</v>
      </c>
    </row>
    <row r="1527" spans="1:13" x14ac:dyDescent="0.25">
      <c r="A1527" s="417" t="s">
        <v>3385</v>
      </c>
      <c r="B1527" s="417" t="s">
        <v>2627</v>
      </c>
      <c r="C1527" s="417" t="s">
        <v>5444</v>
      </c>
      <c r="D1527" s="417" t="s">
        <v>88</v>
      </c>
      <c r="E1527" s="423">
        <v>0.3765778236011702</v>
      </c>
      <c r="F1527" s="423">
        <v>3.0217487788093832E-3</v>
      </c>
      <c r="G1527" s="422">
        <v>919.80555643172852</v>
      </c>
      <c r="H1527" s="417" t="s">
        <v>2616</v>
      </c>
      <c r="I1527" s="417" t="s">
        <v>1392</v>
      </c>
      <c r="J1527" s="417" t="s">
        <v>5230</v>
      </c>
      <c r="K1527" s="417" t="s">
        <v>5445</v>
      </c>
      <c r="L1527" s="417"/>
      <c r="M1527" s="417" t="s">
        <v>28840</v>
      </c>
    </row>
    <row r="1528" spans="1:13" x14ac:dyDescent="0.25">
      <c r="A1528" s="417" t="s">
        <v>3385</v>
      </c>
      <c r="B1528" s="417" t="s">
        <v>2627</v>
      </c>
      <c r="C1528" s="417" t="s">
        <v>5446</v>
      </c>
      <c r="D1528" s="417" t="s">
        <v>88</v>
      </c>
      <c r="E1528" s="423">
        <v>0.3335057707086827</v>
      </c>
      <c r="F1528" s="423">
        <v>4.7745294887925494E-3</v>
      </c>
      <c r="G1528" s="422">
        <v>933.06643858208645</v>
      </c>
      <c r="H1528" s="417" t="s">
        <v>2616</v>
      </c>
      <c r="I1528" s="417" t="s">
        <v>1392</v>
      </c>
      <c r="J1528" s="417" t="s">
        <v>5230</v>
      </c>
      <c r="K1528" s="417" t="s">
        <v>5447</v>
      </c>
      <c r="L1528" s="417"/>
      <c r="M1528" s="417" t="s">
        <v>28840</v>
      </c>
    </row>
    <row r="1529" spans="1:13" x14ac:dyDescent="0.25">
      <c r="A1529" s="417" t="s">
        <v>3385</v>
      </c>
      <c r="B1529" s="417" t="s">
        <v>2627</v>
      </c>
      <c r="C1529" s="417" t="s">
        <v>5448</v>
      </c>
      <c r="D1529" s="417" t="s">
        <v>88</v>
      </c>
      <c r="E1529" s="423">
        <v>0.441248157936112</v>
      </c>
      <c r="F1529" s="423">
        <v>5.0670272204680813E-3</v>
      </c>
      <c r="G1529" s="422">
        <v>1654.026856449547</v>
      </c>
      <c r="H1529" s="417" t="s">
        <v>2616</v>
      </c>
      <c r="I1529" s="417" t="s">
        <v>1392</v>
      </c>
      <c r="J1529" s="417" t="s">
        <v>5230</v>
      </c>
      <c r="K1529" s="417" t="s">
        <v>5449</v>
      </c>
      <c r="L1529" s="417"/>
      <c r="M1529" s="417" t="s">
        <v>28840</v>
      </c>
    </row>
    <row r="1530" spans="1:13" x14ac:dyDescent="0.25">
      <c r="A1530" s="417" t="s">
        <v>3385</v>
      </c>
      <c r="B1530" s="417" t="s">
        <v>2627</v>
      </c>
      <c r="C1530" s="417" t="s">
        <v>5450</v>
      </c>
      <c r="D1530" s="417" t="s">
        <v>88</v>
      </c>
      <c r="E1530" s="423">
        <v>0.35416894984551262</v>
      </c>
      <c r="F1530" s="423">
        <v>2.808185040795874E-3</v>
      </c>
      <c r="G1530" s="422">
        <v>892.92907649972824</v>
      </c>
      <c r="H1530" s="417" t="s">
        <v>2616</v>
      </c>
      <c r="I1530" s="417" t="s">
        <v>1392</v>
      </c>
      <c r="J1530" s="417" t="s">
        <v>5230</v>
      </c>
      <c r="K1530" s="417" t="s">
        <v>5451</v>
      </c>
      <c r="L1530" s="417"/>
      <c r="M1530" s="417" t="s">
        <v>28840</v>
      </c>
    </row>
    <row r="1531" spans="1:13" x14ac:dyDescent="0.25">
      <c r="A1531" s="417" t="s">
        <v>3385</v>
      </c>
      <c r="B1531" s="417" t="s">
        <v>2627</v>
      </c>
      <c r="C1531" s="417" t="s">
        <v>5452</v>
      </c>
      <c r="D1531" s="417" t="s">
        <v>88</v>
      </c>
      <c r="E1531" s="423">
        <v>0.20792751302752299</v>
      </c>
      <c r="F1531" s="423">
        <v>4.076037792645204E-3</v>
      </c>
      <c r="G1531" s="422">
        <v>756.06787427485438</v>
      </c>
      <c r="H1531" s="417" t="s">
        <v>2616</v>
      </c>
      <c r="I1531" s="417" t="s">
        <v>1392</v>
      </c>
      <c r="J1531" s="417" t="s">
        <v>5230</v>
      </c>
      <c r="K1531" s="417" t="s">
        <v>5453</v>
      </c>
      <c r="L1531" s="417"/>
      <c r="M1531" s="417" t="s">
        <v>28840</v>
      </c>
    </row>
    <row r="1532" spans="1:13" x14ac:dyDescent="0.25">
      <c r="A1532" s="417" t="s">
        <v>3385</v>
      </c>
      <c r="B1532" s="417" t="s">
        <v>2627</v>
      </c>
      <c r="C1532" s="417" t="s">
        <v>5454</v>
      </c>
      <c r="D1532" s="417" t="s">
        <v>88</v>
      </c>
      <c r="E1532" s="423">
        <v>1.2565229605651169</v>
      </c>
      <c r="F1532" s="423">
        <v>2.7952610599426258E-3</v>
      </c>
      <c r="G1532" s="422">
        <v>2019.289999233948</v>
      </c>
      <c r="H1532" s="417" t="s">
        <v>2616</v>
      </c>
      <c r="I1532" s="417" t="s">
        <v>1392</v>
      </c>
      <c r="J1532" s="417" t="s">
        <v>5230</v>
      </c>
      <c r="K1532" s="417" t="s">
        <v>5455</v>
      </c>
      <c r="L1532" s="417"/>
      <c r="M1532" s="417" t="s">
        <v>28840</v>
      </c>
    </row>
    <row r="1533" spans="1:13" x14ac:dyDescent="0.25">
      <c r="A1533" s="417" t="s">
        <v>3385</v>
      </c>
      <c r="B1533" s="417" t="s">
        <v>2627</v>
      </c>
      <c r="C1533" s="417" t="s">
        <v>5456</v>
      </c>
      <c r="D1533" s="417" t="s">
        <v>88</v>
      </c>
      <c r="E1533" s="423">
        <v>0.62952367541057119</v>
      </c>
      <c r="F1533" s="423">
        <v>2.808185040674462E-3</v>
      </c>
      <c r="G1533" s="422">
        <v>1228.411393646403</v>
      </c>
      <c r="H1533" s="417" t="s">
        <v>2616</v>
      </c>
      <c r="I1533" s="417" t="s">
        <v>1392</v>
      </c>
      <c r="J1533" s="417" t="s">
        <v>5230</v>
      </c>
      <c r="K1533" s="417" t="s">
        <v>5457</v>
      </c>
      <c r="L1533" s="417"/>
      <c r="M1533" s="417" t="s">
        <v>28840</v>
      </c>
    </row>
    <row r="1534" spans="1:13" x14ac:dyDescent="0.25">
      <c r="A1534" s="417" t="s">
        <v>3385</v>
      </c>
      <c r="B1534" s="417" t="s">
        <v>2627</v>
      </c>
      <c r="C1534" s="417" t="s">
        <v>5458</v>
      </c>
      <c r="D1534" s="417" t="s">
        <v>88</v>
      </c>
      <c r="E1534" s="423">
        <v>0.63404513961354347</v>
      </c>
      <c r="F1534" s="423">
        <v>2.795261058496768E-3</v>
      </c>
      <c r="G1534" s="422">
        <v>1263.7862134859161</v>
      </c>
      <c r="H1534" s="417" t="s">
        <v>2616</v>
      </c>
      <c r="I1534" s="417" t="s">
        <v>1392</v>
      </c>
      <c r="J1534" s="417" t="s">
        <v>5230</v>
      </c>
      <c r="K1534" s="417" t="s">
        <v>5459</v>
      </c>
      <c r="L1534" s="417"/>
      <c r="M1534" s="417" t="s">
        <v>28840</v>
      </c>
    </row>
    <row r="1535" spans="1:13" x14ac:dyDescent="0.25">
      <c r="A1535" s="417" t="s">
        <v>3385</v>
      </c>
      <c r="B1535" s="417" t="s">
        <v>2627</v>
      </c>
      <c r="C1535" s="417" t="s">
        <v>5460</v>
      </c>
      <c r="D1535" s="417" t="s">
        <v>88</v>
      </c>
      <c r="E1535" s="423">
        <v>0.44270142913988297</v>
      </c>
      <c r="F1535" s="423">
        <v>2.7698783025154211E-3</v>
      </c>
      <c r="G1535" s="422">
        <v>1043.132863406227</v>
      </c>
      <c r="H1535" s="417" t="s">
        <v>2616</v>
      </c>
      <c r="I1535" s="417" t="s">
        <v>1392</v>
      </c>
      <c r="J1535" s="417" t="s">
        <v>5230</v>
      </c>
      <c r="K1535" s="417" t="s">
        <v>5461</v>
      </c>
      <c r="L1535" s="417"/>
      <c r="M1535" s="417" t="s">
        <v>28840</v>
      </c>
    </row>
    <row r="1536" spans="1:13" x14ac:dyDescent="0.25">
      <c r="A1536" s="417" t="s">
        <v>3385</v>
      </c>
      <c r="B1536" s="417" t="s">
        <v>2627</v>
      </c>
      <c r="C1536" s="417" t="s">
        <v>5462</v>
      </c>
      <c r="D1536" s="417" t="s">
        <v>88</v>
      </c>
      <c r="E1536" s="423">
        <v>0.22736257802650151</v>
      </c>
      <c r="F1536" s="423">
        <v>2.725939813451365E-3</v>
      </c>
      <c r="G1536" s="422">
        <v>792.15774933863554</v>
      </c>
      <c r="H1536" s="417" t="s">
        <v>2616</v>
      </c>
      <c r="I1536" s="417" t="s">
        <v>1392</v>
      </c>
      <c r="J1536" s="417" t="s">
        <v>5230</v>
      </c>
      <c r="K1536" s="417" t="s">
        <v>5463</v>
      </c>
      <c r="L1536" s="417"/>
      <c r="M1536" s="417" t="s">
        <v>28840</v>
      </c>
    </row>
    <row r="1537" spans="1:13" x14ac:dyDescent="0.25">
      <c r="A1537" s="417" t="s">
        <v>3385</v>
      </c>
      <c r="B1537" s="417" t="s">
        <v>2627</v>
      </c>
      <c r="C1537" s="417" t="s">
        <v>5464</v>
      </c>
      <c r="D1537" s="417" t="s">
        <v>88</v>
      </c>
      <c r="E1537" s="423">
        <v>0.21674648347272649</v>
      </c>
      <c r="F1537" s="423">
        <v>4.5171362292643199E-3</v>
      </c>
      <c r="G1537" s="422">
        <v>768.06843274198332</v>
      </c>
      <c r="H1537" s="417" t="s">
        <v>2616</v>
      </c>
      <c r="I1537" s="417" t="s">
        <v>1392</v>
      </c>
      <c r="J1537" s="417" t="s">
        <v>5230</v>
      </c>
      <c r="K1537" s="417" t="s">
        <v>5465</v>
      </c>
      <c r="L1537" s="417"/>
      <c r="M1537" s="417" t="s">
        <v>28840</v>
      </c>
    </row>
    <row r="1538" spans="1:13" x14ac:dyDescent="0.25">
      <c r="A1538" s="417" t="s">
        <v>3385</v>
      </c>
      <c r="B1538" s="417" t="s">
        <v>2627</v>
      </c>
      <c r="C1538" s="417" t="s">
        <v>5466</v>
      </c>
      <c r="D1538" s="417" t="s">
        <v>88</v>
      </c>
      <c r="E1538" s="423">
        <v>0.54506971063357779</v>
      </c>
      <c r="F1538" s="423">
        <v>2.795261058616598E-3</v>
      </c>
      <c r="G1538" s="422">
        <v>1155.803861535579</v>
      </c>
      <c r="H1538" s="417" t="s">
        <v>2616</v>
      </c>
      <c r="I1538" s="417" t="s">
        <v>1392</v>
      </c>
      <c r="J1538" s="417" t="s">
        <v>5230</v>
      </c>
      <c r="K1538" s="417" t="s">
        <v>5467</v>
      </c>
      <c r="L1538" s="417"/>
      <c r="M1538" s="417" t="s">
        <v>28840</v>
      </c>
    </row>
    <row r="1539" spans="1:13" x14ac:dyDescent="0.25">
      <c r="A1539" s="417" t="s">
        <v>3385</v>
      </c>
      <c r="B1539" s="417" t="s">
        <v>2627</v>
      </c>
      <c r="C1539" s="417" t="s">
        <v>5468</v>
      </c>
      <c r="D1539" s="417" t="s">
        <v>88</v>
      </c>
      <c r="E1539" s="423">
        <v>0.75731980456310188</v>
      </c>
      <c r="F1539" s="423">
        <v>7.0245061042454827E-3</v>
      </c>
      <c r="G1539" s="422">
        <v>2034.279971888627</v>
      </c>
      <c r="H1539" s="417" t="s">
        <v>2616</v>
      </c>
      <c r="I1539" s="417" t="s">
        <v>1392</v>
      </c>
      <c r="J1539" s="417" t="s">
        <v>5230</v>
      </c>
      <c r="K1539" s="417" t="s">
        <v>5469</v>
      </c>
      <c r="L1539" s="417"/>
      <c r="M1539" s="417" t="s">
        <v>28840</v>
      </c>
    </row>
    <row r="1540" spans="1:13" x14ac:dyDescent="0.25">
      <c r="A1540" s="417" t="s">
        <v>3385</v>
      </c>
      <c r="B1540" s="417" t="s">
        <v>2627</v>
      </c>
      <c r="C1540" s="417" t="s">
        <v>5470</v>
      </c>
      <c r="D1540" s="417" t="s">
        <v>88</v>
      </c>
      <c r="E1540" s="423">
        <v>0.80828067486318222</v>
      </c>
      <c r="F1540" s="423">
        <v>5.2641327031114106E-3</v>
      </c>
      <c r="G1540" s="422">
        <v>2109.4707068339171</v>
      </c>
      <c r="H1540" s="417" t="s">
        <v>2616</v>
      </c>
      <c r="I1540" s="417" t="s">
        <v>1392</v>
      </c>
      <c r="J1540" s="417" t="s">
        <v>5230</v>
      </c>
      <c r="K1540" s="417" t="s">
        <v>5471</v>
      </c>
      <c r="L1540" s="417"/>
      <c r="M1540" s="417" t="s">
        <v>28840</v>
      </c>
    </row>
    <row r="1541" spans="1:13" x14ac:dyDescent="0.25">
      <c r="A1541" s="417" t="s">
        <v>3385</v>
      </c>
      <c r="B1541" s="417" t="s">
        <v>2627</v>
      </c>
      <c r="C1541" s="417" t="s">
        <v>5472</v>
      </c>
      <c r="D1541" s="417" t="s">
        <v>88</v>
      </c>
      <c r="E1541" s="423">
        <v>0.61643222194452718</v>
      </c>
      <c r="F1541" s="423">
        <v>2.8244354341459971E-3</v>
      </c>
      <c r="G1541" s="422">
        <v>1275.750243702787</v>
      </c>
      <c r="H1541" s="417" t="s">
        <v>2616</v>
      </c>
      <c r="I1541" s="417" t="s">
        <v>1392</v>
      </c>
      <c r="J1541" s="417" t="s">
        <v>5230</v>
      </c>
      <c r="K1541" s="417" t="s">
        <v>5473</v>
      </c>
      <c r="L1541" s="417"/>
      <c r="M1541" s="417" t="s">
        <v>28840</v>
      </c>
    </row>
    <row r="1542" spans="1:13" x14ac:dyDescent="0.25">
      <c r="A1542" s="417" t="s">
        <v>3385</v>
      </c>
      <c r="B1542" s="417" t="s">
        <v>2627</v>
      </c>
      <c r="C1542" s="417" t="s">
        <v>5474</v>
      </c>
      <c r="D1542" s="417" t="s">
        <v>88</v>
      </c>
      <c r="E1542" s="423">
        <v>0.83457440176267028</v>
      </c>
      <c r="F1542" s="423">
        <v>2.2645494340849549E-3</v>
      </c>
      <c r="G1542" s="422">
        <v>1536.5257558702999</v>
      </c>
      <c r="H1542" s="417" t="s">
        <v>2616</v>
      </c>
      <c r="I1542" s="417" t="s">
        <v>1392</v>
      </c>
      <c r="J1542" s="417" t="s">
        <v>5230</v>
      </c>
      <c r="K1542" s="417" t="s">
        <v>5475</v>
      </c>
      <c r="L1542" s="417"/>
      <c r="M1542" s="417" t="s">
        <v>28840</v>
      </c>
    </row>
    <row r="1543" spans="1:13" x14ac:dyDescent="0.25">
      <c r="A1543" s="417" t="s">
        <v>3385</v>
      </c>
      <c r="B1543" s="417" t="s">
        <v>2627</v>
      </c>
      <c r="C1543" s="417" t="s">
        <v>5476</v>
      </c>
      <c r="D1543" s="417" t="s">
        <v>88</v>
      </c>
      <c r="E1543" s="423">
        <v>0.20907161723255399</v>
      </c>
      <c r="F1543" s="423">
        <v>3.412490197082479E-3</v>
      </c>
      <c r="G1543" s="422">
        <v>755.3731110331488</v>
      </c>
      <c r="H1543" s="417" t="s">
        <v>2616</v>
      </c>
      <c r="I1543" s="417" t="s">
        <v>1392</v>
      </c>
      <c r="J1543" s="417" t="s">
        <v>5230</v>
      </c>
      <c r="K1543" s="417" t="s">
        <v>5477</v>
      </c>
      <c r="L1543" s="417"/>
      <c r="M1543" s="417" t="s">
        <v>28840</v>
      </c>
    </row>
    <row r="1544" spans="1:13" x14ac:dyDescent="0.25">
      <c r="A1544" s="417" t="s">
        <v>3385</v>
      </c>
      <c r="B1544" s="417" t="s">
        <v>2627</v>
      </c>
      <c r="C1544" s="417" t="s">
        <v>5478</v>
      </c>
      <c r="D1544" s="417" t="s">
        <v>88</v>
      </c>
      <c r="E1544" s="423">
        <v>0.21514724863048509</v>
      </c>
      <c r="F1544" s="423">
        <v>5.8650252286915547E-3</v>
      </c>
      <c r="G1544" s="422">
        <v>1381.0874847741411</v>
      </c>
      <c r="H1544" s="417" t="s">
        <v>2616</v>
      </c>
      <c r="I1544" s="417" t="s">
        <v>1392</v>
      </c>
      <c r="J1544" s="417" t="s">
        <v>5230</v>
      </c>
      <c r="K1544" s="417" t="s">
        <v>5479</v>
      </c>
      <c r="L1544" s="417"/>
      <c r="M1544" s="417" t="s">
        <v>28840</v>
      </c>
    </row>
    <row r="1545" spans="1:13" x14ac:dyDescent="0.25">
      <c r="A1545" s="417" t="s">
        <v>3385</v>
      </c>
      <c r="B1545" s="417" t="s">
        <v>2627</v>
      </c>
      <c r="C1545" s="417" t="s">
        <v>5480</v>
      </c>
      <c r="D1545" s="417" t="s">
        <v>88</v>
      </c>
      <c r="E1545" s="423">
        <v>0.20441173770079291</v>
      </c>
      <c r="F1545" s="423">
        <v>5.0076059683693171E-3</v>
      </c>
      <c r="G1545" s="422">
        <v>1373.0650072215781</v>
      </c>
      <c r="H1545" s="417" t="s">
        <v>2616</v>
      </c>
      <c r="I1545" s="417" t="s">
        <v>1392</v>
      </c>
      <c r="J1545" s="417" t="s">
        <v>5230</v>
      </c>
      <c r="K1545" s="417" t="s">
        <v>5481</v>
      </c>
      <c r="L1545" s="417"/>
      <c r="M1545" s="417" t="s">
        <v>28840</v>
      </c>
    </row>
    <row r="1546" spans="1:13" x14ac:dyDescent="0.25">
      <c r="A1546" s="417" t="s">
        <v>3385</v>
      </c>
      <c r="B1546" s="417" t="s">
        <v>2627</v>
      </c>
      <c r="C1546" s="417" t="s">
        <v>5482</v>
      </c>
      <c r="D1546" s="417" t="s">
        <v>88</v>
      </c>
      <c r="E1546" s="423">
        <v>0.31186862626953449</v>
      </c>
      <c r="F1546" s="423">
        <v>2.8244354322059912E-3</v>
      </c>
      <c r="G1546" s="422">
        <v>904.20673464716833</v>
      </c>
      <c r="H1546" s="417" t="s">
        <v>2616</v>
      </c>
      <c r="I1546" s="417" t="s">
        <v>1392</v>
      </c>
      <c r="J1546" s="417" t="s">
        <v>5230</v>
      </c>
      <c r="K1546" s="417" t="s">
        <v>5483</v>
      </c>
      <c r="L1546" s="417"/>
      <c r="M1546" s="417" t="s">
        <v>28840</v>
      </c>
    </row>
    <row r="1547" spans="1:13" x14ac:dyDescent="0.25">
      <c r="A1547" s="417" t="s">
        <v>3385</v>
      </c>
      <c r="B1547" s="417" t="s">
        <v>2627</v>
      </c>
      <c r="C1547" s="417" t="s">
        <v>5484</v>
      </c>
      <c r="D1547" s="417" t="s">
        <v>88</v>
      </c>
      <c r="E1547" s="423">
        <v>0.73788959529797671</v>
      </c>
      <c r="F1547" s="423">
        <v>4.419537079487737E-3</v>
      </c>
      <c r="G1547" s="422">
        <v>1417.442397398323</v>
      </c>
      <c r="H1547" s="417" t="s">
        <v>2616</v>
      </c>
      <c r="I1547" s="417" t="s">
        <v>1392</v>
      </c>
      <c r="J1547" s="417" t="s">
        <v>5230</v>
      </c>
      <c r="K1547" s="417" t="s">
        <v>5485</v>
      </c>
      <c r="L1547" s="417"/>
      <c r="M1547" s="417" t="s">
        <v>28840</v>
      </c>
    </row>
    <row r="1548" spans="1:13" x14ac:dyDescent="0.25">
      <c r="A1548" s="417" t="s">
        <v>3385</v>
      </c>
      <c r="B1548" s="417" t="s">
        <v>2627</v>
      </c>
      <c r="C1548" s="417" t="s">
        <v>5486</v>
      </c>
      <c r="D1548" s="417" t="s">
        <v>88</v>
      </c>
      <c r="E1548" s="423">
        <v>1.187464419936066</v>
      </c>
      <c r="F1548" s="423">
        <v>2.7952610546263901E-3</v>
      </c>
      <c r="G1548" s="422">
        <v>1936.737081867338</v>
      </c>
      <c r="H1548" s="417" t="s">
        <v>2616</v>
      </c>
      <c r="I1548" s="417" t="s">
        <v>1392</v>
      </c>
      <c r="J1548" s="417" t="s">
        <v>5230</v>
      </c>
      <c r="K1548" s="417" t="s">
        <v>5487</v>
      </c>
      <c r="L1548" s="417"/>
      <c r="M1548" s="417" t="s">
        <v>28840</v>
      </c>
    </row>
    <row r="1549" spans="1:13" x14ac:dyDescent="0.25">
      <c r="A1549" s="417" t="s">
        <v>3385</v>
      </c>
      <c r="B1549" s="417" t="s">
        <v>2627</v>
      </c>
      <c r="C1549" s="417" t="s">
        <v>5488</v>
      </c>
      <c r="D1549" s="417" t="s">
        <v>88</v>
      </c>
      <c r="E1549" s="423">
        <v>0.59052060915215621</v>
      </c>
      <c r="F1549" s="423">
        <v>5.6169559282459799E-3</v>
      </c>
      <c r="G1549" s="422">
        <v>1256.1243580887869</v>
      </c>
      <c r="H1549" s="417" t="s">
        <v>2616</v>
      </c>
      <c r="I1549" s="417" t="s">
        <v>1392</v>
      </c>
      <c r="J1549" s="417" t="s">
        <v>5230</v>
      </c>
      <c r="K1549" s="417" t="s">
        <v>5489</v>
      </c>
      <c r="L1549" s="417"/>
      <c r="M1549" s="417" t="s">
        <v>28840</v>
      </c>
    </row>
    <row r="1550" spans="1:13" x14ac:dyDescent="0.25">
      <c r="A1550" s="417" t="s">
        <v>3385</v>
      </c>
      <c r="B1550" s="417" t="s">
        <v>2627</v>
      </c>
      <c r="C1550" s="417" t="s">
        <v>5490</v>
      </c>
      <c r="D1550" s="417" t="s">
        <v>88</v>
      </c>
      <c r="E1550" s="423">
        <v>0.61469501889313483</v>
      </c>
      <c r="F1550" s="423">
        <v>4.6929296300387462E-3</v>
      </c>
      <c r="G1550" s="422">
        <v>1861.817098112007</v>
      </c>
      <c r="H1550" s="417" t="s">
        <v>2616</v>
      </c>
      <c r="I1550" s="417" t="s">
        <v>1392</v>
      </c>
      <c r="J1550" s="417" t="s">
        <v>5230</v>
      </c>
      <c r="K1550" s="417" t="s">
        <v>5491</v>
      </c>
      <c r="L1550" s="417"/>
      <c r="M1550" s="417" t="s">
        <v>28840</v>
      </c>
    </row>
    <row r="1551" spans="1:13" x14ac:dyDescent="0.25">
      <c r="A1551" s="417" t="s">
        <v>3385</v>
      </c>
      <c r="B1551" s="417" t="s">
        <v>2627</v>
      </c>
      <c r="C1551" s="417" t="s">
        <v>5492</v>
      </c>
      <c r="D1551" s="417" t="s">
        <v>88</v>
      </c>
      <c r="E1551" s="423">
        <v>0.89527179551567859</v>
      </c>
      <c r="F1551" s="423">
        <v>3.0004251989549451E-3</v>
      </c>
      <c r="G1551" s="422">
        <v>1581.29448287269</v>
      </c>
      <c r="H1551" s="417" t="s">
        <v>2616</v>
      </c>
      <c r="I1551" s="417" t="s">
        <v>1392</v>
      </c>
      <c r="J1551" s="417" t="s">
        <v>5230</v>
      </c>
      <c r="K1551" s="417" t="s">
        <v>5493</v>
      </c>
      <c r="L1551" s="417"/>
      <c r="M1551" s="417" t="s">
        <v>28840</v>
      </c>
    </row>
    <row r="1552" spans="1:13" x14ac:dyDescent="0.25">
      <c r="A1552" s="417" t="s">
        <v>3385</v>
      </c>
      <c r="B1552" s="417" t="s">
        <v>2627</v>
      </c>
      <c r="C1552" s="417" t="s">
        <v>5494</v>
      </c>
      <c r="D1552" s="417" t="s">
        <v>88</v>
      </c>
      <c r="E1552" s="423">
        <v>0.12279309596926929</v>
      </c>
      <c r="F1552" s="423">
        <v>3.6013205305484349E-3</v>
      </c>
      <c r="G1552" s="422">
        <v>650.46036943867512</v>
      </c>
      <c r="H1552" s="417" t="s">
        <v>2616</v>
      </c>
      <c r="I1552" s="417" t="s">
        <v>1392</v>
      </c>
      <c r="J1552" s="417" t="s">
        <v>5230</v>
      </c>
      <c r="K1552" s="417" t="s">
        <v>5495</v>
      </c>
      <c r="L1552" s="417"/>
      <c r="M1552" s="417" t="s">
        <v>28840</v>
      </c>
    </row>
    <row r="1553" spans="1:13" x14ac:dyDescent="0.25">
      <c r="A1553" s="417" t="s">
        <v>3385</v>
      </c>
      <c r="B1553" s="417" t="s">
        <v>2627</v>
      </c>
      <c r="C1553" s="417" t="s">
        <v>5496</v>
      </c>
      <c r="D1553" s="417" t="s">
        <v>88</v>
      </c>
      <c r="E1553" s="423">
        <v>0.1123785692765614</v>
      </c>
      <c r="F1553" s="423">
        <v>2.4369037403623871E-3</v>
      </c>
      <c r="G1553" s="422">
        <v>630.28071210751216</v>
      </c>
      <c r="H1553" s="417" t="s">
        <v>2616</v>
      </c>
      <c r="I1553" s="417" t="s">
        <v>1392</v>
      </c>
      <c r="J1553" s="417" t="s">
        <v>5230</v>
      </c>
      <c r="K1553" s="417" t="s">
        <v>5497</v>
      </c>
      <c r="L1553" s="417"/>
      <c r="M1553" s="417" t="s">
        <v>28840</v>
      </c>
    </row>
    <row r="1554" spans="1:13" x14ac:dyDescent="0.25">
      <c r="A1554" s="417" t="s">
        <v>3385</v>
      </c>
      <c r="B1554" s="417" t="s">
        <v>2627</v>
      </c>
      <c r="C1554" s="417" t="s">
        <v>5498</v>
      </c>
      <c r="D1554" s="417" t="s">
        <v>88</v>
      </c>
      <c r="E1554" s="423">
        <v>0.44065761972214229</v>
      </c>
      <c r="F1554" s="423">
        <v>2.8244354328499622E-3</v>
      </c>
      <c r="G1554" s="422">
        <v>1060.861520497562</v>
      </c>
      <c r="H1554" s="417" t="s">
        <v>2616</v>
      </c>
      <c r="I1554" s="417" t="s">
        <v>1392</v>
      </c>
      <c r="J1554" s="417" t="s">
        <v>5230</v>
      </c>
      <c r="K1554" s="417" t="s">
        <v>5499</v>
      </c>
      <c r="L1554" s="417"/>
      <c r="M1554" s="417" t="s">
        <v>28840</v>
      </c>
    </row>
    <row r="1555" spans="1:13" x14ac:dyDescent="0.25">
      <c r="A1555" s="417" t="s">
        <v>3385</v>
      </c>
      <c r="B1555" s="417" t="s">
        <v>2627</v>
      </c>
      <c r="C1555" s="417" t="s">
        <v>5500</v>
      </c>
      <c r="D1555" s="417" t="s">
        <v>88</v>
      </c>
      <c r="E1555" s="423">
        <v>0.37484780589434857</v>
      </c>
      <c r="F1555" s="423">
        <v>2.7639603724612201E-3</v>
      </c>
      <c r="G1555" s="422">
        <v>917.49555382510243</v>
      </c>
      <c r="H1555" s="417" t="s">
        <v>2616</v>
      </c>
      <c r="I1555" s="417" t="s">
        <v>1392</v>
      </c>
      <c r="J1555" s="417" t="s">
        <v>5230</v>
      </c>
      <c r="K1555" s="417" t="s">
        <v>5501</v>
      </c>
      <c r="L1555" s="417"/>
      <c r="M1555" s="417" t="s">
        <v>28840</v>
      </c>
    </row>
    <row r="1556" spans="1:13" x14ac:dyDescent="0.25">
      <c r="A1556" s="417" t="s">
        <v>3385</v>
      </c>
      <c r="B1556" s="417" t="s">
        <v>2627</v>
      </c>
      <c r="C1556" s="417" t="s">
        <v>5502</v>
      </c>
      <c r="D1556" s="417" t="s">
        <v>88</v>
      </c>
      <c r="E1556" s="423">
        <v>0.30068972458818399</v>
      </c>
      <c r="F1556" s="423">
        <v>3.5045808425406529E-3</v>
      </c>
      <c r="G1556" s="422">
        <v>866.29684925436095</v>
      </c>
      <c r="H1556" s="417" t="s">
        <v>2616</v>
      </c>
      <c r="I1556" s="417" t="s">
        <v>1392</v>
      </c>
      <c r="J1556" s="417" t="s">
        <v>5230</v>
      </c>
      <c r="K1556" s="417" t="s">
        <v>5503</v>
      </c>
      <c r="L1556" s="417"/>
      <c r="M1556" s="417" t="s">
        <v>28840</v>
      </c>
    </row>
    <row r="1557" spans="1:13" x14ac:dyDescent="0.25">
      <c r="A1557" s="417" t="s">
        <v>3385</v>
      </c>
      <c r="B1557" s="417" t="s">
        <v>2627</v>
      </c>
      <c r="C1557" s="417" t="s">
        <v>5504</v>
      </c>
      <c r="D1557" s="417" t="s">
        <v>88</v>
      </c>
      <c r="E1557" s="423">
        <v>0.28748982116995592</v>
      </c>
      <c r="F1557" s="423">
        <v>2.8244354321008058E-3</v>
      </c>
      <c r="G1557" s="422">
        <v>874.72078025945848</v>
      </c>
      <c r="H1557" s="417" t="s">
        <v>2616</v>
      </c>
      <c r="I1557" s="417" t="s">
        <v>1392</v>
      </c>
      <c r="J1557" s="417" t="s">
        <v>5230</v>
      </c>
      <c r="K1557" s="417" t="s">
        <v>5505</v>
      </c>
      <c r="L1557" s="417"/>
      <c r="M1557" s="417" t="s">
        <v>28840</v>
      </c>
    </row>
    <row r="1558" spans="1:13" x14ac:dyDescent="0.25">
      <c r="A1558" s="417" t="s">
        <v>3385</v>
      </c>
      <c r="B1558" s="417" t="s">
        <v>2627</v>
      </c>
      <c r="C1558" s="417" t="s">
        <v>5506</v>
      </c>
      <c r="D1558" s="417" t="s">
        <v>88</v>
      </c>
      <c r="E1558" s="423">
        <v>0.77923025953742064</v>
      </c>
      <c r="F1558" s="423">
        <v>2.5371391628385789E-3</v>
      </c>
      <c r="G1558" s="422">
        <v>1449.685216150275</v>
      </c>
      <c r="H1558" s="417" t="s">
        <v>2616</v>
      </c>
      <c r="I1558" s="417" t="s">
        <v>1392</v>
      </c>
      <c r="J1558" s="417" t="s">
        <v>5230</v>
      </c>
      <c r="K1558" s="417" t="s">
        <v>5507</v>
      </c>
      <c r="L1558" s="417"/>
      <c r="M1558" s="417" t="s">
        <v>28840</v>
      </c>
    </row>
    <row r="1559" spans="1:13" x14ac:dyDescent="0.25">
      <c r="A1559" s="417" t="s">
        <v>3385</v>
      </c>
      <c r="B1559" s="417" t="s">
        <v>2627</v>
      </c>
      <c r="C1559" s="417" t="s">
        <v>5508</v>
      </c>
      <c r="D1559" s="417" t="s">
        <v>88</v>
      </c>
      <c r="E1559" s="423">
        <v>0.61124583302985969</v>
      </c>
      <c r="F1559" s="423">
        <v>3.9361565185292028E-3</v>
      </c>
      <c r="G1559" s="422">
        <v>1264.504321454481</v>
      </c>
      <c r="H1559" s="417" t="s">
        <v>2616</v>
      </c>
      <c r="I1559" s="417" t="s">
        <v>1392</v>
      </c>
      <c r="J1559" s="417" t="s">
        <v>5230</v>
      </c>
      <c r="K1559" s="417" t="s">
        <v>5509</v>
      </c>
      <c r="L1559" s="417"/>
      <c r="M1559" s="417" t="s">
        <v>28840</v>
      </c>
    </row>
    <row r="1560" spans="1:13" x14ac:dyDescent="0.25">
      <c r="A1560" s="417" t="s">
        <v>3385</v>
      </c>
      <c r="B1560" s="417" t="s">
        <v>2627</v>
      </c>
      <c r="C1560" s="417" t="s">
        <v>5510</v>
      </c>
      <c r="D1560" s="417" t="s">
        <v>88</v>
      </c>
      <c r="E1560" s="423">
        <v>0.24056108128378109</v>
      </c>
      <c r="F1560" s="423">
        <v>2.2457087299560521E-3</v>
      </c>
      <c r="G1560" s="422">
        <v>816.52683177643735</v>
      </c>
      <c r="H1560" s="417" t="s">
        <v>2616</v>
      </c>
      <c r="I1560" s="417" t="s">
        <v>1392</v>
      </c>
      <c r="J1560" s="417" t="s">
        <v>5230</v>
      </c>
      <c r="K1560" s="417" t="s">
        <v>5511</v>
      </c>
      <c r="L1560" s="417"/>
      <c r="M1560" s="417" t="s">
        <v>28840</v>
      </c>
    </row>
    <row r="1561" spans="1:13" x14ac:dyDescent="0.25">
      <c r="A1561" s="417" t="s">
        <v>3385</v>
      </c>
      <c r="B1561" s="417" t="s">
        <v>2627</v>
      </c>
      <c r="C1561" s="417" t="s">
        <v>5512</v>
      </c>
      <c r="D1561" s="417" t="s">
        <v>88</v>
      </c>
      <c r="E1561" s="423">
        <v>0.68188378402320782</v>
      </c>
      <c r="F1561" s="423">
        <v>8.0994813169051934E-3</v>
      </c>
      <c r="G1561" s="422">
        <v>1947.2535763691189</v>
      </c>
      <c r="H1561" s="417" t="s">
        <v>2616</v>
      </c>
      <c r="I1561" s="417" t="s">
        <v>1392</v>
      </c>
      <c r="J1561" s="417" t="s">
        <v>5230</v>
      </c>
      <c r="K1561" s="417" t="s">
        <v>5513</v>
      </c>
      <c r="L1561" s="417"/>
      <c r="M1561" s="417" t="s">
        <v>28840</v>
      </c>
    </row>
    <row r="1562" spans="1:13" x14ac:dyDescent="0.25">
      <c r="A1562" s="417" t="s">
        <v>3385</v>
      </c>
      <c r="B1562" s="417" t="s">
        <v>2627</v>
      </c>
      <c r="C1562" s="417" t="s">
        <v>5514</v>
      </c>
      <c r="D1562" s="417" t="s">
        <v>88</v>
      </c>
      <c r="E1562" s="423">
        <v>6.2646852408369211</v>
      </c>
      <c r="F1562" s="423">
        <v>4.4195370795185986E-3</v>
      </c>
      <c r="G1562" s="422">
        <v>8116.4689379043139</v>
      </c>
      <c r="H1562" s="417" t="s">
        <v>2616</v>
      </c>
      <c r="I1562" s="417" t="s">
        <v>1392</v>
      </c>
      <c r="J1562" s="417" t="s">
        <v>5230</v>
      </c>
      <c r="K1562" s="417" t="s">
        <v>5515</v>
      </c>
      <c r="L1562" s="417"/>
      <c r="M1562" s="417" t="s">
        <v>28840</v>
      </c>
    </row>
    <row r="1563" spans="1:13" x14ac:dyDescent="0.25">
      <c r="A1563" s="417" t="s">
        <v>3385</v>
      </c>
      <c r="B1563" s="417" t="s">
        <v>2627</v>
      </c>
      <c r="C1563" s="417" t="s">
        <v>5516</v>
      </c>
      <c r="D1563" s="417" t="s">
        <v>88</v>
      </c>
      <c r="E1563" s="423">
        <v>0.45314015418242831</v>
      </c>
      <c r="F1563" s="423">
        <v>2.9237430142363399E-3</v>
      </c>
      <c r="G1563" s="422">
        <v>1072.2464162394131</v>
      </c>
      <c r="H1563" s="417" t="s">
        <v>2616</v>
      </c>
      <c r="I1563" s="417" t="s">
        <v>1392</v>
      </c>
      <c r="J1563" s="417" t="s">
        <v>5230</v>
      </c>
      <c r="K1563" s="417" t="s">
        <v>5517</v>
      </c>
      <c r="L1563" s="417"/>
      <c r="M1563" s="417" t="s">
        <v>28840</v>
      </c>
    </row>
    <row r="1564" spans="1:13" x14ac:dyDescent="0.25">
      <c r="A1564" s="417" t="s">
        <v>3385</v>
      </c>
      <c r="B1564" s="417" t="s">
        <v>2627</v>
      </c>
      <c r="C1564" s="417" t="s">
        <v>5518</v>
      </c>
      <c r="D1564" s="417" t="s">
        <v>88</v>
      </c>
      <c r="E1564" s="423">
        <v>0.44835565062629579</v>
      </c>
      <c r="F1564" s="423">
        <v>2.808185040737138E-3</v>
      </c>
      <c r="G1564" s="422">
        <v>1007.11759586095</v>
      </c>
      <c r="H1564" s="417" t="s">
        <v>2616</v>
      </c>
      <c r="I1564" s="417" t="s">
        <v>1392</v>
      </c>
      <c r="J1564" s="417" t="s">
        <v>5230</v>
      </c>
      <c r="K1564" s="417" t="s">
        <v>5519</v>
      </c>
      <c r="L1564" s="417"/>
      <c r="M1564" s="417" t="s">
        <v>28840</v>
      </c>
    </row>
    <row r="1565" spans="1:13" x14ac:dyDescent="0.25">
      <c r="A1565" s="417" t="s">
        <v>3385</v>
      </c>
      <c r="B1565" s="417" t="s">
        <v>2627</v>
      </c>
      <c r="C1565" s="417" t="s">
        <v>5520</v>
      </c>
      <c r="D1565" s="417" t="s">
        <v>88</v>
      </c>
      <c r="E1565" s="423">
        <v>0.58538739024954012</v>
      </c>
      <c r="F1565" s="423">
        <v>4.4915409360171523E-3</v>
      </c>
      <c r="G1565" s="422">
        <v>1829.4859665661349</v>
      </c>
      <c r="H1565" s="417" t="s">
        <v>2616</v>
      </c>
      <c r="I1565" s="417" t="s">
        <v>1392</v>
      </c>
      <c r="J1565" s="417" t="s">
        <v>5230</v>
      </c>
      <c r="K1565" s="417" t="s">
        <v>5521</v>
      </c>
      <c r="L1565" s="417"/>
      <c r="M1565" s="417" t="s">
        <v>28840</v>
      </c>
    </row>
    <row r="1566" spans="1:13" x14ac:dyDescent="0.25">
      <c r="A1566" s="417" t="s">
        <v>3385</v>
      </c>
      <c r="B1566" s="417" t="s">
        <v>2627</v>
      </c>
      <c r="C1566" s="417" t="s">
        <v>5522</v>
      </c>
      <c r="D1566" s="417" t="s">
        <v>88</v>
      </c>
      <c r="E1566" s="423">
        <v>0.13368897969239099</v>
      </c>
      <c r="F1566" s="423">
        <v>2.6283593867964441E-3</v>
      </c>
      <c r="G1566" s="422">
        <v>671.98307765296863</v>
      </c>
      <c r="H1566" s="417" t="s">
        <v>2616</v>
      </c>
      <c r="I1566" s="417" t="s">
        <v>1392</v>
      </c>
      <c r="J1566" s="417" t="s">
        <v>5230</v>
      </c>
      <c r="K1566" s="417" t="s">
        <v>5523</v>
      </c>
      <c r="L1566" s="417"/>
      <c r="M1566" s="417" t="s">
        <v>28840</v>
      </c>
    </row>
    <row r="1567" spans="1:13" x14ac:dyDescent="0.25">
      <c r="A1567" s="417" t="s">
        <v>3385</v>
      </c>
      <c r="B1567" s="417" t="s">
        <v>2627</v>
      </c>
      <c r="C1567" s="417" t="s">
        <v>5524</v>
      </c>
      <c r="D1567" s="417" t="s">
        <v>88</v>
      </c>
      <c r="E1567" s="423">
        <v>0.45334764981640718</v>
      </c>
      <c r="F1567" s="423">
        <v>4.9349365653299747E-3</v>
      </c>
      <c r="G1567" s="422">
        <v>1076.5405898602021</v>
      </c>
      <c r="H1567" s="417" t="s">
        <v>2616</v>
      </c>
      <c r="I1567" s="417" t="s">
        <v>1392</v>
      </c>
      <c r="J1567" s="417" t="s">
        <v>5230</v>
      </c>
      <c r="K1567" s="417" t="s">
        <v>5525</v>
      </c>
      <c r="L1567" s="417"/>
      <c r="M1567" s="417" t="s">
        <v>28840</v>
      </c>
    </row>
    <row r="1568" spans="1:13" x14ac:dyDescent="0.25">
      <c r="A1568" s="417" t="s">
        <v>3385</v>
      </c>
      <c r="B1568" s="417" t="s">
        <v>2627</v>
      </c>
      <c r="C1568" s="417" t="s">
        <v>5526</v>
      </c>
      <c r="D1568" s="417" t="s">
        <v>88</v>
      </c>
      <c r="E1568" s="423">
        <v>2.3458495110776569</v>
      </c>
      <c r="F1568" s="423">
        <v>4.419537079479622E-3</v>
      </c>
      <c r="G1568" s="422">
        <v>3366.4173865717189</v>
      </c>
      <c r="H1568" s="417" t="s">
        <v>2616</v>
      </c>
      <c r="I1568" s="417" t="s">
        <v>1392</v>
      </c>
      <c r="J1568" s="417" t="s">
        <v>5230</v>
      </c>
      <c r="K1568" s="417" t="s">
        <v>5527</v>
      </c>
      <c r="L1568" s="417"/>
      <c r="M1568" s="417" t="s">
        <v>28840</v>
      </c>
    </row>
    <row r="1569" spans="1:13" x14ac:dyDescent="0.25">
      <c r="A1569" s="417" t="s">
        <v>3385</v>
      </c>
      <c r="B1569" s="417" t="s">
        <v>2627</v>
      </c>
      <c r="C1569" s="417" t="s">
        <v>5528</v>
      </c>
      <c r="D1569" s="417" t="s">
        <v>88</v>
      </c>
      <c r="E1569" s="423">
        <v>2.2592398651109131</v>
      </c>
      <c r="F1569" s="423">
        <v>2.808185040693439E-3</v>
      </c>
      <c r="G1569" s="422">
        <v>3205.6390197818509</v>
      </c>
      <c r="H1569" s="417" t="s">
        <v>2616</v>
      </c>
      <c r="I1569" s="417" t="s">
        <v>1392</v>
      </c>
      <c r="J1569" s="417" t="s">
        <v>5230</v>
      </c>
      <c r="K1569" s="417" t="s">
        <v>5529</v>
      </c>
      <c r="L1569" s="417"/>
      <c r="M1569" s="417" t="s">
        <v>28840</v>
      </c>
    </row>
    <row r="1570" spans="1:13" x14ac:dyDescent="0.25">
      <c r="A1570" s="417" t="s">
        <v>3385</v>
      </c>
      <c r="B1570" s="417" t="s">
        <v>2627</v>
      </c>
      <c r="C1570" s="417" t="s">
        <v>5530</v>
      </c>
      <c r="D1570" s="417" t="s">
        <v>88</v>
      </c>
      <c r="E1570" s="423">
        <v>0.44063505954311438</v>
      </c>
      <c r="F1570" s="423">
        <v>2.4847849250804882E-3</v>
      </c>
      <c r="G1570" s="422">
        <v>1044.5679330456969</v>
      </c>
      <c r="H1570" s="417" t="s">
        <v>2616</v>
      </c>
      <c r="I1570" s="417" t="s">
        <v>1392</v>
      </c>
      <c r="J1570" s="417" t="s">
        <v>5531</v>
      </c>
      <c r="K1570" s="417" t="s">
        <v>5532</v>
      </c>
      <c r="L1570" s="417"/>
      <c r="M1570" s="417" t="s">
        <v>28840</v>
      </c>
    </row>
    <row r="1571" spans="1:13" x14ac:dyDescent="0.25">
      <c r="A1571" s="417" t="s">
        <v>3385</v>
      </c>
      <c r="B1571" s="417" t="s">
        <v>2627</v>
      </c>
      <c r="C1571" s="417" t="s">
        <v>5533</v>
      </c>
      <c r="D1571" s="417" t="s">
        <v>88</v>
      </c>
      <c r="E1571" s="423">
        <v>0.57567796255558723</v>
      </c>
      <c r="F1571" s="423">
        <v>2.6449390454086259E-3</v>
      </c>
      <c r="G1571" s="422">
        <v>1200.175738810954</v>
      </c>
      <c r="H1571" s="417" t="s">
        <v>2616</v>
      </c>
      <c r="I1571" s="417" t="s">
        <v>1392</v>
      </c>
      <c r="J1571" s="417" t="s">
        <v>5531</v>
      </c>
      <c r="K1571" s="417" t="s">
        <v>5534</v>
      </c>
      <c r="L1571" s="417"/>
      <c r="M1571" s="417" t="s">
        <v>28840</v>
      </c>
    </row>
    <row r="1572" spans="1:13" x14ac:dyDescent="0.25">
      <c r="A1572" s="417" t="s">
        <v>3385</v>
      </c>
      <c r="B1572" s="417" t="s">
        <v>2627</v>
      </c>
      <c r="C1572" s="417" t="s">
        <v>5535</v>
      </c>
      <c r="D1572" s="417" t="s">
        <v>88</v>
      </c>
      <c r="E1572" s="423">
        <v>0.50984790094246912</v>
      </c>
      <c r="F1572" s="423">
        <v>4.4121254634657608E-3</v>
      </c>
      <c r="G1572" s="422">
        <v>1338.2786457981119</v>
      </c>
      <c r="H1572" s="417" t="s">
        <v>2616</v>
      </c>
      <c r="I1572" s="417" t="s">
        <v>1392</v>
      </c>
      <c r="J1572" s="417" t="s">
        <v>5531</v>
      </c>
      <c r="K1572" s="417" t="s">
        <v>5536</v>
      </c>
      <c r="L1572" s="417"/>
      <c r="M1572" s="417" t="s">
        <v>28840</v>
      </c>
    </row>
    <row r="1573" spans="1:13" x14ac:dyDescent="0.25">
      <c r="A1573" s="417" t="s">
        <v>3385</v>
      </c>
      <c r="B1573" s="417" t="s">
        <v>2627</v>
      </c>
      <c r="C1573" s="417" t="s">
        <v>5537</v>
      </c>
      <c r="D1573" s="417" t="s">
        <v>88</v>
      </c>
      <c r="E1573" s="423">
        <v>0.75702301360980573</v>
      </c>
      <c r="F1573" s="423">
        <v>4.7094413702986641E-3</v>
      </c>
      <c r="G1573" s="422">
        <v>1541.5800226136221</v>
      </c>
      <c r="H1573" s="417" t="s">
        <v>2616</v>
      </c>
      <c r="I1573" s="417" t="s">
        <v>1392</v>
      </c>
      <c r="J1573" s="417" t="s">
        <v>5531</v>
      </c>
      <c r="K1573" s="417" t="s">
        <v>5538</v>
      </c>
      <c r="L1573" s="417"/>
      <c r="M1573" s="417" t="s">
        <v>28840</v>
      </c>
    </row>
    <row r="1574" spans="1:13" x14ac:dyDescent="0.25">
      <c r="A1574" s="417" t="s">
        <v>3385</v>
      </c>
      <c r="B1574" s="417" t="s">
        <v>2627</v>
      </c>
      <c r="C1574" s="417" t="s">
        <v>5539</v>
      </c>
      <c r="D1574" s="417" t="s">
        <v>88</v>
      </c>
      <c r="E1574" s="423">
        <v>0.37635734147715411</v>
      </c>
      <c r="F1574" s="423">
        <v>2.2792589431327782E-3</v>
      </c>
      <c r="G1574" s="422">
        <v>926.6615105196413</v>
      </c>
      <c r="H1574" s="417" t="s">
        <v>2616</v>
      </c>
      <c r="I1574" s="417" t="s">
        <v>1392</v>
      </c>
      <c r="J1574" s="417" t="s">
        <v>5531</v>
      </c>
      <c r="K1574" s="417" t="s">
        <v>5540</v>
      </c>
      <c r="L1574" s="417"/>
      <c r="M1574" s="417" t="s">
        <v>28840</v>
      </c>
    </row>
    <row r="1575" spans="1:13" x14ac:dyDescent="0.25">
      <c r="A1575" s="417" t="s">
        <v>3385</v>
      </c>
      <c r="B1575" s="417" t="s">
        <v>2627</v>
      </c>
      <c r="C1575" s="417" t="s">
        <v>5541</v>
      </c>
      <c r="D1575" s="417" t="s">
        <v>88</v>
      </c>
      <c r="E1575" s="423">
        <v>0.40242244806052718</v>
      </c>
      <c r="F1575" s="423">
        <v>6.698681377858718E-3</v>
      </c>
      <c r="G1575" s="422">
        <v>1040.1918651124661</v>
      </c>
      <c r="H1575" s="417" t="s">
        <v>2616</v>
      </c>
      <c r="I1575" s="417" t="s">
        <v>1392</v>
      </c>
      <c r="J1575" s="417" t="s">
        <v>5531</v>
      </c>
      <c r="K1575" s="417" t="s">
        <v>5542</v>
      </c>
      <c r="L1575" s="417"/>
      <c r="M1575" s="417" t="s">
        <v>28840</v>
      </c>
    </row>
    <row r="1576" spans="1:13" x14ac:dyDescent="0.25">
      <c r="A1576" s="417" t="s">
        <v>3385</v>
      </c>
      <c r="B1576" s="417" t="s">
        <v>2627</v>
      </c>
      <c r="C1576" s="417" t="s">
        <v>5543</v>
      </c>
      <c r="D1576" s="417" t="s">
        <v>88</v>
      </c>
      <c r="E1576" s="423">
        <v>0.74127985572305788</v>
      </c>
      <c r="F1576" s="423">
        <v>5.0073801987119771E-3</v>
      </c>
      <c r="G1576" s="422">
        <v>1514.0343570925411</v>
      </c>
      <c r="H1576" s="417" t="s">
        <v>2616</v>
      </c>
      <c r="I1576" s="417" t="s">
        <v>1392</v>
      </c>
      <c r="J1576" s="417" t="s">
        <v>5531</v>
      </c>
      <c r="K1576" s="417" t="s">
        <v>5544</v>
      </c>
      <c r="L1576" s="417"/>
      <c r="M1576" s="417" t="s">
        <v>28840</v>
      </c>
    </row>
    <row r="1577" spans="1:13" x14ac:dyDescent="0.25">
      <c r="A1577" s="417" t="s">
        <v>3385</v>
      </c>
      <c r="B1577" s="417" t="s">
        <v>2627</v>
      </c>
      <c r="C1577" s="417" t="s">
        <v>5545</v>
      </c>
      <c r="D1577" s="417" t="s">
        <v>88</v>
      </c>
      <c r="E1577" s="423">
        <v>0.55238563967641996</v>
      </c>
      <c r="F1577" s="423">
        <v>4.7850988939946038E-3</v>
      </c>
      <c r="G1577" s="422">
        <v>1449.6711224031831</v>
      </c>
      <c r="H1577" s="417" t="s">
        <v>2616</v>
      </c>
      <c r="I1577" s="417" t="s">
        <v>1392</v>
      </c>
      <c r="J1577" s="417" t="s">
        <v>5531</v>
      </c>
      <c r="K1577" s="417" t="s">
        <v>5546</v>
      </c>
      <c r="L1577" s="417"/>
      <c r="M1577" s="417" t="s">
        <v>28840</v>
      </c>
    </row>
    <row r="1578" spans="1:13" x14ac:dyDescent="0.25">
      <c r="A1578" s="417" t="s">
        <v>3385</v>
      </c>
      <c r="B1578" s="417" t="s">
        <v>2627</v>
      </c>
      <c r="C1578" s="417" t="s">
        <v>5547</v>
      </c>
      <c r="D1578" s="417" t="s">
        <v>88</v>
      </c>
      <c r="E1578" s="423">
        <v>0.36033336780848202</v>
      </c>
      <c r="F1578" s="423">
        <v>3.280539150382468E-3</v>
      </c>
      <c r="G1578" s="422">
        <v>909.5924418637187</v>
      </c>
      <c r="H1578" s="417" t="s">
        <v>2616</v>
      </c>
      <c r="I1578" s="417" t="s">
        <v>1392</v>
      </c>
      <c r="J1578" s="417" t="s">
        <v>5531</v>
      </c>
      <c r="K1578" s="417" t="s">
        <v>5548</v>
      </c>
      <c r="L1578" s="417"/>
      <c r="M1578" s="417" t="s">
        <v>28840</v>
      </c>
    </row>
    <row r="1579" spans="1:13" x14ac:dyDescent="0.25">
      <c r="A1579" s="417" t="s">
        <v>3385</v>
      </c>
      <c r="B1579" s="417" t="s">
        <v>2627</v>
      </c>
      <c r="C1579" s="417" t="s">
        <v>5549</v>
      </c>
      <c r="D1579" s="417" t="s">
        <v>88</v>
      </c>
      <c r="E1579" s="423">
        <v>0.72929198823686481</v>
      </c>
      <c r="F1579" s="423">
        <v>4.5835853446971721E-3</v>
      </c>
      <c r="G1579" s="422">
        <v>1485.7131375939521</v>
      </c>
      <c r="H1579" s="417" t="s">
        <v>2616</v>
      </c>
      <c r="I1579" s="417" t="s">
        <v>1392</v>
      </c>
      <c r="J1579" s="417" t="s">
        <v>5531</v>
      </c>
      <c r="K1579" s="417" t="s">
        <v>5550</v>
      </c>
      <c r="L1579" s="417"/>
      <c r="M1579" s="417" t="s">
        <v>28840</v>
      </c>
    </row>
    <row r="1580" spans="1:13" x14ac:dyDescent="0.25">
      <c r="A1580" s="417" t="s">
        <v>3385</v>
      </c>
      <c r="B1580" s="417" t="s">
        <v>2627</v>
      </c>
      <c r="C1580" s="417" t="s">
        <v>5551</v>
      </c>
      <c r="D1580" s="417" t="s">
        <v>88</v>
      </c>
      <c r="E1580" s="423">
        <v>1.2645991888914421</v>
      </c>
      <c r="F1580" s="423">
        <v>3.3937943667731378E-3</v>
      </c>
      <c r="G1580" s="422">
        <v>2038.906678951884</v>
      </c>
      <c r="H1580" s="417" t="s">
        <v>2616</v>
      </c>
      <c r="I1580" s="417" t="s">
        <v>1392</v>
      </c>
      <c r="J1580" s="417" t="s">
        <v>5531</v>
      </c>
      <c r="K1580" s="417" t="s">
        <v>5552</v>
      </c>
      <c r="L1580" s="417"/>
      <c r="M1580" s="417" t="s">
        <v>28840</v>
      </c>
    </row>
    <row r="1581" spans="1:13" x14ac:dyDescent="0.25">
      <c r="A1581" s="417" t="s">
        <v>3385</v>
      </c>
      <c r="B1581" s="417" t="s">
        <v>2627</v>
      </c>
      <c r="C1581" s="417" t="s">
        <v>5553</v>
      </c>
      <c r="D1581" s="417" t="s">
        <v>88</v>
      </c>
      <c r="E1581" s="423">
        <v>0.74838116682375411</v>
      </c>
      <c r="F1581" s="423">
        <v>4.6209933337505249E-3</v>
      </c>
      <c r="G1581" s="422">
        <v>1512.544549649861</v>
      </c>
      <c r="H1581" s="417" t="s">
        <v>2616</v>
      </c>
      <c r="I1581" s="417" t="s">
        <v>1392</v>
      </c>
      <c r="J1581" s="417" t="s">
        <v>5531</v>
      </c>
      <c r="K1581" s="417" t="s">
        <v>5554</v>
      </c>
      <c r="L1581" s="417"/>
      <c r="M1581" s="417" t="s">
        <v>28840</v>
      </c>
    </row>
    <row r="1582" spans="1:13" x14ac:dyDescent="0.25">
      <c r="A1582" s="417" t="s">
        <v>3385</v>
      </c>
      <c r="B1582" s="417" t="s">
        <v>2627</v>
      </c>
      <c r="C1582" s="417" t="s">
        <v>5555</v>
      </c>
      <c r="D1582" s="417" t="s">
        <v>88</v>
      </c>
      <c r="E1582" s="423">
        <v>0.7340811180142276</v>
      </c>
      <c r="F1582" s="423">
        <v>4.5258953475395321E-3</v>
      </c>
      <c r="G1582" s="422">
        <v>1480.7614843903721</v>
      </c>
      <c r="H1582" s="417" t="s">
        <v>2616</v>
      </c>
      <c r="I1582" s="417" t="s">
        <v>1392</v>
      </c>
      <c r="J1582" s="417" t="s">
        <v>5531</v>
      </c>
      <c r="K1582" s="417" t="s">
        <v>5556</v>
      </c>
      <c r="L1582" s="417"/>
      <c r="M1582" s="417" t="s">
        <v>28840</v>
      </c>
    </row>
    <row r="1583" spans="1:13" x14ac:dyDescent="0.25">
      <c r="A1583" s="417" t="s">
        <v>3385</v>
      </c>
      <c r="B1583" s="417" t="s">
        <v>2627</v>
      </c>
      <c r="C1583" s="417" t="s">
        <v>5557</v>
      </c>
      <c r="D1583" s="417" t="s">
        <v>88</v>
      </c>
      <c r="E1583" s="423">
        <v>0.45442866090486062</v>
      </c>
      <c r="F1583" s="423">
        <v>4.3300899436866007E-3</v>
      </c>
      <c r="G1583" s="422">
        <v>1090.0977470860789</v>
      </c>
      <c r="H1583" s="417" t="s">
        <v>2616</v>
      </c>
      <c r="I1583" s="417" t="s">
        <v>1392</v>
      </c>
      <c r="J1583" s="417" t="s">
        <v>5531</v>
      </c>
      <c r="K1583" s="417" t="s">
        <v>5558</v>
      </c>
      <c r="L1583" s="417"/>
      <c r="M1583" s="417" t="s">
        <v>28840</v>
      </c>
    </row>
    <row r="1584" spans="1:13" x14ac:dyDescent="0.25">
      <c r="A1584" s="417" t="s">
        <v>3385</v>
      </c>
      <c r="B1584" s="417" t="s">
        <v>2627</v>
      </c>
      <c r="C1584" s="417" t="s">
        <v>5559</v>
      </c>
      <c r="D1584" s="417" t="s">
        <v>88</v>
      </c>
      <c r="E1584" s="423">
        <v>0.53833502811768574</v>
      </c>
      <c r="F1584" s="423">
        <v>4.3948503514460082E-3</v>
      </c>
      <c r="G1584" s="422">
        <v>1235.7518001317919</v>
      </c>
      <c r="H1584" s="417" t="s">
        <v>2616</v>
      </c>
      <c r="I1584" s="417" t="s">
        <v>1392</v>
      </c>
      <c r="J1584" s="417" t="s">
        <v>5531</v>
      </c>
      <c r="K1584" s="417" t="s">
        <v>5560</v>
      </c>
      <c r="L1584" s="417"/>
      <c r="M1584" s="417" t="s">
        <v>28840</v>
      </c>
    </row>
    <row r="1585" spans="1:13" x14ac:dyDescent="0.25">
      <c r="A1585" s="417" t="s">
        <v>3385</v>
      </c>
      <c r="B1585" s="417" t="s">
        <v>2627</v>
      </c>
      <c r="C1585" s="417" t="s">
        <v>5561</v>
      </c>
      <c r="D1585" s="417" t="s">
        <v>88</v>
      </c>
      <c r="E1585" s="423">
        <v>0.54377368711278962</v>
      </c>
      <c r="F1585" s="423">
        <v>4.1003389083418586E-3</v>
      </c>
      <c r="G1585" s="422">
        <v>1309.447349979064</v>
      </c>
      <c r="H1585" s="417" t="s">
        <v>2616</v>
      </c>
      <c r="I1585" s="417" t="s">
        <v>1392</v>
      </c>
      <c r="J1585" s="417" t="s">
        <v>5531</v>
      </c>
      <c r="K1585" s="417" t="s">
        <v>5562</v>
      </c>
      <c r="L1585" s="417"/>
      <c r="M1585" s="417" t="s">
        <v>28840</v>
      </c>
    </row>
    <row r="1586" spans="1:13" x14ac:dyDescent="0.25">
      <c r="A1586" s="417" t="s">
        <v>3385</v>
      </c>
      <c r="B1586" s="417" t="s">
        <v>2627</v>
      </c>
      <c r="C1586" s="417" t="s">
        <v>5563</v>
      </c>
      <c r="D1586" s="417" t="s">
        <v>88</v>
      </c>
      <c r="E1586" s="423">
        <v>0.61368039298960364</v>
      </c>
      <c r="F1586" s="423">
        <v>4.801431660507182E-3</v>
      </c>
      <c r="G1586" s="422">
        <v>1408.1661873654471</v>
      </c>
      <c r="H1586" s="417" t="s">
        <v>2616</v>
      </c>
      <c r="I1586" s="417" t="s">
        <v>1392</v>
      </c>
      <c r="J1586" s="417" t="s">
        <v>5531</v>
      </c>
      <c r="K1586" s="417" t="s">
        <v>5564</v>
      </c>
      <c r="L1586" s="417"/>
      <c r="M1586" s="417" t="s">
        <v>28840</v>
      </c>
    </row>
    <row r="1587" spans="1:13" x14ac:dyDescent="0.25">
      <c r="A1587" s="417" t="s">
        <v>3385</v>
      </c>
      <c r="B1587" s="417" t="s">
        <v>2627</v>
      </c>
      <c r="C1587" s="417" t="s">
        <v>5565</v>
      </c>
      <c r="D1587" s="417" t="s">
        <v>88</v>
      </c>
      <c r="E1587" s="423">
        <v>0.61432048920512616</v>
      </c>
      <c r="F1587" s="423">
        <v>3.2145604537745279E-3</v>
      </c>
      <c r="G1587" s="422">
        <v>1279.9791138776791</v>
      </c>
      <c r="H1587" s="417" t="s">
        <v>2616</v>
      </c>
      <c r="I1587" s="417" t="s">
        <v>1392</v>
      </c>
      <c r="J1587" s="417" t="s">
        <v>5531</v>
      </c>
      <c r="K1587" s="417" t="s">
        <v>5566</v>
      </c>
      <c r="L1587" s="417"/>
      <c r="M1587" s="417" t="s">
        <v>28840</v>
      </c>
    </row>
    <row r="1588" spans="1:13" x14ac:dyDescent="0.25">
      <c r="A1588" s="417" t="s">
        <v>3385</v>
      </c>
      <c r="B1588" s="417" t="s">
        <v>2627</v>
      </c>
      <c r="C1588" s="417" t="s">
        <v>5567</v>
      </c>
      <c r="D1588" s="417" t="s">
        <v>88</v>
      </c>
      <c r="E1588" s="423">
        <v>0.83703808328056506</v>
      </c>
      <c r="F1588" s="423">
        <v>2.4268272478198231E-3</v>
      </c>
      <c r="G1588" s="422">
        <v>1538.321085585834</v>
      </c>
      <c r="H1588" s="417" t="s">
        <v>2616</v>
      </c>
      <c r="I1588" s="417" t="s">
        <v>1392</v>
      </c>
      <c r="J1588" s="417" t="s">
        <v>5531</v>
      </c>
      <c r="K1588" s="417" t="s">
        <v>5568</v>
      </c>
      <c r="L1588" s="417"/>
      <c r="M1588" s="417" t="s">
        <v>28840</v>
      </c>
    </row>
    <row r="1589" spans="1:13" x14ac:dyDescent="0.25">
      <c r="A1589" s="417" t="s">
        <v>3385</v>
      </c>
      <c r="B1589" s="417" t="s">
        <v>2627</v>
      </c>
      <c r="C1589" s="417" t="s">
        <v>5569</v>
      </c>
      <c r="D1589" s="417" t="s">
        <v>88</v>
      </c>
      <c r="E1589" s="423">
        <v>0.70689612547554415</v>
      </c>
      <c r="F1589" s="423">
        <v>4.5448130973369328E-3</v>
      </c>
      <c r="G1589" s="422">
        <v>1461.8121844780101</v>
      </c>
      <c r="H1589" s="417" t="s">
        <v>2616</v>
      </c>
      <c r="I1589" s="417" t="s">
        <v>1392</v>
      </c>
      <c r="J1589" s="417" t="s">
        <v>5531</v>
      </c>
      <c r="K1589" s="417" t="s">
        <v>5570</v>
      </c>
      <c r="L1589" s="417"/>
      <c r="M1589" s="417" t="s">
        <v>28840</v>
      </c>
    </row>
    <row r="1590" spans="1:13" x14ac:dyDescent="0.25">
      <c r="A1590" s="417" t="s">
        <v>3385</v>
      </c>
      <c r="B1590" s="417" t="s">
        <v>2627</v>
      </c>
      <c r="C1590" s="417" t="s">
        <v>5571</v>
      </c>
      <c r="D1590" s="417" t="s">
        <v>88</v>
      </c>
      <c r="E1590" s="423">
        <v>0.40169269071477159</v>
      </c>
      <c r="F1590" s="423">
        <v>3.6201211520581361E-3</v>
      </c>
      <c r="G1590" s="422">
        <v>1180.081007796337</v>
      </c>
      <c r="H1590" s="417" t="s">
        <v>2616</v>
      </c>
      <c r="I1590" s="417" t="s">
        <v>1392</v>
      </c>
      <c r="J1590" s="417" t="s">
        <v>5531</v>
      </c>
      <c r="K1590" s="417" t="s">
        <v>5572</v>
      </c>
      <c r="L1590" s="417"/>
      <c r="M1590" s="417" t="s">
        <v>28840</v>
      </c>
    </row>
    <row r="1591" spans="1:13" x14ac:dyDescent="0.25">
      <c r="A1591" s="417" t="s">
        <v>3385</v>
      </c>
      <c r="B1591" s="417" t="s">
        <v>2627</v>
      </c>
      <c r="C1591" s="417" t="s">
        <v>5573</v>
      </c>
      <c r="D1591" s="417" t="s">
        <v>88</v>
      </c>
      <c r="E1591" s="423">
        <v>0.5502855684716641</v>
      </c>
      <c r="F1591" s="423">
        <v>4.356400530014997E-3</v>
      </c>
      <c r="G1591" s="422">
        <v>1368.680552820276</v>
      </c>
      <c r="H1591" s="417" t="s">
        <v>2616</v>
      </c>
      <c r="I1591" s="417" t="s">
        <v>1392</v>
      </c>
      <c r="J1591" s="417" t="s">
        <v>5531</v>
      </c>
      <c r="K1591" s="417" t="s">
        <v>5574</v>
      </c>
      <c r="L1591" s="417"/>
      <c r="M1591" s="417" t="s">
        <v>28840</v>
      </c>
    </row>
    <row r="1592" spans="1:13" x14ac:dyDescent="0.25">
      <c r="A1592" s="417" t="s">
        <v>3385</v>
      </c>
      <c r="B1592" s="417" t="s">
        <v>2627</v>
      </c>
      <c r="C1592" s="417" t="s">
        <v>5575</v>
      </c>
      <c r="D1592" s="417" t="s">
        <v>88</v>
      </c>
      <c r="E1592" s="423">
        <v>0.31212975639088009</v>
      </c>
      <c r="F1592" s="423">
        <v>2.8341940226906471E-3</v>
      </c>
      <c r="G1592" s="422">
        <v>908.42628779025983</v>
      </c>
      <c r="H1592" s="417" t="s">
        <v>2616</v>
      </c>
      <c r="I1592" s="417" t="s">
        <v>1392</v>
      </c>
      <c r="J1592" s="417" t="s">
        <v>5531</v>
      </c>
      <c r="K1592" s="417" t="s">
        <v>5576</v>
      </c>
      <c r="L1592" s="417"/>
      <c r="M1592" s="417" t="s">
        <v>28840</v>
      </c>
    </row>
    <row r="1593" spans="1:13" x14ac:dyDescent="0.25">
      <c r="A1593" s="417" t="s">
        <v>3385</v>
      </c>
      <c r="B1593" s="417" t="s">
        <v>2627</v>
      </c>
      <c r="C1593" s="417" t="s">
        <v>5577</v>
      </c>
      <c r="D1593" s="417" t="s">
        <v>88</v>
      </c>
      <c r="E1593" s="423">
        <v>0.7662740116937069</v>
      </c>
      <c r="F1593" s="423">
        <v>6.6676958821974318E-3</v>
      </c>
      <c r="G1593" s="422">
        <v>1472.32836244025</v>
      </c>
      <c r="H1593" s="417" t="s">
        <v>2616</v>
      </c>
      <c r="I1593" s="417" t="s">
        <v>1392</v>
      </c>
      <c r="J1593" s="417" t="s">
        <v>5531</v>
      </c>
      <c r="K1593" s="417" t="s">
        <v>5578</v>
      </c>
      <c r="L1593" s="417"/>
      <c r="M1593" s="417" t="s">
        <v>28840</v>
      </c>
    </row>
    <row r="1594" spans="1:13" x14ac:dyDescent="0.25">
      <c r="A1594" s="417" t="s">
        <v>3385</v>
      </c>
      <c r="B1594" s="417" t="s">
        <v>2627</v>
      </c>
      <c r="C1594" s="417" t="s">
        <v>5579</v>
      </c>
      <c r="D1594" s="417" t="s">
        <v>88</v>
      </c>
      <c r="E1594" s="423">
        <v>1.1880715599223051</v>
      </c>
      <c r="F1594" s="423">
        <v>2.7954716061215248E-3</v>
      </c>
      <c r="G1594" s="422">
        <v>1940.059537977075</v>
      </c>
      <c r="H1594" s="417" t="s">
        <v>2616</v>
      </c>
      <c r="I1594" s="417" t="s">
        <v>1392</v>
      </c>
      <c r="J1594" s="417" t="s">
        <v>5531</v>
      </c>
      <c r="K1594" s="417" t="s">
        <v>5580</v>
      </c>
      <c r="L1594" s="417"/>
      <c r="M1594" s="417" t="s">
        <v>28840</v>
      </c>
    </row>
    <row r="1595" spans="1:13" x14ac:dyDescent="0.25">
      <c r="A1595" s="417" t="s">
        <v>3385</v>
      </c>
      <c r="B1595" s="417" t="s">
        <v>2627</v>
      </c>
      <c r="C1595" s="417" t="s">
        <v>5581</v>
      </c>
      <c r="D1595" s="417" t="s">
        <v>88</v>
      </c>
      <c r="E1595" s="423">
        <v>0.5570845039185609</v>
      </c>
      <c r="F1595" s="423">
        <v>3.3592855039621841E-3</v>
      </c>
      <c r="G1595" s="422">
        <v>1151.387668246668</v>
      </c>
      <c r="H1595" s="417" t="s">
        <v>2616</v>
      </c>
      <c r="I1595" s="417" t="s">
        <v>1392</v>
      </c>
      <c r="J1595" s="417" t="s">
        <v>5531</v>
      </c>
      <c r="K1595" s="417" t="s">
        <v>5582</v>
      </c>
      <c r="L1595" s="417"/>
      <c r="M1595" s="417" t="s">
        <v>28840</v>
      </c>
    </row>
    <row r="1596" spans="1:13" x14ac:dyDescent="0.25">
      <c r="A1596" s="417" t="s">
        <v>3385</v>
      </c>
      <c r="B1596" s="417" t="s">
        <v>2627</v>
      </c>
      <c r="C1596" s="417" t="s">
        <v>5583</v>
      </c>
      <c r="D1596" s="417" t="s">
        <v>88</v>
      </c>
      <c r="E1596" s="423">
        <v>0.52607117247545265</v>
      </c>
      <c r="F1596" s="423">
        <v>3.6711242601317369E-3</v>
      </c>
      <c r="G1596" s="422">
        <v>1240.073740967056</v>
      </c>
      <c r="H1596" s="417" t="s">
        <v>2616</v>
      </c>
      <c r="I1596" s="417" t="s">
        <v>1392</v>
      </c>
      <c r="J1596" s="417" t="s">
        <v>5531</v>
      </c>
      <c r="K1596" s="417" t="s">
        <v>5584</v>
      </c>
      <c r="L1596" s="417"/>
      <c r="M1596" s="417" t="s">
        <v>28840</v>
      </c>
    </row>
    <row r="1597" spans="1:13" x14ac:dyDescent="0.25">
      <c r="A1597" s="417" t="s">
        <v>3385</v>
      </c>
      <c r="B1597" s="417" t="s">
        <v>2627</v>
      </c>
      <c r="C1597" s="417" t="s">
        <v>5585</v>
      </c>
      <c r="D1597" s="417" t="s">
        <v>88</v>
      </c>
      <c r="E1597" s="423">
        <v>0.59054023453081705</v>
      </c>
      <c r="F1597" s="423">
        <v>2.6396839303108729E-3</v>
      </c>
      <c r="G1597" s="422">
        <v>1220.788330958665</v>
      </c>
      <c r="H1597" s="417" t="s">
        <v>2616</v>
      </c>
      <c r="I1597" s="417" t="s">
        <v>1392</v>
      </c>
      <c r="J1597" s="417" t="s">
        <v>5531</v>
      </c>
      <c r="K1597" s="417" t="s">
        <v>5586</v>
      </c>
      <c r="L1597" s="417"/>
      <c r="M1597" s="417" t="s">
        <v>28840</v>
      </c>
    </row>
    <row r="1598" spans="1:13" x14ac:dyDescent="0.25">
      <c r="A1598" s="417" t="s">
        <v>3385</v>
      </c>
      <c r="B1598" s="417" t="s">
        <v>2627</v>
      </c>
      <c r="C1598" s="417" t="s">
        <v>5587</v>
      </c>
      <c r="D1598" s="417" t="s">
        <v>88</v>
      </c>
      <c r="E1598" s="423">
        <v>0.73899982666926811</v>
      </c>
      <c r="F1598" s="423">
        <v>4.6139546124477843E-3</v>
      </c>
      <c r="G1598" s="422">
        <v>1504.220696356</v>
      </c>
      <c r="H1598" s="417" t="s">
        <v>2616</v>
      </c>
      <c r="I1598" s="417" t="s">
        <v>1392</v>
      </c>
      <c r="J1598" s="417" t="s">
        <v>5531</v>
      </c>
      <c r="K1598" s="417" t="s">
        <v>5588</v>
      </c>
      <c r="L1598" s="417"/>
      <c r="M1598" s="417" t="s">
        <v>28840</v>
      </c>
    </row>
    <row r="1599" spans="1:13" x14ac:dyDescent="0.25">
      <c r="A1599" s="417" t="s">
        <v>3385</v>
      </c>
      <c r="B1599" s="417" t="s">
        <v>2627</v>
      </c>
      <c r="C1599" s="417" t="s">
        <v>5589</v>
      </c>
      <c r="D1599" s="417" t="s">
        <v>88</v>
      </c>
      <c r="E1599" s="423">
        <v>0.11048670279610801</v>
      </c>
      <c r="F1599" s="423">
        <v>2.070283134956791E-3</v>
      </c>
      <c r="G1599" s="422">
        <v>601.24055410901576</v>
      </c>
      <c r="H1599" s="417" t="s">
        <v>2616</v>
      </c>
      <c r="I1599" s="417" t="s">
        <v>1392</v>
      </c>
      <c r="J1599" s="417" t="s">
        <v>5531</v>
      </c>
      <c r="K1599" s="417" t="s">
        <v>5590</v>
      </c>
      <c r="L1599" s="417"/>
      <c r="M1599" s="417" t="s">
        <v>28840</v>
      </c>
    </row>
    <row r="1600" spans="1:13" x14ac:dyDescent="0.25">
      <c r="A1600" s="417" t="s">
        <v>3385</v>
      </c>
      <c r="B1600" s="417" t="s">
        <v>2627</v>
      </c>
      <c r="C1600" s="417" t="s">
        <v>5591</v>
      </c>
      <c r="D1600" s="417" t="s">
        <v>88</v>
      </c>
      <c r="E1600" s="423">
        <v>0.44193027675686858</v>
      </c>
      <c r="F1600" s="423">
        <v>2.9106677252957688E-3</v>
      </c>
      <c r="G1600" s="422">
        <v>1067.461940180114</v>
      </c>
      <c r="H1600" s="417" t="s">
        <v>2616</v>
      </c>
      <c r="I1600" s="417" t="s">
        <v>1392</v>
      </c>
      <c r="J1600" s="417" t="s">
        <v>5531</v>
      </c>
      <c r="K1600" s="417" t="s">
        <v>5592</v>
      </c>
      <c r="L1600" s="417"/>
      <c r="M1600" s="417" t="s">
        <v>28840</v>
      </c>
    </row>
    <row r="1601" spans="1:13" x14ac:dyDescent="0.25">
      <c r="A1601" s="417" t="s">
        <v>3385</v>
      </c>
      <c r="B1601" s="417" t="s">
        <v>2627</v>
      </c>
      <c r="C1601" s="417" t="s">
        <v>5593</v>
      </c>
      <c r="D1601" s="417" t="s">
        <v>88</v>
      </c>
      <c r="E1601" s="423">
        <v>0.57269031999955156</v>
      </c>
      <c r="F1601" s="423">
        <v>4.301698739436477E-3</v>
      </c>
      <c r="G1601" s="422">
        <v>1300.879530507538</v>
      </c>
      <c r="H1601" s="417" t="s">
        <v>2616</v>
      </c>
      <c r="I1601" s="417" t="s">
        <v>1392</v>
      </c>
      <c r="J1601" s="417" t="s">
        <v>5531</v>
      </c>
      <c r="K1601" s="417" t="s">
        <v>5594</v>
      </c>
      <c r="L1601" s="417"/>
      <c r="M1601" s="417" t="s">
        <v>28840</v>
      </c>
    </row>
    <row r="1602" spans="1:13" x14ac:dyDescent="0.25">
      <c r="A1602" s="417" t="s">
        <v>3385</v>
      </c>
      <c r="B1602" s="417" t="s">
        <v>2627</v>
      </c>
      <c r="C1602" s="417" t="s">
        <v>5595</v>
      </c>
      <c r="D1602" s="417" t="s">
        <v>88</v>
      </c>
      <c r="E1602" s="423">
        <v>0.27941353002609959</v>
      </c>
      <c r="F1602" s="423">
        <v>2.194321568034987E-3</v>
      </c>
      <c r="G1602" s="422">
        <v>832.04108245228178</v>
      </c>
      <c r="H1602" s="417" t="s">
        <v>2616</v>
      </c>
      <c r="I1602" s="417" t="s">
        <v>1392</v>
      </c>
      <c r="J1602" s="417" t="s">
        <v>5531</v>
      </c>
      <c r="K1602" s="417" t="s">
        <v>5596</v>
      </c>
      <c r="L1602" s="417"/>
      <c r="M1602" s="417" t="s">
        <v>28840</v>
      </c>
    </row>
    <row r="1603" spans="1:13" x14ac:dyDescent="0.25">
      <c r="A1603" s="417" t="s">
        <v>3385</v>
      </c>
      <c r="B1603" s="417" t="s">
        <v>2627</v>
      </c>
      <c r="C1603" s="417" t="s">
        <v>5597</v>
      </c>
      <c r="D1603" s="417" t="s">
        <v>88</v>
      </c>
      <c r="E1603" s="423">
        <v>0.60630253490733788</v>
      </c>
      <c r="F1603" s="423">
        <v>4.336994116488949E-3</v>
      </c>
      <c r="G1603" s="422">
        <v>1304.9120413836749</v>
      </c>
      <c r="H1603" s="417" t="s">
        <v>2616</v>
      </c>
      <c r="I1603" s="417" t="s">
        <v>1392</v>
      </c>
      <c r="J1603" s="417" t="s">
        <v>5531</v>
      </c>
      <c r="K1603" s="417" t="s">
        <v>5598</v>
      </c>
      <c r="L1603" s="417"/>
      <c r="M1603" s="417" t="s">
        <v>28840</v>
      </c>
    </row>
    <row r="1604" spans="1:13" x14ac:dyDescent="0.25">
      <c r="A1604" s="417" t="s">
        <v>3385</v>
      </c>
      <c r="B1604" s="417" t="s">
        <v>2627</v>
      </c>
      <c r="C1604" s="417" t="s">
        <v>5599</v>
      </c>
      <c r="D1604" s="417" t="s">
        <v>88</v>
      </c>
      <c r="E1604" s="423">
        <v>0.46091470775187021</v>
      </c>
      <c r="F1604" s="423">
        <v>5.5770085378940189E-3</v>
      </c>
      <c r="G1604" s="422">
        <v>1096.673873339455</v>
      </c>
      <c r="H1604" s="417" t="s">
        <v>2616</v>
      </c>
      <c r="I1604" s="417" t="s">
        <v>1392</v>
      </c>
      <c r="J1604" s="417" t="s">
        <v>5531</v>
      </c>
      <c r="K1604" s="417" t="s">
        <v>5600</v>
      </c>
      <c r="L1604" s="417"/>
      <c r="M1604" s="417" t="s">
        <v>28840</v>
      </c>
    </row>
    <row r="1605" spans="1:13" x14ac:dyDescent="0.25">
      <c r="A1605" s="417" t="s">
        <v>3385</v>
      </c>
      <c r="B1605" s="417" t="s">
        <v>2627</v>
      </c>
      <c r="C1605" s="417" t="s">
        <v>5601</v>
      </c>
      <c r="D1605" s="417" t="s">
        <v>88</v>
      </c>
      <c r="E1605" s="423">
        <v>0.64079474604643949</v>
      </c>
      <c r="F1605" s="423">
        <v>6.1748962179150246E-3</v>
      </c>
      <c r="G1605" s="422">
        <v>1319.168049554989</v>
      </c>
      <c r="H1605" s="417" t="s">
        <v>2616</v>
      </c>
      <c r="I1605" s="417" t="s">
        <v>1392</v>
      </c>
      <c r="J1605" s="417" t="s">
        <v>5531</v>
      </c>
      <c r="K1605" s="417" t="s">
        <v>5602</v>
      </c>
      <c r="L1605" s="417"/>
      <c r="M1605" s="417" t="s">
        <v>28840</v>
      </c>
    </row>
    <row r="1606" spans="1:13" x14ac:dyDescent="0.25">
      <c r="A1606" s="417" t="s">
        <v>3385</v>
      </c>
      <c r="B1606" s="417" t="s">
        <v>2627</v>
      </c>
      <c r="C1606" s="417" t="s">
        <v>5603</v>
      </c>
      <c r="D1606" s="417" t="s">
        <v>88</v>
      </c>
      <c r="E1606" s="423">
        <v>0.24665142071244031</v>
      </c>
      <c r="F1606" s="423">
        <v>2.696131187444069E-3</v>
      </c>
      <c r="G1606" s="422">
        <v>817.10658851187804</v>
      </c>
      <c r="H1606" s="417" t="s">
        <v>2616</v>
      </c>
      <c r="I1606" s="417" t="s">
        <v>1392</v>
      </c>
      <c r="J1606" s="417" t="s">
        <v>5531</v>
      </c>
      <c r="K1606" s="417" t="s">
        <v>5604</v>
      </c>
      <c r="L1606" s="417"/>
      <c r="M1606" s="417" t="s">
        <v>28840</v>
      </c>
    </row>
    <row r="1607" spans="1:13" x14ac:dyDescent="0.25">
      <c r="A1607" s="417" t="s">
        <v>3385</v>
      </c>
      <c r="B1607" s="417" t="s">
        <v>2627</v>
      </c>
      <c r="C1607" s="417" t="s">
        <v>5605</v>
      </c>
      <c r="D1607" s="417" t="s">
        <v>88</v>
      </c>
      <c r="E1607" s="423">
        <v>0.52361421475117786</v>
      </c>
      <c r="F1607" s="423">
        <v>4.2963833213416382E-3</v>
      </c>
      <c r="G1607" s="422">
        <v>1311.220538977848</v>
      </c>
      <c r="H1607" s="417" t="s">
        <v>2616</v>
      </c>
      <c r="I1607" s="417" t="s">
        <v>1392</v>
      </c>
      <c r="J1607" s="417" t="s">
        <v>5531</v>
      </c>
      <c r="K1607" s="417" t="s">
        <v>5606</v>
      </c>
      <c r="L1607" s="417"/>
      <c r="M1607" s="417" t="s">
        <v>28840</v>
      </c>
    </row>
    <row r="1608" spans="1:13" x14ac:dyDescent="0.25">
      <c r="A1608" s="417" t="s">
        <v>3385</v>
      </c>
      <c r="B1608" s="417" t="s">
        <v>2627</v>
      </c>
      <c r="C1608" s="417" t="s">
        <v>5607</v>
      </c>
      <c r="D1608" s="417" t="s">
        <v>88</v>
      </c>
      <c r="E1608" s="423">
        <v>0.54478995588440193</v>
      </c>
      <c r="F1608" s="423">
        <v>4.2293756344117172E-3</v>
      </c>
      <c r="G1608" s="422">
        <v>1315.233043880587</v>
      </c>
      <c r="H1608" s="417" t="s">
        <v>2616</v>
      </c>
      <c r="I1608" s="417" t="s">
        <v>1392</v>
      </c>
      <c r="J1608" s="417" t="s">
        <v>5531</v>
      </c>
      <c r="K1608" s="417" t="s">
        <v>5608</v>
      </c>
      <c r="L1608" s="417"/>
      <c r="M1608" s="417" t="s">
        <v>28840</v>
      </c>
    </row>
    <row r="1609" spans="1:13" x14ac:dyDescent="0.25">
      <c r="A1609" s="417" t="s">
        <v>3385</v>
      </c>
      <c r="B1609" s="417" t="s">
        <v>2627</v>
      </c>
      <c r="C1609" s="417" t="s">
        <v>5609</v>
      </c>
      <c r="D1609" s="417" t="s">
        <v>88</v>
      </c>
      <c r="E1609" s="423">
        <v>0.53510422665320401</v>
      </c>
      <c r="F1609" s="423">
        <v>3.1026798731082989E-3</v>
      </c>
      <c r="G1609" s="422">
        <v>1217.0597073060401</v>
      </c>
      <c r="H1609" s="417" t="s">
        <v>2616</v>
      </c>
      <c r="I1609" s="417" t="s">
        <v>1392</v>
      </c>
      <c r="J1609" s="417" t="s">
        <v>5531</v>
      </c>
      <c r="K1609" s="417" t="s">
        <v>5610</v>
      </c>
      <c r="L1609" s="417"/>
      <c r="M1609" s="417" t="s">
        <v>28840</v>
      </c>
    </row>
    <row r="1610" spans="1:13" x14ac:dyDescent="0.25">
      <c r="A1610" s="417" t="s">
        <v>3385</v>
      </c>
      <c r="B1610" s="417" t="s">
        <v>2627</v>
      </c>
      <c r="C1610" s="417" t="s">
        <v>5611</v>
      </c>
      <c r="D1610" s="417" t="s">
        <v>88</v>
      </c>
      <c r="E1610" s="423">
        <v>0.56020998854513315</v>
      </c>
      <c r="F1610" s="423">
        <v>4.4208059740067796E-3</v>
      </c>
      <c r="G1610" s="422">
        <v>1374.938007799479</v>
      </c>
      <c r="H1610" s="417" t="s">
        <v>2616</v>
      </c>
      <c r="I1610" s="417" t="s">
        <v>1392</v>
      </c>
      <c r="J1610" s="417" t="s">
        <v>5531</v>
      </c>
      <c r="K1610" s="417" t="s">
        <v>5612</v>
      </c>
      <c r="L1610" s="417"/>
      <c r="M1610" s="417" t="s">
        <v>28840</v>
      </c>
    </row>
    <row r="1611" spans="1:13" x14ac:dyDescent="0.25">
      <c r="A1611" s="417" t="s">
        <v>3385</v>
      </c>
      <c r="B1611" s="417" t="s">
        <v>2627</v>
      </c>
      <c r="C1611" s="417" t="s">
        <v>5613</v>
      </c>
      <c r="D1611" s="417" t="s">
        <v>88</v>
      </c>
      <c r="E1611" s="423">
        <v>0.46745333912272707</v>
      </c>
      <c r="F1611" s="423">
        <v>5.5319705335063491E-3</v>
      </c>
      <c r="G1611" s="422">
        <v>1119.941754584162</v>
      </c>
      <c r="H1611" s="417" t="s">
        <v>2616</v>
      </c>
      <c r="I1611" s="417" t="s">
        <v>1392</v>
      </c>
      <c r="J1611" s="417" t="s">
        <v>5531</v>
      </c>
      <c r="K1611" s="417" t="s">
        <v>5614</v>
      </c>
      <c r="L1611" s="417"/>
      <c r="M1611" s="417" t="s">
        <v>28840</v>
      </c>
    </row>
    <row r="1612" spans="1:13" x14ac:dyDescent="0.25">
      <c r="A1612" s="417" t="s">
        <v>3385</v>
      </c>
      <c r="B1612" s="417" t="s">
        <v>2627</v>
      </c>
      <c r="C1612" s="417" t="s">
        <v>5615</v>
      </c>
      <c r="D1612" s="417" t="s">
        <v>88</v>
      </c>
      <c r="E1612" s="423">
        <v>0.6088069968760178</v>
      </c>
      <c r="F1612" s="423">
        <v>3.557892067010222E-3</v>
      </c>
      <c r="G1612" s="422">
        <v>1349.833973340717</v>
      </c>
      <c r="H1612" s="417" t="s">
        <v>2616</v>
      </c>
      <c r="I1612" s="417" t="s">
        <v>1392</v>
      </c>
      <c r="J1612" s="417" t="s">
        <v>5531</v>
      </c>
      <c r="K1612" s="417" t="s">
        <v>5616</v>
      </c>
      <c r="L1612" s="417"/>
      <c r="M1612" s="417" t="s">
        <v>28840</v>
      </c>
    </row>
    <row r="1613" spans="1:13" x14ac:dyDescent="0.25">
      <c r="A1613" s="417" t="s">
        <v>3385</v>
      </c>
      <c r="B1613" s="417" t="s">
        <v>2437</v>
      </c>
      <c r="C1613" s="417" t="s">
        <v>5617</v>
      </c>
      <c r="D1613" s="417" t="s">
        <v>88</v>
      </c>
      <c r="E1613" s="423">
        <v>0.41527693300196539</v>
      </c>
      <c r="F1613" s="423">
        <v>4.395319080395056E-3</v>
      </c>
      <c r="G1613" s="422">
        <v>1039.096498162384</v>
      </c>
      <c r="H1613" s="417" t="s">
        <v>2616</v>
      </c>
      <c r="I1613" s="417" t="s">
        <v>1392</v>
      </c>
      <c r="J1613" s="417" t="s">
        <v>5618</v>
      </c>
      <c r="K1613" s="417" t="s">
        <v>5619</v>
      </c>
      <c r="L1613" s="417"/>
      <c r="M1613" s="417" t="s">
        <v>28840</v>
      </c>
    </row>
    <row r="1614" spans="1:13" x14ac:dyDescent="0.25">
      <c r="A1614" s="417" t="s">
        <v>3385</v>
      </c>
      <c r="B1614" s="417" t="s">
        <v>2437</v>
      </c>
      <c r="C1614" s="417" t="s">
        <v>5620</v>
      </c>
      <c r="D1614" s="417" t="s">
        <v>88</v>
      </c>
      <c r="E1614" s="423">
        <v>0.40981125646130051</v>
      </c>
      <c r="F1614" s="423">
        <v>3.96839425305337E-3</v>
      </c>
      <c r="G1614" s="422">
        <v>1028.4892215432731</v>
      </c>
      <c r="H1614" s="417" t="s">
        <v>2616</v>
      </c>
      <c r="I1614" s="417" t="s">
        <v>1392</v>
      </c>
      <c r="J1614" s="417" t="s">
        <v>5618</v>
      </c>
      <c r="K1614" s="417" t="s">
        <v>5621</v>
      </c>
      <c r="L1614" s="417"/>
      <c r="M1614" s="417" t="s">
        <v>28840</v>
      </c>
    </row>
    <row r="1615" spans="1:13" x14ac:dyDescent="0.25">
      <c r="A1615" s="417" t="s">
        <v>3385</v>
      </c>
      <c r="B1615" s="417" t="s">
        <v>2437</v>
      </c>
      <c r="C1615" s="417" t="s">
        <v>5622</v>
      </c>
      <c r="D1615" s="417" t="s">
        <v>88</v>
      </c>
      <c r="E1615" s="423">
        <v>0.2118038275867927</v>
      </c>
      <c r="F1615" s="423">
        <v>3.721195476436445E-3</v>
      </c>
      <c r="G1615" s="422">
        <v>739.97037401989326</v>
      </c>
      <c r="H1615" s="417" t="s">
        <v>2616</v>
      </c>
      <c r="I1615" s="417" t="s">
        <v>1392</v>
      </c>
      <c r="J1615" s="417" t="s">
        <v>5618</v>
      </c>
      <c r="K1615" s="417" t="s">
        <v>5623</v>
      </c>
      <c r="L1615" s="417"/>
      <c r="M1615" s="417" t="s">
        <v>28840</v>
      </c>
    </row>
    <row r="1616" spans="1:13" x14ac:dyDescent="0.25">
      <c r="A1616" s="417" t="s">
        <v>3385</v>
      </c>
      <c r="B1616" s="417" t="s">
        <v>2437</v>
      </c>
      <c r="C1616" s="417" t="s">
        <v>5624</v>
      </c>
      <c r="D1616" s="417" t="s">
        <v>88</v>
      </c>
      <c r="E1616" s="423">
        <v>0.6515354175817305</v>
      </c>
      <c r="F1616" s="423">
        <v>4.3417521803767482E-3</v>
      </c>
      <c r="G1616" s="422">
        <v>1371.206957072802</v>
      </c>
      <c r="H1616" s="417" t="s">
        <v>2616</v>
      </c>
      <c r="I1616" s="417" t="s">
        <v>1392</v>
      </c>
      <c r="J1616" s="417" t="s">
        <v>5618</v>
      </c>
      <c r="K1616" s="417" t="s">
        <v>5625</v>
      </c>
      <c r="L1616" s="417"/>
      <c r="M1616" s="417" t="s">
        <v>28840</v>
      </c>
    </row>
    <row r="1617" spans="1:13" x14ac:dyDescent="0.25">
      <c r="A1617" s="417" t="s">
        <v>3385</v>
      </c>
      <c r="B1617" s="417" t="s">
        <v>2437</v>
      </c>
      <c r="C1617" s="417" t="s">
        <v>5626</v>
      </c>
      <c r="D1617" s="417" t="s">
        <v>88</v>
      </c>
      <c r="E1617" s="423">
        <v>0.64606974110651283</v>
      </c>
      <c r="F1617" s="423">
        <v>3.9148273667741589E-3</v>
      </c>
      <c r="G1617" s="422">
        <v>1360.599680718534</v>
      </c>
      <c r="H1617" s="417" t="s">
        <v>2616</v>
      </c>
      <c r="I1617" s="417" t="s">
        <v>1392</v>
      </c>
      <c r="J1617" s="417" t="s">
        <v>5618</v>
      </c>
      <c r="K1617" s="417" t="s">
        <v>5627</v>
      </c>
      <c r="L1617" s="417"/>
      <c r="M1617" s="417" t="s">
        <v>28840</v>
      </c>
    </row>
    <row r="1618" spans="1:13" x14ac:dyDescent="0.25">
      <c r="A1618" s="417" t="s">
        <v>3385</v>
      </c>
      <c r="B1618" s="417" t="s">
        <v>2437</v>
      </c>
      <c r="C1618" s="417" t="s">
        <v>5628</v>
      </c>
      <c r="D1618" s="417" t="s">
        <v>88</v>
      </c>
      <c r="E1618" s="423">
        <v>0.78458717940375955</v>
      </c>
      <c r="F1618" s="423">
        <v>6.548603220393823E-3</v>
      </c>
      <c r="G1618" s="422">
        <v>1537.5786271005561</v>
      </c>
      <c r="H1618" s="417" t="s">
        <v>2616</v>
      </c>
      <c r="I1618" s="417" t="s">
        <v>1392</v>
      </c>
      <c r="J1618" s="417" t="s">
        <v>5618</v>
      </c>
      <c r="K1618" s="417" t="s">
        <v>5629</v>
      </c>
      <c r="L1618" s="417"/>
      <c r="M1618" s="417" t="s">
        <v>28840</v>
      </c>
    </row>
    <row r="1619" spans="1:13" x14ac:dyDescent="0.25">
      <c r="A1619" s="417" t="s">
        <v>3385</v>
      </c>
      <c r="B1619" s="417" t="s">
        <v>2437</v>
      </c>
      <c r="C1619" s="417" t="s">
        <v>5630</v>
      </c>
      <c r="D1619" s="417" t="s">
        <v>88</v>
      </c>
      <c r="E1619" s="423">
        <v>0.77912150286104587</v>
      </c>
      <c r="F1619" s="423">
        <v>6.1216784045376284E-3</v>
      </c>
      <c r="G1619" s="422">
        <v>1526.9713506263579</v>
      </c>
      <c r="H1619" s="417" t="s">
        <v>2616</v>
      </c>
      <c r="I1619" s="417" t="s">
        <v>1392</v>
      </c>
      <c r="J1619" s="417" t="s">
        <v>5618</v>
      </c>
      <c r="K1619" s="417" t="s">
        <v>5631</v>
      </c>
      <c r="L1619" s="417"/>
      <c r="M1619" s="417" t="s">
        <v>28840</v>
      </c>
    </row>
    <row r="1620" spans="1:13" x14ac:dyDescent="0.25">
      <c r="A1620" s="417" t="s">
        <v>3385</v>
      </c>
      <c r="B1620" s="417" t="s">
        <v>2437</v>
      </c>
      <c r="C1620" s="417" t="s">
        <v>5632</v>
      </c>
      <c r="D1620" s="417" t="s">
        <v>88</v>
      </c>
      <c r="E1620" s="423">
        <v>0.61440591636942743</v>
      </c>
      <c r="F1620" s="423">
        <v>3.9131601832838184E-3</v>
      </c>
      <c r="G1620" s="422">
        <v>1342.266893396353</v>
      </c>
      <c r="H1620" s="417" t="s">
        <v>2616</v>
      </c>
      <c r="I1620" s="417" t="s">
        <v>1392</v>
      </c>
      <c r="J1620" s="417" t="s">
        <v>5618</v>
      </c>
      <c r="K1620" s="417" t="s">
        <v>5633</v>
      </c>
      <c r="L1620" s="417"/>
      <c r="M1620" s="417" t="s">
        <v>28840</v>
      </c>
    </row>
    <row r="1621" spans="1:13" x14ac:dyDescent="0.25">
      <c r="A1621" s="417" t="s">
        <v>3385</v>
      </c>
      <c r="B1621" s="417" t="s">
        <v>2437</v>
      </c>
      <c r="C1621" s="417" t="s">
        <v>5634</v>
      </c>
      <c r="D1621" s="417" t="s">
        <v>88</v>
      </c>
      <c r="E1621" s="423">
        <v>0.60771894924722791</v>
      </c>
      <c r="F1621" s="423">
        <v>3.4741025879311892E-3</v>
      </c>
      <c r="G1621" s="422">
        <v>1327.686759784827</v>
      </c>
      <c r="H1621" s="417" t="s">
        <v>2616</v>
      </c>
      <c r="I1621" s="417" t="s">
        <v>1392</v>
      </c>
      <c r="J1621" s="417" t="s">
        <v>5618</v>
      </c>
      <c r="K1621" s="417" t="s">
        <v>5635</v>
      </c>
      <c r="L1621" s="417"/>
      <c r="M1621" s="417" t="s">
        <v>28840</v>
      </c>
    </row>
    <row r="1622" spans="1:13" x14ac:dyDescent="0.25">
      <c r="A1622" s="417" t="s">
        <v>3385</v>
      </c>
      <c r="B1622" s="417" t="s">
        <v>2437</v>
      </c>
      <c r="C1622" s="417" t="s">
        <v>5636</v>
      </c>
      <c r="D1622" s="417" t="s">
        <v>88</v>
      </c>
      <c r="E1622" s="423">
        <v>0.94177324654214956</v>
      </c>
      <c r="F1622" s="423">
        <v>3.292199639169126E-3</v>
      </c>
      <c r="G1622" s="422">
        <v>1730.928810653525</v>
      </c>
      <c r="H1622" s="417" t="s">
        <v>2616</v>
      </c>
      <c r="I1622" s="417" t="s">
        <v>1392</v>
      </c>
      <c r="J1622" s="417" t="s">
        <v>5618</v>
      </c>
      <c r="K1622" s="417" t="s">
        <v>5637</v>
      </c>
      <c r="L1622" s="417"/>
      <c r="M1622" s="417" t="s">
        <v>28840</v>
      </c>
    </row>
    <row r="1623" spans="1:13" x14ac:dyDescent="0.25">
      <c r="A1623" s="417" t="s">
        <v>3385</v>
      </c>
      <c r="B1623" s="417" t="s">
        <v>2437</v>
      </c>
      <c r="C1623" s="417" t="s">
        <v>5638</v>
      </c>
      <c r="D1623" s="417" t="s">
        <v>88</v>
      </c>
      <c r="E1623" s="423">
        <v>0.93630757019079147</v>
      </c>
      <c r="F1623" s="423">
        <v>2.865274832852544E-3</v>
      </c>
      <c r="G1623" s="422">
        <v>1720.3215344766779</v>
      </c>
      <c r="H1623" s="417" t="s">
        <v>2616</v>
      </c>
      <c r="I1623" s="417" t="s">
        <v>1392</v>
      </c>
      <c r="J1623" s="417" t="s">
        <v>5618</v>
      </c>
      <c r="K1623" s="417" t="s">
        <v>5639</v>
      </c>
      <c r="L1623" s="417"/>
      <c r="M1623" s="417" t="s">
        <v>28840</v>
      </c>
    </row>
    <row r="1624" spans="1:13" x14ac:dyDescent="0.25">
      <c r="A1624" s="417" t="s">
        <v>3385</v>
      </c>
      <c r="B1624" s="417" t="s">
        <v>2437</v>
      </c>
      <c r="C1624" s="417" t="s">
        <v>5640</v>
      </c>
      <c r="D1624" s="417" t="s">
        <v>88</v>
      </c>
      <c r="E1624" s="423">
        <v>0.12631561585876061</v>
      </c>
      <c r="F1624" s="423">
        <v>3.4456506565649051E-3</v>
      </c>
      <c r="G1624" s="422">
        <v>660.52459002116257</v>
      </c>
      <c r="H1624" s="417" t="s">
        <v>2616</v>
      </c>
      <c r="I1624" s="417" t="s">
        <v>1392</v>
      </c>
      <c r="J1624" s="417" t="s">
        <v>5618</v>
      </c>
      <c r="K1624" s="417" t="s">
        <v>5641</v>
      </c>
      <c r="L1624" s="417"/>
      <c r="M1624" s="417" t="s">
        <v>28840</v>
      </c>
    </row>
    <row r="1625" spans="1:13" x14ac:dyDescent="0.25">
      <c r="A1625" s="417" t="s">
        <v>3385</v>
      </c>
      <c r="B1625" s="417" t="s">
        <v>2437</v>
      </c>
      <c r="C1625" s="417" t="s">
        <v>5642</v>
      </c>
      <c r="D1625" s="417" t="s">
        <v>88</v>
      </c>
      <c r="E1625" s="423">
        <v>0.14820359942099159</v>
      </c>
      <c r="F1625" s="423">
        <v>3.053387613170712E-3</v>
      </c>
      <c r="G1625" s="422">
        <v>712.14237325013391</v>
      </c>
      <c r="H1625" s="417" t="s">
        <v>2616</v>
      </c>
      <c r="I1625" s="417" t="s">
        <v>1392</v>
      </c>
      <c r="J1625" s="417" t="s">
        <v>5618</v>
      </c>
      <c r="K1625" s="417" t="s">
        <v>5643</v>
      </c>
      <c r="L1625" s="417"/>
      <c r="M1625" s="417" t="s">
        <v>28840</v>
      </c>
    </row>
    <row r="1626" spans="1:13" x14ac:dyDescent="0.25">
      <c r="A1626" s="417" t="s">
        <v>3385</v>
      </c>
      <c r="B1626" s="417" t="s">
        <v>2437</v>
      </c>
      <c r="C1626" s="417" t="s">
        <v>5644</v>
      </c>
      <c r="D1626" s="417" t="s">
        <v>88</v>
      </c>
      <c r="E1626" s="423">
        <v>0.1204493649942765</v>
      </c>
      <c r="F1626" s="423">
        <v>2.405038833845696E-3</v>
      </c>
      <c r="G1626" s="422">
        <v>629.03044633862476</v>
      </c>
      <c r="H1626" s="417" t="s">
        <v>2616</v>
      </c>
      <c r="I1626" s="417" t="s">
        <v>1392</v>
      </c>
      <c r="J1626" s="417" t="s">
        <v>5618</v>
      </c>
      <c r="K1626" s="417" t="s">
        <v>5645</v>
      </c>
      <c r="L1626" s="417"/>
      <c r="M1626" s="417" t="s">
        <v>28840</v>
      </c>
    </row>
    <row r="1627" spans="1:13" x14ac:dyDescent="0.25">
      <c r="A1627" s="417" t="s">
        <v>3385</v>
      </c>
      <c r="B1627" s="417" t="s">
        <v>2437</v>
      </c>
      <c r="C1627" s="417" t="s">
        <v>5646</v>
      </c>
      <c r="D1627" s="417" t="s">
        <v>88</v>
      </c>
      <c r="E1627" s="423">
        <v>1.2090634430900149</v>
      </c>
      <c r="F1627" s="423">
        <v>3.9498046656889496E-3</v>
      </c>
      <c r="G1627" s="422">
        <v>1991.953065096794</v>
      </c>
      <c r="H1627" s="417" t="s">
        <v>2616</v>
      </c>
      <c r="I1627" s="417" t="s">
        <v>1392</v>
      </c>
      <c r="J1627" s="417" t="s">
        <v>5618</v>
      </c>
      <c r="K1627" s="417" t="s">
        <v>5647</v>
      </c>
      <c r="L1627" s="417"/>
      <c r="M1627" s="417" t="s">
        <v>28840</v>
      </c>
    </row>
    <row r="1628" spans="1:13" x14ac:dyDescent="0.25">
      <c r="A1628" s="417" t="s">
        <v>3385</v>
      </c>
      <c r="B1628" s="417" t="s">
        <v>2437</v>
      </c>
      <c r="C1628" s="417" t="s">
        <v>5648</v>
      </c>
      <c r="D1628" s="417" t="s">
        <v>88</v>
      </c>
      <c r="E1628" s="423">
        <v>1.203597766677206</v>
      </c>
      <c r="F1628" s="423">
        <v>3.5228798560444502E-3</v>
      </c>
      <c r="G1628" s="422">
        <v>1981.345788817121</v>
      </c>
      <c r="H1628" s="417" t="s">
        <v>2616</v>
      </c>
      <c r="I1628" s="417" t="s">
        <v>1392</v>
      </c>
      <c r="J1628" s="417" t="s">
        <v>5618</v>
      </c>
      <c r="K1628" s="417" t="s">
        <v>5649</v>
      </c>
      <c r="L1628" s="417"/>
      <c r="M1628" s="417" t="s">
        <v>28840</v>
      </c>
    </row>
    <row r="1629" spans="1:13" x14ac:dyDescent="0.25">
      <c r="A1629" s="417" t="s">
        <v>3385</v>
      </c>
      <c r="B1629" s="417" t="s">
        <v>2437</v>
      </c>
      <c r="C1629" s="417" t="s">
        <v>5650</v>
      </c>
      <c r="D1629" s="417" t="s">
        <v>88</v>
      </c>
      <c r="E1629" s="423">
        <v>0.28901520071201331</v>
      </c>
      <c r="F1629" s="423">
        <v>4.1185158033249687E-3</v>
      </c>
      <c r="G1629" s="422">
        <v>960.97704489745195</v>
      </c>
      <c r="H1629" s="417" t="s">
        <v>2616</v>
      </c>
      <c r="I1629" s="417" t="s">
        <v>1392</v>
      </c>
      <c r="J1629" s="417" t="s">
        <v>5618</v>
      </c>
      <c r="K1629" s="417" t="s">
        <v>5651</v>
      </c>
      <c r="L1629" s="417"/>
      <c r="M1629" s="417" t="s">
        <v>28840</v>
      </c>
    </row>
    <row r="1630" spans="1:13" x14ac:dyDescent="0.25">
      <c r="A1630" s="417" t="s">
        <v>3385</v>
      </c>
      <c r="B1630" s="417" t="s">
        <v>2437</v>
      </c>
      <c r="C1630" s="417" t="s">
        <v>5652</v>
      </c>
      <c r="D1630" s="417" t="s">
        <v>88</v>
      </c>
      <c r="E1630" s="423">
        <v>0.28354952434594077</v>
      </c>
      <c r="F1630" s="423">
        <v>3.6915909978705681E-3</v>
      </c>
      <c r="G1630" s="422">
        <v>950.36976872124353</v>
      </c>
      <c r="H1630" s="417" t="s">
        <v>2616</v>
      </c>
      <c r="I1630" s="417" t="s">
        <v>1392</v>
      </c>
      <c r="J1630" s="417" t="s">
        <v>5618</v>
      </c>
      <c r="K1630" s="417" t="s">
        <v>5653</v>
      </c>
      <c r="L1630" s="417"/>
      <c r="M1630" s="417" t="s">
        <v>28840</v>
      </c>
    </row>
    <row r="1631" spans="1:13" x14ac:dyDescent="0.25">
      <c r="A1631" s="417" t="s">
        <v>3385</v>
      </c>
      <c r="B1631" s="417" t="s">
        <v>2437</v>
      </c>
      <c r="C1631" s="417" t="s">
        <v>5654</v>
      </c>
      <c r="D1631" s="417" t="s">
        <v>88</v>
      </c>
      <c r="E1631" s="423">
        <v>0.68751942808879973</v>
      </c>
      <c r="F1631" s="423">
        <v>5.044551615577951E-3</v>
      </c>
      <c r="G1631" s="422">
        <v>1480.426432868986</v>
      </c>
      <c r="H1631" s="417" t="s">
        <v>2616</v>
      </c>
      <c r="I1631" s="417" t="s">
        <v>1392</v>
      </c>
      <c r="J1631" s="417" t="s">
        <v>5618</v>
      </c>
      <c r="K1631" s="417" t="s">
        <v>5655</v>
      </c>
      <c r="L1631" s="417"/>
      <c r="M1631" s="417" t="s">
        <v>28840</v>
      </c>
    </row>
    <row r="1632" spans="1:13" x14ac:dyDescent="0.25">
      <c r="A1632" s="417" t="s">
        <v>3385</v>
      </c>
      <c r="B1632" s="417" t="s">
        <v>2437</v>
      </c>
      <c r="C1632" s="417" t="s">
        <v>5656</v>
      </c>
      <c r="D1632" s="417" t="s">
        <v>88</v>
      </c>
      <c r="E1632" s="423">
        <v>0.73560960737853853</v>
      </c>
      <c r="F1632" s="423">
        <v>4.9708114733443987E-3</v>
      </c>
      <c r="G1632" s="422">
        <v>1647.479113122306</v>
      </c>
      <c r="H1632" s="417" t="s">
        <v>2616</v>
      </c>
      <c r="I1632" s="417" t="s">
        <v>1392</v>
      </c>
      <c r="J1632" s="417" t="s">
        <v>5618</v>
      </c>
      <c r="K1632" s="417" t="s">
        <v>5657</v>
      </c>
      <c r="L1632" s="417"/>
      <c r="M1632" s="417" t="s">
        <v>28840</v>
      </c>
    </row>
    <row r="1633" spans="1:13" x14ac:dyDescent="0.25">
      <c r="A1633" s="417" t="s">
        <v>3385</v>
      </c>
      <c r="B1633" s="417" t="s">
        <v>2437</v>
      </c>
      <c r="C1633" s="417" t="s">
        <v>5658</v>
      </c>
      <c r="D1633" s="417" t="s">
        <v>88</v>
      </c>
      <c r="E1633" s="423">
        <v>0.66721880536942368</v>
      </c>
      <c r="F1633" s="423">
        <v>6.8759136491636473E-3</v>
      </c>
      <c r="G1633" s="422">
        <v>1404.469526350779</v>
      </c>
      <c r="H1633" s="417" t="s">
        <v>2616</v>
      </c>
      <c r="I1633" s="417" t="s">
        <v>1392</v>
      </c>
      <c r="J1633" s="417" t="s">
        <v>5618</v>
      </c>
      <c r="K1633" s="417" t="s">
        <v>5659</v>
      </c>
      <c r="L1633" s="417"/>
      <c r="M1633" s="417" t="s">
        <v>28840</v>
      </c>
    </row>
    <row r="1634" spans="1:13" x14ac:dyDescent="0.25">
      <c r="A1634" s="417" t="s">
        <v>3385</v>
      </c>
      <c r="B1634" s="417" t="s">
        <v>2437</v>
      </c>
      <c r="C1634" s="417" t="s">
        <v>5660</v>
      </c>
      <c r="D1634" s="417" t="s">
        <v>88</v>
      </c>
      <c r="E1634" s="423">
        <v>0.65082940142332235</v>
      </c>
      <c r="F1634" s="423">
        <v>7.0111959861371871E-3</v>
      </c>
      <c r="G1634" s="422">
        <v>1345.416768106548</v>
      </c>
      <c r="H1634" s="417" t="s">
        <v>2616</v>
      </c>
      <c r="I1634" s="417" t="s">
        <v>1392</v>
      </c>
      <c r="J1634" s="417" t="s">
        <v>5618</v>
      </c>
      <c r="K1634" s="417" t="s">
        <v>5661</v>
      </c>
      <c r="L1634" s="417"/>
      <c r="M1634" s="417" t="s">
        <v>28840</v>
      </c>
    </row>
    <row r="1635" spans="1:13" x14ac:dyDescent="0.25">
      <c r="A1635" s="417" t="s">
        <v>3385</v>
      </c>
      <c r="B1635" s="417" t="s">
        <v>2437</v>
      </c>
      <c r="C1635" s="417" t="s">
        <v>5662</v>
      </c>
      <c r="D1635" s="417" t="s">
        <v>88</v>
      </c>
      <c r="E1635" s="423">
        <v>0.28236895622353242</v>
      </c>
      <c r="F1635" s="423">
        <v>3.7975193434789268E-3</v>
      </c>
      <c r="G1635" s="422">
        <v>919.15897339916296</v>
      </c>
      <c r="H1635" s="417" t="s">
        <v>2616</v>
      </c>
      <c r="I1635" s="417" t="s">
        <v>1392</v>
      </c>
      <c r="J1635" s="417" t="s">
        <v>5618</v>
      </c>
      <c r="K1635" s="417" t="s">
        <v>5663</v>
      </c>
      <c r="L1635" s="417"/>
      <c r="M1635" s="417" t="s">
        <v>28840</v>
      </c>
    </row>
    <row r="1636" spans="1:13" x14ac:dyDescent="0.25">
      <c r="A1636" s="417" t="s">
        <v>3385</v>
      </c>
      <c r="B1636" s="417" t="s">
        <v>2437</v>
      </c>
      <c r="C1636" s="417" t="s">
        <v>5664</v>
      </c>
      <c r="D1636" s="417" t="s">
        <v>88</v>
      </c>
      <c r="E1636" s="423">
        <v>0.27690327985029839</v>
      </c>
      <c r="F1636" s="423">
        <v>3.3705945234286622E-3</v>
      </c>
      <c r="G1636" s="422">
        <v>908.55169705167884</v>
      </c>
      <c r="H1636" s="417" t="s">
        <v>2616</v>
      </c>
      <c r="I1636" s="417" t="s">
        <v>1392</v>
      </c>
      <c r="J1636" s="417" t="s">
        <v>5618</v>
      </c>
      <c r="K1636" s="417" t="s">
        <v>5665</v>
      </c>
      <c r="L1636" s="417"/>
      <c r="M1636" s="417" t="s">
        <v>28840</v>
      </c>
    </row>
    <row r="1637" spans="1:13" x14ac:dyDescent="0.25">
      <c r="A1637" s="417" t="s">
        <v>3385</v>
      </c>
      <c r="B1637" s="417" t="s">
        <v>2437</v>
      </c>
      <c r="C1637" s="417" t="s">
        <v>5666</v>
      </c>
      <c r="D1637" s="417" t="s">
        <v>88</v>
      </c>
      <c r="E1637" s="423">
        <v>0.53591752987786301</v>
      </c>
      <c r="F1637" s="423">
        <v>7.0566399854363557E-3</v>
      </c>
      <c r="G1637" s="422">
        <v>1316.5099062622701</v>
      </c>
      <c r="H1637" s="417" t="s">
        <v>2616</v>
      </c>
      <c r="I1637" s="417" t="s">
        <v>1392</v>
      </c>
      <c r="J1637" s="417" t="s">
        <v>5618</v>
      </c>
      <c r="K1637" s="417" t="s">
        <v>5667</v>
      </c>
      <c r="L1637" s="417"/>
      <c r="M1637" s="417" t="s">
        <v>28840</v>
      </c>
    </row>
    <row r="1638" spans="1:13" x14ac:dyDescent="0.25">
      <c r="A1638" s="417" t="s">
        <v>3385</v>
      </c>
      <c r="B1638" s="417" t="s">
        <v>2437</v>
      </c>
      <c r="C1638" s="417" t="s">
        <v>5668</v>
      </c>
      <c r="D1638" s="417" t="s">
        <v>88</v>
      </c>
      <c r="E1638" s="423">
        <v>0.52800927229211747</v>
      </c>
      <c r="F1638" s="423">
        <v>6.6054495935181741E-3</v>
      </c>
      <c r="G1638" s="422">
        <v>1297.956915701292</v>
      </c>
      <c r="H1638" s="417" t="s">
        <v>2616</v>
      </c>
      <c r="I1638" s="417" t="s">
        <v>1392</v>
      </c>
      <c r="J1638" s="417" t="s">
        <v>5618</v>
      </c>
      <c r="K1638" s="417" t="s">
        <v>5669</v>
      </c>
      <c r="L1638" s="417"/>
      <c r="M1638" s="417" t="s">
        <v>28840</v>
      </c>
    </row>
    <row r="1639" spans="1:13" x14ac:dyDescent="0.25">
      <c r="A1639" s="417" t="s">
        <v>3385</v>
      </c>
      <c r="B1639" s="417" t="s">
        <v>2627</v>
      </c>
      <c r="C1639" s="417" t="s">
        <v>5670</v>
      </c>
      <c r="D1639" s="417" t="s">
        <v>88</v>
      </c>
      <c r="E1639" s="423">
        <v>3.5036057999999999</v>
      </c>
      <c r="F1639" s="423">
        <v>0</v>
      </c>
      <c r="G1639" s="422">
        <v>4382.1319999999996</v>
      </c>
      <c r="H1639" s="417" t="s">
        <v>2616</v>
      </c>
      <c r="I1639" s="417" t="s">
        <v>1392</v>
      </c>
      <c r="J1639" s="417" t="s">
        <v>5671</v>
      </c>
      <c r="K1639" s="417" t="s">
        <v>5672</v>
      </c>
      <c r="L1639" s="417"/>
      <c r="M1639" s="417" t="s">
        <v>28840</v>
      </c>
    </row>
    <row r="1640" spans="1:13" x14ac:dyDescent="0.25">
      <c r="A1640" s="417" t="s">
        <v>3385</v>
      </c>
      <c r="B1640" s="417" t="s">
        <v>3655</v>
      </c>
      <c r="C1640" s="417" t="s">
        <v>5673</v>
      </c>
      <c r="D1640" s="417" t="s">
        <v>88</v>
      </c>
      <c r="E1640" s="423">
        <v>1.4822641061547891E-5</v>
      </c>
      <c r="F1640" s="423">
        <v>4.6031894160848868E-7</v>
      </c>
      <c r="G1640" s="422">
        <v>4.1983933491983649E-2</v>
      </c>
      <c r="H1640" s="417" t="s">
        <v>2616</v>
      </c>
      <c r="I1640" s="417" t="s">
        <v>1392</v>
      </c>
      <c r="J1640" s="417" t="s">
        <v>4310</v>
      </c>
      <c r="K1640" s="417" t="s">
        <v>5674</v>
      </c>
      <c r="L1640" s="417"/>
      <c r="M1640" s="417" t="s">
        <v>28840</v>
      </c>
    </row>
    <row r="1641" spans="1:13" x14ac:dyDescent="0.25">
      <c r="A1641" s="417" t="s">
        <v>3385</v>
      </c>
      <c r="B1641" s="417" t="s">
        <v>2627</v>
      </c>
      <c r="C1641" s="417" t="s">
        <v>5675</v>
      </c>
      <c r="D1641" s="417" t="s">
        <v>88</v>
      </c>
      <c r="E1641" s="423">
        <v>2.2144970883303481</v>
      </c>
      <c r="F1641" s="423">
        <v>0.16498162076746131</v>
      </c>
      <c r="G1641" s="422">
        <v>4979.3645095487882</v>
      </c>
      <c r="H1641" s="417" t="s">
        <v>2616</v>
      </c>
      <c r="I1641" s="417" t="s">
        <v>1392</v>
      </c>
      <c r="J1641" s="417" t="s">
        <v>3742</v>
      </c>
      <c r="K1641" s="417" t="s">
        <v>5676</v>
      </c>
      <c r="L1641" s="417"/>
      <c r="M1641" s="417" t="s">
        <v>28840</v>
      </c>
    </row>
    <row r="1642" spans="1:13" x14ac:dyDescent="0.25">
      <c r="A1642" s="417" t="s">
        <v>3385</v>
      </c>
      <c r="B1642" s="417" t="s">
        <v>2627</v>
      </c>
      <c r="C1642" s="417" t="s">
        <v>5677</v>
      </c>
      <c r="D1642" s="417" t="s">
        <v>88</v>
      </c>
      <c r="E1642" s="423">
        <v>2.2839019358385739</v>
      </c>
      <c r="F1642" s="423">
        <v>2.48306387280436E-2</v>
      </c>
      <c r="G1642" s="422">
        <v>3587.9226651803642</v>
      </c>
      <c r="H1642" s="417" t="s">
        <v>2616</v>
      </c>
      <c r="I1642" s="417" t="s">
        <v>1392</v>
      </c>
      <c r="J1642" s="417" t="s">
        <v>3396</v>
      </c>
      <c r="K1642" s="417" t="s">
        <v>5678</v>
      </c>
      <c r="L1642" s="417"/>
      <c r="M1642" s="417" t="s">
        <v>28840</v>
      </c>
    </row>
    <row r="1643" spans="1:13" x14ac:dyDescent="0.25">
      <c r="A1643" s="417" t="s">
        <v>3385</v>
      </c>
      <c r="B1643" s="417" t="s">
        <v>2627</v>
      </c>
      <c r="C1643" s="417" t="s">
        <v>5679</v>
      </c>
      <c r="D1643" s="417" t="s">
        <v>989</v>
      </c>
      <c r="E1643" s="423">
        <v>63.276971893032432</v>
      </c>
      <c r="F1643" s="423">
        <v>3.5634492015599251</v>
      </c>
      <c r="G1643" s="422">
        <v>118200.84357709</v>
      </c>
      <c r="H1643" s="417" t="s">
        <v>2616</v>
      </c>
      <c r="I1643" s="417" t="s">
        <v>1392</v>
      </c>
      <c r="J1643" s="417" t="s">
        <v>3798</v>
      </c>
      <c r="K1643" s="417" t="s">
        <v>5680</v>
      </c>
      <c r="L1643" s="417"/>
      <c r="M1643" s="417" t="s">
        <v>28840</v>
      </c>
    </row>
    <row r="1644" spans="1:13" x14ac:dyDescent="0.25">
      <c r="A1644" s="417" t="s">
        <v>3385</v>
      </c>
      <c r="B1644" s="417" t="s">
        <v>2627</v>
      </c>
      <c r="C1644" s="417" t="s">
        <v>5681</v>
      </c>
      <c r="D1644" s="417" t="s">
        <v>88</v>
      </c>
      <c r="E1644" s="423">
        <v>8.8112708147433256</v>
      </c>
      <c r="F1644" s="423">
        <v>0.29539262645570741</v>
      </c>
      <c r="G1644" s="422">
        <v>14991.72156165462</v>
      </c>
      <c r="H1644" s="417" t="s">
        <v>2616</v>
      </c>
      <c r="I1644" s="417" t="s">
        <v>1392</v>
      </c>
      <c r="J1644" s="417" t="s">
        <v>3387</v>
      </c>
      <c r="K1644" s="417" t="s">
        <v>5682</v>
      </c>
      <c r="L1644" s="417"/>
      <c r="M1644" s="417" t="s">
        <v>28840</v>
      </c>
    </row>
    <row r="1645" spans="1:13" x14ac:dyDescent="0.25">
      <c r="A1645" s="417" t="s">
        <v>3385</v>
      </c>
      <c r="B1645" s="417" t="s">
        <v>2627</v>
      </c>
      <c r="C1645" s="417" t="s">
        <v>5683</v>
      </c>
      <c r="D1645" s="417" t="s">
        <v>88</v>
      </c>
      <c r="E1645" s="423">
        <v>13.291045865679139</v>
      </c>
      <c r="F1645" s="423">
        <v>0.44967679656172388</v>
      </c>
      <c r="G1645" s="422">
        <v>29699.953809303021</v>
      </c>
      <c r="H1645" s="417" t="s">
        <v>2616</v>
      </c>
      <c r="I1645" s="417" t="s">
        <v>1392</v>
      </c>
      <c r="J1645" s="417" t="s">
        <v>3387</v>
      </c>
      <c r="K1645" s="417" t="s">
        <v>5684</v>
      </c>
      <c r="L1645" s="417"/>
      <c r="M1645" s="417" t="s">
        <v>28840</v>
      </c>
    </row>
    <row r="1646" spans="1:13" x14ac:dyDescent="0.25">
      <c r="A1646" s="417" t="s">
        <v>3385</v>
      </c>
      <c r="B1646" s="417" t="s">
        <v>2627</v>
      </c>
      <c r="C1646" s="417" t="s">
        <v>5685</v>
      </c>
      <c r="D1646" s="417" t="s">
        <v>88</v>
      </c>
      <c r="E1646" s="423">
        <v>13.707510785327459</v>
      </c>
      <c r="F1646" s="423">
        <v>0.4774898740636499</v>
      </c>
      <c r="G1646" s="422">
        <v>30005.73291688403</v>
      </c>
      <c r="H1646" s="417" t="s">
        <v>2616</v>
      </c>
      <c r="I1646" s="417" t="s">
        <v>1392</v>
      </c>
      <c r="J1646" s="417" t="s">
        <v>3387</v>
      </c>
      <c r="K1646" s="417" t="s">
        <v>5686</v>
      </c>
      <c r="L1646" s="417"/>
      <c r="M1646" s="417" t="s">
        <v>28840</v>
      </c>
    </row>
    <row r="1647" spans="1:13" x14ac:dyDescent="0.25">
      <c r="A1647" s="417" t="s">
        <v>3385</v>
      </c>
      <c r="B1647" s="417" t="s">
        <v>2627</v>
      </c>
      <c r="C1647" s="417" t="s">
        <v>5687</v>
      </c>
      <c r="D1647" s="417" t="s">
        <v>88</v>
      </c>
      <c r="E1647" s="423">
        <v>2.3554797774556628</v>
      </c>
      <c r="F1647" s="423">
        <v>1.645646764332408E-2</v>
      </c>
      <c r="G1647" s="422">
        <v>3569.29931118072</v>
      </c>
      <c r="H1647" s="417" t="s">
        <v>2616</v>
      </c>
      <c r="I1647" s="417" t="s">
        <v>1392</v>
      </c>
      <c r="J1647" s="417" t="s">
        <v>3396</v>
      </c>
      <c r="K1647" s="417" t="s">
        <v>5688</v>
      </c>
      <c r="L1647" s="417"/>
      <c r="M1647" s="417" t="s">
        <v>28840</v>
      </c>
    </row>
    <row r="1648" spans="1:13" x14ac:dyDescent="0.25">
      <c r="A1648" s="417" t="s">
        <v>3385</v>
      </c>
      <c r="B1648" s="417" t="s">
        <v>2627</v>
      </c>
      <c r="C1648" s="417" t="s">
        <v>5689</v>
      </c>
      <c r="D1648" s="417" t="s">
        <v>88</v>
      </c>
      <c r="E1648" s="423">
        <v>2.934516405060418</v>
      </c>
      <c r="F1648" s="423">
        <v>5.3069350809236887E-2</v>
      </c>
      <c r="G1648" s="422">
        <v>4918.076853854719</v>
      </c>
      <c r="H1648" s="417" t="s">
        <v>2616</v>
      </c>
      <c r="I1648" s="417" t="s">
        <v>1392</v>
      </c>
      <c r="J1648" s="417" t="s">
        <v>3396</v>
      </c>
      <c r="K1648" s="417" t="s">
        <v>5690</v>
      </c>
      <c r="L1648" s="417"/>
      <c r="M1648" s="417" t="s">
        <v>28840</v>
      </c>
    </row>
    <row r="1649" spans="1:13" x14ac:dyDescent="0.25">
      <c r="A1649" s="417" t="s">
        <v>3385</v>
      </c>
      <c r="B1649" s="417" t="s">
        <v>2627</v>
      </c>
      <c r="C1649" s="417" t="s">
        <v>5691</v>
      </c>
      <c r="D1649" s="417" t="s">
        <v>88</v>
      </c>
      <c r="E1649" s="423">
        <v>210.25827454442691</v>
      </c>
      <c r="F1649" s="423">
        <v>11.056475481047039</v>
      </c>
      <c r="G1649" s="422">
        <v>323954.11026043567</v>
      </c>
      <c r="H1649" s="417" t="s">
        <v>2616</v>
      </c>
      <c r="I1649" s="417" t="s">
        <v>1392</v>
      </c>
      <c r="J1649" s="417" t="s">
        <v>5692</v>
      </c>
      <c r="K1649" s="417" t="s">
        <v>5693</v>
      </c>
      <c r="L1649" s="417"/>
      <c r="M1649" s="417" t="s">
        <v>28840</v>
      </c>
    </row>
    <row r="1650" spans="1:13" x14ac:dyDescent="0.25">
      <c r="A1650" s="417" t="s">
        <v>3385</v>
      </c>
      <c r="B1650" s="417" t="s">
        <v>2627</v>
      </c>
      <c r="C1650" s="417" t="s">
        <v>5694</v>
      </c>
      <c r="D1650" s="417" t="s">
        <v>88</v>
      </c>
      <c r="E1650" s="423">
        <v>67.839192235400787</v>
      </c>
      <c r="F1650" s="423">
        <v>5.1277726214055326</v>
      </c>
      <c r="G1650" s="422">
        <v>122849.4388180768</v>
      </c>
      <c r="H1650" s="417" t="s">
        <v>2616</v>
      </c>
      <c r="I1650" s="417" t="s">
        <v>1392</v>
      </c>
      <c r="J1650" s="417" t="s">
        <v>3433</v>
      </c>
      <c r="K1650" s="417" t="s">
        <v>5695</v>
      </c>
      <c r="L1650" s="417"/>
      <c r="M1650" s="417" t="s">
        <v>28840</v>
      </c>
    </row>
    <row r="1651" spans="1:13" x14ac:dyDescent="0.25">
      <c r="A1651" s="417" t="s">
        <v>3385</v>
      </c>
      <c r="B1651" s="417" t="s">
        <v>2627</v>
      </c>
      <c r="C1651" s="417" t="s">
        <v>5696</v>
      </c>
      <c r="D1651" s="417" t="s">
        <v>88</v>
      </c>
      <c r="E1651" s="423">
        <v>75.782507020505122</v>
      </c>
      <c r="F1651" s="423">
        <v>5.2401030316461963</v>
      </c>
      <c r="G1651" s="422">
        <v>121406.12795844721</v>
      </c>
      <c r="H1651" s="417" t="s">
        <v>2616</v>
      </c>
      <c r="I1651" s="417" t="s">
        <v>1392</v>
      </c>
      <c r="J1651" s="417" t="s">
        <v>3433</v>
      </c>
      <c r="K1651" s="417" t="s">
        <v>5697</v>
      </c>
      <c r="L1651" s="417"/>
      <c r="M1651" s="417" t="s">
        <v>28840</v>
      </c>
    </row>
    <row r="1652" spans="1:13" x14ac:dyDescent="0.25">
      <c r="A1652" s="417" t="s">
        <v>3385</v>
      </c>
      <c r="B1652" s="417" t="s">
        <v>2627</v>
      </c>
      <c r="C1652" s="417" t="s">
        <v>5698</v>
      </c>
      <c r="D1652" s="417" t="s">
        <v>88</v>
      </c>
      <c r="E1652" s="423">
        <v>45.689226103704243</v>
      </c>
      <c r="F1652" s="423">
        <v>6.2383569389357563</v>
      </c>
      <c r="G1652" s="422">
        <v>86462.210024271742</v>
      </c>
      <c r="H1652" s="417" t="s">
        <v>2616</v>
      </c>
      <c r="I1652" s="417" t="s">
        <v>1392</v>
      </c>
      <c r="J1652" s="417" t="s">
        <v>3433</v>
      </c>
      <c r="K1652" s="417" t="s">
        <v>5699</v>
      </c>
      <c r="L1652" s="417"/>
      <c r="M1652" s="417" t="s">
        <v>28840</v>
      </c>
    </row>
    <row r="1653" spans="1:13" x14ac:dyDescent="0.25">
      <c r="A1653" s="417" t="s">
        <v>3385</v>
      </c>
      <c r="B1653" s="417" t="s">
        <v>2627</v>
      </c>
      <c r="C1653" s="417" t="s">
        <v>5700</v>
      </c>
      <c r="D1653" s="417" t="s">
        <v>88</v>
      </c>
      <c r="E1653" s="423">
        <v>49.345220270411957</v>
      </c>
      <c r="F1653" s="423">
        <v>4.4831177729343494</v>
      </c>
      <c r="G1653" s="422">
        <v>90810.929056255627</v>
      </c>
      <c r="H1653" s="417" t="s">
        <v>2616</v>
      </c>
      <c r="I1653" s="417" t="s">
        <v>1392</v>
      </c>
      <c r="J1653" s="417" t="s">
        <v>3433</v>
      </c>
      <c r="K1653" s="417" t="s">
        <v>5701</v>
      </c>
      <c r="L1653" s="417"/>
      <c r="M1653" s="417" t="s">
        <v>28840</v>
      </c>
    </row>
    <row r="1654" spans="1:13" x14ac:dyDescent="0.25">
      <c r="A1654" s="417" t="s">
        <v>3385</v>
      </c>
      <c r="B1654" s="417" t="s">
        <v>2627</v>
      </c>
      <c r="C1654" s="417" t="s">
        <v>5702</v>
      </c>
      <c r="D1654" s="417" t="s">
        <v>88</v>
      </c>
      <c r="E1654" s="423">
        <v>10.921563552313099</v>
      </c>
      <c r="F1654" s="423">
        <v>3.3475222105131472E-2</v>
      </c>
      <c r="G1654" s="422">
        <v>19464.103237259609</v>
      </c>
      <c r="H1654" s="417" t="s">
        <v>2616</v>
      </c>
      <c r="I1654" s="417" t="s">
        <v>1392</v>
      </c>
      <c r="J1654" s="417" t="s">
        <v>4538</v>
      </c>
      <c r="K1654" s="417" t="s">
        <v>5703</v>
      </c>
      <c r="L1654" s="417"/>
      <c r="M1654" s="417" t="s">
        <v>28840</v>
      </c>
    </row>
    <row r="1655" spans="1:13" x14ac:dyDescent="0.25">
      <c r="A1655" s="417" t="s">
        <v>3385</v>
      </c>
      <c r="B1655" s="417" t="s">
        <v>2627</v>
      </c>
      <c r="C1655" s="417" t="s">
        <v>5704</v>
      </c>
      <c r="D1655" s="417" t="s">
        <v>989</v>
      </c>
      <c r="E1655" s="423">
        <v>659975.31308878597</v>
      </c>
      <c r="F1655" s="423">
        <v>26185.827105348129</v>
      </c>
      <c r="G1655" s="422">
        <v>1607629025.3575039</v>
      </c>
      <c r="H1655" s="417" t="s">
        <v>2616</v>
      </c>
      <c r="I1655" s="417" t="s">
        <v>1392</v>
      </c>
      <c r="J1655" s="417" t="s">
        <v>4294</v>
      </c>
      <c r="K1655" s="417" t="s">
        <v>5705</v>
      </c>
      <c r="L1655" s="417"/>
      <c r="M1655" s="417" t="s">
        <v>28840</v>
      </c>
    </row>
    <row r="1656" spans="1:13" x14ac:dyDescent="0.25">
      <c r="A1656" s="417" t="s">
        <v>3385</v>
      </c>
      <c r="B1656" s="417" t="s">
        <v>2623</v>
      </c>
      <c r="C1656" s="417" t="s">
        <v>5706</v>
      </c>
      <c r="D1656" s="417" t="s">
        <v>88</v>
      </c>
      <c r="E1656" s="423">
        <v>6.6058753783439913E-3</v>
      </c>
      <c r="F1656" s="423">
        <v>1.619804743456093E-4</v>
      </c>
      <c r="G1656" s="422">
        <v>9.2976408443985701</v>
      </c>
      <c r="H1656" s="417" t="s">
        <v>2616</v>
      </c>
      <c r="I1656" s="417" t="s">
        <v>1392</v>
      </c>
      <c r="J1656" s="417" t="s">
        <v>4364</v>
      </c>
      <c r="K1656" s="417" t="s">
        <v>5707</v>
      </c>
      <c r="L1656" s="417"/>
      <c r="M1656" s="417" t="s">
        <v>28840</v>
      </c>
    </row>
    <row r="1657" spans="1:13" x14ac:dyDescent="0.25">
      <c r="A1657" s="417" t="s">
        <v>3385</v>
      </c>
      <c r="B1657" s="417" t="s">
        <v>2623</v>
      </c>
      <c r="C1657" s="417" t="s">
        <v>5708</v>
      </c>
      <c r="D1657" s="417" t="s">
        <v>88</v>
      </c>
      <c r="E1657" s="423">
        <v>5.4721474382940401E-2</v>
      </c>
      <c r="F1657" s="423">
        <v>1.9820703656659102E-3</v>
      </c>
      <c r="G1657" s="422">
        <v>93.450146227796182</v>
      </c>
      <c r="H1657" s="417" t="s">
        <v>2616</v>
      </c>
      <c r="I1657" s="417" t="s">
        <v>1392</v>
      </c>
      <c r="J1657" s="417" t="s">
        <v>4364</v>
      </c>
      <c r="K1657" s="417" t="s">
        <v>5709</v>
      </c>
      <c r="L1657" s="417"/>
      <c r="M1657" s="417" t="s">
        <v>28840</v>
      </c>
    </row>
    <row r="1658" spans="1:13" x14ac:dyDescent="0.25">
      <c r="A1658" s="417" t="s">
        <v>3385</v>
      </c>
      <c r="B1658" s="417" t="s">
        <v>3655</v>
      </c>
      <c r="C1658" s="417" t="s">
        <v>5710</v>
      </c>
      <c r="D1658" s="417" t="s">
        <v>88</v>
      </c>
      <c r="E1658" s="423">
        <v>0.3050055597084565</v>
      </c>
      <c r="F1658" s="423">
        <v>0.12160422491373039</v>
      </c>
      <c r="G1658" s="422">
        <v>481.38873781659731</v>
      </c>
      <c r="H1658" s="417" t="s">
        <v>2616</v>
      </c>
      <c r="I1658" s="417" t="s">
        <v>1392</v>
      </c>
      <c r="J1658" s="417" t="s">
        <v>4549</v>
      </c>
      <c r="K1658" s="417" t="s">
        <v>5711</v>
      </c>
      <c r="L1658" s="417"/>
      <c r="M1658" s="417" t="s">
        <v>28840</v>
      </c>
    </row>
    <row r="1659" spans="1:13" x14ac:dyDescent="0.25">
      <c r="A1659" s="417" t="s">
        <v>3385</v>
      </c>
      <c r="B1659" s="417" t="s">
        <v>3655</v>
      </c>
      <c r="C1659" s="417" t="s">
        <v>5712</v>
      </c>
      <c r="D1659" s="417" t="s">
        <v>88</v>
      </c>
      <c r="E1659" s="423">
        <v>0.1539067167032164</v>
      </c>
      <c r="F1659" s="423">
        <v>1.9057040393727919E-2</v>
      </c>
      <c r="G1659" s="422">
        <v>326.28722519810151</v>
      </c>
      <c r="H1659" s="417" t="s">
        <v>2616</v>
      </c>
      <c r="I1659" s="417" t="s">
        <v>1392</v>
      </c>
      <c r="J1659" s="417" t="s">
        <v>4549</v>
      </c>
      <c r="K1659" s="417" t="s">
        <v>5713</v>
      </c>
      <c r="L1659" s="417"/>
      <c r="M1659" s="417" t="s">
        <v>28840</v>
      </c>
    </row>
    <row r="1660" spans="1:13" x14ac:dyDescent="0.25">
      <c r="A1660" s="417" t="s">
        <v>3385</v>
      </c>
      <c r="B1660" s="417" t="s">
        <v>3655</v>
      </c>
      <c r="C1660" s="417" t="s">
        <v>5714</v>
      </c>
      <c r="D1660" s="417" t="s">
        <v>88</v>
      </c>
      <c r="E1660" s="423">
        <v>3.3584957147320627E-2</v>
      </c>
      <c r="F1660" s="423">
        <v>4.158557201253606E-3</v>
      </c>
      <c r="G1660" s="422">
        <v>71.201197218867136</v>
      </c>
      <c r="H1660" s="417" t="s">
        <v>2616</v>
      </c>
      <c r="I1660" s="417" t="s">
        <v>1392</v>
      </c>
      <c r="J1660" s="417" t="s">
        <v>4549</v>
      </c>
      <c r="K1660" s="417" t="s">
        <v>5715</v>
      </c>
      <c r="L1660" s="417"/>
      <c r="M1660" s="417" t="s">
        <v>28840</v>
      </c>
    </row>
    <row r="1661" spans="1:13" x14ac:dyDescent="0.25">
      <c r="A1661" s="417" t="s">
        <v>3385</v>
      </c>
      <c r="B1661" s="417" t="s">
        <v>3655</v>
      </c>
      <c r="C1661" s="417" t="s">
        <v>5716</v>
      </c>
      <c r="D1661" s="417" t="s">
        <v>88</v>
      </c>
      <c r="E1661" s="423">
        <v>4.3222379638052831E-2</v>
      </c>
      <c r="F1661" s="423">
        <v>5.3518823114255907E-3</v>
      </c>
      <c r="G1661" s="422">
        <v>91.632845078388286</v>
      </c>
      <c r="H1661" s="417" t="s">
        <v>2616</v>
      </c>
      <c r="I1661" s="417" t="s">
        <v>1392</v>
      </c>
      <c r="J1661" s="417" t="s">
        <v>4549</v>
      </c>
      <c r="K1661" s="417" t="s">
        <v>5717</v>
      </c>
      <c r="L1661" s="417"/>
      <c r="M1661" s="417" t="s">
        <v>28840</v>
      </c>
    </row>
    <row r="1662" spans="1:13" x14ac:dyDescent="0.25">
      <c r="A1662" s="417" t="s">
        <v>3385</v>
      </c>
      <c r="B1662" s="417" t="s">
        <v>3655</v>
      </c>
      <c r="C1662" s="417" t="s">
        <v>5718</v>
      </c>
      <c r="D1662" s="417" t="s">
        <v>88</v>
      </c>
      <c r="E1662" s="423">
        <v>4.3514422742124428E-2</v>
      </c>
      <c r="F1662" s="423">
        <v>5.3880436784853316E-3</v>
      </c>
      <c r="G1662" s="422">
        <v>92.251985903320644</v>
      </c>
      <c r="H1662" s="417" t="s">
        <v>2616</v>
      </c>
      <c r="I1662" s="417" t="s">
        <v>1392</v>
      </c>
      <c r="J1662" s="417" t="s">
        <v>4549</v>
      </c>
      <c r="K1662" s="417" t="s">
        <v>5719</v>
      </c>
      <c r="L1662" s="417"/>
      <c r="M1662" s="417" t="s">
        <v>28840</v>
      </c>
    </row>
    <row r="1663" spans="1:13" x14ac:dyDescent="0.25">
      <c r="A1663" s="417" t="s">
        <v>3385</v>
      </c>
      <c r="B1663" s="417" t="s">
        <v>2627</v>
      </c>
      <c r="C1663" s="417" t="s">
        <v>5720</v>
      </c>
      <c r="D1663" s="417" t="s">
        <v>88</v>
      </c>
      <c r="E1663" s="423">
        <v>0.6406348663593957</v>
      </c>
      <c r="F1663" s="423">
        <v>0.2228160160338091</v>
      </c>
      <c r="G1663" s="422">
        <v>1957.147761319161</v>
      </c>
      <c r="H1663" s="417" t="s">
        <v>2616</v>
      </c>
      <c r="I1663" s="417" t="s">
        <v>1392</v>
      </c>
      <c r="J1663" s="417" t="s">
        <v>3633</v>
      </c>
      <c r="K1663" s="417" t="s">
        <v>5721</v>
      </c>
      <c r="L1663" s="417"/>
      <c r="M1663" s="417" t="s">
        <v>28840</v>
      </c>
    </row>
    <row r="1664" spans="1:13" x14ac:dyDescent="0.25">
      <c r="A1664" s="417" t="s">
        <v>3385</v>
      </c>
      <c r="B1664" s="417" t="s">
        <v>2627</v>
      </c>
      <c r="C1664" s="417" t="s">
        <v>5722</v>
      </c>
      <c r="D1664" s="417" t="s">
        <v>4427</v>
      </c>
      <c r="E1664" s="423">
        <v>72.651350778883867</v>
      </c>
      <c r="F1664" s="423">
        <v>2.8551349680801681</v>
      </c>
      <c r="G1664" s="422">
        <v>108378.3631565839</v>
      </c>
      <c r="H1664" s="417" t="s">
        <v>2616</v>
      </c>
      <c r="I1664" s="417" t="s">
        <v>1392</v>
      </c>
      <c r="J1664" s="417" t="s">
        <v>4016</v>
      </c>
      <c r="K1664" s="417" t="s">
        <v>5723</v>
      </c>
      <c r="L1664" s="417"/>
      <c r="M1664" s="417" t="s">
        <v>28840</v>
      </c>
    </row>
    <row r="1665" spans="1:13" x14ac:dyDescent="0.25">
      <c r="A1665" s="417" t="s">
        <v>3385</v>
      </c>
      <c r="B1665" s="417" t="s">
        <v>3405</v>
      </c>
      <c r="C1665" s="417" t="s">
        <v>5724</v>
      </c>
      <c r="D1665" s="417" t="s">
        <v>989</v>
      </c>
      <c r="E1665" s="423">
        <v>572.27893620402779</v>
      </c>
      <c r="F1665" s="423">
        <v>354.00381196335542</v>
      </c>
      <c r="G1665" s="422">
        <v>847942.85452046827</v>
      </c>
      <c r="H1665" s="417" t="s">
        <v>2616</v>
      </c>
      <c r="I1665" s="417" t="s">
        <v>1392</v>
      </c>
      <c r="J1665" s="417" t="s">
        <v>4326</v>
      </c>
      <c r="K1665" s="417" t="s">
        <v>5725</v>
      </c>
      <c r="L1665" s="417"/>
      <c r="M1665" s="417" t="s">
        <v>28840</v>
      </c>
    </row>
    <row r="1666" spans="1:13" x14ac:dyDescent="0.25">
      <c r="A1666" s="417" t="s">
        <v>3385</v>
      </c>
      <c r="B1666" s="417" t="s">
        <v>2627</v>
      </c>
      <c r="C1666" s="417" t="s">
        <v>992</v>
      </c>
      <c r="D1666" s="417" t="s">
        <v>989</v>
      </c>
      <c r="E1666" s="423">
        <v>196.1660528120901</v>
      </c>
      <c r="F1666" s="423">
        <v>7.8951927592104578</v>
      </c>
      <c r="G1666" s="422">
        <v>927965.23729248019</v>
      </c>
      <c r="H1666" s="417" t="s">
        <v>2616</v>
      </c>
      <c r="I1666" s="417" t="s">
        <v>28841</v>
      </c>
      <c r="J1666" s="417" t="s">
        <v>3699</v>
      </c>
      <c r="K1666" s="417" t="s">
        <v>5726</v>
      </c>
      <c r="L1666" s="417"/>
      <c r="M1666" s="417" t="s">
        <v>28840</v>
      </c>
    </row>
    <row r="1667" spans="1:13" x14ac:dyDescent="0.25">
      <c r="A1667" s="417" t="s">
        <v>3385</v>
      </c>
      <c r="B1667" s="417" t="s">
        <v>2627</v>
      </c>
      <c r="C1667" s="417" t="s">
        <v>5727</v>
      </c>
      <c r="D1667" s="417" t="s">
        <v>83</v>
      </c>
      <c r="E1667" s="423">
        <v>6.2625059721457899E-3</v>
      </c>
      <c r="F1667" s="423">
        <v>1.464597448555324E-3</v>
      </c>
      <c r="G1667" s="422">
        <v>30.486668356568099</v>
      </c>
      <c r="H1667" s="417" t="s">
        <v>2616</v>
      </c>
      <c r="I1667" s="417" t="s">
        <v>1392</v>
      </c>
      <c r="J1667" s="417" t="s">
        <v>4138</v>
      </c>
      <c r="K1667" s="417" t="s">
        <v>5728</v>
      </c>
      <c r="L1667" s="417"/>
      <c r="M1667" s="417" t="s">
        <v>28840</v>
      </c>
    </row>
    <row r="1668" spans="1:13" x14ac:dyDescent="0.25">
      <c r="A1668" s="417" t="s">
        <v>3385</v>
      </c>
      <c r="B1668" s="417" t="s">
        <v>2627</v>
      </c>
      <c r="C1668" s="417" t="s">
        <v>5729</v>
      </c>
      <c r="D1668" s="417" t="s">
        <v>83</v>
      </c>
      <c r="E1668" s="423">
        <v>4.017706303637846E-3</v>
      </c>
      <c r="F1668" s="423">
        <v>9.2921609767452154E-4</v>
      </c>
      <c r="G1668" s="422">
        <v>19.476366435606149</v>
      </c>
      <c r="H1668" s="417" t="s">
        <v>2616</v>
      </c>
      <c r="I1668" s="417" t="s">
        <v>1392</v>
      </c>
      <c r="J1668" s="417" t="s">
        <v>4138</v>
      </c>
      <c r="K1668" s="417" t="s">
        <v>5730</v>
      </c>
      <c r="L1668" s="417"/>
      <c r="M1668" s="417" t="s">
        <v>28840</v>
      </c>
    </row>
    <row r="1669" spans="1:13" x14ac:dyDescent="0.25">
      <c r="A1669" s="417" t="s">
        <v>3385</v>
      </c>
      <c r="B1669" s="417" t="s">
        <v>2627</v>
      </c>
      <c r="C1669" s="417" t="s">
        <v>5731</v>
      </c>
      <c r="D1669" s="417" t="s">
        <v>83</v>
      </c>
      <c r="E1669" s="423">
        <v>4.6926013482414923E-3</v>
      </c>
      <c r="F1669" s="423">
        <v>1.0901775495977891E-3</v>
      </c>
      <c r="G1669" s="422">
        <v>22.786594545572999</v>
      </c>
      <c r="H1669" s="417" t="s">
        <v>2616</v>
      </c>
      <c r="I1669" s="417" t="s">
        <v>1392</v>
      </c>
      <c r="J1669" s="417" t="s">
        <v>4138</v>
      </c>
      <c r="K1669" s="417" t="s">
        <v>5732</v>
      </c>
      <c r="L1669" s="417"/>
      <c r="M1669" s="417" t="s">
        <v>28840</v>
      </c>
    </row>
    <row r="1670" spans="1:13" x14ac:dyDescent="0.25">
      <c r="A1670" s="417" t="s">
        <v>3385</v>
      </c>
      <c r="B1670" s="417" t="s">
        <v>2627</v>
      </c>
      <c r="C1670" s="417" t="s">
        <v>5733</v>
      </c>
      <c r="D1670" s="417" t="s">
        <v>83</v>
      </c>
      <c r="E1670" s="423">
        <v>5.4484992901565506E-3</v>
      </c>
      <c r="F1670" s="423">
        <v>1.2704580766782071E-3</v>
      </c>
      <c r="G1670" s="422">
        <v>26.494125501957711</v>
      </c>
      <c r="H1670" s="417" t="s">
        <v>2616</v>
      </c>
      <c r="I1670" s="417" t="s">
        <v>1392</v>
      </c>
      <c r="J1670" s="417" t="s">
        <v>4138</v>
      </c>
      <c r="K1670" s="417" t="s">
        <v>5734</v>
      </c>
      <c r="L1670" s="417"/>
      <c r="M1670" s="417" t="s">
        <v>28840</v>
      </c>
    </row>
    <row r="1671" spans="1:13" x14ac:dyDescent="0.25">
      <c r="A1671" s="417" t="s">
        <v>3385</v>
      </c>
      <c r="B1671" s="417" t="s">
        <v>2627</v>
      </c>
      <c r="C1671" s="417" t="s">
        <v>1043</v>
      </c>
      <c r="D1671" s="417" t="s">
        <v>88</v>
      </c>
      <c r="E1671" s="423">
        <v>2.9447228404669912</v>
      </c>
      <c r="F1671" s="423">
        <v>5.7227947477464763E-2</v>
      </c>
      <c r="G1671" s="422">
        <v>4635.4182479933334</v>
      </c>
      <c r="H1671" s="417" t="s">
        <v>2616</v>
      </c>
      <c r="I1671" s="417" t="s">
        <v>28841</v>
      </c>
      <c r="J1671" s="417" t="s">
        <v>3825</v>
      </c>
      <c r="K1671" s="417" t="s">
        <v>5735</v>
      </c>
      <c r="L1671" s="417"/>
      <c r="M1671" s="417" t="s">
        <v>28840</v>
      </c>
    </row>
    <row r="1672" spans="1:13" x14ac:dyDescent="0.25">
      <c r="A1672" s="417" t="s">
        <v>3385</v>
      </c>
      <c r="B1672" s="417" t="s">
        <v>2627</v>
      </c>
      <c r="C1672" s="417" t="s">
        <v>1044</v>
      </c>
      <c r="D1672" s="417" t="s">
        <v>88</v>
      </c>
      <c r="E1672" s="423">
        <v>1.6079502202075351</v>
      </c>
      <c r="F1672" s="423">
        <v>5.7610789871598823E-2</v>
      </c>
      <c r="G1672" s="422">
        <v>20521.563224385241</v>
      </c>
      <c r="H1672" s="417" t="s">
        <v>2616</v>
      </c>
      <c r="I1672" s="417" t="s">
        <v>28841</v>
      </c>
      <c r="J1672" s="417" t="s">
        <v>3825</v>
      </c>
      <c r="K1672" s="417" t="s">
        <v>5736</v>
      </c>
      <c r="L1672" s="417"/>
      <c r="M1672" s="417" t="s">
        <v>28840</v>
      </c>
    </row>
    <row r="1673" spans="1:13" x14ac:dyDescent="0.25">
      <c r="A1673" s="417" t="s">
        <v>3385</v>
      </c>
      <c r="B1673" s="417" t="s">
        <v>2437</v>
      </c>
      <c r="C1673" s="417" t="s">
        <v>5737</v>
      </c>
      <c r="D1673" s="417" t="s">
        <v>989</v>
      </c>
      <c r="E1673" s="423">
        <v>7982.6940323804984</v>
      </c>
      <c r="F1673" s="423">
        <v>294.7367573111926</v>
      </c>
      <c r="G1673" s="422">
        <v>20326752.85828881</v>
      </c>
      <c r="H1673" s="417" t="s">
        <v>2616</v>
      </c>
      <c r="I1673" s="417" t="s">
        <v>1392</v>
      </c>
      <c r="J1673" s="417" t="s">
        <v>4375</v>
      </c>
      <c r="K1673" s="417" t="s">
        <v>5738</v>
      </c>
      <c r="L1673" s="417"/>
      <c r="M1673" s="417" t="s">
        <v>28840</v>
      </c>
    </row>
    <row r="1674" spans="1:13" x14ac:dyDescent="0.25">
      <c r="A1674" s="417" t="s">
        <v>3385</v>
      </c>
      <c r="B1674" s="417" t="s">
        <v>2627</v>
      </c>
      <c r="C1674" s="417" t="s">
        <v>5739</v>
      </c>
      <c r="D1674" s="417" t="s">
        <v>563</v>
      </c>
      <c r="E1674" s="423">
        <v>382.94323119323991</v>
      </c>
      <c r="F1674" s="423">
        <v>21.822373998402949</v>
      </c>
      <c r="G1674" s="422">
        <v>681721.29276599258</v>
      </c>
      <c r="H1674" s="417" t="s">
        <v>2616</v>
      </c>
      <c r="I1674" s="417" t="s">
        <v>1392</v>
      </c>
      <c r="J1674" s="417" t="s">
        <v>4138</v>
      </c>
      <c r="K1674" s="417" t="s">
        <v>5740</v>
      </c>
      <c r="L1674" s="417"/>
      <c r="M1674" s="417" t="s">
        <v>28840</v>
      </c>
    </row>
    <row r="1675" spans="1:13" x14ac:dyDescent="0.25">
      <c r="A1675" s="417" t="s">
        <v>3385</v>
      </c>
      <c r="B1675" s="417" t="s">
        <v>2627</v>
      </c>
      <c r="C1675" s="417" t="s">
        <v>5741</v>
      </c>
      <c r="D1675" s="417" t="s">
        <v>563</v>
      </c>
      <c r="E1675" s="423">
        <v>733.47498478664136</v>
      </c>
      <c r="F1675" s="423">
        <v>41.918987695070918</v>
      </c>
      <c r="G1675" s="422">
        <v>1196785.2051995059</v>
      </c>
      <c r="H1675" s="417" t="s">
        <v>2616</v>
      </c>
      <c r="I1675" s="417" t="s">
        <v>1392</v>
      </c>
      <c r="J1675" s="417" t="s">
        <v>4138</v>
      </c>
      <c r="K1675" s="417" t="s">
        <v>5742</v>
      </c>
      <c r="L1675" s="417"/>
      <c r="M1675" s="417" t="s">
        <v>28840</v>
      </c>
    </row>
    <row r="1676" spans="1:13" x14ac:dyDescent="0.25">
      <c r="A1676" s="417" t="s">
        <v>3385</v>
      </c>
      <c r="B1676" s="417" t="s">
        <v>2627</v>
      </c>
      <c r="C1676" s="417" t="s">
        <v>5743</v>
      </c>
      <c r="D1676" s="417" t="s">
        <v>563</v>
      </c>
      <c r="E1676" s="423">
        <v>757.87973704545993</v>
      </c>
      <c r="F1676" s="423">
        <v>42.534167577265769</v>
      </c>
      <c r="G1676" s="422">
        <v>1234727.9444386549</v>
      </c>
      <c r="H1676" s="417" t="s">
        <v>2616</v>
      </c>
      <c r="I1676" s="417" t="s">
        <v>1392</v>
      </c>
      <c r="J1676" s="417" t="s">
        <v>4138</v>
      </c>
      <c r="K1676" s="417" t="s">
        <v>5744</v>
      </c>
      <c r="L1676" s="417"/>
      <c r="M1676" s="417" t="s">
        <v>28840</v>
      </c>
    </row>
    <row r="1677" spans="1:13" x14ac:dyDescent="0.25">
      <c r="A1677" s="417" t="s">
        <v>3385</v>
      </c>
      <c r="B1677" s="417" t="s">
        <v>2627</v>
      </c>
      <c r="C1677" s="417" t="s">
        <v>5745</v>
      </c>
      <c r="D1677" s="417" t="s">
        <v>563</v>
      </c>
      <c r="E1677" s="423">
        <v>709.07023257763262</v>
      </c>
      <c r="F1677" s="423">
        <v>41.303807814115878</v>
      </c>
      <c r="G1677" s="422">
        <v>1158842.464540591</v>
      </c>
      <c r="H1677" s="417" t="s">
        <v>2616</v>
      </c>
      <c r="I1677" s="417" t="s">
        <v>1392</v>
      </c>
      <c r="J1677" s="417" t="s">
        <v>4138</v>
      </c>
      <c r="K1677" s="417" t="s">
        <v>5746</v>
      </c>
      <c r="L1677" s="417"/>
      <c r="M1677" s="417" t="s">
        <v>28840</v>
      </c>
    </row>
    <row r="1678" spans="1:13" x14ac:dyDescent="0.25">
      <c r="A1678" s="417" t="s">
        <v>3385</v>
      </c>
      <c r="B1678" s="417" t="s">
        <v>2437</v>
      </c>
      <c r="C1678" s="417" t="s">
        <v>5747</v>
      </c>
      <c r="D1678" s="417" t="s">
        <v>989</v>
      </c>
      <c r="E1678" s="423">
        <v>3931.755009453515</v>
      </c>
      <c r="F1678" s="423">
        <v>118.3691965095212</v>
      </c>
      <c r="G1678" s="422">
        <v>8740024.26257856</v>
      </c>
      <c r="H1678" s="417" t="s">
        <v>2616</v>
      </c>
      <c r="I1678" s="417" t="s">
        <v>1392</v>
      </c>
      <c r="J1678" s="417" t="s">
        <v>4375</v>
      </c>
      <c r="K1678" s="417" t="s">
        <v>5748</v>
      </c>
      <c r="L1678" s="417"/>
      <c r="M1678" s="417" t="s">
        <v>28840</v>
      </c>
    </row>
    <row r="1679" spans="1:13" x14ac:dyDescent="0.25">
      <c r="A1679" s="417" t="s">
        <v>3385</v>
      </c>
      <c r="B1679" s="417" t="s">
        <v>2627</v>
      </c>
      <c r="C1679" s="417" t="s">
        <v>5749</v>
      </c>
      <c r="D1679" s="417" t="s">
        <v>88</v>
      </c>
      <c r="E1679" s="423">
        <v>3.5186021614547038</v>
      </c>
      <c r="F1679" s="423">
        <v>0.25587509798725422</v>
      </c>
      <c r="G1679" s="422">
        <v>7756.8241735376214</v>
      </c>
      <c r="H1679" s="417" t="s">
        <v>2616</v>
      </c>
      <c r="I1679" s="417" t="s">
        <v>1392</v>
      </c>
      <c r="J1679" s="417" t="s">
        <v>3742</v>
      </c>
      <c r="K1679" s="417" t="s">
        <v>5750</v>
      </c>
      <c r="L1679" s="417"/>
      <c r="M1679" s="417" t="s">
        <v>28840</v>
      </c>
    </row>
    <row r="1680" spans="1:13" x14ac:dyDescent="0.25">
      <c r="A1680" s="417" t="s">
        <v>3385</v>
      </c>
      <c r="B1680" s="417" t="s">
        <v>2627</v>
      </c>
      <c r="C1680" s="417" t="s">
        <v>5751</v>
      </c>
      <c r="D1680" s="417" t="s">
        <v>88</v>
      </c>
      <c r="E1680" s="423">
        <v>6.2076816879228369</v>
      </c>
      <c r="F1680" s="423">
        <v>0.28350351187517131</v>
      </c>
      <c r="G1680" s="422">
        <v>802949.76808499056</v>
      </c>
      <c r="H1680" s="417" t="s">
        <v>2616</v>
      </c>
      <c r="I1680" s="417" t="s">
        <v>1392</v>
      </c>
      <c r="J1680" s="417" t="s">
        <v>3387</v>
      </c>
      <c r="K1680" s="417" t="s">
        <v>5752</v>
      </c>
      <c r="L1680" s="417"/>
      <c r="M1680" s="417" t="s">
        <v>28840</v>
      </c>
    </row>
    <row r="1681" spans="1:13" x14ac:dyDescent="0.25">
      <c r="A1681" s="417" t="s">
        <v>3385</v>
      </c>
      <c r="B1681" s="417" t="s">
        <v>2627</v>
      </c>
      <c r="C1681" s="417" t="s">
        <v>5753</v>
      </c>
      <c r="D1681" s="417" t="s">
        <v>88</v>
      </c>
      <c r="E1681" s="423">
        <v>6.4794095495832931</v>
      </c>
      <c r="F1681" s="423">
        <v>0.30165050841834751</v>
      </c>
      <c r="G1681" s="422">
        <v>803149.2775663737</v>
      </c>
      <c r="H1681" s="417" t="s">
        <v>2616</v>
      </c>
      <c r="I1681" s="417" t="s">
        <v>1392</v>
      </c>
      <c r="J1681" s="417" t="s">
        <v>3387</v>
      </c>
      <c r="K1681" s="417" t="s">
        <v>5754</v>
      </c>
      <c r="L1681" s="417"/>
      <c r="M1681" s="417" t="s">
        <v>28840</v>
      </c>
    </row>
    <row r="1682" spans="1:13" x14ac:dyDescent="0.25">
      <c r="A1682" s="417" t="s">
        <v>3385</v>
      </c>
      <c r="B1682" s="417" t="s">
        <v>2627</v>
      </c>
      <c r="C1682" s="417" t="s">
        <v>5755</v>
      </c>
      <c r="D1682" s="417" t="s">
        <v>88</v>
      </c>
      <c r="E1682" s="423">
        <v>3.5658902005945179</v>
      </c>
      <c r="F1682" s="423">
        <v>7.3796207709378545E-4</v>
      </c>
      <c r="G1682" s="422">
        <v>12473.357374644709</v>
      </c>
      <c r="H1682" s="417" t="s">
        <v>2616</v>
      </c>
      <c r="I1682" s="417" t="s">
        <v>1392</v>
      </c>
      <c r="J1682" s="417" t="s">
        <v>3396</v>
      </c>
      <c r="K1682" s="417" t="s">
        <v>5756</v>
      </c>
      <c r="L1682" s="417"/>
      <c r="M1682" s="417" t="s">
        <v>28840</v>
      </c>
    </row>
    <row r="1683" spans="1:13" x14ac:dyDescent="0.25">
      <c r="A1683" s="417" t="s">
        <v>3385</v>
      </c>
      <c r="B1683" s="417" t="s">
        <v>3405</v>
      </c>
      <c r="C1683" s="417" t="s">
        <v>5757</v>
      </c>
      <c r="D1683" s="417" t="s">
        <v>989</v>
      </c>
      <c r="E1683" s="423">
        <v>460097.86865964258</v>
      </c>
      <c r="F1683" s="423">
        <v>11200.47220549777</v>
      </c>
      <c r="G1683" s="422">
        <v>1285833448.720715</v>
      </c>
      <c r="H1683" s="417" t="s">
        <v>2616</v>
      </c>
      <c r="I1683" s="417" t="s">
        <v>1392</v>
      </c>
      <c r="J1683" s="417" t="s">
        <v>5758</v>
      </c>
      <c r="K1683" s="417" t="s">
        <v>5759</v>
      </c>
      <c r="L1683" s="417"/>
      <c r="M1683" s="417" t="s">
        <v>28840</v>
      </c>
    </row>
    <row r="1684" spans="1:13" x14ac:dyDescent="0.25">
      <c r="A1684" s="417" t="s">
        <v>3385</v>
      </c>
      <c r="B1684" s="417" t="s">
        <v>2627</v>
      </c>
      <c r="C1684" s="417" t="s">
        <v>5760</v>
      </c>
      <c r="D1684" s="417" t="s">
        <v>88</v>
      </c>
      <c r="E1684" s="423">
        <v>0.91038115534117103</v>
      </c>
      <c r="F1684" s="423">
        <v>6.1485607595294419E-3</v>
      </c>
      <c r="G1684" s="422">
        <v>1743.041270399352</v>
      </c>
      <c r="H1684" s="417" t="s">
        <v>2616</v>
      </c>
      <c r="I1684" s="417" t="s">
        <v>1392</v>
      </c>
      <c r="J1684" s="417" t="s">
        <v>4123</v>
      </c>
      <c r="K1684" s="417" t="s">
        <v>5761</v>
      </c>
      <c r="L1684" s="417"/>
      <c r="M1684" s="417" t="s">
        <v>28840</v>
      </c>
    </row>
    <row r="1685" spans="1:13" x14ac:dyDescent="0.25">
      <c r="A1685" s="417" t="s">
        <v>3385</v>
      </c>
      <c r="B1685" s="417" t="s">
        <v>2627</v>
      </c>
      <c r="C1685" s="417" t="s">
        <v>5762</v>
      </c>
      <c r="D1685" s="417" t="s">
        <v>88</v>
      </c>
      <c r="E1685" s="423">
        <v>0.85297165150197674</v>
      </c>
      <c r="F1685" s="423">
        <v>7.6134449654754292E-3</v>
      </c>
      <c r="G1685" s="422">
        <v>1640.2501645099589</v>
      </c>
      <c r="H1685" s="417" t="s">
        <v>2616</v>
      </c>
      <c r="I1685" s="417" t="s">
        <v>1392</v>
      </c>
      <c r="J1685" s="417" t="s">
        <v>4123</v>
      </c>
      <c r="K1685" s="417" t="s">
        <v>5763</v>
      </c>
      <c r="L1685" s="417"/>
      <c r="M1685" s="417" t="s">
        <v>28840</v>
      </c>
    </row>
    <row r="1686" spans="1:13" x14ac:dyDescent="0.25">
      <c r="A1686" s="417" t="s">
        <v>3385</v>
      </c>
      <c r="B1686" s="417" t="s">
        <v>2627</v>
      </c>
      <c r="C1686" s="417" t="s">
        <v>5764</v>
      </c>
      <c r="D1686" s="417" t="s">
        <v>88</v>
      </c>
      <c r="E1686" s="423">
        <v>0.81652760201616037</v>
      </c>
      <c r="F1686" s="423">
        <v>9.4090193547752637E-2</v>
      </c>
      <c r="G1686" s="422">
        <v>1654.9489449931959</v>
      </c>
      <c r="H1686" s="417" t="s">
        <v>2616</v>
      </c>
      <c r="I1686" s="417" t="s">
        <v>1392</v>
      </c>
      <c r="J1686" s="417" t="s">
        <v>5765</v>
      </c>
      <c r="K1686" s="417" t="s">
        <v>5766</v>
      </c>
      <c r="L1686" s="417"/>
      <c r="M1686" s="417" t="s">
        <v>28840</v>
      </c>
    </row>
    <row r="1687" spans="1:13" x14ac:dyDescent="0.25">
      <c r="A1687" s="417" t="s">
        <v>3385</v>
      </c>
      <c r="B1687" s="417" t="s">
        <v>2627</v>
      </c>
      <c r="C1687" s="417" t="s">
        <v>5767</v>
      </c>
      <c r="D1687" s="417" t="s">
        <v>88</v>
      </c>
      <c r="E1687" s="423">
        <v>0.81246374607441685</v>
      </c>
      <c r="F1687" s="423">
        <v>0.24779311599802961</v>
      </c>
      <c r="G1687" s="422">
        <v>1979.030200359555</v>
      </c>
      <c r="H1687" s="417" t="s">
        <v>2616</v>
      </c>
      <c r="I1687" s="417" t="s">
        <v>1392</v>
      </c>
      <c r="J1687" s="417" t="s">
        <v>5765</v>
      </c>
      <c r="K1687" s="417" t="s">
        <v>5768</v>
      </c>
      <c r="L1687" s="417"/>
      <c r="M1687" s="417" t="s">
        <v>28840</v>
      </c>
    </row>
    <row r="1688" spans="1:13" x14ac:dyDescent="0.25">
      <c r="A1688" s="417" t="s">
        <v>3385</v>
      </c>
      <c r="B1688" s="417" t="s">
        <v>2627</v>
      </c>
      <c r="C1688" s="417" t="s">
        <v>5769</v>
      </c>
      <c r="D1688" s="417" t="s">
        <v>88</v>
      </c>
      <c r="E1688" s="423">
        <v>7.3539134227600842</v>
      </c>
      <c r="F1688" s="423">
        <v>0.36640714020625781</v>
      </c>
      <c r="G1688" s="422">
        <v>14803.692882122839</v>
      </c>
      <c r="H1688" s="417" t="s">
        <v>2616</v>
      </c>
      <c r="I1688" s="417" t="s">
        <v>1392</v>
      </c>
      <c r="J1688" s="417" t="s">
        <v>5770</v>
      </c>
      <c r="K1688" s="417" t="s">
        <v>5771</v>
      </c>
      <c r="L1688" s="417"/>
      <c r="M1688" s="417" t="s">
        <v>28840</v>
      </c>
    </row>
    <row r="1689" spans="1:13" x14ac:dyDescent="0.25">
      <c r="A1689" s="417" t="s">
        <v>3385</v>
      </c>
      <c r="B1689" s="417" t="s">
        <v>2623</v>
      </c>
      <c r="C1689" s="417" t="s">
        <v>5772</v>
      </c>
      <c r="D1689" s="417" t="s">
        <v>88</v>
      </c>
      <c r="E1689" s="423">
        <v>5.9816900276738538</v>
      </c>
      <c r="F1689" s="423">
        <v>0.16867649005964419</v>
      </c>
      <c r="G1689" s="422">
        <v>8985.8673427919966</v>
      </c>
      <c r="H1689" s="417" t="s">
        <v>2616</v>
      </c>
      <c r="I1689" s="417" t="s">
        <v>1392</v>
      </c>
      <c r="J1689" s="417" t="s">
        <v>4364</v>
      </c>
      <c r="K1689" s="417" t="s">
        <v>5773</v>
      </c>
      <c r="L1689" s="417"/>
      <c r="M1689" s="417" t="s">
        <v>28840</v>
      </c>
    </row>
    <row r="1690" spans="1:13" x14ac:dyDescent="0.25">
      <c r="A1690" s="417" t="s">
        <v>3385</v>
      </c>
      <c r="B1690" s="417" t="s">
        <v>2623</v>
      </c>
      <c r="C1690" s="417" t="s">
        <v>5774</v>
      </c>
      <c r="D1690" s="417" t="s">
        <v>88</v>
      </c>
      <c r="E1690" s="423">
        <v>5.3093596628697153</v>
      </c>
      <c r="F1690" s="423">
        <v>0.14330131209614491</v>
      </c>
      <c r="G1690" s="422">
        <v>7809.6345980415144</v>
      </c>
      <c r="H1690" s="417" t="s">
        <v>2616</v>
      </c>
      <c r="I1690" s="417" t="s">
        <v>1392</v>
      </c>
      <c r="J1690" s="417" t="s">
        <v>4364</v>
      </c>
      <c r="K1690" s="417" t="s">
        <v>5775</v>
      </c>
      <c r="L1690" s="417"/>
      <c r="M1690" s="417" t="s">
        <v>28840</v>
      </c>
    </row>
    <row r="1691" spans="1:13" x14ac:dyDescent="0.25">
      <c r="A1691" s="417" t="s">
        <v>3385</v>
      </c>
      <c r="B1691" s="417" t="s">
        <v>3405</v>
      </c>
      <c r="C1691" s="417" t="s">
        <v>5776</v>
      </c>
      <c r="D1691" s="417" t="s">
        <v>73</v>
      </c>
      <c r="E1691" s="423">
        <v>0.10479989787116591</v>
      </c>
      <c r="F1691" s="423">
        <v>2.641730929906013E-3</v>
      </c>
      <c r="G1691" s="422">
        <v>162.93528621419961</v>
      </c>
      <c r="H1691" s="417" t="s">
        <v>2616</v>
      </c>
      <c r="I1691" s="417" t="s">
        <v>1392</v>
      </c>
      <c r="J1691" s="417" t="s">
        <v>5777</v>
      </c>
      <c r="K1691" s="417" t="s">
        <v>5778</v>
      </c>
      <c r="L1691" s="417"/>
      <c r="M1691" s="417" t="s">
        <v>28840</v>
      </c>
    </row>
    <row r="1692" spans="1:13" x14ac:dyDescent="0.25">
      <c r="A1692" s="417" t="s">
        <v>3385</v>
      </c>
      <c r="B1692" s="417" t="s">
        <v>3405</v>
      </c>
      <c r="C1692" s="417" t="s">
        <v>5779</v>
      </c>
      <c r="D1692" s="417" t="s">
        <v>73</v>
      </c>
      <c r="E1692" s="423">
        <v>0.104790081688564</v>
      </c>
      <c r="F1692" s="423">
        <v>2.641469910911326E-3</v>
      </c>
      <c r="G1692" s="422">
        <v>162.65044729442249</v>
      </c>
      <c r="H1692" s="417" t="s">
        <v>2616</v>
      </c>
      <c r="I1692" s="417" t="s">
        <v>1392</v>
      </c>
      <c r="J1692" s="417" t="s">
        <v>5777</v>
      </c>
      <c r="K1692" s="417" t="s">
        <v>5780</v>
      </c>
      <c r="L1692" s="417"/>
      <c r="M1692" s="417" t="s">
        <v>28840</v>
      </c>
    </row>
    <row r="1693" spans="1:13" x14ac:dyDescent="0.25">
      <c r="A1693" s="417" t="s">
        <v>3385</v>
      </c>
      <c r="B1693" s="417" t="s">
        <v>3405</v>
      </c>
      <c r="C1693" s="417" t="s">
        <v>5781</v>
      </c>
      <c r="D1693" s="417" t="s">
        <v>73</v>
      </c>
      <c r="E1693" s="423">
        <v>9.8671323332548327E-2</v>
      </c>
      <c r="F1693" s="423">
        <v>6.0831242409557706E-3</v>
      </c>
      <c r="G1693" s="422">
        <v>167.4528479093407</v>
      </c>
      <c r="H1693" s="417" t="s">
        <v>2616</v>
      </c>
      <c r="I1693" s="417" t="s">
        <v>1392</v>
      </c>
      <c r="J1693" s="417" t="s">
        <v>5758</v>
      </c>
      <c r="K1693" s="417" t="s">
        <v>5782</v>
      </c>
      <c r="L1693" s="417"/>
      <c r="M1693" s="417" t="s">
        <v>28840</v>
      </c>
    </row>
    <row r="1694" spans="1:13" x14ac:dyDescent="0.25">
      <c r="A1694" s="417" t="s">
        <v>3385</v>
      </c>
      <c r="B1694" s="417" t="s">
        <v>3405</v>
      </c>
      <c r="C1694" s="417" t="s">
        <v>5783</v>
      </c>
      <c r="D1694" s="417" t="s">
        <v>73</v>
      </c>
      <c r="E1694" s="423">
        <v>0.1050884329155454</v>
      </c>
      <c r="F1694" s="423">
        <v>2.6494035990674851E-3</v>
      </c>
      <c r="G1694" s="422">
        <v>166.9258336989482</v>
      </c>
      <c r="H1694" s="417" t="s">
        <v>2616</v>
      </c>
      <c r="I1694" s="417" t="s">
        <v>1392</v>
      </c>
      <c r="J1694" s="417" t="s">
        <v>5777</v>
      </c>
      <c r="K1694" s="417" t="s">
        <v>5784</v>
      </c>
      <c r="L1694" s="417"/>
      <c r="M1694" s="417" t="s">
        <v>28840</v>
      </c>
    </row>
    <row r="1695" spans="1:13" x14ac:dyDescent="0.25">
      <c r="A1695" s="417" t="s">
        <v>3385</v>
      </c>
      <c r="B1695" s="417" t="s">
        <v>3405</v>
      </c>
      <c r="C1695" s="417" t="s">
        <v>5785</v>
      </c>
      <c r="D1695" s="417" t="s">
        <v>73</v>
      </c>
      <c r="E1695" s="423">
        <v>9.7924256982662147E-2</v>
      </c>
      <c r="F1695" s="423">
        <v>2.3197029833218951E-3</v>
      </c>
      <c r="G1695" s="422">
        <v>133.0816051154311</v>
      </c>
      <c r="H1695" s="417" t="s">
        <v>2616</v>
      </c>
      <c r="I1695" s="417" t="s">
        <v>1392</v>
      </c>
      <c r="J1695" s="417" t="s">
        <v>5786</v>
      </c>
      <c r="K1695" s="417" t="s">
        <v>5787</v>
      </c>
      <c r="L1695" s="417"/>
      <c r="M1695" s="417" t="s">
        <v>28840</v>
      </c>
    </row>
    <row r="1696" spans="1:13" x14ac:dyDescent="0.25">
      <c r="A1696" s="417" t="s">
        <v>3385</v>
      </c>
      <c r="B1696" s="417" t="s">
        <v>3405</v>
      </c>
      <c r="C1696" s="417" t="s">
        <v>5788</v>
      </c>
      <c r="D1696" s="417" t="s">
        <v>73</v>
      </c>
      <c r="E1696" s="423">
        <v>9.6698789033361751E-2</v>
      </c>
      <c r="F1696" s="423">
        <v>2.2856773302519819E-3</v>
      </c>
      <c r="G1696" s="422">
        <v>129.11885666190881</v>
      </c>
      <c r="H1696" s="417" t="s">
        <v>2616</v>
      </c>
      <c r="I1696" s="417" t="s">
        <v>1392</v>
      </c>
      <c r="J1696" s="417" t="s">
        <v>5786</v>
      </c>
      <c r="K1696" s="417" t="s">
        <v>5789</v>
      </c>
      <c r="L1696" s="417"/>
      <c r="M1696" s="417" t="s">
        <v>28840</v>
      </c>
    </row>
    <row r="1697" spans="1:13" x14ac:dyDescent="0.25">
      <c r="A1697" s="417" t="s">
        <v>3385</v>
      </c>
      <c r="B1697" s="417" t="s">
        <v>3405</v>
      </c>
      <c r="C1697" s="417" t="s">
        <v>5790</v>
      </c>
      <c r="D1697" s="417" t="s">
        <v>73</v>
      </c>
      <c r="E1697" s="423">
        <v>9.6763406484637465E-2</v>
      </c>
      <c r="F1697" s="423">
        <v>2.2880972237987011E-3</v>
      </c>
      <c r="G1697" s="422">
        <v>129.27169059465851</v>
      </c>
      <c r="H1697" s="417" t="s">
        <v>2616</v>
      </c>
      <c r="I1697" s="417" t="s">
        <v>1392</v>
      </c>
      <c r="J1697" s="417" t="s">
        <v>5786</v>
      </c>
      <c r="K1697" s="417" t="s">
        <v>5791</v>
      </c>
      <c r="L1697" s="417"/>
      <c r="M1697" s="417" t="s">
        <v>28840</v>
      </c>
    </row>
    <row r="1698" spans="1:13" x14ac:dyDescent="0.25">
      <c r="A1698" s="417" t="s">
        <v>3385</v>
      </c>
      <c r="B1698" s="417" t="s">
        <v>3405</v>
      </c>
      <c r="C1698" s="417" t="s">
        <v>5792</v>
      </c>
      <c r="D1698" s="417" t="s">
        <v>73</v>
      </c>
      <c r="E1698" s="423">
        <v>9.6874706524334303E-2</v>
      </c>
      <c r="F1698" s="423">
        <v>2.2926098176065009E-3</v>
      </c>
      <c r="G1698" s="422">
        <v>131.2636244988781</v>
      </c>
      <c r="H1698" s="417" t="s">
        <v>2616</v>
      </c>
      <c r="I1698" s="417" t="s">
        <v>1392</v>
      </c>
      <c r="J1698" s="417" t="s">
        <v>5786</v>
      </c>
      <c r="K1698" s="417" t="s">
        <v>5793</v>
      </c>
      <c r="L1698" s="417"/>
      <c r="M1698" s="417" t="s">
        <v>28840</v>
      </c>
    </row>
    <row r="1699" spans="1:13" x14ac:dyDescent="0.25">
      <c r="A1699" s="417" t="s">
        <v>3385</v>
      </c>
      <c r="B1699" s="417" t="s">
        <v>3405</v>
      </c>
      <c r="C1699" s="417" t="s">
        <v>5794</v>
      </c>
      <c r="D1699" s="417" t="s">
        <v>73</v>
      </c>
      <c r="E1699" s="423">
        <v>9.3990277587008619E-2</v>
      </c>
      <c r="F1699" s="423">
        <v>5.8138243376200938E-3</v>
      </c>
      <c r="G1699" s="422">
        <v>197.8168055271955</v>
      </c>
      <c r="H1699" s="417" t="s">
        <v>2616</v>
      </c>
      <c r="I1699" s="417" t="s">
        <v>1392</v>
      </c>
      <c r="J1699" s="417" t="s">
        <v>5758</v>
      </c>
      <c r="K1699" s="417" t="s">
        <v>5795</v>
      </c>
      <c r="L1699" s="417"/>
      <c r="M1699" s="417" t="s">
        <v>28840</v>
      </c>
    </row>
    <row r="1700" spans="1:13" x14ac:dyDescent="0.25">
      <c r="A1700" s="417" t="s">
        <v>3385</v>
      </c>
      <c r="B1700" s="417" t="s">
        <v>3405</v>
      </c>
      <c r="C1700" s="417" t="s">
        <v>5796</v>
      </c>
      <c r="D1700" s="417" t="s">
        <v>73</v>
      </c>
      <c r="E1700" s="423">
        <v>9.3985300987008538E-2</v>
      </c>
      <c r="F1700" s="423">
        <v>5.8138243376200938E-3</v>
      </c>
      <c r="G1700" s="422">
        <v>151.5505955271955</v>
      </c>
      <c r="H1700" s="417" t="s">
        <v>2616</v>
      </c>
      <c r="I1700" s="417" t="s">
        <v>1392</v>
      </c>
      <c r="J1700" s="417" t="s">
        <v>5758</v>
      </c>
      <c r="K1700" s="417" t="s">
        <v>5797</v>
      </c>
      <c r="L1700" s="417"/>
      <c r="M1700" s="417" t="s">
        <v>28840</v>
      </c>
    </row>
    <row r="1701" spans="1:13" x14ac:dyDescent="0.25">
      <c r="A1701" s="417" t="s">
        <v>3385</v>
      </c>
      <c r="B1701" s="417" t="s">
        <v>2623</v>
      </c>
      <c r="C1701" s="417" t="s">
        <v>5798</v>
      </c>
      <c r="D1701" s="417" t="s">
        <v>88</v>
      </c>
      <c r="E1701" s="423">
        <v>4.323216870637852</v>
      </c>
      <c r="F1701" s="423">
        <v>0.1060081638394364</v>
      </c>
      <c r="G1701" s="422">
        <v>6084.8434848326706</v>
      </c>
      <c r="H1701" s="417" t="s">
        <v>2616</v>
      </c>
      <c r="I1701" s="417" t="s">
        <v>1392</v>
      </c>
      <c r="J1701" s="417" t="s">
        <v>4364</v>
      </c>
      <c r="K1701" s="417" t="s">
        <v>5799</v>
      </c>
      <c r="L1701" s="417"/>
      <c r="M1701" s="417" t="s">
        <v>28840</v>
      </c>
    </row>
    <row r="1702" spans="1:13" x14ac:dyDescent="0.25">
      <c r="A1702" s="417" t="s">
        <v>3385</v>
      </c>
      <c r="B1702" s="417" t="s">
        <v>2627</v>
      </c>
      <c r="C1702" s="417" t="s">
        <v>5800</v>
      </c>
      <c r="D1702" s="417" t="s">
        <v>88</v>
      </c>
      <c r="E1702" s="423">
        <v>0.89976862202823227</v>
      </c>
      <c r="F1702" s="423">
        <v>9.9977527476228043E-3</v>
      </c>
      <c r="G1702" s="422">
        <v>1732.6893974346699</v>
      </c>
      <c r="H1702" s="417" t="s">
        <v>2616</v>
      </c>
      <c r="I1702" s="417" t="s">
        <v>1392</v>
      </c>
      <c r="J1702" s="417" t="s">
        <v>5765</v>
      </c>
      <c r="K1702" s="417" t="s">
        <v>5801</v>
      </c>
      <c r="L1702" s="417"/>
      <c r="M1702" s="417" t="s">
        <v>28840</v>
      </c>
    </row>
    <row r="1703" spans="1:13" x14ac:dyDescent="0.25">
      <c r="A1703" s="417" t="s">
        <v>3385</v>
      </c>
      <c r="B1703" s="417" t="s">
        <v>2627</v>
      </c>
      <c r="C1703" s="417" t="s">
        <v>5802</v>
      </c>
      <c r="D1703" s="417" t="s">
        <v>88</v>
      </c>
      <c r="E1703" s="423">
        <v>1.5678560882433481</v>
      </c>
      <c r="F1703" s="423">
        <v>2.5724380335365799E-2</v>
      </c>
      <c r="G1703" s="422">
        <v>3087.707552879544</v>
      </c>
      <c r="H1703" s="417" t="s">
        <v>2616</v>
      </c>
      <c r="I1703" s="417" t="s">
        <v>1392</v>
      </c>
      <c r="J1703" s="417" t="s">
        <v>3396</v>
      </c>
      <c r="K1703" s="417" t="s">
        <v>5803</v>
      </c>
      <c r="L1703" s="417"/>
      <c r="M1703" s="417" t="s">
        <v>28840</v>
      </c>
    </row>
    <row r="1704" spans="1:13" x14ac:dyDescent="0.25">
      <c r="A1704" s="417" t="s">
        <v>3385</v>
      </c>
      <c r="B1704" s="417" t="s">
        <v>2627</v>
      </c>
      <c r="C1704" s="417" t="s">
        <v>5804</v>
      </c>
      <c r="D1704" s="417" t="s">
        <v>88</v>
      </c>
      <c r="E1704" s="423">
        <v>1.1010654743871511</v>
      </c>
      <c r="F1704" s="423">
        <v>3.9710833683068693E-2</v>
      </c>
      <c r="G1704" s="422">
        <v>2027.461050048772</v>
      </c>
      <c r="H1704" s="417" t="s">
        <v>2616</v>
      </c>
      <c r="I1704" s="417" t="s">
        <v>1392</v>
      </c>
      <c r="J1704" s="417" t="s">
        <v>3396</v>
      </c>
      <c r="K1704" s="417" t="s">
        <v>5805</v>
      </c>
      <c r="L1704" s="417"/>
      <c r="M1704" s="417" t="s">
        <v>28840</v>
      </c>
    </row>
    <row r="1705" spans="1:13" x14ac:dyDescent="0.25">
      <c r="A1705" s="417" t="s">
        <v>3385</v>
      </c>
      <c r="B1705" s="417" t="s">
        <v>3405</v>
      </c>
      <c r="C1705" s="417" t="s">
        <v>5806</v>
      </c>
      <c r="D1705" s="417" t="s">
        <v>989</v>
      </c>
      <c r="E1705" s="423">
        <v>989.42846021375419</v>
      </c>
      <c r="F1705" s="423">
        <v>35.968477139050989</v>
      </c>
      <c r="G1705" s="422">
        <v>2485317.6620878568</v>
      </c>
      <c r="H1705" s="417" t="s">
        <v>2616</v>
      </c>
      <c r="I1705" s="417" t="s">
        <v>1392</v>
      </c>
      <c r="J1705" s="417" t="s">
        <v>5807</v>
      </c>
      <c r="K1705" s="417" t="s">
        <v>5808</v>
      </c>
      <c r="L1705" s="417"/>
      <c r="M1705" s="417" t="s">
        <v>28840</v>
      </c>
    </row>
    <row r="1706" spans="1:13" x14ac:dyDescent="0.25">
      <c r="A1706" s="417" t="s">
        <v>3385</v>
      </c>
      <c r="B1706" s="417" t="s">
        <v>2627</v>
      </c>
      <c r="C1706" s="417" t="s">
        <v>5809</v>
      </c>
      <c r="D1706" s="417" t="s">
        <v>88</v>
      </c>
      <c r="E1706" s="423">
        <v>8.1495534065517111E-3</v>
      </c>
      <c r="F1706" s="423">
        <v>-1.081837702725277E-4</v>
      </c>
      <c r="G1706" s="422">
        <v>160.961528330269</v>
      </c>
      <c r="H1706" s="417" t="s">
        <v>2616</v>
      </c>
      <c r="I1706" s="417" t="s">
        <v>1392</v>
      </c>
      <c r="J1706" s="417" t="s">
        <v>5810</v>
      </c>
      <c r="K1706" s="417" t="s">
        <v>5811</v>
      </c>
      <c r="L1706" s="417"/>
      <c r="M1706" s="417" t="s">
        <v>28840</v>
      </c>
    </row>
    <row r="1707" spans="1:13" x14ac:dyDescent="0.25">
      <c r="A1707" s="417" t="s">
        <v>3385</v>
      </c>
      <c r="B1707" s="417" t="s">
        <v>2627</v>
      </c>
      <c r="C1707" s="417" t="s">
        <v>5812</v>
      </c>
      <c r="D1707" s="417" t="s">
        <v>88</v>
      </c>
      <c r="E1707" s="423">
        <v>1.7556624231611051</v>
      </c>
      <c r="F1707" s="423">
        <v>3.3748838263136433E-2</v>
      </c>
      <c r="G1707" s="422">
        <v>2928.9415973280638</v>
      </c>
      <c r="H1707" s="417" t="s">
        <v>2616</v>
      </c>
      <c r="I1707" s="417" t="s">
        <v>1392</v>
      </c>
      <c r="J1707" s="417" t="s">
        <v>3396</v>
      </c>
      <c r="K1707" s="417" t="s">
        <v>5813</v>
      </c>
      <c r="L1707" s="417"/>
      <c r="M1707" s="417" t="s">
        <v>28840</v>
      </c>
    </row>
    <row r="1708" spans="1:13" x14ac:dyDescent="0.25">
      <c r="A1708" s="417" t="s">
        <v>3385</v>
      </c>
      <c r="B1708" s="417" t="s">
        <v>2437</v>
      </c>
      <c r="C1708" s="417" t="s">
        <v>5814</v>
      </c>
      <c r="D1708" s="417" t="s">
        <v>88</v>
      </c>
      <c r="E1708" s="423">
        <v>0.46140312454211718</v>
      </c>
      <c r="F1708" s="423">
        <v>3.2784941007617851E-3</v>
      </c>
      <c r="G1708" s="422">
        <v>601.00377128515015</v>
      </c>
      <c r="H1708" s="417" t="s">
        <v>2616</v>
      </c>
      <c r="I1708" s="417" t="s">
        <v>1392</v>
      </c>
      <c r="J1708" s="417" t="s">
        <v>4531</v>
      </c>
      <c r="K1708" s="417" t="s">
        <v>5815</v>
      </c>
      <c r="L1708" s="417"/>
      <c r="M1708" s="417" t="s">
        <v>28840</v>
      </c>
    </row>
    <row r="1709" spans="1:13" x14ac:dyDescent="0.25">
      <c r="A1709" s="417" t="s">
        <v>3385</v>
      </c>
      <c r="B1709" s="417" t="s">
        <v>2627</v>
      </c>
      <c r="C1709" s="417" t="s">
        <v>5816</v>
      </c>
      <c r="D1709" s="417" t="s">
        <v>88</v>
      </c>
      <c r="E1709" s="423">
        <v>1.370882169886843</v>
      </c>
      <c r="F1709" s="423">
        <v>3.7504895913258139E-2</v>
      </c>
      <c r="G1709" s="422">
        <v>2287.8884682327839</v>
      </c>
      <c r="H1709" s="417" t="s">
        <v>2616</v>
      </c>
      <c r="I1709" s="417" t="s">
        <v>1392</v>
      </c>
      <c r="J1709" s="417" t="s">
        <v>3396</v>
      </c>
      <c r="K1709" s="417" t="s">
        <v>5817</v>
      </c>
      <c r="L1709" s="417"/>
      <c r="M1709" s="417" t="s">
        <v>28840</v>
      </c>
    </row>
    <row r="1710" spans="1:13" x14ac:dyDescent="0.25">
      <c r="A1710" s="417" t="s">
        <v>3385</v>
      </c>
      <c r="B1710" s="417" t="s">
        <v>2627</v>
      </c>
      <c r="C1710" s="417" t="s">
        <v>5818</v>
      </c>
      <c r="D1710" s="417" t="s">
        <v>88</v>
      </c>
      <c r="E1710" s="423">
        <v>1.269331392490529</v>
      </c>
      <c r="F1710" s="423">
        <v>5.1155512238421158E-2</v>
      </c>
      <c r="G1710" s="422">
        <v>2622.7178119003111</v>
      </c>
      <c r="H1710" s="417" t="s">
        <v>2616</v>
      </c>
      <c r="I1710" s="417" t="s">
        <v>1392</v>
      </c>
      <c r="J1710" s="417" t="s">
        <v>3396</v>
      </c>
      <c r="K1710" s="417" t="s">
        <v>5819</v>
      </c>
      <c r="L1710" s="417"/>
      <c r="M1710" s="417" t="s">
        <v>28840</v>
      </c>
    </row>
    <row r="1711" spans="1:13" x14ac:dyDescent="0.25">
      <c r="A1711" s="417" t="s">
        <v>3385</v>
      </c>
      <c r="B1711" s="417" t="s">
        <v>2627</v>
      </c>
      <c r="C1711" s="417" t="s">
        <v>5820</v>
      </c>
      <c r="D1711" s="417" t="s">
        <v>88</v>
      </c>
      <c r="E1711" s="423">
        <v>2.241386720342724</v>
      </c>
      <c r="F1711" s="423">
        <v>7.9070443157801623E-2</v>
      </c>
      <c r="G1711" s="422">
        <v>9925.8357545908912</v>
      </c>
      <c r="H1711" s="417" t="s">
        <v>2616</v>
      </c>
      <c r="I1711" s="417" t="s">
        <v>1392</v>
      </c>
      <c r="J1711" s="417" t="s">
        <v>3396</v>
      </c>
      <c r="K1711" s="417" t="s">
        <v>5821</v>
      </c>
      <c r="L1711" s="417"/>
      <c r="M1711" s="417" t="s">
        <v>28840</v>
      </c>
    </row>
    <row r="1712" spans="1:13" x14ac:dyDescent="0.25">
      <c r="A1712" s="417" t="s">
        <v>3385</v>
      </c>
      <c r="B1712" s="417" t="s">
        <v>2627</v>
      </c>
      <c r="C1712" s="417" t="s">
        <v>5822</v>
      </c>
      <c r="D1712" s="417" t="s">
        <v>88</v>
      </c>
      <c r="E1712" s="423">
        <v>1.3744556641499359</v>
      </c>
      <c r="F1712" s="423">
        <v>2.9509320237234269E-2</v>
      </c>
      <c r="G1712" s="422">
        <v>13350.52460053215</v>
      </c>
      <c r="H1712" s="417" t="s">
        <v>2616</v>
      </c>
      <c r="I1712" s="417" t="s">
        <v>1392</v>
      </c>
      <c r="J1712" s="417" t="s">
        <v>3396</v>
      </c>
      <c r="K1712" s="417" t="s">
        <v>5823</v>
      </c>
      <c r="L1712" s="417"/>
      <c r="M1712" s="417" t="s">
        <v>28840</v>
      </c>
    </row>
    <row r="1713" spans="1:13" x14ac:dyDescent="0.25">
      <c r="A1713" s="417" t="s">
        <v>3385</v>
      </c>
      <c r="B1713" s="417" t="s">
        <v>2627</v>
      </c>
      <c r="C1713" s="417" t="s">
        <v>5824</v>
      </c>
      <c r="D1713" s="417" t="s">
        <v>88</v>
      </c>
      <c r="E1713" s="423">
        <v>6.1237785121512189</v>
      </c>
      <c r="F1713" s="423">
        <v>0.14699885344447161</v>
      </c>
      <c r="G1713" s="422">
        <v>12813.748807859791</v>
      </c>
      <c r="H1713" s="417" t="s">
        <v>2616</v>
      </c>
      <c r="I1713" s="417" t="s">
        <v>1392</v>
      </c>
      <c r="J1713" s="417" t="s">
        <v>3387</v>
      </c>
      <c r="K1713" s="417" t="s">
        <v>5825</v>
      </c>
      <c r="L1713" s="417"/>
      <c r="M1713" s="417" t="s">
        <v>28840</v>
      </c>
    </row>
    <row r="1714" spans="1:13" x14ac:dyDescent="0.25">
      <c r="A1714" s="417" t="s">
        <v>3385</v>
      </c>
      <c r="B1714" s="417" t="s">
        <v>2627</v>
      </c>
      <c r="C1714" s="417" t="s">
        <v>5826</v>
      </c>
      <c r="D1714" s="417" t="s">
        <v>88</v>
      </c>
      <c r="E1714" s="423">
        <v>6.2677684548997439</v>
      </c>
      <c r="F1714" s="423">
        <v>0.1566150372458224</v>
      </c>
      <c r="G1714" s="422">
        <v>12919.46987480095</v>
      </c>
      <c r="H1714" s="417" t="s">
        <v>2616</v>
      </c>
      <c r="I1714" s="417" t="s">
        <v>1392</v>
      </c>
      <c r="J1714" s="417" t="s">
        <v>3387</v>
      </c>
      <c r="K1714" s="417" t="s">
        <v>5827</v>
      </c>
      <c r="L1714" s="417"/>
      <c r="M1714" s="417" t="s">
        <v>28840</v>
      </c>
    </row>
    <row r="1715" spans="1:13" x14ac:dyDescent="0.25">
      <c r="A1715" s="417" t="s">
        <v>3385</v>
      </c>
      <c r="B1715" s="417" t="s">
        <v>2627</v>
      </c>
      <c r="C1715" s="417" t="s">
        <v>5828</v>
      </c>
      <c r="D1715" s="417" t="s">
        <v>88</v>
      </c>
      <c r="E1715" s="423">
        <v>187.9750566336923</v>
      </c>
      <c r="F1715" s="423">
        <v>7.7977380242564696</v>
      </c>
      <c r="G1715" s="422">
        <v>343058.01726763102</v>
      </c>
      <c r="H1715" s="417" t="s">
        <v>2616</v>
      </c>
      <c r="I1715" s="417" t="s">
        <v>1392</v>
      </c>
      <c r="J1715" s="417" t="s">
        <v>3899</v>
      </c>
      <c r="K1715" s="417" t="s">
        <v>5829</v>
      </c>
      <c r="L1715" s="417"/>
      <c r="M1715" s="417" t="s">
        <v>28840</v>
      </c>
    </row>
    <row r="1716" spans="1:13" x14ac:dyDescent="0.25">
      <c r="A1716" s="417" t="s">
        <v>3385</v>
      </c>
      <c r="B1716" s="417" t="s">
        <v>2627</v>
      </c>
      <c r="C1716" s="417" t="s">
        <v>5830</v>
      </c>
      <c r="D1716" s="417" t="s">
        <v>88</v>
      </c>
      <c r="E1716" s="423">
        <v>187.64619080638269</v>
      </c>
      <c r="F1716" s="423">
        <v>7.7788087163961297</v>
      </c>
      <c r="G1716" s="422">
        <v>328334.08042105898</v>
      </c>
      <c r="H1716" s="417" t="s">
        <v>2616</v>
      </c>
      <c r="I1716" s="417" t="s">
        <v>1392</v>
      </c>
      <c r="J1716" s="417" t="s">
        <v>3899</v>
      </c>
      <c r="K1716" s="417" t="s">
        <v>5831</v>
      </c>
      <c r="L1716" s="417"/>
      <c r="M1716" s="417" t="s">
        <v>28840</v>
      </c>
    </row>
    <row r="1717" spans="1:13" x14ac:dyDescent="0.25">
      <c r="A1717" s="417" t="s">
        <v>3385</v>
      </c>
      <c r="B1717" s="417" t="s">
        <v>2627</v>
      </c>
      <c r="C1717" s="417" t="s">
        <v>5832</v>
      </c>
      <c r="D1717" s="417" t="s">
        <v>88</v>
      </c>
      <c r="E1717" s="423">
        <v>187.72640989549751</v>
      </c>
      <c r="F1717" s="423">
        <v>7.7815517293371954</v>
      </c>
      <c r="G1717" s="422">
        <v>333145.92876329698</v>
      </c>
      <c r="H1717" s="417" t="s">
        <v>2616</v>
      </c>
      <c r="I1717" s="417" t="s">
        <v>1392</v>
      </c>
      <c r="J1717" s="417" t="s">
        <v>3899</v>
      </c>
      <c r="K1717" s="417" t="s">
        <v>5833</v>
      </c>
      <c r="L1717" s="417"/>
      <c r="M1717" s="417" t="s">
        <v>28840</v>
      </c>
    </row>
    <row r="1718" spans="1:13" x14ac:dyDescent="0.25">
      <c r="A1718" s="417" t="s">
        <v>3385</v>
      </c>
      <c r="B1718" s="417" t="s">
        <v>2627</v>
      </c>
      <c r="C1718" s="417" t="s">
        <v>5834</v>
      </c>
      <c r="D1718" s="417" t="s">
        <v>88</v>
      </c>
      <c r="E1718" s="423">
        <v>9.8708438951199167</v>
      </c>
      <c r="F1718" s="423">
        <v>0.3728285955474383</v>
      </c>
      <c r="G1718" s="422">
        <v>26715.99765792202</v>
      </c>
      <c r="H1718" s="417" t="s">
        <v>2616</v>
      </c>
      <c r="I1718" s="417" t="s">
        <v>1392</v>
      </c>
      <c r="J1718" s="417" t="s">
        <v>3387</v>
      </c>
      <c r="K1718" s="417" t="s">
        <v>5835</v>
      </c>
      <c r="L1718" s="417"/>
      <c r="M1718" s="417" t="s">
        <v>28840</v>
      </c>
    </row>
    <row r="1719" spans="1:13" x14ac:dyDescent="0.25">
      <c r="A1719" s="417" t="s">
        <v>3385</v>
      </c>
      <c r="B1719" s="417" t="s">
        <v>2627</v>
      </c>
      <c r="C1719" s="417" t="s">
        <v>5836</v>
      </c>
      <c r="D1719" s="417" t="s">
        <v>88</v>
      </c>
      <c r="E1719" s="423">
        <v>10.231284545142231</v>
      </c>
      <c r="F1719" s="423">
        <v>0.39690016223305852</v>
      </c>
      <c r="G1719" s="422">
        <v>26980.642317477239</v>
      </c>
      <c r="H1719" s="417" t="s">
        <v>2616</v>
      </c>
      <c r="I1719" s="417" t="s">
        <v>1392</v>
      </c>
      <c r="J1719" s="417" t="s">
        <v>3387</v>
      </c>
      <c r="K1719" s="417" t="s">
        <v>5837</v>
      </c>
      <c r="L1719" s="417"/>
      <c r="M1719" s="417" t="s">
        <v>28840</v>
      </c>
    </row>
    <row r="1720" spans="1:13" x14ac:dyDescent="0.25">
      <c r="A1720" s="417" t="s">
        <v>3385</v>
      </c>
      <c r="B1720" s="417" t="s">
        <v>2627</v>
      </c>
      <c r="C1720" s="417" t="s">
        <v>5838</v>
      </c>
      <c r="D1720" s="417" t="s">
        <v>88</v>
      </c>
      <c r="E1720" s="423">
        <v>3.2599224182557358</v>
      </c>
      <c r="F1720" s="423">
        <v>0.19798524676245771</v>
      </c>
      <c r="G1720" s="422">
        <v>7697.635892182876</v>
      </c>
      <c r="H1720" s="417" t="s">
        <v>2616</v>
      </c>
      <c r="I1720" s="417" t="s">
        <v>1392</v>
      </c>
      <c r="J1720" s="417" t="s">
        <v>3396</v>
      </c>
      <c r="K1720" s="417" t="s">
        <v>5839</v>
      </c>
      <c r="L1720" s="417"/>
      <c r="M1720" s="417" t="s">
        <v>28840</v>
      </c>
    </row>
    <row r="1721" spans="1:13" x14ac:dyDescent="0.25">
      <c r="A1721" s="417" t="s">
        <v>3385</v>
      </c>
      <c r="B1721" s="417" t="s">
        <v>2627</v>
      </c>
      <c r="C1721" s="417" t="s">
        <v>5840</v>
      </c>
      <c r="D1721" s="417" t="s">
        <v>989</v>
      </c>
      <c r="E1721" s="423">
        <v>145772377.7705766</v>
      </c>
      <c r="F1721" s="423">
        <v>7798945.0347926561</v>
      </c>
      <c r="G1721" s="422">
        <v>239484486472.54269</v>
      </c>
      <c r="H1721" s="417" t="s">
        <v>2616</v>
      </c>
      <c r="I1721" s="417" t="s">
        <v>1392</v>
      </c>
      <c r="J1721" s="417" t="s">
        <v>3676</v>
      </c>
      <c r="K1721" s="417" t="s">
        <v>5841</v>
      </c>
      <c r="L1721" s="417"/>
      <c r="M1721" s="417" t="s">
        <v>28840</v>
      </c>
    </row>
    <row r="1722" spans="1:13" x14ac:dyDescent="0.25">
      <c r="A1722" s="417" t="s">
        <v>3385</v>
      </c>
      <c r="B1722" s="417" t="s">
        <v>2627</v>
      </c>
      <c r="C1722" s="417" t="s">
        <v>5842</v>
      </c>
      <c r="D1722" s="417" t="s">
        <v>989</v>
      </c>
      <c r="E1722" s="423">
        <v>10484473.53476085</v>
      </c>
      <c r="F1722" s="423">
        <v>392953.60028583149</v>
      </c>
      <c r="G1722" s="422">
        <v>21976219455.16436</v>
      </c>
      <c r="H1722" s="417" t="s">
        <v>2616</v>
      </c>
      <c r="I1722" s="417" t="s">
        <v>1392</v>
      </c>
      <c r="J1722" s="417" t="s">
        <v>3809</v>
      </c>
      <c r="K1722" s="417" t="s">
        <v>5843</v>
      </c>
      <c r="L1722" s="417"/>
      <c r="M1722" s="417" t="s">
        <v>28840</v>
      </c>
    </row>
    <row r="1723" spans="1:13" x14ac:dyDescent="0.25">
      <c r="A1723" s="417" t="s">
        <v>3385</v>
      </c>
      <c r="B1723" s="417" t="s">
        <v>2627</v>
      </c>
      <c r="C1723" s="417" t="s">
        <v>5844</v>
      </c>
      <c r="D1723" s="417" t="s">
        <v>88</v>
      </c>
      <c r="E1723" s="423">
        <v>0</v>
      </c>
      <c r="F1723" s="423">
        <v>0</v>
      </c>
      <c r="G1723" s="422">
        <v>26.5751149566</v>
      </c>
      <c r="H1723" s="417" t="s">
        <v>2616</v>
      </c>
      <c r="I1723" s="417" t="s">
        <v>1392</v>
      </c>
      <c r="J1723" s="417" t="s">
        <v>5230</v>
      </c>
      <c r="K1723" s="417" t="s">
        <v>5845</v>
      </c>
      <c r="L1723" s="417"/>
      <c r="M1723" s="417" t="s">
        <v>28840</v>
      </c>
    </row>
    <row r="1724" spans="1:13" x14ac:dyDescent="0.25">
      <c r="A1724" s="417" t="s">
        <v>3385</v>
      </c>
      <c r="B1724" s="417" t="s">
        <v>2627</v>
      </c>
      <c r="C1724" s="417" t="s">
        <v>5846</v>
      </c>
      <c r="D1724" s="417" t="s">
        <v>88</v>
      </c>
      <c r="E1724" s="423">
        <v>0</v>
      </c>
      <c r="F1724" s="423">
        <v>0</v>
      </c>
      <c r="G1724" s="422">
        <v>148.054248960921</v>
      </c>
      <c r="H1724" s="417" t="s">
        <v>2616</v>
      </c>
      <c r="I1724" s="417" t="s">
        <v>1392</v>
      </c>
      <c r="J1724" s="417" t="s">
        <v>5230</v>
      </c>
      <c r="K1724" s="417" t="s">
        <v>5847</v>
      </c>
      <c r="L1724" s="417"/>
      <c r="M1724" s="417" t="s">
        <v>28840</v>
      </c>
    </row>
    <row r="1725" spans="1:13" x14ac:dyDescent="0.25">
      <c r="A1725" s="417" t="s">
        <v>3385</v>
      </c>
      <c r="B1725" s="417" t="s">
        <v>2623</v>
      </c>
      <c r="C1725" s="417" t="s">
        <v>5848</v>
      </c>
      <c r="D1725" s="417" t="s">
        <v>88</v>
      </c>
      <c r="E1725" s="423">
        <v>0.63073733882470495</v>
      </c>
      <c r="F1725" s="423">
        <v>8.8442293023622935E-3</v>
      </c>
      <c r="G1725" s="422">
        <v>730.97327657906362</v>
      </c>
      <c r="H1725" s="417" t="s">
        <v>2616</v>
      </c>
      <c r="I1725" s="417" t="s">
        <v>1392</v>
      </c>
      <c r="J1725" s="417" t="s">
        <v>5849</v>
      </c>
      <c r="K1725" s="417" t="s">
        <v>5850</v>
      </c>
      <c r="L1725" s="417"/>
      <c r="M1725" s="417" t="s">
        <v>28840</v>
      </c>
    </row>
    <row r="1726" spans="1:13" x14ac:dyDescent="0.25">
      <c r="A1726" s="417" t="s">
        <v>3385</v>
      </c>
      <c r="B1726" s="417" t="s">
        <v>2623</v>
      </c>
      <c r="C1726" s="417" t="s">
        <v>5851</v>
      </c>
      <c r="D1726" s="417" t="s">
        <v>88</v>
      </c>
      <c r="E1726" s="423">
        <v>0.69086225321213934</v>
      </c>
      <c r="F1726" s="423">
        <v>6.2587442943828854E-3</v>
      </c>
      <c r="G1726" s="422">
        <v>782.90924554787262</v>
      </c>
      <c r="H1726" s="417" t="s">
        <v>2616</v>
      </c>
      <c r="I1726" s="417" t="s">
        <v>1392</v>
      </c>
      <c r="J1726" s="417" t="s">
        <v>5849</v>
      </c>
      <c r="K1726" s="417" t="s">
        <v>5852</v>
      </c>
      <c r="L1726" s="417"/>
      <c r="M1726" s="417" t="s">
        <v>28840</v>
      </c>
    </row>
    <row r="1727" spans="1:13" x14ac:dyDescent="0.25">
      <c r="A1727" s="417" t="s">
        <v>3385</v>
      </c>
      <c r="B1727" s="417" t="s">
        <v>2623</v>
      </c>
      <c r="C1727" s="417" t="s">
        <v>5853</v>
      </c>
      <c r="D1727" s="417" t="s">
        <v>88</v>
      </c>
      <c r="E1727" s="423">
        <v>0.35025430143374442</v>
      </c>
      <c r="F1727" s="423">
        <v>4.2703367092188759E-3</v>
      </c>
      <c r="G1727" s="422">
        <v>400.93111696539103</v>
      </c>
      <c r="H1727" s="417" t="s">
        <v>2616</v>
      </c>
      <c r="I1727" s="417" t="s">
        <v>1392</v>
      </c>
      <c r="J1727" s="417" t="s">
        <v>5849</v>
      </c>
      <c r="K1727" s="417" t="s">
        <v>5854</v>
      </c>
      <c r="L1727" s="417"/>
      <c r="M1727" s="417" t="s">
        <v>28840</v>
      </c>
    </row>
    <row r="1728" spans="1:13" x14ac:dyDescent="0.25">
      <c r="A1728" s="417" t="s">
        <v>3385</v>
      </c>
      <c r="B1728" s="417" t="s">
        <v>2623</v>
      </c>
      <c r="C1728" s="417" t="s">
        <v>5855</v>
      </c>
      <c r="D1728" s="417" t="s">
        <v>88</v>
      </c>
      <c r="E1728" s="423">
        <v>0.3920293486160164</v>
      </c>
      <c r="F1728" s="423">
        <v>3.439964461591945E-3</v>
      </c>
      <c r="G1728" s="422">
        <v>453.94043942072182</v>
      </c>
      <c r="H1728" s="417" t="s">
        <v>2616</v>
      </c>
      <c r="I1728" s="417" t="s">
        <v>1392</v>
      </c>
      <c r="J1728" s="417" t="s">
        <v>5849</v>
      </c>
      <c r="K1728" s="417" t="s">
        <v>5856</v>
      </c>
      <c r="L1728" s="417"/>
      <c r="M1728" s="417" t="s">
        <v>28840</v>
      </c>
    </row>
    <row r="1729" spans="1:13" x14ac:dyDescent="0.25">
      <c r="A1729" s="417" t="s">
        <v>3385</v>
      </c>
      <c r="B1729" s="417" t="s">
        <v>2623</v>
      </c>
      <c r="C1729" s="417" t="s">
        <v>5857</v>
      </c>
      <c r="D1729" s="417" t="s">
        <v>88</v>
      </c>
      <c r="E1729" s="423">
        <v>0.27021632546316549</v>
      </c>
      <c r="F1729" s="423">
        <v>3.0161332854268461E-3</v>
      </c>
      <c r="G1729" s="422">
        <v>301.74000029172242</v>
      </c>
      <c r="H1729" s="417" t="s">
        <v>2616</v>
      </c>
      <c r="I1729" s="417" t="s">
        <v>1392</v>
      </c>
      <c r="J1729" s="417" t="s">
        <v>5849</v>
      </c>
      <c r="K1729" s="417" t="s">
        <v>5858</v>
      </c>
      <c r="L1729" s="417"/>
      <c r="M1729" s="417" t="s">
        <v>28840</v>
      </c>
    </row>
    <row r="1730" spans="1:13" x14ac:dyDescent="0.25">
      <c r="A1730" s="417" t="s">
        <v>3385</v>
      </c>
      <c r="B1730" s="417" t="s">
        <v>2623</v>
      </c>
      <c r="C1730" s="417" t="s">
        <v>5859</v>
      </c>
      <c r="D1730" s="417" t="s">
        <v>88</v>
      </c>
      <c r="E1730" s="423">
        <v>0.27557059805699541</v>
      </c>
      <c r="F1730" s="423">
        <v>1.646613707726622E-3</v>
      </c>
      <c r="G1730" s="422">
        <v>317.16966017449158</v>
      </c>
      <c r="H1730" s="417" t="s">
        <v>2616</v>
      </c>
      <c r="I1730" s="417" t="s">
        <v>1392</v>
      </c>
      <c r="J1730" s="417" t="s">
        <v>5849</v>
      </c>
      <c r="K1730" s="417" t="s">
        <v>5860</v>
      </c>
      <c r="L1730" s="417"/>
      <c r="M1730" s="417" t="s">
        <v>28840</v>
      </c>
    </row>
    <row r="1731" spans="1:13" x14ac:dyDescent="0.25">
      <c r="A1731" s="417" t="s">
        <v>3385</v>
      </c>
      <c r="B1731" s="417" t="s">
        <v>2623</v>
      </c>
      <c r="C1731" s="417" t="s">
        <v>5861</v>
      </c>
      <c r="D1731" s="417" t="s">
        <v>88</v>
      </c>
      <c r="E1731" s="423">
        <v>1.4012437167257641</v>
      </c>
      <c r="F1731" s="423">
        <v>3.4665039862927351E-3</v>
      </c>
      <c r="G1731" s="422">
        <v>1509.9678641324861</v>
      </c>
      <c r="H1731" s="417" t="s">
        <v>2616</v>
      </c>
      <c r="I1731" s="417" t="s">
        <v>1392</v>
      </c>
      <c r="J1731" s="417" t="s">
        <v>5849</v>
      </c>
      <c r="K1731" s="417" t="s">
        <v>5862</v>
      </c>
      <c r="L1731" s="417"/>
      <c r="M1731" s="417" t="s">
        <v>28840</v>
      </c>
    </row>
    <row r="1732" spans="1:13" x14ac:dyDescent="0.25">
      <c r="A1732" s="417" t="s">
        <v>3385</v>
      </c>
      <c r="B1732" s="417" t="s">
        <v>2623</v>
      </c>
      <c r="C1732" s="417" t="s">
        <v>5863</v>
      </c>
      <c r="D1732" s="417" t="s">
        <v>88</v>
      </c>
      <c r="E1732" s="423">
        <v>0.64741127322410463</v>
      </c>
      <c r="F1732" s="423">
        <v>1.2615352297192311E-2</v>
      </c>
      <c r="G1732" s="422">
        <v>767.64736256007347</v>
      </c>
      <c r="H1732" s="417" t="s">
        <v>2616</v>
      </c>
      <c r="I1732" s="417" t="s">
        <v>1392</v>
      </c>
      <c r="J1732" s="417" t="s">
        <v>5849</v>
      </c>
      <c r="K1732" s="417" t="s">
        <v>5864</v>
      </c>
      <c r="L1732" s="417"/>
      <c r="M1732" s="417" t="s">
        <v>28840</v>
      </c>
    </row>
    <row r="1733" spans="1:13" x14ac:dyDescent="0.25">
      <c r="A1733" s="417" t="s">
        <v>3385</v>
      </c>
      <c r="B1733" s="417" t="s">
        <v>2623</v>
      </c>
      <c r="C1733" s="417" t="s">
        <v>5865</v>
      </c>
      <c r="D1733" s="417" t="s">
        <v>88</v>
      </c>
      <c r="E1733" s="423">
        <v>1.0185677085866349</v>
      </c>
      <c r="F1733" s="423">
        <v>9.8925092123123212E-3</v>
      </c>
      <c r="G1733" s="422">
        <v>1147.2901205853041</v>
      </c>
      <c r="H1733" s="417" t="s">
        <v>2616</v>
      </c>
      <c r="I1733" s="417" t="s">
        <v>1392</v>
      </c>
      <c r="J1733" s="417" t="s">
        <v>5849</v>
      </c>
      <c r="K1733" s="417" t="s">
        <v>5866</v>
      </c>
      <c r="L1733" s="417"/>
      <c r="M1733" s="417" t="s">
        <v>28840</v>
      </c>
    </row>
    <row r="1734" spans="1:13" x14ac:dyDescent="0.25">
      <c r="A1734" s="417" t="s">
        <v>3385</v>
      </c>
      <c r="B1734" s="417" t="s">
        <v>2623</v>
      </c>
      <c r="C1734" s="417" t="s">
        <v>5867</v>
      </c>
      <c r="D1734" s="417" t="s">
        <v>88</v>
      </c>
      <c r="E1734" s="423">
        <v>1.3142061146896169</v>
      </c>
      <c r="F1734" s="423">
        <v>4.1913763572183323E-3</v>
      </c>
      <c r="G1734" s="422">
        <v>1435.778710295285</v>
      </c>
      <c r="H1734" s="417" t="s">
        <v>2616</v>
      </c>
      <c r="I1734" s="417" t="s">
        <v>1392</v>
      </c>
      <c r="J1734" s="417" t="s">
        <v>5849</v>
      </c>
      <c r="K1734" s="417" t="s">
        <v>5868</v>
      </c>
      <c r="L1734" s="417"/>
      <c r="M1734" s="417" t="s">
        <v>28840</v>
      </c>
    </row>
    <row r="1735" spans="1:13" x14ac:dyDescent="0.25">
      <c r="A1735" s="417" t="s">
        <v>3385</v>
      </c>
      <c r="B1735" s="417" t="s">
        <v>2623</v>
      </c>
      <c r="C1735" s="417" t="s">
        <v>5869</v>
      </c>
      <c r="D1735" s="417" t="s">
        <v>88</v>
      </c>
      <c r="E1735" s="423">
        <v>1.223634121016195</v>
      </c>
      <c r="F1735" s="423">
        <v>1.9490823057413599E-3</v>
      </c>
      <c r="G1735" s="422">
        <v>1331.174030089395</v>
      </c>
      <c r="H1735" s="417" t="s">
        <v>2616</v>
      </c>
      <c r="I1735" s="417" t="s">
        <v>1392</v>
      </c>
      <c r="J1735" s="417" t="s">
        <v>5849</v>
      </c>
      <c r="K1735" s="417" t="s">
        <v>5870</v>
      </c>
      <c r="L1735" s="417"/>
      <c r="M1735" s="417" t="s">
        <v>28840</v>
      </c>
    </row>
    <row r="1736" spans="1:13" x14ac:dyDescent="0.25">
      <c r="A1736" s="417" t="s">
        <v>3385</v>
      </c>
      <c r="B1736" s="417" t="s">
        <v>2623</v>
      </c>
      <c r="C1736" s="417" t="s">
        <v>5871</v>
      </c>
      <c r="D1736" s="417" t="s">
        <v>88</v>
      </c>
      <c r="E1736" s="423">
        <v>2.0774884670926381</v>
      </c>
      <c r="F1736" s="423">
        <v>3.6866738089225818E-3</v>
      </c>
      <c r="G1736" s="422">
        <v>2197.8691513956451</v>
      </c>
      <c r="H1736" s="417" t="s">
        <v>2616</v>
      </c>
      <c r="I1736" s="417" t="s">
        <v>1392</v>
      </c>
      <c r="J1736" s="417" t="s">
        <v>5849</v>
      </c>
      <c r="K1736" s="417" t="s">
        <v>5872</v>
      </c>
      <c r="L1736" s="417"/>
      <c r="M1736" s="417" t="s">
        <v>28840</v>
      </c>
    </row>
    <row r="1737" spans="1:13" x14ac:dyDescent="0.25">
      <c r="A1737" s="417" t="s">
        <v>3385</v>
      </c>
      <c r="B1737" s="417" t="s">
        <v>2623</v>
      </c>
      <c r="C1737" s="417" t="s">
        <v>5873</v>
      </c>
      <c r="D1737" s="417" t="s">
        <v>88</v>
      </c>
      <c r="E1737" s="423">
        <v>2.0724158232409691</v>
      </c>
      <c r="F1737" s="423">
        <v>1.6486340200600471E-3</v>
      </c>
      <c r="G1737" s="422">
        <v>2186.3915112387958</v>
      </c>
      <c r="H1737" s="417" t="s">
        <v>2616</v>
      </c>
      <c r="I1737" s="417" t="s">
        <v>1392</v>
      </c>
      <c r="J1737" s="417" t="s">
        <v>5849</v>
      </c>
      <c r="K1737" s="417" t="s">
        <v>5874</v>
      </c>
      <c r="L1737" s="417"/>
      <c r="M1737" s="417" t="s">
        <v>28840</v>
      </c>
    </row>
    <row r="1738" spans="1:13" x14ac:dyDescent="0.25">
      <c r="A1738" s="417" t="s">
        <v>3385</v>
      </c>
      <c r="B1738" s="417" t="s">
        <v>2623</v>
      </c>
      <c r="C1738" s="417" t="s">
        <v>5875</v>
      </c>
      <c r="D1738" s="417" t="s">
        <v>88</v>
      </c>
      <c r="E1738" s="423">
        <v>0.91252813753320516</v>
      </c>
      <c r="F1738" s="423">
        <v>1.8450526787772881E-3</v>
      </c>
      <c r="G1738" s="422">
        <v>987.45876472901648</v>
      </c>
      <c r="H1738" s="417" t="s">
        <v>2616</v>
      </c>
      <c r="I1738" s="417" t="s">
        <v>1392</v>
      </c>
      <c r="J1738" s="417" t="s">
        <v>5849</v>
      </c>
      <c r="K1738" s="417" t="s">
        <v>5876</v>
      </c>
      <c r="L1738" s="417"/>
      <c r="M1738" s="417" t="s">
        <v>28840</v>
      </c>
    </row>
    <row r="1739" spans="1:13" x14ac:dyDescent="0.25">
      <c r="A1739" s="417" t="s">
        <v>3385</v>
      </c>
      <c r="B1739" s="417" t="s">
        <v>2627</v>
      </c>
      <c r="C1739" s="417" t="s">
        <v>5877</v>
      </c>
      <c r="D1739" s="417" t="s">
        <v>4315</v>
      </c>
      <c r="E1739" s="423">
        <v>78.973994924806178</v>
      </c>
      <c r="F1739" s="423">
        <v>3.7690308898267331</v>
      </c>
      <c r="G1739" s="422">
        <v>128430.3584305051</v>
      </c>
      <c r="H1739" s="417" t="s">
        <v>2616</v>
      </c>
      <c r="I1739" s="417" t="s">
        <v>1392</v>
      </c>
      <c r="J1739" s="417" t="s">
        <v>4138</v>
      </c>
      <c r="K1739" s="417" t="s">
        <v>5878</v>
      </c>
      <c r="L1739" s="417"/>
      <c r="M1739" s="417" t="s">
        <v>28840</v>
      </c>
    </row>
    <row r="1740" spans="1:13" x14ac:dyDescent="0.25">
      <c r="A1740" s="417" t="s">
        <v>3385</v>
      </c>
      <c r="B1740" s="417" t="s">
        <v>2627</v>
      </c>
      <c r="C1740" s="417" t="s">
        <v>5879</v>
      </c>
      <c r="D1740" s="417" t="s">
        <v>4315</v>
      </c>
      <c r="E1740" s="423">
        <v>75.044359156230314</v>
      </c>
      <c r="F1740" s="423">
        <v>3.5690672420930172</v>
      </c>
      <c r="G1740" s="422">
        <v>120245.53493862291</v>
      </c>
      <c r="H1740" s="417" t="s">
        <v>2616</v>
      </c>
      <c r="I1740" s="417" t="s">
        <v>1392</v>
      </c>
      <c r="J1740" s="417" t="s">
        <v>4138</v>
      </c>
      <c r="K1740" s="417" t="s">
        <v>5880</v>
      </c>
      <c r="L1740" s="417"/>
      <c r="M1740" s="417" t="s">
        <v>28840</v>
      </c>
    </row>
    <row r="1741" spans="1:13" x14ac:dyDescent="0.25">
      <c r="A1741" s="417" t="s">
        <v>3385</v>
      </c>
      <c r="B1741" s="417" t="s">
        <v>2627</v>
      </c>
      <c r="C1741" s="417" t="s">
        <v>5881</v>
      </c>
      <c r="D1741" s="417" t="s">
        <v>4315</v>
      </c>
      <c r="E1741" s="423">
        <v>71.114723387753926</v>
      </c>
      <c r="F1741" s="423">
        <v>3.36910359429424</v>
      </c>
      <c r="G1741" s="422">
        <v>112060.7112520949</v>
      </c>
      <c r="H1741" s="417" t="s">
        <v>2616</v>
      </c>
      <c r="I1741" s="417" t="s">
        <v>1392</v>
      </c>
      <c r="J1741" s="417" t="s">
        <v>4138</v>
      </c>
      <c r="K1741" s="417" t="s">
        <v>5882</v>
      </c>
      <c r="L1741" s="417"/>
      <c r="M1741" s="417" t="s">
        <v>28840</v>
      </c>
    </row>
    <row r="1742" spans="1:13" x14ac:dyDescent="0.25">
      <c r="A1742" s="417" t="s">
        <v>3385</v>
      </c>
      <c r="B1742" s="417" t="s">
        <v>2627</v>
      </c>
      <c r="C1742" s="417" t="s">
        <v>5883</v>
      </c>
      <c r="D1742" s="417" t="s">
        <v>4315</v>
      </c>
      <c r="E1742" s="423">
        <v>98.54161501121537</v>
      </c>
      <c r="F1742" s="423">
        <v>4.9379169186329133</v>
      </c>
      <c r="G1742" s="422">
        <v>159494.1158413238</v>
      </c>
      <c r="H1742" s="417" t="s">
        <v>2616</v>
      </c>
      <c r="I1742" s="417" t="s">
        <v>1392</v>
      </c>
      <c r="J1742" s="417" t="s">
        <v>4138</v>
      </c>
      <c r="K1742" s="417" t="s">
        <v>5884</v>
      </c>
      <c r="L1742" s="417"/>
      <c r="M1742" s="417" t="s">
        <v>28840</v>
      </c>
    </row>
    <row r="1743" spans="1:13" x14ac:dyDescent="0.25">
      <c r="A1743" s="417" t="s">
        <v>3385</v>
      </c>
      <c r="B1743" s="417" t="s">
        <v>2627</v>
      </c>
      <c r="C1743" s="417" t="s">
        <v>5885</v>
      </c>
      <c r="D1743" s="417" t="s">
        <v>4315</v>
      </c>
      <c r="E1743" s="423">
        <v>94.254739627281467</v>
      </c>
      <c r="F1743" s="423">
        <v>4.7197747575516367</v>
      </c>
      <c r="G1743" s="422">
        <v>150565.21742630811</v>
      </c>
      <c r="H1743" s="417" t="s">
        <v>2616</v>
      </c>
      <c r="I1743" s="417" t="s">
        <v>1392</v>
      </c>
      <c r="J1743" s="417" t="s">
        <v>4138</v>
      </c>
      <c r="K1743" s="417" t="s">
        <v>5886</v>
      </c>
      <c r="L1743" s="417"/>
      <c r="M1743" s="417" t="s">
        <v>28840</v>
      </c>
    </row>
    <row r="1744" spans="1:13" x14ac:dyDescent="0.25">
      <c r="A1744" s="417" t="s">
        <v>3385</v>
      </c>
      <c r="B1744" s="417" t="s">
        <v>2627</v>
      </c>
      <c r="C1744" s="417" t="s">
        <v>5887</v>
      </c>
      <c r="D1744" s="417" t="s">
        <v>4315</v>
      </c>
      <c r="E1744" s="423">
        <v>89.967864240394192</v>
      </c>
      <c r="F1744" s="423">
        <v>4.5016325963504888</v>
      </c>
      <c r="G1744" s="422">
        <v>141636.31897664859</v>
      </c>
      <c r="H1744" s="417" t="s">
        <v>2616</v>
      </c>
      <c r="I1744" s="417" t="s">
        <v>1392</v>
      </c>
      <c r="J1744" s="417" t="s">
        <v>4138</v>
      </c>
      <c r="K1744" s="417" t="s">
        <v>5888</v>
      </c>
      <c r="L1744" s="417"/>
      <c r="M1744" s="417" t="s">
        <v>28840</v>
      </c>
    </row>
    <row r="1745" spans="1:13" x14ac:dyDescent="0.25">
      <c r="A1745" s="417" t="s">
        <v>3385</v>
      </c>
      <c r="B1745" s="417" t="s">
        <v>2623</v>
      </c>
      <c r="C1745" s="417" t="s">
        <v>5889</v>
      </c>
      <c r="D1745" s="417" t="s">
        <v>563</v>
      </c>
      <c r="E1745" s="423">
        <v>1.82173466275268</v>
      </c>
      <c r="F1745" s="423">
        <v>1.119621291314056E-2</v>
      </c>
      <c r="G1745" s="422">
        <v>3731.6392703704551</v>
      </c>
      <c r="H1745" s="417" t="s">
        <v>2616</v>
      </c>
      <c r="I1745" s="417" t="s">
        <v>1392</v>
      </c>
      <c r="J1745" s="417" t="s">
        <v>4364</v>
      </c>
      <c r="K1745" s="417" t="s">
        <v>5890</v>
      </c>
      <c r="L1745" s="417"/>
      <c r="M1745" s="417" t="s">
        <v>28840</v>
      </c>
    </row>
    <row r="1746" spans="1:13" x14ac:dyDescent="0.25">
      <c r="A1746" s="417" t="s">
        <v>3385</v>
      </c>
      <c r="B1746" s="417" t="s">
        <v>2623</v>
      </c>
      <c r="C1746" s="417" t="s">
        <v>5891</v>
      </c>
      <c r="D1746" s="417" t="s">
        <v>563</v>
      </c>
      <c r="E1746" s="423">
        <v>1.331579565581525</v>
      </c>
      <c r="F1746" s="423">
        <v>8.1837649625982351E-3</v>
      </c>
      <c r="G1746" s="422">
        <v>2727.6061122909368</v>
      </c>
      <c r="H1746" s="417" t="s">
        <v>2616</v>
      </c>
      <c r="I1746" s="417" t="s">
        <v>1392</v>
      </c>
      <c r="J1746" s="417" t="s">
        <v>4364</v>
      </c>
      <c r="K1746" s="417" t="s">
        <v>5892</v>
      </c>
      <c r="L1746" s="417"/>
      <c r="M1746" s="417" t="s">
        <v>28840</v>
      </c>
    </row>
    <row r="1747" spans="1:13" x14ac:dyDescent="0.25">
      <c r="A1747" s="417" t="s">
        <v>3385</v>
      </c>
      <c r="B1747" s="417" t="s">
        <v>2623</v>
      </c>
      <c r="C1747" s="417" t="s">
        <v>5893</v>
      </c>
      <c r="D1747" s="417" t="s">
        <v>563</v>
      </c>
      <c r="E1747" s="423">
        <v>2.6738036575352289</v>
      </c>
      <c r="F1747" s="423">
        <v>1.6432950184079798E-2</v>
      </c>
      <c r="G1747" s="422">
        <v>5477.0164586625569</v>
      </c>
      <c r="H1747" s="417" t="s">
        <v>2616</v>
      </c>
      <c r="I1747" s="417" t="s">
        <v>1392</v>
      </c>
      <c r="J1747" s="417" t="s">
        <v>4364</v>
      </c>
      <c r="K1747" s="417" t="s">
        <v>5894</v>
      </c>
      <c r="L1747" s="417"/>
      <c r="M1747" s="417" t="s">
        <v>28840</v>
      </c>
    </row>
    <row r="1748" spans="1:13" x14ac:dyDescent="0.25">
      <c r="A1748" s="417" t="s">
        <v>3385</v>
      </c>
      <c r="B1748" s="417" t="s">
        <v>2623</v>
      </c>
      <c r="C1748" s="417" t="s">
        <v>5895</v>
      </c>
      <c r="D1748" s="417" t="s">
        <v>563</v>
      </c>
      <c r="E1748" s="423">
        <v>2.037755137220858</v>
      </c>
      <c r="F1748" s="423">
        <v>5.461751312620495E-4</v>
      </c>
      <c r="G1748" s="422">
        <v>2087.6823367872071</v>
      </c>
      <c r="H1748" s="417" t="s">
        <v>2616</v>
      </c>
      <c r="I1748" s="417" t="s">
        <v>1392</v>
      </c>
      <c r="J1748" s="417" t="s">
        <v>4364</v>
      </c>
      <c r="K1748" s="417" t="s">
        <v>5896</v>
      </c>
      <c r="L1748" s="417"/>
      <c r="M1748" s="417" t="s">
        <v>28840</v>
      </c>
    </row>
    <row r="1749" spans="1:13" x14ac:dyDescent="0.25">
      <c r="A1749" s="417" t="s">
        <v>3385</v>
      </c>
      <c r="B1749" s="417" t="s">
        <v>2623</v>
      </c>
      <c r="C1749" s="417" t="s">
        <v>5897</v>
      </c>
      <c r="D1749" s="417" t="s">
        <v>563</v>
      </c>
      <c r="E1749" s="423">
        <v>0.13351849641260871</v>
      </c>
      <c r="F1749" s="423">
        <v>3.3781778830400087E-4</v>
      </c>
      <c r="G1749" s="422">
        <v>140.81473193630961</v>
      </c>
      <c r="H1749" s="417" t="s">
        <v>2616</v>
      </c>
      <c r="I1749" s="417" t="s">
        <v>1392</v>
      </c>
      <c r="J1749" s="417" t="s">
        <v>4364</v>
      </c>
      <c r="K1749" s="417" t="s">
        <v>5898</v>
      </c>
      <c r="L1749" s="417"/>
      <c r="M1749" s="417" t="s">
        <v>28840</v>
      </c>
    </row>
    <row r="1750" spans="1:13" ht="10.5" customHeight="1" x14ac:dyDescent="0.25">
      <c r="A1750" s="417" t="s">
        <v>3385</v>
      </c>
      <c r="B1750" s="417" t="s">
        <v>2623</v>
      </c>
      <c r="C1750" s="417" t="s">
        <v>5899</v>
      </c>
      <c r="D1750" s="417" t="s">
        <v>563</v>
      </c>
      <c r="E1750" s="423">
        <v>2.1737704701822642E-2</v>
      </c>
      <c r="F1750" s="423">
        <v>3.8744684328385898E-4</v>
      </c>
      <c r="G1750" s="422">
        <v>699.79610684320062</v>
      </c>
      <c r="H1750" s="417" t="s">
        <v>2616</v>
      </c>
      <c r="I1750" s="417" t="s">
        <v>1392</v>
      </c>
      <c r="J1750" s="417" t="s">
        <v>4364</v>
      </c>
      <c r="K1750" s="417" t="s">
        <v>5900</v>
      </c>
      <c r="L1750" s="417"/>
      <c r="M1750" s="417" t="s">
        <v>28840</v>
      </c>
    </row>
    <row r="1751" spans="1:13" x14ac:dyDescent="0.25">
      <c r="A1751" s="417" t="s">
        <v>3385</v>
      </c>
      <c r="B1751" s="417" t="s">
        <v>2623</v>
      </c>
      <c r="C1751" s="417" t="s">
        <v>5901</v>
      </c>
      <c r="D1751" s="417" t="s">
        <v>563</v>
      </c>
      <c r="E1751" s="423">
        <v>2.250576486069172E-2</v>
      </c>
      <c r="F1751" s="423">
        <v>3.4288110426626453E-4</v>
      </c>
      <c r="G1751" s="422">
        <v>595.77959693865898</v>
      </c>
      <c r="H1751" s="417" t="s">
        <v>2616</v>
      </c>
      <c r="I1751" s="417" t="s">
        <v>1392</v>
      </c>
      <c r="J1751" s="417" t="s">
        <v>4364</v>
      </c>
      <c r="K1751" s="417" t="s">
        <v>5902</v>
      </c>
      <c r="L1751" s="417"/>
      <c r="M1751" s="417" t="s">
        <v>28840</v>
      </c>
    </row>
    <row r="1752" spans="1:13" x14ac:dyDescent="0.25">
      <c r="A1752" s="417" t="s">
        <v>3385</v>
      </c>
      <c r="B1752" s="417" t="s">
        <v>2623</v>
      </c>
      <c r="C1752" s="417" t="s">
        <v>5903</v>
      </c>
      <c r="D1752" s="417" t="s">
        <v>563</v>
      </c>
      <c r="E1752" s="423">
        <v>2.0969644543557531E-2</v>
      </c>
      <c r="F1752" s="423">
        <v>4.3201258294909629E-4</v>
      </c>
      <c r="G1752" s="422">
        <v>803.8126167090229</v>
      </c>
      <c r="H1752" s="417" t="s">
        <v>2616</v>
      </c>
      <c r="I1752" s="417" t="s">
        <v>1392</v>
      </c>
      <c r="J1752" s="417" t="s">
        <v>4364</v>
      </c>
      <c r="K1752" s="417" t="s">
        <v>5904</v>
      </c>
      <c r="L1752" s="417"/>
      <c r="M1752" s="417" t="s">
        <v>28840</v>
      </c>
    </row>
    <row r="1753" spans="1:13" x14ac:dyDescent="0.25">
      <c r="A1753" s="417" t="s">
        <v>3385</v>
      </c>
      <c r="B1753" s="417" t="s">
        <v>2623</v>
      </c>
      <c r="C1753" s="417" t="s">
        <v>5905</v>
      </c>
      <c r="D1753" s="417" t="s">
        <v>563</v>
      </c>
      <c r="E1753" s="423">
        <v>2.0107607464987081</v>
      </c>
      <c r="F1753" s="423">
        <v>5.3893988150851126E-4</v>
      </c>
      <c r="G1753" s="422">
        <v>2060.0265543513779</v>
      </c>
      <c r="H1753" s="417" t="s">
        <v>2616</v>
      </c>
      <c r="I1753" s="417" t="s">
        <v>1392</v>
      </c>
      <c r="J1753" s="417" t="s">
        <v>4364</v>
      </c>
      <c r="K1753" s="417" t="s">
        <v>5906</v>
      </c>
      <c r="L1753" s="417"/>
      <c r="M1753" s="417" t="s">
        <v>28840</v>
      </c>
    </row>
    <row r="1754" spans="1:13" x14ac:dyDescent="0.25">
      <c r="A1754" s="417" t="s">
        <v>3385</v>
      </c>
      <c r="B1754" s="417" t="s">
        <v>2623</v>
      </c>
      <c r="C1754" s="417" t="s">
        <v>5907</v>
      </c>
      <c r="D1754" s="417" t="s">
        <v>563</v>
      </c>
      <c r="E1754" s="423">
        <v>2.0647495279331212</v>
      </c>
      <c r="F1754" s="423">
        <v>5.5341037950146525E-4</v>
      </c>
      <c r="G1754" s="422">
        <v>2115.338119192772</v>
      </c>
      <c r="H1754" s="417" t="s">
        <v>2616</v>
      </c>
      <c r="I1754" s="417" t="s">
        <v>1392</v>
      </c>
      <c r="J1754" s="417" t="s">
        <v>4364</v>
      </c>
      <c r="K1754" s="417" t="s">
        <v>5908</v>
      </c>
      <c r="L1754" s="417"/>
      <c r="M1754" s="417" t="s">
        <v>28840</v>
      </c>
    </row>
    <row r="1755" spans="1:13" x14ac:dyDescent="0.25">
      <c r="A1755" s="417" t="s">
        <v>3385</v>
      </c>
      <c r="B1755" s="417" t="s">
        <v>2623</v>
      </c>
      <c r="C1755" s="417" t="s">
        <v>5909</v>
      </c>
      <c r="D1755" s="417" t="s">
        <v>563</v>
      </c>
      <c r="E1755" s="423">
        <v>0.13414889432288121</v>
      </c>
      <c r="F1755" s="423">
        <v>3.3137283972146893E-4</v>
      </c>
      <c r="G1755" s="422">
        <v>948.46218748043918</v>
      </c>
      <c r="H1755" s="417" t="s">
        <v>2616</v>
      </c>
      <c r="I1755" s="417" t="s">
        <v>1392</v>
      </c>
      <c r="J1755" s="417" t="s">
        <v>4364</v>
      </c>
      <c r="K1755" s="417" t="s">
        <v>5910</v>
      </c>
      <c r="L1755" s="417"/>
      <c r="M1755" s="417" t="s">
        <v>28840</v>
      </c>
    </row>
    <row r="1756" spans="1:13" x14ac:dyDescent="0.25">
      <c r="A1756" s="417" t="s">
        <v>3385</v>
      </c>
      <c r="B1756" s="417" t="s">
        <v>2623</v>
      </c>
      <c r="C1756" s="417" t="s">
        <v>5911</v>
      </c>
      <c r="D1756" s="417" t="s">
        <v>563</v>
      </c>
      <c r="E1756" s="423">
        <v>0.13351849641260871</v>
      </c>
      <c r="F1756" s="423">
        <v>3.3781778830400087E-4</v>
      </c>
      <c r="G1756" s="422">
        <v>140.81473193630961</v>
      </c>
      <c r="H1756" s="417" t="s">
        <v>2616</v>
      </c>
      <c r="I1756" s="417" t="s">
        <v>1392</v>
      </c>
      <c r="J1756" s="417" t="s">
        <v>4364</v>
      </c>
      <c r="K1756" s="417" t="s">
        <v>5912</v>
      </c>
      <c r="L1756" s="417"/>
      <c r="M1756" s="417" t="s">
        <v>28840</v>
      </c>
    </row>
    <row r="1757" spans="1:13" x14ac:dyDescent="0.25">
      <c r="A1757" s="417" t="s">
        <v>3385</v>
      </c>
      <c r="B1757" s="417" t="s">
        <v>2623</v>
      </c>
      <c r="C1757" s="417" t="s">
        <v>5913</v>
      </c>
      <c r="D1757" s="417" t="s">
        <v>563</v>
      </c>
      <c r="E1757" s="423">
        <v>0.65405099317614324</v>
      </c>
      <c r="F1757" s="423">
        <v>9.8090518361182606E-3</v>
      </c>
      <c r="G1757" s="422">
        <v>1349.9584186802131</v>
      </c>
      <c r="H1757" s="417" t="s">
        <v>2616</v>
      </c>
      <c r="I1757" s="417" t="s">
        <v>1392</v>
      </c>
      <c r="J1757" s="417" t="s">
        <v>4364</v>
      </c>
      <c r="K1757" s="417" t="s">
        <v>5914</v>
      </c>
      <c r="L1757" s="417"/>
      <c r="M1757" s="417" t="s">
        <v>28840</v>
      </c>
    </row>
    <row r="1758" spans="1:13" x14ac:dyDescent="0.25">
      <c r="A1758" s="417" t="s">
        <v>3385</v>
      </c>
      <c r="B1758" s="417" t="s">
        <v>2623</v>
      </c>
      <c r="C1758" s="417" t="s">
        <v>5915</v>
      </c>
      <c r="D1758" s="417" t="s">
        <v>563</v>
      </c>
      <c r="E1758" s="423">
        <v>0.34939233993044688</v>
      </c>
      <c r="F1758" s="423">
        <v>5.7071599711308292E-4</v>
      </c>
      <c r="G1758" s="422">
        <v>430.64560097886402</v>
      </c>
      <c r="H1758" s="417" t="s">
        <v>2616</v>
      </c>
      <c r="I1758" s="417" t="s">
        <v>1392</v>
      </c>
      <c r="J1758" s="417" t="s">
        <v>4364</v>
      </c>
      <c r="K1758" s="417" t="s">
        <v>5916</v>
      </c>
      <c r="L1758" s="417"/>
      <c r="M1758" s="417" t="s">
        <v>28840</v>
      </c>
    </row>
    <row r="1759" spans="1:13" x14ac:dyDescent="0.25">
      <c r="A1759" s="417" t="s">
        <v>3385</v>
      </c>
      <c r="B1759" s="417" t="s">
        <v>2623</v>
      </c>
      <c r="C1759" s="417" t="s">
        <v>5917</v>
      </c>
      <c r="D1759" s="417" t="s">
        <v>563</v>
      </c>
      <c r="E1759" s="423">
        <v>0.75644804622181439</v>
      </c>
      <c r="F1759" s="423">
        <v>9.1287756035942583E-3</v>
      </c>
      <c r="G1759" s="422">
        <v>1392.0160622309129</v>
      </c>
      <c r="H1759" s="417" t="s">
        <v>2616</v>
      </c>
      <c r="I1759" s="417" t="s">
        <v>1392</v>
      </c>
      <c r="J1759" s="417" t="s">
        <v>4364</v>
      </c>
      <c r="K1759" s="417" t="s">
        <v>5918</v>
      </c>
      <c r="L1759" s="417"/>
      <c r="M1759" s="417" t="s">
        <v>28840</v>
      </c>
    </row>
    <row r="1760" spans="1:13" x14ac:dyDescent="0.25">
      <c r="A1760" s="417" t="s">
        <v>3385</v>
      </c>
      <c r="B1760" s="417" t="s">
        <v>2623</v>
      </c>
      <c r="C1760" s="417" t="s">
        <v>5919</v>
      </c>
      <c r="D1760" s="417" t="s">
        <v>563</v>
      </c>
      <c r="E1760" s="423">
        <v>1.4745289119862011</v>
      </c>
      <c r="F1760" s="423">
        <v>2.926979643534169E-2</v>
      </c>
      <c r="G1760" s="422">
        <v>3447.9653759174821</v>
      </c>
      <c r="H1760" s="417" t="s">
        <v>2616</v>
      </c>
      <c r="I1760" s="417" t="s">
        <v>1392</v>
      </c>
      <c r="J1760" s="417" t="s">
        <v>4364</v>
      </c>
      <c r="K1760" s="417" t="s">
        <v>5920</v>
      </c>
      <c r="L1760" s="417"/>
      <c r="M1760" s="417" t="s">
        <v>28840</v>
      </c>
    </row>
    <row r="1761" spans="1:13" x14ac:dyDescent="0.25">
      <c r="A1761" s="417" t="s">
        <v>3385</v>
      </c>
      <c r="B1761" s="417" t="s">
        <v>2623</v>
      </c>
      <c r="C1761" s="417" t="s">
        <v>5921</v>
      </c>
      <c r="D1761" s="417" t="s">
        <v>563</v>
      </c>
      <c r="E1761" s="423">
        <v>3.5834674534700697E-2</v>
      </c>
      <c r="F1761" s="423">
        <v>2.6691930736199172E-4</v>
      </c>
      <c r="G1761" s="422">
        <v>129.20663447198311</v>
      </c>
      <c r="H1761" s="417" t="s">
        <v>2616</v>
      </c>
      <c r="I1761" s="417" t="s">
        <v>1392</v>
      </c>
      <c r="J1761" s="417" t="s">
        <v>4364</v>
      </c>
      <c r="K1761" s="417" t="s">
        <v>5922</v>
      </c>
      <c r="L1761" s="417"/>
      <c r="M1761" s="417" t="s">
        <v>28840</v>
      </c>
    </row>
    <row r="1762" spans="1:13" x14ac:dyDescent="0.25">
      <c r="A1762" s="417" t="s">
        <v>3385</v>
      </c>
      <c r="B1762" s="417" t="s">
        <v>2623</v>
      </c>
      <c r="C1762" s="417" t="s">
        <v>5923</v>
      </c>
      <c r="D1762" s="417" t="s">
        <v>563</v>
      </c>
      <c r="E1762" s="423">
        <v>1.0371375997093171</v>
      </c>
      <c r="F1762" s="423">
        <v>1.216793376809157E-2</v>
      </c>
      <c r="G1762" s="422">
        <v>1951.968713521378</v>
      </c>
      <c r="H1762" s="417" t="s">
        <v>2616</v>
      </c>
      <c r="I1762" s="417" t="s">
        <v>1392</v>
      </c>
      <c r="J1762" s="417" t="s">
        <v>4364</v>
      </c>
      <c r="K1762" s="417" t="s">
        <v>5924</v>
      </c>
      <c r="L1762" s="417"/>
      <c r="M1762" s="417" t="s">
        <v>28840</v>
      </c>
    </row>
    <row r="1763" spans="1:13" x14ac:dyDescent="0.25">
      <c r="A1763" s="417" t="s">
        <v>3385</v>
      </c>
      <c r="B1763" s="417" t="s">
        <v>2623</v>
      </c>
      <c r="C1763" s="417" t="s">
        <v>5925</v>
      </c>
      <c r="D1763" s="417" t="s">
        <v>563</v>
      </c>
      <c r="E1763" s="423">
        <v>0.9165378823943936</v>
      </c>
      <c r="F1763" s="423">
        <v>2.4465293259065758E-3</v>
      </c>
      <c r="G1763" s="422">
        <v>1237.971861184129</v>
      </c>
      <c r="H1763" s="417" t="s">
        <v>2616</v>
      </c>
      <c r="I1763" s="417" t="s">
        <v>1392</v>
      </c>
      <c r="J1763" s="417" t="s">
        <v>4364</v>
      </c>
      <c r="K1763" s="417" t="s">
        <v>5926</v>
      </c>
      <c r="L1763" s="417"/>
      <c r="M1763" s="417" t="s">
        <v>28840</v>
      </c>
    </row>
    <row r="1764" spans="1:13" x14ac:dyDescent="0.25">
      <c r="A1764" s="417" t="s">
        <v>3385</v>
      </c>
      <c r="B1764" s="417" t="s">
        <v>2623</v>
      </c>
      <c r="C1764" s="417" t="s">
        <v>5927</v>
      </c>
      <c r="D1764" s="417" t="s">
        <v>563</v>
      </c>
      <c r="E1764" s="423">
        <v>1.157737317032441</v>
      </c>
      <c r="F1764" s="423">
        <v>2.1889338207278539E-2</v>
      </c>
      <c r="G1764" s="422">
        <v>2665.965566202688</v>
      </c>
      <c r="H1764" s="417" t="s">
        <v>2616</v>
      </c>
      <c r="I1764" s="417" t="s">
        <v>1392</v>
      </c>
      <c r="J1764" s="417" t="s">
        <v>4364</v>
      </c>
      <c r="K1764" s="417" t="s">
        <v>5928</v>
      </c>
      <c r="L1764" s="417"/>
      <c r="M1764" s="417" t="s">
        <v>28840</v>
      </c>
    </row>
    <row r="1765" spans="1:13" x14ac:dyDescent="0.25">
      <c r="A1765" s="417" t="s">
        <v>3385</v>
      </c>
      <c r="B1765" s="417" t="s">
        <v>2623</v>
      </c>
      <c r="C1765" s="417" t="s">
        <v>5929</v>
      </c>
      <c r="D1765" s="417" t="s">
        <v>563</v>
      </c>
      <c r="E1765" s="423">
        <v>2.7926971308597281E-2</v>
      </c>
      <c r="F1765" s="423">
        <v>2.6994321804733159E-5</v>
      </c>
      <c r="G1765" s="422">
        <v>29.363087196204258</v>
      </c>
      <c r="H1765" s="417" t="s">
        <v>2616</v>
      </c>
      <c r="I1765" s="417" t="s">
        <v>1392</v>
      </c>
      <c r="J1765" s="417" t="s">
        <v>4364</v>
      </c>
      <c r="K1765" s="417" t="s">
        <v>5930</v>
      </c>
      <c r="L1765" s="417"/>
      <c r="M1765" s="417" t="s">
        <v>28840</v>
      </c>
    </row>
    <row r="1766" spans="1:13" x14ac:dyDescent="0.25">
      <c r="A1766" s="417" t="s">
        <v>3385</v>
      </c>
      <c r="B1766" s="417" t="s">
        <v>2623</v>
      </c>
      <c r="C1766" s="417" t="s">
        <v>5931</v>
      </c>
      <c r="D1766" s="417" t="s">
        <v>563</v>
      </c>
      <c r="E1766" s="423">
        <v>3.3501961160822297E-2</v>
      </c>
      <c r="F1766" s="423">
        <v>3.0767173150860443E-5</v>
      </c>
      <c r="G1766" s="422">
        <v>34.606927775976857</v>
      </c>
      <c r="H1766" s="417" t="s">
        <v>2616</v>
      </c>
      <c r="I1766" s="417" t="s">
        <v>1392</v>
      </c>
      <c r="J1766" s="417" t="s">
        <v>4364</v>
      </c>
      <c r="K1766" s="417" t="s">
        <v>5932</v>
      </c>
      <c r="L1766" s="417"/>
      <c r="M1766" s="417" t="s">
        <v>28840</v>
      </c>
    </row>
    <row r="1767" spans="1:13" x14ac:dyDescent="0.25">
      <c r="A1767" s="417" t="s">
        <v>3385</v>
      </c>
      <c r="B1767" s="417" t="s">
        <v>2623</v>
      </c>
      <c r="C1767" s="417" t="s">
        <v>5933</v>
      </c>
      <c r="D1767" s="417" t="s">
        <v>563</v>
      </c>
      <c r="E1767" s="423">
        <v>3.8917704946860892</v>
      </c>
      <c r="F1767" s="423">
        <v>2.880473711866656E-2</v>
      </c>
      <c r="G1767" s="422">
        <v>5377.1939406003903</v>
      </c>
      <c r="H1767" s="417" t="s">
        <v>2616</v>
      </c>
      <c r="I1767" s="417" t="s">
        <v>1392</v>
      </c>
      <c r="J1767" s="417" t="s">
        <v>4364</v>
      </c>
      <c r="K1767" s="417" t="s">
        <v>5934</v>
      </c>
      <c r="L1767" s="417"/>
      <c r="M1767" s="417" t="s">
        <v>28840</v>
      </c>
    </row>
    <row r="1768" spans="1:13" x14ac:dyDescent="0.25">
      <c r="A1768" s="417" t="s">
        <v>3385</v>
      </c>
      <c r="B1768" s="417" t="s">
        <v>2623</v>
      </c>
      <c r="C1768" s="417" t="s">
        <v>5935</v>
      </c>
      <c r="D1768" s="417" t="s">
        <v>563</v>
      </c>
      <c r="E1768" s="423">
        <v>1.419501780843716</v>
      </c>
      <c r="F1768" s="423">
        <v>9.4686813513954139E-4</v>
      </c>
      <c r="G1768" s="422">
        <v>1280.940025169238</v>
      </c>
      <c r="H1768" s="417" t="s">
        <v>2616</v>
      </c>
      <c r="I1768" s="417" t="s">
        <v>1392</v>
      </c>
      <c r="J1768" s="417" t="s">
        <v>4364</v>
      </c>
      <c r="K1768" s="417" t="s">
        <v>5936</v>
      </c>
      <c r="L1768" s="417"/>
      <c r="M1768" s="417" t="s">
        <v>28840</v>
      </c>
    </row>
    <row r="1769" spans="1:13" x14ac:dyDescent="0.25">
      <c r="A1769" s="417" t="s">
        <v>3385</v>
      </c>
      <c r="B1769" s="417" t="s">
        <v>2623</v>
      </c>
      <c r="C1769" s="417" t="s">
        <v>5937</v>
      </c>
      <c r="D1769" s="417" t="s">
        <v>563</v>
      </c>
      <c r="E1769" s="423">
        <v>1.451086012642572</v>
      </c>
      <c r="F1769" s="423">
        <v>9.5779503740287225E-4</v>
      </c>
      <c r="G1769" s="422">
        <v>1308.526762119785</v>
      </c>
      <c r="H1769" s="417" t="s">
        <v>2616</v>
      </c>
      <c r="I1769" s="417" t="s">
        <v>1392</v>
      </c>
      <c r="J1769" s="417" t="s">
        <v>4364</v>
      </c>
      <c r="K1769" s="417" t="s">
        <v>5938</v>
      </c>
      <c r="L1769" s="417"/>
      <c r="M1769" s="417" t="s">
        <v>28840</v>
      </c>
    </row>
    <row r="1770" spans="1:13" x14ac:dyDescent="0.25">
      <c r="A1770" s="417" t="s">
        <v>3385</v>
      </c>
      <c r="B1770" s="417" t="s">
        <v>2623</v>
      </c>
      <c r="C1770" s="417" t="s">
        <v>5939</v>
      </c>
      <c r="D1770" s="417" t="s">
        <v>563</v>
      </c>
      <c r="E1770" s="423">
        <v>0.94921706903605396</v>
      </c>
      <c r="F1770" s="423">
        <v>8.5169747915801036E-3</v>
      </c>
      <c r="G1770" s="422">
        <v>1439.2808237926811</v>
      </c>
      <c r="H1770" s="417" t="s">
        <v>2616</v>
      </c>
      <c r="I1770" s="417" t="s">
        <v>1392</v>
      </c>
      <c r="J1770" s="417" t="s">
        <v>4364</v>
      </c>
      <c r="K1770" s="417" t="s">
        <v>5940</v>
      </c>
      <c r="L1770" s="417"/>
      <c r="M1770" s="417" t="s">
        <v>28840</v>
      </c>
    </row>
    <row r="1771" spans="1:13" x14ac:dyDescent="0.25">
      <c r="A1771" s="417" t="s">
        <v>3385</v>
      </c>
      <c r="B1771" s="417" t="s">
        <v>2623</v>
      </c>
      <c r="C1771" s="417" t="s">
        <v>5941</v>
      </c>
      <c r="D1771" s="417" t="s">
        <v>563</v>
      </c>
      <c r="E1771" s="423">
        <v>0.39982507609849299</v>
      </c>
      <c r="F1771" s="423">
        <v>9.4059142326884788E-4</v>
      </c>
      <c r="G1771" s="422">
        <v>1055.7882851214169</v>
      </c>
      <c r="H1771" s="417" t="s">
        <v>2616</v>
      </c>
      <c r="I1771" s="417" t="s">
        <v>1392</v>
      </c>
      <c r="J1771" s="417" t="s">
        <v>4364</v>
      </c>
      <c r="K1771" s="417" t="s">
        <v>5942</v>
      </c>
      <c r="L1771" s="417"/>
      <c r="M1771" s="417" t="s">
        <v>28840</v>
      </c>
    </row>
    <row r="1772" spans="1:13" x14ac:dyDescent="0.25">
      <c r="A1772" s="417" t="s">
        <v>3385</v>
      </c>
      <c r="B1772" s="417" t="s">
        <v>2623</v>
      </c>
      <c r="C1772" s="417" t="s">
        <v>5943</v>
      </c>
      <c r="D1772" s="417" t="s">
        <v>563</v>
      </c>
      <c r="E1772" s="423">
        <v>0.8109196519332722</v>
      </c>
      <c r="F1772" s="423">
        <v>9.5915553609114378E-3</v>
      </c>
      <c r="G1772" s="422">
        <v>2230.4356068617349</v>
      </c>
      <c r="H1772" s="417" t="s">
        <v>2616</v>
      </c>
      <c r="I1772" s="417" t="s">
        <v>1392</v>
      </c>
      <c r="J1772" s="417" t="s">
        <v>4364</v>
      </c>
      <c r="K1772" s="417" t="s">
        <v>5944</v>
      </c>
      <c r="L1772" s="417"/>
      <c r="M1772" s="417" t="s">
        <v>28840</v>
      </c>
    </row>
    <row r="1773" spans="1:13" x14ac:dyDescent="0.25">
      <c r="A1773" s="417" t="s">
        <v>3385</v>
      </c>
      <c r="B1773" s="417" t="s">
        <v>2623</v>
      </c>
      <c r="C1773" s="417" t="s">
        <v>5945</v>
      </c>
      <c r="D1773" s="417" t="s">
        <v>563</v>
      </c>
      <c r="E1773" s="423">
        <v>9.1987948157142014</v>
      </c>
      <c r="F1773" s="423">
        <v>6.980968631863721E-2</v>
      </c>
      <c r="G1773" s="422">
        <v>14616.825141312451</v>
      </c>
      <c r="H1773" s="417" t="s">
        <v>2616</v>
      </c>
      <c r="I1773" s="417" t="s">
        <v>1392</v>
      </c>
      <c r="J1773" s="417" t="s">
        <v>4364</v>
      </c>
      <c r="K1773" s="417" t="s">
        <v>5946</v>
      </c>
      <c r="L1773" s="417"/>
      <c r="M1773" s="417" t="s">
        <v>28840</v>
      </c>
    </row>
    <row r="1774" spans="1:13" x14ac:dyDescent="0.25">
      <c r="A1774" s="417" t="s">
        <v>3385</v>
      </c>
      <c r="B1774" s="417" t="s">
        <v>2623</v>
      </c>
      <c r="C1774" s="417" t="s">
        <v>5947</v>
      </c>
      <c r="D1774" s="417" t="s">
        <v>563</v>
      </c>
      <c r="E1774" s="423">
        <v>4.8516655489614404</v>
      </c>
      <c r="F1774" s="423">
        <v>9.9509627929339067E-3</v>
      </c>
      <c r="G1774" s="422">
        <v>6253.090891481017</v>
      </c>
      <c r="H1774" s="417" t="s">
        <v>2616</v>
      </c>
      <c r="I1774" s="417" t="s">
        <v>1392</v>
      </c>
      <c r="J1774" s="417" t="s">
        <v>4364</v>
      </c>
      <c r="K1774" s="417" t="s">
        <v>5948</v>
      </c>
      <c r="L1774" s="417"/>
      <c r="M1774" s="417" t="s">
        <v>28840</v>
      </c>
    </row>
    <row r="1775" spans="1:13" x14ac:dyDescent="0.25">
      <c r="A1775" s="417" t="s">
        <v>3385</v>
      </c>
      <c r="B1775" s="417" t="s">
        <v>2623</v>
      </c>
      <c r="C1775" s="417" t="s">
        <v>5949</v>
      </c>
      <c r="D1775" s="417" t="s">
        <v>563</v>
      </c>
      <c r="E1775" s="423">
        <v>5.1755764469827188</v>
      </c>
      <c r="F1775" s="423">
        <v>2.0168647415493141E-2</v>
      </c>
      <c r="G1775" s="422">
        <v>8971.9772698737488</v>
      </c>
      <c r="H1775" s="417" t="s">
        <v>2616</v>
      </c>
      <c r="I1775" s="417" t="s">
        <v>1392</v>
      </c>
      <c r="J1775" s="417" t="s">
        <v>4364</v>
      </c>
      <c r="K1775" s="417" t="s">
        <v>5950</v>
      </c>
      <c r="L1775" s="417"/>
      <c r="M1775" s="417" t="s">
        <v>28840</v>
      </c>
    </row>
    <row r="1776" spans="1:13" x14ac:dyDescent="0.25">
      <c r="A1776" s="417" t="s">
        <v>3385</v>
      </c>
      <c r="B1776" s="417" t="s">
        <v>2623</v>
      </c>
      <c r="C1776" s="417" t="s">
        <v>5951</v>
      </c>
      <c r="D1776" s="417" t="s">
        <v>563</v>
      </c>
      <c r="E1776" s="423">
        <v>2.2404728824536968</v>
      </c>
      <c r="F1776" s="423">
        <v>3.0744130779550901E-2</v>
      </c>
      <c r="G1776" s="422">
        <v>4246.0611215226081</v>
      </c>
      <c r="H1776" s="417" t="s">
        <v>2616</v>
      </c>
      <c r="I1776" s="417" t="s">
        <v>1392</v>
      </c>
      <c r="J1776" s="417" t="s">
        <v>4364</v>
      </c>
      <c r="K1776" s="417" t="s">
        <v>5952</v>
      </c>
      <c r="L1776" s="417"/>
      <c r="M1776" s="417" t="s">
        <v>28840</v>
      </c>
    </row>
    <row r="1777" spans="1:13" x14ac:dyDescent="0.25">
      <c r="A1777" s="417" t="s">
        <v>3385</v>
      </c>
      <c r="B1777" s="417" t="s">
        <v>2623</v>
      </c>
      <c r="C1777" s="417" t="s">
        <v>5953</v>
      </c>
      <c r="D1777" s="417" t="s">
        <v>88</v>
      </c>
      <c r="E1777" s="423">
        <v>5.5531934380444847E-2</v>
      </c>
      <c r="F1777" s="423">
        <v>0.21134600386994321</v>
      </c>
      <c r="G1777" s="422">
        <v>80.591195634255229</v>
      </c>
      <c r="H1777" s="417" t="s">
        <v>2616</v>
      </c>
      <c r="I1777" s="417" t="s">
        <v>1392</v>
      </c>
      <c r="J1777" s="417" t="s">
        <v>4364</v>
      </c>
      <c r="K1777" s="417" t="s">
        <v>5954</v>
      </c>
      <c r="L1777" s="417"/>
      <c r="M1777" s="417" t="s">
        <v>28840</v>
      </c>
    </row>
    <row r="1778" spans="1:13" x14ac:dyDescent="0.25">
      <c r="A1778" s="417" t="s">
        <v>3385</v>
      </c>
      <c r="B1778" s="417" t="s">
        <v>2623</v>
      </c>
      <c r="C1778" s="417" t="s">
        <v>5955</v>
      </c>
      <c r="D1778" s="417" t="s">
        <v>88</v>
      </c>
      <c r="E1778" s="423">
        <v>0.34532872902641659</v>
      </c>
      <c r="F1778" s="423">
        <v>1.3447721405483899</v>
      </c>
      <c r="G1778" s="422">
        <v>494.2698771879966</v>
      </c>
      <c r="H1778" s="417" t="s">
        <v>2616</v>
      </c>
      <c r="I1778" s="417" t="s">
        <v>1392</v>
      </c>
      <c r="J1778" s="417" t="s">
        <v>4364</v>
      </c>
      <c r="K1778" s="417" t="s">
        <v>5956</v>
      </c>
      <c r="L1778" s="417"/>
      <c r="M1778" s="417" t="s">
        <v>28840</v>
      </c>
    </row>
    <row r="1779" spans="1:13" x14ac:dyDescent="0.25">
      <c r="A1779" s="417" t="s">
        <v>3385</v>
      </c>
      <c r="B1779" s="417" t="s">
        <v>2623</v>
      </c>
      <c r="C1779" s="417" t="s">
        <v>5957</v>
      </c>
      <c r="D1779" s="417" t="s">
        <v>88</v>
      </c>
      <c r="E1779" s="423">
        <v>8.2860981309218873E-2</v>
      </c>
      <c r="F1779" s="423">
        <v>1.593384147459383E-2</v>
      </c>
      <c r="G1779" s="422">
        <v>1102.7020085272479</v>
      </c>
      <c r="H1779" s="417" t="s">
        <v>2616</v>
      </c>
      <c r="I1779" s="417" t="s">
        <v>1392</v>
      </c>
      <c r="J1779" s="417" t="s">
        <v>4364</v>
      </c>
      <c r="K1779" s="417" t="s">
        <v>5958</v>
      </c>
      <c r="L1779" s="417"/>
      <c r="M1779" s="417" t="s">
        <v>28840</v>
      </c>
    </row>
    <row r="1780" spans="1:13" x14ac:dyDescent="0.25">
      <c r="A1780" s="417" t="s">
        <v>3385</v>
      </c>
      <c r="B1780" s="417" t="s">
        <v>2623</v>
      </c>
      <c r="C1780" s="417" t="s">
        <v>5959</v>
      </c>
      <c r="D1780" s="417" t="s">
        <v>88</v>
      </c>
      <c r="E1780" s="423">
        <v>0.24535159251374031</v>
      </c>
      <c r="F1780" s="423">
        <v>1.3350696637791359</v>
      </c>
      <c r="G1780" s="422">
        <v>309.72504272166719</v>
      </c>
      <c r="H1780" s="417" t="s">
        <v>2616</v>
      </c>
      <c r="I1780" s="417" t="s">
        <v>1392</v>
      </c>
      <c r="J1780" s="417" t="s">
        <v>4364</v>
      </c>
      <c r="K1780" s="417" t="s">
        <v>5960</v>
      </c>
      <c r="L1780" s="417"/>
      <c r="M1780" s="417" t="s">
        <v>28840</v>
      </c>
    </row>
    <row r="1781" spans="1:13" x14ac:dyDescent="0.25">
      <c r="A1781" s="417" t="s">
        <v>3385</v>
      </c>
      <c r="B1781" s="417" t="s">
        <v>2623</v>
      </c>
      <c r="C1781" s="417" t="s">
        <v>5961</v>
      </c>
      <c r="D1781" s="417" t="s">
        <v>88</v>
      </c>
      <c r="E1781" s="423">
        <v>0.18713748265932439</v>
      </c>
      <c r="F1781" s="423">
        <v>5.6630875301369032E-4</v>
      </c>
      <c r="G1781" s="422">
        <v>235.57887701621979</v>
      </c>
      <c r="H1781" s="417" t="s">
        <v>2616</v>
      </c>
      <c r="I1781" s="417" t="s">
        <v>1392</v>
      </c>
      <c r="J1781" s="417" t="s">
        <v>4364</v>
      </c>
      <c r="K1781" s="417" t="s">
        <v>5962</v>
      </c>
      <c r="L1781" s="417"/>
      <c r="M1781" s="417" t="s">
        <v>28840</v>
      </c>
    </row>
    <row r="1782" spans="1:13" x14ac:dyDescent="0.25">
      <c r="A1782" s="417" t="s">
        <v>3385</v>
      </c>
      <c r="B1782" s="417" t="s">
        <v>2623</v>
      </c>
      <c r="C1782" s="417" t="s">
        <v>5963</v>
      </c>
      <c r="D1782" s="417" t="s">
        <v>88</v>
      </c>
      <c r="E1782" s="423">
        <v>2.5004041038932909</v>
      </c>
      <c r="F1782" s="423">
        <v>1.07071691217486E-2</v>
      </c>
      <c r="G1782" s="422">
        <v>2958.2931212181602</v>
      </c>
      <c r="H1782" s="417" t="s">
        <v>2616</v>
      </c>
      <c r="I1782" s="417" t="s">
        <v>1392</v>
      </c>
      <c r="J1782" s="417" t="s">
        <v>4364</v>
      </c>
      <c r="K1782" s="417" t="s">
        <v>5964</v>
      </c>
      <c r="L1782" s="417"/>
      <c r="M1782" s="417" t="s">
        <v>28840</v>
      </c>
    </row>
    <row r="1783" spans="1:13" x14ac:dyDescent="0.25">
      <c r="A1783" s="417" t="s">
        <v>3385</v>
      </c>
      <c r="B1783" s="417" t="s">
        <v>2623</v>
      </c>
      <c r="C1783" s="417" t="s">
        <v>5965</v>
      </c>
      <c r="D1783" s="417" t="s">
        <v>88</v>
      </c>
      <c r="E1783" s="423">
        <v>2.400426970337965</v>
      </c>
      <c r="F1783" s="423">
        <v>1.00469293235065E-3</v>
      </c>
      <c r="G1783" s="422">
        <v>2773.7482944545468</v>
      </c>
      <c r="H1783" s="417" t="s">
        <v>2616</v>
      </c>
      <c r="I1783" s="417" t="s">
        <v>1392</v>
      </c>
      <c r="J1783" s="417" t="s">
        <v>4364</v>
      </c>
      <c r="K1783" s="417" t="s">
        <v>5966</v>
      </c>
      <c r="L1783" s="417"/>
      <c r="M1783" s="417" t="s">
        <v>28840</v>
      </c>
    </row>
    <row r="1784" spans="1:13" x14ac:dyDescent="0.25">
      <c r="A1784" s="417" t="s">
        <v>3385</v>
      </c>
      <c r="B1784" s="417" t="s">
        <v>2623</v>
      </c>
      <c r="C1784" s="417" t="s">
        <v>5967</v>
      </c>
      <c r="D1784" s="417" t="s">
        <v>88</v>
      </c>
      <c r="E1784" s="423">
        <v>0.1099975470283697</v>
      </c>
      <c r="F1784" s="423">
        <v>9.4647596040210442E-4</v>
      </c>
      <c r="G1784" s="422">
        <v>1701.5200782290681</v>
      </c>
      <c r="H1784" s="417" t="s">
        <v>2616</v>
      </c>
      <c r="I1784" s="417" t="s">
        <v>1392</v>
      </c>
      <c r="J1784" s="417" t="s">
        <v>4364</v>
      </c>
      <c r="K1784" s="417" t="s">
        <v>5968</v>
      </c>
      <c r="L1784" s="417"/>
      <c r="M1784" s="417" t="s">
        <v>28840</v>
      </c>
    </row>
    <row r="1785" spans="1:13" x14ac:dyDescent="0.25">
      <c r="A1785" s="417" t="s">
        <v>3385</v>
      </c>
      <c r="B1785" s="417" t="s">
        <v>2623</v>
      </c>
      <c r="C1785" s="417" t="s">
        <v>5969</v>
      </c>
      <c r="D1785" s="417" t="s">
        <v>88</v>
      </c>
      <c r="E1785" s="423">
        <v>0.28801013050764918</v>
      </c>
      <c r="F1785" s="423">
        <v>1.711469639888933E-3</v>
      </c>
      <c r="G1785" s="422">
        <v>405.76898531725078</v>
      </c>
      <c r="H1785" s="417" t="s">
        <v>2616</v>
      </c>
      <c r="I1785" s="417" t="s">
        <v>1392</v>
      </c>
      <c r="J1785" s="417" t="s">
        <v>4364</v>
      </c>
      <c r="K1785" s="417" t="s">
        <v>5970</v>
      </c>
      <c r="L1785" s="417"/>
      <c r="M1785" s="417" t="s">
        <v>28840</v>
      </c>
    </row>
    <row r="1786" spans="1:13" x14ac:dyDescent="0.25">
      <c r="A1786" s="417" t="s">
        <v>3385</v>
      </c>
      <c r="B1786" s="417" t="s">
        <v>2623</v>
      </c>
      <c r="C1786" s="417" t="s">
        <v>5971</v>
      </c>
      <c r="D1786" s="417" t="s">
        <v>88</v>
      </c>
      <c r="E1786" s="423">
        <v>0.41778553406028213</v>
      </c>
      <c r="F1786" s="423">
        <v>1.470831413973869E-3</v>
      </c>
      <c r="G1786" s="422">
        <v>460.973660401605</v>
      </c>
      <c r="H1786" s="417" t="s">
        <v>2616</v>
      </c>
      <c r="I1786" s="417" t="s">
        <v>1392</v>
      </c>
      <c r="J1786" s="417" t="s">
        <v>4364</v>
      </c>
      <c r="K1786" s="417" t="s">
        <v>5972</v>
      </c>
      <c r="L1786" s="417"/>
      <c r="M1786" s="417" t="s">
        <v>28840</v>
      </c>
    </row>
    <row r="1787" spans="1:13" x14ac:dyDescent="0.25">
      <c r="A1787" s="417" t="s">
        <v>3385</v>
      </c>
      <c r="B1787" s="417" t="s">
        <v>2623</v>
      </c>
      <c r="C1787" s="417" t="s">
        <v>5973</v>
      </c>
      <c r="D1787" s="417" t="s">
        <v>989</v>
      </c>
      <c r="E1787" s="423">
        <v>0.57908162552782205</v>
      </c>
      <c r="F1787" s="423">
        <v>2.870941368147572E-3</v>
      </c>
      <c r="G1787" s="422">
        <v>655.24854783222577</v>
      </c>
      <c r="H1787" s="417" t="s">
        <v>2616</v>
      </c>
      <c r="I1787" s="417" t="s">
        <v>1392</v>
      </c>
      <c r="J1787" s="417" t="s">
        <v>5974</v>
      </c>
      <c r="K1787" s="417" t="s">
        <v>5975</v>
      </c>
      <c r="L1787" s="417"/>
      <c r="M1787" s="417" t="s">
        <v>28840</v>
      </c>
    </row>
    <row r="1788" spans="1:13" x14ac:dyDescent="0.25">
      <c r="A1788" s="417" t="s">
        <v>3385</v>
      </c>
      <c r="B1788" s="417" t="s">
        <v>2623</v>
      </c>
      <c r="C1788" s="417" t="s">
        <v>5976</v>
      </c>
      <c r="D1788" s="417" t="s">
        <v>989</v>
      </c>
      <c r="E1788" s="423">
        <v>0.10486647069893019</v>
      </c>
      <c r="F1788" s="423">
        <v>1.2221147493418109E-4</v>
      </c>
      <c r="G1788" s="422">
        <v>109.2028242637723</v>
      </c>
      <c r="H1788" s="417" t="s">
        <v>2616</v>
      </c>
      <c r="I1788" s="417" t="s">
        <v>1392</v>
      </c>
      <c r="J1788" s="417" t="s">
        <v>5974</v>
      </c>
      <c r="K1788" s="417" t="s">
        <v>5977</v>
      </c>
      <c r="L1788" s="417"/>
      <c r="M1788" s="417" t="s">
        <v>28840</v>
      </c>
    </row>
    <row r="1789" spans="1:13" x14ac:dyDescent="0.25">
      <c r="A1789" s="417" t="s">
        <v>3385</v>
      </c>
      <c r="B1789" s="417" t="s">
        <v>2623</v>
      </c>
      <c r="C1789" s="417" t="s">
        <v>5978</v>
      </c>
      <c r="D1789" s="417" t="s">
        <v>989</v>
      </c>
      <c r="E1789" s="423">
        <v>0.25246222719834283</v>
      </c>
      <c r="F1789" s="423">
        <v>0.15804348276014679</v>
      </c>
      <c r="G1789" s="422">
        <v>265.02554861028239</v>
      </c>
      <c r="H1789" s="417" t="s">
        <v>2616</v>
      </c>
      <c r="I1789" s="417" t="s">
        <v>1392</v>
      </c>
      <c r="J1789" s="417" t="s">
        <v>5974</v>
      </c>
      <c r="K1789" s="417" t="s">
        <v>5979</v>
      </c>
      <c r="L1789" s="417"/>
      <c r="M1789" s="417" t="s">
        <v>28840</v>
      </c>
    </row>
    <row r="1790" spans="1:13" x14ac:dyDescent="0.25">
      <c r="A1790" s="417" t="s">
        <v>3385</v>
      </c>
      <c r="B1790" s="417" t="s">
        <v>2623</v>
      </c>
      <c r="C1790" s="417" t="s">
        <v>5980</v>
      </c>
      <c r="D1790" s="417" t="s">
        <v>989</v>
      </c>
      <c r="E1790" s="423">
        <v>8.2951974387506025E-2</v>
      </c>
      <c r="F1790" s="423">
        <v>2.3512628123461068E-5</v>
      </c>
      <c r="G1790" s="422">
        <v>85.41077519139256</v>
      </c>
      <c r="H1790" s="417" t="s">
        <v>2616</v>
      </c>
      <c r="I1790" s="417" t="s">
        <v>1392</v>
      </c>
      <c r="J1790" s="417" t="s">
        <v>5974</v>
      </c>
      <c r="K1790" s="417" t="s">
        <v>5981</v>
      </c>
      <c r="L1790" s="417"/>
      <c r="M1790" s="417" t="s">
        <v>28840</v>
      </c>
    </row>
    <row r="1791" spans="1:13" x14ac:dyDescent="0.25">
      <c r="A1791" s="417" t="s">
        <v>3385</v>
      </c>
      <c r="B1791" s="417" t="s">
        <v>2623</v>
      </c>
      <c r="C1791" s="417" t="s">
        <v>5982</v>
      </c>
      <c r="D1791" s="417" t="s">
        <v>989</v>
      </c>
      <c r="E1791" s="423">
        <v>263423.51116830221</v>
      </c>
      <c r="F1791" s="423">
        <v>17703.423083106311</v>
      </c>
      <c r="G1791" s="422">
        <v>2714371891.5323968</v>
      </c>
      <c r="H1791" s="417" t="s">
        <v>2616</v>
      </c>
      <c r="I1791" s="417" t="s">
        <v>1392</v>
      </c>
      <c r="J1791" s="417" t="s">
        <v>5983</v>
      </c>
      <c r="K1791" s="417" t="s">
        <v>5984</v>
      </c>
      <c r="L1791" s="417"/>
      <c r="M1791" s="417" t="s">
        <v>28840</v>
      </c>
    </row>
    <row r="1792" spans="1:13" x14ac:dyDescent="0.25">
      <c r="A1792" s="417" t="s">
        <v>3385</v>
      </c>
      <c r="B1792" s="417" t="s">
        <v>2623</v>
      </c>
      <c r="C1792" s="417" t="s">
        <v>5985</v>
      </c>
      <c r="D1792" s="417" t="s">
        <v>563</v>
      </c>
      <c r="E1792" s="423">
        <v>1.4477798855873689</v>
      </c>
      <c r="F1792" s="423">
        <v>3.6981976101027351E-3</v>
      </c>
      <c r="G1792" s="422">
        <v>1594.635864119185</v>
      </c>
      <c r="H1792" s="417" t="s">
        <v>2616</v>
      </c>
      <c r="I1792" s="417" t="s">
        <v>1392</v>
      </c>
      <c r="J1792" s="417" t="s">
        <v>4364</v>
      </c>
      <c r="K1792" s="417" t="s">
        <v>5986</v>
      </c>
      <c r="L1792" s="417"/>
      <c r="M1792" s="417" t="s">
        <v>28840</v>
      </c>
    </row>
    <row r="1793" spans="1:13" x14ac:dyDescent="0.25">
      <c r="A1793" s="417" t="s">
        <v>3385</v>
      </c>
      <c r="B1793" s="417" t="s">
        <v>2623</v>
      </c>
      <c r="C1793" s="417" t="s">
        <v>5987</v>
      </c>
      <c r="D1793" s="417" t="s">
        <v>563</v>
      </c>
      <c r="E1793" s="423">
        <v>7.6510437700768152</v>
      </c>
      <c r="F1793" s="423">
        <v>7.2823489486908023E-3</v>
      </c>
      <c r="G1793" s="422">
        <v>8265.9704561649833</v>
      </c>
      <c r="H1793" s="417" t="s">
        <v>2616</v>
      </c>
      <c r="I1793" s="417" t="s">
        <v>1392</v>
      </c>
      <c r="J1793" s="417" t="s">
        <v>4364</v>
      </c>
      <c r="K1793" s="417" t="s">
        <v>5988</v>
      </c>
      <c r="L1793" s="417"/>
      <c r="M1793" s="417" t="s">
        <v>28840</v>
      </c>
    </row>
    <row r="1794" spans="1:13" x14ac:dyDescent="0.25">
      <c r="A1794" s="417" t="s">
        <v>3385</v>
      </c>
      <c r="B1794" s="417" t="s">
        <v>2623</v>
      </c>
      <c r="C1794" s="417" t="s">
        <v>5989</v>
      </c>
      <c r="D1794" s="417" t="s">
        <v>88</v>
      </c>
      <c r="E1794" s="423">
        <v>8.1342207763771532E-2</v>
      </c>
      <c r="F1794" s="423">
        <v>4.5586793380323369E-3</v>
      </c>
      <c r="G1794" s="422">
        <v>135.3575175647143</v>
      </c>
      <c r="H1794" s="417" t="s">
        <v>2616</v>
      </c>
      <c r="I1794" s="417" t="s">
        <v>1392</v>
      </c>
      <c r="J1794" s="417" t="s">
        <v>5990</v>
      </c>
      <c r="K1794" s="417" t="s">
        <v>5991</v>
      </c>
      <c r="L1794" s="417"/>
      <c r="M1794" s="417" t="s">
        <v>28840</v>
      </c>
    </row>
    <row r="1795" spans="1:13" x14ac:dyDescent="0.25">
      <c r="A1795" s="417" t="s">
        <v>3385</v>
      </c>
      <c r="B1795" s="417" t="s">
        <v>2623</v>
      </c>
      <c r="C1795" s="417" t="s">
        <v>5992</v>
      </c>
      <c r="D1795" s="417" t="s">
        <v>88</v>
      </c>
      <c r="E1795" s="423">
        <v>1.6565652174377891E-2</v>
      </c>
      <c r="F1795" s="423">
        <v>7.9445227844978294E-4</v>
      </c>
      <c r="G1795" s="422">
        <v>36.282539380645566</v>
      </c>
      <c r="H1795" s="417" t="s">
        <v>2616</v>
      </c>
      <c r="I1795" s="417" t="s">
        <v>1392</v>
      </c>
      <c r="J1795" s="417" t="s">
        <v>5990</v>
      </c>
      <c r="K1795" s="417" t="s">
        <v>5993</v>
      </c>
      <c r="L1795" s="417"/>
      <c r="M1795" s="417" t="s">
        <v>28840</v>
      </c>
    </row>
    <row r="1796" spans="1:13" x14ac:dyDescent="0.25">
      <c r="A1796" s="417" t="s">
        <v>3385</v>
      </c>
      <c r="B1796" s="417" t="s">
        <v>2623</v>
      </c>
      <c r="C1796" s="417" t="s">
        <v>5994</v>
      </c>
      <c r="D1796" s="417" t="s">
        <v>88</v>
      </c>
      <c r="E1796" s="423">
        <v>2.2008899062633959E-2</v>
      </c>
      <c r="F1796" s="423">
        <v>9.9849069951328897E-4</v>
      </c>
      <c r="G1796" s="422">
        <v>48.267696789181883</v>
      </c>
      <c r="H1796" s="417" t="s">
        <v>2616</v>
      </c>
      <c r="I1796" s="417" t="s">
        <v>1392</v>
      </c>
      <c r="J1796" s="417" t="s">
        <v>5995</v>
      </c>
      <c r="K1796" s="417" t="s">
        <v>5996</v>
      </c>
      <c r="L1796" s="417"/>
      <c r="M1796" s="417" t="s">
        <v>28840</v>
      </c>
    </row>
    <row r="1797" spans="1:13" x14ac:dyDescent="0.25">
      <c r="A1797" s="417" t="s">
        <v>3385</v>
      </c>
      <c r="B1797" s="417" t="s">
        <v>2623</v>
      </c>
      <c r="C1797" s="417" t="s">
        <v>5997</v>
      </c>
      <c r="D1797" s="417" t="s">
        <v>88</v>
      </c>
      <c r="E1797" s="423">
        <v>0.8226790575406806</v>
      </c>
      <c r="F1797" s="423">
        <v>4.9750460184420225E-4</v>
      </c>
      <c r="G1797" s="422">
        <v>873.42900042236477</v>
      </c>
      <c r="H1797" s="417" t="s">
        <v>2616</v>
      </c>
      <c r="I1797" s="417" t="s">
        <v>1392</v>
      </c>
      <c r="J1797" s="417" t="s">
        <v>5990</v>
      </c>
      <c r="K1797" s="417" t="s">
        <v>5998</v>
      </c>
      <c r="L1797" s="417"/>
      <c r="M1797" s="417" t="s">
        <v>28840</v>
      </c>
    </row>
    <row r="1798" spans="1:13" x14ac:dyDescent="0.25">
      <c r="A1798" s="417" t="s">
        <v>3385</v>
      </c>
      <c r="B1798" s="417" t="s">
        <v>2623</v>
      </c>
      <c r="C1798" s="417" t="s">
        <v>5999</v>
      </c>
      <c r="D1798" s="417" t="s">
        <v>88</v>
      </c>
      <c r="E1798" s="423">
        <v>1.393638863129218</v>
      </c>
      <c r="F1798" s="423">
        <v>1.9299436087356939E-3</v>
      </c>
      <c r="G1798" s="422">
        <v>1492.9341123499739</v>
      </c>
      <c r="H1798" s="417" t="s">
        <v>2616</v>
      </c>
      <c r="I1798" s="417" t="s">
        <v>1392</v>
      </c>
      <c r="J1798" s="417" t="s">
        <v>5990</v>
      </c>
      <c r="K1798" s="417" t="s">
        <v>6000</v>
      </c>
      <c r="L1798" s="417"/>
      <c r="M1798" s="417" t="s">
        <v>28840</v>
      </c>
    </row>
    <row r="1799" spans="1:13" x14ac:dyDescent="0.25">
      <c r="A1799" s="417" t="s">
        <v>3385</v>
      </c>
      <c r="B1799" s="417" t="s">
        <v>2623</v>
      </c>
      <c r="C1799" s="417" t="s">
        <v>6001</v>
      </c>
      <c r="D1799" s="417" t="s">
        <v>88</v>
      </c>
      <c r="E1799" s="423">
        <v>2.9195271148913591</v>
      </c>
      <c r="F1799" s="423">
        <v>7.0481300966994311E-3</v>
      </c>
      <c r="G1799" s="422">
        <v>3530.807217709732</v>
      </c>
      <c r="H1799" s="417" t="s">
        <v>2616</v>
      </c>
      <c r="I1799" s="417" t="s">
        <v>1392</v>
      </c>
      <c r="J1799" s="417" t="s">
        <v>6002</v>
      </c>
      <c r="K1799" s="417" t="s">
        <v>6003</v>
      </c>
      <c r="L1799" s="417"/>
      <c r="M1799" s="417" t="s">
        <v>28840</v>
      </c>
    </row>
    <row r="1800" spans="1:13" x14ac:dyDescent="0.25">
      <c r="A1800" s="417" t="s">
        <v>3385</v>
      </c>
      <c r="B1800" s="417" t="s">
        <v>2623</v>
      </c>
      <c r="C1800" s="417" t="s">
        <v>6004</v>
      </c>
      <c r="D1800" s="417" t="s">
        <v>563</v>
      </c>
      <c r="E1800" s="423">
        <v>0.26634851048763758</v>
      </c>
      <c r="F1800" s="423">
        <v>1.1079880131739359E-2</v>
      </c>
      <c r="G1800" s="422">
        <v>898.8504561374823</v>
      </c>
      <c r="H1800" s="417" t="s">
        <v>2616</v>
      </c>
      <c r="I1800" s="417" t="s">
        <v>1392</v>
      </c>
      <c r="J1800" s="417" t="s">
        <v>4364</v>
      </c>
      <c r="K1800" s="417" t="s">
        <v>6005</v>
      </c>
      <c r="L1800" s="417"/>
      <c r="M1800" s="417" t="s">
        <v>28840</v>
      </c>
    </row>
    <row r="1801" spans="1:13" x14ac:dyDescent="0.25">
      <c r="A1801" s="417" t="s">
        <v>3385</v>
      </c>
      <c r="B1801" s="417" t="s">
        <v>2623</v>
      </c>
      <c r="C1801" s="417" t="s">
        <v>6006</v>
      </c>
      <c r="D1801" s="417" t="s">
        <v>88</v>
      </c>
      <c r="E1801" s="423">
        <v>3.4757888491596649E-3</v>
      </c>
      <c r="F1801" s="423">
        <v>1.504662502038793E-4</v>
      </c>
      <c r="G1801" s="422">
        <v>7700.4926565844808</v>
      </c>
      <c r="H1801" s="417" t="s">
        <v>2616</v>
      </c>
      <c r="I1801" s="417" t="s">
        <v>1392</v>
      </c>
      <c r="J1801" s="417" t="s">
        <v>6007</v>
      </c>
      <c r="K1801" s="417" t="s">
        <v>6008</v>
      </c>
      <c r="L1801" s="417"/>
      <c r="M1801" s="417" t="s">
        <v>28840</v>
      </c>
    </row>
    <row r="1802" spans="1:13" x14ac:dyDescent="0.25">
      <c r="A1802" s="417" t="s">
        <v>3385</v>
      </c>
      <c r="B1802" s="417" t="s">
        <v>2623</v>
      </c>
      <c r="C1802" s="417" t="s">
        <v>6009</v>
      </c>
      <c r="D1802" s="417" t="s">
        <v>88</v>
      </c>
      <c r="E1802" s="423">
        <v>6.8578140849771277E-2</v>
      </c>
      <c r="F1802" s="423">
        <v>4.7135238740434703E-2</v>
      </c>
      <c r="G1802" s="422">
        <v>165.93203705641909</v>
      </c>
      <c r="H1802" s="417" t="s">
        <v>2616</v>
      </c>
      <c r="I1802" s="417" t="s">
        <v>1392</v>
      </c>
      <c r="J1802" s="417" t="s">
        <v>6010</v>
      </c>
      <c r="K1802" s="417" t="s">
        <v>6011</v>
      </c>
      <c r="L1802" s="417"/>
      <c r="M1802" s="417" t="s">
        <v>28840</v>
      </c>
    </row>
    <row r="1803" spans="1:13" x14ac:dyDescent="0.25">
      <c r="A1803" s="417" t="s">
        <v>3385</v>
      </c>
      <c r="B1803" s="417" t="s">
        <v>2623</v>
      </c>
      <c r="C1803" s="417" t="s">
        <v>6012</v>
      </c>
      <c r="D1803" s="417" t="s">
        <v>88</v>
      </c>
      <c r="E1803" s="423">
        <v>1.972930831776069E-2</v>
      </c>
      <c r="F1803" s="423">
        <v>2.1410921873272191E-3</v>
      </c>
      <c r="G1803" s="422">
        <v>76.624925171697953</v>
      </c>
      <c r="H1803" s="417" t="s">
        <v>2616</v>
      </c>
      <c r="I1803" s="417" t="s">
        <v>1392</v>
      </c>
      <c r="J1803" s="417" t="s">
        <v>5995</v>
      </c>
      <c r="K1803" s="417" t="s">
        <v>6013</v>
      </c>
      <c r="L1803" s="417"/>
      <c r="M1803" s="417" t="s">
        <v>28840</v>
      </c>
    </row>
    <row r="1804" spans="1:13" x14ac:dyDescent="0.25">
      <c r="A1804" s="417" t="s">
        <v>3385</v>
      </c>
      <c r="B1804" s="417" t="s">
        <v>2623</v>
      </c>
      <c r="C1804" s="417" t="s">
        <v>6014</v>
      </c>
      <c r="D1804" s="417" t="s">
        <v>88</v>
      </c>
      <c r="E1804" s="423">
        <v>0.30107016803524911</v>
      </c>
      <c r="F1804" s="423">
        <v>1.8686512118715019E-2</v>
      </c>
      <c r="G1804" s="422">
        <v>425.55804007319421</v>
      </c>
      <c r="H1804" s="417" t="s">
        <v>2616</v>
      </c>
      <c r="I1804" s="417" t="s">
        <v>1392</v>
      </c>
      <c r="J1804" s="417" t="s">
        <v>6015</v>
      </c>
      <c r="K1804" s="417" t="s">
        <v>6016</v>
      </c>
      <c r="L1804" s="417"/>
      <c r="M1804" s="417" t="s">
        <v>28840</v>
      </c>
    </row>
    <row r="1805" spans="1:13" x14ac:dyDescent="0.25">
      <c r="A1805" s="417" t="s">
        <v>3385</v>
      </c>
      <c r="B1805" s="417" t="s">
        <v>2623</v>
      </c>
      <c r="C1805" s="417" t="s">
        <v>6017</v>
      </c>
      <c r="D1805" s="417" t="s">
        <v>88</v>
      </c>
      <c r="E1805" s="423">
        <v>1.0633757112191789E-2</v>
      </c>
      <c r="F1805" s="423">
        <v>3.4574117200529011E-4</v>
      </c>
      <c r="G1805" s="422">
        <v>300.43821316039231</v>
      </c>
      <c r="H1805" s="417" t="s">
        <v>2616</v>
      </c>
      <c r="I1805" s="417" t="s">
        <v>1392</v>
      </c>
      <c r="J1805" s="417" t="s">
        <v>6015</v>
      </c>
      <c r="K1805" s="417" t="s">
        <v>6018</v>
      </c>
      <c r="L1805" s="417"/>
      <c r="M1805" s="417" t="s">
        <v>28840</v>
      </c>
    </row>
    <row r="1806" spans="1:13" x14ac:dyDescent="0.25">
      <c r="A1806" s="417" t="s">
        <v>3385</v>
      </c>
      <c r="B1806" s="417" t="s">
        <v>2623</v>
      </c>
      <c r="C1806" s="417" t="s">
        <v>6019</v>
      </c>
      <c r="D1806" s="417" t="s">
        <v>88</v>
      </c>
      <c r="E1806" s="423">
        <v>3.4757888491596649E-3</v>
      </c>
      <c r="F1806" s="423">
        <v>1.504662502038793E-4</v>
      </c>
      <c r="G1806" s="422">
        <v>2632.500956584483</v>
      </c>
      <c r="H1806" s="417" t="s">
        <v>2616</v>
      </c>
      <c r="I1806" s="417" t="s">
        <v>1392</v>
      </c>
      <c r="J1806" s="417" t="s">
        <v>6007</v>
      </c>
      <c r="K1806" s="417" t="s">
        <v>6020</v>
      </c>
      <c r="L1806" s="417"/>
      <c r="M1806" s="417" t="s">
        <v>28840</v>
      </c>
    </row>
    <row r="1807" spans="1:13" x14ac:dyDescent="0.25">
      <c r="A1807" s="417" t="s">
        <v>3385</v>
      </c>
      <c r="B1807" s="417" t="s">
        <v>2623</v>
      </c>
      <c r="C1807" s="417" t="s">
        <v>6021</v>
      </c>
      <c r="D1807" s="417" t="s">
        <v>88</v>
      </c>
      <c r="E1807" s="423">
        <v>5.4318702663372069E-2</v>
      </c>
      <c r="F1807" s="423">
        <v>4.6182388429648773E-2</v>
      </c>
      <c r="G1807" s="422">
        <v>137.2165903904355</v>
      </c>
      <c r="H1807" s="417" t="s">
        <v>2616</v>
      </c>
      <c r="I1807" s="417" t="s">
        <v>1392</v>
      </c>
      <c r="J1807" s="417" t="s">
        <v>6010</v>
      </c>
      <c r="K1807" s="417" t="s">
        <v>6022</v>
      </c>
      <c r="L1807" s="417"/>
      <c r="M1807" s="417" t="s">
        <v>28840</v>
      </c>
    </row>
    <row r="1808" spans="1:13" x14ac:dyDescent="0.25">
      <c r="A1808" s="417" t="s">
        <v>3385</v>
      </c>
      <c r="B1808" s="417" t="s">
        <v>2623</v>
      </c>
      <c r="C1808" s="417" t="s">
        <v>6023</v>
      </c>
      <c r="D1808" s="417" t="s">
        <v>88</v>
      </c>
      <c r="E1808" s="423">
        <v>1.9748227724828191E-2</v>
      </c>
      <c r="F1808" s="423">
        <v>2.1373757796838422E-3</v>
      </c>
      <c r="G1808" s="422">
        <v>71.228310726587821</v>
      </c>
      <c r="H1808" s="417" t="s">
        <v>2616</v>
      </c>
      <c r="I1808" s="417" t="s">
        <v>1392</v>
      </c>
      <c r="J1808" s="417" t="s">
        <v>5995</v>
      </c>
      <c r="K1808" s="417" t="s">
        <v>6024</v>
      </c>
      <c r="L1808" s="417"/>
      <c r="M1808" s="417" t="s">
        <v>28840</v>
      </c>
    </row>
    <row r="1809" spans="1:13" x14ac:dyDescent="0.25">
      <c r="A1809" s="417" t="s">
        <v>3385</v>
      </c>
      <c r="B1809" s="417" t="s">
        <v>2623</v>
      </c>
      <c r="C1809" s="417" t="s">
        <v>6025</v>
      </c>
      <c r="D1809" s="417" t="s">
        <v>88</v>
      </c>
      <c r="E1809" s="423">
        <v>3.4757888491596649E-3</v>
      </c>
      <c r="F1809" s="423">
        <v>1.504662502038793E-4</v>
      </c>
      <c r="G1809" s="422">
        <v>98.429956584482298</v>
      </c>
      <c r="H1809" s="417" t="s">
        <v>2616</v>
      </c>
      <c r="I1809" s="417" t="s">
        <v>1392</v>
      </c>
      <c r="J1809" s="417" t="s">
        <v>6007</v>
      </c>
      <c r="K1809" s="417" t="s">
        <v>6026</v>
      </c>
      <c r="L1809" s="417"/>
      <c r="M1809" s="417" t="s">
        <v>28840</v>
      </c>
    </row>
    <row r="1810" spans="1:13" x14ac:dyDescent="0.25">
      <c r="A1810" s="417" t="s">
        <v>3385</v>
      </c>
      <c r="B1810" s="417" t="s">
        <v>2623</v>
      </c>
      <c r="C1810" s="417" t="s">
        <v>6027</v>
      </c>
      <c r="D1810" s="417" t="s">
        <v>88</v>
      </c>
      <c r="E1810" s="423">
        <v>6.633136661569318E-2</v>
      </c>
      <c r="F1810" s="423">
        <v>0.54212594391334201</v>
      </c>
      <c r="G1810" s="422">
        <v>143.68293613071799</v>
      </c>
      <c r="H1810" s="417" t="s">
        <v>2616</v>
      </c>
      <c r="I1810" s="417" t="s">
        <v>1392</v>
      </c>
      <c r="J1810" s="417" t="s">
        <v>6010</v>
      </c>
      <c r="K1810" s="417" t="s">
        <v>6028</v>
      </c>
      <c r="L1810" s="417"/>
      <c r="M1810" s="417" t="s">
        <v>28840</v>
      </c>
    </row>
    <row r="1811" spans="1:13" x14ac:dyDescent="0.25">
      <c r="A1811" s="417" t="s">
        <v>3385</v>
      </c>
      <c r="B1811" s="417" t="s">
        <v>2623</v>
      </c>
      <c r="C1811" s="417" t="s">
        <v>6029</v>
      </c>
      <c r="D1811" s="417" t="s">
        <v>88</v>
      </c>
      <c r="E1811" s="423">
        <v>9.05128234194678E-2</v>
      </c>
      <c r="F1811" s="423">
        <v>1.9811225306438231E-2</v>
      </c>
      <c r="G1811" s="422">
        <v>473.40528679806778</v>
      </c>
      <c r="H1811" s="417" t="s">
        <v>2616</v>
      </c>
      <c r="I1811" s="417" t="s">
        <v>1392</v>
      </c>
      <c r="J1811" s="417" t="s">
        <v>5995</v>
      </c>
      <c r="K1811" s="417" t="s">
        <v>6030</v>
      </c>
      <c r="L1811" s="417"/>
      <c r="M1811" s="417" t="s">
        <v>28840</v>
      </c>
    </row>
    <row r="1812" spans="1:13" x14ac:dyDescent="0.25">
      <c r="A1812" s="417" t="s">
        <v>3385</v>
      </c>
      <c r="B1812" s="417" t="s">
        <v>2623</v>
      </c>
      <c r="C1812" s="417" t="s">
        <v>6031</v>
      </c>
      <c r="D1812" s="417" t="s">
        <v>88</v>
      </c>
      <c r="E1812" s="423">
        <v>3.4757888491596649E-3</v>
      </c>
      <c r="F1812" s="423">
        <v>1.504662502038793E-4</v>
      </c>
      <c r="G1812" s="422">
        <v>2677.248956584483</v>
      </c>
      <c r="H1812" s="417" t="s">
        <v>2616</v>
      </c>
      <c r="I1812" s="417" t="s">
        <v>1392</v>
      </c>
      <c r="J1812" s="417" t="s">
        <v>6007</v>
      </c>
      <c r="K1812" s="417" t="s">
        <v>6032</v>
      </c>
      <c r="L1812" s="417"/>
      <c r="M1812" s="417" t="s">
        <v>28840</v>
      </c>
    </row>
    <row r="1813" spans="1:13" x14ac:dyDescent="0.25">
      <c r="A1813" s="417" t="s">
        <v>3385</v>
      </c>
      <c r="B1813" s="417" t="s">
        <v>2623</v>
      </c>
      <c r="C1813" s="417" t="s">
        <v>6033</v>
      </c>
      <c r="D1813" s="417" t="s">
        <v>88</v>
      </c>
      <c r="E1813" s="423">
        <v>8.120620937823432E-2</v>
      </c>
      <c r="F1813" s="423">
        <v>4.7892366205940451E-2</v>
      </c>
      <c r="G1813" s="422">
        <v>188.22053013703271</v>
      </c>
      <c r="H1813" s="417" t="s">
        <v>2616</v>
      </c>
      <c r="I1813" s="417" t="s">
        <v>1392</v>
      </c>
      <c r="J1813" s="417" t="s">
        <v>6010</v>
      </c>
      <c r="K1813" s="417" t="s">
        <v>6034</v>
      </c>
      <c r="L1813" s="417"/>
      <c r="M1813" s="417" t="s">
        <v>28840</v>
      </c>
    </row>
    <row r="1814" spans="1:13" x14ac:dyDescent="0.25">
      <c r="A1814" s="417" t="s">
        <v>3385</v>
      </c>
      <c r="B1814" s="417" t="s">
        <v>2623</v>
      </c>
      <c r="C1814" s="417" t="s">
        <v>6035</v>
      </c>
      <c r="D1814" s="417" t="s">
        <v>88</v>
      </c>
      <c r="E1814" s="423">
        <v>2.1590875241289342E-2</v>
      </c>
      <c r="F1814" s="423">
        <v>2.311643119951971E-3</v>
      </c>
      <c r="G1814" s="422">
        <v>182.60190341107759</v>
      </c>
      <c r="H1814" s="417" t="s">
        <v>2616</v>
      </c>
      <c r="I1814" s="417" t="s">
        <v>1392</v>
      </c>
      <c r="J1814" s="417" t="s">
        <v>5995</v>
      </c>
      <c r="K1814" s="417" t="s">
        <v>6036</v>
      </c>
      <c r="L1814" s="417"/>
      <c r="M1814" s="417" t="s">
        <v>28840</v>
      </c>
    </row>
    <row r="1815" spans="1:13" x14ac:dyDescent="0.25">
      <c r="A1815" s="417" t="s">
        <v>3385</v>
      </c>
      <c r="B1815" s="417" t="s">
        <v>2623</v>
      </c>
      <c r="C1815" s="417" t="s">
        <v>6037</v>
      </c>
      <c r="D1815" s="417" t="s">
        <v>88</v>
      </c>
      <c r="E1815" s="423">
        <v>3.4757888491596649E-3</v>
      </c>
      <c r="F1815" s="423">
        <v>1.504662502038793E-4</v>
      </c>
      <c r="G1815" s="422">
        <v>7445.1694665844807</v>
      </c>
      <c r="H1815" s="417" t="s">
        <v>2616</v>
      </c>
      <c r="I1815" s="417" t="s">
        <v>1392</v>
      </c>
      <c r="J1815" s="417" t="s">
        <v>6007</v>
      </c>
      <c r="K1815" s="417" t="s">
        <v>6038</v>
      </c>
      <c r="L1815" s="417"/>
      <c r="M1815" s="417" t="s">
        <v>28840</v>
      </c>
    </row>
    <row r="1816" spans="1:13" x14ac:dyDescent="0.25">
      <c r="A1816" s="417" t="s">
        <v>3385</v>
      </c>
      <c r="B1816" s="417" t="s">
        <v>2623</v>
      </c>
      <c r="C1816" s="417" t="s">
        <v>6039</v>
      </c>
      <c r="D1816" s="417" t="s">
        <v>88</v>
      </c>
      <c r="E1816" s="423">
        <v>9.3566366638917514E-2</v>
      </c>
      <c r="F1816" s="423">
        <v>4.8616605639453393E-2</v>
      </c>
      <c r="G1816" s="422">
        <v>199.3950853054954</v>
      </c>
      <c r="H1816" s="417" t="s">
        <v>2616</v>
      </c>
      <c r="I1816" s="417" t="s">
        <v>1392</v>
      </c>
      <c r="J1816" s="417" t="s">
        <v>6010</v>
      </c>
      <c r="K1816" s="417" t="s">
        <v>6040</v>
      </c>
      <c r="L1816" s="417"/>
      <c r="M1816" s="417" t="s">
        <v>28840</v>
      </c>
    </row>
    <row r="1817" spans="1:13" x14ac:dyDescent="0.25">
      <c r="A1817" s="417" t="s">
        <v>3385</v>
      </c>
      <c r="B1817" s="417" t="s">
        <v>2623</v>
      </c>
      <c r="C1817" s="417" t="s">
        <v>6041</v>
      </c>
      <c r="D1817" s="417" t="s">
        <v>88</v>
      </c>
      <c r="E1817" s="423">
        <v>2.1037344944542031E-2</v>
      </c>
      <c r="F1817" s="423">
        <v>2.2625825681621952E-3</v>
      </c>
      <c r="G1817" s="422">
        <v>153.25691477191711</v>
      </c>
      <c r="H1817" s="417" t="s">
        <v>2616</v>
      </c>
      <c r="I1817" s="417" t="s">
        <v>1392</v>
      </c>
      <c r="J1817" s="417" t="s">
        <v>5995</v>
      </c>
      <c r="K1817" s="417" t="s">
        <v>6042</v>
      </c>
      <c r="L1817" s="417"/>
      <c r="M1817" s="417" t="s">
        <v>28840</v>
      </c>
    </row>
    <row r="1818" spans="1:13" x14ac:dyDescent="0.25">
      <c r="A1818" s="417" t="s">
        <v>3385</v>
      </c>
      <c r="B1818" s="417" t="s">
        <v>2623</v>
      </c>
      <c r="C1818" s="417" t="s">
        <v>6043</v>
      </c>
      <c r="D1818" s="417" t="s">
        <v>88</v>
      </c>
      <c r="E1818" s="423">
        <v>2.4790904171775541E-2</v>
      </c>
      <c r="F1818" s="423">
        <v>9.4463458617979803E-4</v>
      </c>
      <c r="G1818" s="422">
        <v>153.3363325351049</v>
      </c>
      <c r="H1818" s="417" t="s">
        <v>2616</v>
      </c>
      <c r="I1818" s="417" t="s">
        <v>1392</v>
      </c>
      <c r="J1818" s="417" t="s">
        <v>4364</v>
      </c>
      <c r="K1818" s="417" t="s">
        <v>6044</v>
      </c>
      <c r="L1818" s="417"/>
      <c r="M1818" s="417" t="s">
        <v>28840</v>
      </c>
    </row>
    <row r="1819" spans="1:13" x14ac:dyDescent="0.25">
      <c r="A1819" s="417" t="s">
        <v>3385</v>
      </c>
      <c r="B1819" s="417" t="s">
        <v>2623</v>
      </c>
      <c r="C1819" s="417" t="s">
        <v>6045</v>
      </c>
      <c r="D1819" s="417" t="s">
        <v>88</v>
      </c>
      <c r="E1819" s="423">
        <v>1.9263870652636961E-2</v>
      </c>
      <c r="F1819" s="423">
        <v>5.6096359471939747E-4</v>
      </c>
      <c r="G1819" s="422">
        <v>142.99940917499961</v>
      </c>
      <c r="H1819" s="417" t="s">
        <v>2616</v>
      </c>
      <c r="I1819" s="417" t="s">
        <v>1392</v>
      </c>
      <c r="J1819" s="417" t="s">
        <v>5995</v>
      </c>
      <c r="K1819" s="417" t="s">
        <v>6046</v>
      </c>
      <c r="L1819" s="417"/>
      <c r="M1819" s="417" t="s">
        <v>28840</v>
      </c>
    </row>
    <row r="1820" spans="1:13" x14ac:dyDescent="0.25">
      <c r="A1820" s="417" t="s">
        <v>3385</v>
      </c>
      <c r="B1820" s="417" t="s">
        <v>2623</v>
      </c>
      <c r="C1820" s="417" t="s">
        <v>6047</v>
      </c>
      <c r="D1820" s="417" t="s">
        <v>88</v>
      </c>
      <c r="E1820" s="423">
        <v>0.30107017484720727</v>
      </c>
      <c r="F1820" s="423">
        <v>1.868651296235917E-2</v>
      </c>
      <c r="G1820" s="422">
        <v>2359.2672222152528</v>
      </c>
      <c r="H1820" s="417" t="s">
        <v>2616</v>
      </c>
      <c r="I1820" s="417" t="s">
        <v>1392</v>
      </c>
      <c r="J1820" s="417" t="s">
        <v>6015</v>
      </c>
      <c r="K1820" s="417" t="s">
        <v>6048</v>
      </c>
      <c r="L1820" s="417"/>
      <c r="M1820" s="417" t="s">
        <v>28840</v>
      </c>
    </row>
    <row r="1821" spans="1:13" x14ac:dyDescent="0.25">
      <c r="A1821" s="417" t="s">
        <v>3385</v>
      </c>
      <c r="B1821" s="417" t="s">
        <v>2623</v>
      </c>
      <c r="C1821" s="417" t="s">
        <v>6049</v>
      </c>
      <c r="D1821" s="417" t="s">
        <v>88</v>
      </c>
      <c r="E1821" s="423">
        <v>4.6912638183808251E-3</v>
      </c>
      <c r="F1821" s="423">
        <v>0.36587253712884837</v>
      </c>
      <c r="G1821" s="422">
        <v>14.193159679948041</v>
      </c>
      <c r="H1821" s="417" t="s">
        <v>2616</v>
      </c>
      <c r="I1821" s="417" t="s">
        <v>1392</v>
      </c>
      <c r="J1821" s="417" t="s">
        <v>4364</v>
      </c>
      <c r="K1821" s="417" t="s">
        <v>6050</v>
      </c>
      <c r="L1821" s="417"/>
      <c r="M1821" s="417" t="s">
        <v>28840</v>
      </c>
    </row>
    <row r="1822" spans="1:13" x14ac:dyDescent="0.25">
      <c r="A1822" s="417" t="s">
        <v>3385</v>
      </c>
      <c r="B1822" s="417" t="s">
        <v>2623</v>
      </c>
      <c r="C1822" s="417" t="s">
        <v>6051</v>
      </c>
      <c r="D1822" s="417" t="s">
        <v>88</v>
      </c>
      <c r="E1822" s="423">
        <v>0.30107016774810968</v>
      </c>
      <c r="F1822" s="423">
        <v>1.8686512288138848E-2</v>
      </c>
      <c r="G1822" s="422">
        <v>2771.367583772701</v>
      </c>
      <c r="H1822" s="417" t="s">
        <v>2616</v>
      </c>
      <c r="I1822" s="417" t="s">
        <v>1392</v>
      </c>
      <c r="J1822" s="417" t="s">
        <v>6052</v>
      </c>
      <c r="K1822" s="417" t="s">
        <v>6053</v>
      </c>
      <c r="L1822" s="417"/>
      <c r="M1822" s="417" t="s">
        <v>28840</v>
      </c>
    </row>
    <row r="1823" spans="1:13" x14ac:dyDescent="0.25">
      <c r="A1823" s="417" t="s">
        <v>3385</v>
      </c>
      <c r="B1823" s="417" t="s">
        <v>2623</v>
      </c>
      <c r="C1823" s="417" t="s">
        <v>6054</v>
      </c>
      <c r="D1823" s="417" t="s">
        <v>563</v>
      </c>
      <c r="E1823" s="423">
        <v>9.3426591377344099</v>
      </c>
      <c r="F1823" s="423">
        <v>0.36172983062700947</v>
      </c>
      <c r="G1823" s="422">
        <v>25924.88339493487</v>
      </c>
      <c r="H1823" s="417" t="s">
        <v>2616</v>
      </c>
      <c r="I1823" s="417" t="s">
        <v>1392</v>
      </c>
      <c r="J1823" s="417" t="s">
        <v>4364</v>
      </c>
      <c r="K1823" s="417" t="s">
        <v>6055</v>
      </c>
      <c r="L1823" s="417"/>
      <c r="M1823" s="417" t="s">
        <v>28840</v>
      </c>
    </row>
    <row r="1824" spans="1:13" x14ac:dyDescent="0.25">
      <c r="A1824" s="417" t="s">
        <v>3385</v>
      </c>
      <c r="B1824" s="417" t="s">
        <v>2627</v>
      </c>
      <c r="C1824" s="417" t="s">
        <v>6056</v>
      </c>
      <c r="D1824" s="417" t="s">
        <v>563</v>
      </c>
      <c r="E1824" s="423">
        <v>9.9387352321501989</v>
      </c>
      <c r="F1824" s="423">
        <v>0.38588306278258983</v>
      </c>
      <c r="G1824" s="422">
        <v>27934.015712853019</v>
      </c>
      <c r="H1824" s="417" t="s">
        <v>2616</v>
      </c>
      <c r="I1824" s="417" t="s">
        <v>1392</v>
      </c>
      <c r="J1824" s="417" t="s">
        <v>4138</v>
      </c>
      <c r="K1824" s="417" t="s">
        <v>6057</v>
      </c>
      <c r="L1824" s="417"/>
      <c r="M1824" s="417" t="s">
        <v>28840</v>
      </c>
    </row>
    <row r="1825" spans="1:13" x14ac:dyDescent="0.25">
      <c r="A1825" s="417" t="s">
        <v>3385</v>
      </c>
      <c r="B1825" s="417" t="s">
        <v>2627</v>
      </c>
      <c r="C1825" s="417" t="s">
        <v>6058</v>
      </c>
      <c r="D1825" s="417" t="s">
        <v>563</v>
      </c>
      <c r="E1825" s="423">
        <v>8.4784386079470977</v>
      </c>
      <c r="F1825" s="423">
        <v>0.32918533206393152</v>
      </c>
      <c r="G1825" s="422">
        <v>23829.675688676311</v>
      </c>
      <c r="H1825" s="417" t="s">
        <v>2616</v>
      </c>
      <c r="I1825" s="417" t="s">
        <v>1392</v>
      </c>
      <c r="J1825" s="417" t="s">
        <v>4138</v>
      </c>
      <c r="K1825" s="417" t="s">
        <v>6059</v>
      </c>
      <c r="L1825" s="417"/>
      <c r="M1825" s="417" t="s">
        <v>28840</v>
      </c>
    </row>
    <row r="1826" spans="1:13" x14ac:dyDescent="0.25">
      <c r="A1826" s="417" t="s">
        <v>3385</v>
      </c>
      <c r="B1826" s="417" t="s">
        <v>2627</v>
      </c>
      <c r="C1826" s="417" t="s">
        <v>6060</v>
      </c>
      <c r="D1826" s="417" t="s">
        <v>563</v>
      </c>
      <c r="E1826" s="423">
        <v>9.3533711268446211</v>
      </c>
      <c r="F1826" s="423">
        <v>0.36315561421838721</v>
      </c>
      <c r="G1826" s="422">
        <v>26288.77919738631</v>
      </c>
      <c r="H1826" s="417" t="s">
        <v>2616</v>
      </c>
      <c r="I1826" s="417" t="s">
        <v>1392</v>
      </c>
      <c r="J1826" s="417" t="s">
        <v>4138</v>
      </c>
      <c r="K1826" s="417" t="s">
        <v>6061</v>
      </c>
      <c r="L1826" s="417"/>
      <c r="M1826" s="417" t="s">
        <v>28840</v>
      </c>
    </row>
    <row r="1827" spans="1:13" x14ac:dyDescent="0.25">
      <c r="A1827" s="417" t="s">
        <v>3385</v>
      </c>
      <c r="B1827" s="417" t="s">
        <v>2627</v>
      </c>
      <c r="C1827" s="417" t="s">
        <v>6062</v>
      </c>
      <c r="D1827" s="417" t="s">
        <v>563</v>
      </c>
      <c r="E1827" s="423">
        <v>10.222076367875079</v>
      </c>
      <c r="F1827" s="423">
        <v>0.39688411500779658</v>
      </c>
      <c r="G1827" s="422">
        <v>28730.380189952881</v>
      </c>
      <c r="H1827" s="417" t="s">
        <v>2616</v>
      </c>
      <c r="I1827" s="417" t="s">
        <v>1392</v>
      </c>
      <c r="J1827" s="417" t="s">
        <v>4138</v>
      </c>
      <c r="K1827" s="417" t="s">
        <v>6063</v>
      </c>
      <c r="L1827" s="417"/>
      <c r="M1827" s="417" t="s">
        <v>28840</v>
      </c>
    </row>
    <row r="1828" spans="1:13" x14ac:dyDescent="0.25">
      <c r="A1828" s="417" t="s">
        <v>3385</v>
      </c>
      <c r="B1828" s="417" t="s">
        <v>2627</v>
      </c>
      <c r="C1828" s="417" t="s">
        <v>6064</v>
      </c>
      <c r="D1828" s="417" t="s">
        <v>563</v>
      </c>
      <c r="E1828" s="423">
        <v>9.4982176063281045</v>
      </c>
      <c r="F1828" s="423">
        <v>0.3687794488307139</v>
      </c>
      <c r="G1828" s="422">
        <v>26695.887719963601</v>
      </c>
      <c r="H1828" s="417" t="s">
        <v>2616</v>
      </c>
      <c r="I1828" s="417" t="s">
        <v>1392</v>
      </c>
      <c r="J1828" s="417" t="s">
        <v>4138</v>
      </c>
      <c r="K1828" s="417" t="s">
        <v>6065</v>
      </c>
      <c r="L1828" s="417"/>
      <c r="M1828" s="417" t="s">
        <v>28840</v>
      </c>
    </row>
    <row r="1829" spans="1:13" x14ac:dyDescent="0.25">
      <c r="A1829" s="417" t="s">
        <v>3385</v>
      </c>
      <c r="B1829" s="417" t="s">
        <v>2623</v>
      </c>
      <c r="C1829" s="417" t="s">
        <v>6066</v>
      </c>
      <c r="D1829" s="417" t="s">
        <v>563</v>
      </c>
      <c r="E1829" s="423">
        <v>13.96747944539745</v>
      </c>
      <c r="F1829" s="423">
        <v>2.6173513819379748</v>
      </c>
      <c r="G1829" s="422">
        <v>38326.240634023772</v>
      </c>
      <c r="H1829" s="417" t="s">
        <v>2616</v>
      </c>
      <c r="I1829" s="417" t="s">
        <v>1392</v>
      </c>
      <c r="J1829" s="417" t="s">
        <v>4364</v>
      </c>
      <c r="K1829" s="417" t="s">
        <v>6067</v>
      </c>
      <c r="L1829" s="417"/>
      <c r="M1829" s="417" t="s">
        <v>28840</v>
      </c>
    </row>
    <row r="1830" spans="1:13" x14ac:dyDescent="0.25">
      <c r="A1830" s="417" t="s">
        <v>3385</v>
      </c>
      <c r="B1830" s="417" t="s">
        <v>2627</v>
      </c>
      <c r="C1830" s="417" t="s">
        <v>6068</v>
      </c>
      <c r="D1830" s="417" t="s">
        <v>563</v>
      </c>
      <c r="E1830" s="423">
        <v>16.838853775027779</v>
      </c>
      <c r="F1830" s="423">
        <v>4.7952373199035154</v>
      </c>
      <c r="G1830" s="422">
        <v>46439.312943411249</v>
      </c>
      <c r="H1830" s="417" t="s">
        <v>2616</v>
      </c>
      <c r="I1830" s="417" t="s">
        <v>1392</v>
      </c>
      <c r="J1830" s="417" t="s">
        <v>4138</v>
      </c>
      <c r="K1830" s="417" t="s">
        <v>6069</v>
      </c>
      <c r="L1830" s="417"/>
      <c r="M1830" s="417" t="s">
        <v>28840</v>
      </c>
    </row>
    <row r="1831" spans="1:13" x14ac:dyDescent="0.25">
      <c r="A1831" s="417" t="s">
        <v>3385</v>
      </c>
      <c r="B1831" s="417" t="s">
        <v>2627</v>
      </c>
      <c r="C1831" s="417" t="s">
        <v>6070</v>
      </c>
      <c r="D1831" s="417" t="s">
        <v>563</v>
      </c>
      <c r="E1831" s="423">
        <v>11.121917997635981</v>
      </c>
      <c r="F1831" s="423">
        <v>0.43182152263393059</v>
      </c>
      <c r="G1831" s="422">
        <v>31259.493769599969</v>
      </c>
      <c r="H1831" s="417" t="s">
        <v>2616</v>
      </c>
      <c r="I1831" s="417" t="s">
        <v>1392</v>
      </c>
      <c r="J1831" s="417" t="s">
        <v>4138</v>
      </c>
      <c r="K1831" s="417" t="s">
        <v>6071</v>
      </c>
      <c r="L1831" s="417"/>
      <c r="M1831" s="417" t="s">
        <v>28840</v>
      </c>
    </row>
    <row r="1832" spans="1:13" x14ac:dyDescent="0.25">
      <c r="A1832" s="417" t="s">
        <v>3385</v>
      </c>
      <c r="B1832" s="417" t="s">
        <v>2627</v>
      </c>
      <c r="C1832" s="417" t="s">
        <v>6072</v>
      </c>
      <c r="D1832" s="417" t="s">
        <v>563</v>
      </c>
      <c r="E1832" s="423">
        <v>9.0575754353650577</v>
      </c>
      <c r="F1832" s="423">
        <v>0.35167099925723139</v>
      </c>
      <c r="G1832" s="422">
        <v>25457.409681535599</v>
      </c>
      <c r="H1832" s="417" t="s">
        <v>2616</v>
      </c>
      <c r="I1832" s="417" t="s">
        <v>1392</v>
      </c>
      <c r="J1832" s="417" t="s">
        <v>4138</v>
      </c>
      <c r="K1832" s="417" t="s">
        <v>6073</v>
      </c>
      <c r="L1832" s="417"/>
      <c r="M1832" s="417" t="s">
        <v>28840</v>
      </c>
    </row>
    <row r="1833" spans="1:13" x14ac:dyDescent="0.25">
      <c r="A1833" s="417" t="s">
        <v>3385</v>
      </c>
      <c r="B1833" s="417" t="s">
        <v>2627</v>
      </c>
      <c r="C1833" s="417" t="s">
        <v>6074</v>
      </c>
      <c r="D1833" s="417" t="s">
        <v>563</v>
      </c>
      <c r="E1833" s="423">
        <v>9.0638027131133114</v>
      </c>
      <c r="F1833" s="423">
        <v>0.35191278062672332</v>
      </c>
      <c r="G1833" s="422">
        <v>25474.912194602421</v>
      </c>
      <c r="H1833" s="417" t="s">
        <v>2616</v>
      </c>
      <c r="I1833" s="417" t="s">
        <v>1392</v>
      </c>
      <c r="J1833" s="417" t="s">
        <v>4138</v>
      </c>
      <c r="K1833" s="417" t="s">
        <v>6075</v>
      </c>
      <c r="L1833" s="417"/>
      <c r="M1833" s="417" t="s">
        <v>28840</v>
      </c>
    </row>
    <row r="1834" spans="1:13" x14ac:dyDescent="0.25">
      <c r="A1834" s="417" t="s">
        <v>3385</v>
      </c>
      <c r="B1834" s="417" t="s">
        <v>2623</v>
      </c>
      <c r="C1834" s="417" t="s">
        <v>6076</v>
      </c>
      <c r="D1834" s="417" t="s">
        <v>563</v>
      </c>
      <c r="E1834" s="423">
        <v>8.0895553257907924</v>
      </c>
      <c r="F1834" s="423">
        <v>0.31321197165915471</v>
      </c>
      <c r="G1834" s="422">
        <v>22447.625956562781</v>
      </c>
      <c r="H1834" s="417" t="s">
        <v>2616</v>
      </c>
      <c r="I1834" s="417" t="s">
        <v>1392</v>
      </c>
      <c r="J1834" s="417" t="s">
        <v>4364</v>
      </c>
      <c r="K1834" s="417" t="s">
        <v>6077</v>
      </c>
      <c r="L1834" s="417"/>
      <c r="M1834" s="417" t="s">
        <v>28840</v>
      </c>
    </row>
    <row r="1835" spans="1:13" x14ac:dyDescent="0.25">
      <c r="A1835" s="417" t="s">
        <v>3385</v>
      </c>
      <c r="B1835" s="417" t="s">
        <v>2627</v>
      </c>
      <c r="C1835" s="417" t="s">
        <v>6078</v>
      </c>
      <c r="D1835" s="417" t="s">
        <v>563</v>
      </c>
      <c r="E1835" s="423">
        <v>9.0606890739705594</v>
      </c>
      <c r="F1835" s="423">
        <v>0.35179188993860883</v>
      </c>
      <c r="G1835" s="422">
        <v>25466.16094393313</v>
      </c>
      <c r="H1835" s="417" t="s">
        <v>2616</v>
      </c>
      <c r="I1835" s="417" t="s">
        <v>1392</v>
      </c>
      <c r="J1835" s="417" t="s">
        <v>4138</v>
      </c>
      <c r="K1835" s="417" t="s">
        <v>6079</v>
      </c>
      <c r="L1835" s="417"/>
      <c r="M1835" s="417" t="s">
        <v>28840</v>
      </c>
    </row>
    <row r="1836" spans="1:13" x14ac:dyDescent="0.25">
      <c r="A1836" s="417" t="s">
        <v>3385</v>
      </c>
      <c r="B1836" s="417" t="s">
        <v>2623</v>
      </c>
      <c r="C1836" s="417" t="s">
        <v>6080</v>
      </c>
      <c r="D1836" s="417" t="s">
        <v>989</v>
      </c>
      <c r="E1836" s="423">
        <v>5.9342160558628754</v>
      </c>
      <c r="F1836" s="423">
        <v>2.41562556696336E-2</v>
      </c>
      <c r="G1836" s="422">
        <v>6575.9532440814746</v>
      </c>
      <c r="H1836" s="417" t="s">
        <v>2616</v>
      </c>
      <c r="I1836" s="417" t="s">
        <v>1392</v>
      </c>
      <c r="J1836" s="417" t="s">
        <v>5983</v>
      </c>
      <c r="K1836" s="417" t="s">
        <v>6081</v>
      </c>
      <c r="L1836" s="417"/>
      <c r="M1836" s="417" t="s">
        <v>28840</v>
      </c>
    </row>
    <row r="1837" spans="1:13" x14ac:dyDescent="0.25">
      <c r="A1837" s="417" t="s">
        <v>3385</v>
      </c>
      <c r="B1837" s="417" t="s">
        <v>2623</v>
      </c>
      <c r="C1837" s="417" t="s">
        <v>6082</v>
      </c>
      <c r="D1837" s="417" t="s">
        <v>88</v>
      </c>
      <c r="E1837" s="423">
        <v>2.350461203855009</v>
      </c>
      <c r="F1837" s="423">
        <v>7.3949885420825966E-3</v>
      </c>
      <c r="G1837" s="422">
        <v>2932.5521527979909</v>
      </c>
      <c r="H1837" s="417" t="s">
        <v>2616</v>
      </c>
      <c r="I1837" s="417" t="s">
        <v>1392</v>
      </c>
      <c r="J1837" s="417" t="s">
        <v>6002</v>
      </c>
      <c r="K1837" s="417" t="s">
        <v>6083</v>
      </c>
      <c r="L1837" s="417"/>
      <c r="M1837" s="417" t="s">
        <v>28840</v>
      </c>
    </row>
    <row r="1838" spans="1:13" x14ac:dyDescent="0.25">
      <c r="A1838" s="417" t="s">
        <v>3385</v>
      </c>
      <c r="B1838" s="417" t="s">
        <v>2623</v>
      </c>
      <c r="C1838" s="417" t="s">
        <v>671</v>
      </c>
      <c r="D1838" s="417" t="s">
        <v>88</v>
      </c>
      <c r="E1838" s="423">
        <v>3.9702725428305947E-2</v>
      </c>
      <c r="F1838" s="423">
        <v>0.51703785872566277</v>
      </c>
      <c r="G1838" s="422">
        <v>77.364397224624526</v>
      </c>
      <c r="H1838" s="417" t="s">
        <v>2616</v>
      </c>
      <c r="I1838" s="417" t="s">
        <v>28997</v>
      </c>
      <c r="J1838" s="417" t="s">
        <v>5990</v>
      </c>
      <c r="K1838" s="417" t="s">
        <v>6084</v>
      </c>
      <c r="L1838" s="417"/>
      <c r="M1838" s="417" t="s">
        <v>28840</v>
      </c>
    </row>
    <row r="1839" spans="1:13" x14ac:dyDescent="0.25">
      <c r="A1839" s="417" t="s">
        <v>3385</v>
      </c>
      <c r="B1839" s="417" t="s">
        <v>2623</v>
      </c>
      <c r="C1839" s="417" t="s">
        <v>675</v>
      </c>
      <c r="D1839" s="417" t="s">
        <v>88</v>
      </c>
      <c r="E1839" s="423">
        <v>2.896637952371138E-2</v>
      </c>
      <c r="F1839" s="423">
        <v>0.21013213581142731</v>
      </c>
      <c r="G1839" s="422">
        <v>34.667754148262503</v>
      </c>
      <c r="H1839" s="417" t="s">
        <v>2616</v>
      </c>
      <c r="I1839" s="417" t="s">
        <v>28997</v>
      </c>
      <c r="J1839" s="417" t="s">
        <v>6085</v>
      </c>
      <c r="K1839" s="417" t="s">
        <v>6086</v>
      </c>
      <c r="L1839" s="417"/>
      <c r="M1839" s="417" t="s">
        <v>28840</v>
      </c>
    </row>
    <row r="1840" spans="1:13" x14ac:dyDescent="0.25">
      <c r="A1840" s="417" t="s">
        <v>3385</v>
      </c>
      <c r="B1840" s="417" t="s">
        <v>2623</v>
      </c>
      <c r="C1840" s="417" t="s">
        <v>6087</v>
      </c>
      <c r="D1840" s="417" t="s">
        <v>88</v>
      </c>
      <c r="E1840" s="423">
        <v>4.0873207403689167E-2</v>
      </c>
      <c r="F1840" s="423">
        <v>0.179763652749894</v>
      </c>
      <c r="G1840" s="422">
        <v>46.743568955981289</v>
      </c>
      <c r="H1840" s="417" t="s">
        <v>2616</v>
      </c>
      <c r="I1840" s="417" t="s">
        <v>1392</v>
      </c>
      <c r="J1840" s="417" t="s">
        <v>6085</v>
      </c>
      <c r="K1840" s="417" t="s">
        <v>6088</v>
      </c>
      <c r="L1840" s="417"/>
      <c r="M1840" s="417" t="s">
        <v>28840</v>
      </c>
    </row>
    <row r="1841" spans="1:13" x14ac:dyDescent="0.25">
      <c r="A1841" s="417" t="s">
        <v>3385</v>
      </c>
      <c r="B1841" s="417" t="s">
        <v>2623</v>
      </c>
      <c r="C1841" s="417" t="s">
        <v>6089</v>
      </c>
      <c r="D1841" s="417" t="s">
        <v>88</v>
      </c>
      <c r="E1841" s="423">
        <v>2.3664467531237672</v>
      </c>
      <c r="F1841" s="423">
        <v>1.807929128955292E-3</v>
      </c>
      <c r="G1841" s="422">
        <v>2443.595239550933</v>
      </c>
      <c r="H1841" s="417" t="s">
        <v>2616</v>
      </c>
      <c r="I1841" s="417" t="s">
        <v>1392</v>
      </c>
      <c r="J1841" s="417" t="s">
        <v>5990</v>
      </c>
      <c r="K1841" s="417" t="s">
        <v>6090</v>
      </c>
      <c r="L1841" s="417"/>
      <c r="M1841" s="417" t="s">
        <v>28840</v>
      </c>
    </row>
    <row r="1842" spans="1:13" x14ac:dyDescent="0.25">
      <c r="A1842" s="417" t="s">
        <v>3385</v>
      </c>
      <c r="B1842" s="417" t="s">
        <v>2623</v>
      </c>
      <c r="C1842" s="417" t="s">
        <v>6091</v>
      </c>
      <c r="D1842" s="417" t="s">
        <v>88</v>
      </c>
      <c r="E1842" s="423">
        <v>2.3261649418657129</v>
      </c>
      <c r="F1842" s="423">
        <v>2.590323339102541E-3</v>
      </c>
      <c r="G1842" s="422">
        <v>2429.038032965474</v>
      </c>
      <c r="H1842" s="417" t="s">
        <v>2616</v>
      </c>
      <c r="I1842" s="417" t="s">
        <v>1392</v>
      </c>
      <c r="J1842" s="417" t="s">
        <v>4364</v>
      </c>
      <c r="K1842" s="417" t="s">
        <v>6092</v>
      </c>
      <c r="L1842" s="417"/>
      <c r="M1842" s="417" t="s">
        <v>28840</v>
      </c>
    </row>
    <row r="1843" spans="1:13" x14ac:dyDescent="0.25">
      <c r="A1843" s="417" t="s">
        <v>3385</v>
      </c>
      <c r="B1843" s="417" t="s">
        <v>2623</v>
      </c>
      <c r="C1843" s="417" t="s">
        <v>6093</v>
      </c>
      <c r="D1843" s="417" t="s">
        <v>88</v>
      </c>
      <c r="E1843" s="423">
        <v>2.3718010668892942</v>
      </c>
      <c r="F1843" s="423">
        <v>2.1796104143350461E-3</v>
      </c>
      <c r="G1843" s="422">
        <v>2453.6091345429099</v>
      </c>
      <c r="H1843" s="417" t="s">
        <v>2616</v>
      </c>
      <c r="I1843" s="417" t="s">
        <v>1392</v>
      </c>
      <c r="J1843" s="417" t="s">
        <v>4364</v>
      </c>
      <c r="K1843" s="417" t="s">
        <v>6094</v>
      </c>
      <c r="L1843" s="417"/>
      <c r="M1843" s="417" t="s">
        <v>28840</v>
      </c>
    </row>
    <row r="1844" spans="1:13" x14ac:dyDescent="0.25">
      <c r="A1844" s="417" t="s">
        <v>3385</v>
      </c>
      <c r="B1844" s="417" t="s">
        <v>2623</v>
      </c>
      <c r="C1844" s="417" t="s">
        <v>6095</v>
      </c>
      <c r="D1844" s="417" t="s">
        <v>88</v>
      </c>
      <c r="E1844" s="423">
        <v>0.12983716357684161</v>
      </c>
      <c r="F1844" s="423">
        <v>5.7703408781074211E-4</v>
      </c>
      <c r="G1844" s="422">
        <v>2157.5999946719912</v>
      </c>
      <c r="H1844" s="417" t="s">
        <v>2616</v>
      </c>
      <c r="I1844" s="417" t="s">
        <v>1392</v>
      </c>
      <c r="J1844" s="417" t="s">
        <v>5995</v>
      </c>
      <c r="K1844" s="417" t="s">
        <v>6096</v>
      </c>
      <c r="L1844" s="417"/>
      <c r="M1844" s="417" t="s">
        <v>28840</v>
      </c>
    </row>
    <row r="1845" spans="1:13" x14ac:dyDescent="0.25">
      <c r="A1845" s="417" t="s">
        <v>3385</v>
      </c>
      <c r="B1845" s="417" t="s">
        <v>2627</v>
      </c>
      <c r="C1845" s="417" t="s">
        <v>6097</v>
      </c>
      <c r="D1845" s="417" t="s">
        <v>4315</v>
      </c>
      <c r="E1845" s="423">
        <v>0</v>
      </c>
      <c r="F1845" s="423">
        <v>0</v>
      </c>
      <c r="G1845" s="422">
        <v>0</v>
      </c>
      <c r="H1845" s="417" t="s">
        <v>2616</v>
      </c>
      <c r="I1845" s="417" t="s">
        <v>1392</v>
      </c>
      <c r="J1845" s="417" t="s">
        <v>4138</v>
      </c>
      <c r="K1845" s="417" t="s">
        <v>6098</v>
      </c>
      <c r="L1845" s="417"/>
      <c r="M1845" s="417" t="s">
        <v>28840</v>
      </c>
    </row>
    <row r="1846" spans="1:13" x14ac:dyDescent="0.25">
      <c r="A1846" s="417" t="s">
        <v>3385</v>
      </c>
      <c r="B1846" s="417" t="s">
        <v>2627</v>
      </c>
      <c r="C1846" s="417" t="s">
        <v>6099</v>
      </c>
      <c r="D1846" s="417" t="s">
        <v>4315</v>
      </c>
      <c r="E1846" s="423">
        <v>0</v>
      </c>
      <c r="F1846" s="423">
        <v>0</v>
      </c>
      <c r="G1846" s="422">
        <v>0</v>
      </c>
      <c r="H1846" s="417" t="s">
        <v>2616</v>
      </c>
      <c r="I1846" s="417" t="s">
        <v>1392</v>
      </c>
      <c r="J1846" s="417" t="s">
        <v>4138</v>
      </c>
      <c r="K1846" s="417" t="s">
        <v>6100</v>
      </c>
      <c r="L1846" s="417"/>
      <c r="M1846" s="417" t="s">
        <v>28840</v>
      </c>
    </row>
    <row r="1847" spans="1:13" x14ac:dyDescent="0.25">
      <c r="A1847" s="417" t="s">
        <v>3385</v>
      </c>
      <c r="B1847" s="417" t="s">
        <v>2623</v>
      </c>
      <c r="C1847" s="417" t="s">
        <v>6101</v>
      </c>
      <c r="D1847" s="417" t="s">
        <v>563</v>
      </c>
      <c r="E1847" s="423">
        <v>39.17117301608215</v>
      </c>
      <c r="F1847" s="423">
        <v>1.5166336260780191</v>
      </c>
      <c r="G1847" s="422">
        <v>108696.1566816658</v>
      </c>
      <c r="H1847" s="417" t="s">
        <v>2616</v>
      </c>
      <c r="I1847" s="417" t="s">
        <v>1392</v>
      </c>
      <c r="J1847" s="417" t="s">
        <v>4364</v>
      </c>
      <c r="K1847" s="417" t="s">
        <v>6102</v>
      </c>
      <c r="L1847" s="417"/>
      <c r="M1847" s="417" t="s">
        <v>28840</v>
      </c>
    </row>
    <row r="1848" spans="1:13" x14ac:dyDescent="0.25">
      <c r="A1848" s="417" t="s">
        <v>3385</v>
      </c>
      <c r="B1848" s="417" t="s">
        <v>2623</v>
      </c>
      <c r="C1848" s="417" t="s">
        <v>6103</v>
      </c>
      <c r="D1848" s="417" t="s">
        <v>563</v>
      </c>
      <c r="E1848" s="423">
        <v>59.295954700481232</v>
      </c>
      <c r="F1848" s="423">
        <v>2.2958252610231789</v>
      </c>
      <c r="G1848" s="422">
        <v>164539.85577285351</v>
      </c>
      <c r="H1848" s="417" t="s">
        <v>2616</v>
      </c>
      <c r="I1848" s="417" t="s">
        <v>1392</v>
      </c>
      <c r="J1848" s="417" t="s">
        <v>4364</v>
      </c>
      <c r="K1848" s="417" t="s">
        <v>6104</v>
      </c>
      <c r="L1848" s="417"/>
      <c r="M1848" s="417" t="s">
        <v>28840</v>
      </c>
    </row>
    <row r="1849" spans="1:13" x14ac:dyDescent="0.25">
      <c r="A1849" s="417" t="s">
        <v>3385</v>
      </c>
      <c r="B1849" s="417" t="s">
        <v>2623</v>
      </c>
      <c r="C1849" s="417" t="s">
        <v>6105</v>
      </c>
      <c r="D1849" s="417" t="s">
        <v>563</v>
      </c>
      <c r="E1849" s="423">
        <v>59.295954700481232</v>
      </c>
      <c r="F1849" s="423">
        <v>2.2958252610231789</v>
      </c>
      <c r="G1849" s="422">
        <v>164539.85577285351</v>
      </c>
      <c r="H1849" s="417" t="s">
        <v>2616</v>
      </c>
      <c r="I1849" s="417" t="s">
        <v>1392</v>
      </c>
      <c r="J1849" s="417" t="s">
        <v>4364</v>
      </c>
      <c r="K1849" s="417" t="s">
        <v>6106</v>
      </c>
      <c r="L1849" s="417"/>
      <c r="M1849" s="417" t="s">
        <v>28840</v>
      </c>
    </row>
    <row r="1850" spans="1:13" x14ac:dyDescent="0.25">
      <c r="A1850" s="417" t="s">
        <v>3385</v>
      </c>
      <c r="B1850" s="417" t="s">
        <v>2623</v>
      </c>
      <c r="C1850" s="417" t="s">
        <v>6107</v>
      </c>
      <c r="D1850" s="417" t="s">
        <v>989</v>
      </c>
      <c r="E1850" s="423">
        <v>760.39935481387158</v>
      </c>
      <c r="F1850" s="423">
        <v>4.6733441551163946</v>
      </c>
      <c r="G1850" s="422">
        <v>1557601.1985425961</v>
      </c>
      <c r="H1850" s="417" t="s">
        <v>2616</v>
      </c>
      <c r="I1850" s="417" t="s">
        <v>1392</v>
      </c>
      <c r="J1850" s="417" t="s">
        <v>6108</v>
      </c>
      <c r="K1850" s="417" t="s">
        <v>6109</v>
      </c>
      <c r="L1850" s="417"/>
      <c r="M1850" s="417" t="s">
        <v>28840</v>
      </c>
    </row>
    <row r="1851" spans="1:13" x14ac:dyDescent="0.25">
      <c r="A1851" s="417" t="s">
        <v>3385</v>
      </c>
      <c r="B1851" s="417" t="s">
        <v>2623</v>
      </c>
      <c r="C1851" s="417" t="s">
        <v>6110</v>
      </c>
      <c r="D1851" s="417" t="s">
        <v>4315</v>
      </c>
      <c r="E1851" s="423">
        <v>2.534411049668063</v>
      </c>
      <c r="F1851" s="423">
        <v>1.5576256089065999E-2</v>
      </c>
      <c r="G1851" s="422">
        <v>5191.484796388916</v>
      </c>
      <c r="H1851" s="417" t="s">
        <v>2616</v>
      </c>
      <c r="I1851" s="417" t="s">
        <v>1392</v>
      </c>
      <c r="J1851" s="417" t="s">
        <v>6108</v>
      </c>
      <c r="K1851" s="417" t="s">
        <v>6111</v>
      </c>
      <c r="L1851" s="417"/>
      <c r="M1851" s="417" t="s">
        <v>28840</v>
      </c>
    </row>
    <row r="1852" spans="1:13" x14ac:dyDescent="0.25">
      <c r="A1852" s="417" t="s">
        <v>3385</v>
      </c>
      <c r="B1852" s="417" t="s">
        <v>2623</v>
      </c>
      <c r="C1852" s="417" t="s">
        <v>6112</v>
      </c>
      <c r="D1852" s="417" t="s">
        <v>563</v>
      </c>
      <c r="E1852" s="423">
        <v>0.43084987847305201</v>
      </c>
      <c r="F1852" s="423">
        <v>2.6479635374681461E-3</v>
      </c>
      <c r="G1852" s="422">
        <v>882.55241567723579</v>
      </c>
      <c r="H1852" s="417" t="s">
        <v>2616</v>
      </c>
      <c r="I1852" s="417" t="s">
        <v>1392</v>
      </c>
      <c r="J1852" s="417" t="s">
        <v>4364</v>
      </c>
      <c r="K1852" s="417" t="s">
        <v>6113</v>
      </c>
      <c r="L1852" s="417"/>
      <c r="M1852" s="417" t="s">
        <v>28840</v>
      </c>
    </row>
    <row r="1853" spans="1:13" x14ac:dyDescent="0.25">
      <c r="A1853" s="417" t="s">
        <v>3385</v>
      </c>
      <c r="B1853" s="417" t="s">
        <v>2623</v>
      </c>
      <c r="C1853" s="417" t="s">
        <v>6114</v>
      </c>
      <c r="D1853" s="417" t="s">
        <v>88</v>
      </c>
      <c r="E1853" s="423">
        <v>6.7634558428153992</v>
      </c>
      <c r="F1853" s="423">
        <v>0.14787612238014269</v>
      </c>
      <c r="G1853" s="422">
        <v>14732.22666523338</v>
      </c>
      <c r="H1853" s="417" t="s">
        <v>2616</v>
      </c>
      <c r="I1853" s="417" t="s">
        <v>1392</v>
      </c>
      <c r="J1853" s="417" t="s">
        <v>4364</v>
      </c>
      <c r="K1853" s="417" t="s">
        <v>6115</v>
      </c>
      <c r="L1853" s="417"/>
      <c r="M1853" s="417" t="s">
        <v>28840</v>
      </c>
    </row>
    <row r="1854" spans="1:13" x14ac:dyDescent="0.25">
      <c r="A1854" s="417" t="s">
        <v>3385</v>
      </c>
      <c r="B1854" s="417" t="s">
        <v>2623</v>
      </c>
      <c r="C1854" s="417" t="s">
        <v>6116</v>
      </c>
      <c r="D1854" s="417" t="s">
        <v>88</v>
      </c>
      <c r="E1854" s="423">
        <v>44.739579888300923</v>
      </c>
      <c r="F1854" s="423">
        <v>0.90992906590373868</v>
      </c>
      <c r="G1854" s="422">
        <v>101338.40671969439</v>
      </c>
      <c r="H1854" s="417" t="s">
        <v>2616</v>
      </c>
      <c r="I1854" s="417" t="s">
        <v>1392</v>
      </c>
      <c r="J1854" s="417" t="s">
        <v>4364</v>
      </c>
      <c r="K1854" s="417" t="s">
        <v>6117</v>
      </c>
      <c r="L1854" s="417"/>
      <c r="M1854" s="417" t="s">
        <v>28840</v>
      </c>
    </row>
    <row r="1855" spans="1:13" x14ac:dyDescent="0.25">
      <c r="A1855" s="417" t="s">
        <v>3385</v>
      </c>
      <c r="B1855" s="417" t="s">
        <v>2627</v>
      </c>
      <c r="C1855" s="417" t="s">
        <v>6118</v>
      </c>
      <c r="D1855" s="417" t="s">
        <v>88</v>
      </c>
      <c r="E1855" s="423">
        <v>1.2776931875000201E-2</v>
      </c>
      <c r="F1855" s="423">
        <v>4.3990536109999998E-4</v>
      </c>
      <c r="G1855" s="422">
        <v>42.732004258407123</v>
      </c>
      <c r="H1855" s="417" t="s">
        <v>2616</v>
      </c>
      <c r="I1855" s="417" t="s">
        <v>1392</v>
      </c>
      <c r="J1855" s="417" t="s">
        <v>4361</v>
      </c>
      <c r="K1855" s="417" t="s">
        <v>6119</v>
      </c>
      <c r="L1855" s="417"/>
      <c r="M1855" s="417" t="s">
        <v>28840</v>
      </c>
    </row>
    <row r="1856" spans="1:13" x14ac:dyDescent="0.25">
      <c r="A1856" s="417" t="s">
        <v>3385</v>
      </c>
      <c r="B1856" s="417" t="s">
        <v>2623</v>
      </c>
      <c r="C1856" s="417" t="s">
        <v>6120</v>
      </c>
      <c r="D1856" s="417" t="s">
        <v>88</v>
      </c>
      <c r="E1856" s="423">
        <v>1.7350609347029731E-2</v>
      </c>
      <c r="F1856" s="423">
        <v>1.4610912406333589</v>
      </c>
      <c r="G1856" s="422">
        <v>328.75887745304112</v>
      </c>
      <c r="H1856" s="417" t="s">
        <v>2616</v>
      </c>
      <c r="I1856" s="417" t="s">
        <v>1392</v>
      </c>
      <c r="J1856" s="417" t="s">
        <v>5990</v>
      </c>
      <c r="K1856" s="417" t="s">
        <v>6121</v>
      </c>
      <c r="L1856" s="417"/>
      <c r="M1856" s="417" t="s">
        <v>28840</v>
      </c>
    </row>
    <row r="1857" spans="1:13" x14ac:dyDescent="0.25">
      <c r="A1857" s="417" t="s">
        <v>3385</v>
      </c>
      <c r="B1857" s="417" t="s">
        <v>2623</v>
      </c>
      <c r="C1857" s="417" t="s">
        <v>6122</v>
      </c>
      <c r="D1857" s="417" t="s">
        <v>88</v>
      </c>
      <c r="E1857" s="423">
        <v>2.3681739509918271</v>
      </c>
      <c r="F1857" s="423">
        <v>1.9278263134999789E-3</v>
      </c>
      <c r="G1857" s="422">
        <v>2446.8255277396938</v>
      </c>
      <c r="H1857" s="417" t="s">
        <v>2616</v>
      </c>
      <c r="I1857" s="417" t="s">
        <v>1392</v>
      </c>
      <c r="J1857" s="417" t="s">
        <v>5974</v>
      </c>
      <c r="K1857" s="417" t="s">
        <v>6123</v>
      </c>
      <c r="L1857" s="417"/>
      <c r="M1857" s="417" t="s">
        <v>28840</v>
      </c>
    </row>
    <row r="1858" spans="1:13" x14ac:dyDescent="0.25">
      <c r="A1858" s="417" t="s">
        <v>3385</v>
      </c>
      <c r="B1858" s="417" t="s">
        <v>2623</v>
      </c>
      <c r="C1858" s="417" t="s">
        <v>6124</v>
      </c>
      <c r="D1858" s="417" t="s">
        <v>88</v>
      </c>
      <c r="E1858" s="423">
        <v>7.5231530530749276E-3</v>
      </c>
      <c r="F1858" s="423">
        <v>4.0187872088774548E-4</v>
      </c>
      <c r="G1858" s="422">
        <v>26.74062650005191</v>
      </c>
      <c r="H1858" s="417" t="s">
        <v>2616</v>
      </c>
      <c r="I1858" s="417" t="s">
        <v>1392</v>
      </c>
      <c r="J1858" s="417" t="s">
        <v>2624</v>
      </c>
      <c r="K1858" s="417" t="s">
        <v>6125</v>
      </c>
      <c r="L1858" s="417"/>
      <c r="M1858" s="417" t="s">
        <v>28840</v>
      </c>
    </row>
    <row r="1859" spans="1:13" x14ac:dyDescent="0.25">
      <c r="A1859" s="417" t="s">
        <v>3385</v>
      </c>
      <c r="B1859" s="417" t="s">
        <v>2623</v>
      </c>
      <c r="C1859" s="417" t="s">
        <v>6126</v>
      </c>
      <c r="D1859" s="417" t="s">
        <v>88</v>
      </c>
      <c r="E1859" s="423">
        <v>7.4530285286747294E-3</v>
      </c>
      <c r="F1859" s="423">
        <v>3.4097295354951608E-4</v>
      </c>
      <c r="G1859" s="422">
        <v>71.554595697252068</v>
      </c>
      <c r="H1859" s="417" t="s">
        <v>2616</v>
      </c>
      <c r="I1859" s="417" t="s">
        <v>1392</v>
      </c>
      <c r="J1859" s="417" t="s">
        <v>5974</v>
      </c>
      <c r="K1859" s="417" t="s">
        <v>6127</v>
      </c>
      <c r="L1859" s="417"/>
      <c r="M1859" s="417" t="s">
        <v>28840</v>
      </c>
    </row>
    <row r="1860" spans="1:13" x14ac:dyDescent="0.25">
      <c r="A1860" s="417" t="s">
        <v>3385</v>
      </c>
      <c r="B1860" s="417" t="s">
        <v>2623</v>
      </c>
      <c r="C1860" s="417" t="s">
        <v>6128</v>
      </c>
      <c r="D1860" s="417" t="s">
        <v>88</v>
      </c>
      <c r="E1860" s="423">
        <v>1.344612946207256E-2</v>
      </c>
      <c r="F1860" s="423">
        <v>6.7386026021351098E-4</v>
      </c>
      <c r="G1860" s="422">
        <v>40.066298034756421</v>
      </c>
      <c r="H1860" s="417" t="s">
        <v>2616</v>
      </c>
      <c r="I1860" s="417" t="s">
        <v>1392</v>
      </c>
      <c r="J1860" s="417" t="s">
        <v>5974</v>
      </c>
      <c r="K1860" s="417" t="s">
        <v>6129</v>
      </c>
      <c r="L1860" s="417"/>
      <c r="M1860" s="417" t="s">
        <v>28840</v>
      </c>
    </row>
    <row r="1861" spans="1:13" x14ac:dyDescent="0.25">
      <c r="A1861" s="417" t="s">
        <v>3385</v>
      </c>
      <c r="B1861" s="417" t="s">
        <v>2623</v>
      </c>
      <c r="C1861" s="417" t="s">
        <v>6130</v>
      </c>
      <c r="D1861" s="417" t="s">
        <v>88</v>
      </c>
      <c r="E1861" s="423">
        <v>3.3614363420101851E-3</v>
      </c>
      <c r="F1861" s="423">
        <v>2.6520197213246498E-4</v>
      </c>
      <c r="G1861" s="422">
        <v>6.9695865051024768</v>
      </c>
      <c r="H1861" s="417" t="s">
        <v>2616</v>
      </c>
      <c r="I1861" s="417" t="s">
        <v>1392</v>
      </c>
      <c r="J1861" s="417" t="s">
        <v>5974</v>
      </c>
      <c r="K1861" s="417" t="s">
        <v>6131</v>
      </c>
      <c r="L1861" s="417"/>
      <c r="M1861" s="417" t="s">
        <v>28840</v>
      </c>
    </row>
    <row r="1862" spans="1:13" x14ac:dyDescent="0.25">
      <c r="A1862" s="417" t="s">
        <v>3385</v>
      </c>
      <c r="B1862" s="417" t="s">
        <v>2623</v>
      </c>
      <c r="C1862" s="417" t="s">
        <v>6132</v>
      </c>
      <c r="D1862" s="417" t="s">
        <v>88</v>
      </c>
      <c r="E1862" s="423">
        <v>1.7374452484193371E-2</v>
      </c>
      <c r="F1862" s="423">
        <v>0.52727384531748311</v>
      </c>
      <c r="G1862" s="422">
        <v>54.412385788600879</v>
      </c>
      <c r="H1862" s="417" t="s">
        <v>2616</v>
      </c>
      <c r="I1862" s="417" t="s">
        <v>1392</v>
      </c>
      <c r="J1862" s="417" t="s">
        <v>5974</v>
      </c>
      <c r="K1862" s="417" t="s">
        <v>6133</v>
      </c>
      <c r="L1862" s="417"/>
      <c r="M1862" s="417" t="s">
        <v>28840</v>
      </c>
    </row>
    <row r="1863" spans="1:13" x14ac:dyDescent="0.25">
      <c r="A1863" s="417" t="s">
        <v>3385</v>
      </c>
      <c r="B1863" s="417" t="s">
        <v>2623</v>
      </c>
      <c r="C1863" s="417" t="s">
        <v>6134</v>
      </c>
      <c r="D1863" s="417" t="s">
        <v>88</v>
      </c>
      <c r="E1863" s="423">
        <v>8.177415343355688E-3</v>
      </c>
      <c r="F1863" s="423">
        <v>4.1762569192490569E-4</v>
      </c>
      <c r="G1863" s="422">
        <v>27.747584558329841</v>
      </c>
      <c r="H1863" s="417" t="s">
        <v>2616</v>
      </c>
      <c r="I1863" s="417" t="s">
        <v>1392</v>
      </c>
      <c r="J1863" s="417" t="s">
        <v>2624</v>
      </c>
      <c r="K1863" s="417" t="s">
        <v>6135</v>
      </c>
      <c r="L1863" s="417"/>
      <c r="M1863" s="417" t="s">
        <v>28840</v>
      </c>
    </row>
    <row r="1864" spans="1:13" x14ac:dyDescent="0.25">
      <c r="A1864" s="417" t="s">
        <v>3385</v>
      </c>
      <c r="B1864" s="417" t="s">
        <v>2623</v>
      </c>
      <c r="C1864" s="417" t="s">
        <v>6136</v>
      </c>
      <c r="D1864" s="417" t="s">
        <v>88</v>
      </c>
      <c r="E1864" s="423">
        <v>8.270467732124585E-3</v>
      </c>
      <c r="F1864" s="423">
        <v>3.6157845479225479E-4</v>
      </c>
      <c r="G1864" s="422">
        <v>72.82549093394077</v>
      </c>
      <c r="H1864" s="417" t="s">
        <v>2616</v>
      </c>
      <c r="I1864" s="417" t="s">
        <v>1392</v>
      </c>
      <c r="J1864" s="417" t="s">
        <v>5974</v>
      </c>
      <c r="K1864" s="417" t="s">
        <v>6137</v>
      </c>
      <c r="L1864" s="417"/>
      <c r="M1864" s="417" t="s">
        <v>28840</v>
      </c>
    </row>
    <row r="1865" spans="1:13" x14ac:dyDescent="0.25">
      <c r="A1865" s="417" t="s">
        <v>3385</v>
      </c>
      <c r="B1865" s="417" t="s">
        <v>2623</v>
      </c>
      <c r="C1865" s="417" t="s">
        <v>6138</v>
      </c>
      <c r="D1865" s="417" t="s">
        <v>88</v>
      </c>
      <c r="E1865" s="423">
        <v>2.076374021007709E-2</v>
      </c>
      <c r="F1865" s="423">
        <v>9.9558646323099037E-4</v>
      </c>
      <c r="G1865" s="422">
        <v>56.064636641421593</v>
      </c>
      <c r="H1865" s="417" t="s">
        <v>2616</v>
      </c>
      <c r="I1865" s="417" t="s">
        <v>1392</v>
      </c>
      <c r="J1865" s="417" t="s">
        <v>5974</v>
      </c>
      <c r="K1865" s="417" t="s">
        <v>6139</v>
      </c>
      <c r="L1865" s="417"/>
      <c r="M1865" s="417" t="s">
        <v>28840</v>
      </c>
    </row>
    <row r="1866" spans="1:13" x14ac:dyDescent="0.25">
      <c r="A1866" s="417" t="s">
        <v>3385</v>
      </c>
      <c r="B1866" s="417" t="s">
        <v>2623</v>
      </c>
      <c r="C1866" s="417" t="s">
        <v>6140</v>
      </c>
      <c r="D1866" s="417" t="s">
        <v>88</v>
      </c>
      <c r="E1866" s="423">
        <v>8.2815456838036729E-3</v>
      </c>
      <c r="F1866" s="423">
        <v>4.2100322773035783E-4</v>
      </c>
      <c r="G1866" s="422">
        <v>27.917781151213688</v>
      </c>
      <c r="H1866" s="417" t="s">
        <v>2616</v>
      </c>
      <c r="I1866" s="417" t="s">
        <v>1392</v>
      </c>
      <c r="J1866" s="417" t="s">
        <v>2624</v>
      </c>
      <c r="K1866" s="417" t="s">
        <v>6141</v>
      </c>
      <c r="L1866" s="417"/>
      <c r="M1866" s="417" t="s">
        <v>28840</v>
      </c>
    </row>
    <row r="1867" spans="1:13" x14ac:dyDescent="0.25">
      <c r="A1867" s="417" t="s">
        <v>3385</v>
      </c>
      <c r="B1867" s="417" t="s">
        <v>2623</v>
      </c>
      <c r="C1867" s="417" t="s">
        <v>6142</v>
      </c>
      <c r="D1867" s="417" t="s">
        <v>88</v>
      </c>
      <c r="E1867" s="423">
        <v>8.270467732124585E-3</v>
      </c>
      <c r="F1867" s="423">
        <v>3.6157845479225479E-4</v>
      </c>
      <c r="G1867" s="422">
        <v>72.82549093394077</v>
      </c>
      <c r="H1867" s="417" t="s">
        <v>2616</v>
      </c>
      <c r="I1867" s="417" t="s">
        <v>1392</v>
      </c>
      <c r="J1867" s="417" t="s">
        <v>5974</v>
      </c>
      <c r="K1867" s="417" t="s">
        <v>6143</v>
      </c>
      <c r="L1867" s="417"/>
      <c r="M1867" s="417" t="s">
        <v>28840</v>
      </c>
    </row>
    <row r="1868" spans="1:13" x14ac:dyDescent="0.25">
      <c r="A1868" s="417" t="s">
        <v>3385</v>
      </c>
      <c r="B1868" s="417" t="s">
        <v>2623</v>
      </c>
      <c r="C1868" s="417" t="s">
        <v>6144</v>
      </c>
      <c r="D1868" s="417" t="s">
        <v>88</v>
      </c>
      <c r="E1868" s="423">
        <v>4.5797555369524829E-3</v>
      </c>
      <c r="F1868" s="423">
        <v>1.154436416359162E-4</v>
      </c>
      <c r="G1868" s="422">
        <v>19.920272007176369</v>
      </c>
      <c r="H1868" s="417" t="s">
        <v>2616</v>
      </c>
      <c r="I1868" s="417" t="s">
        <v>1392</v>
      </c>
      <c r="J1868" s="417" t="s">
        <v>5974</v>
      </c>
      <c r="K1868" s="417" t="s">
        <v>6145</v>
      </c>
      <c r="L1868" s="417"/>
      <c r="M1868" s="417" t="s">
        <v>28840</v>
      </c>
    </row>
    <row r="1869" spans="1:13" x14ac:dyDescent="0.25">
      <c r="A1869" s="417" t="s">
        <v>3385</v>
      </c>
      <c r="B1869" s="417" t="s">
        <v>2623</v>
      </c>
      <c r="C1869" s="417" t="s">
        <v>6146</v>
      </c>
      <c r="D1869" s="417" t="s">
        <v>88</v>
      </c>
      <c r="E1869" s="423">
        <v>1.4204522092586261E-2</v>
      </c>
      <c r="F1869" s="423">
        <v>6.9298476720475394E-4</v>
      </c>
      <c r="G1869" s="422">
        <v>41.243452722757432</v>
      </c>
      <c r="H1869" s="417" t="s">
        <v>2616</v>
      </c>
      <c r="I1869" s="417" t="s">
        <v>1392</v>
      </c>
      <c r="J1869" s="417" t="s">
        <v>5974</v>
      </c>
      <c r="K1869" s="417" t="s">
        <v>6147</v>
      </c>
      <c r="L1869" s="417"/>
      <c r="M1869" s="417" t="s">
        <v>28840</v>
      </c>
    </row>
    <row r="1870" spans="1:13" x14ac:dyDescent="0.25">
      <c r="A1870" s="417" t="s">
        <v>3385</v>
      </c>
      <c r="B1870" s="417" t="s">
        <v>2623</v>
      </c>
      <c r="C1870" s="417" t="s">
        <v>6148</v>
      </c>
      <c r="D1870" s="417" t="s">
        <v>88</v>
      </c>
      <c r="E1870" s="423">
        <v>8.2597241262904585E-3</v>
      </c>
      <c r="F1870" s="423">
        <v>4.2045590378228222E-4</v>
      </c>
      <c r="G1870" s="422">
        <v>27.883137912692451</v>
      </c>
      <c r="H1870" s="417" t="s">
        <v>2616</v>
      </c>
      <c r="I1870" s="417" t="s">
        <v>1392</v>
      </c>
      <c r="J1870" s="417" t="s">
        <v>2624</v>
      </c>
      <c r="K1870" s="417" t="s">
        <v>6149</v>
      </c>
      <c r="L1870" s="417"/>
      <c r="M1870" s="417" t="s">
        <v>28840</v>
      </c>
    </row>
    <row r="1871" spans="1:13" x14ac:dyDescent="0.25">
      <c r="A1871" s="417" t="s">
        <v>3385</v>
      </c>
      <c r="B1871" s="417" t="s">
        <v>2623</v>
      </c>
      <c r="C1871" s="417" t="s">
        <v>6150</v>
      </c>
      <c r="D1871" s="417" t="s">
        <v>88</v>
      </c>
      <c r="E1871" s="423">
        <v>8.2704677321118122E-3</v>
      </c>
      <c r="F1871" s="423">
        <v>3.6157845478812539E-4</v>
      </c>
      <c r="G1871" s="422">
        <v>72.825490932691068</v>
      </c>
      <c r="H1871" s="417" t="s">
        <v>2616</v>
      </c>
      <c r="I1871" s="417" t="s">
        <v>1392</v>
      </c>
      <c r="J1871" s="417" t="s">
        <v>5974</v>
      </c>
      <c r="K1871" s="417" t="s">
        <v>6151</v>
      </c>
      <c r="L1871" s="417"/>
      <c r="M1871" s="417" t="s">
        <v>28840</v>
      </c>
    </row>
    <row r="1872" spans="1:13" x14ac:dyDescent="0.25">
      <c r="A1872" s="417" t="s">
        <v>3385</v>
      </c>
      <c r="B1872" s="417" t="s">
        <v>2623</v>
      </c>
      <c r="C1872" s="417" t="s">
        <v>6152</v>
      </c>
      <c r="D1872" s="417" t="s">
        <v>88</v>
      </c>
      <c r="E1872" s="423">
        <v>1.418270053276924E-2</v>
      </c>
      <c r="F1872" s="423">
        <v>6.9243744322266708E-4</v>
      </c>
      <c r="G1872" s="422">
        <v>41.208809466649967</v>
      </c>
      <c r="H1872" s="417" t="s">
        <v>2616</v>
      </c>
      <c r="I1872" s="417" t="s">
        <v>1392</v>
      </c>
      <c r="J1872" s="417" t="s">
        <v>5974</v>
      </c>
      <c r="K1872" s="417" t="s">
        <v>6153</v>
      </c>
      <c r="L1872" s="417"/>
      <c r="M1872" s="417" t="s">
        <v>28840</v>
      </c>
    </row>
    <row r="1873" spans="1:13" x14ac:dyDescent="0.25">
      <c r="A1873" s="417" t="s">
        <v>3385</v>
      </c>
      <c r="B1873" s="417" t="s">
        <v>2623</v>
      </c>
      <c r="C1873" s="417" t="s">
        <v>6154</v>
      </c>
      <c r="D1873" s="417" t="s">
        <v>563</v>
      </c>
      <c r="E1873" s="423">
        <v>6.4748174349108192</v>
      </c>
      <c r="F1873" s="423">
        <v>8.3986255130205976</v>
      </c>
      <c r="G1873" s="422">
        <v>7925.3994711348396</v>
      </c>
      <c r="H1873" s="417" t="s">
        <v>2616</v>
      </c>
      <c r="I1873" s="417" t="s">
        <v>1392</v>
      </c>
      <c r="J1873" s="417" t="s">
        <v>4364</v>
      </c>
      <c r="K1873" s="417" t="s">
        <v>6155</v>
      </c>
      <c r="L1873" s="417"/>
      <c r="M1873" s="417" t="s">
        <v>28840</v>
      </c>
    </row>
    <row r="1874" spans="1:13" x14ac:dyDescent="0.25">
      <c r="A1874" s="417" t="s">
        <v>3385</v>
      </c>
      <c r="B1874" s="417" t="s">
        <v>2623</v>
      </c>
      <c r="C1874" s="417" t="s">
        <v>6156</v>
      </c>
      <c r="D1874" s="417" t="s">
        <v>563</v>
      </c>
      <c r="E1874" s="423">
        <v>6.8720605152467789</v>
      </c>
      <c r="F1874" s="423">
        <v>14.899432933153051</v>
      </c>
      <c r="G1874" s="422">
        <v>8539.1469149371424</v>
      </c>
      <c r="H1874" s="417" t="s">
        <v>2616</v>
      </c>
      <c r="I1874" s="417" t="s">
        <v>1392</v>
      </c>
      <c r="J1874" s="417" t="s">
        <v>4364</v>
      </c>
      <c r="K1874" s="417" t="s">
        <v>6157</v>
      </c>
      <c r="L1874" s="417"/>
      <c r="M1874" s="417" t="s">
        <v>28840</v>
      </c>
    </row>
    <row r="1875" spans="1:13" x14ac:dyDescent="0.25">
      <c r="A1875" s="417" t="s">
        <v>3385</v>
      </c>
      <c r="B1875" s="417" t="s">
        <v>2623</v>
      </c>
      <c r="C1875" s="417" t="s">
        <v>6158</v>
      </c>
      <c r="D1875" s="417" t="s">
        <v>563</v>
      </c>
      <c r="E1875" s="423">
        <v>6.5255185790134709</v>
      </c>
      <c r="F1875" s="423">
        <v>4.7607764741775798</v>
      </c>
      <c r="G1875" s="422">
        <v>8254.7663810506201</v>
      </c>
      <c r="H1875" s="417" t="s">
        <v>2616</v>
      </c>
      <c r="I1875" s="417" t="s">
        <v>1392</v>
      </c>
      <c r="J1875" s="417" t="s">
        <v>4364</v>
      </c>
      <c r="K1875" s="417" t="s">
        <v>6159</v>
      </c>
      <c r="L1875" s="417"/>
      <c r="M1875" s="417" t="s">
        <v>28840</v>
      </c>
    </row>
    <row r="1876" spans="1:13" x14ac:dyDescent="0.25">
      <c r="A1876" s="417" t="s">
        <v>3385</v>
      </c>
      <c r="B1876" s="417" t="s">
        <v>2623</v>
      </c>
      <c r="C1876" s="417" t="s">
        <v>6160</v>
      </c>
      <c r="D1876" s="417" t="s">
        <v>563</v>
      </c>
      <c r="E1876" s="423">
        <v>6.9227616586783327</v>
      </c>
      <c r="F1876" s="423">
        <v>11.26158389429637</v>
      </c>
      <c r="G1876" s="422">
        <v>8868.5138235716768</v>
      </c>
      <c r="H1876" s="417" t="s">
        <v>2616</v>
      </c>
      <c r="I1876" s="417" t="s">
        <v>1392</v>
      </c>
      <c r="J1876" s="417" t="s">
        <v>4364</v>
      </c>
      <c r="K1876" s="417" t="s">
        <v>6161</v>
      </c>
      <c r="L1876" s="417"/>
      <c r="M1876" s="417" t="s">
        <v>28840</v>
      </c>
    </row>
    <row r="1877" spans="1:13" x14ac:dyDescent="0.25">
      <c r="A1877" s="417" t="s">
        <v>3385</v>
      </c>
      <c r="B1877" s="417" t="s">
        <v>2623</v>
      </c>
      <c r="C1877" s="417" t="s">
        <v>6162</v>
      </c>
      <c r="D1877" s="417" t="s">
        <v>563</v>
      </c>
      <c r="E1877" s="423">
        <v>5.0053737702460834</v>
      </c>
      <c r="F1877" s="423">
        <v>5.3214492640203597</v>
      </c>
      <c r="G1877" s="422">
        <v>6093.0603197214141</v>
      </c>
      <c r="H1877" s="417" t="s">
        <v>2616</v>
      </c>
      <c r="I1877" s="417" t="s">
        <v>1392</v>
      </c>
      <c r="J1877" s="417" t="s">
        <v>4364</v>
      </c>
      <c r="K1877" s="417" t="s">
        <v>6163</v>
      </c>
      <c r="L1877" s="417"/>
      <c r="M1877" s="417" t="s">
        <v>28840</v>
      </c>
    </row>
    <row r="1878" spans="1:13" x14ac:dyDescent="0.25">
      <c r="A1878" s="417" t="s">
        <v>3385</v>
      </c>
      <c r="B1878" s="417" t="s">
        <v>2623</v>
      </c>
      <c r="C1878" s="417" t="s">
        <v>6164</v>
      </c>
      <c r="D1878" s="417" t="s">
        <v>563</v>
      </c>
      <c r="E1878" s="423">
        <v>5.4026168542823418</v>
      </c>
      <c r="F1878" s="423">
        <v>11.822256685119161</v>
      </c>
      <c r="G1878" s="422">
        <v>6706.8077755530567</v>
      </c>
      <c r="H1878" s="417" t="s">
        <v>2616</v>
      </c>
      <c r="I1878" s="417" t="s">
        <v>1392</v>
      </c>
      <c r="J1878" s="417" t="s">
        <v>4364</v>
      </c>
      <c r="K1878" s="417" t="s">
        <v>6165</v>
      </c>
      <c r="L1878" s="417"/>
      <c r="M1878" s="417" t="s">
        <v>28840</v>
      </c>
    </row>
    <row r="1879" spans="1:13" x14ac:dyDescent="0.25">
      <c r="A1879" s="417" t="s">
        <v>3385</v>
      </c>
      <c r="B1879" s="417" t="s">
        <v>2623</v>
      </c>
      <c r="C1879" s="417" t="s">
        <v>6166</v>
      </c>
      <c r="D1879" s="417" t="s">
        <v>563</v>
      </c>
      <c r="E1879" s="423">
        <v>9.6995668693549781</v>
      </c>
      <c r="F1879" s="423">
        <v>14.851386575847711</v>
      </c>
      <c r="G1879" s="422">
        <v>12134.606736672449</v>
      </c>
      <c r="H1879" s="417" t="s">
        <v>2616</v>
      </c>
      <c r="I1879" s="417" t="s">
        <v>1392</v>
      </c>
      <c r="J1879" s="417" t="s">
        <v>4364</v>
      </c>
      <c r="K1879" s="417" t="s">
        <v>6167</v>
      </c>
      <c r="L1879" s="417"/>
      <c r="M1879" s="417" t="s">
        <v>28840</v>
      </c>
    </row>
    <row r="1880" spans="1:13" x14ac:dyDescent="0.25">
      <c r="A1880" s="417" t="s">
        <v>3385</v>
      </c>
      <c r="B1880" s="417" t="s">
        <v>2623</v>
      </c>
      <c r="C1880" s="417" t="s">
        <v>6168</v>
      </c>
      <c r="D1880" s="417" t="s">
        <v>563</v>
      </c>
      <c r="E1880" s="423">
        <v>7.6560543628098223</v>
      </c>
      <c r="F1880" s="423">
        <v>14.537082241493581</v>
      </c>
      <c r="G1880" s="422">
        <v>9285.1113964132965</v>
      </c>
      <c r="H1880" s="417" t="s">
        <v>2616</v>
      </c>
      <c r="I1880" s="417" t="s">
        <v>1392</v>
      </c>
      <c r="J1880" s="417" t="s">
        <v>4364</v>
      </c>
      <c r="K1880" s="417" t="s">
        <v>6169</v>
      </c>
      <c r="L1880" s="417"/>
      <c r="M1880" s="417" t="s">
        <v>28840</v>
      </c>
    </row>
    <row r="1881" spans="1:13" x14ac:dyDescent="0.25">
      <c r="A1881" s="417" t="s">
        <v>3385</v>
      </c>
      <c r="B1881" s="417" t="s">
        <v>2623</v>
      </c>
      <c r="C1881" s="417" t="s">
        <v>6170</v>
      </c>
      <c r="D1881" s="417" t="s">
        <v>563</v>
      </c>
      <c r="E1881" s="423">
        <v>7.6560543628098223</v>
      </c>
      <c r="F1881" s="423">
        <v>14.537082241493581</v>
      </c>
      <c r="G1881" s="422">
        <v>9285.1113964132965</v>
      </c>
      <c r="H1881" s="417" t="s">
        <v>2616</v>
      </c>
      <c r="I1881" s="417" t="s">
        <v>1392</v>
      </c>
      <c r="J1881" s="417" t="s">
        <v>4364</v>
      </c>
      <c r="K1881" s="417" t="s">
        <v>6171</v>
      </c>
      <c r="L1881" s="417"/>
      <c r="M1881" s="417" t="s">
        <v>28840</v>
      </c>
    </row>
    <row r="1882" spans="1:13" x14ac:dyDescent="0.25">
      <c r="A1882" s="417" t="s">
        <v>3385</v>
      </c>
      <c r="B1882" s="417" t="s">
        <v>2623</v>
      </c>
      <c r="C1882" s="417" t="s">
        <v>6172</v>
      </c>
      <c r="D1882" s="417" t="s">
        <v>88</v>
      </c>
      <c r="E1882" s="423">
        <v>1.3812213379374361</v>
      </c>
      <c r="F1882" s="423">
        <v>7.2319756975230721E-3</v>
      </c>
      <c r="G1882" s="422">
        <v>1498.9908825509331</v>
      </c>
      <c r="H1882" s="417" t="s">
        <v>2616</v>
      </c>
      <c r="I1882" s="417" t="s">
        <v>1392</v>
      </c>
      <c r="J1882" s="417" t="s">
        <v>5974</v>
      </c>
      <c r="K1882" s="417" t="s">
        <v>6173</v>
      </c>
      <c r="L1882" s="417"/>
      <c r="M1882" s="417" t="s">
        <v>28840</v>
      </c>
    </row>
    <row r="1883" spans="1:13" x14ac:dyDescent="0.25">
      <c r="A1883" s="417" t="s">
        <v>3385</v>
      </c>
      <c r="B1883" s="417" t="s">
        <v>2623</v>
      </c>
      <c r="C1883" s="417" t="s">
        <v>6174</v>
      </c>
      <c r="D1883" s="417" t="s">
        <v>88</v>
      </c>
      <c r="E1883" s="423">
        <v>2.5322067364677121</v>
      </c>
      <c r="F1883" s="423">
        <v>3.0724679561582261E-2</v>
      </c>
      <c r="G1883" s="422">
        <v>3296.1002223840151</v>
      </c>
      <c r="H1883" s="417" t="s">
        <v>2616</v>
      </c>
      <c r="I1883" s="417" t="s">
        <v>1392</v>
      </c>
      <c r="J1883" s="417" t="s">
        <v>5974</v>
      </c>
      <c r="K1883" s="417" t="s">
        <v>6175</v>
      </c>
      <c r="L1883" s="417"/>
      <c r="M1883" s="417" t="s">
        <v>28840</v>
      </c>
    </row>
    <row r="1884" spans="1:13" x14ac:dyDescent="0.25">
      <c r="A1884" s="417" t="s">
        <v>3385</v>
      </c>
      <c r="B1884" s="417" t="s">
        <v>2623</v>
      </c>
      <c r="C1884" s="417" t="s">
        <v>6176</v>
      </c>
      <c r="D1884" s="417" t="s">
        <v>88</v>
      </c>
      <c r="E1884" s="423">
        <v>0.22279027667572679</v>
      </c>
      <c r="F1884" s="423">
        <v>1.353880098585031</v>
      </c>
      <c r="G1884" s="422">
        <v>273.9264639232689</v>
      </c>
      <c r="H1884" s="417" t="s">
        <v>2616</v>
      </c>
      <c r="I1884" s="417" t="s">
        <v>1392</v>
      </c>
      <c r="J1884" s="417" t="s">
        <v>5974</v>
      </c>
      <c r="K1884" s="417" t="s">
        <v>6177</v>
      </c>
      <c r="L1884" s="417"/>
      <c r="M1884" s="417" t="s">
        <v>28840</v>
      </c>
    </row>
    <row r="1885" spans="1:13" x14ac:dyDescent="0.25">
      <c r="A1885" s="417" t="s">
        <v>3385</v>
      </c>
      <c r="B1885" s="417" t="s">
        <v>2623</v>
      </c>
      <c r="C1885" s="417" t="s">
        <v>6178</v>
      </c>
      <c r="D1885" s="417" t="s">
        <v>88</v>
      </c>
      <c r="E1885" s="423">
        <v>2.328638802386971E-2</v>
      </c>
      <c r="F1885" s="423">
        <v>1.1708185780491211E-3</v>
      </c>
      <c r="G1885" s="422">
        <v>50.275937521888793</v>
      </c>
      <c r="H1885" s="417" t="s">
        <v>2616</v>
      </c>
      <c r="I1885" s="417" t="s">
        <v>1392</v>
      </c>
      <c r="J1885" s="417" t="s">
        <v>5974</v>
      </c>
      <c r="K1885" s="417" t="s">
        <v>6179</v>
      </c>
      <c r="L1885" s="417"/>
      <c r="M1885" s="417" t="s">
        <v>28840</v>
      </c>
    </row>
    <row r="1886" spans="1:13" x14ac:dyDescent="0.25">
      <c r="A1886" s="417" t="s">
        <v>3385</v>
      </c>
      <c r="B1886" s="417" t="s">
        <v>2623</v>
      </c>
      <c r="C1886" s="417" t="s">
        <v>6180</v>
      </c>
      <c r="D1886" s="417" t="s">
        <v>88</v>
      </c>
      <c r="E1886" s="423">
        <v>2.6777470122784679E-2</v>
      </c>
      <c r="F1886" s="423">
        <v>1.43927229951043E-3</v>
      </c>
      <c r="G1886" s="422">
        <v>57.451345734882914</v>
      </c>
      <c r="H1886" s="417" t="s">
        <v>2616</v>
      </c>
      <c r="I1886" s="417" t="s">
        <v>1392</v>
      </c>
      <c r="J1886" s="417" t="s">
        <v>5974</v>
      </c>
      <c r="K1886" s="417" t="s">
        <v>6181</v>
      </c>
      <c r="L1886" s="417"/>
      <c r="M1886" s="417" t="s">
        <v>28840</v>
      </c>
    </row>
    <row r="1887" spans="1:13" x14ac:dyDescent="0.25">
      <c r="A1887" s="417" t="s">
        <v>3385</v>
      </c>
      <c r="B1887" s="417" t="s">
        <v>2623</v>
      </c>
      <c r="C1887" s="417" t="s">
        <v>6182</v>
      </c>
      <c r="D1887" s="417" t="s">
        <v>88</v>
      </c>
      <c r="E1887" s="423">
        <v>3.6907121951637932E-3</v>
      </c>
      <c r="F1887" s="423">
        <v>2.4613481315408509E-4</v>
      </c>
      <c r="G1887" s="422">
        <v>52.905218923194482</v>
      </c>
      <c r="H1887" s="417" t="s">
        <v>2616</v>
      </c>
      <c r="I1887" s="417" t="s">
        <v>1392</v>
      </c>
      <c r="J1887" s="417" t="s">
        <v>5974</v>
      </c>
      <c r="K1887" s="417" t="s">
        <v>6183</v>
      </c>
      <c r="L1887" s="417"/>
      <c r="M1887" s="417" t="s">
        <v>28840</v>
      </c>
    </row>
    <row r="1888" spans="1:13" x14ac:dyDescent="0.25">
      <c r="A1888" s="417" t="s">
        <v>3385</v>
      </c>
      <c r="B1888" s="417" t="s">
        <v>2623</v>
      </c>
      <c r="C1888" s="417" t="s">
        <v>6184</v>
      </c>
      <c r="D1888" s="417" t="s">
        <v>88</v>
      </c>
      <c r="E1888" s="423">
        <v>9.576844699892435E-3</v>
      </c>
      <c r="F1888" s="423">
        <v>5.7633915918344739E-4</v>
      </c>
      <c r="G1888" s="422">
        <v>21.24710140946766</v>
      </c>
      <c r="H1888" s="417" t="s">
        <v>2616</v>
      </c>
      <c r="I1888" s="417" t="s">
        <v>1392</v>
      </c>
      <c r="J1888" s="417" t="s">
        <v>5974</v>
      </c>
      <c r="K1888" s="417" t="s">
        <v>6185</v>
      </c>
      <c r="L1888" s="417"/>
      <c r="M1888" s="417" t="s">
        <v>28840</v>
      </c>
    </row>
    <row r="1889" spans="1:13" x14ac:dyDescent="0.25">
      <c r="A1889" s="417" t="s">
        <v>3385</v>
      </c>
      <c r="B1889" s="417" t="s">
        <v>2627</v>
      </c>
      <c r="C1889" s="417" t="s">
        <v>6186</v>
      </c>
      <c r="D1889" s="417" t="s">
        <v>563</v>
      </c>
      <c r="E1889" s="423">
        <v>2.555873591978858</v>
      </c>
      <c r="F1889" s="423">
        <v>1.8555481286542451E-3</v>
      </c>
      <c r="G1889" s="422">
        <v>3171.9739591576572</v>
      </c>
      <c r="H1889" s="417" t="s">
        <v>2616</v>
      </c>
      <c r="I1889" s="417" t="s">
        <v>1392</v>
      </c>
      <c r="J1889" s="417" t="s">
        <v>4815</v>
      </c>
      <c r="K1889" s="417" t="s">
        <v>6187</v>
      </c>
      <c r="L1889" s="417"/>
      <c r="M1889" s="417" t="s">
        <v>28840</v>
      </c>
    </row>
    <row r="1890" spans="1:13" x14ac:dyDescent="0.25">
      <c r="A1890" s="417" t="s">
        <v>3385</v>
      </c>
      <c r="B1890" s="417" t="s">
        <v>2623</v>
      </c>
      <c r="C1890" s="417" t="s">
        <v>6188</v>
      </c>
      <c r="D1890" s="417" t="s">
        <v>88</v>
      </c>
      <c r="E1890" s="423">
        <v>3.6845181679856609E-3</v>
      </c>
      <c r="F1890" s="423">
        <v>3.0436061428304819E-4</v>
      </c>
      <c r="G1890" s="422">
        <v>20.76520628539533</v>
      </c>
      <c r="H1890" s="417" t="s">
        <v>2616</v>
      </c>
      <c r="I1890" s="417" t="s">
        <v>1392</v>
      </c>
      <c r="J1890" s="417" t="s">
        <v>4364</v>
      </c>
      <c r="K1890" s="417" t="s">
        <v>6189</v>
      </c>
      <c r="L1890" s="417"/>
      <c r="M1890" s="417" t="s">
        <v>28840</v>
      </c>
    </row>
    <row r="1891" spans="1:13" x14ac:dyDescent="0.25">
      <c r="A1891" s="417" t="s">
        <v>3385</v>
      </c>
      <c r="B1891" s="417" t="s">
        <v>2623</v>
      </c>
      <c r="C1891" s="417" t="s">
        <v>6190</v>
      </c>
      <c r="D1891" s="417" t="s">
        <v>88</v>
      </c>
      <c r="E1891" s="423">
        <v>3.6907121951637932E-3</v>
      </c>
      <c r="F1891" s="423">
        <v>2.4613481315408509E-4</v>
      </c>
      <c r="G1891" s="422">
        <v>65.705218923194494</v>
      </c>
      <c r="H1891" s="417" t="s">
        <v>2616</v>
      </c>
      <c r="I1891" s="417" t="s">
        <v>1392</v>
      </c>
      <c r="J1891" s="417" t="s">
        <v>5974</v>
      </c>
      <c r="K1891" s="417" t="s">
        <v>6191</v>
      </c>
      <c r="L1891" s="417"/>
      <c r="M1891" s="417" t="s">
        <v>28840</v>
      </c>
    </row>
    <row r="1892" spans="1:13" x14ac:dyDescent="0.25">
      <c r="A1892" s="417" t="s">
        <v>3385</v>
      </c>
      <c r="B1892" s="417" t="s">
        <v>2623</v>
      </c>
      <c r="C1892" s="417" t="s">
        <v>6192</v>
      </c>
      <c r="D1892" s="417" t="s">
        <v>88</v>
      </c>
      <c r="E1892" s="423">
        <v>1.6270843034220921E-2</v>
      </c>
      <c r="F1892" s="423">
        <v>8.8232138549262451E-4</v>
      </c>
      <c r="G1892" s="422">
        <v>49.082258361584472</v>
      </c>
      <c r="H1892" s="417" t="s">
        <v>2616</v>
      </c>
      <c r="I1892" s="417" t="s">
        <v>1392</v>
      </c>
      <c r="J1892" s="417" t="s">
        <v>5974</v>
      </c>
      <c r="K1892" s="417" t="s">
        <v>6193</v>
      </c>
      <c r="L1892" s="417"/>
      <c r="M1892" s="417" t="s">
        <v>28840</v>
      </c>
    </row>
    <row r="1893" spans="1:13" x14ac:dyDescent="0.25">
      <c r="A1893" s="417" t="s">
        <v>3385</v>
      </c>
      <c r="B1893" s="417" t="s">
        <v>2623</v>
      </c>
      <c r="C1893" s="417" t="s">
        <v>6194</v>
      </c>
      <c r="D1893" s="417" t="s">
        <v>88</v>
      </c>
      <c r="E1893" s="423">
        <v>3.6907121984043499E-3</v>
      </c>
      <c r="F1893" s="423">
        <v>2.4613481392355059E-4</v>
      </c>
      <c r="G1893" s="422">
        <v>300.78040136232778</v>
      </c>
      <c r="H1893" s="417" t="s">
        <v>2616</v>
      </c>
      <c r="I1893" s="417" t="s">
        <v>1392</v>
      </c>
      <c r="J1893" s="417" t="s">
        <v>5974</v>
      </c>
      <c r="K1893" s="417" t="s">
        <v>6195</v>
      </c>
      <c r="L1893" s="417"/>
      <c r="M1893" s="417" t="s">
        <v>28840</v>
      </c>
    </row>
    <row r="1894" spans="1:13" x14ac:dyDescent="0.25">
      <c r="A1894" s="417" t="s">
        <v>3385</v>
      </c>
      <c r="B1894" s="417" t="s">
        <v>2623</v>
      </c>
      <c r="C1894" s="417" t="s">
        <v>6196</v>
      </c>
      <c r="D1894" s="417" t="s">
        <v>88</v>
      </c>
      <c r="E1894" s="423">
        <v>1.6490614640369501E-2</v>
      </c>
      <c r="F1894" s="423">
        <v>7.4807050082570815E-4</v>
      </c>
      <c r="G1894" s="422">
        <v>322.73421304086878</v>
      </c>
      <c r="H1894" s="417" t="s">
        <v>2616</v>
      </c>
      <c r="I1894" s="417" t="s">
        <v>1392</v>
      </c>
      <c r="J1894" s="417" t="s">
        <v>5974</v>
      </c>
      <c r="K1894" s="417" t="s">
        <v>6197</v>
      </c>
      <c r="L1894" s="417"/>
      <c r="M1894" s="417" t="s">
        <v>28840</v>
      </c>
    </row>
    <row r="1895" spans="1:13" x14ac:dyDescent="0.25">
      <c r="A1895" s="417" t="s">
        <v>3385</v>
      </c>
      <c r="B1895" s="417" t="s">
        <v>2623</v>
      </c>
      <c r="C1895" s="417" t="s">
        <v>6198</v>
      </c>
      <c r="D1895" s="417" t="s">
        <v>88</v>
      </c>
      <c r="E1895" s="423">
        <v>3.6907121951895148E-3</v>
      </c>
      <c r="F1895" s="423">
        <v>2.4613481317984552E-4</v>
      </c>
      <c r="G1895" s="422">
        <v>10432.749075282039</v>
      </c>
      <c r="H1895" s="417" t="s">
        <v>2616</v>
      </c>
      <c r="I1895" s="417" t="s">
        <v>1392</v>
      </c>
      <c r="J1895" s="417" t="s">
        <v>5974</v>
      </c>
      <c r="K1895" s="417" t="s">
        <v>6199</v>
      </c>
      <c r="L1895" s="417"/>
      <c r="M1895" s="417" t="s">
        <v>28840</v>
      </c>
    </row>
    <row r="1896" spans="1:13" x14ac:dyDescent="0.25">
      <c r="A1896" s="417" t="s">
        <v>3385</v>
      </c>
      <c r="B1896" s="417" t="s">
        <v>2623</v>
      </c>
      <c r="C1896" s="417" t="s">
        <v>6200</v>
      </c>
      <c r="D1896" s="417" t="s">
        <v>88</v>
      </c>
      <c r="E1896" s="423">
        <v>3.861620705805396E-3</v>
      </c>
      <c r="F1896" s="423">
        <v>2.7774749617329262E-4</v>
      </c>
      <c r="G1896" s="422">
        <v>7.7636641583358186</v>
      </c>
      <c r="H1896" s="417" t="s">
        <v>2616</v>
      </c>
      <c r="I1896" s="417" t="s">
        <v>1392</v>
      </c>
      <c r="J1896" s="417" t="s">
        <v>5974</v>
      </c>
      <c r="K1896" s="417" t="s">
        <v>6201</v>
      </c>
      <c r="L1896" s="417"/>
      <c r="M1896" s="417" t="s">
        <v>28840</v>
      </c>
    </row>
    <row r="1897" spans="1:13" x14ac:dyDescent="0.25">
      <c r="A1897" s="417" t="s">
        <v>3385</v>
      </c>
      <c r="B1897" s="417" t="s">
        <v>2623</v>
      </c>
      <c r="C1897" s="417" t="s">
        <v>6202</v>
      </c>
      <c r="D1897" s="417" t="s">
        <v>88</v>
      </c>
      <c r="E1897" s="423">
        <v>9.4129675480314132E-2</v>
      </c>
      <c r="F1897" s="423">
        <v>8.5804432115333209E-4</v>
      </c>
      <c r="G1897" s="422">
        <v>1448.0150910448599</v>
      </c>
      <c r="H1897" s="417" t="s">
        <v>2616</v>
      </c>
      <c r="I1897" s="417" t="s">
        <v>1392</v>
      </c>
      <c r="J1897" s="417" t="s">
        <v>5974</v>
      </c>
      <c r="K1897" s="417" t="s">
        <v>6203</v>
      </c>
      <c r="L1897" s="417"/>
      <c r="M1897" s="417" t="s">
        <v>28840</v>
      </c>
    </row>
    <row r="1898" spans="1:13" x14ac:dyDescent="0.25">
      <c r="A1898" s="417" t="s">
        <v>3385</v>
      </c>
      <c r="B1898" s="417" t="s">
        <v>2623</v>
      </c>
      <c r="C1898" s="417" t="s">
        <v>6204</v>
      </c>
      <c r="D1898" s="417" t="s">
        <v>88</v>
      </c>
      <c r="E1898" s="423">
        <v>2.3967998549425338</v>
      </c>
      <c r="F1898" s="423">
        <v>7.5290882921298413E-4</v>
      </c>
      <c r="G1898" s="422">
        <v>2766.96468923572</v>
      </c>
      <c r="H1898" s="417" t="s">
        <v>2616</v>
      </c>
      <c r="I1898" s="417" t="s">
        <v>1392</v>
      </c>
      <c r="J1898" s="417" t="s">
        <v>5974</v>
      </c>
      <c r="K1898" s="417" t="s">
        <v>6205</v>
      </c>
      <c r="L1898" s="417"/>
      <c r="M1898" s="417" t="s">
        <v>28840</v>
      </c>
    </row>
    <row r="1899" spans="1:13" x14ac:dyDescent="0.25">
      <c r="A1899" s="417" t="s">
        <v>3385</v>
      </c>
      <c r="B1899" s="417" t="s">
        <v>2623</v>
      </c>
      <c r="C1899" s="417" t="s">
        <v>6206</v>
      </c>
      <c r="D1899" s="417" t="s">
        <v>88</v>
      </c>
      <c r="E1899" s="423">
        <v>3.6382764249161141</v>
      </c>
      <c r="F1899" s="423">
        <v>6.2008802416324013E-3</v>
      </c>
      <c r="G1899" s="422">
        <v>4757.212953262303</v>
      </c>
      <c r="H1899" s="417" t="s">
        <v>2616</v>
      </c>
      <c r="I1899" s="417" t="s">
        <v>1392</v>
      </c>
      <c r="J1899" s="417" t="s">
        <v>5974</v>
      </c>
      <c r="K1899" s="417" t="s">
        <v>6207</v>
      </c>
      <c r="L1899" s="417"/>
      <c r="M1899" s="417" t="s">
        <v>28840</v>
      </c>
    </row>
    <row r="1900" spans="1:13" x14ac:dyDescent="0.25">
      <c r="A1900" s="417" t="s">
        <v>3385</v>
      </c>
      <c r="B1900" s="417" t="s">
        <v>2623</v>
      </c>
      <c r="C1900" s="417" t="s">
        <v>6208</v>
      </c>
      <c r="D1900" s="417" t="s">
        <v>88</v>
      </c>
      <c r="E1900" s="423">
        <v>2.5770252465587231</v>
      </c>
      <c r="F1900" s="423">
        <v>8.8588766356921707E-4</v>
      </c>
      <c r="G1900" s="422">
        <v>2735.9015574764549</v>
      </c>
      <c r="H1900" s="417" t="s">
        <v>2616</v>
      </c>
      <c r="I1900" s="417" t="s">
        <v>1392</v>
      </c>
      <c r="J1900" s="417" t="s">
        <v>5974</v>
      </c>
      <c r="K1900" s="417" t="s">
        <v>6209</v>
      </c>
      <c r="L1900" s="417"/>
      <c r="M1900" s="417" t="s">
        <v>28840</v>
      </c>
    </row>
    <row r="1901" spans="1:13" x14ac:dyDescent="0.25">
      <c r="A1901" s="417" t="s">
        <v>3385</v>
      </c>
      <c r="B1901" s="417" t="s">
        <v>2623</v>
      </c>
      <c r="C1901" s="417" t="s">
        <v>6210</v>
      </c>
      <c r="D1901" s="417" t="s">
        <v>88</v>
      </c>
      <c r="E1901" s="423">
        <v>1.3678976962699849E-2</v>
      </c>
      <c r="F1901" s="423">
        <v>0.26264083212836908</v>
      </c>
      <c r="G1901" s="422">
        <v>41.603805044937687</v>
      </c>
      <c r="H1901" s="417" t="s">
        <v>2616</v>
      </c>
      <c r="I1901" s="417" t="s">
        <v>1392</v>
      </c>
      <c r="J1901" s="417" t="s">
        <v>4364</v>
      </c>
      <c r="K1901" s="417" t="s">
        <v>6211</v>
      </c>
      <c r="L1901" s="417"/>
      <c r="M1901" s="417" t="s">
        <v>28840</v>
      </c>
    </row>
    <row r="1902" spans="1:13" x14ac:dyDescent="0.25">
      <c r="A1902" s="417" t="s">
        <v>3385</v>
      </c>
      <c r="B1902" s="417" t="s">
        <v>2623</v>
      </c>
      <c r="C1902" s="417" t="s">
        <v>6212</v>
      </c>
      <c r="D1902" s="417" t="s">
        <v>88</v>
      </c>
      <c r="E1902" s="423">
        <v>3.7623163335692212E-3</v>
      </c>
      <c r="F1902" s="423">
        <v>9.4838140383294998E-5</v>
      </c>
      <c r="G1902" s="422">
        <v>18.649376774809308</v>
      </c>
      <c r="H1902" s="417" t="s">
        <v>2616</v>
      </c>
      <c r="I1902" s="417" t="s">
        <v>1392</v>
      </c>
      <c r="J1902" s="417" t="s">
        <v>5974</v>
      </c>
      <c r="K1902" s="417" t="s">
        <v>6213</v>
      </c>
      <c r="L1902" s="417"/>
      <c r="M1902" s="417" t="s">
        <v>28840</v>
      </c>
    </row>
    <row r="1903" spans="1:13" x14ac:dyDescent="0.25">
      <c r="A1903" s="417" t="s">
        <v>3385</v>
      </c>
      <c r="B1903" s="417" t="s">
        <v>2623</v>
      </c>
      <c r="C1903" s="417" t="s">
        <v>6214</v>
      </c>
      <c r="D1903" s="417" t="s">
        <v>88</v>
      </c>
      <c r="E1903" s="423">
        <v>7.6838765336778312E-3</v>
      </c>
      <c r="F1903" s="423">
        <v>4.0514419529083718E-4</v>
      </c>
      <c r="G1903" s="422">
        <v>26.990903852984481</v>
      </c>
      <c r="H1903" s="417" t="s">
        <v>2616</v>
      </c>
      <c r="I1903" s="417" t="s">
        <v>1392</v>
      </c>
      <c r="J1903" s="417" t="s">
        <v>4364</v>
      </c>
      <c r="K1903" s="417" t="s">
        <v>6215</v>
      </c>
      <c r="L1903" s="417"/>
      <c r="M1903" s="417" t="s">
        <v>28840</v>
      </c>
    </row>
    <row r="1904" spans="1:13" x14ac:dyDescent="0.25">
      <c r="A1904" s="417" t="s">
        <v>3385</v>
      </c>
      <c r="B1904" s="417" t="s">
        <v>2623</v>
      </c>
      <c r="C1904" s="417" t="s">
        <v>6216</v>
      </c>
      <c r="D1904" s="417" t="s">
        <v>88</v>
      </c>
      <c r="E1904" s="423">
        <v>7.453028528636582E-3</v>
      </c>
      <c r="F1904" s="423">
        <v>3.4097295354619279E-4</v>
      </c>
      <c r="G1904" s="422">
        <v>51.730139325390837</v>
      </c>
      <c r="H1904" s="417" t="s">
        <v>2616</v>
      </c>
      <c r="I1904" s="417" t="s">
        <v>1392</v>
      </c>
      <c r="J1904" s="417" t="s">
        <v>5974</v>
      </c>
      <c r="K1904" s="417" t="s">
        <v>6217</v>
      </c>
      <c r="L1904" s="417"/>
      <c r="M1904" s="417" t="s">
        <v>28840</v>
      </c>
    </row>
    <row r="1905" spans="1:13" x14ac:dyDescent="0.25">
      <c r="A1905" s="417" t="s">
        <v>3385</v>
      </c>
      <c r="B1905" s="417" t="s">
        <v>2623</v>
      </c>
      <c r="C1905" s="417" t="s">
        <v>6218</v>
      </c>
      <c r="D1905" s="417" t="s">
        <v>88</v>
      </c>
      <c r="E1905" s="423">
        <v>2.119252235216194E-2</v>
      </c>
      <c r="F1905" s="423">
        <v>1.0275839307232219E-3</v>
      </c>
      <c r="G1905" s="422">
        <v>313.24494714570938</v>
      </c>
      <c r="H1905" s="417" t="s">
        <v>2616</v>
      </c>
      <c r="I1905" s="417" t="s">
        <v>1392</v>
      </c>
      <c r="J1905" s="417" t="s">
        <v>5974</v>
      </c>
      <c r="K1905" s="417" t="s">
        <v>6219</v>
      </c>
      <c r="L1905" s="417"/>
      <c r="M1905" s="417" t="s">
        <v>28840</v>
      </c>
    </row>
    <row r="1906" spans="1:13" x14ac:dyDescent="0.25">
      <c r="A1906" s="417" t="s">
        <v>3385</v>
      </c>
      <c r="B1906" s="417" t="s">
        <v>2623</v>
      </c>
      <c r="C1906" s="417" t="s">
        <v>6220</v>
      </c>
      <c r="D1906" s="417" t="s">
        <v>88</v>
      </c>
      <c r="E1906" s="423">
        <v>3.8124524049581361E-3</v>
      </c>
      <c r="F1906" s="423">
        <v>3.075694351547222E-4</v>
      </c>
      <c r="G1906" s="422">
        <v>20.968310835604939</v>
      </c>
      <c r="H1906" s="417" t="s">
        <v>2616</v>
      </c>
      <c r="I1906" s="417" t="s">
        <v>1392</v>
      </c>
      <c r="J1906" s="417" t="s">
        <v>4364</v>
      </c>
      <c r="K1906" s="417" t="s">
        <v>6221</v>
      </c>
      <c r="L1906" s="417"/>
      <c r="M1906" s="417" t="s">
        <v>28840</v>
      </c>
    </row>
    <row r="1907" spans="1:13" x14ac:dyDescent="0.25">
      <c r="A1907" s="417" t="s">
        <v>3385</v>
      </c>
      <c r="B1907" s="417" t="s">
        <v>2623</v>
      </c>
      <c r="C1907" s="417" t="s">
        <v>6222</v>
      </c>
      <c r="D1907" s="417" t="s">
        <v>88</v>
      </c>
      <c r="E1907" s="423">
        <v>3.6907121951725908E-3</v>
      </c>
      <c r="F1907" s="423">
        <v>2.4613481316927141E-4</v>
      </c>
      <c r="G1907" s="422">
        <v>2278.4298530639821</v>
      </c>
      <c r="H1907" s="417" t="s">
        <v>2616</v>
      </c>
      <c r="I1907" s="417" t="s">
        <v>1392</v>
      </c>
      <c r="J1907" s="417" t="s">
        <v>5974</v>
      </c>
      <c r="K1907" s="417" t="s">
        <v>6223</v>
      </c>
      <c r="L1907" s="417"/>
      <c r="M1907" s="417" t="s">
        <v>28840</v>
      </c>
    </row>
    <row r="1908" spans="1:13" x14ac:dyDescent="0.25">
      <c r="A1908" s="417" t="s">
        <v>3385</v>
      </c>
      <c r="B1908" s="417" t="s">
        <v>2623</v>
      </c>
      <c r="C1908" s="417" t="s">
        <v>6224</v>
      </c>
      <c r="D1908" s="417" t="s">
        <v>88</v>
      </c>
      <c r="E1908" s="423">
        <v>3.03267849836456</v>
      </c>
      <c r="F1908" s="423">
        <v>7.5359037295393981E-4</v>
      </c>
      <c r="G1908" s="422">
        <v>3106.191969516824</v>
      </c>
      <c r="H1908" s="417" t="s">
        <v>2616</v>
      </c>
      <c r="I1908" s="417" t="s">
        <v>1392</v>
      </c>
      <c r="J1908" s="417" t="s">
        <v>5974</v>
      </c>
      <c r="K1908" s="417" t="s">
        <v>6225</v>
      </c>
      <c r="L1908" s="417"/>
      <c r="M1908" s="417" t="s">
        <v>28840</v>
      </c>
    </row>
    <row r="1909" spans="1:13" x14ac:dyDescent="0.25">
      <c r="A1909" s="417" t="s">
        <v>3385</v>
      </c>
      <c r="B1909" s="417" t="s">
        <v>2623</v>
      </c>
      <c r="C1909" s="417" t="s">
        <v>6226</v>
      </c>
      <c r="D1909" s="417" t="s">
        <v>88</v>
      </c>
      <c r="E1909" s="423">
        <v>3.187213213994978</v>
      </c>
      <c r="F1909" s="423">
        <v>8.051681504927155E-4</v>
      </c>
      <c r="G1909" s="422">
        <v>3286.8326437150022</v>
      </c>
      <c r="H1909" s="417" t="s">
        <v>2616</v>
      </c>
      <c r="I1909" s="417" t="s">
        <v>1392</v>
      </c>
      <c r="J1909" s="417" t="s">
        <v>5974</v>
      </c>
      <c r="K1909" s="417" t="s">
        <v>6227</v>
      </c>
      <c r="L1909" s="417"/>
      <c r="M1909" s="417" t="s">
        <v>28840</v>
      </c>
    </row>
    <row r="1910" spans="1:13" x14ac:dyDescent="0.25">
      <c r="A1910" s="417" t="s">
        <v>3385</v>
      </c>
      <c r="B1910" s="417" t="s">
        <v>2623</v>
      </c>
      <c r="C1910" s="417" t="s">
        <v>6228</v>
      </c>
      <c r="D1910" s="417" t="s">
        <v>88</v>
      </c>
      <c r="E1910" s="423">
        <v>2.7391013379550171</v>
      </c>
      <c r="F1910" s="423">
        <v>2.0228151431455768E-3</v>
      </c>
      <c r="G1910" s="422">
        <v>2952.1569672894611</v>
      </c>
      <c r="H1910" s="417" t="s">
        <v>2616</v>
      </c>
      <c r="I1910" s="417" t="s">
        <v>1392</v>
      </c>
      <c r="J1910" s="417" t="s">
        <v>5974</v>
      </c>
      <c r="K1910" s="417" t="s">
        <v>6229</v>
      </c>
      <c r="L1910" s="417"/>
      <c r="M1910" s="417" t="s">
        <v>28840</v>
      </c>
    </row>
    <row r="1911" spans="1:13" x14ac:dyDescent="0.25">
      <c r="A1911" s="417" t="s">
        <v>3385</v>
      </c>
      <c r="B1911" s="417" t="s">
        <v>2623</v>
      </c>
      <c r="C1911" s="417" t="s">
        <v>6230</v>
      </c>
      <c r="D1911" s="417" t="s">
        <v>88</v>
      </c>
      <c r="E1911" s="423">
        <v>3.6907121951725921E-3</v>
      </c>
      <c r="F1911" s="423">
        <v>2.4613481316935131E-4</v>
      </c>
      <c r="G1911" s="422">
        <v>10280.65704946848</v>
      </c>
      <c r="H1911" s="417" t="s">
        <v>2616</v>
      </c>
      <c r="I1911" s="417" t="s">
        <v>1392</v>
      </c>
      <c r="J1911" s="417" t="s">
        <v>5974</v>
      </c>
      <c r="K1911" s="417" t="s">
        <v>6231</v>
      </c>
      <c r="L1911" s="417"/>
      <c r="M1911" s="417" t="s">
        <v>28840</v>
      </c>
    </row>
    <row r="1912" spans="1:13" x14ac:dyDescent="0.25">
      <c r="A1912" s="417" t="s">
        <v>3385</v>
      </c>
      <c r="B1912" s="417" t="s">
        <v>2623</v>
      </c>
      <c r="C1912" s="417" t="s">
        <v>6232</v>
      </c>
      <c r="D1912" s="417" t="s">
        <v>88</v>
      </c>
      <c r="E1912" s="423">
        <v>2.0552048427407041</v>
      </c>
      <c r="F1912" s="423">
        <v>1.6929741192838861E-2</v>
      </c>
      <c r="G1912" s="422">
        <v>2290.2949418949811</v>
      </c>
      <c r="H1912" s="417" t="s">
        <v>2616</v>
      </c>
      <c r="I1912" s="417" t="s">
        <v>1392</v>
      </c>
      <c r="J1912" s="417" t="s">
        <v>5974</v>
      </c>
      <c r="K1912" s="417" t="s">
        <v>6233</v>
      </c>
      <c r="L1912" s="417"/>
      <c r="M1912" s="417" t="s">
        <v>28840</v>
      </c>
    </row>
    <row r="1913" spans="1:13" x14ac:dyDescent="0.25">
      <c r="A1913" s="417" t="s">
        <v>3385</v>
      </c>
      <c r="B1913" s="417" t="s">
        <v>2623</v>
      </c>
      <c r="C1913" s="417" t="s">
        <v>6234</v>
      </c>
      <c r="D1913" s="417" t="s">
        <v>88</v>
      </c>
      <c r="E1913" s="423">
        <v>1.9889673994396331</v>
      </c>
      <c r="F1913" s="423">
        <v>9.3790051585972735E-3</v>
      </c>
      <c r="G1913" s="422">
        <v>2206.9670602276119</v>
      </c>
      <c r="H1913" s="417" t="s">
        <v>2616</v>
      </c>
      <c r="I1913" s="417" t="s">
        <v>1392</v>
      </c>
      <c r="J1913" s="417" t="s">
        <v>5974</v>
      </c>
      <c r="K1913" s="417" t="s">
        <v>6235</v>
      </c>
      <c r="L1913" s="417"/>
      <c r="M1913" s="417" t="s">
        <v>28840</v>
      </c>
    </row>
    <row r="1914" spans="1:13" x14ac:dyDescent="0.25">
      <c r="A1914" s="417" t="s">
        <v>3385</v>
      </c>
      <c r="B1914" s="417" t="s">
        <v>2623</v>
      </c>
      <c r="C1914" s="417" t="s">
        <v>6236</v>
      </c>
      <c r="D1914" s="417" t="s">
        <v>88</v>
      </c>
      <c r="E1914" s="423">
        <v>1.00877635121197E-2</v>
      </c>
      <c r="F1914" s="423">
        <v>4.6668988887147578E-4</v>
      </c>
      <c r="G1914" s="422">
        <v>30.726021852782999</v>
      </c>
      <c r="H1914" s="417" t="s">
        <v>2616</v>
      </c>
      <c r="I1914" s="417" t="s">
        <v>1392</v>
      </c>
      <c r="J1914" s="417" t="s">
        <v>2624</v>
      </c>
      <c r="K1914" s="417" t="s">
        <v>6237</v>
      </c>
      <c r="L1914" s="417"/>
      <c r="M1914" s="417" t="s">
        <v>28840</v>
      </c>
    </row>
    <row r="1915" spans="1:13" x14ac:dyDescent="0.25">
      <c r="A1915" s="417" t="s">
        <v>3385</v>
      </c>
      <c r="B1915" s="417" t="s">
        <v>2623</v>
      </c>
      <c r="C1915" s="417" t="s">
        <v>6238</v>
      </c>
      <c r="D1915" s="417" t="s">
        <v>88</v>
      </c>
      <c r="E1915" s="423">
        <v>1.010446594489579E-2</v>
      </c>
      <c r="F1915" s="423">
        <v>4.0780874606486539E-4</v>
      </c>
      <c r="G1915" s="422">
        <v>75.180912535206843</v>
      </c>
      <c r="H1915" s="417" t="s">
        <v>2616</v>
      </c>
      <c r="I1915" s="417" t="s">
        <v>1392</v>
      </c>
      <c r="J1915" s="417" t="s">
        <v>5974</v>
      </c>
      <c r="K1915" s="417" t="s">
        <v>6239</v>
      </c>
      <c r="L1915" s="417"/>
      <c r="M1915" s="417" t="s">
        <v>28840</v>
      </c>
    </row>
    <row r="1916" spans="1:13" x14ac:dyDescent="0.25">
      <c r="A1916" s="417" t="s">
        <v>3385</v>
      </c>
      <c r="B1916" s="417" t="s">
        <v>2623</v>
      </c>
      <c r="C1916" s="417" t="s">
        <v>6240</v>
      </c>
      <c r="D1916" s="417" t="s">
        <v>88</v>
      </c>
      <c r="E1916" s="423">
        <v>6.413753749711525E-3</v>
      </c>
      <c r="F1916" s="423">
        <v>1.6167393290932369E-4</v>
      </c>
      <c r="G1916" s="422">
        <v>22.77163951685014</v>
      </c>
      <c r="H1916" s="417" t="s">
        <v>2616</v>
      </c>
      <c r="I1916" s="417" t="s">
        <v>1392</v>
      </c>
      <c r="J1916" s="417" t="s">
        <v>5974</v>
      </c>
      <c r="K1916" s="417" t="s">
        <v>6241</v>
      </c>
      <c r="L1916" s="417"/>
      <c r="M1916" s="417" t="s">
        <v>28840</v>
      </c>
    </row>
    <row r="1917" spans="1:13" x14ac:dyDescent="0.25">
      <c r="A1917" s="417" t="s">
        <v>3385</v>
      </c>
      <c r="B1917" s="417" t="s">
        <v>2623</v>
      </c>
      <c r="C1917" s="417" t="s">
        <v>6242</v>
      </c>
      <c r="D1917" s="417" t="s">
        <v>88</v>
      </c>
      <c r="E1917" s="423">
        <v>1.5833050628131149E-2</v>
      </c>
      <c r="F1917" s="423">
        <v>7.305119821138464E-4</v>
      </c>
      <c r="G1917" s="422">
        <v>43.651923285105973</v>
      </c>
      <c r="H1917" s="417" t="s">
        <v>2616</v>
      </c>
      <c r="I1917" s="417" t="s">
        <v>1392</v>
      </c>
      <c r="J1917" s="417" t="s">
        <v>5974</v>
      </c>
      <c r="K1917" s="417" t="s">
        <v>6243</v>
      </c>
      <c r="L1917" s="417"/>
      <c r="M1917" s="417" t="s">
        <v>28840</v>
      </c>
    </row>
    <row r="1918" spans="1:13" x14ac:dyDescent="0.25">
      <c r="A1918" s="417" t="s">
        <v>3385</v>
      </c>
      <c r="B1918" s="417" t="s">
        <v>2623</v>
      </c>
      <c r="C1918" s="417" t="s">
        <v>6244</v>
      </c>
      <c r="D1918" s="417" t="s">
        <v>88</v>
      </c>
      <c r="E1918" s="423">
        <v>0.22909542851532819</v>
      </c>
      <c r="F1918" s="423">
        <v>5.511947577991929E-2</v>
      </c>
      <c r="G1918" s="422">
        <v>379.29529239833721</v>
      </c>
      <c r="H1918" s="417" t="s">
        <v>2616</v>
      </c>
      <c r="I1918" s="417" t="s">
        <v>1392</v>
      </c>
      <c r="J1918" s="417" t="s">
        <v>4364</v>
      </c>
      <c r="K1918" s="417" t="s">
        <v>6245</v>
      </c>
      <c r="L1918" s="417"/>
      <c r="M1918" s="417" t="s">
        <v>28840</v>
      </c>
    </row>
    <row r="1919" spans="1:13" x14ac:dyDescent="0.25">
      <c r="A1919" s="417" t="s">
        <v>3385</v>
      </c>
      <c r="B1919" s="417" t="s">
        <v>2623</v>
      </c>
      <c r="C1919" s="417" t="s">
        <v>6246</v>
      </c>
      <c r="D1919" s="417" t="s">
        <v>88</v>
      </c>
      <c r="E1919" s="423">
        <v>6.5604736067095534E-2</v>
      </c>
      <c r="F1919" s="423">
        <v>1.653723562122964E-3</v>
      </c>
      <c r="G1919" s="422">
        <v>101.9974891656591</v>
      </c>
      <c r="H1919" s="417" t="s">
        <v>2616</v>
      </c>
      <c r="I1919" s="417" t="s">
        <v>1392</v>
      </c>
      <c r="J1919" s="417" t="s">
        <v>5974</v>
      </c>
      <c r="K1919" s="417" t="s">
        <v>6247</v>
      </c>
      <c r="L1919" s="417"/>
      <c r="M1919" s="417" t="s">
        <v>28840</v>
      </c>
    </row>
    <row r="1920" spans="1:13" x14ac:dyDescent="0.25">
      <c r="A1920" s="417" t="s">
        <v>3385</v>
      </c>
      <c r="B1920" s="417" t="s">
        <v>2623</v>
      </c>
      <c r="C1920" s="417" t="s">
        <v>6248</v>
      </c>
      <c r="D1920" s="417" t="s">
        <v>88</v>
      </c>
      <c r="E1920" s="423">
        <v>6.9111686647274267E-2</v>
      </c>
      <c r="F1920" s="423">
        <v>1.9536304618867901E-3</v>
      </c>
      <c r="G1920" s="422">
        <v>109.6807944855619</v>
      </c>
      <c r="H1920" s="417" t="s">
        <v>2616</v>
      </c>
      <c r="I1920" s="417" t="s">
        <v>1392</v>
      </c>
      <c r="J1920" s="417" t="s">
        <v>5974</v>
      </c>
      <c r="K1920" s="417" t="s">
        <v>6249</v>
      </c>
      <c r="L1920" s="417"/>
      <c r="M1920" s="417" t="s">
        <v>28840</v>
      </c>
    </row>
    <row r="1921" spans="1:13" x14ac:dyDescent="0.25">
      <c r="A1921" s="417" t="s">
        <v>3385</v>
      </c>
      <c r="B1921" s="417" t="s">
        <v>2623</v>
      </c>
      <c r="C1921" s="417" t="s">
        <v>6250</v>
      </c>
      <c r="D1921" s="417" t="s">
        <v>88</v>
      </c>
      <c r="E1921" s="423">
        <v>2.8540520729655769</v>
      </c>
      <c r="F1921" s="423">
        <v>1.894052252351364E-3</v>
      </c>
      <c r="G1921" s="422">
        <v>2933.654861775849</v>
      </c>
      <c r="H1921" s="417" t="s">
        <v>2616</v>
      </c>
      <c r="I1921" s="417" t="s">
        <v>1392</v>
      </c>
      <c r="J1921" s="417" t="s">
        <v>5974</v>
      </c>
      <c r="K1921" s="417" t="s">
        <v>6251</v>
      </c>
      <c r="L1921" s="417"/>
      <c r="M1921" s="417" t="s">
        <v>28840</v>
      </c>
    </row>
    <row r="1922" spans="1:13" x14ac:dyDescent="0.25">
      <c r="A1922" s="417" t="s">
        <v>3385</v>
      </c>
      <c r="B1922" s="417" t="s">
        <v>2623</v>
      </c>
      <c r="C1922" s="417" t="s">
        <v>6252</v>
      </c>
      <c r="D1922" s="417" t="s">
        <v>88</v>
      </c>
      <c r="E1922" s="423">
        <v>1.907780725397883E-2</v>
      </c>
      <c r="F1922" s="423">
        <v>1.461211137818569</v>
      </c>
      <c r="G1922" s="422">
        <v>331.98916592031048</v>
      </c>
      <c r="H1922" s="417" t="s">
        <v>2616</v>
      </c>
      <c r="I1922" s="417" t="s">
        <v>1392</v>
      </c>
      <c r="J1922" s="417" t="s">
        <v>5974</v>
      </c>
      <c r="K1922" s="417" t="s">
        <v>6253</v>
      </c>
      <c r="L1922" s="417"/>
      <c r="M1922" s="417" t="s">
        <v>28840</v>
      </c>
    </row>
    <row r="1923" spans="1:13" x14ac:dyDescent="0.25">
      <c r="A1923" s="417" t="s">
        <v>3385</v>
      </c>
      <c r="B1923" s="417" t="s">
        <v>2623</v>
      </c>
      <c r="C1923" s="417" t="s">
        <v>6254</v>
      </c>
      <c r="D1923" s="417" t="s">
        <v>88</v>
      </c>
      <c r="E1923" s="423">
        <v>1.87650552735233E-2</v>
      </c>
      <c r="F1923" s="423">
        <v>1.4634901485153931</v>
      </c>
      <c r="G1923" s="422">
        <v>56.772638719792141</v>
      </c>
      <c r="H1923" s="417" t="s">
        <v>2616</v>
      </c>
      <c r="I1923" s="417" t="s">
        <v>1392</v>
      </c>
      <c r="J1923" s="417" t="s">
        <v>5974</v>
      </c>
      <c r="K1923" s="417" t="s">
        <v>6255</v>
      </c>
      <c r="L1923" s="417"/>
      <c r="M1923" s="417" t="s">
        <v>28840</v>
      </c>
    </row>
    <row r="1924" spans="1:13" x14ac:dyDescent="0.25">
      <c r="A1924" s="417" t="s">
        <v>3385</v>
      </c>
      <c r="B1924" s="417" t="s">
        <v>2623</v>
      </c>
      <c r="C1924" s="417" t="s">
        <v>6256</v>
      </c>
      <c r="D1924" s="417" t="s">
        <v>563</v>
      </c>
      <c r="E1924" s="423">
        <v>41.168480188943398</v>
      </c>
      <c r="F1924" s="423">
        <v>4.5454096619096503E-2</v>
      </c>
      <c r="G1924" s="422">
        <v>44760.982027412938</v>
      </c>
      <c r="H1924" s="417" t="s">
        <v>2616</v>
      </c>
      <c r="I1924" s="417" t="s">
        <v>1392</v>
      </c>
      <c r="J1924" s="417" t="s">
        <v>4364</v>
      </c>
      <c r="K1924" s="417" t="s">
        <v>6257</v>
      </c>
      <c r="L1924" s="417"/>
      <c r="M1924" s="417" t="s">
        <v>28840</v>
      </c>
    </row>
    <row r="1925" spans="1:13" x14ac:dyDescent="0.25">
      <c r="A1925" s="417" t="s">
        <v>3385</v>
      </c>
      <c r="B1925" s="417" t="s">
        <v>2627</v>
      </c>
      <c r="C1925" s="417" t="s">
        <v>6258</v>
      </c>
      <c r="D1925" s="417" t="s">
        <v>563</v>
      </c>
      <c r="E1925" s="423">
        <v>20.93658982625703</v>
      </c>
      <c r="F1925" s="423">
        <v>9.0165528400000007E-3</v>
      </c>
      <c r="G1925" s="422">
        <v>21855.91889912861</v>
      </c>
      <c r="H1925" s="417" t="s">
        <v>2616</v>
      </c>
      <c r="I1925" s="417" t="s">
        <v>1392</v>
      </c>
      <c r="J1925" s="417" t="s">
        <v>6259</v>
      </c>
      <c r="K1925" s="417" t="s">
        <v>6260</v>
      </c>
      <c r="L1925" s="417"/>
      <c r="M1925" s="417" t="s">
        <v>28840</v>
      </c>
    </row>
    <row r="1926" spans="1:13" x14ac:dyDescent="0.25">
      <c r="A1926" s="417" t="s">
        <v>3385</v>
      </c>
      <c r="B1926" s="417" t="s">
        <v>2623</v>
      </c>
      <c r="C1926" s="417" t="s">
        <v>6261</v>
      </c>
      <c r="D1926" s="417" t="s">
        <v>563</v>
      </c>
      <c r="E1926" s="423">
        <v>45.768357390812852</v>
      </c>
      <c r="F1926" s="423">
        <v>0.39397808102717519</v>
      </c>
      <c r="G1926" s="422">
        <v>52422.259598348173</v>
      </c>
      <c r="H1926" s="417" t="s">
        <v>2616</v>
      </c>
      <c r="I1926" s="417" t="s">
        <v>1392</v>
      </c>
      <c r="J1926" s="417" t="s">
        <v>4364</v>
      </c>
      <c r="K1926" s="417" t="s">
        <v>6262</v>
      </c>
      <c r="L1926" s="417"/>
      <c r="M1926" s="417" t="s">
        <v>28840</v>
      </c>
    </row>
    <row r="1927" spans="1:13" x14ac:dyDescent="0.25">
      <c r="A1927" s="417" t="s">
        <v>3385</v>
      </c>
      <c r="B1927" s="417" t="s">
        <v>2623</v>
      </c>
      <c r="C1927" s="417" t="s">
        <v>6263</v>
      </c>
      <c r="D1927" s="417" t="s">
        <v>563</v>
      </c>
      <c r="E1927" s="423">
        <v>44.044679960378602</v>
      </c>
      <c r="F1927" s="423">
        <v>99.531648224899399</v>
      </c>
      <c r="G1927" s="422">
        <v>50966.297606887259</v>
      </c>
      <c r="H1927" s="417" t="s">
        <v>2616</v>
      </c>
      <c r="I1927" s="417" t="s">
        <v>1392</v>
      </c>
      <c r="J1927" s="417" t="s">
        <v>4364</v>
      </c>
      <c r="K1927" s="417" t="s">
        <v>6264</v>
      </c>
      <c r="L1927" s="417"/>
      <c r="M1927" s="417" t="s">
        <v>28840</v>
      </c>
    </row>
    <row r="1928" spans="1:13" x14ac:dyDescent="0.25">
      <c r="A1928" s="417" t="s">
        <v>3385</v>
      </c>
      <c r="B1928" s="417" t="s">
        <v>2623</v>
      </c>
      <c r="C1928" s="417" t="s">
        <v>6265</v>
      </c>
      <c r="D1928" s="417" t="s">
        <v>563</v>
      </c>
      <c r="E1928" s="423">
        <v>7.1151714152678034</v>
      </c>
      <c r="F1928" s="423">
        <v>16.078099621793761</v>
      </c>
      <c r="G1928" s="422">
        <v>8233.3034203527714</v>
      </c>
      <c r="H1928" s="417" t="s">
        <v>2616</v>
      </c>
      <c r="I1928" s="417" t="s">
        <v>1392</v>
      </c>
      <c r="J1928" s="417" t="s">
        <v>4364</v>
      </c>
      <c r="K1928" s="417" t="s">
        <v>6266</v>
      </c>
      <c r="L1928" s="417"/>
      <c r="M1928" s="417" t="s">
        <v>28840</v>
      </c>
    </row>
    <row r="1929" spans="1:13" x14ac:dyDescent="0.25">
      <c r="A1929" s="417" t="s">
        <v>3385</v>
      </c>
      <c r="B1929" s="417" t="s">
        <v>2623</v>
      </c>
      <c r="C1929" s="417" t="s">
        <v>6267</v>
      </c>
      <c r="D1929" s="417" t="s">
        <v>563</v>
      </c>
      <c r="E1929" s="423">
        <v>38.037887575539429</v>
      </c>
      <c r="F1929" s="423">
        <v>99.528943968217817</v>
      </c>
      <c r="G1929" s="422">
        <v>44018.23658809864</v>
      </c>
      <c r="H1929" s="417" t="s">
        <v>2616</v>
      </c>
      <c r="I1929" s="417" t="s">
        <v>1392</v>
      </c>
      <c r="J1929" s="417" t="s">
        <v>4364</v>
      </c>
      <c r="K1929" s="417" t="s">
        <v>6268</v>
      </c>
      <c r="L1929" s="417"/>
      <c r="M1929" s="417" t="s">
        <v>28840</v>
      </c>
    </row>
    <row r="1930" spans="1:13" x14ac:dyDescent="0.25">
      <c r="A1930" s="417" t="s">
        <v>3385</v>
      </c>
      <c r="B1930" s="417" t="s">
        <v>2623</v>
      </c>
      <c r="C1930" s="417" t="s">
        <v>6269</v>
      </c>
      <c r="D1930" s="417" t="s">
        <v>563</v>
      </c>
      <c r="E1930" s="423">
        <v>6.1448071852687987</v>
      </c>
      <c r="F1930" s="423">
        <v>16.077662819396711</v>
      </c>
      <c r="G1930" s="422">
        <v>7110.8833455568501</v>
      </c>
      <c r="H1930" s="417" t="s">
        <v>2616</v>
      </c>
      <c r="I1930" s="417" t="s">
        <v>1392</v>
      </c>
      <c r="J1930" s="417" t="s">
        <v>4364</v>
      </c>
      <c r="K1930" s="417" t="s">
        <v>6270</v>
      </c>
      <c r="L1930" s="417"/>
      <c r="M1930" s="417" t="s">
        <v>28840</v>
      </c>
    </row>
    <row r="1931" spans="1:13" x14ac:dyDescent="0.25">
      <c r="A1931" s="417" t="s">
        <v>3385</v>
      </c>
      <c r="B1931" s="417" t="s">
        <v>2623</v>
      </c>
      <c r="C1931" s="417" t="s">
        <v>6271</v>
      </c>
      <c r="D1931" s="417" t="s">
        <v>563</v>
      </c>
      <c r="E1931" s="423">
        <v>6.9032359731187887</v>
      </c>
      <c r="F1931" s="423">
        <v>9.7895807588599997</v>
      </c>
      <c r="G1931" s="422">
        <v>7638.8604649042809</v>
      </c>
      <c r="H1931" s="417" t="s">
        <v>2616</v>
      </c>
      <c r="I1931" s="417" t="s">
        <v>1392</v>
      </c>
      <c r="J1931" s="417" t="s">
        <v>4364</v>
      </c>
      <c r="K1931" s="417" t="s">
        <v>6272</v>
      </c>
      <c r="L1931" s="417"/>
      <c r="M1931" s="417" t="s">
        <v>28840</v>
      </c>
    </row>
    <row r="1932" spans="1:13" x14ac:dyDescent="0.25">
      <c r="A1932" s="417" t="s">
        <v>3385</v>
      </c>
      <c r="B1932" s="417" t="s">
        <v>2623</v>
      </c>
      <c r="C1932" s="417" t="s">
        <v>6273</v>
      </c>
      <c r="D1932" s="417" t="s">
        <v>563</v>
      </c>
      <c r="E1932" s="423">
        <v>45.546378058219247</v>
      </c>
      <c r="F1932" s="423">
        <v>99.532324289047224</v>
      </c>
      <c r="G1932" s="422">
        <v>52703.312870004112</v>
      </c>
      <c r="H1932" s="417" t="s">
        <v>2616</v>
      </c>
      <c r="I1932" s="417" t="s">
        <v>1392</v>
      </c>
      <c r="J1932" s="417" t="s">
        <v>4364</v>
      </c>
      <c r="K1932" s="417" t="s">
        <v>6274</v>
      </c>
      <c r="L1932" s="417"/>
      <c r="M1932" s="417" t="s">
        <v>28840</v>
      </c>
    </row>
    <row r="1933" spans="1:13" x14ac:dyDescent="0.25">
      <c r="A1933" s="417" t="s">
        <v>3385</v>
      </c>
      <c r="B1933" s="417" t="s">
        <v>2623</v>
      </c>
      <c r="C1933" s="417" t="s">
        <v>6275</v>
      </c>
      <c r="D1933" s="417" t="s">
        <v>563</v>
      </c>
      <c r="E1933" s="423">
        <v>7.3577624730319027</v>
      </c>
      <c r="F1933" s="423">
        <v>16.078208822414251</v>
      </c>
      <c r="G1933" s="422">
        <v>8513.9084387264556</v>
      </c>
      <c r="H1933" s="417" t="s">
        <v>2616</v>
      </c>
      <c r="I1933" s="417" t="s">
        <v>1392</v>
      </c>
      <c r="J1933" s="417" t="s">
        <v>4364</v>
      </c>
      <c r="K1933" s="417" t="s">
        <v>6276</v>
      </c>
      <c r="L1933" s="417"/>
      <c r="M1933" s="417" t="s">
        <v>28840</v>
      </c>
    </row>
    <row r="1934" spans="1:13" x14ac:dyDescent="0.25">
      <c r="A1934" s="417" t="s">
        <v>3385</v>
      </c>
      <c r="B1934" s="417" t="s">
        <v>2623</v>
      </c>
      <c r="C1934" s="417" t="s">
        <v>6277</v>
      </c>
      <c r="D1934" s="417" t="s">
        <v>563</v>
      </c>
      <c r="E1934" s="423">
        <v>36.483738113286741</v>
      </c>
      <c r="F1934" s="423">
        <v>119.42461661086941</v>
      </c>
      <c r="G1934" s="422">
        <v>44100.897858662509</v>
      </c>
      <c r="H1934" s="417" t="s">
        <v>2616</v>
      </c>
      <c r="I1934" s="417" t="s">
        <v>1392</v>
      </c>
      <c r="J1934" s="417" t="s">
        <v>4364</v>
      </c>
      <c r="K1934" s="417" t="s">
        <v>6278</v>
      </c>
      <c r="L1934" s="417"/>
      <c r="M1934" s="417" t="s">
        <v>28840</v>
      </c>
    </row>
    <row r="1935" spans="1:13" x14ac:dyDescent="0.25">
      <c r="A1935" s="417" t="s">
        <v>3385</v>
      </c>
      <c r="B1935" s="417" t="s">
        <v>2623</v>
      </c>
      <c r="C1935" s="417" t="s">
        <v>6279</v>
      </c>
      <c r="D1935" s="417" t="s">
        <v>563</v>
      </c>
      <c r="E1935" s="423">
        <v>5.8938609834644753</v>
      </c>
      <c r="F1935" s="423">
        <v>19.2928735861231</v>
      </c>
      <c r="G1935" s="422">
        <v>7124.395168100471</v>
      </c>
      <c r="H1935" s="417" t="s">
        <v>2616</v>
      </c>
      <c r="I1935" s="417" t="s">
        <v>1392</v>
      </c>
      <c r="J1935" s="417" t="s">
        <v>4364</v>
      </c>
      <c r="K1935" s="417" t="s">
        <v>6280</v>
      </c>
      <c r="L1935" s="417"/>
      <c r="M1935" s="417" t="s">
        <v>28840</v>
      </c>
    </row>
    <row r="1936" spans="1:13" x14ac:dyDescent="0.25">
      <c r="A1936" s="417" t="s">
        <v>3385</v>
      </c>
      <c r="B1936" s="417" t="s">
        <v>2623</v>
      </c>
      <c r="C1936" s="417" t="s">
        <v>6281</v>
      </c>
      <c r="D1936" s="417" t="s">
        <v>563</v>
      </c>
      <c r="E1936" s="423">
        <v>30.80960083033122</v>
      </c>
      <c r="F1936" s="423">
        <v>119.4220619810621</v>
      </c>
      <c r="G1936" s="422">
        <v>37537.617017682591</v>
      </c>
      <c r="H1936" s="417" t="s">
        <v>2616</v>
      </c>
      <c r="I1936" s="417" t="s">
        <v>1392</v>
      </c>
      <c r="J1936" s="417" t="s">
        <v>4364</v>
      </c>
      <c r="K1936" s="417" t="s">
        <v>6282</v>
      </c>
      <c r="L1936" s="417"/>
      <c r="M1936" s="417" t="s">
        <v>28840</v>
      </c>
    </row>
    <row r="1937" spans="1:13" x14ac:dyDescent="0.25">
      <c r="A1937" s="417" t="s">
        <v>3385</v>
      </c>
      <c r="B1937" s="417" t="s">
        <v>2623</v>
      </c>
      <c r="C1937" s="417" t="s">
        <v>6283</v>
      </c>
      <c r="D1937" s="417" t="s">
        <v>563</v>
      </c>
      <c r="E1937" s="423">
        <v>4.9771678765681244</v>
      </c>
      <c r="F1937" s="423">
        <v>19.292460990749639</v>
      </c>
      <c r="G1937" s="422">
        <v>6064.0572500423359</v>
      </c>
      <c r="H1937" s="417" t="s">
        <v>2616</v>
      </c>
      <c r="I1937" s="417" t="s">
        <v>1392</v>
      </c>
      <c r="J1937" s="417" t="s">
        <v>4364</v>
      </c>
      <c r="K1937" s="417" t="s">
        <v>6284</v>
      </c>
      <c r="L1937" s="417"/>
      <c r="M1937" s="417" t="s">
        <v>28840</v>
      </c>
    </row>
    <row r="1938" spans="1:13" x14ac:dyDescent="0.25">
      <c r="A1938" s="417" t="s">
        <v>3385</v>
      </c>
      <c r="B1938" s="417" t="s">
        <v>2623</v>
      </c>
      <c r="C1938" s="417" t="s">
        <v>6285</v>
      </c>
      <c r="D1938" s="417" t="s">
        <v>563</v>
      </c>
      <c r="E1938" s="423">
        <v>3.363705844917785</v>
      </c>
      <c r="F1938" s="423">
        <v>10.57174466283</v>
      </c>
      <c r="G1938" s="422">
        <v>3964.3963919541911</v>
      </c>
      <c r="H1938" s="417" t="s">
        <v>2616</v>
      </c>
      <c r="I1938" s="417" t="s">
        <v>1392</v>
      </c>
      <c r="J1938" s="417" t="s">
        <v>4364</v>
      </c>
      <c r="K1938" s="417" t="s">
        <v>6286</v>
      </c>
      <c r="L1938" s="417"/>
      <c r="M1938" s="417" t="s">
        <v>28840</v>
      </c>
    </row>
    <row r="1939" spans="1:13" x14ac:dyDescent="0.25">
      <c r="A1939" s="417" t="s">
        <v>3385</v>
      </c>
      <c r="B1939" s="417" t="s">
        <v>2623</v>
      </c>
      <c r="C1939" s="417" t="s">
        <v>6287</v>
      </c>
      <c r="D1939" s="417" t="s">
        <v>563</v>
      </c>
      <c r="E1939" s="423">
        <v>37.902272426891159</v>
      </c>
      <c r="F1939" s="423">
        <v>119.42525526578061</v>
      </c>
      <c r="G1939" s="422">
        <v>45741.718054365752</v>
      </c>
      <c r="H1939" s="417" t="s">
        <v>2616</v>
      </c>
      <c r="I1939" s="417" t="s">
        <v>1392</v>
      </c>
      <c r="J1939" s="417" t="s">
        <v>4364</v>
      </c>
      <c r="K1939" s="417" t="s">
        <v>6288</v>
      </c>
      <c r="L1939" s="417"/>
      <c r="M1939" s="417" t="s">
        <v>28840</v>
      </c>
    </row>
    <row r="1940" spans="1:13" x14ac:dyDescent="0.25">
      <c r="A1940" s="417" t="s">
        <v>3385</v>
      </c>
      <c r="B1940" s="417" t="s">
        <v>2623</v>
      </c>
      <c r="C1940" s="417" t="s">
        <v>6289</v>
      </c>
      <c r="D1940" s="417" t="s">
        <v>563</v>
      </c>
      <c r="E1940" s="423">
        <v>6.1230342607375228</v>
      </c>
      <c r="F1940" s="423">
        <v>19.292976735193289</v>
      </c>
      <c r="G1940" s="422">
        <v>7389.4796474797886</v>
      </c>
      <c r="H1940" s="417" t="s">
        <v>2616</v>
      </c>
      <c r="I1940" s="417" t="s">
        <v>1392</v>
      </c>
      <c r="J1940" s="417" t="s">
        <v>4364</v>
      </c>
      <c r="K1940" s="417" t="s">
        <v>6290</v>
      </c>
      <c r="L1940" s="417"/>
      <c r="M1940" s="417" t="s">
        <v>28840</v>
      </c>
    </row>
    <row r="1941" spans="1:13" x14ac:dyDescent="0.25">
      <c r="A1941" s="417" t="s">
        <v>3385</v>
      </c>
      <c r="B1941" s="417" t="s">
        <v>2623</v>
      </c>
      <c r="C1941" s="417" t="s">
        <v>6291</v>
      </c>
      <c r="D1941" s="417" t="s">
        <v>989</v>
      </c>
      <c r="E1941" s="423">
        <v>1407.9883906204659</v>
      </c>
      <c r="F1941" s="423">
        <v>1.039222121223768</v>
      </c>
      <c r="G1941" s="422">
        <v>1473145.3253699429</v>
      </c>
      <c r="H1941" s="417" t="s">
        <v>2616</v>
      </c>
      <c r="I1941" s="417" t="s">
        <v>1392</v>
      </c>
      <c r="J1941" s="417" t="s">
        <v>5983</v>
      </c>
      <c r="K1941" s="417" t="s">
        <v>6292</v>
      </c>
      <c r="L1941" s="417"/>
      <c r="M1941" s="417" t="s">
        <v>28840</v>
      </c>
    </row>
    <row r="1942" spans="1:13" x14ac:dyDescent="0.25">
      <c r="A1942" s="417" t="s">
        <v>3385</v>
      </c>
      <c r="B1942" s="417" t="s">
        <v>2623</v>
      </c>
      <c r="C1942" s="417" t="s">
        <v>6293</v>
      </c>
      <c r="D1942" s="417" t="s">
        <v>88</v>
      </c>
      <c r="E1942" s="423">
        <v>2.591218040429538</v>
      </c>
      <c r="F1942" s="423">
        <v>0.13140409200459999</v>
      </c>
      <c r="G1942" s="422">
        <v>3959.8435224771538</v>
      </c>
      <c r="H1942" s="417" t="s">
        <v>2616</v>
      </c>
      <c r="I1942" s="417" t="s">
        <v>1392</v>
      </c>
      <c r="J1942" s="417" t="s">
        <v>6002</v>
      </c>
      <c r="K1942" s="417" t="s">
        <v>6294</v>
      </c>
      <c r="L1942" s="417"/>
      <c r="M1942" s="417" t="s">
        <v>28840</v>
      </c>
    </row>
    <row r="1943" spans="1:13" x14ac:dyDescent="0.25">
      <c r="A1943" s="417" t="s">
        <v>3385</v>
      </c>
      <c r="B1943" s="417" t="s">
        <v>2623</v>
      </c>
      <c r="C1943" s="417" t="s">
        <v>6295</v>
      </c>
      <c r="D1943" s="417" t="s">
        <v>88</v>
      </c>
      <c r="E1943" s="423">
        <v>0.69300036061422676</v>
      </c>
      <c r="F1943" s="423">
        <v>1.1275019552099039</v>
      </c>
      <c r="G1943" s="422">
        <v>752.88001186905262</v>
      </c>
      <c r="H1943" s="417" t="s">
        <v>2616</v>
      </c>
      <c r="I1943" s="417" t="s">
        <v>1392</v>
      </c>
      <c r="J1943" s="417" t="s">
        <v>4364</v>
      </c>
      <c r="K1943" s="417" t="s">
        <v>6296</v>
      </c>
      <c r="L1943" s="417"/>
      <c r="M1943" s="417" t="s">
        <v>28840</v>
      </c>
    </row>
    <row r="1944" spans="1:13" x14ac:dyDescent="0.25">
      <c r="A1944" s="417" t="s">
        <v>3385</v>
      </c>
      <c r="B1944" s="417" t="s">
        <v>2623</v>
      </c>
      <c r="C1944" s="417" t="s">
        <v>6297</v>
      </c>
      <c r="D1944" s="417" t="s">
        <v>563</v>
      </c>
      <c r="E1944" s="423">
        <v>1.8539924046437499</v>
      </c>
      <c r="F1944" s="423">
        <v>2.974456135413579</v>
      </c>
      <c r="G1944" s="422">
        <v>2063.720825246327</v>
      </c>
      <c r="H1944" s="417" t="s">
        <v>2616</v>
      </c>
      <c r="I1944" s="417" t="s">
        <v>1392</v>
      </c>
      <c r="J1944" s="417" t="s">
        <v>4364</v>
      </c>
      <c r="K1944" s="417" t="s">
        <v>6298</v>
      </c>
      <c r="L1944" s="417"/>
      <c r="M1944" s="417" t="s">
        <v>28840</v>
      </c>
    </row>
    <row r="1945" spans="1:13" x14ac:dyDescent="0.25">
      <c r="A1945" s="417" t="s">
        <v>3385</v>
      </c>
      <c r="B1945" s="417" t="s">
        <v>2623</v>
      </c>
      <c r="C1945" s="417" t="s">
        <v>6299</v>
      </c>
      <c r="D1945" s="417" t="s">
        <v>88</v>
      </c>
      <c r="E1945" s="423">
        <v>1.0633757112191789E-2</v>
      </c>
      <c r="F1945" s="423">
        <v>3.4574117200529011E-4</v>
      </c>
      <c r="G1945" s="422">
        <v>27.68374703999234</v>
      </c>
      <c r="H1945" s="417" t="s">
        <v>2616</v>
      </c>
      <c r="I1945" s="417" t="s">
        <v>1392</v>
      </c>
      <c r="J1945" s="417" t="s">
        <v>6015</v>
      </c>
      <c r="K1945" s="417" t="s">
        <v>6300</v>
      </c>
      <c r="L1945" s="417"/>
      <c r="M1945" s="417" t="s">
        <v>28840</v>
      </c>
    </row>
    <row r="1946" spans="1:13" x14ac:dyDescent="0.25">
      <c r="A1946" s="417" t="s">
        <v>3385</v>
      </c>
      <c r="B1946" s="417" t="s">
        <v>2623</v>
      </c>
      <c r="C1946" s="417" t="s">
        <v>6301</v>
      </c>
      <c r="D1946" s="417" t="s">
        <v>88</v>
      </c>
      <c r="E1946" s="423">
        <v>1.0633757112191789E-2</v>
      </c>
      <c r="F1946" s="423">
        <v>3.4574117200529011E-4</v>
      </c>
      <c r="G1946" s="422">
        <v>27.676216559992341</v>
      </c>
      <c r="H1946" s="417" t="s">
        <v>2616</v>
      </c>
      <c r="I1946" s="417" t="s">
        <v>1392</v>
      </c>
      <c r="J1946" s="417" t="s">
        <v>6015</v>
      </c>
      <c r="K1946" s="417" t="s">
        <v>6302</v>
      </c>
      <c r="L1946" s="417"/>
      <c r="M1946" s="417" t="s">
        <v>28840</v>
      </c>
    </row>
    <row r="1947" spans="1:13" x14ac:dyDescent="0.25">
      <c r="A1947" s="417" t="s">
        <v>3385</v>
      </c>
      <c r="B1947" s="417" t="s">
        <v>2623</v>
      </c>
      <c r="C1947" s="417" t="s">
        <v>6303</v>
      </c>
      <c r="D1947" s="417" t="s">
        <v>88</v>
      </c>
      <c r="E1947" s="423">
        <v>0.25788583250413438</v>
      </c>
      <c r="F1947" s="423">
        <v>4.7923796502258292E-3</v>
      </c>
      <c r="G1947" s="422">
        <v>144236.17995861519</v>
      </c>
      <c r="H1947" s="417" t="s">
        <v>2616</v>
      </c>
      <c r="I1947" s="417" t="s">
        <v>1392</v>
      </c>
      <c r="J1947" s="417" t="s">
        <v>6304</v>
      </c>
      <c r="K1947" s="417" t="s">
        <v>6305</v>
      </c>
      <c r="L1947" s="417"/>
      <c r="M1947" s="417" t="s">
        <v>28840</v>
      </c>
    </row>
    <row r="1948" spans="1:13" x14ac:dyDescent="0.25">
      <c r="A1948" s="417" t="s">
        <v>3385</v>
      </c>
      <c r="B1948" s="417" t="s">
        <v>2623</v>
      </c>
      <c r="C1948" s="417" t="s">
        <v>6306</v>
      </c>
      <c r="D1948" s="417" t="s">
        <v>88</v>
      </c>
      <c r="E1948" s="423">
        <v>0.98799057845505767</v>
      </c>
      <c r="F1948" s="423">
        <v>4.0279932637506937E-3</v>
      </c>
      <c r="G1948" s="422">
        <v>1074.449223855928</v>
      </c>
      <c r="H1948" s="417" t="s">
        <v>2616</v>
      </c>
      <c r="I1948" s="417" t="s">
        <v>1392</v>
      </c>
      <c r="J1948" s="417" t="s">
        <v>5990</v>
      </c>
      <c r="K1948" s="417" t="s">
        <v>6307</v>
      </c>
      <c r="L1948" s="417"/>
      <c r="M1948" s="417" t="s">
        <v>28840</v>
      </c>
    </row>
    <row r="1949" spans="1:13" x14ac:dyDescent="0.25">
      <c r="A1949" s="417" t="s">
        <v>3385</v>
      </c>
      <c r="B1949" s="417" t="s">
        <v>2623</v>
      </c>
      <c r="C1949" s="417" t="s">
        <v>6308</v>
      </c>
      <c r="D1949" s="417" t="s">
        <v>88</v>
      </c>
      <c r="E1949" s="423">
        <v>1.1884938181875689E-2</v>
      </c>
      <c r="F1949" s="423">
        <v>0.52705910998912453</v>
      </c>
      <c r="G1949" s="422">
        <v>32.532720446344747</v>
      </c>
      <c r="H1949" s="417" t="s">
        <v>2616</v>
      </c>
      <c r="I1949" s="417" t="s">
        <v>1392</v>
      </c>
      <c r="J1949" s="417" t="s">
        <v>5990</v>
      </c>
      <c r="K1949" s="417" t="s">
        <v>6309</v>
      </c>
      <c r="L1949" s="417"/>
      <c r="M1949" s="417" t="s">
        <v>28840</v>
      </c>
    </row>
    <row r="1950" spans="1:13" x14ac:dyDescent="0.25">
      <c r="A1950" s="417" t="s">
        <v>3385</v>
      </c>
      <c r="B1950" s="417" t="s">
        <v>2623</v>
      </c>
      <c r="C1950" s="417" t="s">
        <v>6310</v>
      </c>
      <c r="D1950" s="417" t="s">
        <v>88</v>
      </c>
      <c r="E1950" s="423">
        <v>1.0999152420179781E-3</v>
      </c>
      <c r="F1950" s="423">
        <v>6.6289031178703311E-5</v>
      </c>
      <c r="G1950" s="422">
        <v>28.559797210667501</v>
      </c>
      <c r="H1950" s="417" t="s">
        <v>2616</v>
      </c>
      <c r="I1950" s="417" t="s">
        <v>1392</v>
      </c>
      <c r="J1950" s="417" t="s">
        <v>6311</v>
      </c>
      <c r="K1950" s="417" t="s">
        <v>6312</v>
      </c>
      <c r="L1950" s="417"/>
      <c r="M1950" s="417" t="s">
        <v>28840</v>
      </c>
    </row>
    <row r="1951" spans="1:13" x14ac:dyDescent="0.25">
      <c r="A1951" s="417" t="s">
        <v>3385</v>
      </c>
      <c r="B1951" s="417" t="s">
        <v>2623</v>
      </c>
      <c r="C1951" s="417" t="s">
        <v>6313</v>
      </c>
      <c r="D1951" s="417" t="s">
        <v>88</v>
      </c>
      <c r="E1951" s="423">
        <v>1.0633757112191789E-2</v>
      </c>
      <c r="F1951" s="423">
        <v>3.4574117200529011E-4</v>
      </c>
      <c r="G1951" s="422">
        <v>61.287587913482319</v>
      </c>
      <c r="H1951" s="417" t="s">
        <v>2616</v>
      </c>
      <c r="I1951" s="417" t="s">
        <v>1392</v>
      </c>
      <c r="J1951" s="417" t="s">
        <v>6015</v>
      </c>
      <c r="K1951" s="417" t="s">
        <v>6314</v>
      </c>
      <c r="L1951" s="417"/>
      <c r="M1951" s="417" t="s">
        <v>28840</v>
      </c>
    </row>
    <row r="1952" spans="1:13" x14ac:dyDescent="0.25">
      <c r="A1952" s="417" t="s">
        <v>3385</v>
      </c>
      <c r="B1952" s="417" t="s">
        <v>2623</v>
      </c>
      <c r="C1952" s="417" t="s">
        <v>6315</v>
      </c>
      <c r="D1952" s="417" t="s">
        <v>563</v>
      </c>
      <c r="E1952" s="423">
        <v>0.2229894506239091</v>
      </c>
      <c r="F1952" s="423">
        <v>9.276178713810054E-3</v>
      </c>
      <c r="G1952" s="422">
        <v>752.52596324346882</v>
      </c>
      <c r="H1952" s="417" t="s">
        <v>2616</v>
      </c>
      <c r="I1952" s="417" t="s">
        <v>1392</v>
      </c>
      <c r="J1952" s="417" t="s">
        <v>4364</v>
      </c>
      <c r="K1952" s="417" t="s">
        <v>6316</v>
      </c>
      <c r="L1952" s="417"/>
      <c r="M1952" s="417" t="s">
        <v>28840</v>
      </c>
    </row>
    <row r="1953" spans="1:13" x14ac:dyDescent="0.25">
      <c r="A1953" s="417" t="s">
        <v>3385</v>
      </c>
      <c r="B1953" s="417" t="s">
        <v>2623</v>
      </c>
      <c r="C1953" s="417" t="s">
        <v>6317</v>
      </c>
      <c r="D1953" s="417" t="s">
        <v>88</v>
      </c>
      <c r="E1953" s="423">
        <v>3.132105697755292E-2</v>
      </c>
      <c r="F1953" s="423">
        <v>1.446828282002846E-3</v>
      </c>
      <c r="G1953" s="422">
        <v>67.972239618713047</v>
      </c>
      <c r="H1953" s="417" t="s">
        <v>2616</v>
      </c>
      <c r="I1953" s="417" t="s">
        <v>1392</v>
      </c>
      <c r="J1953" s="417" t="s">
        <v>5990</v>
      </c>
      <c r="K1953" s="417" t="s">
        <v>6318</v>
      </c>
      <c r="L1953" s="417"/>
      <c r="M1953" s="417" t="s">
        <v>28840</v>
      </c>
    </row>
    <row r="1954" spans="1:13" x14ac:dyDescent="0.25">
      <c r="A1954" s="417" t="s">
        <v>3385</v>
      </c>
      <c r="B1954" s="417" t="s">
        <v>2623</v>
      </c>
      <c r="C1954" s="417" t="s">
        <v>6319</v>
      </c>
      <c r="D1954" s="417" t="s">
        <v>88</v>
      </c>
      <c r="E1954" s="423">
        <v>5.8792884941340771E-4</v>
      </c>
      <c r="F1954" s="423">
        <v>3.9444181494009583E-5</v>
      </c>
      <c r="G1954" s="422">
        <v>1.43756020675327</v>
      </c>
      <c r="H1954" s="417" t="s">
        <v>2616</v>
      </c>
      <c r="I1954" s="417" t="s">
        <v>1392</v>
      </c>
      <c r="J1954" s="417" t="s">
        <v>6320</v>
      </c>
      <c r="K1954" s="417" t="s">
        <v>6321</v>
      </c>
      <c r="L1954" s="417"/>
      <c r="M1954" s="417" t="s">
        <v>28840</v>
      </c>
    </row>
    <row r="1955" spans="1:13" x14ac:dyDescent="0.25">
      <c r="A1955" s="417" t="s">
        <v>3385</v>
      </c>
      <c r="B1955" s="417" t="s">
        <v>2627</v>
      </c>
      <c r="C1955" s="417" t="s">
        <v>6322</v>
      </c>
      <c r="D1955" s="417" t="s">
        <v>4315</v>
      </c>
      <c r="E1955" s="423">
        <v>0</v>
      </c>
      <c r="F1955" s="423">
        <v>0</v>
      </c>
      <c r="G1955" s="422">
        <v>0</v>
      </c>
      <c r="H1955" s="417" t="s">
        <v>2616</v>
      </c>
      <c r="I1955" s="417" t="s">
        <v>1392</v>
      </c>
      <c r="J1955" s="417" t="s">
        <v>4138</v>
      </c>
      <c r="K1955" s="417" t="s">
        <v>6323</v>
      </c>
      <c r="L1955" s="417"/>
      <c r="M1955" s="417" t="s">
        <v>28840</v>
      </c>
    </row>
    <row r="1956" spans="1:13" x14ac:dyDescent="0.25">
      <c r="A1956" s="417" t="s">
        <v>3385</v>
      </c>
      <c r="B1956" s="417" t="s">
        <v>2627</v>
      </c>
      <c r="C1956" s="417" t="s">
        <v>6324</v>
      </c>
      <c r="D1956" s="417" t="s">
        <v>4315</v>
      </c>
      <c r="E1956" s="423">
        <v>0</v>
      </c>
      <c r="F1956" s="423">
        <v>0</v>
      </c>
      <c r="G1956" s="422">
        <v>0</v>
      </c>
      <c r="H1956" s="417" t="s">
        <v>2616</v>
      </c>
      <c r="I1956" s="417" t="s">
        <v>1392</v>
      </c>
      <c r="J1956" s="417" t="s">
        <v>4138</v>
      </c>
      <c r="K1956" s="417" t="s">
        <v>6325</v>
      </c>
      <c r="L1956" s="417"/>
      <c r="M1956" s="417" t="s">
        <v>28840</v>
      </c>
    </row>
    <row r="1957" spans="1:13" x14ac:dyDescent="0.25">
      <c r="A1957" s="417" t="s">
        <v>3385</v>
      </c>
      <c r="B1957" s="417" t="s">
        <v>2627</v>
      </c>
      <c r="C1957" s="417" t="s">
        <v>6326</v>
      </c>
      <c r="D1957" s="417" t="s">
        <v>4315</v>
      </c>
      <c r="E1957" s="423">
        <v>0</v>
      </c>
      <c r="F1957" s="423">
        <v>0</v>
      </c>
      <c r="G1957" s="422">
        <v>0</v>
      </c>
      <c r="H1957" s="417" t="s">
        <v>2616</v>
      </c>
      <c r="I1957" s="417" t="s">
        <v>1392</v>
      </c>
      <c r="J1957" s="417" t="s">
        <v>4138</v>
      </c>
      <c r="K1957" s="417" t="s">
        <v>6327</v>
      </c>
      <c r="L1957" s="417"/>
      <c r="M1957" s="417" t="s">
        <v>28840</v>
      </c>
    </row>
    <row r="1958" spans="1:13" x14ac:dyDescent="0.25">
      <c r="A1958" s="417" t="s">
        <v>3385</v>
      </c>
      <c r="B1958" s="417" t="s">
        <v>2627</v>
      </c>
      <c r="C1958" s="417" t="s">
        <v>6328</v>
      </c>
      <c r="D1958" s="417" t="s">
        <v>4315</v>
      </c>
      <c r="E1958" s="423">
        <v>0</v>
      </c>
      <c r="F1958" s="423">
        <v>0</v>
      </c>
      <c r="G1958" s="422">
        <v>0</v>
      </c>
      <c r="H1958" s="417" t="s">
        <v>2616</v>
      </c>
      <c r="I1958" s="417" t="s">
        <v>1392</v>
      </c>
      <c r="J1958" s="417" t="s">
        <v>4138</v>
      </c>
      <c r="K1958" s="417" t="s">
        <v>6329</v>
      </c>
      <c r="L1958" s="417"/>
      <c r="M1958" s="417" t="s">
        <v>28840</v>
      </c>
    </row>
    <row r="1959" spans="1:13" x14ac:dyDescent="0.25">
      <c r="A1959" s="417" t="s">
        <v>3385</v>
      </c>
      <c r="B1959" s="417" t="s">
        <v>2627</v>
      </c>
      <c r="C1959" s="417" t="s">
        <v>6330</v>
      </c>
      <c r="D1959" s="417" t="s">
        <v>4315</v>
      </c>
      <c r="E1959" s="423">
        <v>0</v>
      </c>
      <c r="F1959" s="423">
        <v>0</v>
      </c>
      <c r="G1959" s="422">
        <v>0</v>
      </c>
      <c r="H1959" s="417" t="s">
        <v>2616</v>
      </c>
      <c r="I1959" s="417" t="s">
        <v>1392</v>
      </c>
      <c r="J1959" s="417" t="s">
        <v>4138</v>
      </c>
      <c r="K1959" s="417" t="s">
        <v>6331</v>
      </c>
      <c r="L1959" s="417"/>
      <c r="M1959" s="417" t="s">
        <v>28840</v>
      </c>
    </row>
    <row r="1960" spans="1:13" x14ac:dyDescent="0.25">
      <c r="A1960" s="417" t="s">
        <v>3385</v>
      </c>
      <c r="B1960" s="417" t="s">
        <v>2627</v>
      </c>
      <c r="C1960" s="417" t="s">
        <v>6332</v>
      </c>
      <c r="D1960" s="417" t="s">
        <v>4315</v>
      </c>
      <c r="E1960" s="423">
        <v>0</v>
      </c>
      <c r="F1960" s="423">
        <v>0</v>
      </c>
      <c r="G1960" s="422">
        <v>0</v>
      </c>
      <c r="H1960" s="417" t="s">
        <v>2616</v>
      </c>
      <c r="I1960" s="417" t="s">
        <v>1392</v>
      </c>
      <c r="J1960" s="417" t="s">
        <v>4138</v>
      </c>
      <c r="K1960" s="417" t="s">
        <v>6333</v>
      </c>
      <c r="L1960" s="417"/>
      <c r="M1960" s="417" t="s">
        <v>28840</v>
      </c>
    </row>
    <row r="1961" spans="1:13" x14ac:dyDescent="0.25">
      <c r="A1961" s="417" t="s">
        <v>3385</v>
      </c>
      <c r="B1961" s="417" t="s">
        <v>2627</v>
      </c>
      <c r="C1961" s="417" t="s">
        <v>6334</v>
      </c>
      <c r="D1961" s="417" t="s">
        <v>4315</v>
      </c>
      <c r="E1961" s="423">
        <v>0</v>
      </c>
      <c r="F1961" s="423">
        <v>0</v>
      </c>
      <c r="G1961" s="422">
        <v>0</v>
      </c>
      <c r="H1961" s="417" t="s">
        <v>2616</v>
      </c>
      <c r="I1961" s="417" t="s">
        <v>1392</v>
      </c>
      <c r="J1961" s="417" t="s">
        <v>4138</v>
      </c>
      <c r="K1961" s="417" t="s">
        <v>6335</v>
      </c>
      <c r="L1961" s="417"/>
      <c r="M1961" s="417" t="s">
        <v>28840</v>
      </c>
    </row>
    <row r="1962" spans="1:13" x14ac:dyDescent="0.25">
      <c r="A1962" s="417" t="s">
        <v>3385</v>
      </c>
      <c r="B1962" s="417" t="s">
        <v>2623</v>
      </c>
      <c r="C1962" s="417" t="s">
        <v>6336</v>
      </c>
      <c r="D1962" s="417" t="s">
        <v>88</v>
      </c>
      <c r="E1962" s="423">
        <v>1.099915240181201E-3</v>
      </c>
      <c r="F1962" s="423">
        <v>6.6289030622056311E-5</v>
      </c>
      <c r="G1962" s="422">
        <v>80.30168146195092</v>
      </c>
      <c r="H1962" s="417" t="s">
        <v>2616</v>
      </c>
      <c r="I1962" s="417" t="s">
        <v>1392</v>
      </c>
      <c r="J1962" s="417" t="s">
        <v>6311</v>
      </c>
      <c r="K1962" s="417" t="s">
        <v>6337</v>
      </c>
      <c r="L1962" s="417"/>
      <c r="M1962" s="417" t="s">
        <v>28840</v>
      </c>
    </row>
    <row r="1963" spans="1:13" x14ac:dyDescent="0.25">
      <c r="A1963" s="417" t="s">
        <v>3385</v>
      </c>
      <c r="B1963" s="417" t="s">
        <v>2627</v>
      </c>
      <c r="C1963" s="417" t="s">
        <v>6338</v>
      </c>
      <c r="D1963" s="417" t="s">
        <v>88</v>
      </c>
      <c r="E1963" s="423">
        <v>0</v>
      </c>
      <c r="F1963" s="423">
        <v>0</v>
      </c>
      <c r="G1963" s="422">
        <v>0</v>
      </c>
      <c r="H1963" s="417" t="s">
        <v>2616</v>
      </c>
      <c r="I1963" s="417" t="s">
        <v>1392</v>
      </c>
      <c r="J1963" s="417" t="s">
        <v>4310</v>
      </c>
      <c r="K1963" s="417" t="s">
        <v>6339</v>
      </c>
      <c r="L1963" s="417"/>
      <c r="M1963" s="417" t="s">
        <v>28840</v>
      </c>
    </row>
    <row r="1964" spans="1:13" x14ac:dyDescent="0.25">
      <c r="A1964" s="417" t="s">
        <v>3385</v>
      </c>
      <c r="B1964" s="417" t="s">
        <v>2623</v>
      </c>
      <c r="C1964" s="417" t="s">
        <v>6340</v>
      </c>
      <c r="D1964" s="417" t="s">
        <v>88</v>
      </c>
      <c r="E1964" s="423">
        <v>1.2454555428250641E-2</v>
      </c>
      <c r="F1964" s="423">
        <v>4.8356273531152748E-4</v>
      </c>
      <c r="G1964" s="422">
        <v>35.00503222279302</v>
      </c>
      <c r="H1964" s="417" t="s">
        <v>2616</v>
      </c>
      <c r="I1964" s="417" t="s">
        <v>1392</v>
      </c>
      <c r="J1964" s="417" t="s">
        <v>4364</v>
      </c>
      <c r="K1964" s="417" t="s">
        <v>6341</v>
      </c>
      <c r="L1964" s="417"/>
      <c r="M1964" s="417" t="s">
        <v>28840</v>
      </c>
    </row>
    <row r="1965" spans="1:13" x14ac:dyDescent="0.25">
      <c r="A1965" s="417" t="s">
        <v>3385</v>
      </c>
      <c r="B1965" s="417" t="s">
        <v>2623</v>
      </c>
      <c r="C1965" s="417" t="s">
        <v>6342</v>
      </c>
      <c r="D1965" s="417" t="s">
        <v>88</v>
      </c>
      <c r="E1965" s="423">
        <v>6.2815091482489611E-3</v>
      </c>
      <c r="F1965" s="423">
        <v>4.2598059512800152E-4</v>
      </c>
      <c r="G1965" s="422">
        <v>57.750651779377108</v>
      </c>
      <c r="H1965" s="417" t="s">
        <v>2616</v>
      </c>
      <c r="I1965" s="417" t="s">
        <v>1392</v>
      </c>
      <c r="J1965" s="417" t="s">
        <v>4364</v>
      </c>
      <c r="K1965" s="417" t="s">
        <v>6343</v>
      </c>
      <c r="L1965" s="417"/>
      <c r="M1965" s="417" t="s">
        <v>28840</v>
      </c>
    </row>
    <row r="1966" spans="1:13" x14ac:dyDescent="0.25">
      <c r="A1966" s="417" t="s">
        <v>3385</v>
      </c>
      <c r="B1966" s="417" t="s">
        <v>2623</v>
      </c>
      <c r="C1966" s="417" t="s">
        <v>6344</v>
      </c>
      <c r="D1966" s="417" t="s">
        <v>989</v>
      </c>
      <c r="E1966" s="423">
        <v>4.3887022979145041</v>
      </c>
      <c r="F1966" s="423">
        <v>2.466791684036209E-2</v>
      </c>
      <c r="G1966" s="422">
        <v>4780.3251818663839</v>
      </c>
      <c r="H1966" s="417" t="s">
        <v>2616</v>
      </c>
      <c r="I1966" s="417" t="s">
        <v>1392</v>
      </c>
      <c r="J1966" s="417" t="s">
        <v>5974</v>
      </c>
      <c r="K1966" s="417" t="s">
        <v>6345</v>
      </c>
      <c r="L1966" s="417"/>
      <c r="M1966" s="417" t="s">
        <v>28840</v>
      </c>
    </row>
    <row r="1967" spans="1:13" x14ac:dyDescent="0.25">
      <c r="A1967" s="417" t="s">
        <v>3385</v>
      </c>
      <c r="B1967" s="417" t="s">
        <v>2623</v>
      </c>
      <c r="C1967" s="417" t="s">
        <v>6346</v>
      </c>
      <c r="D1967" s="417" t="s">
        <v>989</v>
      </c>
      <c r="E1967" s="423">
        <v>2.065348758855893</v>
      </c>
      <c r="F1967" s="423">
        <v>1.231677082609486E-2</v>
      </c>
      <c r="G1967" s="422">
        <v>2256.5936178641082</v>
      </c>
      <c r="H1967" s="417" t="s">
        <v>2616</v>
      </c>
      <c r="I1967" s="417" t="s">
        <v>1392</v>
      </c>
      <c r="J1967" s="417" t="s">
        <v>5974</v>
      </c>
      <c r="K1967" s="417" t="s">
        <v>6347</v>
      </c>
      <c r="L1967" s="417"/>
      <c r="M1967" s="417" t="s">
        <v>28840</v>
      </c>
    </row>
    <row r="1968" spans="1:13" x14ac:dyDescent="0.25">
      <c r="A1968" s="417" t="s">
        <v>3385</v>
      </c>
      <c r="B1968" s="417" t="s">
        <v>2623</v>
      </c>
      <c r="C1968" s="417" t="s">
        <v>6348</v>
      </c>
      <c r="D1968" s="417" t="s">
        <v>88</v>
      </c>
      <c r="E1968" s="423">
        <v>5.8463669870597304E-3</v>
      </c>
      <c r="F1968" s="423">
        <v>3.0126221294980281E-4</v>
      </c>
      <c r="G1968" s="422">
        <v>866.77050952965556</v>
      </c>
      <c r="H1968" s="417" t="s">
        <v>2616</v>
      </c>
      <c r="I1968" s="417" t="s">
        <v>1392</v>
      </c>
      <c r="J1968" s="417" t="s">
        <v>4364</v>
      </c>
      <c r="K1968" s="417" t="s">
        <v>6349</v>
      </c>
      <c r="L1968" s="417"/>
      <c r="M1968" s="417" t="s">
        <v>28840</v>
      </c>
    </row>
    <row r="1969" spans="1:13" x14ac:dyDescent="0.25">
      <c r="A1969" s="417" t="s">
        <v>3385</v>
      </c>
      <c r="B1969" s="417" t="s">
        <v>2627</v>
      </c>
      <c r="C1969" s="417" t="s">
        <v>6350</v>
      </c>
      <c r="D1969" s="417" t="s">
        <v>989</v>
      </c>
      <c r="E1969" s="423">
        <v>17.137792992490851</v>
      </c>
      <c r="F1969" s="423">
        <v>1.2592045608695521E-2</v>
      </c>
      <c r="G1969" s="422">
        <v>17770.94178290894</v>
      </c>
      <c r="H1969" s="417" t="s">
        <v>2616</v>
      </c>
      <c r="I1969" s="417" t="s">
        <v>1392</v>
      </c>
      <c r="J1969" s="417" t="s">
        <v>3798</v>
      </c>
      <c r="K1969" s="417" t="s">
        <v>6351</v>
      </c>
      <c r="L1969" s="417"/>
      <c r="M1969" s="417" t="s">
        <v>28840</v>
      </c>
    </row>
    <row r="1970" spans="1:13" x14ac:dyDescent="0.25">
      <c r="A1970" s="417" t="s">
        <v>3385</v>
      </c>
      <c r="B1970" s="417" t="s">
        <v>2623</v>
      </c>
      <c r="C1970" s="417" t="s">
        <v>6352</v>
      </c>
      <c r="D1970" s="417" t="s">
        <v>88</v>
      </c>
      <c r="E1970" s="423">
        <v>4.7014664650488099E-2</v>
      </c>
      <c r="F1970" s="423">
        <v>2.6194054237666251E-3</v>
      </c>
      <c r="G1970" s="422">
        <v>173.55161564007039</v>
      </c>
      <c r="H1970" s="417" t="s">
        <v>2616</v>
      </c>
      <c r="I1970" s="417" t="s">
        <v>1392</v>
      </c>
      <c r="J1970" s="417" t="s">
        <v>5990</v>
      </c>
      <c r="K1970" s="417" t="s">
        <v>6353</v>
      </c>
      <c r="L1970" s="417"/>
      <c r="M1970" s="417" t="s">
        <v>28840</v>
      </c>
    </row>
    <row r="1971" spans="1:13" x14ac:dyDescent="0.25">
      <c r="A1971" s="417" t="s">
        <v>3385</v>
      </c>
      <c r="B1971" s="417" t="s">
        <v>2623</v>
      </c>
      <c r="C1971" s="417" t="s">
        <v>6354</v>
      </c>
      <c r="D1971" s="417" t="s">
        <v>88</v>
      </c>
      <c r="E1971" s="423">
        <v>1.648228628495807E-2</v>
      </c>
      <c r="F1971" s="423">
        <v>7.9070645146616823E-4</v>
      </c>
      <c r="G1971" s="422">
        <v>36.205835844539877</v>
      </c>
      <c r="H1971" s="417" t="s">
        <v>2616</v>
      </c>
      <c r="I1971" s="417" t="s">
        <v>1392</v>
      </c>
      <c r="J1971" s="417" t="s">
        <v>5990</v>
      </c>
      <c r="K1971" s="417" t="s">
        <v>6355</v>
      </c>
      <c r="L1971" s="417"/>
      <c r="M1971" s="417" t="s">
        <v>28840</v>
      </c>
    </row>
    <row r="1972" spans="1:13" x14ac:dyDescent="0.25">
      <c r="A1972" s="417" t="s">
        <v>3385</v>
      </c>
      <c r="B1972" s="417" t="s">
        <v>2623</v>
      </c>
      <c r="C1972" s="417" t="s">
        <v>6356</v>
      </c>
      <c r="D1972" s="417" t="s">
        <v>88</v>
      </c>
      <c r="E1972" s="423">
        <v>2.2392171019113338E-2</v>
      </c>
      <c r="F1972" s="423">
        <v>1.4637419326186261</v>
      </c>
      <c r="G1972" s="422">
        <v>63.556244750391762</v>
      </c>
      <c r="H1972" s="417" t="s">
        <v>2616</v>
      </c>
      <c r="I1972" s="417" t="s">
        <v>1392</v>
      </c>
      <c r="J1972" s="417" t="s">
        <v>4364</v>
      </c>
      <c r="K1972" s="417" t="s">
        <v>6357</v>
      </c>
      <c r="L1972" s="417"/>
      <c r="M1972" s="417" t="s">
        <v>28840</v>
      </c>
    </row>
    <row r="1973" spans="1:13" x14ac:dyDescent="0.25">
      <c r="A1973" s="417" t="s">
        <v>3385</v>
      </c>
      <c r="B1973" s="417" t="s">
        <v>2623</v>
      </c>
      <c r="C1973" s="417" t="s">
        <v>6358</v>
      </c>
      <c r="D1973" s="417" t="s">
        <v>88</v>
      </c>
      <c r="E1973" s="423">
        <v>3.8102519095350951E-2</v>
      </c>
      <c r="F1973" s="423">
        <v>1.3986260094668841</v>
      </c>
      <c r="G1973" s="422">
        <v>171.11143840840111</v>
      </c>
      <c r="H1973" s="417" t="s">
        <v>2616</v>
      </c>
      <c r="I1973" s="417" t="s">
        <v>1392</v>
      </c>
      <c r="J1973" s="417" t="s">
        <v>4364</v>
      </c>
      <c r="K1973" s="417" t="s">
        <v>6359</v>
      </c>
      <c r="L1973" s="417"/>
      <c r="M1973" s="417" t="s">
        <v>28840</v>
      </c>
    </row>
    <row r="1974" spans="1:13" x14ac:dyDescent="0.25">
      <c r="A1974" s="417" t="s">
        <v>3385</v>
      </c>
      <c r="B1974" s="417" t="s">
        <v>2623</v>
      </c>
      <c r="C1974" s="417" t="s">
        <v>6360</v>
      </c>
      <c r="D1974" s="417" t="s">
        <v>88</v>
      </c>
      <c r="E1974" s="423">
        <v>1.3476030024601571</v>
      </c>
      <c r="F1974" s="423">
        <v>0.66366163072050677</v>
      </c>
      <c r="G1974" s="422">
        <v>1490.55211860855</v>
      </c>
      <c r="H1974" s="417" t="s">
        <v>2616</v>
      </c>
      <c r="I1974" s="417" t="s">
        <v>1392</v>
      </c>
      <c r="J1974" s="417" t="s">
        <v>4364</v>
      </c>
      <c r="K1974" s="417" t="s">
        <v>6361</v>
      </c>
      <c r="L1974" s="417"/>
      <c r="M1974" s="417" t="s">
        <v>28840</v>
      </c>
    </row>
    <row r="1975" spans="1:13" x14ac:dyDescent="0.25">
      <c r="A1975" s="417" t="s">
        <v>3385</v>
      </c>
      <c r="B1975" s="417" t="s">
        <v>2623</v>
      </c>
      <c r="C1975" s="417" t="s">
        <v>6362</v>
      </c>
      <c r="D1975" s="417" t="s">
        <v>563</v>
      </c>
      <c r="E1975" s="423">
        <v>3.5143773960194302</v>
      </c>
      <c r="F1975" s="423">
        <v>1.7132686898275751</v>
      </c>
      <c r="G1975" s="422">
        <v>4044.9289061161371</v>
      </c>
      <c r="H1975" s="417" t="s">
        <v>2616</v>
      </c>
      <c r="I1975" s="417" t="s">
        <v>1392</v>
      </c>
      <c r="J1975" s="417" t="s">
        <v>4364</v>
      </c>
      <c r="K1975" s="417" t="s">
        <v>6363</v>
      </c>
      <c r="L1975" s="417"/>
      <c r="M1975" s="417" t="s">
        <v>28840</v>
      </c>
    </row>
    <row r="1976" spans="1:13" x14ac:dyDescent="0.25">
      <c r="A1976" s="417" t="s">
        <v>3385</v>
      </c>
      <c r="B1976" s="417" t="s">
        <v>2623</v>
      </c>
      <c r="C1976" s="417" t="s">
        <v>6364</v>
      </c>
      <c r="D1976" s="417" t="s">
        <v>88</v>
      </c>
      <c r="E1976" s="423">
        <v>0.15840898506284121</v>
      </c>
      <c r="F1976" s="423">
        <v>1.3906685659222611</v>
      </c>
      <c r="G1976" s="422">
        <v>208.32546083163581</v>
      </c>
      <c r="H1976" s="417" t="s">
        <v>2616</v>
      </c>
      <c r="I1976" s="417" t="s">
        <v>1392</v>
      </c>
      <c r="J1976" s="417" t="s">
        <v>4364</v>
      </c>
      <c r="K1976" s="417" t="s">
        <v>6365</v>
      </c>
      <c r="L1976" s="417"/>
      <c r="M1976" s="417" t="s">
        <v>28840</v>
      </c>
    </row>
    <row r="1977" spans="1:13" x14ac:dyDescent="0.25">
      <c r="A1977" s="417" t="s">
        <v>3385</v>
      </c>
      <c r="B1977" s="417" t="s">
        <v>2623</v>
      </c>
      <c r="C1977" s="417" t="s">
        <v>6366</v>
      </c>
      <c r="D1977" s="417" t="s">
        <v>563</v>
      </c>
      <c r="E1977" s="423">
        <v>1.296152967830724</v>
      </c>
      <c r="F1977" s="423">
        <v>10.36985128296786</v>
      </c>
      <c r="G1977" s="422">
        <v>2129.505060157242</v>
      </c>
      <c r="H1977" s="417" t="s">
        <v>2616</v>
      </c>
      <c r="I1977" s="417" t="s">
        <v>1392</v>
      </c>
      <c r="J1977" s="417" t="s">
        <v>4364</v>
      </c>
      <c r="K1977" s="417" t="s">
        <v>6367</v>
      </c>
      <c r="L1977" s="417"/>
      <c r="M1977" s="417" t="s">
        <v>28840</v>
      </c>
    </row>
    <row r="1978" spans="1:13" x14ac:dyDescent="0.25">
      <c r="A1978" s="417" t="s">
        <v>3385</v>
      </c>
      <c r="B1978" s="417" t="s">
        <v>2623</v>
      </c>
      <c r="C1978" s="417" t="s">
        <v>6368</v>
      </c>
      <c r="D1978" s="417" t="s">
        <v>563</v>
      </c>
      <c r="E1978" s="423">
        <v>13.03388060804811</v>
      </c>
      <c r="F1978" s="423">
        <v>0.2353720646305241</v>
      </c>
      <c r="G1978" s="422">
        <v>15452.244492221251</v>
      </c>
      <c r="H1978" s="417" t="s">
        <v>2616</v>
      </c>
      <c r="I1978" s="417" t="s">
        <v>1392</v>
      </c>
      <c r="J1978" s="417" t="s">
        <v>4364</v>
      </c>
      <c r="K1978" s="417" t="s">
        <v>6369</v>
      </c>
      <c r="L1978" s="417"/>
      <c r="M1978" s="417" t="s">
        <v>28840</v>
      </c>
    </row>
    <row r="1979" spans="1:13" x14ac:dyDescent="0.25">
      <c r="A1979" s="417" t="s">
        <v>3385</v>
      </c>
      <c r="B1979" s="417" t="s">
        <v>2623</v>
      </c>
      <c r="C1979" s="417" t="s">
        <v>6370</v>
      </c>
      <c r="D1979" s="417" t="s">
        <v>88</v>
      </c>
      <c r="E1979" s="423">
        <v>1.0633757112191789E-2</v>
      </c>
      <c r="F1979" s="423">
        <v>3.4574117200529011E-4</v>
      </c>
      <c r="G1979" s="422">
        <v>68.297991791612304</v>
      </c>
      <c r="H1979" s="417" t="s">
        <v>2616</v>
      </c>
      <c r="I1979" s="417" t="s">
        <v>1392</v>
      </c>
      <c r="J1979" s="417" t="s">
        <v>6015</v>
      </c>
      <c r="K1979" s="417" t="s">
        <v>6371</v>
      </c>
      <c r="L1979" s="417"/>
      <c r="M1979" s="417" t="s">
        <v>28840</v>
      </c>
    </row>
    <row r="1980" spans="1:13" x14ac:dyDescent="0.25">
      <c r="A1980" s="417" t="s">
        <v>3385</v>
      </c>
      <c r="B1980" s="417" t="s">
        <v>2623</v>
      </c>
      <c r="C1980" s="417" t="s">
        <v>6372</v>
      </c>
      <c r="D1980" s="417" t="s">
        <v>989</v>
      </c>
      <c r="E1980" s="423">
        <v>94.459971671042808</v>
      </c>
      <c r="F1980" s="423">
        <v>0.77325282537823048</v>
      </c>
      <c r="G1980" s="422">
        <v>105204.9740837194</v>
      </c>
      <c r="H1980" s="417" t="s">
        <v>2616</v>
      </c>
      <c r="I1980" s="417" t="s">
        <v>1392</v>
      </c>
      <c r="J1980" s="417" t="s">
        <v>6108</v>
      </c>
      <c r="K1980" s="417" t="s">
        <v>6373</v>
      </c>
      <c r="L1980" s="417"/>
      <c r="M1980" s="417" t="s">
        <v>28840</v>
      </c>
    </row>
    <row r="1981" spans="1:13" x14ac:dyDescent="0.25">
      <c r="A1981" s="417" t="s">
        <v>3385</v>
      </c>
      <c r="B1981" s="417" t="s">
        <v>2623</v>
      </c>
      <c r="C1981" s="417" t="s">
        <v>6374</v>
      </c>
      <c r="D1981" s="417" t="s">
        <v>989</v>
      </c>
      <c r="E1981" s="423">
        <v>3.365305573320077</v>
      </c>
      <c r="F1981" s="423">
        <v>3.1952360842786118E-2</v>
      </c>
      <c r="G1981" s="422">
        <v>3887.3850027219769</v>
      </c>
      <c r="H1981" s="417" t="s">
        <v>2616</v>
      </c>
      <c r="I1981" s="417" t="s">
        <v>1392</v>
      </c>
      <c r="J1981" s="417" t="s">
        <v>5849</v>
      </c>
      <c r="K1981" s="417" t="s">
        <v>6375</v>
      </c>
      <c r="L1981" s="417"/>
      <c r="M1981" s="417" t="s">
        <v>28840</v>
      </c>
    </row>
    <row r="1982" spans="1:13" x14ac:dyDescent="0.25">
      <c r="A1982" s="417" t="s">
        <v>3385</v>
      </c>
      <c r="B1982" s="417" t="s">
        <v>2627</v>
      </c>
      <c r="C1982" s="417" t="s">
        <v>6376</v>
      </c>
      <c r="D1982" s="417" t="s">
        <v>83</v>
      </c>
      <c r="E1982" s="423">
        <v>0</v>
      </c>
      <c r="F1982" s="423">
        <v>0</v>
      </c>
      <c r="G1982" s="422">
        <v>0</v>
      </c>
      <c r="H1982" s="417" t="s">
        <v>2616</v>
      </c>
      <c r="I1982" s="417" t="s">
        <v>1392</v>
      </c>
      <c r="J1982" s="417" t="s">
        <v>4138</v>
      </c>
      <c r="K1982" s="417" t="s">
        <v>6377</v>
      </c>
      <c r="L1982" s="417"/>
      <c r="M1982" s="417" t="s">
        <v>28840</v>
      </c>
    </row>
    <row r="1983" spans="1:13" x14ac:dyDescent="0.25">
      <c r="A1983" s="417" t="s">
        <v>3385</v>
      </c>
      <c r="B1983" s="417" t="s">
        <v>2627</v>
      </c>
      <c r="C1983" s="417" t="s">
        <v>6378</v>
      </c>
      <c r="D1983" s="417" t="s">
        <v>83</v>
      </c>
      <c r="E1983" s="423">
        <v>0</v>
      </c>
      <c r="F1983" s="423">
        <v>0</v>
      </c>
      <c r="G1983" s="422">
        <v>0</v>
      </c>
      <c r="H1983" s="417" t="s">
        <v>2616</v>
      </c>
      <c r="I1983" s="417" t="s">
        <v>1392</v>
      </c>
      <c r="J1983" s="417" t="s">
        <v>4138</v>
      </c>
      <c r="K1983" s="417" t="s">
        <v>6379</v>
      </c>
      <c r="L1983" s="417"/>
      <c r="M1983" s="417" t="s">
        <v>28840</v>
      </c>
    </row>
    <row r="1984" spans="1:13" x14ac:dyDescent="0.25">
      <c r="A1984" s="417" t="s">
        <v>3385</v>
      </c>
      <c r="B1984" s="417" t="s">
        <v>2627</v>
      </c>
      <c r="C1984" s="417" t="s">
        <v>6380</v>
      </c>
      <c r="D1984" s="417" t="s">
        <v>83</v>
      </c>
      <c r="E1984" s="423">
        <v>0</v>
      </c>
      <c r="F1984" s="423">
        <v>0</v>
      </c>
      <c r="G1984" s="422">
        <v>0</v>
      </c>
      <c r="H1984" s="417" t="s">
        <v>2616</v>
      </c>
      <c r="I1984" s="417" t="s">
        <v>1392</v>
      </c>
      <c r="J1984" s="417" t="s">
        <v>4138</v>
      </c>
      <c r="K1984" s="417" t="s">
        <v>6381</v>
      </c>
      <c r="L1984" s="417"/>
      <c r="M1984" s="417" t="s">
        <v>28840</v>
      </c>
    </row>
    <row r="1985" spans="1:13" x14ac:dyDescent="0.25">
      <c r="A1985" s="417" t="s">
        <v>3385</v>
      </c>
      <c r="B1985" s="417" t="s">
        <v>2627</v>
      </c>
      <c r="C1985" s="417" t="s">
        <v>6382</v>
      </c>
      <c r="D1985" s="417" t="s">
        <v>83</v>
      </c>
      <c r="E1985" s="423">
        <v>0</v>
      </c>
      <c r="F1985" s="423">
        <v>0</v>
      </c>
      <c r="G1985" s="422">
        <v>0</v>
      </c>
      <c r="H1985" s="417" t="s">
        <v>2616</v>
      </c>
      <c r="I1985" s="417" t="s">
        <v>1392</v>
      </c>
      <c r="J1985" s="417" t="s">
        <v>4138</v>
      </c>
      <c r="K1985" s="417" t="s">
        <v>6383</v>
      </c>
      <c r="L1985" s="417"/>
      <c r="M1985" s="417" t="s">
        <v>28840</v>
      </c>
    </row>
    <row r="1986" spans="1:13" x14ac:dyDescent="0.25">
      <c r="A1986" s="417" t="s">
        <v>3385</v>
      </c>
      <c r="B1986" s="417" t="s">
        <v>2623</v>
      </c>
      <c r="C1986" s="417" t="s">
        <v>6384</v>
      </c>
      <c r="D1986" s="417" t="s">
        <v>563</v>
      </c>
      <c r="E1986" s="423">
        <v>29.69469705769869</v>
      </c>
      <c r="F1986" s="423">
        <v>1.1516495712563319</v>
      </c>
      <c r="G1986" s="422">
        <v>82728.480637631976</v>
      </c>
      <c r="H1986" s="417" t="s">
        <v>2616</v>
      </c>
      <c r="I1986" s="417" t="s">
        <v>1392</v>
      </c>
      <c r="J1986" s="417" t="s">
        <v>4364</v>
      </c>
      <c r="K1986" s="417" t="s">
        <v>6385</v>
      </c>
      <c r="L1986" s="417"/>
      <c r="M1986" s="417" t="s">
        <v>28840</v>
      </c>
    </row>
    <row r="1987" spans="1:13" x14ac:dyDescent="0.25">
      <c r="A1987" s="417" t="s">
        <v>3385</v>
      </c>
      <c r="B1987" s="417" t="s">
        <v>2623</v>
      </c>
      <c r="C1987" s="417" t="s">
        <v>6386</v>
      </c>
      <c r="D1987" s="417" t="s">
        <v>563</v>
      </c>
      <c r="E1987" s="423">
        <v>58.630415434807261</v>
      </c>
      <c r="F1987" s="423">
        <v>2.2719863525512709</v>
      </c>
      <c r="G1987" s="422">
        <v>163022.44541710429</v>
      </c>
      <c r="H1987" s="417" t="s">
        <v>2616</v>
      </c>
      <c r="I1987" s="417" t="s">
        <v>1392</v>
      </c>
      <c r="J1987" s="417" t="s">
        <v>4364</v>
      </c>
      <c r="K1987" s="417" t="s">
        <v>6387</v>
      </c>
      <c r="L1987" s="417"/>
      <c r="M1987" s="417" t="s">
        <v>28840</v>
      </c>
    </row>
    <row r="1988" spans="1:13" x14ac:dyDescent="0.25">
      <c r="A1988" s="417" t="s">
        <v>3385</v>
      </c>
      <c r="B1988" s="417" t="s">
        <v>2627</v>
      </c>
      <c r="C1988" s="417" t="s">
        <v>6388</v>
      </c>
      <c r="D1988" s="417" t="s">
        <v>563</v>
      </c>
      <c r="E1988" s="423">
        <v>58.685115975033419</v>
      </c>
      <c r="F1988" s="423">
        <v>2.2803630718672672</v>
      </c>
      <c r="G1988" s="422">
        <v>165242.92076541251</v>
      </c>
      <c r="H1988" s="417" t="s">
        <v>2616</v>
      </c>
      <c r="I1988" s="417" t="s">
        <v>1392</v>
      </c>
      <c r="J1988" s="417" t="s">
        <v>4138</v>
      </c>
      <c r="K1988" s="417" t="s">
        <v>6389</v>
      </c>
      <c r="L1988" s="417"/>
      <c r="M1988" s="417" t="s">
        <v>28840</v>
      </c>
    </row>
    <row r="1989" spans="1:13" x14ac:dyDescent="0.25">
      <c r="A1989" s="417" t="s">
        <v>3385</v>
      </c>
      <c r="B1989" s="417" t="s">
        <v>2627</v>
      </c>
      <c r="C1989" s="417" t="s">
        <v>6390</v>
      </c>
      <c r="D1989" s="417" t="s">
        <v>563</v>
      </c>
      <c r="E1989" s="423">
        <v>58.685115975033419</v>
      </c>
      <c r="F1989" s="423">
        <v>2.2803630718672672</v>
      </c>
      <c r="G1989" s="422">
        <v>165242.92076541251</v>
      </c>
      <c r="H1989" s="417" t="s">
        <v>2616</v>
      </c>
      <c r="I1989" s="417" t="s">
        <v>1392</v>
      </c>
      <c r="J1989" s="417" t="s">
        <v>4138</v>
      </c>
      <c r="K1989" s="417" t="s">
        <v>6391</v>
      </c>
      <c r="L1989" s="417"/>
      <c r="M1989" s="417" t="s">
        <v>28840</v>
      </c>
    </row>
    <row r="1990" spans="1:13" x14ac:dyDescent="0.25">
      <c r="A1990" s="417" t="s">
        <v>3385</v>
      </c>
      <c r="B1990" s="417" t="s">
        <v>2623</v>
      </c>
      <c r="C1990" s="417" t="s">
        <v>6392</v>
      </c>
      <c r="D1990" s="417" t="s">
        <v>88</v>
      </c>
      <c r="E1990" s="423">
        <v>5.1856179559256463E-2</v>
      </c>
      <c r="F1990" s="423">
        <v>0.33957793484682508</v>
      </c>
      <c r="G1990" s="422">
        <v>107.0327724131878</v>
      </c>
      <c r="H1990" s="417" t="s">
        <v>2616</v>
      </c>
      <c r="I1990" s="417" t="s">
        <v>1392</v>
      </c>
      <c r="J1990" s="417" t="s">
        <v>5990</v>
      </c>
      <c r="K1990" s="417" t="s">
        <v>6393</v>
      </c>
      <c r="L1990" s="417"/>
      <c r="M1990" s="417" t="s">
        <v>28840</v>
      </c>
    </row>
    <row r="1991" spans="1:13" x14ac:dyDescent="0.25">
      <c r="A1991" s="417" t="s">
        <v>3385</v>
      </c>
      <c r="B1991" s="417" t="s">
        <v>2627</v>
      </c>
      <c r="C1991" s="417" t="s">
        <v>6394</v>
      </c>
      <c r="D1991" s="417" t="s">
        <v>4315</v>
      </c>
      <c r="E1991" s="423">
        <v>0</v>
      </c>
      <c r="F1991" s="423">
        <v>0</v>
      </c>
      <c r="G1991" s="422">
        <v>0</v>
      </c>
      <c r="H1991" s="417" t="s">
        <v>2616</v>
      </c>
      <c r="I1991" s="417" t="s">
        <v>1392</v>
      </c>
      <c r="J1991" s="417" t="s">
        <v>4138</v>
      </c>
      <c r="K1991" s="417" t="s">
        <v>6395</v>
      </c>
      <c r="L1991" s="417"/>
      <c r="M1991" s="417" t="s">
        <v>28840</v>
      </c>
    </row>
    <row r="1992" spans="1:13" x14ac:dyDescent="0.25">
      <c r="A1992" s="417" t="s">
        <v>3385</v>
      </c>
      <c r="B1992" s="417" t="s">
        <v>2627</v>
      </c>
      <c r="C1992" s="417" t="s">
        <v>6396</v>
      </c>
      <c r="D1992" s="417" t="s">
        <v>4315</v>
      </c>
      <c r="E1992" s="423">
        <v>0</v>
      </c>
      <c r="F1992" s="423">
        <v>0</v>
      </c>
      <c r="G1992" s="422">
        <v>0</v>
      </c>
      <c r="H1992" s="417" t="s">
        <v>2616</v>
      </c>
      <c r="I1992" s="417" t="s">
        <v>1392</v>
      </c>
      <c r="J1992" s="417" t="s">
        <v>4138</v>
      </c>
      <c r="K1992" s="417" t="s">
        <v>6397</v>
      </c>
      <c r="L1992" s="417"/>
      <c r="M1992" s="417" t="s">
        <v>28840</v>
      </c>
    </row>
    <row r="1993" spans="1:13" x14ac:dyDescent="0.25">
      <c r="A1993" s="417" t="s">
        <v>3385</v>
      </c>
      <c r="B1993" s="417" t="s">
        <v>2627</v>
      </c>
      <c r="C1993" s="417" t="s">
        <v>6398</v>
      </c>
      <c r="D1993" s="417" t="s">
        <v>4315</v>
      </c>
      <c r="E1993" s="423">
        <v>0</v>
      </c>
      <c r="F1993" s="423">
        <v>0</v>
      </c>
      <c r="G1993" s="422">
        <v>0</v>
      </c>
      <c r="H1993" s="417" t="s">
        <v>2616</v>
      </c>
      <c r="I1993" s="417" t="s">
        <v>1392</v>
      </c>
      <c r="J1993" s="417" t="s">
        <v>4138</v>
      </c>
      <c r="K1993" s="417" t="s">
        <v>6399</v>
      </c>
      <c r="L1993" s="417"/>
      <c r="M1993" s="417" t="s">
        <v>28840</v>
      </c>
    </row>
    <row r="1994" spans="1:13" x14ac:dyDescent="0.25">
      <c r="A1994" s="417" t="s">
        <v>3385</v>
      </c>
      <c r="B1994" s="417" t="s">
        <v>2627</v>
      </c>
      <c r="C1994" s="417" t="s">
        <v>6400</v>
      </c>
      <c r="D1994" s="417" t="s">
        <v>4315</v>
      </c>
      <c r="E1994" s="423">
        <v>0</v>
      </c>
      <c r="F1994" s="423">
        <v>0</v>
      </c>
      <c r="G1994" s="422">
        <v>0</v>
      </c>
      <c r="H1994" s="417" t="s">
        <v>2616</v>
      </c>
      <c r="I1994" s="417" t="s">
        <v>1392</v>
      </c>
      <c r="J1994" s="417" t="s">
        <v>4138</v>
      </c>
      <c r="K1994" s="417" t="s">
        <v>6401</v>
      </c>
      <c r="L1994" s="417"/>
      <c r="M1994" s="417" t="s">
        <v>28840</v>
      </c>
    </row>
    <row r="1995" spans="1:13" x14ac:dyDescent="0.25">
      <c r="A1995" s="417" t="s">
        <v>3385</v>
      </c>
      <c r="B1995" s="417" t="s">
        <v>2627</v>
      </c>
      <c r="C1995" s="417" t="s">
        <v>6402</v>
      </c>
      <c r="D1995" s="417" t="s">
        <v>4315</v>
      </c>
      <c r="E1995" s="423">
        <v>0</v>
      </c>
      <c r="F1995" s="423">
        <v>0</v>
      </c>
      <c r="G1995" s="422">
        <v>0</v>
      </c>
      <c r="H1995" s="417" t="s">
        <v>2616</v>
      </c>
      <c r="I1995" s="417" t="s">
        <v>1392</v>
      </c>
      <c r="J1995" s="417" t="s">
        <v>4138</v>
      </c>
      <c r="K1995" s="417" t="s">
        <v>6403</v>
      </c>
      <c r="L1995" s="417"/>
      <c r="M1995" s="417" t="s">
        <v>28840</v>
      </c>
    </row>
    <row r="1996" spans="1:13" x14ac:dyDescent="0.25">
      <c r="A1996" s="417" t="s">
        <v>3385</v>
      </c>
      <c r="B1996" s="417" t="s">
        <v>2627</v>
      </c>
      <c r="C1996" s="417" t="s">
        <v>6404</v>
      </c>
      <c r="D1996" s="417" t="s">
        <v>4315</v>
      </c>
      <c r="E1996" s="423">
        <v>0</v>
      </c>
      <c r="F1996" s="423">
        <v>0</v>
      </c>
      <c r="G1996" s="422">
        <v>0</v>
      </c>
      <c r="H1996" s="417" t="s">
        <v>2616</v>
      </c>
      <c r="I1996" s="417" t="s">
        <v>1392</v>
      </c>
      <c r="J1996" s="417" t="s">
        <v>4138</v>
      </c>
      <c r="K1996" s="417" t="s">
        <v>6405</v>
      </c>
      <c r="L1996" s="417"/>
      <c r="M1996" s="417" t="s">
        <v>28840</v>
      </c>
    </row>
    <row r="1997" spans="1:13" x14ac:dyDescent="0.25">
      <c r="A1997" s="417" t="s">
        <v>3385</v>
      </c>
      <c r="B1997" s="417" t="s">
        <v>2623</v>
      </c>
      <c r="C1997" s="417" t="s">
        <v>6406</v>
      </c>
      <c r="D1997" s="417" t="s">
        <v>563</v>
      </c>
      <c r="E1997" s="423">
        <v>0.39724032414867422</v>
      </c>
      <c r="F1997" s="423">
        <v>6.5008073541008846</v>
      </c>
      <c r="G1997" s="422">
        <v>613.74317911358128</v>
      </c>
      <c r="H1997" s="417" t="s">
        <v>2616</v>
      </c>
      <c r="I1997" s="417" t="s">
        <v>1392</v>
      </c>
      <c r="J1997" s="417" t="s">
        <v>4364</v>
      </c>
      <c r="K1997" s="417" t="s">
        <v>6407</v>
      </c>
      <c r="L1997" s="417"/>
      <c r="M1997" s="417" t="s">
        <v>28840</v>
      </c>
    </row>
    <row r="1998" spans="1:13" x14ac:dyDescent="0.25">
      <c r="A1998" s="417" t="s">
        <v>3385</v>
      </c>
      <c r="B1998" s="417" t="s">
        <v>2623</v>
      </c>
      <c r="C1998" s="417" t="s">
        <v>6408</v>
      </c>
      <c r="D1998" s="417" t="s">
        <v>563</v>
      </c>
      <c r="E1998" s="423">
        <v>0.42333522919152539</v>
      </c>
      <c r="F1998" s="423">
        <v>6.9279296514218913</v>
      </c>
      <c r="G1998" s="422">
        <v>654.06247794691478</v>
      </c>
      <c r="H1998" s="417" t="s">
        <v>2616</v>
      </c>
      <c r="I1998" s="417" t="s">
        <v>1392</v>
      </c>
      <c r="J1998" s="417" t="s">
        <v>4364</v>
      </c>
      <c r="K1998" s="417" t="s">
        <v>6409</v>
      </c>
      <c r="L1998" s="417"/>
      <c r="M1998" s="417" t="s">
        <v>28840</v>
      </c>
    </row>
    <row r="1999" spans="1:13" x14ac:dyDescent="0.25">
      <c r="A1999" s="417" t="s">
        <v>3385</v>
      </c>
      <c r="B1999" s="417" t="s">
        <v>2623</v>
      </c>
      <c r="C1999" s="417" t="s">
        <v>6410</v>
      </c>
      <c r="D1999" s="417" t="s">
        <v>563</v>
      </c>
      <c r="E1999" s="423">
        <v>3.885370620014843</v>
      </c>
      <c r="F1999" s="423">
        <v>8.397459831942891</v>
      </c>
      <c r="G1999" s="422">
        <v>4930.1859528349451</v>
      </c>
      <c r="H1999" s="417" t="s">
        <v>2616</v>
      </c>
      <c r="I1999" s="417" t="s">
        <v>1392</v>
      </c>
      <c r="J1999" s="417" t="s">
        <v>4364</v>
      </c>
      <c r="K1999" s="417" t="s">
        <v>6411</v>
      </c>
      <c r="L1999" s="417"/>
      <c r="M1999" s="417" t="s">
        <v>28840</v>
      </c>
    </row>
    <row r="2000" spans="1:13" x14ac:dyDescent="0.25">
      <c r="A2000" s="417" t="s">
        <v>3385</v>
      </c>
      <c r="B2000" s="417" t="s">
        <v>2623</v>
      </c>
      <c r="C2000" s="417" t="s">
        <v>6412</v>
      </c>
      <c r="D2000" s="417" t="s">
        <v>563</v>
      </c>
      <c r="E2000" s="423">
        <v>7.2604052425126469</v>
      </c>
      <c r="F2000" s="423">
        <v>7.9225494302241222</v>
      </c>
      <c r="G2000" s="422">
        <v>9148.836941278003</v>
      </c>
      <c r="H2000" s="417" t="s">
        <v>2616</v>
      </c>
      <c r="I2000" s="417" t="s">
        <v>1392</v>
      </c>
      <c r="J2000" s="417" t="s">
        <v>4364</v>
      </c>
      <c r="K2000" s="417" t="s">
        <v>6413</v>
      </c>
      <c r="L2000" s="417"/>
      <c r="M2000" s="417" t="s">
        <v>28840</v>
      </c>
    </row>
    <row r="2001" spans="1:13" x14ac:dyDescent="0.25">
      <c r="A2001" s="417" t="s">
        <v>3385</v>
      </c>
      <c r="B2001" s="417" t="s">
        <v>2623</v>
      </c>
      <c r="C2001" s="417" t="s">
        <v>6414</v>
      </c>
      <c r="D2001" s="417" t="s">
        <v>563</v>
      </c>
      <c r="E2001" s="423">
        <v>4.0329123945584211</v>
      </c>
      <c r="F2001" s="423">
        <v>7.6077121303264246</v>
      </c>
      <c r="G2001" s="422">
        <v>4929.8317351018723</v>
      </c>
      <c r="H2001" s="417" t="s">
        <v>2616</v>
      </c>
      <c r="I2001" s="417" t="s">
        <v>1392</v>
      </c>
      <c r="J2001" s="417" t="s">
        <v>4364</v>
      </c>
      <c r="K2001" s="417" t="s">
        <v>6415</v>
      </c>
      <c r="L2001" s="417"/>
      <c r="M2001" s="417" t="s">
        <v>28840</v>
      </c>
    </row>
    <row r="2002" spans="1:13" x14ac:dyDescent="0.25">
      <c r="A2002" s="417" t="s">
        <v>3385</v>
      </c>
      <c r="B2002" s="417" t="s">
        <v>2623</v>
      </c>
      <c r="C2002" s="417" t="s">
        <v>6416</v>
      </c>
      <c r="D2002" s="417" t="s">
        <v>563</v>
      </c>
      <c r="E2002" s="423">
        <v>4.9814743722580603</v>
      </c>
      <c r="F2002" s="423">
        <v>4.7600815317095693</v>
      </c>
      <c r="G2002" s="422">
        <v>6468.7724385060392</v>
      </c>
      <c r="H2002" s="417" t="s">
        <v>2616</v>
      </c>
      <c r="I2002" s="417" t="s">
        <v>1392</v>
      </c>
      <c r="J2002" s="417" t="s">
        <v>4364</v>
      </c>
      <c r="K2002" s="417" t="s">
        <v>6417</v>
      </c>
      <c r="L2002" s="417"/>
      <c r="M2002" s="417" t="s">
        <v>28840</v>
      </c>
    </row>
    <row r="2003" spans="1:13" x14ac:dyDescent="0.25">
      <c r="A2003" s="417" t="s">
        <v>3385</v>
      </c>
      <c r="B2003" s="417" t="s">
        <v>2623</v>
      </c>
      <c r="C2003" s="417" t="s">
        <v>6418</v>
      </c>
      <c r="D2003" s="417" t="s">
        <v>563</v>
      </c>
      <c r="E2003" s="423">
        <v>2.4159269591611618</v>
      </c>
      <c r="F2003" s="423">
        <v>5.3202835838315981</v>
      </c>
      <c r="G2003" s="422">
        <v>3097.8468118681558</v>
      </c>
      <c r="H2003" s="417" t="s">
        <v>2616</v>
      </c>
      <c r="I2003" s="417" t="s">
        <v>1392</v>
      </c>
      <c r="J2003" s="417" t="s">
        <v>4364</v>
      </c>
      <c r="K2003" s="417" t="s">
        <v>6419</v>
      </c>
      <c r="L2003" s="417"/>
      <c r="M2003" s="417" t="s">
        <v>28840</v>
      </c>
    </row>
    <row r="2004" spans="1:13" x14ac:dyDescent="0.25">
      <c r="A2004" s="417" t="s">
        <v>3385</v>
      </c>
      <c r="B2004" s="417" t="s">
        <v>2623</v>
      </c>
      <c r="C2004" s="417" t="s">
        <v>6420</v>
      </c>
      <c r="D2004" s="417" t="s">
        <v>563</v>
      </c>
      <c r="E2004" s="423">
        <v>8.6974890044497108</v>
      </c>
      <c r="F2004" s="423">
        <v>3.8092836592966528E-2</v>
      </c>
      <c r="G2004" s="422">
        <v>10437.713529206219</v>
      </c>
      <c r="H2004" s="417" t="s">
        <v>2616</v>
      </c>
      <c r="I2004" s="417" t="s">
        <v>1392</v>
      </c>
      <c r="J2004" s="417" t="s">
        <v>4364</v>
      </c>
      <c r="K2004" s="417" t="s">
        <v>6421</v>
      </c>
      <c r="L2004" s="417"/>
      <c r="M2004" s="417" t="s">
        <v>28840</v>
      </c>
    </row>
    <row r="2005" spans="1:13" x14ac:dyDescent="0.25">
      <c r="A2005" s="417" t="s">
        <v>3385</v>
      </c>
      <c r="B2005" s="417" t="s">
        <v>2623</v>
      </c>
      <c r="C2005" s="417" t="s">
        <v>6422</v>
      </c>
      <c r="D2005" s="417" t="s">
        <v>563</v>
      </c>
      <c r="E2005" s="423">
        <v>10.037448474825981</v>
      </c>
      <c r="F2005" s="423">
        <v>5.9682438726724289E-3</v>
      </c>
      <c r="G2005" s="422">
        <v>10477.47922920055</v>
      </c>
      <c r="H2005" s="417" t="s">
        <v>2616</v>
      </c>
      <c r="I2005" s="417" t="s">
        <v>1392</v>
      </c>
      <c r="J2005" s="417" t="s">
        <v>4364</v>
      </c>
      <c r="K2005" s="417" t="s">
        <v>6423</v>
      </c>
      <c r="L2005" s="417"/>
      <c r="M2005" s="417" t="s">
        <v>28840</v>
      </c>
    </row>
    <row r="2006" spans="1:13" x14ac:dyDescent="0.25">
      <c r="A2006" s="417" t="s">
        <v>3385</v>
      </c>
      <c r="B2006" s="417" t="s">
        <v>2623</v>
      </c>
      <c r="C2006" s="417" t="s">
        <v>6424</v>
      </c>
      <c r="D2006" s="417" t="s">
        <v>563</v>
      </c>
      <c r="E2006" s="423">
        <v>14.7401951204717</v>
      </c>
      <c r="F2006" s="423">
        <v>5.5902416074048368E-2</v>
      </c>
      <c r="G2006" s="422">
        <v>17323.027680301551</v>
      </c>
      <c r="H2006" s="417" t="s">
        <v>2616</v>
      </c>
      <c r="I2006" s="417" t="s">
        <v>1392</v>
      </c>
      <c r="J2006" s="417" t="s">
        <v>4364</v>
      </c>
      <c r="K2006" s="417" t="s">
        <v>6425</v>
      </c>
      <c r="L2006" s="417"/>
      <c r="M2006" s="417" t="s">
        <v>28840</v>
      </c>
    </row>
    <row r="2007" spans="1:13" x14ac:dyDescent="0.25">
      <c r="A2007" s="417" t="s">
        <v>3385</v>
      </c>
      <c r="B2007" s="417" t="s">
        <v>2623</v>
      </c>
      <c r="C2007" s="417" t="s">
        <v>6426</v>
      </c>
      <c r="D2007" s="417" t="s">
        <v>88</v>
      </c>
      <c r="E2007" s="423">
        <v>1.311754729565558E-3</v>
      </c>
      <c r="F2007" s="423">
        <v>6.1397144498135471E-5</v>
      </c>
      <c r="G2007" s="422">
        <v>2.5440789135034851</v>
      </c>
      <c r="H2007" s="417" t="s">
        <v>2616</v>
      </c>
      <c r="I2007" s="417" t="s">
        <v>1392</v>
      </c>
      <c r="J2007" s="417" t="s">
        <v>6007</v>
      </c>
      <c r="K2007" s="417" t="s">
        <v>6427</v>
      </c>
      <c r="L2007" s="417"/>
      <c r="M2007" s="417" t="s">
        <v>28840</v>
      </c>
    </row>
    <row r="2008" spans="1:13" x14ac:dyDescent="0.25">
      <c r="A2008" s="417" t="s">
        <v>3385</v>
      </c>
      <c r="B2008" s="417" t="s">
        <v>2623</v>
      </c>
      <c r="C2008" s="417" t="s">
        <v>6428</v>
      </c>
      <c r="D2008" s="417" t="s">
        <v>88</v>
      </c>
      <c r="E2008" s="423">
        <v>1.0633757112191789E-2</v>
      </c>
      <c r="F2008" s="423">
        <v>3.4574117200529011E-4</v>
      </c>
      <c r="G2008" s="422">
        <v>266.55892451441252</v>
      </c>
      <c r="H2008" s="417" t="s">
        <v>2616</v>
      </c>
      <c r="I2008" s="417" t="s">
        <v>1392</v>
      </c>
      <c r="J2008" s="417" t="s">
        <v>6015</v>
      </c>
      <c r="K2008" s="417" t="s">
        <v>6429</v>
      </c>
      <c r="L2008" s="417"/>
      <c r="M2008" s="417" t="s">
        <v>28840</v>
      </c>
    </row>
    <row r="2009" spans="1:13" x14ac:dyDescent="0.25">
      <c r="A2009" s="417" t="s">
        <v>3385</v>
      </c>
      <c r="B2009" s="417" t="s">
        <v>2623</v>
      </c>
      <c r="C2009" s="417" t="s">
        <v>6430</v>
      </c>
      <c r="D2009" s="417" t="s">
        <v>563</v>
      </c>
      <c r="E2009" s="423">
        <v>1.8900067677906029</v>
      </c>
      <c r="F2009" s="423">
        <v>4.4974376175873068E-3</v>
      </c>
      <c r="G2009" s="422">
        <v>2079.4298756170592</v>
      </c>
      <c r="H2009" s="417" t="s">
        <v>2616</v>
      </c>
      <c r="I2009" s="417" t="s">
        <v>1392</v>
      </c>
      <c r="J2009" s="417" t="s">
        <v>4364</v>
      </c>
      <c r="K2009" s="417" t="s">
        <v>6431</v>
      </c>
      <c r="L2009" s="417"/>
      <c r="M2009" s="417" t="s">
        <v>28840</v>
      </c>
    </row>
    <row r="2010" spans="1:13" x14ac:dyDescent="0.25">
      <c r="A2010" s="417" t="s">
        <v>3385</v>
      </c>
      <c r="B2010" s="417" t="s">
        <v>2623</v>
      </c>
      <c r="C2010" s="417" t="s">
        <v>6432</v>
      </c>
      <c r="D2010" s="417" t="s">
        <v>88</v>
      </c>
      <c r="E2010" s="423">
        <v>0.30107022701820152</v>
      </c>
      <c r="F2010" s="423">
        <v>1.8686515148454649E-2</v>
      </c>
      <c r="G2010" s="422">
        <v>58436.202249804177</v>
      </c>
      <c r="H2010" s="417" t="s">
        <v>2616</v>
      </c>
      <c r="I2010" s="417" t="s">
        <v>1392</v>
      </c>
      <c r="J2010" s="417" t="s">
        <v>6015</v>
      </c>
      <c r="K2010" s="417" t="s">
        <v>6433</v>
      </c>
      <c r="L2010" s="417"/>
      <c r="M2010" s="417" t="s">
        <v>28840</v>
      </c>
    </row>
    <row r="2011" spans="1:13" x14ac:dyDescent="0.25">
      <c r="A2011" s="417" t="s">
        <v>3385</v>
      </c>
      <c r="B2011" s="417" t="s">
        <v>2623</v>
      </c>
      <c r="C2011" s="417" t="s">
        <v>6434</v>
      </c>
      <c r="D2011" s="417" t="s">
        <v>88</v>
      </c>
      <c r="E2011" s="423">
        <v>1.0633757112191789E-2</v>
      </c>
      <c r="F2011" s="423">
        <v>3.4574117200529011E-4</v>
      </c>
      <c r="G2011" s="422">
        <v>4861.9425699919884</v>
      </c>
      <c r="H2011" s="417" t="s">
        <v>2616</v>
      </c>
      <c r="I2011" s="417" t="s">
        <v>1392</v>
      </c>
      <c r="J2011" s="417" t="s">
        <v>6015</v>
      </c>
      <c r="K2011" s="417" t="s">
        <v>6435</v>
      </c>
      <c r="L2011" s="417"/>
      <c r="M2011" s="417" t="s">
        <v>28840</v>
      </c>
    </row>
    <row r="2012" spans="1:13" x14ac:dyDescent="0.25">
      <c r="A2012" s="417" t="s">
        <v>3385</v>
      </c>
      <c r="B2012" s="417" t="s">
        <v>2623</v>
      </c>
      <c r="C2012" s="417" t="s">
        <v>6436</v>
      </c>
      <c r="D2012" s="417" t="s">
        <v>563</v>
      </c>
      <c r="E2012" s="423">
        <v>0.24963780087344059</v>
      </c>
      <c r="F2012" s="423">
        <v>5.1145218077691922E-3</v>
      </c>
      <c r="G2012" s="422">
        <v>2281.1856484317868</v>
      </c>
      <c r="H2012" s="417" t="s">
        <v>2616</v>
      </c>
      <c r="I2012" s="417" t="s">
        <v>1392</v>
      </c>
      <c r="J2012" s="417" t="s">
        <v>4364</v>
      </c>
      <c r="K2012" s="417" t="s">
        <v>6437</v>
      </c>
      <c r="L2012" s="417"/>
      <c r="M2012" s="417" t="s">
        <v>28840</v>
      </c>
    </row>
    <row r="2013" spans="1:13" x14ac:dyDescent="0.25">
      <c r="A2013" s="417" t="s">
        <v>3385</v>
      </c>
      <c r="B2013" s="417" t="s">
        <v>2623</v>
      </c>
      <c r="C2013" s="417" t="s">
        <v>6438</v>
      </c>
      <c r="D2013" s="417" t="s">
        <v>563</v>
      </c>
      <c r="E2013" s="423">
        <v>0.2931730235021171</v>
      </c>
      <c r="F2013" s="423">
        <v>7.089427925933884E-3</v>
      </c>
      <c r="G2013" s="422">
        <v>3133.203970819281</v>
      </c>
      <c r="H2013" s="417" t="s">
        <v>2616</v>
      </c>
      <c r="I2013" s="417" t="s">
        <v>1392</v>
      </c>
      <c r="J2013" s="417" t="s">
        <v>4364</v>
      </c>
      <c r="K2013" s="417" t="s">
        <v>6439</v>
      </c>
      <c r="L2013" s="417"/>
      <c r="M2013" s="417" t="s">
        <v>28840</v>
      </c>
    </row>
    <row r="2014" spans="1:13" x14ac:dyDescent="0.25">
      <c r="A2014" s="417" t="s">
        <v>3385</v>
      </c>
      <c r="B2014" s="417" t="s">
        <v>2623</v>
      </c>
      <c r="C2014" s="417" t="s">
        <v>6440</v>
      </c>
      <c r="D2014" s="417" t="s">
        <v>563</v>
      </c>
      <c r="E2014" s="423">
        <v>0.35847585748722022</v>
      </c>
      <c r="F2014" s="423">
        <v>1.0051787109425191E-2</v>
      </c>
      <c r="G2014" s="422">
        <v>4411.2314545735462</v>
      </c>
      <c r="H2014" s="417" t="s">
        <v>2616</v>
      </c>
      <c r="I2014" s="417" t="s">
        <v>1392</v>
      </c>
      <c r="J2014" s="417" t="s">
        <v>4364</v>
      </c>
      <c r="K2014" s="417" t="s">
        <v>6441</v>
      </c>
      <c r="L2014" s="417"/>
      <c r="M2014" s="417" t="s">
        <v>28840</v>
      </c>
    </row>
    <row r="2015" spans="1:13" x14ac:dyDescent="0.25">
      <c r="A2015" s="417" t="s">
        <v>3385</v>
      </c>
      <c r="B2015" s="417" t="s">
        <v>2623</v>
      </c>
      <c r="C2015" s="417" t="s">
        <v>6442</v>
      </c>
      <c r="D2015" s="417" t="s">
        <v>989</v>
      </c>
      <c r="E2015" s="423">
        <v>11.518264798014091</v>
      </c>
      <c r="F2015" s="423">
        <v>0.68989425122469106</v>
      </c>
      <c r="G2015" s="422">
        <v>16578.592385845801</v>
      </c>
      <c r="H2015" s="417" t="s">
        <v>2616</v>
      </c>
      <c r="I2015" s="417" t="s">
        <v>1392</v>
      </c>
      <c r="J2015" s="417" t="s">
        <v>5983</v>
      </c>
      <c r="K2015" s="417" t="s">
        <v>6443</v>
      </c>
      <c r="L2015" s="417"/>
      <c r="M2015" s="417" t="s">
        <v>28840</v>
      </c>
    </row>
    <row r="2016" spans="1:13" x14ac:dyDescent="0.25">
      <c r="A2016" s="417" t="s">
        <v>3385</v>
      </c>
      <c r="B2016" s="417" t="s">
        <v>2623</v>
      </c>
      <c r="C2016" s="417" t="s">
        <v>6444</v>
      </c>
      <c r="D2016" s="417" t="s">
        <v>989</v>
      </c>
      <c r="E2016" s="423">
        <v>8.0455203094792793</v>
      </c>
      <c r="F2016" s="423">
        <v>0.27181737616766111</v>
      </c>
      <c r="G2016" s="422">
        <v>10400.954568367089</v>
      </c>
      <c r="H2016" s="417" t="s">
        <v>2616</v>
      </c>
      <c r="I2016" s="417" t="s">
        <v>1392</v>
      </c>
      <c r="J2016" s="417" t="s">
        <v>5983</v>
      </c>
      <c r="K2016" s="417" t="s">
        <v>6445</v>
      </c>
      <c r="L2016" s="417"/>
      <c r="M2016" s="417" t="s">
        <v>28840</v>
      </c>
    </row>
    <row r="2017" spans="1:13" x14ac:dyDescent="0.25">
      <c r="A2017" s="417" t="s">
        <v>3385</v>
      </c>
      <c r="B2017" s="417" t="s">
        <v>2623</v>
      </c>
      <c r="C2017" s="417" t="s">
        <v>6446</v>
      </c>
      <c r="D2017" s="417" t="s">
        <v>989</v>
      </c>
      <c r="E2017" s="423">
        <v>104.41868324304529</v>
      </c>
      <c r="F2017" s="423">
        <v>4.3181855587723756</v>
      </c>
      <c r="G2017" s="422">
        <v>143905.05380979981</v>
      </c>
      <c r="H2017" s="417" t="s">
        <v>2616</v>
      </c>
      <c r="I2017" s="417" t="s">
        <v>1392</v>
      </c>
      <c r="J2017" s="417" t="s">
        <v>5983</v>
      </c>
      <c r="K2017" s="417" t="s">
        <v>6447</v>
      </c>
      <c r="L2017" s="417"/>
      <c r="M2017" s="417" t="s">
        <v>28840</v>
      </c>
    </row>
    <row r="2018" spans="1:13" x14ac:dyDescent="0.25">
      <c r="A2018" s="417" t="s">
        <v>3385</v>
      </c>
      <c r="B2018" s="417" t="s">
        <v>2623</v>
      </c>
      <c r="C2018" s="417" t="s">
        <v>6448</v>
      </c>
      <c r="D2018" s="417" t="s">
        <v>989</v>
      </c>
      <c r="E2018" s="423">
        <v>43.89425846196287</v>
      </c>
      <c r="F2018" s="423">
        <v>0.31385651392604169</v>
      </c>
      <c r="G2018" s="422">
        <v>50179.33415650246</v>
      </c>
      <c r="H2018" s="417" t="s">
        <v>2616</v>
      </c>
      <c r="I2018" s="417" t="s">
        <v>1392</v>
      </c>
      <c r="J2018" s="417" t="s">
        <v>6108</v>
      </c>
      <c r="K2018" s="417" t="s">
        <v>6449</v>
      </c>
      <c r="L2018" s="417"/>
      <c r="M2018" s="417" t="s">
        <v>28840</v>
      </c>
    </row>
    <row r="2019" spans="1:13" x14ac:dyDescent="0.25">
      <c r="A2019" s="417" t="s">
        <v>3385</v>
      </c>
      <c r="B2019" s="417" t="s">
        <v>2623</v>
      </c>
      <c r="C2019" s="417" t="s">
        <v>6450</v>
      </c>
      <c r="D2019" s="417" t="s">
        <v>88</v>
      </c>
      <c r="E2019" s="423">
        <v>0.2743391153891484</v>
      </c>
      <c r="F2019" s="423">
        <v>1.9616032121156468E-3</v>
      </c>
      <c r="G2019" s="422">
        <v>313.62083845384791</v>
      </c>
      <c r="H2019" s="417" t="s">
        <v>2616</v>
      </c>
      <c r="I2019" s="417" t="s">
        <v>1392</v>
      </c>
      <c r="J2019" s="417" t="s">
        <v>6108</v>
      </c>
      <c r="K2019" s="417" t="s">
        <v>6451</v>
      </c>
      <c r="L2019" s="417"/>
      <c r="M2019" s="417" t="s">
        <v>28840</v>
      </c>
    </row>
    <row r="2020" spans="1:13" x14ac:dyDescent="0.25">
      <c r="A2020" s="417" t="s">
        <v>3385</v>
      </c>
      <c r="B2020" s="417" t="s">
        <v>2623</v>
      </c>
      <c r="C2020" s="417" t="s">
        <v>6452</v>
      </c>
      <c r="D2020" s="417" t="s">
        <v>989</v>
      </c>
      <c r="E2020" s="423">
        <v>652.6039841876003</v>
      </c>
      <c r="F2020" s="423">
        <v>32.237678169925147</v>
      </c>
      <c r="G2020" s="422">
        <v>935791.92760086444</v>
      </c>
      <c r="H2020" s="417" t="s">
        <v>2616</v>
      </c>
      <c r="I2020" s="417" t="s">
        <v>1392</v>
      </c>
      <c r="J2020" s="417" t="s">
        <v>5983</v>
      </c>
      <c r="K2020" s="417" t="s">
        <v>6453</v>
      </c>
      <c r="L2020" s="417"/>
      <c r="M2020" s="417" t="s">
        <v>28840</v>
      </c>
    </row>
    <row r="2021" spans="1:13" x14ac:dyDescent="0.25">
      <c r="A2021" s="417" t="s">
        <v>3385</v>
      </c>
      <c r="B2021" s="417" t="s">
        <v>2623</v>
      </c>
      <c r="C2021" s="417" t="s">
        <v>669</v>
      </c>
      <c r="D2021" s="417" t="s">
        <v>88</v>
      </c>
      <c r="E2021" s="423">
        <v>1.114284565972806</v>
      </c>
      <c r="F2021" s="423">
        <v>8.1522996599577395E-3</v>
      </c>
      <c r="G2021" s="422">
        <v>1232.2504004672101</v>
      </c>
      <c r="H2021" s="417" t="s">
        <v>2616</v>
      </c>
      <c r="I2021" s="417" t="s">
        <v>28997</v>
      </c>
      <c r="J2021" s="417" t="s">
        <v>4310</v>
      </c>
      <c r="K2021" s="417" t="s">
        <v>6454</v>
      </c>
      <c r="L2021" s="417"/>
      <c r="M2021" s="417" t="s">
        <v>28840</v>
      </c>
    </row>
    <row r="2022" spans="1:13" x14ac:dyDescent="0.25">
      <c r="A2022" s="417" t="s">
        <v>3385</v>
      </c>
      <c r="B2022" s="417" t="s">
        <v>2623</v>
      </c>
      <c r="C2022" s="417" t="s">
        <v>6455</v>
      </c>
      <c r="D2022" s="417" t="s">
        <v>88</v>
      </c>
      <c r="E2022" s="423">
        <v>2.5235707466631019</v>
      </c>
      <c r="F2022" s="423">
        <v>3.0125193623323079E-2</v>
      </c>
      <c r="G2022" s="422">
        <v>3279.948778724483</v>
      </c>
      <c r="H2022" s="417" t="s">
        <v>2616</v>
      </c>
      <c r="I2022" s="417" t="s">
        <v>1392</v>
      </c>
      <c r="J2022" s="417" t="s">
        <v>6002</v>
      </c>
      <c r="K2022" s="417" t="s">
        <v>6456</v>
      </c>
      <c r="L2022" s="417"/>
      <c r="M2022" s="417" t="s">
        <v>28840</v>
      </c>
    </row>
    <row r="2023" spans="1:13" x14ac:dyDescent="0.25">
      <c r="A2023" s="417" t="s">
        <v>3385</v>
      </c>
      <c r="B2023" s="417" t="s">
        <v>2623</v>
      </c>
      <c r="C2023" s="417" t="s">
        <v>6457</v>
      </c>
      <c r="D2023" s="417" t="s">
        <v>88</v>
      </c>
      <c r="E2023" s="423">
        <v>1.099915242083581E-3</v>
      </c>
      <c r="F2023" s="423">
        <v>6.6289031185301955E-5</v>
      </c>
      <c r="G2023" s="422">
        <v>4310.1747672865195</v>
      </c>
      <c r="H2023" s="417" t="s">
        <v>2616</v>
      </c>
      <c r="I2023" s="417" t="s">
        <v>1392</v>
      </c>
      <c r="J2023" s="417" t="s">
        <v>6311</v>
      </c>
      <c r="K2023" s="417" t="s">
        <v>6458</v>
      </c>
      <c r="L2023" s="417"/>
      <c r="M2023" s="417" t="s">
        <v>28840</v>
      </c>
    </row>
    <row r="2024" spans="1:13" x14ac:dyDescent="0.25">
      <c r="A2024" s="417" t="s">
        <v>3385</v>
      </c>
      <c r="B2024" s="417" t="s">
        <v>2623</v>
      </c>
      <c r="C2024" s="417" t="s">
        <v>6459</v>
      </c>
      <c r="D2024" s="417" t="s">
        <v>88</v>
      </c>
      <c r="E2024" s="423">
        <v>1.1152771189402491</v>
      </c>
      <c r="F2024" s="423">
        <v>6.2559455492178524E-3</v>
      </c>
      <c r="G2024" s="422">
        <v>1202.550097532617</v>
      </c>
      <c r="H2024" s="417" t="s">
        <v>2616</v>
      </c>
      <c r="I2024" s="417" t="s">
        <v>1392</v>
      </c>
      <c r="J2024" s="417" t="s">
        <v>5990</v>
      </c>
      <c r="K2024" s="417" t="s">
        <v>6460</v>
      </c>
      <c r="L2024" s="417"/>
      <c r="M2024" s="417" t="s">
        <v>28840</v>
      </c>
    </row>
    <row r="2025" spans="1:13" x14ac:dyDescent="0.25">
      <c r="A2025" s="417" t="s">
        <v>3385</v>
      </c>
      <c r="B2025" s="417" t="s">
        <v>2623</v>
      </c>
      <c r="C2025" s="417" t="s">
        <v>6461</v>
      </c>
      <c r="D2025" s="417" t="s">
        <v>88</v>
      </c>
      <c r="E2025" s="423">
        <v>5.0776075908756907E-2</v>
      </c>
      <c r="F2025" s="423">
        <v>5.6304011361540073E-4</v>
      </c>
      <c r="G2025" s="422">
        <v>715.58826262924754</v>
      </c>
      <c r="H2025" s="417" t="s">
        <v>2616</v>
      </c>
      <c r="I2025" s="417" t="s">
        <v>1392</v>
      </c>
      <c r="J2025" s="417" t="s">
        <v>5995</v>
      </c>
      <c r="K2025" s="417" t="s">
        <v>6462</v>
      </c>
      <c r="L2025" s="417"/>
      <c r="M2025" s="417" t="s">
        <v>28840</v>
      </c>
    </row>
    <row r="2026" spans="1:13" x14ac:dyDescent="0.25">
      <c r="A2026" s="417" t="s">
        <v>3385</v>
      </c>
      <c r="B2026" s="417" t="s">
        <v>2623</v>
      </c>
      <c r="C2026" s="417" t="s">
        <v>6463</v>
      </c>
      <c r="D2026" s="417" t="s">
        <v>88</v>
      </c>
      <c r="E2026" s="423">
        <v>2.0486224844638272</v>
      </c>
      <c r="F2026" s="423">
        <v>2.5877923506301419E-3</v>
      </c>
      <c r="G2026" s="422">
        <v>2168.1256310393078</v>
      </c>
      <c r="H2026" s="417" t="s">
        <v>2616</v>
      </c>
      <c r="I2026" s="417" t="s">
        <v>1392</v>
      </c>
      <c r="J2026" s="417" t="s">
        <v>5990</v>
      </c>
      <c r="K2026" s="417" t="s">
        <v>6464</v>
      </c>
      <c r="L2026" s="417"/>
      <c r="M2026" s="417" t="s">
        <v>28840</v>
      </c>
    </row>
    <row r="2027" spans="1:13" x14ac:dyDescent="0.25">
      <c r="A2027" s="417" t="s">
        <v>3385</v>
      </c>
      <c r="B2027" s="417" t="s">
        <v>2623</v>
      </c>
      <c r="C2027" s="417" t="s">
        <v>6465</v>
      </c>
      <c r="D2027" s="417" t="s">
        <v>88</v>
      </c>
      <c r="E2027" s="423">
        <v>2.578344146215545E-2</v>
      </c>
      <c r="F2027" s="423">
        <v>1.044662022261279E-3</v>
      </c>
      <c r="G2027" s="422">
        <v>90.433710027131454</v>
      </c>
      <c r="H2027" s="417" t="s">
        <v>2616</v>
      </c>
      <c r="I2027" s="417" t="s">
        <v>1392</v>
      </c>
      <c r="J2027" s="417" t="s">
        <v>5990</v>
      </c>
      <c r="K2027" s="417" t="s">
        <v>6466</v>
      </c>
      <c r="L2027" s="417"/>
      <c r="M2027" s="417" t="s">
        <v>28840</v>
      </c>
    </row>
    <row r="2028" spans="1:13" x14ac:dyDescent="0.25">
      <c r="A2028" s="417" t="s">
        <v>3385</v>
      </c>
      <c r="B2028" s="417" t="s">
        <v>2623</v>
      </c>
      <c r="C2028" s="417" t="s">
        <v>6467</v>
      </c>
      <c r="D2028" s="417" t="s">
        <v>88</v>
      </c>
      <c r="E2028" s="423">
        <v>3.1644724537012601</v>
      </c>
      <c r="F2028" s="423">
        <v>1.946452154067316E-3</v>
      </c>
      <c r="G2028" s="422">
        <v>3285.6893934194259</v>
      </c>
      <c r="H2028" s="417" t="s">
        <v>2616</v>
      </c>
      <c r="I2028" s="417" t="s">
        <v>1392</v>
      </c>
      <c r="J2028" s="417" t="s">
        <v>4364</v>
      </c>
      <c r="K2028" s="417" t="s">
        <v>6468</v>
      </c>
      <c r="L2028" s="417"/>
      <c r="M2028" s="417" t="s">
        <v>28840</v>
      </c>
    </row>
    <row r="2029" spans="1:13" x14ac:dyDescent="0.25">
      <c r="A2029" s="417" t="s">
        <v>3385</v>
      </c>
      <c r="B2029" s="417" t="s">
        <v>2623</v>
      </c>
      <c r="C2029" s="417" t="s">
        <v>6469</v>
      </c>
      <c r="D2029" s="417" t="s">
        <v>88</v>
      </c>
      <c r="E2029" s="423">
        <v>3.1002085511969191</v>
      </c>
      <c r="F2029" s="423">
        <v>2.3626443054272899E-3</v>
      </c>
      <c r="G2029" s="422">
        <v>3241.5644061627559</v>
      </c>
      <c r="H2029" s="417" t="s">
        <v>2616</v>
      </c>
      <c r="I2029" s="417" t="s">
        <v>1392</v>
      </c>
      <c r="J2029" s="417" t="s">
        <v>4364</v>
      </c>
      <c r="K2029" s="417" t="s">
        <v>6470</v>
      </c>
      <c r="L2029" s="417"/>
      <c r="M2029" s="417" t="s">
        <v>28840</v>
      </c>
    </row>
    <row r="2030" spans="1:13" x14ac:dyDescent="0.25">
      <c r="A2030" s="417" t="s">
        <v>3385</v>
      </c>
      <c r="B2030" s="417" t="s">
        <v>2623</v>
      </c>
      <c r="C2030" s="417" t="s">
        <v>6471</v>
      </c>
      <c r="D2030" s="417" t="s">
        <v>88</v>
      </c>
      <c r="E2030" s="423">
        <v>1.099915242083581E-3</v>
      </c>
      <c r="F2030" s="423">
        <v>6.6289031185302226E-5</v>
      </c>
      <c r="G2030" s="422">
        <v>72.476000442823235</v>
      </c>
      <c r="H2030" s="417" t="s">
        <v>2616</v>
      </c>
      <c r="I2030" s="417" t="s">
        <v>1392</v>
      </c>
      <c r="J2030" s="417" t="s">
        <v>6472</v>
      </c>
      <c r="K2030" s="417" t="s">
        <v>6473</v>
      </c>
      <c r="L2030" s="417"/>
      <c r="M2030" s="417" t="s">
        <v>28840</v>
      </c>
    </row>
    <row r="2031" spans="1:13" x14ac:dyDescent="0.25">
      <c r="A2031" s="417" t="s">
        <v>3385</v>
      </c>
      <c r="B2031" s="417" t="s">
        <v>2623</v>
      </c>
      <c r="C2031" s="417" t="s">
        <v>6474</v>
      </c>
      <c r="D2031" s="417" t="s">
        <v>989</v>
      </c>
      <c r="E2031" s="423">
        <v>5.7673459875197161E-2</v>
      </c>
      <c r="F2031" s="423">
        <v>4.5464849356418096E-3</v>
      </c>
      <c r="G2031" s="422">
        <v>119.54659239905889</v>
      </c>
      <c r="H2031" s="417" t="s">
        <v>2616</v>
      </c>
      <c r="I2031" s="417" t="s">
        <v>1392</v>
      </c>
      <c r="J2031" s="417" t="s">
        <v>5974</v>
      </c>
      <c r="K2031" s="417" t="s">
        <v>6475</v>
      </c>
      <c r="L2031" s="417"/>
      <c r="M2031" s="417" t="s">
        <v>28840</v>
      </c>
    </row>
    <row r="2032" spans="1:13" x14ac:dyDescent="0.25">
      <c r="A2032" s="417" t="s">
        <v>3385</v>
      </c>
      <c r="B2032" s="417" t="s">
        <v>2623</v>
      </c>
      <c r="C2032" s="417" t="s">
        <v>6476</v>
      </c>
      <c r="D2032" s="417" t="s">
        <v>563</v>
      </c>
      <c r="E2032" s="423">
        <v>0.12491354076079091</v>
      </c>
      <c r="F2032" s="423">
        <v>7.2916255073480842E-5</v>
      </c>
      <c r="G2032" s="422">
        <v>175.27938046803419</v>
      </c>
      <c r="H2032" s="417" t="s">
        <v>2616</v>
      </c>
      <c r="I2032" s="417" t="s">
        <v>1392</v>
      </c>
      <c r="J2032" s="417" t="s">
        <v>4364</v>
      </c>
      <c r="K2032" s="417" t="s">
        <v>6477</v>
      </c>
      <c r="L2032" s="417"/>
      <c r="M2032" s="417" t="s">
        <v>28840</v>
      </c>
    </row>
    <row r="2033" spans="1:13" x14ac:dyDescent="0.25">
      <c r="A2033" s="417" t="s">
        <v>3385</v>
      </c>
      <c r="B2033" s="417" t="s">
        <v>2623</v>
      </c>
      <c r="C2033" s="417" t="s">
        <v>6478</v>
      </c>
      <c r="D2033" s="417" t="s">
        <v>563</v>
      </c>
      <c r="E2033" s="423">
        <v>3.6331488410589127E-2</v>
      </c>
      <c r="F2033" s="423">
        <v>9.028012717115781E-6</v>
      </c>
      <c r="G2033" s="422">
        <v>37.21217979531346</v>
      </c>
      <c r="H2033" s="417" t="s">
        <v>2616</v>
      </c>
      <c r="I2033" s="417" t="s">
        <v>1392</v>
      </c>
      <c r="J2033" s="417" t="s">
        <v>4364</v>
      </c>
      <c r="K2033" s="417" t="s">
        <v>6479</v>
      </c>
      <c r="L2033" s="417"/>
      <c r="M2033" s="417" t="s">
        <v>28840</v>
      </c>
    </row>
    <row r="2034" spans="1:13" x14ac:dyDescent="0.25">
      <c r="A2034" s="417" t="s">
        <v>3385</v>
      </c>
      <c r="B2034" s="417" t="s">
        <v>2623</v>
      </c>
      <c r="C2034" s="417" t="s">
        <v>6480</v>
      </c>
      <c r="D2034" s="417" t="s">
        <v>989</v>
      </c>
      <c r="E2034" s="423">
        <v>0.18634662473508601</v>
      </c>
      <c r="F2034" s="423">
        <v>1.6324095138092441E-3</v>
      </c>
      <c r="G2034" s="422">
        <v>208.98407521347451</v>
      </c>
      <c r="H2034" s="417" t="s">
        <v>2616</v>
      </c>
      <c r="I2034" s="417" t="s">
        <v>1392</v>
      </c>
      <c r="J2034" s="417" t="s">
        <v>5974</v>
      </c>
      <c r="K2034" s="417" t="s">
        <v>6481</v>
      </c>
      <c r="L2034" s="417"/>
      <c r="M2034" s="417" t="s">
        <v>28840</v>
      </c>
    </row>
    <row r="2035" spans="1:13" x14ac:dyDescent="0.25">
      <c r="A2035" s="417" t="s">
        <v>3385</v>
      </c>
      <c r="B2035" s="417" t="s">
        <v>2623</v>
      </c>
      <c r="C2035" s="417" t="s">
        <v>6482</v>
      </c>
      <c r="D2035" s="417" t="s">
        <v>88</v>
      </c>
      <c r="E2035" s="423">
        <v>3.185486013924014</v>
      </c>
      <c r="F2035" s="423">
        <v>6.85271163578904E-4</v>
      </c>
      <c r="G2035" s="422">
        <v>3283.602352297517</v>
      </c>
      <c r="H2035" s="417" t="s">
        <v>2616</v>
      </c>
      <c r="I2035" s="417" t="s">
        <v>1392</v>
      </c>
      <c r="J2035" s="417" t="s">
        <v>5990</v>
      </c>
      <c r="K2035" s="417" t="s">
        <v>6483</v>
      </c>
      <c r="L2035" s="417"/>
      <c r="M2035" s="417" t="s">
        <v>28840</v>
      </c>
    </row>
    <row r="2036" spans="1:13" x14ac:dyDescent="0.25">
      <c r="A2036" s="417" t="s">
        <v>3385</v>
      </c>
      <c r="B2036" s="417" t="s">
        <v>2627</v>
      </c>
      <c r="C2036" s="417" t="s">
        <v>6484</v>
      </c>
      <c r="D2036" s="417" t="s">
        <v>563</v>
      </c>
      <c r="E2036" s="423">
        <v>1.491161207894111</v>
      </c>
      <c r="F2036" s="423">
        <v>7.3957105409780703E-4</v>
      </c>
      <c r="G2036" s="422">
        <v>1554.042855843715</v>
      </c>
      <c r="H2036" s="417" t="s">
        <v>2616</v>
      </c>
      <c r="I2036" s="417" t="s">
        <v>1392</v>
      </c>
      <c r="J2036" s="417" t="s">
        <v>3433</v>
      </c>
      <c r="K2036" s="417" t="s">
        <v>6485</v>
      </c>
      <c r="L2036" s="417"/>
      <c r="M2036" s="417" t="s">
        <v>28840</v>
      </c>
    </row>
    <row r="2037" spans="1:13" x14ac:dyDescent="0.25">
      <c r="A2037" s="417" t="s">
        <v>3385</v>
      </c>
      <c r="B2037" s="417" t="s">
        <v>2627</v>
      </c>
      <c r="C2037" s="417" t="s">
        <v>6486</v>
      </c>
      <c r="D2037" s="417" t="s">
        <v>563</v>
      </c>
      <c r="E2037" s="423">
        <v>1.7162389975236449</v>
      </c>
      <c r="F2037" s="423">
        <v>8.5120285927408517E-4</v>
      </c>
      <c r="G2037" s="422">
        <v>1788.612082243508</v>
      </c>
      <c r="H2037" s="417" t="s">
        <v>2616</v>
      </c>
      <c r="I2037" s="417" t="s">
        <v>1392</v>
      </c>
      <c r="J2037" s="417" t="s">
        <v>3433</v>
      </c>
      <c r="K2037" s="417" t="s">
        <v>6487</v>
      </c>
      <c r="L2037" s="417"/>
      <c r="M2037" s="417" t="s">
        <v>28840</v>
      </c>
    </row>
    <row r="2038" spans="1:13" x14ac:dyDescent="0.25">
      <c r="A2038" s="417" t="s">
        <v>3385</v>
      </c>
      <c r="B2038" s="417" t="s">
        <v>2627</v>
      </c>
      <c r="C2038" s="417" t="s">
        <v>6488</v>
      </c>
      <c r="D2038" s="417" t="s">
        <v>563</v>
      </c>
      <c r="E2038" s="423">
        <v>1.1535326082596189</v>
      </c>
      <c r="F2038" s="423">
        <v>5.7211743599800281E-4</v>
      </c>
      <c r="G2038" s="422">
        <v>1202.176598576659</v>
      </c>
      <c r="H2038" s="417" t="s">
        <v>2616</v>
      </c>
      <c r="I2038" s="417" t="s">
        <v>1392</v>
      </c>
      <c r="J2038" s="417" t="s">
        <v>3433</v>
      </c>
      <c r="K2038" s="417" t="s">
        <v>6489</v>
      </c>
      <c r="L2038" s="417"/>
      <c r="M2038" s="417" t="s">
        <v>28840</v>
      </c>
    </row>
    <row r="2039" spans="1:13" x14ac:dyDescent="0.25">
      <c r="A2039" s="417" t="s">
        <v>3385</v>
      </c>
      <c r="B2039" s="417" t="s">
        <v>2627</v>
      </c>
      <c r="C2039" s="417" t="s">
        <v>6490</v>
      </c>
      <c r="D2039" s="417" t="s">
        <v>563</v>
      </c>
      <c r="E2039" s="423">
        <v>4.220357495411238E-2</v>
      </c>
      <c r="F2039" s="423">
        <v>2.0931702249819371E-5</v>
      </c>
      <c r="G2039" s="422">
        <v>43.983282157447881</v>
      </c>
      <c r="H2039" s="417" t="s">
        <v>2616</v>
      </c>
      <c r="I2039" s="417" t="s">
        <v>1392</v>
      </c>
      <c r="J2039" s="417" t="s">
        <v>3433</v>
      </c>
      <c r="K2039" s="417" t="s">
        <v>6491</v>
      </c>
      <c r="L2039" s="417"/>
      <c r="M2039" s="417" t="s">
        <v>28840</v>
      </c>
    </row>
    <row r="2040" spans="1:13" x14ac:dyDescent="0.25">
      <c r="A2040" s="417" t="s">
        <v>3385</v>
      </c>
      <c r="B2040" s="417" t="s">
        <v>2627</v>
      </c>
      <c r="C2040" s="417" t="s">
        <v>6492</v>
      </c>
      <c r="D2040" s="417" t="s">
        <v>563</v>
      </c>
      <c r="E2040" s="423">
        <v>0.91908948550226888</v>
      </c>
      <c r="F2040" s="423">
        <v>4.5584070692311559E-4</v>
      </c>
      <c r="G2040" s="422">
        <v>957.8471068488426</v>
      </c>
      <c r="H2040" s="417" t="s">
        <v>2616</v>
      </c>
      <c r="I2040" s="417" t="s">
        <v>1392</v>
      </c>
      <c r="J2040" s="417" t="s">
        <v>3433</v>
      </c>
      <c r="K2040" s="417" t="s">
        <v>6493</v>
      </c>
      <c r="L2040" s="417"/>
      <c r="M2040" s="417" t="s">
        <v>28840</v>
      </c>
    </row>
    <row r="2041" spans="1:13" x14ac:dyDescent="0.25">
      <c r="A2041" s="417" t="s">
        <v>3385</v>
      </c>
      <c r="B2041" s="417" t="s">
        <v>2627</v>
      </c>
      <c r="C2041" s="417" t="s">
        <v>6494</v>
      </c>
      <c r="D2041" s="417" t="s">
        <v>563</v>
      </c>
      <c r="E2041" s="423">
        <v>1.217893422911793</v>
      </c>
      <c r="F2041" s="423">
        <v>7.5921878310298251E-4</v>
      </c>
      <c r="G2041" s="422">
        <v>1270.6959647110109</v>
      </c>
      <c r="H2041" s="417" t="s">
        <v>2616</v>
      </c>
      <c r="I2041" s="417" t="s">
        <v>1392</v>
      </c>
      <c r="J2041" s="417" t="s">
        <v>3433</v>
      </c>
      <c r="K2041" s="417" t="s">
        <v>6495</v>
      </c>
      <c r="L2041" s="417"/>
      <c r="M2041" s="417" t="s">
        <v>28840</v>
      </c>
    </row>
    <row r="2042" spans="1:13" x14ac:dyDescent="0.25">
      <c r="A2042" s="417" t="s">
        <v>3385</v>
      </c>
      <c r="B2042" s="417" t="s">
        <v>2627</v>
      </c>
      <c r="C2042" s="417" t="s">
        <v>6496</v>
      </c>
      <c r="D2042" s="417" t="s">
        <v>563</v>
      </c>
      <c r="E2042" s="423">
        <v>2.785909631492868</v>
      </c>
      <c r="F2042" s="423">
        <v>2.163479595549452E-3</v>
      </c>
      <c r="G2042" s="422">
        <v>2910.6671561266539</v>
      </c>
      <c r="H2042" s="417" t="s">
        <v>2616</v>
      </c>
      <c r="I2042" s="417" t="s">
        <v>1392</v>
      </c>
      <c r="J2042" s="417" t="s">
        <v>3433</v>
      </c>
      <c r="K2042" s="417" t="s">
        <v>6497</v>
      </c>
      <c r="L2042" s="417"/>
      <c r="M2042" s="417" t="s">
        <v>28840</v>
      </c>
    </row>
    <row r="2043" spans="1:13" x14ac:dyDescent="0.25">
      <c r="A2043" s="417" t="s">
        <v>3385</v>
      </c>
      <c r="B2043" s="417" t="s">
        <v>2627</v>
      </c>
      <c r="C2043" s="417" t="s">
        <v>6498</v>
      </c>
      <c r="D2043" s="417" t="s">
        <v>563</v>
      </c>
      <c r="E2043" s="423">
        <v>9.565984787151631E-2</v>
      </c>
      <c r="F2043" s="423">
        <v>4.7444403812821813E-5</v>
      </c>
      <c r="G2043" s="422">
        <v>99.69378387066017</v>
      </c>
      <c r="H2043" s="417" t="s">
        <v>2616</v>
      </c>
      <c r="I2043" s="417" t="s">
        <v>1392</v>
      </c>
      <c r="J2043" s="417" t="s">
        <v>3433</v>
      </c>
      <c r="K2043" s="417" t="s">
        <v>6499</v>
      </c>
      <c r="L2043" s="417"/>
      <c r="M2043" s="417" t="s">
        <v>28840</v>
      </c>
    </row>
    <row r="2044" spans="1:13" x14ac:dyDescent="0.25">
      <c r="A2044" s="417" t="s">
        <v>3385</v>
      </c>
      <c r="B2044" s="417" t="s">
        <v>2627</v>
      </c>
      <c r="C2044" s="417" t="s">
        <v>6500</v>
      </c>
      <c r="D2044" s="417" t="s">
        <v>563</v>
      </c>
      <c r="E2044" s="423">
        <v>9.565984787151631E-2</v>
      </c>
      <c r="F2044" s="423">
        <v>4.7444403812821813E-5</v>
      </c>
      <c r="G2044" s="422">
        <v>99.69378387066017</v>
      </c>
      <c r="H2044" s="417" t="s">
        <v>2616</v>
      </c>
      <c r="I2044" s="417" t="s">
        <v>1392</v>
      </c>
      <c r="J2044" s="417" t="s">
        <v>3433</v>
      </c>
      <c r="K2044" s="417" t="s">
        <v>6501</v>
      </c>
      <c r="L2044" s="417"/>
      <c r="M2044" s="417" t="s">
        <v>28840</v>
      </c>
    </row>
    <row r="2045" spans="1:13" x14ac:dyDescent="0.25">
      <c r="A2045" s="417" t="s">
        <v>3385</v>
      </c>
      <c r="B2045" s="417" t="s">
        <v>2627</v>
      </c>
      <c r="C2045" s="417" t="s">
        <v>6502</v>
      </c>
      <c r="D2045" s="417" t="s">
        <v>563</v>
      </c>
      <c r="E2045" s="423">
        <v>0.56270638926556815</v>
      </c>
      <c r="F2045" s="423">
        <v>2.7908542356037909E-4</v>
      </c>
      <c r="G2045" s="422">
        <v>586.4354836675758</v>
      </c>
      <c r="H2045" s="417" t="s">
        <v>2616</v>
      </c>
      <c r="I2045" s="417" t="s">
        <v>1392</v>
      </c>
      <c r="J2045" s="417" t="s">
        <v>3433</v>
      </c>
      <c r="K2045" s="417" t="s">
        <v>6503</v>
      </c>
      <c r="L2045" s="417"/>
      <c r="M2045" s="417" t="s">
        <v>28840</v>
      </c>
    </row>
    <row r="2046" spans="1:13" x14ac:dyDescent="0.25">
      <c r="A2046" s="417" t="s">
        <v>3385</v>
      </c>
      <c r="B2046" s="417" t="s">
        <v>2623</v>
      </c>
      <c r="C2046" s="417" t="s">
        <v>6504</v>
      </c>
      <c r="D2046" s="417" t="s">
        <v>88</v>
      </c>
      <c r="E2046" s="423">
        <v>6.4213951135436834E-2</v>
      </c>
      <c r="F2046" s="423">
        <v>1.766901969363494E-3</v>
      </c>
      <c r="G2046" s="422">
        <v>109.346646166534</v>
      </c>
      <c r="H2046" s="417" t="s">
        <v>2616</v>
      </c>
      <c r="I2046" s="417" t="s">
        <v>1392</v>
      </c>
      <c r="J2046" s="417" t="s">
        <v>5974</v>
      </c>
      <c r="K2046" s="417" t="s">
        <v>6505</v>
      </c>
      <c r="L2046" s="417"/>
      <c r="M2046" s="417" t="s">
        <v>28840</v>
      </c>
    </row>
    <row r="2047" spans="1:13" x14ac:dyDescent="0.25">
      <c r="A2047" s="417" t="s">
        <v>3385</v>
      </c>
      <c r="B2047" s="417" t="s">
        <v>2623</v>
      </c>
      <c r="C2047" s="417" t="s">
        <v>6506</v>
      </c>
      <c r="D2047" s="417" t="s">
        <v>88</v>
      </c>
      <c r="E2047" s="423">
        <v>1.2887384526534471E-2</v>
      </c>
      <c r="F2047" s="423">
        <v>5.8796106947384683E-4</v>
      </c>
      <c r="G2047" s="422">
        <v>67.048292627031771</v>
      </c>
      <c r="H2047" s="417" t="s">
        <v>2616</v>
      </c>
      <c r="I2047" s="417" t="s">
        <v>1392</v>
      </c>
      <c r="J2047" s="417" t="s">
        <v>4364</v>
      </c>
      <c r="K2047" s="417" t="s">
        <v>6507</v>
      </c>
      <c r="L2047" s="417"/>
      <c r="M2047" s="417" t="s">
        <v>28840</v>
      </c>
    </row>
    <row r="2048" spans="1:13" x14ac:dyDescent="0.25">
      <c r="A2048" s="417" t="s">
        <v>3385</v>
      </c>
      <c r="B2048" s="417" t="s">
        <v>2623</v>
      </c>
      <c r="C2048" s="417" t="s">
        <v>6508</v>
      </c>
      <c r="D2048" s="417" t="s">
        <v>88</v>
      </c>
      <c r="E2048" s="423">
        <v>1.8053563022544988E-2</v>
      </c>
      <c r="F2048" s="423">
        <v>9.9945045145086574E-3</v>
      </c>
      <c r="G2048" s="422">
        <v>70.431943928832084</v>
      </c>
      <c r="H2048" s="417" t="s">
        <v>2616</v>
      </c>
      <c r="I2048" s="417" t="s">
        <v>1392</v>
      </c>
      <c r="J2048" s="417" t="s">
        <v>4364</v>
      </c>
      <c r="K2048" s="417" t="s">
        <v>6509</v>
      </c>
      <c r="L2048" s="417"/>
      <c r="M2048" s="417" t="s">
        <v>28840</v>
      </c>
    </row>
    <row r="2049" spans="1:13" x14ac:dyDescent="0.25">
      <c r="A2049" s="417" t="s">
        <v>3385</v>
      </c>
      <c r="B2049" s="417" t="s">
        <v>2623</v>
      </c>
      <c r="C2049" s="417" t="s">
        <v>6510</v>
      </c>
      <c r="D2049" s="417" t="s">
        <v>88</v>
      </c>
      <c r="E2049" s="423">
        <v>7.832145926046033E-2</v>
      </c>
      <c r="F2049" s="423">
        <v>1.4345024358541121</v>
      </c>
      <c r="G2049" s="422">
        <v>121.128327684293</v>
      </c>
      <c r="H2049" s="417" t="s">
        <v>2616</v>
      </c>
      <c r="I2049" s="417" t="s">
        <v>1392</v>
      </c>
      <c r="J2049" s="417" t="s">
        <v>4364</v>
      </c>
      <c r="K2049" s="417" t="s">
        <v>6511</v>
      </c>
      <c r="L2049" s="417"/>
      <c r="M2049" s="417" t="s">
        <v>28840</v>
      </c>
    </row>
    <row r="2050" spans="1:13" x14ac:dyDescent="0.25">
      <c r="A2050" s="417" t="s">
        <v>3385</v>
      </c>
      <c r="B2050" s="417" t="s">
        <v>2623</v>
      </c>
      <c r="C2050" s="417" t="s">
        <v>6512</v>
      </c>
      <c r="D2050" s="417" t="s">
        <v>88</v>
      </c>
      <c r="E2050" s="423">
        <v>9.1514989667565091E-2</v>
      </c>
      <c r="F2050" s="423">
        <v>1.3707022901707691</v>
      </c>
      <c r="G2050" s="422">
        <v>226.09277866452339</v>
      </c>
      <c r="H2050" s="417" t="s">
        <v>2616</v>
      </c>
      <c r="I2050" s="417" t="s">
        <v>1392</v>
      </c>
      <c r="J2050" s="417" t="s">
        <v>4364</v>
      </c>
      <c r="K2050" s="417" t="s">
        <v>6513</v>
      </c>
      <c r="L2050" s="417"/>
      <c r="M2050" s="417" t="s">
        <v>28840</v>
      </c>
    </row>
    <row r="2051" spans="1:13" x14ac:dyDescent="0.25">
      <c r="A2051" s="417" t="s">
        <v>3385</v>
      </c>
      <c r="B2051" s="417" t="s">
        <v>2623</v>
      </c>
      <c r="C2051" s="417" t="s">
        <v>6514</v>
      </c>
      <c r="D2051" s="417" t="s">
        <v>88</v>
      </c>
      <c r="E2051" s="423">
        <v>0.30097993235332521</v>
      </c>
      <c r="F2051" s="423">
        <v>1.8680909031616899E-2</v>
      </c>
      <c r="G2051" s="422">
        <v>1167.7128071123359</v>
      </c>
      <c r="H2051" s="417" t="s">
        <v>2616</v>
      </c>
      <c r="I2051" s="417" t="s">
        <v>1392</v>
      </c>
      <c r="J2051" s="417" t="s">
        <v>6015</v>
      </c>
      <c r="K2051" s="417" t="s">
        <v>6515</v>
      </c>
      <c r="L2051" s="417"/>
      <c r="M2051" s="417" t="s">
        <v>28840</v>
      </c>
    </row>
    <row r="2052" spans="1:13" x14ac:dyDescent="0.25">
      <c r="A2052" s="417" t="s">
        <v>3385</v>
      </c>
      <c r="B2052" s="417" t="s">
        <v>2623</v>
      </c>
      <c r="C2052" s="417" t="s">
        <v>6516</v>
      </c>
      <c r="D2052" s="417" t="s">
        <v>88</v>
      </c>
      <c r="E2052" s="423">
        <v>1.3080243046289859E-2</v>
      </c>
      <c r="F2052" s="423">
        <v>5.6005666009599465E-4</v>
      </c>
      <c r="G2052" s="422">
        <v>30.08389031524548</v>
      </c>
      <c r="H2052" s="417" t="s">
        <v>2616</v>
      </c>
      <c r="I2052" s="417" t="s">
        <v>1392</v>
      </c>
      <c r="J2052" s="417" t="s">
        <v>4364</v>
      </c>
      <c r="K2052" s="417" t="s">
        <v>6517</v>
      </c>
      <c r="L2052" s="417"/>
      <c r="M2052" s="417" t="s">
        <v>28840</v>
      </c>
    </row>
    <row r="2053" spans="1:13" x14ac:dyDescent="0.25">
      <c r="A2053" s="417" t="s">
        <v>3385</v>
      </c>
      <c r="B2053" s="417" t="s">
        <v>2623</v>
      </c>
      <c r="C2053" s="417" t="s">
        <v>6518</v>
      </c>
      <c r="D2053" s="417" t="s">
        <v>88</v>
      </c>
      <c r="E2053" s="423">
        <v>2.6913503768696969E-2</v>
      </c>
      <c r="F2053" s="423">
        <v>1.4226026719368729E-3</v>
      </c>
      <c r="G2053" s="422">
        <v>57.059543537942687</v>
      </c>
      <c r="H2053" s="417" t="s">
        <v>2616</v>
      </c>
      <c r="I2053" s="417" t="s">
        <v>1392</v>
      </c>
      <c r="J2053" s="417" t="s">
        <v>4364</v>
      </c>
      <c r="K2053" s="417" t="s">
        <v>6519</v>
      </c>
      <c r="L2053" s="417"/>
      <c r="M2053" s="417" t="s">
        <v>28840</v>
      </c>
    </row>
    <row r="2054" spans="1:13" x14ac:dyDescent="0.25">
      <c r="A2054" s="417" t="s">
        <v>3385</v>
      </c>
      <c r="B2054" s="417" t="s">
        <v>2623</v>
      </c>
      <c r="C2054" s="417" t="s">
        <v>6520</v>
      </c>
      <c r="D2054" s="417" t="s">
        <v>88</v>
      </c>
      <c r="E2054" s="423">
        <v>1.829177874123554E-2</v>
      </c>
      <c r="F2054" s="423">
        <v>1.1523111368333041E-3</v>
      </c>
      <c r="G2054" s="422">
        <v>67.245777785647562</v>
      </c>
      <c r="H2054" s="417" t="s">
        <v>2616</v>
      </c>
      <c r="I2054" s="417" t="s">
        <v>1392</v>
      </c>
      <c r="J2054" s="417" t="s">
        <v>4364</v>
      </c>
      <c r="K2054" s="417" t="s">
        <v>6521</v>
      </c>
      <c r="L2054" s="417"/>
      <c r="M2054" s="417" t="s">
        <v>28840</v>
      </c>
    </row>
    <row r="2055" spans="1:13" x14ac:dyDescent="0.25">
      <c r="A2055" s="417" t="s">
        <v>3385</v>
      </c>
      <c r="B2055" s="417" t="s">
        <v>2627</v>
      </c>
      <c r="C2055" s="417" t="s">
        <v>6522</v>
      </c>
      <c r="D2055" s="417" t="s">
        <v>88</v>
      </c>
      <c r="E2055" s="423">
        <v>0.22265866566715359</v>
      </c>
      <c r="F2055" s="423">
        <v>1.3169966543889999</v>
      </c>
      <c r="G2055" s="422">
        <v>261.50795793239502</v>
      </c>
      <c r="H2055" s="417" t="s">
        <v>2616</v>
      </c>
      <c r="I2055" s="417" t="s">
        <v>1392</v>
      </c>
      <c r="J2055" s="417" t="s">
        <v>6523</v>
      </c>
      <c r="K2055" s="417" t="s">
        <v>6524</v>
      </c>
      <c r="L2055" s="417"/>
      <c r="M2055" s="417" t="s">
        <v>28840</v>
      </c>
    </row>
    <row r="2056" spans="1:13" x14ac:dyDescent="0.25">
      <c r="A2056" s="417" t="s">
        <v>3385</v>
      </c>
      <c r="B2056" s="417" t="s">
        <v>2623</v>
      </c>
      <c r="C2056" s="417" t="s">
        <v>6525</v>
      </c>
      <c r="D2056" s="417" t="s">
        <v>88</v>
      </c>
      <c r="E2056" s="423">
        <v>0.22789560150321581</v>
      </c>
      <c r="F2056" s="423">
        <v>1.3174516992964529</v>
      </c>
      <c r="G2056" s="422">
        <v>271.40591866754278</v>
      </c>
      <c r="H2056" s="417" t="s">
        <v>2616</v>
      </c>
      <c r="I2056" s="417" t="s">
        <v>1392</v>
      </c>
      <c r="J2056" s="417" t="s">
        <v>4364</v>
      </c>
      <c r="K2056" s="417" t="s">
        <v>6526</v>
      </c>
      <c r="L2056" s="417"/>
      <c r="M2056" s="417" t="s">
        <v>28840</v>
      </c>
    </row>
    <row r="2057" spans="1:13" x14ac:dyDescent="0.25">
      <c r="A2057" s="417" t="s">
        <v>3385</v>
      </c>
      <c r="B2057" s="417" t="s">
        <v>2623</v>
      </c>
      <c r="C2057" s="417" t="s">
        <v>6527</v>
      </c>
      <c r="D2057" s="417" t="s">
        <v>88</v>
      </c>
      <c r="E2057" s="423">
        <v>0.2343582950892624</v>
      </c>
      <c r="F2057" s="423">
        <v>1.258918836682783</v>
      </c>
      <c r="G2057" s="422">
        <v>369.60787698842807</v>
      </c>
      <c r="H2057" s="417" t="s">
        <v>2616</v>
      </c>
      <c r="I2057" s="417" t="s">
        <v>1392</v>
      </c>
      <c r="J2057" s="417" t="s">
        <v>4364</v>
      </c>
      <c r="K2057" s="417" t="s">
        <v>6528</v>
      </c>
      <c r="L2057" s="417"/>
      <c r="M2057" s="417" t="s">
        <v>28840</v>
      </c>
    </row>
    <row r="2058" spans="1:13" x14ac:dyDescent="0.25">
      <c r="A2058" s="417" t="s">
        <v>3385</v>
      </c>
      <c r="B2058" s="417" t="s">
        <v>2623</v>
      </c>
      <c r="C2058" s="417" t="s">
        <v>6529</v>
      </c>
      <c r="D2058" s="417" t="s">
        <v>4315</v>
      </c>
      <c r="E2058" s="423">
        <v>0.27114286672346971</v>
      </c>
      <c r="F2058" s="423">
        <v>2.3822638555281741E-2</v>
      </c>
      <c r="G2058" s="422">
        <v>281.09297357989271</v>
      </c>
      <c r="H2058" s="417" t="s">
        <v>2616</v>
      </c>
      <c r="I2058" s="417" t="s">
        <v>1392</v>
      </c>
      <c r="J2058" s="417" t="s">
        <v>5974</v>
      </c>
      <c r="K2058" s="417" t="s">
        <v>6530</v>
      </c>
      <c r="L2058" s="417"/>
      <c r="M2058" s="417" t="s">
        <v>28840</v>
      </c>
    </row>
    <row r="2059" spans="1:13" x14ac:dyDescent="0.25">
      <c r="A2059" s="417" t="s">
        <v>3385</v>
      </c>
      <c r="B2059" s="417" t="s">
        <v>2623</v>
      </c>
      <c r="C2059" s="417" t="s">
        <v>6531</v>
      </c>
      <c r="D2059" s="417" t="s">
        <v>4315</v>
      </c>
      <c r="E2059" s="423">
        <v>0.32136179423169098</v>
      </c>
      <c r="F2059" s="423">
        <v>8.6133911238092493E-5</v>
      </c>
      <c r="G2059" s="422">
        <v>329.23550493502597</v>
      </c>
      <c r="H2059" s="417" t="s">
        <v>2616</v>
      </c>
      <c r="I2059" s="417" t="s">
        <v>1392</v>
      </c>
      <c r="J2059" s="417" t="s">
        <v>4364</v>
      </c>
      <c r="K2059" s="417" t="s">
        <v>6532</v>
      </c>
      <c r="L2059" s="417"/>
      <c r="M2059" s="417" t="s">
        <v>28840</v>
      </c>
    </row>
    <row r="2060" spans="1:13" x14ac:dyDescent="0.25">
      <c r="A2060" s="417" t="s">
        <v>3385</v>
      </c>
      <c r="B2060" s="417" t="s">
        <v>2623</v>
      </c>
      <c r="C2060" s="417" t="s">
        <v>6533</v>
      </c>
      <c r="D2060" s="417" t="s">
        <v>563</v>
      </c>
      <c r="E2060" s="423">
        <v>0.71604390257767858</v>
      </c>
      <c r="F2060" s="423">
        <v>2.9786840533585181E-2</v>
      </c>
      <c r="G2060" s="422">
        <v>2416.444481593946</v>
      </c>
      <c r="H2060" s="417" t="s">
        <v>2616</v>
      </c>
      <c r="I2060" s="417" t="s">
        <v>1392</v>
      </c>
      <c r="J2060" s="417" t="s">
        <v>4364</v>
      </c>
      <c r="K2060" s="417" t="s">
        <v>6534</v>
      </c>
      <c r="L2060" s="417"/>
      <c r="M2060" s="417" t="s">
        <v>28840</v>
      </c>
    </row>
    <row r="2061" spans="1:13" x14ac:dyDescent="0.25">
      <c r="A2061" s="417" t="s">
        <v>3385</v>
      </c>
      <c r="B2061" s="417" t="s">
        <v>2623</v>
      </c>
      <c r="C2061" s="417" t="s">
        <v>6535</v>
      </c>
      <c r="D2061" s="417" t="s">
        <v>563</v>
      </c>
      <c r="E2061" s="423">
        <v>0.91054025675619921</v>
      </c>
      <c r="F2061" s="423">
        <v>3.7877729745439882E-2</v>
      </c>
      <c r="G2061" s="422">
        <v>3072.8143488899232</v>
      </c>
      <c r="H2061" s="417" t="s">
        <v>2616</v>
      </c>
      <c r="I2061" s="417" t="s">
        <v>1392</v>
      </c>
      <c r="J2061" s="417" t="s">
        <v>4364</v>
      </c>
      <c r="K2061" s="417" t="s">
        <v>6536</v>
      </c>
      <c r="L2061" s="417"/>
      <c r="M2061" s="417" t="s">
        <v>28840</v>
      </c>
    </row>
    <row r="2062" spans="1:13" x14ac:dyDescent="0.25">
      <c r="A2062" s="417" t="s">
        <v>3385</v>
      </c>
      <c r="B2062" s="417" t="s">
        <v>2623</v>
      </c>
      <c r="C2062" s="417" t="s">
        <v>6537</v>
      </c>
      <c r="D2062" s="417" t="s">
        <v>88</v>
      </c>
      <c r="E2062" s="423">
        <v>0.103103163305032</v>
      </c>
      <c r="F2062" s="423">
        <v>1.03711772606731E-2</v>
      </c>
      <c r="G2062" s="422">
        <v>245.03097618382259</v>
      </c>
      <c r="H2062" s="417" t="s">
        <v>2616</v>
      </c>
      <c r="I2062" s="417" t="s">
        <v>1392</v>
      </c>
      <c r="J2062" s="417" t="s">
        <v>5849</v>
      </c>
      <c r="K2062" s="417" t="s">
        <v>6538</v>
      </c>
      <c r="L2062" s="417"/>
      <c r="M2062" s="417" t="s">
        <v>28840</v>
      </c>
    </row>
    <row r="2063" spans="1:13" x14ac:dyDescent="0.25">
      <c r="A2063" s="417" t="s">
        <v>3385</v>
      </c>
      <c r="B2063" s="417" t="s">
        <v>2623</v>
      </c>
      <c r="C2063" s="417" t="s">
        <v>6539</v>
      </c>
      <c r="D2063" s="417" t="s">
        <v>88</v>
      </c>
      <c r="E2063" s="423">
        <v>0.94825471809514039</v>
      </c>
      <c r="F2063" s="423">
        <v>1.53628470346028E-3</v>
      </c>
      <c r="G2063" s="422">
        <v>1009.142819102716</v>
      </c>
      <c r="H2063" s="417" t="s">
        <v>2616</v>
      </c>
      <c r="I2063" s="417" t="s">
        <v>1392</v>
      </c>
      <c r="J2063" s="417" t="s">
        <v>4364</v>
      </c>
      <c r="K2063" s="417" t="s">
        <v>6540</v>
      </c>
      <c r="L2063" s="417"/>
      <c r="M2063" s="417" t="s">
        <v>28840</v>
      </c>
    </row>
    <row r="2064" spans="1:13" x14ac:dyDescent="0.25">
      <c r="A2064" s="417" t="s">
        <v>3385</v>
      </c>
      <c r="B2064" s="417" t="s">
        <v>2623</v>
      </c>
      <c r="C2064" s="417" t="s">
        <v>6541</v>
      </c>
      <c r="D2064" s="417" t="s">
        <v>88</v>
      </c>
      <c r="E2064" s="423">
        <v>0.93459939714323803</v>
      </c>
      <c r="F2064" s="423">
        <v>2.1135858500580139E-3</v>
      </c>
      <c r="G2064" s="422">
        <v>1009.756644559622</v>
      </c>
      <c r="H2064" s="417" t="s">
        <v>2616</v>
      </c>
      <c r="I2064" s="417" t="s">
        <v>1392</v>
      </c>
      <c r="J2064" s="417" t="s">
        <v>4364</v>
      </c>
      <c r="K2064" s="417" t="s">
        <v>6542</v>
      </c>
      <c r="L2064" s="417"/>
      <c r="M2064" s="417" t="s">
        <v>28840</v>
      </c>
    </row>
    <row r="2065" spans="1:13" x14ac:dyDescent="0.25">
      <c r="A2065" s="417" t="s">
        <v>3385</v>
      </c>
      <c r="B2065" s="417" t="s">
        <v>2623</v>
      </c>
      <c r="C2065" s="417" t="s">
        <v>6543</v>
      </c>
      <c r="D2065" s="417" t="s">
        <v>563</v>
      </c>
      <c r="E2065" s="423">
        <v>6.6125329491366216</v>
      </c>
      <c r="F2065" s="423">
        <v>3.1908335094760578</v>
      </c>
      <c r="G2065" s="422">
        <v>7615.9271049342506</v>
      </c>
      <c r="H2065" s="417" t="s">
        <v>2616</v>
      </c>
      <c r="I2065" s="417" t="s">
        <v>1392</v>
      </c>
      <c r="J2065" s="417" t="s">
        <v>4364</v>
      </c>
      <c r="K2065" s="417" t="s">
        <v>6544</v>
      </c>
      <c r="L2065" s="417"/>
      <c r="M2065" s="417" t="s">
        <v>28840</v>
      </c>
    </row>
    <row r="2066" spans="1:13" x14ac:dyDescent="0.25">
      <c r="A2066" s="417" t="s">
        <v>3385</v>
      </c>
      <c r="B2066" s="417" t="s">
        <v>2623</v>
      </c>
      <c r="C2066" s="417" t="s">
        <v>6545</v>
      </c>
      <c r="D2066" s="417" t="s">
        <v>563</v>
      </c>
      <c r="E2066" s="423">
        <v>29.82868778939935</v>
      </c>
      <c r="F2066" s="423">
        <v>0.57491127750896076</v>
      </c>
      <c r="G2066" s="422">
        <v>32878.571638809553</v>
      </c>
      <c r="H2066" s="417" t="s">
        <v>2616</v>
      </c>
      <c r="I2066" s="417" t="s">
        <v>1392</v>
      </c>
      <c r="J2066" s="417" t="s">
        <v>4364</v>
      </c>
      <c r="K2066" s="417" t="s">
        <v>6546</v>
      </c>
      <c r="L2066" s="417"/>
      <c r="M2066" s="417" t="s">
        <v>28840</v>
      </c>
    </row>
    <row r="2067" spans="1:13" x14ac:dyDescent="0.25">
      <c r="A2067" s="417" t="s">
        <v>3385</v>
      </c>
      <c r="B2067" s="417" t="s">
        <v>2623</v>
      </c>
      <c r="C2067" s="417" t="s">
        <v>6547</v>
      </c>
      <c r="D2067" s="417" t="s">
        <v>88</v>
      </c>
      <c r="E2067" s="423">
        <v>0.30107016803514219</v>
      </c>
      <c r="F2067" s="423">
        <v>1.8686512118725671E-2</v>
      </c>
      <c r="G2067" s="422">
        <v>425.16702320050757</v>
      </c>
      <c r="H2067" s="417" t="s">
        <v>2616</v>
      </c>
      <c r="I2067" s="417" t="s">
        <v>1392</v>
      </c>
      <c r="J2067" s="417" t="s">
        <v>6015</v>
      </c>
      <c r="K2067" s="417" t="s">
        <v>6548</v>
      </c>
      <c r="L2067" s="417"/>
      <c r="M2067" s="417" t="s">
        <v>28840</v>
      </c>
    </row>
    <row r="2068" spans="1:13" x14ac:dyDescent="0.25">
      <c r="A2068" s="417" t="s">
        <v>3385</v>
      </c>
      <c r="B2068" s="417" t="s">
        <v>2623</v>
      </c>
      <c r="C2068" s="417" t="s">
        <v>6549</v>
      </c>
      <c r="D2068" s="417" t="s">
        <v>563</v>
      </c>
      <c r="E2068" s="423">
        <v>5.5062617801357048</v>
      </c>
      <c r="F2068" s="423">
        <v>5.4438869330589914E-3</v>
      </c>
      <c r="G2068" s="422">
        <v>6003.0496579270766</v>
      </c>
      <c r="H2068" s="417" t="s">
        <v>2616</v>
      </c>
      <c r="I2068" s="417" t="s">
        <v>1392</v>
      </c>
      <c r="J2068" s="417" t="s">
        <v>4364</v>
      </c>
      <c r="K2068" s="417" t="s">
        <v>6550</v>
      </c>
      <c r="L2068" s="417"/>
      <c r="M2068" s="417" t="s">
        <v>28840</v>
      </c>
    </row>
    <row r="2069" spans="1:13" x14ac:dyDescent="0.25">
      <c r="A2069" s="417" t="s">
        <v>3385</v>
      </c>
      <c r="B2069" s="417" t="s">
        <v>2623</v>
      </c>
      <c r="C2069" s="417" t="s">
        <v>6551</v>
      </c>
      <c r="D2069" s="417" t="s">
        <v>88</v>
      </c>
      <c r="E2069" s="423">
        <v>2.1208708091330841</v>
      </c>
      <c r="F2069" s="423">
        <v>1.6809709278408889E-3</v>
      </c>
      <c r="G2069" s="422">
        <v>2220.8851699513898</v>
      </c>
      <c r="H2069" s="417" t="s">
        <v>2616</v>
      </c>
      <c r="I2069" s="417" t="s">
        <v>1392</v>
      </c>
      <c r="J2069" s="417" t="s">
        <v>4364</v>
      </c>
      <c r="K2069" s="417" t="s">
        <v>6552</v>
      </c>
      <c r="L2069" s="417"/>
      <c r="M2069" s="417" t="s">
        <v>28840</v>
      </c>
    </row>
    <row r="2070" spans="1:13" x14ac:dyDescent="0.25">
      <c r="A2070" s="417" t="s">
        <v>3385</v>
      </c>
      <c r="B2070" s="417" t="s">
        <v>2623</v>
      </c>
      <c r="C2070" s="417" t="s">
        <v>6553</v>
      </c>
      <c r="D2070" s="417" t="s">
        <v>88</v>
      </c>
      <c r="E2070" s="423">
        <v>1.0999152421562531E-3</v>
      </c>
      <c r="F2070" s="423">
        <v>6.6289031208070581E-5</v>
      </c>
      <c r="G2070" s="422">
        <v>28.894899693858271</v>
      </c>
      <c r="H2070" s="417" t="s">
        <v>2616</v>
      </c>
      <c r="I2070" s="417" t="s">
        <v>1392</v>
      </c>
      <c r="J2070" s="417" t="s">
        <v>6311</v>
      </c>
      <c r="K2070" s="417" t="s">
        <v>6554</v>
      </c>
      <c r="L2070" s="417"/>
      <c r="M2070" s="417" t="s">
        <v>28840</v>
      </c>
    </row>
    <row r="2071" spans="1:13" x14ac:dyDescent="0.25">
      <c r="A2071" s="417" t="s">
        <v>3385</v>
      </c>
      <c r="B2071" s="417" t="s">
        <v>2623</v>
      </c>
      <c r="C2071" s="417" t="s">
        <v>6555</v>
      </c>
      <c r="D2071" s="417" t="s">
        <v>88</v>
      </c>
      <c r="E2071" s="423">
        <v>2.155919006529472E-2</v>
      </c>
      <c r="F2071" s="423">
        <v>1.0509213901203651E-3</v>
      </c>
      <c r="G2071" s="422">
        <v>47.04564897491997</v>
      </c>
      <c r="H2071" s="417" t="s">
        <v>2616</v>
      </c>
      <c r="I2071" s="417" t="s">
        <v>1392</v>
      </c>
      <c r="J2071" s="417" t="s">
        <v>5990</v>
      </c>
      <c r="K2071" s="417" t="s">
        <v>6556</v>
      </c>
      <c r="L2071" s="417"/>
      <c r="M2071" s="417" t="s">
        <v>28840</v>
      </c>
    </row>
    <row r="2072" spans="1:13" x14ac:dyDescent="0.25">
      <c r="A2072" s="417" t="s">
        <v>3385</v>
      </c>
      <c r="B2072" s="417" t="s">
        <v>2623</v>
      </c>
      <c r="C2072" s="417" t="s">
        <v>6557</v>
      </c>
      <c r="D2072" s="417" t="s">
        <v>563</v>
      </c>
      <c r="E2072" s="423">
        <v>2.8256391341391849</v>
      </c>
      <c r="F2072" s="423">
        <v>2.662503059778407E-2</v>
      </c>
      <c r="G2072" s="422">
        <v>4053.771038562239</v>
      </c>
      <c r="H2072" s="417" t="s">
        <v>2616</v>
      </c>
      <c r="I2072" s="417" t="s">
        <v>1392</v>
      </c>
      <c r="J2072" s="417" t="s">
        <v>4364</v>
      </c>
      <c r="K2072" s="417" t="s">
        <v>6558</v>
      </c>
      <c r="L2072" s="417"/>
      <c r="M2072" s="417" t="s">
        <v>28840</v>
      </c>
    </row>
    <row r="2073" spans="1:13" x14ac:dyDescent="0.25">
      <c r="A2073" s="417" t="s">
        <v>3385</v>
      </c>
      <c r="B2073" s="417" t="s">
        <v>2623</v>
      </c>
      <c r="C2073" s="417" t="s">
        <v>6559</v>
      </c>
      <c r="D2073" s="417" t="s">
        <v>563</v>
      </c>
      <c r="E2073" s="423">
        <v>3.584082421746051</v>
      </c>
      <c r="F2073" s="423">
        <v>2.7308241329642761E-2</v>
      </c>
      <c r="G2073" s="422">
        <v>4871.4209878506499</v>
      </c>
      <c r="H2073" s="417" t="s">
        <v>2616</v>
      </c>
      <c r="I2073" s="417" t="s">
        <v>1392</v>
      </c>
      <c r="J2073" s="417" t="s">
        <v>4364</v>
      </c>
      <c r="K2073" s="417" t="s">
        <v>6560</v>
      </c>
      <c r="L2073" s="417"/>
      <c r="M2073" s="417" t="s">
        <v>28840</v>
      </c>
    </row>
    <row r="2074" spans="1:13" x14ac:dyDescent="0.25">
      <c r="A2074" s="417" t="s">
        <v>3385</v>
      </c>
      <c r="B2074" s="417" t="s">
        <v>2623</v>
      </c>
      <c r="C2074" s="417" t="s">
        <v>6561</v>
      </c>
      <c r="D2074" s="417" t="s">
        <v>563</v>
      </c>
      <c r="E2074" s="423">
        <v>6.6492248654642454</v>
      </c>
      <c r="F2074" s="423">
        <v>4.2109180003751287E-2</v>
      </c>
      <c r="G2074" s="422">
        <v>8679.6153238552633</v>
      </c>
      <c r="H2074" s="417" t="s">
        <v>2616</v>
      </c>
      <c r="I2074" s="417" t="s">
        <v>1392</v>
      </c>
      <c r="J2074" s="417" t="s">
        <v>4364</v>
      </c>
      <c r="K2074" s="417" t="s">
        <v>6562</v>
      </c>
      <c r="L2074" s="417"/>
      <c r="M2074" s="417" t="s">
        <v>28840</v>
      </c>
    </row>
    <row r="2075" spans="1:13" x14ac:dyDescent="0.25">
      <c r="A2075" s="417" t="s">
        <v>3385</v>
      </c>
      <c r="B2075" s="417" t="s">
        <v>2623</v>
      </c>
      <c r="C2075" s="417" t="s">
        <v>6563</v>
      </c>
      <c r="D2075" s="417" t="s">
        <v>563</v>
      </c>
      <c r="E2075" s="423">
        <v>4.8885529477224798</v>
      </c>
      <c r="F2075" s="423">
        <v>4.0523155096067298E-2</v>
      </c>
      <c r="G2075" s="422">
        <v>6781.4993682780196</v>
      </c>
      <c r="H2075" s="417" t="s">
        <v>2616</v>
      </c>
      <c r="I2075" s="417" t="s">
        <v>1392</v>
      </c>
      <c r="J2075" s="417" t="s">
        <v>4364</v>
      </c>
      <c r="K2075" s="417" t="s">
        <v>6564</v>
      </c>
      <c r="L2075" s="417"/>
      <c r="M2075" s="417" t="s">
        <v>28840</v>
      </c>
    </row>
    <row r="2076" spans="1:13" x14ac:dyDescent="0.25">
      <c r="A2076" s="417" t="s">
        <v>3385</v>
      </c>
      <c r="B2076" s="417" t="s">
        <v>2623</v>
      </c>
      <c r="C2076" s="417" t="s">
        <v>6565</v>
      </c>
      <c r="D2076" s="417" t="s">
        <v>563</v>
      </c>
      <c r="E2076" s="423">
        <v>8.7392259395996987</v>
      </c>
      <c r="F2076" s="423">
        <v>5.6031704888825633E-2</v>
      </c>
      <c r="G2076" s="422">
        <v>11436.545435404591</v>
      </c>
      <c r="H2076" s="417" t="s">
        <v>2616</v>
      </c>
      <c r="I2076" s="417" t="s">
        <v>1392</v>
      </c>
      <c r="J2076" s="417" t="s">
        <v>4364</v>
      </c>
      <c r="K2076" s="417" t="s">
        <v>6566</v>
      </c>
      <c r="L2076" s="417"/>
      <c r="M2076" s="417" t="s">
        <v>28840</v>
      </c>
    </row>
    <row r="2077" spans="1:13" x14ac:dyDescent="0.25">
      <c r="A2077" s="417" t="s">
        <v>3385</v>
      </c>
      <c r="B2077" s="417" t="s">
        <v>2623</v>
      </c>
      <c r="C2077" s="417" t="s">
        <v>6567</v>
      </c>
      <c r="D2077" s="417" t="s">
        <v>563</v>
      </c>
      <c r="E2077" s="423">
        <v>5.6740834957197004</v>
      </c>
      <c r="F2077" s="423">
        <v>4.1230766210459999E-2</v>
      </c>
      <c r="G2077" s="422">
        <v>7628.3511030310146</v>
      </c>
      <c r="H2077" s="417" t="s">
        <v>2616</v>
      </c>
      <c r="I2077" s="417" t="s">
        <v>1392</v>
      </c>
      <c r="J2077" s="417" t="s">
        <v>4364</v>
      </c>
      <c r="K2077" s="417" t="s">
        <v>6568</v>
      </c>
      <c r="L2077" s="417"/>
      <c r="M2077" s="417" t="s">
        <v>28840</v>
      </c>
    </row>
    <row r="2078" spans="1:13" x14ac:dyDescent="0.25">
      <c r="A2078" s="417" t="s">
        <v>3385</v>
      </c>
      <c r="B2078" s="417" t="s">
        <v>2437</v>
      </c>
      <c r="C2078" s="417" t="s">
        <v>6569</v>
      </c>
      <c r="D2078" s="417" t="s">
        <v>88</v>
      </c>
      <c r="E2078" s="423">
        <v>1.066241844771203</v>
      </c>
      <c r="F2078" s="423">
        <v>3.4989323393489272E-3</v>
      </c>
      <c r="G2078" s="422">
        <v>1150.3151558214449</v>
      </c>
      <c r="H2078" s="417" t="s">
        <v>2616</v>
      </c>
      <c r="I2078" s="417" t="s">
        <v>1392</v>
      </c>
      <c r="J2078" s="417" t="s">
        <v>4342</v>
      </c>
      <c r="K2078" s="417" t="s">
        <v>6570</v>
      </c>
      <c r="L2078" s="417"/>
      <c r="M2078" s="417" t="s">
        <v>28840</v>
      </c>
    </row>
    <row r="2079" spans="1:13" x14ac:dyDescent="0.25">
      <c r="A2079" s="417" t="s">
        <v>3385</v>
      </c>
      <c r="B2079" s="417" t="s">
        <v>2437</v>
      </c>
      <c r="C2079" s="417" t="s">
        <v>6571</v>
      </c>
      <c r="D2079" s="417" t="s">
        <v>88</v>
      </c>
      <c r="E2079" s="423">
        <v>0.83559605515821833</v>
      </c>
      <c r="F2079" s="423">
        <v>3.3580244303756841E-3</v>
      </c>
      <c r="G2079" s="422">
        <v>911.14837982678955</v>
      </c>
      <c r="H2079" s="417" t="s">
        <v>2616</v>
      </c>
      <c r="I2079" s="417" t="s">
        <v>1392</v>
      </c>
      <c r="J2079" s="417" t="s">
        <v>4342</v>
      </c>
      <c r="K2079" s="417" t="s">
        <v>6572</v>
      </c>
      <c r="L2079" s="417"/>
      <c r="M2079" s="417" t="s">
        <v>28840</v>
      </c>
    </row>
    <row r="2080" spans="1:13" x14ac:dyDescent="0.25">
      <c r="A2080" s="417" t="s">
        <v>3385</v>
      </c>
      <c r="B2080" s="417" t="s">
        <v>2623</v>
      </c>
      <c r="C2080" s="417" t="s">
        <v>6573</v>
      </c>
      <c r="D2080" s="417" t="s">
        <v>88</v>
      </c>
      <c r="E2080" s="423">
        <v>4.9380115925004277E-2</v>
      </c>
      <c r="F2080" s="423">
        <v>0.214628708565862</v>
      </c>
      <c r="G2080" s="422">
        <v>74.027110612140504</v>
      </c>
      <c r="H2080" s="417" t="s">
        <v>2616</v>
      </c>
      <c r="I2080" s="417" t="s">
        <v>1392</v>
      </c>
      <c r="J2080" s="417" t="s">
        <v>4364</v>
      </c>
      <c r="K2080" s="417" t="s">
        <v>6574</v>
      </c>
      <c r="L2080" s="417"/>
      <c r="M2080" s="417" t="s">
        <v>28840</v>
      </c>
    </row>
    <row r="2081" spans="1:13" x14ac:dyDescent="0.25">
      <c r="A2081" s="417" t="s">
        <v>3385</v>
      </c>
      <c r="B2081" s="417" t="s">
        <v>2623</v>
      </c>
      <c r="C2081" s="417" t="s">
        <v>6575</v>
      </c>
      <c r="D2081" s="417" t="s">
        <v>88</v>
      </c>
      <c r="E2081" s="423">
        <v>0.3063072135240657</v>
      </c>
      <c r="F2081" s="423">
        <v>1.3655970630159651</v>
      </c>
      <c r="G2081" s="422">
        <v>452.8758790454404</v>
      </c>
      <c r="H2081" s="417" t="s">
        <v>2616</v>
      </c>
      <c r="I2081" s="417" t="s">
        <v>1392</v>
      </c>
      <c r="J2081" s="417" t="s">
        <v>4364</v>
      </c>
      <c r="K2081" s="417" t="s">
        <v>6576</v>
      </c>
      <c r="L2081" s="417"/>
      <c r="M2081" s="417" t="s">
        <v>28840</v>
      </c>
    </row>
    <row r="2082" spans="1:13" x14ac:dyDescent="0.25">
      <c r="A2082" s="417" t="s">
        <v>3385</v>
      </c>
      <c r="B2082" s="417" t="s">
        <v>2623</v>
      </c>
      <c r="C2082" s="417" t="s">
        <v>6577</v>
      </c>
      <c r="D2082" s="417" t="s">
        <v>88</v>
      </c>
      <c r="E2082" s="423">
        <v>8.218501118275845E-2</v>
      </c>
      <c r="F2082" s="423">
        <v>1.6166126223951121E-2</v>
      </c>
      <c r="G2082" s="422">
        <v>1089.2380932264409</v>
      </c>
      <c r="H2082" s="417" t="s">
        <v>2616</v>
      </c>
      <c r="I2082" s="417" t="s">
        <v>1392</v>
      </c>
      <c r="J2082" s="417" t="s">
        <v>4364</v>
      </c>
      <c r="K2082" s="417" t="s">
        <v>6578</v>
      </c>
      <c r="L2082" s="417"/>
      <c r="M2082" s="417" t="s">
        <v>28840</v>
      </c>
    </row>
    <row r="2083" spans="1:13" x14ac:dyDescent="0.25">
      <c r="A2083" s="417" t="s">
        <v>3385</v>
      </c>
      <c r="B2083" s="417" t="s">
        <v>2623</v>
      </c>
      <c r="C2083" s="417" t="s">
        <v>6579</v>
      </c>
      <c r="D2083" s="417" t="s">
        <v>88</v>
      </c>
      <c r="E2083" s="423">
        <v>0.20633007968122949</v>
      </c>
      <c r="F2083" s="423">
        <v>1.355894586851051</v>
      </c>
      <c r="G2083" s="422">
        <v>268.33105200808279</v>
      </c>
      <c r="H2083" s="417" t="s">
        <v>2616</v>
      </c>
      <c r="I2083" s="417" t="s">
        <v>1392</v>
      </c>
      <c r="J2083" s="417" t="s">
        <v>4364</v>
      </c>
      <c r="K2083" s="417" t="s">
        <v>6580</v>
      </c>
      <c r="L2083" s="417"/>
      <c r="M2083" s="417" t="s">
        <v>28840</v>
      </c>
    </row>
    <row r="2084" spans="1:13" x14ac:dyDescent="0.25">
      <c r="A2084" s="417" t="s">
        <v>3385</v>
      </c>
      <c r="B2084" s="417" t="s">
        <v>2623</v>
      </c>
      <c r="C2084" s="417" t="s">
        <v>6581</v>
      </c>
      <c r="D2084" s="417" t="s">
        <v>88</v>
      </c>
      <c r="E2084" s="423">
        <v>0.4560701309409797</v>
      </c>
      <c r="F2084" s="423">
        <v>5.2929041146261709E-4</v>
      </c>
      <c r="G2084" s="422">
        <v>499.37152240115603</v>
      </c>
      <c r="H2084" s="417" t="s">
        <v>2616</v>
      </c>
      <c r="I2084" s="417" t="s">
        <v>1392</v>
      </c>
      <c r="J2084" s="417" t="s">
        <v>5990</v>
      </c>
      <c r="K2084" s="417" t="s">
        <v>6582</v>
      </c>
      <c r="L2084" s="417"/>
      <c r="M2084" s="417" t="s">
        <v>28840</v>
      </c>
    </row>
    <row r="2085" spans="1:13" x14ac:dyDescent="0.25">
      <c r="A2085" s="417" t="s">
        <v>3385</v>
      </c>
      <c r="B2085" s="417" t="s">
        <v>2623</v>
      </c>
      <c r="C2085" s="417" t="s">
        <v>6583</v>
      </c>
      <c r="D2085" s="417" t="s">
        <v>88</v>
      </c>
      <c r="E2085" s="423">
        <v>1.2342931748023801E-2</v>
      </c>
      <c r="F2085" s="423">
        <v>5.0874164303806437E-4</v>
      </c>
      <c r="G2085" s="422">
        <v>39.512334799349972</v>
      </c>
      <c r="H2085" s="417" t="s">
        <v>2616</v>
      </c>
      <c r="I2085" s="417" t="s">
        <v>1392</v>
      </c>
      <c r="J2085" s="417" t="s">
        <v>4364</v>
      </c>
      <c r="K2085" s="417" t="s">
        <v>6584</v>
      </c>
      <c r="L2085" s="417"/>
      <c r="M2085" s="417" t="s">
        <v>28840</v>
      </c>
    </row>
    <row r="2086" spans="1:13" x14ac:dyDescent="0.25">
      <c r="A2086" s="417" t="s">
        <v>3385</v>
      </c>
      <c r="B2086" s="417" t="s">
        <v>2623</v>
      </c>
      <c r="C2086" s="417" t="s">
        <v>6585</v>
      </c>
      <c r="D2086" s="417" t="s">
        <v>88</v>
      </c>
      <c r="E2086" s="423">
        <v>1.099915242083581E-3</v>
      </c>
      <c r="F2086" s="423">
        <v>6.6289031185302226E-5</v>
      </c>
      <c r="G2086" s="422">
        <v>33.095024882123226</v>
      </c>
      <c r="H2086" s="417" t="s">
        <v>2616</v>
      </c>
      <c r="I2086" s="417" t="s">
        <v>1392</v>
      </c>
      <c r="J2086" s="417" t="s">
        <v>6311</v>
      </c>
      <c r="K2086" s="417" t="s">
        <v>6586</v>
      </c>
      <c r="L2086" s="417"/>
      <c r="M2086" s="417" t="s">
        <v>28840</v>
      </c>
    </row>
    <row r="2087" spans="1:13" x14ac:dyDescent="0.25">
      <c r="A2087" s="417" t="s">
        <v>3385</v>
      </c>
      <c r="B2087" s="417" t="s">
        <v>2623</v>
      </c>
      <c r="C2087" s="417" t="s">
        <v>6587</v>
      </c>
      <c r="D2087" s="417" t="s">
        <v>88</v>
      </c>
      <c r="E2087" s="423">
        <v>0.30107016485045779</v>
      </c>
      <c r="F2087" s="423">
        <v>1.8686505893449019E-2</v>
      </c>
      <c r="G2087" s="422">
        <v>2654.8903429337061</v>
      </c>
      <c r="H2087" s="417" t="s">
        <v>2616</v>
      </c>
      <c r="I2087" s="417" t="s">
        <v>1392</v>
      </c>
      <c r="J2087" s="417" t="s">
        <v>6015</v>
      </c>
      <c r="K2087" s="417" t="s">
        <v>6588</v>
      </c>
      <c r="L2087" s="417"/>
      <c r="M2087" s="417" t="s">
        <v>28840</v>
      </c>
    </row>
    <row r="2088" spans="1:13" x14ac:dyDescent="0.25">
      <c r="A2088" s="417" t="s">
        <v>3385</v>
      </c>
      <c r="B2088" s="417" t="s">
        <v>2623</v>
      </c>
      <c r="C2088" s="417" t="s">
        <v>6589</v>
      </c>
      <c r="D2088" s="417" t="s">
        <v>563</v>
      </c>
      <c r="E2088" s="423">
        <v>1.611940520810714</v>
      </c>
      <c r="F2088" s="423">
        <v>1.0998981329102859E-2</v>
      </c>
      <c r="G2088" s="422">
        <v>2265.4768908104802</v>
      </c>
      <c r="H2088" s="417" t="s">
        <v>2616</v>
      </c>
      <c r="I2088" s="417" t="s">
        <v>1392</v>
      </c>
      <c r="J2088" s="417" t="s">
        <v>4364</v>
      </c>
      <c r="K2088" s="417" t="s">
        <v>6590</v>
      </c>
      <c r="L2088" s="417"/>
      <c r="M2088" s="417" t="s">
        <v>28840</v>
      </c>
    </row>
    <row r="2089" spans="1:13" x14ac:dyDescent="0.25">
      <c r="A2089" s="417" t="s">
        <v>3385</v>
      </c>
      <c r="B2089" s="417" t="s">
        <v>2623</v>
      </c>
      <c r="C2089" s="417" t="s">
        <v>6591</v>
      </c>
      <c r="D2089" s="417" t="s">
        <v>563</v>
      </c>
      <c r="E2089" s="423">
        <v>2.7940234156551318</v>
      </c>
      <c r="F2089" s="423">
        <v>1.906496226060474E-2</v>
      </c>
      <c r="G2089" s="422">
        <v>3926.8235026429702</v>
      </c>
      <c r="H2089" s="417" t="s">
        <v>2616</v>
      </c>
      <c r="I2089" s="417" t="s">
        <v>1392</v>
      </c>
      <c r="J2089" s="417" t="s">
        <v>4364</v>
      </c>
      <c r="K2089" s="417" t="s">
        <v>6592</v>
      </c>
      <c r="L2089" s="417"/>
      <c r="M2089" s="417" t="s">
        <v>28840</v>
      </c>
    </row>
    <row r="2090" spans="1:13" x14ac:dyDescent="0.25">
      <c r="A2090" s="417" t="s">
        <v>3385</v>
      </c>
      <c r="B2090" s="417" t="s">
        <v>2623</v>
      </c>
      <c r="C2090" s="417" t="s">
        <v>6593</v>
      </c>
      <c r="D2090" s="417" t="s">
        <v>563</v>
      </c>
      <c r="E2090" s="423">
        <v>6.9850564714314434</v>
      </c>
      <c r="F2090" s="423">
        <v>4.7662315238293049E-2</v>
      </c>
      <c r="G2090" s="422">
        <v>9817.0405469926991</v>
      </c>
      <c r="H2090" s="417" t="s">
        <v>2616</v>
      </c>
      <c r="I2090" s="417" t="s">
        <v>1392</v>
      </c>
      <c r="J2090" s="417" t="s">
        <v>4364</v>
      </c>
      <c r="K2090" s="417" t="s">
        <v>6594</v>
      </c>
      <c r="L2090" s="417"/>
      <c r="M2090" s="417" t="s">
        <v>28840</v>
      </c>
    </row>
    <row r="2091" spans="1:13" x14ac:dyDescent="0.25">
      <c r="A2091" s="417" t="s">
        <v>3385</v>
      </c>
      <c r="B2091" s="417" t="s">
        <v>2623</v>
      </c>
      <c r="C2091" s="417" t="s">
        <v>6595</v>
      </c>
      <c r="D2091" s="417" t="s">
        <v>88</v>
      </c>
      <c r="E2091" s="423">
        <v>2.6913503768696969E-2</v>
      </c>
      <c r="F2091" s="423">
        <v>1.4226026719368391E-3</v>
      </c>
      <c r="G2091" s="422">
        <v>57.05954353794268</v>
      </c>
      <c r="H2091" s="417" t="s">
        <v>2616</v>
      </c>
      <c r="I2091" s="417" t="s">
        <v>1392</v>
      </c>
      <c r="J2091" s="417" t="s">
        <v>4364</v>
      </c>
      <c r="K2091" s="417" t="s">
        <v>6596</v>
      </c>
      <c r="L2091" s="417"/>
      <c r="M2091" s="417" t="s">
        <v>28840</v>
      </c>
    </row>
    <row r="2092" spans="1:13" x14ac:dyDescent="0.25">
      <c r="A2092" s="417" t="s">
        <v>3385</v>
      </c>
      <c r="B2092" s="417" t="s">
        <v>2623</v>
      </c>
      <c r="C2092" s="417" t="s">
        <v>6597</v>
      </c>
      <c r="D2092" s="417" t="s">
        <v>88</v>
      </c>
      <c r="E2092" s="423">
        <v>1.8009178242134969E-2</v>
      </c>
      <c r="F2092" s="423">
        <v>1.1779795512413341E-3</v>
      </c>
      <c r="G2092" s="422">
        <v>70.276828120998545</v>
      </c>
      <c r="H2092" s="417" t="s">
        <v>2616</v>
      </c>
      <c r="I2092" s="417" t="s">
        <v>1392</v>
      </c>
      <c r="J2092" s="417" t="s">
        <v>4364</v>
      </c>
      <c r="K2092" s="417" t="s">
        <v>6598</v>
      </c>
      <c r="L2092" s="417"/>
      <c r="M2092" s="417" t="s">
        <v>28840</v>
      </c>
    </row>
    <row r="2093" spans="1:13" x14ac:dyDescent="0.25">
      <c r="A2093" s="417" t="s">
        <v>3385</v>
      </c>
      <c r="B2093" s="417" t="s">
        <v>2623</v>
      </c>
      <c r="C2093" s="417" t="s">
        <v>6599</v>
      </c>
      <c r="D2093" s="417" t="s">
        <v>88</v>
      </c>
      <c r="E2093" s="423">
        <v>2.797041755845046E-2</v>
      </c>
      <c r="F2093" s="423">
        <v>0.1576413087365342</v>
      </c>
      <c r="G2093" s="422">
        <v>60.361494056405441</v>
      </c>
      <c r="H2093" s="417" t="s">
        <v>2616</v>
      </c>
      <c r="I2093" s="417" t="s">
        <v>1392</v>
      </c>
      <c r="J2093" s="417" t="s">
        <v>4364</v>
      </c>
      <c r="K2093" s="417" t="s">
        <v>6600</v>
      </c>
      <c r="L2093" s="417"/>
      <c r="M2093" s="417" t="s">
        <v>28840</v>
      </c>
    </row>
    <row r="2094" spans="1:13" x14ac:dyDescent="0.25">
      <c r="A2094" s="417" t="s">
        <v>3385</v>
      </c>
      <c r="B2094" s="417" t="s">
        <v>2623</v>
      </c>
      <c r="C2094" s="417" t="s">
        <v>6601</v>
      </c>
      <c r="D2094" s="417" t="s">
        <v>88</v>
      </c>
      <c r="E2094" s="423">
        <v>1.8146577032062652E-2</v>
      </c>
      <c r="F2094" s="423">
        <v>2.148641133899357E-2</v>
      </c>
      <c r="G2094" s="422">
        <v>70.706081684275844</v>
      </c>
      <c r="H2094" s="417" t="s">
        <v>2616</v>
      </c>
      <c r="I2094" s="417" t="s">
        <v>1392</v>
      </c>
      <c r="J2094" s="417" t="s">
        <v>4364</v>
      </c>
      <c r="K2094" s="417" t="s">
        <v>6602</v>
      </c>
      <c r="L2094" s="417"/>
      <c r="M2094" s="417" t="s">
        <v>28840</v>
      </c>
    </row>
    <row r="2095" spans="1:13" x14ac:dyDescent="0.25">
      <c r="A2095" s="417" t="s">
        <v>3385</v>
      </c>
      <c r="B2095" s="417" t="s">
        <v>2623</v>
      </c>
      <c r="C2095" s="417" t="s">
        <v>6603</v>
      </c>
      <c r="D2095" s="417" t="s">
        <v>88</v>
      </c>
      <c r="E2095" s="423">
        <v>7.8070720302572449E-2</v>
      </c>
      <c r="F2095" s="423">
        <v>1.5544070031929451E-2</v>
      </c>
      <c r="G2095" s="422">
        <v>426.56696160715148</v>
      </c>
      <c r="H2095" s="417" t="s">
        <v>2616</v>
      </c>
      <c r="I2095" s="417" t="s">
        <v>1392</v>
      </c>
      <c r="J2095" s="417" t="s">
        <v>4364</v>
      </c>
      <c r="K2095" s="417" t="s">
        <v>6604</v>
      </c>
      <c r="L2095" s="417"/>
      <c r="M2095" s="417" t="s">
        <v>28840</v>
      </c>
    </row>
    <row r="2096" spans="1:13" x14ac:dyDescent="0.25">
      <c r="A2096" s="417" t="s">
        <v>3385</v>
      </c>
      <c r="B2096" s="417" t="s">
        <v>2623</v>
      </c>
      <c r="C2096" s="417" t="s">
        <v>6605</v>
      </c>
      <c r="D2096" s="417" t="s">
        <v>88</v>
      </c>
      <c r="E2096" s="423">
        <v>2.7254925113273699E-2</v>
      </c>
      <c r="F2096" s="423">
        <v>6.9242025461876106E-2</v>
      </c>
      <c r="G2096" s="422">
        <v>58.252741807875481</v>
      </c>
      <c r="H2096" s="417" t="s">
        <v>2616</v>
      </c>
      <c r="I2096" s="417" t="s">
        <v>1392</v>
      </c>
      <c r="J2096" s="417" t="s">
        <v>4364</v>
      </c>
      <c r="K2096" s="417" t="s">
        <v>6606</v>
      </c>
      <c r="L2096" s="417"/>
      <c r="M2096" s="417" t="s">
        <v>28840</v>
      </c>
    </row>
    <row r="2097" spans="1:13" x14ac:dyDescent="0.25">
      <c r="A2097" s="417" t="s">
        <v>3385</v>
      </c>
      <c r="B2097" s="417" t="s">
        <v>2623</v>
      </c>
      <c r="C2097" s="417" t="s">
        <v>6607</v>
      </c>
      <c r="D2097" s="417" t="s">
        <v>88</v>
      </c>
      <c r="E2097" s="423">
        <v>1.099915242083581E-3</v>
      </c>
      <c r="F2097" s="423">
        <v>6.6289031185302877E-5</v>
      </c>
      <c r="G2097" s="422">
        <v>28.235329693543569</v>
      </c>
      <c r="H2097" s="417" t="s">
        <v>2616</v>
      </c>
      <c r="I2097" s="417" t="s">
        <v>1392</v>
      </c>
      <c r="J2097" s="417" t="s">
        <v>6311</v>
      </c>
      <c r="K2097" s="417" t="s">
        <v>6608</v>
      </c>
      <c r="L2097" s="417"/>
      <c r="M2097" s="417" t="s">
        <v>28840</v>
      </c>
    </row>
    <row r="2098" spans="1:13" x14ac:dyDescent="0.25">
      <c r="A2098" s="417" t="s">
        <v>3385</v>
      </c>
      <c r="B2098" s="417" t="s">
        <v>2623</v>
      </c>
      <c r="C2098" s="417" t="s">
        <v>6609</v>
      </c>
      <c r="D2098" s="417" t="s">
        <v>88</v>
      </c>
      <c r="E2098" s="423">
        <v>1.4165326515406831E-2</v>
      </c>
      <c r="F2098" s="423">
        <v>6.123848524169544E-4</v>
      </c>
      <c r="G2098" s="422">
        <v>333.53917409670032</v>
      </c>
      <c r="H2098" s="417" t="s">
        <v>2616</v>
      </c>
      <c r="I2098" s="417" t="s">
        <v>1392</v>
      </c>
      <c r="J2098" s="417" t="s">
        <v>5995</v>
      </c>
      <c r="K2098" s="417" t="s">
        <v>6610</v>
      </c>
      <c r="L2098" s="417"/>
      <c r="M2098" s="417" t="s">
        <v>28840</v>
      </c>
    </row>
    <row r="2099" spans="1:13" x14ac:dyDescent="0.25">
      <c r="A2099" s="417" t="s">
        <v>3385</v>
      </c>
      <c r="B2099" s="417" t="s">
        <v>2623</v>
      </c>
      <c r="C2099" s="417" t="s">
        <v>6611</v>
      </c>
      <c r="D2099" s="417" t="s">
        <v>88</v>
      </c>
      <c r="E2099" s="423">
        <v>0.30107016676924109</v>
      </c>
      <c r="F2099" s="423">
        <v>1.8686512047670779E-2</v>
      </c>
      <c r="G2099" s="422">
        <v>1630.0032004652639</v>
      </c>
      <c r="H2099" s="417" t="s">
        <v>2616</v>
      </c>
      <c r="I2099" s="417" t="s">
        <v>1392</v>
      </c>
      <c r="J2099" s="417" t="s">
        <v>6015</v>
      </c>
      <c r="K2099" s="417" t="s">
        <v>6612</v>
      </c>
      <c r="L2099" s="417"/>
      <c r="M2099" s="417" t="s">
        <v>28840</v>
      </c>
    </row>
    <row r="2100" spans="1:13" x14ac:dyDescent="0.25">
      <c r="A2100" s="417" t="s">
        <v>3385</v>
      </c>
      <c r="B2100" s="417" t="s">
        <v>2623</v>
      </c>
      <c r="C2100" s="417" t="s">
        <v>6613</v>
      </c>
      <c r="D2100" s="417" t="s">
        <v>88</v>
      </c>
      <c r="E2100" s="423">
        <v>3.2077410700957147E-2</v>
      </c>
      <c r="F2100" s="423">
        <v>1.488930571095985E-3</v>
      </c>
      <c r="G2100" s="422">
        <v>546.36302937007792</v>
      </c>
      <c r="H2100" s="417" t="s">
        <v>2616</v>
      </c>
      <c r="I2100" s="417" t="s">
        <v>1392</v>
      </c>
      <c r="J2100" s="417" t="s">
        <v>5990</v>
      </c>
      <c r="K2100" s="417" t="s">
        <v>6614</v>
      </c>
      <c r="L2100" s="417"/>
      <c r="M2100" s="417" t="s">
        <v>28840</v>
      </c>
    </row>
    <row r="2101" spans="1:13" x14ac:dyDescent="0.25">
      <c r="A2101" s="417" t="s">
        <v>3385</v>
      </c>
      <c r="B2101" s="417" t="s">
        <v>2623</v>
      </c>
      <c r="C2101" s="417" t="s">
        <v>6615</v>
      </c>
      <c r="D2101" s="417" t="s">
        <v>88</v>
      </c>
      <c r="E2101" s="423">
        <v>1.0633757112191789E-2</v>
      </c>
      <c r="F2101" s="423">
        <v>3.4574117200529011E-4</v>
      </c>
      <c r="G2101" s="422">
        <v>149.37328831152229</v>
      </c>
      <c r="H2101" s="417" t="s">
        <v>2616</v>
      </c>
      <c r="I2101" s="417" t="s">
        <v>1392</v>
      </c>
      <c r="J2101" s="417" t="s">
        <v>6015</v>
      </c>
      <c r="K2101" s="417" t="s">
        <v>6616</v>
      </c>
      <c r="L2101" s="417"/>
      <c r="M2101" s="417" t="s">
        <v>28840</v>
      </c>
    </row>
    <row r="2102" spans="1:13" x14ac:dyDescent="0.25">
      <c r="A2102" s="417" t="s">
        <v>3385</v>
      </c>
      <c r="B2102" s="417" t="s">
        <v>2623</v>
      </c>
      <c r="C2102" s="417" t="s">
        <v>6617</v>
      </c>
      <c r="D2102" s="417" t="s">
        <v>88</v>
      </c>
      <c r="E2102" s="423">
        <v>1.0633757112191789E-2</v>
      </c>
      <c r="F2102" s="423">
        <v>3.4574117200529011E-4</v>
      </c>
      <c r="G2102" s="422">
        <v>230.18029015540239</v>
      </c>
      <c r="H2102" s="417" t="s">
        <v>2616</v>
      </c>
      <c r="I2102" s="417" t="s">
        <v>1392</v>
      </c>
      <c r="J2102" s="417" t="s">
        <v>6015</v>
      </c>
      <c r="K2102" s="417" t="s">
        <v>6618</v>
      </c>
      <c r="L2102" s="417"/>
      <c r="M2102" s="417" t="s">
        <v>28840</v>
      </c>
    </row>
    <row r="2103" spans="1:13" x14ac:dyDescent="0.25">
      <c r="A2103" s="417" t="s">
        <v>3385</v>
      </c>
      <c r="B2103" s="417" t="s">
        <v>2623</v>
      </c>
      <c r="C2103" s="417" t="s">
        <v>6619</v>
      </c>
      <c r="D2103" s="417" t="s">
        <v>88</v>
      </c>
      <c r="E2103" s="423">
        <v>1.0633757112191789E-2</v>
      </c>
      <c r="F2103" s="423">
        <v>3.4574117200529011E-4</v>
      </c>
      <c r="G2103" s="422">
        <v>79.020090387022336</v>
      </c>
      <c r="H2103" s="417" t="s">
        <v>2616</v>
      </c>
      <c r="I2103" s="417" t="s">
        <v>1392</v>
      </c>
      <c r="J2103" s="417" t="s">
        <v>6015</v>
      </c>
      <c r="K2103" s="417" t="s">
        <v>6620</v>
      </c>
      <c r="L2103" s="417"/>
      <c r="M2103" s="417" t="s">
        <v>28840</v>
      </c>
    </row>
    <row r="2104" spans="1:13" x14ac:dyDescent="0.25">
      <c r="A2104" s="417" t="s">
        <v>3385</v>
      </c>
      <c r="B2104" s="417" t="s">
        <v>2623</v>
      </c>
      <c r="C2104" s="417" t="s">
        <v>6621</v>
      </c>
      <c r="D2104" s="417" t="s">
        <v>88</v>
      </c>
      <c r="E2104" s="423">
        <v>1.0633757112191789E-2</v>
      </c>
      <c r="F2104" s="423">
        <v>3.4574117200529011E-4</v>
      </c>
      <c r="G2104" s="422">
        <v>346.52032903145209</v>
      </c>
      <c r="H2104" s="417" t="s">
        <v>2616</v>
      </c>
      <c r="I2104" s="417" t="s">
        <v>1392</v>
      </c>
      <c r="J2104" s="417" t="s">
        <v>6015</v>
      </c>
      <c r="K2104" s="417" t="s">
        <v>6622</v>
      </c>
      <c r="L2104" s="417"/>
      <c r="M2104" s="417" t="s">
        <v>28840</v>
      </c>
    </row>
    <row r="2105" spans="1:13" x14ac:dyDescent="0.25">
      <c r="A2105" s="417" t="s">
        <v>3385</v>
      </c>
      <c r="B2105" s="417" t="s">
        <v>2623</v>
      </c>
      <c r="C2105" s="417" t="s">
        <v>6623</v>
      </c>
      <c r="D2105" s="417" t="s">
        <v>88</v>
      </c>
      <c r="E2105" s="423">
        <v>1.0633757112191789E-2</v>
      </c>
      <c r="F2105" s="423">
        <v>3.4574117200529011E-4</v>
      </c>
      <c r="G2105" s="422">
        <v>206.13794252153241</v>
      </c>
      <c r="H2105" s="417" t="s">
        <v>2616</v>
      </c>
      <c r="I2105" s="417" t="s">
        <v>1392</v>
      </c>
      <c r="J2105" s="417" t="s">
        <v>6015</v>
      </c>
      <c r="K2105" s="417" t="s">
        <v>6624</v>
      </c>
      <c r="L2105" s="417"/>
      <c r="M2105" s="417" t="s">
        <v>28840</v>
      </c>
    </row>
    <row r="2106" spans="1:13" x14ac:dyDescent="0.25">
      <c r="A2106" s="417" t="s">
        <v>3385</v>
      </c>
      <c r="B2106" s="417" t="s">
        <v>2623</v>
      </c>
      <c r="C2106" s="417" t="s">
        <v>6625</v>
      </c>
      <c r="D2106" s="417" t="s">
        <v>88</v>
      </c>
      <c r="E2106" s="423">
        <v>1.0633757112191789E-2</v>
      </c>
      <c r="F2106" s="423">
        <v>3.4574117200529011E-4</v>
      </c>
      <c r="G2106" s="422">
        <v>424.93559651910198</v>
      </c>
      <c r="H2106" s="417" t="s">
        <v>2616</v>
      </c>
      <c r="I2106" s="417" t="s">
        <v>1392</v>
      </c>
      <c r="J2106" s="417" t="s">
        <v>6015</v>
      </c>
      <c r="K2106" s="417" t="s">
        <v>6626</v>
      </c>
      <c r="L2106" s="417"/>
      <c r="M2106" s="417" t="s">
        <v>28840</v>
      </c>
    </row>
    <row r="2107" spans="1:13" x14ac:dyDescent="0.25">
      <c r="A2107" s="417" t="s">
        <v>3385</v>
      </c>
      <c r="B2107" s="417" t="s">
        <v>2623</v>
      </c>
      <c r="C2107" s="417" t="s">
        <v>6627</v>
      </c>
      <c r="D2107" s="417" t="s">
        <v>88</v>
      </c>
      <c r="E2107" s="423">
        <v>1.0633757112191789E-2</v>
      </c>
      <c r="F2107" s="423">
        <v>3.4574117200529011E-4</v>
      </c>
      <c r="G2107" s="422">
        <v>571.84610033330284</v>
      </c>
      <c r="H2107" s="417" t="s">
        <v>2616</v>
      </c>
      <c r="I2107" s="417" t="s">
        <v>1392</v>
      </c>
      <c r="J2107" s="417" t="s">
        <v>6015</v>
      </c>
      <c r="K2107" s="417" t="s">
        <v>6628</v>
      </c>
      <c r="L2107" s="417"/>
      <c r="M2107" s="417" t="s">
        <v>28840</v>
      </c>
    </row>
    <row r="2108" spans="1:13" x14ac:dyDescent="0.25">
      <c r="A2108" s="417" t="s">
        <v>3385</v>
      </c>
      <c r="B2108" s="417" t="s">
        <v>2623</v>
      </c>
      <c r="C2108" s="417" t="s">
        <v>6629</v>
      </c>
      <c r="D2108" s="417" t="s">
        <v>88</v>
      </c>
      <c r="E2108" s="423">
        <v>1.0633757112191789E-2</v>
      </c>
      <c r="F2108" s="423">
        <v>3.4574117200529011E-4</v>
      </c>
      <c r="G2108" s="422">
        <v>187.00993475456241</v>
      </c>
      <c r="H2108" s="417" t="s">
        <v>2616</v>
      </c>
      <c r="I2108" s="417" t="s">
        <v>1392</v>
      </c>
      <c r="J2108" s="417" t="s">
        <v>6015</v>
      </c>
      <c r="K2108" s="417" t="s">
        <v>6630</v>
      </c>
      <c r="L2108" s="417"/>
      <c r="M2108" s="417" t="s">
        <v>28840</v>
      </c>
    </row>
    <row r="2109" spans="1:13" x14ac:dyDescent="0.25">
      <c r="A2109" s="417" t="s">
        <v>3385</v>
      </c>
      <c r="B2109" s="417" t="s">
        <v>2623</v>
      </c>
      <c r="C2109" s="417" t="s">
        <v>6631</v>
      </c>
      <c r="D2109" s="417" t="s">
        <v>88</v>
      </c>
      <c r="E2109" s="423">
        <v>1.0633757112191789E-2</v>
      </c>
      <c r="F2109" s="423">
        <v>3.4574117200529011E-4</v>
      </c>
      <c r="G2109" s="422">
        <v>277.63015146614248</v>
      </c>
      <c r="H2109" s="417" t="s">
        <v>2616</v>
      </c>
      <c r="I2109" s="417" t="s">
        <v>1392</v>
      </c>
      <c r="J2109" s="417" t="s">
        <v>6015</v>
      </c>
      <c r="K2109" s="417" t="s">
        <v>6632</v>
      </c>
      <c r="L2109" s="417"/>
      <c r="M2109" s="417" t="s">
        <v>28840</v>
      </c>
    </row>
    <row r="2110" spans="1:13" x14ac:dyDescent="0.25">
      <c r="A2110" s="417" t="s">
        <v>3385</v>
      </c>
      <c r="B2110" s="417" t="s">
        <v>2623</v>
      </c>
      <c r="C2110" s="417" t="s">
        <v>6633</v>
      </c>
      <c r="D2110" s="417" t="s">
        <v>88</v>
      </c>
      <c r="E2110" s="423">
        <v>1.0633757121208679E-2</v>
      </c>
      <c r="F2110" s="423">
        <v>3.4574117072878088E-4</v>
      </c>
      <c r="G2110" s="422">
        <v>350.16096315461641</v>
      </c>
      <c r="H2110" s="417" t="s">
        <v>2616</v>
      </c>
      <c r="I2110" s="417" t="s">
        <v>1392</v>
      </c>
      <c r="J2110" s="417" t="s">
        <v>6015</v>
      </c>
      <c r="K2110" s="417" t="s">
        <v>6634</v>
      </c>
      <c r="L2110" s="417"/>
      <c r="M2110" s="417" t="s">
        <v>28840</v>
      </c>
    </row>
    <row r="2111" spans="1:13" x14ac:dyDescent="0.25">
      <c r="A2111" s="417" t="s">
        <v>3385</v>
      </c>
      <c r="B2111" s="417" t="s">
        <v>2623</v>
      </c>
      <c r="C2111" s="417" t="s">
        <v>6635</v>
      </c>
      <c r="D2111" s="417" t="s">
        <v>88</v>
      </c>
      <c r="E2111" s="423">
        <v>1.0633757112191789E-2</v>
      </c>
      <c r="F2111" s="423">
        <v>3.4574117200529011E-4</v>
      </c>
      <c r="G2111" s="422">
        <v>217.28682154510241</v>
      </c>
      <c r="H2111" s="417" t="s">
        <v>2616</v>
      </c>
      <c r="I2111" s="417" t="s">
        <v>1392</v>
      </c>
      <c r="J2111" s="417" t="s">
        <v>6015</v>
      </c>
      <c r="K2111" s="417" t="s">
        <v>6636</v>
      </c>
      <c r="L2111" s="417"/>
      <c r="M2111" s="417" t="s">
        <v>28840</v>
      </c>
    </row>
    <row r="2112" spans="1:13" x14ac:dyDescent="0.25">
      <c r="A2112" s="417" t="s">
        <v>3385</v>
      </c>
      <c r="B2112" s="417" t="s">
        <v>2623</v>
      </c>
      <c r="C2112" s="417" t="s">
        <v>6637</v>
      </c>
      <c r="D2112" s="417" t="s">
        <v>88</v>
      </c>
      <c r="E2112" s="423">
        <v>1.0633757112191789E-2</v>
      </c>
      <c r="F2112" s="423">
        <v>3.4574117200529011E-4</v>
      </c>
      <c r="G2112" s="422">
        <v>221.99620657539239</v>
      </c>
      <c r="H2112" s="417" t="s">
        <v>2616</v>
      </c>
      <c r="I2112" s="417" t="s">
        <v>1392</v>
      </c>
      <c r="J2112" s="417" t="s">
        <v>6015</v>
      </c>
      <c r="K2112" s="417" t="s">
        <v>6638</v>
      </c>
      <c r="L2112" s="417"/>
      <c r="M2112" s="417" t="s">
        <v>28840</v>
      </c>
    </row>
    <row r="2113" spans="1:13" x14ac:dyDescent="0.25">
      <c r="A2113" s="417" t="s">
        <v>3385</v>
      </c>
      <c r="B2113" s="417" t="s">
        <v>2623</v>
      </c>
      <c r="C2113" s="417" t="s">
        <v>658</v>
      </c>
      <c r="D2113" s="417" t="s">
        <v>88</v>
      </c>
      <c r="E2113" s="423">
        <v>0.25788583250486119</v>
      </c>
      <c r="F2113" s="423">
        <v>4.7923796501087882E-3</v>
      </c>
      <c r="G2113" s="422">
        <v>144236.17995863949</v>
      </c>
      <c r="H2113" s="417" t="s">
        <v>2616</v>
      </c>
      <c r="I2113" s="417" t="s">
        <v>28997</v>
      </c>
      <c r="J2113" s="417" t="s">
        <v>6304</v>
      </c>
      <c r="K2113" s="417" t="s">
        <v>6639</v>
      </c>
      <c r="L2113" s="417"/>
      <c r="M2113" s="417" t="s">
        <v>28840</v>
      </c>
    </row>
    <row r="2114" spans="1:13" x14ac:dyDescent="0.25">
      <c r="A2114" s="417" t="s">
        <v>3385</v>
      </c>
      <c r="B2114" s="417" t="s">
        <v>2623</v>
      </c>
      <c r="C2114" s="417" t="s">
        <v>654</v>
      </c>
      <c r="D2114" s="417" t="s">
        <v>88</v>
      </c>
      <c r="E2114" s="423">
        <v>2.358051142433689</v>
      </c>
      <c r="F2114" s="423">
        <v>2.2918448276314281E-2</v>
      </c>
      <c r="G2114" s="422">
        <v>2997.0242110321969</v>
      </c>
      <c r="H2114" s="417" t="s">
        <v>2616</v>
      </c>
      <c r="I2114" s="417" t="s">
        <v>28997</v>
      </c>
      <c r="J2114" s="417" t="s">
        <v>6002</v>
      </c>
      <c r="K2114" s="417" t="s">
        <v>6640</v>
      </c>
      <c r="L2114" s="417"/>
      <c r="M2114" s="417" t="s">
        <v>28840</v>
      </c>
    </row>
    <row r="2115" spans="1:13" x14ac:dyDescent="0.25">
      <c r="A2115" s="417" t="s">
        <v>3385</v>
      </c>
      <c r="B2115" s="417" t="s">
        <v>2623</v>
      </c>
      <c r="C2115" s="417" t="s">
        <v>6641</v>
      </c>
      <c r="D2115" s="417" t="s">
        <v>563</v>
      </c>
      <c r="E2115" s="423">
        <v>6.6838555356740867E-2</v>
      </c>
      <c r="F2115" s="423">
        <v>2.9594463638321991E-5</v>
      </c>
      <c r="G2115" s="422">
        <v>612.68104324221838</v>
      </c>
      <c r="H2115" s="417" t="s">
        <v>2616</v>
      </c>
      <c r="I2115" s="417" t="s">
        <v>1392</v>
      </c>
      <c r="J2115" s="417" t="s">
        <v>4364</v>
      </c>
      <c r="K2115" s="417" t="s">
        <v>6642</v>
      </c>
      <c r="L2115" s="417"/>
      <c r="M2115" s="417" t="s">
        <v>28840</v>
      </c>
    </row>
    <row r="2116" spans="1:13" x14ac:dyDescent="0.25">
      <c r="A2116" s="417" t="s">
        <v>3385</v>
      </c>
      <c r="B2116" s="417" t="s">
        <v>2623</v>
      </c>
      <c r="C2116" s="417" t="s">
        <v>6643</v>
      </c>
      <c r="D2116" s="417" t="s">
        <v>563</v>
      </c>
      <c r="E2116" s="423">
        <v>9.4882657999096794E-3</v>
      </c>
      <c r="F2116" s="423">
        <v>4.2031978669871302E-3</v>
      </c>
      <c r="G2116" s="422">
        <v>36.337286362335107</v>
      </c>
      <c r="H2116" s="417" t="s">
        <v>2616</v>
      </c>
      <c r="I2116" s="417" t="s">
        <v>1392</v>
      </c>
      <c r="J2116" s="417" t="s">
        <v>4364</v>
      </c>
      <c r="K2116" s="417" t="s">
        <v>6644</v>
      </c>
      <c r="L2116" s="417"/>
      <c r="M2116" s="417" t="s">
        <v>28840</v>
      </c>
    </row>
    <row r="2117" spans="1:13" x14ac:dyDescent="0.25">
      <c r="A2117" s="417" t="s">
        <v>3385</v>
      </c>
      <c r="B2117" s="417" t="s">
        <v>2623</v>
      </c>
      <c r="C2117" s="417" t="s">
        <v>6645</v>
      </c>
      <c r="D2117" s="417" t="s">
        <v>563</v>
      </c>
      <c r="E2117" s="423">
        <v>2.846502094845161E-2</v>
      </c>
      <c r="F2117" s="423">
        <v>1.2609592735385349E-2</v>
      </c>
      <c r="G2117" s="422">
        <v>109.0109043338863</v>
      </c>
      <c r="H2117" s="417" t="s">
        <v>2616</v>
      </c>
      <c r="I2117" s="417" t="s">
        <v>1392</v>
      </c>
      <c r="J2117" s="417" t="s">
        <v>4364</v>
      </c>
      <c r="K2117" s="417" t="s">
        <v>6646</v>
      </c>
      <c r="L2117" s="417"/>
      <c r="M2117" s="417" t="s">
        <v>28840</v>
      </c>
    </row>
    <row r="2118" spans="1:13" x14ac:dyDescent="0.25">
      <c r="A2118" s="417" t="s">
        <v>3385</v>
      </c>
      <c r="B2118" s="417" t="s">
        <v>2623</v>
      </c>
      <c r="C2118" s="417" t="s">
        <v>6647</v>
      </c>
      <c r="D2118" s="417" t="s">
        <v>563</v>
      </c>
      <c r="E2118" s="423">
        <v>4.744132901818502E-2</v>
      </c>
      <c r="F2118" s="423">
        <v>2.101598933594755E-2</v>
      </c>
      <c r="G2118" s="422">
        <v>181.686431846434</v>
      </c>
      <c r="H2118" s="417" t="s">
        <v>2616</v>
      </c>
      <c r="I2118" s="417" t="s">
        <v>1392</v>
      </c>
      <c r="J2118" s="417" t="s">
        <v>4364</v>
      </c>
      <c r="K2118" s="417" t="s">
        <v>6648</v>
      </c>
      <c r="L2118" s="417"/>
      <c r="M2118" s="417" t="s">
        <v>28840</v>
      </c>
    </row>
    <row r="2119" spans="1:13" x14ac:dyDescent="0.25">
      <c r="A2119" s="417" t="s">
        <v>3385</v>
      </c>
      <c r="B2119" s="417" t="s">
        <v>2623</v>
      </c>
      <c r="C2119" s="417" t="s">
        <v>6649</v>
      </c>
      <c r="D2119" s="417" t="s">
        <v>989</v>
      </c>
      <c r="E2119" s="423">
        <v>946.32449218882016</v>
      </c>
      <c r="F2119" s="423">
        <v>0.55534122202138492</v>
      </c>
      <c r="G2119" s="422">
        <v>836080.03079583473</v>
      </c>
      <c r="H2119" s="417" t="s">
        <v>2616</v>
      </c>
      <c r="I2119" s="417" t="s">
        <v>1392</v>
      </c>
      <c r="J2119" s="417" t="s">
        <v>6108</v>
      </c>
      <c r="K2119" s="417" t="s">
        <v>6650</v>
      </c>
      <c r="L2119" s="417"/>
      <c r="M2119" s="417" t="s">
        <v>28840</v>
      </c>
    </row>
    <row r="2120" spans="1:13" x14ac:dyDescent="0.25">
      <c r="A2120" s="417" t="s">
        <v>3385</v>
      </c>
      <c r="B2120" s="417" t="s">
        <v>2623</v>
      </c>
      <c r="C2120" s="417" t="s">
        <v>6651</v>
      </c>
      <c r="D2120" s="417" t="s">
        <v>88</v>
      </c>
      <c r="E2120" s="423">
        <v>3.6963434664868089</v>
      </c>
      <c r="F2120" s="423">
        <v>2.1691628129447919E-3</v>
      </c>
      <c r="G2120" s="422">
        <v>3265.728600424964</v>
      </c>
      <c r="H2120" s="417" t="s">
        <v>2616</v>
      </c>
      <c r="I2120" s="417" t="s">
        <v>1392</v>
      </c>
      <c r="J2120" s="417" t="s">
        <v>4364</v>
      </c>
      <c r="K2120" s="417" t="s">
        <v>6652</v>
      </c>
      <c r="L2120" s="417"/>
      <c r="M2120" s="417" t="s">
        <v>28840</v>
      </c>
    </row>
    <row r="2121" spans="1:13" x14ac:dyDescent="0.25">
      <c r="A2121" s="417" t="s">
        <v>3385</v>
      </c>
      <c r="B2121" s="417" t="s">
        <v>2623</v>
      </c>
      <c r="C2121" s="417" t="s">
        <v>6653</v>
      </c>
      <c r="D2121" s="417" t="s">
        <v>989</v>
      </c>
      <c r="E2121" s="423">
        <v>542.69178825030212</v>
      </c>
      <c r="F2121" s="423">
        <v>0.34041484371143799</v>
      </c>
      <c r="G2121" s="422">
        <v>480338.1346778702</v>
      </c>
      <c r="H2121" s="417" t="s">
        <v>2616</v>
      </c>
      <c r="I2121" s="417" t="s">
        <v>1392</v>
      </c>
      <c r="J2121" s="417" t="s">
        <v>6108</v>
      </c>
      <c r="K2121" s="417" t="s">
        <v>6654</v>
      </c>
      <c r="L2121" s="417"/>
      <c r="M2121" s="417" t="s">
        <v>28840</v>
      </c>
    </row>
    <row r="2122" spans="1:13" x14ac:dyDescent="0.25">
      <c r="A2122" s="417" t="s">
        <v>3385</v>
      </c>
      <c r="B2122" s="417" t="s">
        <v>2623</v>
      </c>
      <c r="C2122" s="417" t="s">
        <v>6655</v>
      </c>
      <c r="D2122" s="417" t="s">
        <v>88</v>
      </c>
      <c r="E2122" s="423">
        <v>3.4346963278284059</v>
      </c>
      <c r="F2122" s="423">
        <v>2.1544855427603638E-3</v>
      </c>
      <c r="G2122" s="422">
        <v>3040.060054334092</v>
      </c>
      <c r="H2122" s="417" t="s">
        <v>2616</v>
      </c>
      <c r="I2122" s="417" t="s">
        <v>1392</v>
      </c>
      <c r="J2122" s="417" t="s">
        <v>4364</v>
      </c>
      <c r="K2122" s="417" t="s">
        <v>6656</v>
      </c>
      <c r="L2122" s="417"/>
      <c r="M2122" s="417" t="s">
        <v>28840</v>
      </c>
    </row>
    <row r="2123" spans="1:13" x14ac:dyDescent="0.25">
      <c r="A2123" s="417" t="s">
        <v>3385</v>
      </c>
      <c r="B2123" s="417" t="s">
        <v>3405</v>
      </c>
      <c r="C2123" s="417" t="s">
        <v>6657</v>
      </c>
      <c r="D2123" s="417" t="s">
        <v>989</v>
      </c>
      <c r="E2123" s="423">
        <v>5065.944305106018</v>
      </c>
      <c r="F2123" s="423">
        <v>0.58819471323169126</v>
      </c>
      <c r="G2123" s="422">
        <v>4794121.3703617817</v>
      </c>
      <c r="H2123" s="417" t="s">
        <v>2616</v>
      </c>
      <c r="I2123" s="417" t="s">
        <v>1392</v>
      </c>
      <c r="J2123" s="417" t="s">
        <v>4417</v>
      </c>
      <c r="K2123" s="417" t="s">
        <v>6658</v>
      </c>
      <c r="L2123" s="417"/>
      <c r="M2123" s="417" t="s">
        <v>28840</v>
      </c>
    </row>
    <row r="2124" spans="1:13" x14ac:dyDescent="0.25">
      <c r="A2124" s="417" t="s">
        <v>3385</v>
      </c>
      <c r="B2124" s="417" t="s">
        <v>2623</v>
      </c>
      <c r="C2124" s="417" t="s">
        <v>6659</v>
      </c>
      <c r="D2124" s="417" t="s">
        <v>563</v>
      </c>
      <c r="E2124" s="423">
        <v>1.537567998673544</v>
      </c>
      <c r="F2124" s="423">
        <v>3.8207031961987709E-4</v>
      </c>
      <c r="G2124" s="422">
        <v>1574.8393285578691</v>
      </c>
      <c r="H2124" s="417" t="s">
        <v>2616</v>
      </c>
      <c r="I2124" s="417" t="s">
        <v>1392</v>
      </c>
      <c r="J2124" s="417" t="s">
        <v>4364</v>
      </c>
      <c r="K2124" s="417" t="s">
        <v>6660</v>
      </c>
      <c r="L2124" s="417"/>
      <c r="M2124" s="417" t="s">
        <v>28840</v>
      </c>
    </row>
    <row r="2125" spans="1:13" x14ac:dyDescent="0.25">
      <c r="A2125" s="417" t="s">
        <v>3385</v>
      </c>
      <c r="B2125" s="417" t="s">
        <v>2623</v>
      </c>
      <c r="C2125" s="417" t="s">
        <v>6661</v>
      </c>
      <c r="D2125" s="417" t="s">
        <v>563</v>
      </c>
      <c r="E2125" s="423">
        <v>1.3556672772340499E-2</v>
      </c>
      <c r="F2125" s="423">
        <v>1.069559554163645E-3</v>
      </c>
      <c r="G2125" s="422">
        <v>28.10834243128858</v>
      </c>
      <c r="H2125" s="417" t="s">
        <v>2616</v>
      </c>
      <c r="I2125" s="417" t="s">
        <v>1392</v>
      </c>
      <c r="J2125" s="417" t="s">
        <v>4364</v>
      </c>
      <c r="K2125" s="417" t="s">
        <v>6662</v>
      </c>
      <c r="L2125" s="417"/>
      <c r="M2125" s="417" t="s">
        <v>28840</v>
      </c>
    </row>
    <row r="2126" spans="1:13" x14ac:dyDescent="0.25">
      <c r="A2126" s="417" t="s">
        <v>3385</v>
      </c>
      <c r="B2126" s="417" t="s">
        <v>2623</v>
      </c>
      <c r="C2126" s="417" t="s">
        <v>6663</v>
      </c>
      <c r="D2126" s="417" t="s">
        <v>563</v>
      </c>
      <c r="E2126" s="423">
        <v>3.0185698360885891E-2</v>
      </c>
      <c r="F2126" s="423">
        <v>2.3815137113354519E-3</v>
      </c>
      <c r="G2126" s="422">
        <v>62.586886617331309</v>
      </c>
      <c r="H2126" s="417" t="s">
        <v>2616</v>
      </c>
      <c r="I2126" s="417" t="s">
        <v>1392</v>
      </c>
      <c r="J2126" s="417" t="s">
        <v>4364</v>
      </c>
      <c r="K2126" s="417" t="s">
        <v>6664</v>
      </c>
      <c r="L2126" s="417"/>
      <c r="M2126" s="417" t="s">
        <v>28840</v>
      </c>
    </row>
    <row r="2127" spans="1:13" x14ac:dyDescent="0.25">
      <c r="A2127" s="417" t="s">
        <v>3385</v>
      </c>
      <c r="B2127" s="417" t="s">
        <v>2627</v>
      </c>
      <c r="C2127" s="417" t="s">
        <v>6665</v>
      </c>
      <c r="D2127" s="417" t="s">
        <v>88</v>
      </c>
      <c r="E2127" s="423">
        <v>7.2523358054186652E-5</v>
      </c>
      <c r="F2127" s="423">
        <v>3.0622181330000001E-6</v>
      </c>
      <c r="G2127" s="422">
        <v>1.688113617089281</v>
      </c>
      <c r="H2127" s="417" t="s">
        <v>2616</v>
      </c>
      <c r="I2127" s="417" t="s">
        <v>1392</v>
      </c>
      <c r="J2127" s="417" t="s">
        <v>6666</v>
      </c>
      <c r="K2127" s="417" t="s">
        <v>6667</v>
      </c>
      <c r="L2127" s="417"/>
      <c r="M2127" s="417" t="s">
        <v>28840</v>
      </c>
    </row>
    <row r="2128" spans="1:13" x14ac:dyDescent="0.25">
      <c r="A2128" s="417" t="s">
        <v>3385</v>
      </c>
      <c r="B2128" s="417" t="s">
        <v>2623</v>
      </c>
      <c r="C2128" s="417" t="s">
        <v>6668</v>
      </c>
      <c r="D2128" s="417" t="s">
        <v>563</v>
      </c>
      <c r="E2128" s="423">
        <v>12.638880570433679</v>
      </c>
      <c r="F2128" s="423">
        <v>12.73022647708455</v>
      </c>
      <c r="G2128" s="422">
        <v>14957.35938480858</v>
      </c>
      <c r="H2128" s="417" t="s">
        <v>2616</v>
      </c>
      <c r="I2128" s="417" t="s">
        <v>1392</v>
      </c>
      <c r="J2128" s="417" t="s">
        <v>4364</v>
      </c>
      <c r="K2128" s="417" t="s">
        <v>6669</v>
      </c>
      <c r="L2128" s="417"/>
      <c r="M2128" s="417" t="s">
        <v>28840</v>
      </c>
    </row>
    <row r="2129" spans="1:13" x14ac:dyDescent="0.25">
      <c r="A2129" s="417" t="s">
        <v>3385</v>
      </c>
      <c r="B2129" s="417" t="s">
        <v>2623</v>
      </c>
      <c r="C2129" s="417" t="s">
        <v>6670</v>
      </c>
      <c r="D2129" s="417" t="s">
        <v>88</v>
      </c>
      <c r="E2129" s="423">
        <v>0.96282238713356783</v>
      </c>
      <c r="F2129" s="423">
        <v>0.98662541903400058</v>
      </c>
      <c r="G2129" s="422">
        <v>1044.5416983433249</v>
      </c>
      <c r="H2129" s="417" t="s">
        <v>2616</v>
      </c>
      <c r="I2129" s="417" t="s">
        <v>1392</v>
      </c>
      <c r="J2129" s="417" t="s">
        <v>4364</v>
      </c>
      <c r="K2129" s="417" t="s">
        <v>6671</v>
      </c>
      <c r="L2129" s="417"/>
      <c r="M2129" s="417" t="s">
        <v>28840</v>
      </c>
    </row>
    <row r="2130" spans="1:13" x14ac:dyDescent="0.25">
      <c r="A2130" s="417" t="s">
        <v>3385</v>
      </c>
      <c r="B2130" s="417" t="s">
        <v>2623</v>
      </c>
      <c r="C2130" s="417" t="s">
        <v>6672</v>
      </c>
      <c r="D2130" s="417" t="s">
        <v>989</v>
      </c>
      <c r="E2130" s="423">
        <v>32242.92666636805</v>
      </c>
      <c r="F2130" s="423">
        <v>372.84673682336881</v>
      </c>
      <c r="G2130" s="422">
        <v>276302947.06112128</v>
      </c>
      <c r="H2130" s="417" t="s">
        <v>2616</v>
      </c>
      <c r="I2130" s="417" t="s">
        <v>1392</v>
      </c>
      <c r="J2130" s="417" t="s">
        <v>5983</v>
      </c>
      <c r="K2130" s="417" t="s">
        <v>6673</v>
      </c>
      <c r="L2130" s="417"/>
      <c r="M2130" s="417" t="s">
        <v>28840</v>
      </c>
    </row>
    <row r="2131" spans="1:13" x14ac:dyDescent="0.25">
      <c r="A2131" s="417" t="s">
        <v>3385</v>
      </c>
      <c r="B2131" s="417" t="s">
        <v>2623</v>
      </c>
      <c r="C2131" s="417" t="s">
        <v>6674</v>
      </c>
      <c r="D2131" s="417" t="s">
        <v>88</v>
      </c>
      <c r="E2131" s="423">
        <v>0.2743391153891484</v>
      </c>
      <c r="F2131" s="423">
        <v>1.9616032121156468E-3</v>
      </c>
      <c r="G2131" s="422">
        <v>313.62083845384791</v>
      </c>
      <c r="H2131" s="417" t="s">
        <v>2616</v>
      </c>
      <c r="I2131" s="417" t="s">
        <v>1392</v>
      </c>
      <c r="J2131" s="417" t="s">
        <v>5849</v>
      </c>
      <c r="K2131" s="417" t="s">
        <v>6675</v>
      </c>
      <c r="L2131" s="417"/>
      <c r="M2131" s="417" t="s">
        <v>28840</v>
      </c>
    </row>
    <row r="2132" spans="1:13" x14ac:dyDescent="0.25">
      <c r="A2132" s="417" t="s">
        <v>3385</v>
      </c>
      <c r="B2132" s="417" t="s">
        <v>2623</v>
      </c>
      <c r="C2132" s="417" t="s">
        <v>6676</v>
      </c>
      <c r="D2132" s="417" t="s">
        <v>563</v>
      </c>
      <c r="E2132" s="423">
        <v>7.2703008703284153</v>
      </c>
      <c r="F2132" s="423">
        <v>1.1835608786003701E-2</v>
      </c>
      <c r="G2132" s="422">
        <v>8267.7550580186889</v>
      </c>
      <c r="H2132" s="417" t="s">
        <v>2616</v>
      </c>
      <c r="I2132" s="417" t="s">
        <v>1392</v>
      </c>
      <c r="J2132" s="417" t="s">
        <v>4364</v>
      </c>
      <c r="K2132" s="417" t="s">
        <v>6677</v>
      </c>
      <c r="L2132" s="417"/>
      <c r="M2132" s="417" t="s">
        <v>28840</v>
      </c>
    </row>
    <row r="2133" spans="1:13" x14ac:dyDescent="0.25">
      <c r="A2133" s="417" t="s">
        <v>3385</v>
      </c>
      <c r="B2133" s="417" t="s">
        <v>2623</v>
      </c>
      <c r="C2133" s="417" t="s">
        <v>6678</v>
      </c>
      <c r="D2133" s="417" t="s">
        <v>88</v>
      </c>
      <c r="E2133" s="423">
        <v>1.3080243046289859E-2</v>
      </c>
      <c r="F2133" s="423">
        <v>5.6005666009599465E-4</v>
      </c>
      <c r="G2133" s="422">
        <v>30.08389031524548</v>
      </c>
      <c r="H2133" s="417" t="s">
        <v>2616</v>
      </c>
      <c r="I2133" s="417" t="s">
        <v>1392</v>
      </c>
      <c r="J2133" s="417" t="s">
        <v>5995</v>
      </c>
      <c r="K2133" s="417" t="s">
        <v>6679</v>
      </c>
      <c r="L2133" s="417"/>
      <c r="M2133" s="417" t="s">
        <v>28840</v>
      </c>
    </row>
    <row r="2134" spans="1:13" x14ac:dyDescent="0.25">
      <c r="A2134" s="417" t="s">
        <v>3385</v>
      </c>
      <c r="B2134" s="417" t="s">
        <v>2623</v>
      </c>
      <c r="C2134" s="417" t="s">
        <v>679</v>
      </c>
      <c r="D2134" s="417" t="s">
        <v>88</v>
      </c>
      <c r="E2134" s="423">
        <v>1.099915242120441E-3</v>
      </c>
      <c r="F2134" s="423">
        <v>6.6289031199252507E-5</v>
      </c>
      <c r="G2134" s="422">
        <v>48.059786065651551</v>
      </c>
      <c r="H2134" s="417" t="s">
        <v>2616</v>
      </c>
      <c r="I2134" s="417" t="s">
        <v>28997</v>
      </c>
      <c r="J2134" s="417" t="s">
        <v>6311</v>
      </c>
      <c r="K2134" s="417" t="s">
        <v>6680</v>
      </c>
      <c r="L2134" s="417"/>
      <c r="M2134" s="417" t="s">
        <v>28840</v>
      </c>
    </row>
    <row r="2135" spans="1:13" x14ac:dyDescent="0.25">
      <c r="A2135" s="417" t="s">
        <v>3385</v>
      </c>
      <c r="B2135" s="417" t="s">
        <v>2623</v>
      </c>
      <c r="C2135" s="417" t="s">
        <v>6681</v>
      </c>
      <c r="D2135" s="417" t="s">
        <v>4315</v>
      </c>
      <c r="E2135" s="423">
        <v>3.2099425208265003E-2</v>
      </c>
      <c r="F2135" s="423">
        <v>1.6477561547610571E-3</v>
      </c>
      <c r="G2135" s="422">
        <v>528.22303791237846</v>
      </c>
      <c r="H2135" s="417" t="s">
        <v>2616</v>
      </c>
      <c r="I2135" s="417" t="s">
        <v>1392</v>
      </c>
      <c r="J2135" s="417" t="s">
        <v>5974</v>
      </c>
      <c r="K2135" s="417" t="s">
        <v>6682</v>
      </c>
      <c r="L2135" s="417"/>
      <c r="M2135" s="417" t="s">
        <v>28840</v>
      </c>
    </row>
    <row r="2136" spans="1:13" x14ac:dyDescent="0.25">
      <c r="A2136" s="417" t="s">
        <v>3385</v>
      </c>
      <c r="B2136" s="417" t="s">
        <v>2437</v>
      </c>
      <c r="C2136" s="417" t="s">
        <v>6683</v>
      </c>
      <c r="D2136" s="417" t="s">
        <v>88</v>
      </c>
      <c r="E2136" s="423">
        <v>0.72151900947139935</v>
      </c>
      <c r="F2136" s="423">
        <v>3.2967475727416879E-3</v>
      </c>
      <c r="G2136" s="422">
        <v>791.54635388000474</v>
      </c>
      <c r="H2136" s="417" t="s">
        <v>2616</v>
      </c>
      <c r="I2136" s="417" t="s">
        <v>1392</v>
      </c>
      <c r="J2136" s="417" t="s">
        <v>4342</v>
      </c>
      <c r="K2136" s="417" t="s">
        <v>6684</v>
      </c>
      <c r="L2136" s="417"/>
      <c r="M2136" s="417" t="s">
        <v>28840</v>
      </c>
    </row>
    <row r="2137" spans="1:13" x14ac:dyDescent="0.25">
      <c r="A2137" s="417" t="s">
        <v>3385</v>
      </c>
      <c r="B2137" s="417" t="s">
        <v>2623</v>
      </c>
      <c r="C2137" s="417" t="s">
        <v>6685</v>
      </c>
      <c r="D2137" s="417" t="s">
        <v>989</v>
      </c>
      <c r="E2137" s="423">
        <v>1.120994972396105</v>
      </c>
      <c r="F2137" s="423">
        <v>2.7732030767346938E-3</v>
      </c>
      <c r="G2137" s="422">
        <v>1207.9742891828721</v>
      </c>
      <c r="H2137" s="417" t="s">
        <v>2616</v>
      </c>
      <c r="I2137" s="417" t="s">
        <v>1392</v>
      </c>
      <c r="J2137" s="417" t="s">
        <v>5849</v>
      </c>
      <c r="K2137" s="417" t="s">
        <v>6686</v>
      </c>
      <c r="L2137" s="417"/>
      <c r="M2137" s="417" t="s">
        <v>28840</v>
      </c>
    </row>
    <row r="2138" spans="1:13" x14ac:dyDescent="0.25">
      <c r="A2138" s="417" t="s">
        <v>3385</v>
      </c>
      <c r="B2138" s="417" t="s">
        <v>2627</v>
      </c>
      <c r="C2138" s="417" t="s">
        <v>6687</v>
      </c>
      <c r="D2138" s="417" t="s">
        <v>83</v>
      </c>
      <c r="E2138" s="423">
        <v>23.210750152751391</v>
      </c>
      <c r="F2138" s="423">
        <v>31.02335380429427</v>
      </c>
      <c r="G2138" s="422">
        <v>28830.257057243231</v>
      </c>
      <c r="H2138" s="417" t="s">
        <v>2616</v>
      </c>
      <c r="I2138" s="417" t="s">
        <v>1392</v>
      </c>
      <c r="J2138" s="417" t="s">
        <v>3798</v>
      </c>
      <c r="K2138" s="417" t="s">
        <v>6688</v>
      </c>
      <c r="L2138" s="417"/>
      <c r="M2138" s="417" t="s">
        <v>28840</v>
      </c>
    </row>
    <row r="2139" spans="1:13" x14ac:dyDescent="0.25">
      <c r="A2139" s="417" t="s">
        <v>3385</v>
      </c>
      <c r="B2139" s="417" t="s">
        <v>2627</v>
      </c>
      <c r="C2139" s="417" t="s">
        <v>6689</v>
      </c>
      <c r="D2139" s="417" t="s">
        <v>83</v>
      </c>
      <c r="E2139" s="423">
        <v>8.1520215216068864E-2</v>
      </c>
      <c r="F2139" s="423">
        <v>3.7503119139675229</v>
      </c>
      <c r="G2139" s="422">
        <v>201.09949458556241</v>
      </c>
      <c r="H2139" s="417" t="s">
        <v>2616</v>
      </c>
      <c r="I2139" s="417" t="s">
        <v>1392</v>
      </c>
      <c r="J2139" s="417" t="s">
        <v>3798</v>
      </c>
      <c r="K2139" s="417" t="s">
        <v>6690</v>
      </c>
      <c r="L2139" s="417"/>
      <c r="M2139" s="417" t="s">
        <v>28840</v>
      </c>
    </row>
    <row r="2140" spans="1:13" x14ac:dyDescent="0.25">
      <c r="A2140" s="417" t="s">
        <v>3385</v>
      </c>
      <c r="B2140" s="417" t="s">
        <v>2627</v>
      </c>
      <c r="C2140" s="417" t="s">
        <v>6691</v>
      </c>
      <c r="D2140" s="417" t="s">
        <v>83</v>
      </c>
      <c r="E2140" s="423">
        <v>20.36974398478112</v>
      </c>
      <c r="F2140" s="423">
        <v>30.84539220658765</v>
      </c>
      <c r="G2140" s="422">
        <v>25538.865646249429</v>
      </c>
      <c r="H2140" s="417" t="s">
        <v>2616</v>
      </c>
      <c r="I2140" s="417" t="s">
        <v>1392</v>
      </c>
      <c r="J2140" s="417" t="s">
        <v>3798</v>
      </c>
      <c r="K2140" s="417" t="s">
        <v>6692</v>
      </c>
      <c r="L2140" s="417"/>
      <c r="M2140" s="417" t="s">
        <v>28840</v>
      </c>
    </row>
    <row r="2141" spans="1:13" x14ac:dyDescent="0.25">
      <c r="A2141" s="417" t="s">
        <v>3385</v>
      </c>
      <c r="B2141" s="417" t="s">
        <v>2627</v>
      </c>
      <c r="C2141" s="417" t="s">
        <v>6693</v>
      </c>
      <c r="D2141" s="417" t="s">
        <v>83</v>
      </c>
      <c r="E2141" s="423">
        <v>6.3400809479663183</v>
      </c>
      <c r="F2141" s="423">
        <v>24.129373261655441</v>
      </c>
      <c r="G2141" s="422">
        <v>9201.0968121565184</v>
      </c>
      <c r="H2141" s="417" t="s">
        <v>2616</v>
      </c>
      <c r="I2141" s="417" t="s">
        <v>1392</v>
      </c>
      <c r="J2141" s="417" t="s">
        <v>3798</v>
      </c>
      <c r="K2141" s="417" t="s">
        <v>6694</v>
      </c>
      <c r="L2141" s="417"/>
      <c r="M2141" s="417" t="s">
        <v>28840</v>
      </c>
    </row>
    <row r="2142" spans="1:13" x14ac:dyDescent="0.25">
      <c r="A2142" s="417" t="s">
        <v>3385</v>
      </c>
      <c r="B2142" s="417" t="s">
        <v>2627</v>
      </c>
      <c r="C2142" s="417" t="s">
        <v>6695</v>
      </c>
      <c r="D2142" s="417" t="s">
        <v>83</v>
      </c>
      <c r="E2142" s="423">
        <v>20.548308548891669</v>
      </c>
      <c r="F2142" s="423">
        <v>31.20388717741822</v>
      </c>
      <c r="G2142" s="422">
        <v>25768.523343002649</v>
      </c>
      <c r="H2142" s="417" t="s">
        <v>2616</v>
      </c>
      <c r="I2142" s="417" t="s">
        <v>1392</v>
      </c>
      <c r="J2142" s="417" t="s">
        <v>3798</v>
      </c>
      <c r="K2142" s="417" t="s">
        <v>6696</v>
      </c>
      <c r="L2142" s="417"/>
      <c r="M2142" s="417" t="s">
        <v>28840</v>
      </c>
    </row>
    <row r="2143" spans="1:13" x14ac:dyDescent="0.25">
      <c r="A2143" s="417" t="s">
        <v>3385</v>
      </c>
      <c r="B2143" s="417" t="s">
        <v>2623</v>
      </c>
      <c r="C2143" s="417" t="s">
        <v>6697</v>
      </c>
      <c r="D2143" s="417" t="s">
        <v>563</v>
      </c>
      <c r="E2143" s="423">
        <v>19.234055593584291</v>
      </c>
      <c r="F2143" s="423">
        <v>4.3497596833963897E-2</v>
      </c>
      <c r="G2143" s="422">
        <v>20780.791745412909</v>
      </c>
      <c r="H2143" s="417" t="s">
        <v>2616</v>
      </c>
      <c r="I2143" s="417" t="s">
        <v>1392</v>
      </c>
      <c r="J2143" s="417" t="s">
        <v>4364</v>
      </c>
      <c r="K2143" s="417" t="s">
        <v>6698</v>
      </c>
      <c r="L2143" s="417"/>
      <c r="M2143" s="417" t="s">
        <v>28840</v>
      </c>
    </row>
    <row r="2144" spans="1:13" x14ac:dyDescent="0.25">
      <c r="A2144" s="417" t="s">
        <v>3385</v>
      </c>
      <c r="B2144" s="417" t="s">
        <v>2623</v>
      </c>
      <c r="C2144" s="417" t="s">
        <v>6699</v>
      </c>
      <c r="D2144" s="417" t="s">
        <v>563</v>
      </c>
      <c r="E2144" s="423">
        <v>0.44028106497936631</v>
      </c>
      <c r="F2144" s="423">
        <v>1.2069212158706171E-2</v>
      </c>
      <c r="G2144" s="422">
        <v>696.10567296727368</v>
      </c>
      <c r="H2144" s="417" t="s">
        <v>2616</v>
      </c>
      <c r="I2144" s="417" t="s">
        <v>1392</v>
      </c>
      <c r="J2144" s="417" t="s">
        <v>4364</v>
      </c>
      <c r="K2144" s="417" t="s">
        <v>6700</v>
      </c>
      <c r="L2144" s="417"/>
      <c r="M2144" s="417" t="s">
        <v>28840</v>
      </c>
    </row>
    <row r="2145" spans="1:13" x14ac:dyDescent="0.25">
      <c r="A2145" s="417" t="s">
        <v>3385</v>
      </c>
      <c r="B2145" s="417" t="s">
        <v>2623</v>
      </c>
      <c r="C2145" s="417" t="s">
        <v>6701</v>
      </c>
      <c r="D2145" s="417" t="s">
        <v>563</v>
      </c>
      <c r="E2145" s="423">
        <v>1.055761379944409</v>
      </c>
      <c r="F2145" s="423">
        <v>2.4497679175545799</v>
      </c>
      <c r="G2145" s="422">
        <v>1423.9829161668431</v>
      </c>
      <c r="H2145" s="417" t="s">
        <v>2616</v>
      </c>
      <c r="I2145" s="417" t="s">
        <v>1392</v>
      </c>
      <c r="J2145" s="417" t="s">
        <v>4364</v>
      </c>
      <c r="K2145" s="417" t="s">
        <v>6702</v>
      </c>
      <c r="L2145" s="417"/>
      <c r="M2145" s="417" t="s">
        <v>28840</v>
      </c>
    </row>
    <row r="2146" spans="1:13" x14ac:dyDescent="0.25">
      <c r="A2146" s="417" t="s">
        <v>3385</v>
      </c>
      <c r="B2146" s="417" t="s">
        <v>2623</v>
      </c>
      <c r="C2146" s="417" t="s">
        <v>6703</v>
      </c>
      <c r="D2146" s="417" t="s">
        <v>563</v>
      </c>
      <c r="E2146" s="423">
        <v>0.91948650328601766</v>
      </c>
      <c r="F2146" s="423">
        <v>5.1723472523804768</v>
      </c>
      <c r="G2146" s="422">
        <v>1482.5437742801109</v>
      </c>
      <c r="H2146" s="417" t="s">
        <v>2616</v>
      </c>
      <c r="I2146" s="417" t="s">
        <v>1392</v>
      </c>
      <c r="J2146" s="417" t="s">
        <v>4364</v>
      </c>
      <c r="K2146" s="417" t="s">
        <v>6704</v>
      </c>
      <c r="L2146" s="417"/>
      <c r="M2146" s="417" t="s">
        <v>28840</v>
      </c>
    </row>
    <row r="2147" spans="1:13" x14ac:dyDescent="0.25">
      <c r="A2147" s="417" t="s">
        <v>3385</v>
      </c>
      <c r="B2147" s="417" t="s">
        <v>2623</v>
      </c>
      <c r="C2147" s="417" t="s">
        <v>6705</v>
      </c>
      <c r="D2147" s="417" t="s">
        <v>989</v>
      </c>
      <c r="E2147" s="423">
        <v>51.044336138996037</v>
      </c>
      <c r="F2147" s="423">
        <v>4.4393736866461947E-2</v>
      </c>
      <c r="G2147" s="422">
        <v>54348.220514116692</v>
      </c>
      <c r="H2147" s="417" t="s">
        <v>2616</v>
      </c>
      <c r="I2147" s="417" t="s">
        <v>1392</v>
      </c>
      <c r="J2147" s="417" t="s">
        <v>4364</v>
      </c>
      <c r="K2147" s="417" t="s">
        <v>6706</v>
      </c>
      <c r="L2147" s="417"/>
      <c r="M2147" s="417" t="s">
        <v>28840</v>
      </c>
    </row>
    <row r="2148" spans="1:13" x14ac:dyDescent="0.25">
      <c r="A2148" s="417" t="s">
        <v>3385</v>
      </c>
      <c r="B2148" s="417" t="s">
        <v>2623</v>
      </c>
      <c r="C2148" s="417" t="s">
        <v>6707</v>
      </c>
      <c r="D2148" s="417" t="s">
        <v>989</v>
      </c>
      <c r="E2148" s="423">
        <v>75.006534574184897</v>
      </c>
      <c r="F2148" s="423">
        <v>107.45980816586049</v>
      </c>
      <c r="G2148" s="422">
        <v>91273.063494040369</v>
      </c>
      <c r="H2148" s="417" t="s">
        <v>2616</v>
      </c>
      <c r="I2148" s="417" t="s">
        <v>1392</v>
      </c>
      <c r="J2148" s="417" t="s">
        <v>4364</v>
      </c>
      <c r="K2148" s="417" t="s">
        <v>6708</v>
      </c>
      <c r="L2148" s="417"/>
      <c r="M2148" s="417" t="s">
        <v>28840</v>
      </c>
    </row>
    <row r="2149" spans="1:13" x14ac:dyDescent="0.25">
      <c r="A2149" s="417" t="s">
        <v>3385</v>
      </c>
      <c r="B2149" s="417" t="s">
        <v>2623</v>
      </c>
      <c r="C2149" s="417" t="s">
        <v>6709</v>
      </c>
      <c r="D2149" s="417" t="s">
        <v>989</v>
      </c>
      <c r="E2149" s="423">
        <v>51.455876594634823</v>
      </c>
      <c r="F2149" s="423">
        <v>80.971124923481156</v>
      </c>
      <c r="G2149" s="422">
        <v>62729.274887291322</v>
      </c>
      <c r="H2149" s="417" t="s">
        <v>2616</v>
      </c>
      <c r="I2149" s="417" t="s">
        <v>1392</v>
      </c>
      <c r="J2149" s="417" t="s">
        <v>4364</v>
      </c>
      <c r="K2149" s="417" t="s">
        <v>6710</v>
      </c>
      <c r="L2149" s="417"/>
      <c r="M2149" s="417" t="s">
        <v>28840</v>
      </c>
    </row>
    <row r="2150" spans="1:13" x14ac:dyDescent="0.25">
      <c r="A2150" s="417" t="s">
        <v>3385</v>
      </c>
      <c r="B2150" s="417" t="s">
        <v>2623</v>
      </c>
      <c r="C2150" s="417" t="s">
        <v>6711</v>
      </c>
      <c r="D2150" s="417" t="s">
        <v>88</v>
      </c>
      <c r="E2150" s="423">
        <v>5.8071386423148193E-2</v>
      </c>
      <c r="F2150" s="423">
        <v>1.405875680785142</v>
      </c>
      <c r="G2150" s="422">
        <v>205.80043121519321</v>
      </c>
      <c r="H2150" s="417" t="s">
        <v>2616</v>
      </c>
      <c r="I2150" s="417" t="s">
        <v>1392</v>
      </c>
      <c r="J2150" s="417" t="s">
        <v>4364</v>
      </c>
      <c r="K2150" s="417" t="s">
        <v>6712</v>
      </c>
      <c r="L2150" s="417"/>
      <c r="M2150" s="417" t="s">
        <v>28840</v>
      </c>
    </row>
    <row r="2151" spans="1:13" x14ac:dyDescent="0.25">
      <c r="A2151" s="417" t="s">
        <v>3385</v>
      </c>
      <c r="B2151" s="417" t="s">
        <v>2623</v>
      </c>
      <c r="C2151" s="417" t="s">
        <v>6713</v>
      </c>
      <c r="D2151" s="417" t="s">
        <v>88</v>
      </c>
      <c r="E2151" s="423">
        <v>8.3311628073670305E-2</v>
      </c>
      <c r="F2151" s="423">
        <v>1.5778984978222031E-2</v>
      </c>
      <c r="G2151" s="422">
        <v>1111.6779520528421</v>
      </c>
      <c r="H2151" s="417" t="s">
        <v>2616</v>
      </c>
      <c r="I2151" s="417" t="s">
        <v>1392</v>
      </c>
      <c r="J2151" s="417" t="s">
        <v>4364</v>
      </c>
      <c r="K2151" s="417" t="s">
        <v>6714</v>
      </c>
      <c r="L2151" s="417"/>
      <c r="M2151" s="417" t="s">
        <v>28840</v>
      </c>
    </row>
    <row r="2152" spans="1:13" x14ac:dyDescent="0.25">
      <c r="A2152" s="417" t="s">
        <v>3385</v>
      </c>
      <c r="B2152" s="417" t="s">
        <v>2623</v>
      </c>
      <c r="C2152" s="417" t="s">
        <v>6715</v>
      </c>
      <c r="D2152" s="417" t="s">
        <v>88</v>
      </c>
      <c r="E2152" s="423">
        <v>0.27136593477753168</v>
      </c>
      <c r="F2152" s="423">
        <v>1.321186381840165</v>
      </c>
      <c r="G2152" s="422">
        <v>337.32103761298339</v>
      </c>
      <c r="H2152" s="417" t="s">
        <v>2616</v>
      </c>
      <c r="I2152" s="417" t="s">
        <v>1392</v>
      </c>
      <c r="J2152" s="417" t="s">
        <v>4364</v>
      </c>
      <c r="K2152" s="417" t="s">
        <v>6716</v>
      </c>
      <c r="L2152" s="417"/>
      <c r="M2152" s="417" t="s">
        <v>28840</v>
      </c>
    </row>
    <row r="2153" spans="1:13" x14ac:dyDescent="0.25">
      <c r="A2153" s="417" t="s">
        <v>3385</v>
      </c>
      <c r="B2153" s="417" t="s">
        <v>2623</v>
      </c>
      <c r="C2153" s="417" t="s">
        <v>6717</v>
      </c>
      <c r="D2153" s="417" t="s">
        <v>563</v>
      </c>
      <c r="E2153" s="423">
        <v>2.299860543384753</v>
      </c>
      <c r="F2153" s="423">
        <v>10.73132158212546</v>
      </c>
      <c r="G2153" s="422">
        <v>2967.8744750842329</v>
      </c>
      <c r="H2153" s="417" t="s">
        <v>2616</v>
      </c>
      <c r="I2153" s="417" t="s">
        <v>1392</v>
      </c>
      <c r="J2153" s="417" t="s">
        <v>4364</v>
      </c>
      <c r="K2153" s="417" t="s">
        <v>6718</v>
      </c>
      <c r="L2153" s="417"/>
      <c r="M2153" s="417" t="s">
        <v>28840</v>
      </c>
    </row>
    <row r="2154" spans="1:13" x14ac:dyDescent="0.25">
      <c r="A2154" s="417" t="s">
        <v>3385</v>
      </c>
      <c r="B2154" s="417" t="s">
        <v>2623</v>
      </c>
      <c r="C2154" s="417" t="s">
        <v>6719</v>
      </c>
      <c r="D2154" s="417" t="s">
        <v>989</v>
      </c>
      <c r="E2154" s="423">
        <v>2.557694378528371</v>
      </c>
      <c r="F2154" s="423">
        <v>2.8833481726841321E-2</v>
      </c>
      <c r="G2154" s="422">
        <v>2905.167640613307</v>
      </c>
      <c r="H2154" s="417" t="s">
        <v>2616</v>
      </c>
      <c r="I2154" s="417" t="s">
        <v>1392</v>
      </c>
      <c r="J2154" s="417" t="s">
        <v>5849</v>
      </c>
      <c r="K2154" s="417" t="s">
        <v>6720</v>
      </c>
      <c r="L2154" s="417"/>
      <c r="M2154" s="417" t="s">
        <v>28840</v>
      </c>
    </row>
    <row r="2155" spans="1:13" x14ac:dyDescent="0.25">
      <c r="A2155" s="417" t="s">
        <v>3385</v>
      </c>
      <c r="B2155" s="417" t="s">
        <v>2623</v>
      </c>
      <c r="C2155" s="417" t="s">
        <v>6721</v>
      </c>
      <c r="D2155" s="417" t="s">
        <v>88</v>
      </c>
      <c r="E2155" s="423">
        <v>0.26322639467525533</v>
      </c>
      <c r="F2155" s="423">
        <v>1.220703550821005E-3</v>
      </c>
      <c r="G2155" s="422">
        <v>343.34538168795808</v>
      </c>
      <c r="H2155" s="417" t="s">
        <v>2616</v>
      </c>
      <c r="I2155" s="417" t="s">
        <v>1392</v>
      </c>
      <c r="J2155" s="417" t="s">
        <v>5990</v>
      </c>
      <c r="K2155" s="417" t="s">
        <v>6722</v>
      </c>
      <c r="L2155" s="417"/>
      <c r="M2155" s="417" t="s">
        <v>28840</v>
      </c>
    </row>
    <row r="2156" spans="1:13" x14ac:dyDescent="0.25">
      <c r="A2156" s="417" t="s">
        <v>3385</v>
      </c>
      <c r="B2156" s="417" t="s">
        <v>2623</v>
      </c>
      <c r="C2156" s="417" t="s">
        <v>6723</v>
      </c>
      <c r="D2156" s="417" t="s">
        <v>88</v>
      </c>
      <c r="E2156" s="423">
        <v>0.11041527595306801</v>
      </c>
      <c r="F2156" s="423">
        <v>6.8506984197973736E-3</v>
      </c>
      <c r="G2156" s="422">
        <v>549.02910443177689</v>
      </c>
      <c r="H2156" s="417" t="s">
        <v>2616</v>
      </c>
      <c r="I2156" s="417" t="s">
        <v>1392</v>
      </c>
      <c r="J2156" s="417" t="s">
        <v>5990</v>
      </c>
      <c r="K2156" s="417" t="s">
        <v>6724</v>
      </c>
      <c r="L2156" s="417"/>
      <c r="M2156" s="417" t="s">
        <v>28840</v>
      </c>
    </row>
    <row r="2157" spans="1:13" x14ac:dyDescent="0.25">
      <c r="A2157" s="417" t="s">
        <v>3385</v>
      </c>
      <c r="B2157" s="417" t="s">
        <v>2623</v>
      </c>
      <c r="C2157" s="417" t="s">
        <v>6725</v>
      </c>
      <c r="D2157" s="417" t="s">
        <v>88</v>
      </c>
      <c r="E2157" s="423">
        <v>1.0633757112191789E-2</v>
      </c>
      <c r="F2157" s="423">
        <v>3.4574117200529011E-4</v>
      </c>
      <c r="G2157" s="422">
        <v>6307.7565404991847</v>
      </c>
      <c r="H2157" s="417" t="s">
        <v>2616</v>
      </c>
      <c r="I2157" s="417" t="s">
        <v>1392</v>
      </c>
      <c r="J2157" s="417" t="s">
        <v>6015</v>
      </c>
      <c r="K2157" s="417" t="s">
        <v>6726</v>
      </c>
      <c r="L2157" s="417"/>
      <c r="M2157" s="417" t="s">
        <v>28840</v>
      </c>
    </row>
    <row r="2158" spans="1:13" x14ac:dyDescent="0.25">
      <c r="A2158" s="417" t="s">
        <v>3385</v>
      </c>
      <c r="B2158" s="417" t="s">
        <v>2623</v>
      </c>
      <c r="C2158" s="417" t="s">
        <v>6727</v>
      </c>
      <c r="D2158" s="417" t="s">
        <v>88</v>
      </c>
      <c r="E2158" s="423">
        <v>0.51519405509484373</v>
      </c>
      <c r="F2158" s="423">
        <v>0.1215194593404065</v>
      </c>
      <c r="G2158" s="422">
        <v>936.86789163711774</v>
      </c>
      <c r="H2158" s="417" t="s">
        <v>2616</v>
      </c>
      <c r="I2158" s="417" t="s">
        <v>1392</v>
      </c>
      <c r="J2158" s="417" t="s">
        <v>5849</v>
      </c>
      <c r="K2158" s="417" t="s">
        <v>6728</v>
      </c>
      <c r="L2158" s="417"/>
      <c r="M2158" s="417" t="s">
        <v>28840</v>
      </c>
    </row>
    <row r="2159" spans="1:13" x14ac:dyDescent="0.25">
      <c r="A2159" s="417" t="s">
        <v>3385</v>
      </c>
      <c r="B2159" s="417" t="s">
        <v>2623</v>
      </c>
      <c r="C2159" s="417" t="s">
        <v>6729</v>
      </c>
      <c r="D2159" s="417" t="s">
        <v>88</v>
      </c>
      <c r="E2159" s="423">
        <v>0.76324054708297062</v>
      </c>
      <c r="F2159" s="423">
        <v>9.1885027485026471E-2</v>
      </c>
      <c r="G2159" s="422">
        <v>1357.722597473303</v>
      </c>
      <c r="H2159" s="417" t="s">
        <v>2616</v>
      </c>
      <c r="I2159" s="417" t="s">
        <v>1392</v>
      </c>
      <c r="J2159" s="417" t="s">
        <v>5849</v>
      </c>
      <c r="K2159" s="417" t="s">
        <v>6730</v>
      </c>
      <c r="L2159" s="417"/>
      <c r="M2159" s="417" t="s">
        <v>28840</v>
      </c>
    </row>
    <row r="2160" spans="1:13" x14ac:dyDescent="0.25">
      <c r="A2160" s="417" t="s">
        <v>3385</v>
      </c>
      <c r="B2160" s="417" t="s">
        <v>2623</v>
      </c>
      <c r="C2160" s="417" t="s">
        <v>6731</v>
      </c>
      <c r="D2160" s="417" t="s">
        <v>88</v>
      </c>
      <c r="E2160" s="423">
        <v>1.0112870396943101</v>
      </c>
      <c r="F2160" s="423">
        <v>6.2250595694240553E-2</v>
      </c>
      <c r="G2160" s="422">
        <v>1778.577305359943</v>
      </c>
      <c r="H2160" s="417" t="s">
        <v>2616</v>
      </c>
      <c r="I2160" s="417" t="s">
        <v>1392</v>
      </c>
      <c r="J2160" s="417" t="s">
        <v>5849</v>
      </c>
      <c r="K2160" s="417" t="s">
        <v>6732</v>
      </c>
      <c r="L2160" s="417"/>
      <c r="M2160" s="417" t="s">
        <v>28840</v>
      </c>
    </row>
    <row r="2161" spans="1:13" x14ac:dyDescent="0.25">
      <c r="A2161" s="417" t="s">
        <v>3385</v>
      </c>
      <c r="B2161" s="417" t="s">
        <v>2623</v>
      </c>
      <c r="C2161" s="417" t="s">
        <v>6733</v>
      </c>
      <c r="D2161" s="417" t="s">
        <v>88</v>
      </c>
      <c r="E2161" s="423">
        <v>4.2181039498507662E-2</v>
      </c>
      <c r="F2161" s="423">
        <v>1.9096055833650099E-3</v>
      </c>
      <c r="G2161" s="422">
        <v>567.00151054224182</v>
      </c>
      <c r="H2161" s="417" t="s">
        <v>2616</v>
      </c>
      <c r="I2161" s="417" t="s">
        <v>1392</v>
      </c>
      <c r="J2161" s="417" t="s">
        <v>5990</v>
      </c>
      <c r="K2161" s="417" t="s">
        <v>6734</v>
      </c>
      <c r="L2161" s="417"/>
      <c r="M2161" s="417" t="s">
        <v>28840</v>
      </c>
    </row>
    <row r="2162" spans="1:13" x14ac:dyDescent="0.25">
      <c r="A2162" s="417" t="s">
        <v>3385</v>
      </c>
      <c r="B2162" s="417" t="s">
        <v>2623</v>
      </c>
      <c r="C2162" s="417" t="s">
        <v>6735</v>
      </c>
      <c r="D2162" s="417" t="s">
        <v>88</v>
      </c>
      <c r="E2162" s="423">
        <v>0</v>
      </c>
      <c r="F2162" s="423">
        <v>0</v>
      </c>
      <c r="G2162" s="422">
        <v>0</v>
      </c>
      <c r="H2162" s="417" t="s">
        <v>2616</v>
      </c>
      <c r="I2162" s="417" t="s">
        <v>1392</v>
      </c>
      <c r="J2162" s="417" t="s">
        <v>4310</v>
      </c>
      <c r="K2162" s="417" t="s">
        <v>6736</v>
      </c>
      <c r="L2162" s="417"/>
      <c r="M2162" s="417" t="s">
        <v>28840</v>
      </c>
    </row>
    <row r="2163" spans="1:13" x14ac:dyDescent="0.25">
      <c r="A2163" s="417" t="s">
        <v>3385</v>
      </c>
      <c r="B2163" s="417" t="s">
        <v>2623</v>
      </c>
      <c r="C2163" s="417" t="s">
        <v>6737</v>
      </c>
      <c r="D2163" s="417" t="s">
        <v>88</v>
      </c>
      <c r="E2163" s="423">
        <v>0</v>
      </c>
      <c r="F2163" s="423">
        <v>0</v>
      </c>
      <c r="G2163" s="422">
        <v>0</v>
      </c>
      <c r="H2163" s="417" t="s">
        <v>2616</v>
      </c>
      <c r="I2163" s="417" t="s">
        <v>1392</v>
      </c>
      <c r="J2163" s="417" t="s">
        <v>4310</v>
      </c>
      <c r="K2163" s="417" t="s">
        <v>6738</v>
      </c>
      <c r="L2163" s="417"/>
      <c r="M2163" s="417" t="s">
        <v>28840</v>
      </c>
    </row>
    <row r="2164" spans="1:13" x14ac:dyDescent="0.25">
      <c r="A2164" s="417" t="s">
        <v>3385</v>
      </c>
      <c r="B2164" s="417" t="s">
        <v>2623</v>
      </c>
      <c r="C2164" s="417" t="s">
        <v>6739</v>
      </c>
      <c r="D2164" s="417" t="s">
        <v>88</v>
      </c>
      <c r="E2164" s="423">
        <v>0</v>
      </c>
      <c r="F2164" s="423">
        <v>0</v>
      </c>
      <c r="G2164" s="422">
        <v>0</v>
      </c>
      <c r="H2164" s="417" t="s">
        <v>2616</v>
      </c>
      <c r="I2164" s="417" t="s">
        <v>1392</v>
      </c>
      <c r="J2164" s="417" t="s">
        <v>4310</v>
      </c>
      <c r="K2164" s="417" t="s">
        <v>6740</v>
      </c>
      <c r="L2164" s="417"/>
      <c r="M2164" s="417" t="s">
        <v>28840</v>
      </c>
    </row>
    <row r="2165" spans="1:13" x14ac:dyDescent="0.25">
      <c r="A2165" s="417" t="s">
        <v>3385</v>
      </c>
      <c r="B2165" s="417" t="s">
        <v>2623</v>
      </c>
      <c r="C2165" s="417" t="s">
        <v>6741</v>
      </c>
      <c r="D2165" s="417" t="s">
        <v>88</v>
      </c>
      <c r="E2165" s="423">
        <v>0</v>
      </c>
      <c r="F2165" s="423">
        <v>0</v>
      </c>
      <c r="G2165" s="422">
        <v>0</v>
      </c>
      <c r="H2165" s="417" t="s">
        <v>2616</v>
      </c>
      <c r="I2165" s="417" t="s">
        <v>1392</v>
      </c>
      <c r="J2165" s="417" t="s">
        <v>4310</v>
      </c>
      <c r="K2165" s="417" t="s">
        <v>6742</v>
      </c>
      <c r="L2165" s="417"/>
      <c r="M2165" s="417" t="s">
        <v>28840</v>
      </c>
    </row>
    <row r="2166" spans="1:13" x14ac:dyDescent="0.25">
      <c r="A2166" s="417" t="s">
        <v>3385</v>
      </c>
      <c r="B2166" s="417" t="s">
        <v>2623</v>
      </c>
      <c r="C2166" s="417" t="s">
        <v>6743</v>
      </c>
      <c r="D2166" s="417" t="s">
        <v>88</v>
      </c>
      <c r="E2166" s="423">
        <v>0</v>
      </c>
      <c r="F2166" s="423">
        <v>0</v>
      </c>
      <c r="G2166" s="422">
        <v>0</v>
      </c>
      <c r="H2166" s="417" t="s">
        <v>2616</v>
      </c>
      <c r="I2166" s="417" t="s">
        <v>1392</v>
      </c>
      <c r="J2166" s="417" t="s">
        <v>4310</v>
      </c>
      <c r="K2166" s="417" t="s">
        <v>6744</v>
      </c>
      <c r="L2166" s="417"/>
      <c r="M2166" s="417" t="s">
        <v>28840</v>
      </c>
    </row>
    <row r="2167" spans="1:13" x14ac:dyDescent="0.25">
      <c r="A2167" s="417" t="s">
        <v>3385</v>
      </c>
      <c r="B2167" s="417" t="s">
        <v>2623</v>
      </c>
      <c r="C2167" s="417" t="s">
        <v>6745</v>
      </c>
      <c r="D2167" s="417" t="s">
        <v>88</v>
      </c>
      <c r="E2167" s="423">
        <v>0</v>
      </c>
      <c r="F2167" s="423">
        <v>0</v>
      </c>
      <c r="G2167" s="422">
        <v>0</v>
      </c>
      <c r="H2167" s="417" t="s">
        <v>2616</v>
      </c>
      <c r="I2167" s="417" t="s">
        <v>1392</v>
      </c>
      <c r="J2167" s="417" t="s">
        <v>4310</v>
      </c>
      <c r="K2167" s="417" t="s">
        <v>6746</v>
      </c>
      <c r="L2167" s="417"/>
      <c r="M2167" s="417" t="s">
        <v>28840</v>
      </c>
    </row>
    <row r="2168" spans="1:13" x14ac:dyDescent="0.25">
      <c r="A2168" s="417" t="s">
        <v>3385</v>
      </c>
      <c r="B2168" s="417" t="s">
        <v>2623</v>
      </c>
      <c r="C2168" s="417" t="s">
        <v>6747</v>
      </c>
      <c r="D2168" s="417" t="s">
        <v>88</v>
      </c>
      <c r="E2168" s="423">
        <v>0</v>
      </c>
      <c r="F2168" s="423">
        <v>0</v>
      </c>
      <c r="G2168" s="422">
        <v>0</v>
      </c>
      <c r="H2168" s="417" t="s">
        <v>2616</v>
      </c>
      <c r="I2168" s="417" t="s">
        <v>1392</v>
      </c>
      <c r="J2168" s="417" t="s">
        <v>4310</v>
      </c>
      <c r="K2168" s="417" t="s">
        <v>6748</v>
      </c>
      <c r="L2168" s="417"/>
      <c r="M2168" s="417" t="s">
        <v>28840</v>
      </c>
    </row>
    <row r="2169" spans="1:13" x14ac:dyDescent="0.25">
      <c r="A2169" s="417" t="s">
        <v>3385</v>
      </c>
      <c r="B2169" s="417" t="s">
        <v>2623</v>
      </c>
      <c r="C2169" s="417" t="s">
        <v>6749</v>
      </c>
      <c r="D2169" s="417" t="s">
        <v>88</v>
      </c>
      <c r="E2169" s="423">
        <v>0</v>
      </c>
      <c r="F2169" s="423">
        <v>0</v>
      </c>
      <c r="G2169" s="422">
        <v>0</v>
      </c>
      <c r="H2169" s="417" t="s">
        <v>2616</v>
      </c>
      <c r="I2169" s="417" t="s">
        <v>1392</v>
      </c>
      <c r="J2169" s="417" t="s">
        <v>4310</v>
      </c>
      <c r="K2169" s="417" t="s">
        <v>6750</v>
      </c>
      <c r="L2169" s="417"/>
      <c r="M2169" s="417" t="s">
        <v>28840</v>
      </c>
    </row>
    <row r="2170" spans="1:13" x14ac:dyDescent="0.25">
      <c r="A2170" s="417" t="s">
        <v>3385</v>
      </c>
      <c r="B2170" s="417" t="s">
        <v>2623</v>
      </c>
      <c r="C2170" s="417" t="s">
        <v>6751</v>
      </c>
      <c r="D2170" s="417" t="s">
        <v>88</v>
      </c>
      <c r="E2170" s="423">
        <v>0</v>
      </c>
      <c r="F2170" s="423">
        <v>0</v>
      </c>
      <c r="G2170" s="422">
        <v>0</v>
      </c>
      <c r="H2170" s="417" t="s">
        <v>2616</v>
      </c>
      <c r="I2170" s="417" t="s">
        <v>1392</v>
      </c>
      <c r="J2170" s="417" t="s">
        <v>4310</v>
      </c>
      <c r="K2170" s="417" t="s">
        <v>6752</v>
      </c>
      <c r="L2170" s="417"/>
      <c r="M2170" s="417" t="s">
        <v>28840</v>
      </c>
    </row>
    <row r="2171" spans="1:13" x14ac:dyDescent="0.25">
      <c r="A2171" s="417" t="s">
        <v>3385</v>
      </c>
      <c r="B2171" s="417" t="s">
        <v>2623</v>
      </c>
      <c r="C2171" s="417" t="s">
        <v>6753</v>
      </c>
      <c r="D2171" s="417" t="s">
        <v>88</v>
      </c>
      <c r="E2171" s="423">
        <v>0</v>
      </c>
      <c r="F2171" s="423">
        <v>0</v>
      </c>
      <c r="G2171" s="422">
        <v>0</v>
      </c>
      <c r="H2171" s="417" t="s">
        <v>2616</v>
      </c>
      <c r="I2171" s="417" t="s">
        <v>1392</v>
      </c>
      <c r="J2171" s="417" t="s">
        <v>4310</v>
      </c>
      <c r="K2171" s="417" t="s">
        <v>6754</v>
      </c>
      <c r="L2171" s="417"/>
      <c r="M2171" s="417" t="s">
        <v>28840</v>
      </c>
    </row>
    <row r="2172" spans="1:13" x14ac:dyDescent="0.25">
      <c r="A2172" s="417" t="s">
        <v>3385</v>
      </c>
      <c r="B2172" s="417" t="s">
        <v>2623</v>
      </c>
      <c r="C2172" s="417" t="s">
        <v>6755</v>
      </c>
      <c r="D2172" s="417" t="s">
        <v>88</v>
      </c>
      <c r="E2172" s="423">
        <v>0</v>
      </c>
      <c r="F2172" s="423">
        <v>0</v>
      </c>
      <c r="G2172" s="422">
        <v>0</v>
      </c>
      <c r="H2172" s="417" t="s">
        <v>2616</v>
      </c>
      <c r="I2172" s="417" t="s">
        <v>1392</v>
      </c>
      <c r="J2172" s="417" t="s">
        <v>4310</v>
      </c>
      <c r="K2172" s="417" t="s">
        <v>6756</v>
      </c>
      <c r="L2172" s="417"/>
      <c r="M2172" s="417" t="s">
        <v>28840</v>
      </c>
    </row>
    <row r="2173" spans="1:13" x14ac:dyDescent="0.25">
      <c r="A2173" s="417" t="s">
        <v>3385</v>
      </c>
      <c r="B2173" s="417" t="s">
        <v>2623</v>
      </c>
      <c r="C2173" s="417" t="s">
        <v>6757</v>
      </c>
      <c r="D2173" s="417" t="s">
        <v>88</v>
      </c>
      <c r="E2173" s="423">
        <v>0</v>
      </c>
      <c r="F2173" s="423">
        <v>0</v>
      </c>
      <c r="G2173" s="422">
        <v>0</v>
      </c>
      <c r="H2173" s="417" t="s">
        <v>2616</v>
      </c>
      <c r="I2173" s="417" t="s">
        <v>1392</v>
      </c>
      <c r="J2173" s="417" t="s">
        <v>4310</v>
      </c>
      <c r="K2173" s="417" t="s">
        <v>6758</v>
      </c>
      <c r="L2173" s="417"/>
      <c r="M2173" s="417" t="s">
        <v>28840</v>
      </c>
    </row>
    <row r="2174" spans="1:13" x14ac:dyDescent="0.25">
      <c r="A2174" s="417" t="s">
        <v>3385</v>
      </c>
      <c r="B2174" s="417" t="s">
        <v>2623</v>
      </c>
      <c r="C2174" s="417" t="s">
        <v>6759</v>
      </c>
      <c r="D2174" s="417" t="s">
        <v>88</v>
      </c>
      <c r="E2174" s="423">
        <v>0</v>
      </c>
      <c r="F2174" s="423">
        <v>0</v>
      </c>
      <c r="G2174" s="422">
        <v>0</v>
      </c>
      <c r="H2174" s="417" t="s">
        <v>2616</v>
      </c>
      <c r="I2174" s="417" t="s">
        <v>1392</v>
      </c>
      <c r="J2174" s="417" t="s">
        <v>4310</v>
      </c>
      <c r="K2174" s="417" t="s">
        <v>6760</v>
      </c>
      <c r="L2174" s="417"/>
      <c r="M2174" s="417" t="s">
        <v>28840</v>
      </c>
    </row>
    <row r="2175" spans="1:13" x14ac:dyDescent="0.25">
      <c r="A2175" s="417" t="s">
        <v>3385</v>
      </c>
      <c r="B2175" s="417" t="s">
        <v>2623</v>
      </c>
      <c r="C2175" s="417" t="s">
        <v>6761</v>
      </c>
      <c r="D2175" s="417" t="s">
        <v>88</v>
      </c>
      <c r="E2175" s="423">
        <v>1.099915242027856E-3</v>
      </c>
      <c r="F2175" s="423">
        <v>6.6289031182569495E-5</v>
      </c>
      <c r="G2175" s="422">
        <v>32.830347680440489</v>
      </c>
      <c r="H2175" s="417" t="s">
        <v>2616</v>
      </c>
      <c r="I2175" s="417" t="s">
        <v>1392</v>
      </c>
      <c r="J2175" s="417" t="s">
        <v>6311</v>
      </c>
      <c r="K2175" s="417" t="s">
        <v>6762</v>
      </c>
      <c r="L2175" s="417"/>
      <c r="M2175" s="417" t="s">
        <v>28840</v>
      </c>
    </row>
    <row r="2176" spans="1:13" x14ac:dyDescent="0.25">
      <c r="A2176" s="417" t="s">
        <v>3385</v>
      </c>
      <c r="B2176" s="417" t="s">
        <v>2623</v>
      </c>
      <c r="C2176" s="417" t="s">
        <v>6763</v>
      </c>
      <c r="D2176" s="417" t="s">
        <v>563</v>
      </c>
      <c r="E2176" s="423">
        <v>0.51446104546730809</v>
      </c>
      <c r="F2176" s="423">
        <v>3.8054685601940421</v>
      </c>
      <c r="G2176" s="422">
        <v>725.52802119960779</v>
      </c>
      <c r="H2176" s="417" t="s">
        <v>2616</v>
      </c>
      <c r="I2176" s="417" t="s">
        <v>1392</v>
      </c>
      <c r="J2176" s="417" t="s">
        <v>4364</v>
      </c>
      <c r="K2176" s="417" t="s">
        <v>6764</v>
      </c>
      <c r="L2176" s="417"/>
      <c r="M2176" s="417" t="s">
        <v>28840</v>
      </c>
    </row>
    <row r="2177" spans="1:13" x14ac:dyDescent="0.25">
      <c r="A2177" s="417" t="s">
        <v>3385</v>
      </c>
      <c r="B2177" s="417" t="s">
        <v>2623</v>
      </c>
      <c r="C2177" s="417" t="s">
        <v>6765</v>
      </c>
      <c r="D2177" s="417" t="s">
        <v>989</v>
      </c>
      <c r="E2177" s="423">
        <v>12094.566519411719</v>
      </c>
      <c r="F2177" s="423">
        <v>25.400078951989059</v>
      </c>
      <c r="G2177" s="422">
        <v>23189361.6624231</v>
      </c>
      <c r="H2177" s="417" t="s">
        <v>2616</v>
      </c>
      <c r="I2177" s="417" t="s">
        <v>1392</v>
      </c>
      <c r="J2177" s="417" t="s">
        <v>5983</v>
      </c>
      <c r="K2177" s="417" t="s">
        <v>6766</v>
      </c>
      <c r="L2177" s="417"/>
      <c r="M2177" s="417" t="s">
        <v>28840</v>
      </c>
    </row>
    <row r="2178" spans="1:13" x14ac:dyDescent="0.25">
      <c r="A2178" s="417" t="s">
        <v>3385</v>
      </c>
      <c r="B2178" s="417" t="s">
        <v>2623</v>
      </c>
      <c r="C2178" s="417" t="s">
        <v>6767</v>
      </c>
      <c r="D2178" s="417" t="s">
        <v>989</v>
      </c>
      <c r="E2178" s="423">
        <v>9675.5298181542021</v>
      </c>
      <c r="F2178" s="423">
        <v>112.3253626632811</v>
      </c>
      <c r="G2178" s="422">
        <v>132078494.90139709</v>
      </c>
      <c r="H2178" s="417" t="s">
        <v>2616</v>
      </c>
      <c r="I2178" s="417" t="s">
        <v>1392</v>
      </c>
      <c r="J2178" s="417" t="s">
        <v>5983</v>
      </c>
      <c r="K2178" s="417" t="s">
        <v>6768</v>
      </c>
      <c r="L2178" s="417"/>
      <c r="M2178" s="417" t="s">
        <v>28840</v>
      </c>
    </row>
    <row r="2179" spans="1:13" x14ac:dyDescent="0.25">
      <c r="A2179" s="417" t="s">
        <v>3385</v>
      </c>
      <c r="B2179" s="417" t="s">
        <v>2623</v>
      </c>
      <c r="C2179" s="417" t="s">
        <v>6769</v>
      </c>
      <c r="D2179" s="417" t="s">
        <v>989</v>
      </c>
      <c r="E2179" s="423">
        <v>702.24663248686818</v>
      </c>
      <c r="F2179" s="423">
        <v>3.1119694481145972</v>
      </c>
      <c r="G2179" s="422">
        <v>796168.09490629937</v>
      </c>
      <c r="H2179" s="417" t="s">
        <v>2616</v>
      </c>
      <c r="I2179" s="417" t="s">
        <v>1392</v>
      </c>
      <c r="J2179" s="417" t="s">
        <v>5983</v>
      </c>
      <c r="K2179" s="417" t="s">
        <v>6770</v>
      </c>
      <c r="L2179" s="417"/>
      <c r="M2179" s="417" t="s">
        <v>28840</v>
      </c>
    </row>
    <row r="2180" spans="1:13" x14ac:dyDescent="0.25">
      <c r="A2180" s="417" t="s">
        <v>3385</v>
      </c>
      <c r="B2180" s="417" t="s">
        <v>2623</v>
      </c>
      <c r="C2180" s="417" t="s">
        <v>6771</v>
      </c>
      <c r="D2180" s="417" t="s">
        <v>989</v>
      </c>
      <c r="E2180" s="423">
        <v>1117.377992647057</v>
      </c>
      <c r="F2180" s="423">
        <v>5.9104911671936504</v>
      </c>
      <c r="G2180" s="422">
        <v>1279194.738409346</v>
      </c>
      <c r="H2180" s="417" t="s">
        <v>2616</v>
      </c>
      <c r="I2180" s="417" t="s">
        <v>1392</v>
      </c>
      <c r="J2180" s="417" t="s">
        <v>5983</v>
      </c>
      <c r="K2180" s="417" t="s">
        <v>6772</v>
      </c>
      <c r="L2180" s="417"/>
      <c r="M2180" s="417" t="s">
        <v>28840</v>
      </c>
    </row>
    <row r="2181" spans="1:13" x14ac:dyDescent="0.25">
      <c r="A2181" s="417" t="s">
        <v>3385</v>
      </c>
      <c r="B2181" s="417" t="s">
        <v>2623</v>
      </c>
      <c r="C2181" s="417" t="s">
        <v>6773</v>
      </c>
      <c r="D2181" s="417" t="s">
        <v>989</v>
      </c>
      <c r="E2181" s="423">
        <v>1713.5383657851</v>
      </c>
      <c r="F2181" s="423">
        <v>7.3830854700508048</v>
      </c>
      <c r="G2181" s="422">
        <v>1943250.264769912</v>
      </c>
      <c r="H2181" s="417" t="s">
        <v>2616</v>
      </c>
      <c r="I2181" s="417" t="s">
        <v>1392</v>
      </c>
      <c r="J2181" s="417" t="s">
        <v>5983</v>
      </c>
      <c r="K2181" s="417" t="s">
        <v>6774</v>
      </c>
      <c r="L2181" s="417"/>
      <c r="M2181" s="417" t="s">
        <v>28840</v>
      </c>
    </row>
    <row r="2182" spans="1:13" x14ac:dyDescent="0.25">
      <c r="A2182" s="417" t="s">
        <v>3385</v>
      </c>
      <c r="B2182" s="417" t="s">
        <v>2623</v>
      </c>
      <c r="C2182" s="417" t="s">
        <v>6775</v>
      </c>
      <c r="D2182" s="417" t="s">
        <v>88</v>
      </c>
      <c r="E2182" s="423">
        <v>1.9308831410631049E-2</v>
      </c>
      <c r="F2182" s="423">
        <v>6.7674035021122808E-4</v>
      </c>
      <c r="G2182" s="422">
        <v>71.878003230375342</v>
      </c>
      <c r="H2182" s="417" t="s">
        <v>2616</v>
      </c>
      <c r="I2182" s="417" t="s">
        <v>1392</v>
      </c>
      <c r="J2182" s="417" t="s">
        <v>4364</v>
      </c>
      <c r="K2182" s="417" t="s">
        <v>6776</v>
      </c>
      <c r="L2182" s="417"/>
      <c r="M2182" s="417" t="s">
        <v>28840</v>
      </c>
    </row>
    <row r="2183" spans="1:13" x14ac:dyDescent="0.25">
      <c r="A2183" s="417" t="s">
        <v>3385</v>
      </c>
      <c r="B2183" s="417" t="s">
        <v>2623</v>
      </c>
      <c r="C2183" s="417" t="s">
        <v>6777</v>
      </c>
      <c r="D2183" s="417" t="s">
        <v>88</v>
      </c>
      <c r="E2183" s="423">
        <v>0.6314864926455962</v>
      </c>
      <c r="F2183" s="423">
        <v>1.192056039057902</v>
      </c>
      <c r="G2183" s="422">
        <v>797.82581868589</v>
      </c>
      <c r="H2183" s="417" t="s">
        <v>2616</v>
      </c>
      <c r="I2183" s="417" t="s">
        <v>1392</v>
      </c>
      <c r="J2183" s="417" t="s">
        <v>4364</v>
      </c>
      <c r="K2183" s="417" t="s">
        <v>6778</v>
      </c>
      <c r="L2183" s="417"/>
      <c r="M2183" s="417" t="s">
        <v>28840</v>
      </c>
    </row>
    <row r="2184" spans="1:13" x14ac:dyDescent="0.25">
      <c r="A2184" s="417" t="s">
        <v>3385</v>
      </c>
      <c r="B2184" s="417" t="s">
        <v>2623</v>
      </c>
      <c r="C2184" s="417" t="s">
        <v>6779</v>
      </c>
      <c r="D2184" s="417" t="s">
        <v>88</v>
      </c>
      <c r="E2184" s="423">
        <v>8.7818095571727511E-2</v>
      </c>
      <c r="F2184" s="423">
        <v>1.423041995785662E-2</v>
      </c>
      <c r="G2184" s="422">
        <v>1201.437387156205</v>
      </c>
      <c r="H2184" s="417" t="s">
        <v>2616</v>
      </c>
      <c r="I2184" s="417" t="s">
        <v>1392</v>
      </c>
      <c r="J2184" s="417" t="s">
        <v>4364</v>
      </c>
      <c r="K2184" s="417" t="s">
        <v>6780</v>
      </c>
      <c r="L2184" s="417"/>
      <c r="M2184" s="417" t="s">
        <v>28840</v>
      </c>
    </row>
    <row r="2185" spans="1:13" x14ac:dyDescent="0.25">
      <c r="A2185" s="417" t="s">
        <v>3385</v>
      </c>
      <c r="B2185" s="417" t="s">
        <v>2623</v>
      </c>
      <c r="C2185" s="417" t="s">
        <v>6781</v>
      </c>
      <c r="D2185" s="417" t="s">
        <v>88</v>
      </c>
      <c r="E2185" s="423">
        <v>0.53150935836740276</v>
      </c>
      <c r="F2185" s="423">
        <v>1.182353562813325</v>
      </c>
      <c r="G2185" s="422">
        <v>613.28099052381367</v>
      </c>
      <c r="H2185" s="417" t="s">
        <v>2616</v>
      </c>
      <c r="I2185" s="417" t="s">
        <v>1392</v>
      </c>
      <c r="J2185" s="417" t="s">
        <v>4364</v>
      </c>
      <c r="K2185" s="417" t="s">
        <v>6782</v>
      </c>
      <c r="L2185" s="417"/>
      <c r="M2185" s="417" t="s">
        <v>28840</v>
      </c>
    </row>
    <row r="2186" spans="1:13" x14ac:dyDescent="0.25">
      <c r="A2186" s="417" t="s">
        <v>3385</v>
      </c>
      <c r="B2186" s="417" t="s">
        <v>2623</v>
      </c>
      <c r="C2186" s="417" t="s">
        <v>6783</v>
      </c>
      <c r="D2186" s="417" t="s">
        <v>88</v>
      </c>
      <c r="E2186" s="423">
        <v>0.10064526955553239</v>
      </c>
      <c r="F2186" s="423">
        <v>0.18727283606988401</v>
      </c>
      <c r="G2186" s="422">
        <v>128.72781893762749</v>
      </c>
      <c r="H2186" s="417" t="s">
        <v>2616</v>
      </c>
      <c r="I2186" s="417" t="s">
        <v>1392</v>
      </c>
      <c r="J2186" s="417" t="s">
        <v>4364</v>
      </c>
      <c r="K2186" s="417" t="s">
        <v>6784</v>
      </c>
      <c r="L2186" s="417"/>
      <c r="M2186" s="417" t="s">
        <v>28840</v>
      </c>
    </row>
    <row r="2187" spans="1:13" x14ac:dyDescent="0.25">
      <c r="A2187" s="417" t="s">
        <v>3385</v>
      </c>
      <c r="B2187" s="417" t="s">
        <v>2623</v>
      </c>
      <c r="C2187" s="417" t="s">
        <v>6785</v>
      </c>
      <c r="D2187" s="417" t="s">
        <v>563</v>
      </c>
      <c r="E2187" s="423">
        <v>1.205399847829306</v>
      </c>
      <c r="F2187" s="423">
        <v>2.420019815403986</v>
      </c>
      <c r="G2187" s="422">
        <v>1550.303915151092</v>
      </c>
      <c r="H2187" s="417" t="s">
        <v>2616</v>
      </c>
      <c r="I2187" s="417" t="s">
        <v>1392</v>
      </c>
      <c r="J2187" s="417" t="s">
        <v>4364</v>
      </c>
      <c r="K2187" s="417" t="s">
        <v>6786</v>
      </c>
      <c r="L2187" s="417"/>
      <c r="M2187" s="417" t="s">
        <v>28840</v>
      </c>
    </row>
    <row r="2188" spans="1:13" x14ac:dyDescent="0.25">
      <c r="A2188" s="417" t="s">
        <v>3385</v>
      </c>
      <c r="B2188" s="417" t="s">
        <v>2623</v>
      </c>
      <c r="C2188" s="417" t="s">
        <v>6787</v>
      </c>
      <c r="D2188" s="417" t="s">
        <v>88</v>
      </c>
      <c r="E2188" s="423">
        <v>2.237032929799743E-2</v>
      </c>
      <c r="F2188" s="423">
        <v>9.4806379938879764E-4</v>
      </c>
      <c r="G2188" s="422">
        <v>107.75982576428321</v>
      </c>
      <c r="H2188" s="417" t="s">
        <v>2616</v>
      </c>
      <c r="I2188" s="417" t="s">
        <v>1392</v>
      </c>
      <c r="J2188" s="417" t="s">
        <v>4364</v>
      </c>
      <c r="K2188" s="417" t="s">
        <v>6788</v>
      </c>
      <c r="L2188" s="417"/>
      <c r="M2188" s="417" t="s">
        <v>28840</v>
      </c>
    </row>
    <row r="2189" spans="1:13" x14ac:dyDescent="0.25">
      <c r="A2189" s="417" t="s">
        <v>3385</v>
      </c>
      <c r="B2189" s="417" t="s">
        <v>2623</v>
      </c>
      <c r="C2189" s="417" t="s">
        <v>6789</v>
      </c>
      <c r="D2189" s="417" t="s">
        <v>88</v>
      </c>
      <c r="E2189" s="423">
        <v>0.12463151137154541</v>
      </c>
      <c r="F2189" s="423">
        <v>1.4346598612583179E-3</v>
      </c>
      <c r="G2189" s="422">
        <v>158.03807282923381</v>
      </c>
      <c r="H2189" s="417" t="s">
        <v>2616</v>
      </c>
      <c r="I2189" s="417" t="s">
        <v>1392</v>
      </c>
      <c r="J2189" s="417" t="s">
        <v>4364</v>
      </c>
      <c r="K2189" s="417" t="s">
        <v>6790</v>
      </c>
      <c r="L2189" s="417"/>
      <c r="M2189" s="417" t="s">
        <v>28840</v>
      </c>
    </row>
    <row r="2190" spans="1:13" x14ac:dyDescent="0.25">
      <c r="A2190" s="417" t="s">
        <v>3385</v>
      </c>
      <c r="B2190" s="417" t="s">
        <v>2623</v>
      </c>
      <c r="C2190" s="417" t="s">
        <v>6791</v>
      </c>
      <c r="D2190" s="417" t="s">
        <v>88</v>
      </c>
      <c r="E2190" s="423">
        <v>5.8323669160238692E-2</v>
      </c>
      <c r="F2190" s="423">
        <v>1.381169975888652E-3</v>
      </c>
      <c r="G2190" s="422">
        <v>113.7924804244463</v>
      </c>
      <c r="H2190" s="417" t="s">
        <v>2616</v>
      </c>
      <c r="I2190" s="417" t="s">
        <v>1392</v>
      </c>
      <c r="J2190" s="417" t="s">
        <v>4364</v>
      </c>
      <c r="K2190" s="417" t="s">
        <v>6792</v>
      </c>
      <c r="L2190" s="417"/>
      <c r="M2190" s="417" t="s">
        <v>28840</v>
      </c>
    </row>
    <row r="2191" spans="1:13" x14ac:dyDescent="0.25">
      <c r="A2191" s="417" t="s">
        <v>3385</v>
      </c>
      <c r="B2191" s="417" t="s">
        <v>2623</v>
      </c>
      <c r="C2191" s="417" t="s">
        <v>6793</v>
      </c>
      <c r="D2191" s="417" t="s">
        <v>563</v>
      </c>
      <c r="E2191" s="423">
        <v>0.96628761941825936</v>
      </c>
      <c r="F2191" s="423">
        <v>4.0196774425203842E-2</v>
      </c>
      <c r="G2191" s="422">
        <v>3260.9458400844419</v>
      </c>
      <c r="H2191" s="417" t="s">
        <v>2616</v>
      </c>
      <c r="I2191" s="417" t="s">
        <v>1392</v>
      </c>
      <c r="J2191" s="417" t="s">
        <v>4364</v>
      </c>
      <c r="K2191" s="417" t="s">
        <v>6794</v>
      </c>
      <c r="L2191" s="417"/>
      <c r="M2191" s="417" t="s">
        <v>28840</v>
      </c>
    </row>
    <row r="2192" spans="1:13" x14ac:dyDescent="0.25">
      <c r="A2192" s="417" t="s">
        <v>3385</v>
      </c>
      <c r="B2192" s="417" t="s">
        <v>2623</v>
      </c>
      <c r="C2192" s="417" t="s">
        <v>6795</v>
      </c>
      <c r="D2192" s="417" t="s">
        <v>563</v>
      </c>
      <c r="E2192" s="423">
        <v>0.1315987288950633</v>
      </c>
      <c r="F2192" s="423">
        <v>6.1523665294468824E-3</v>
      </c>
      <c r="G2192" s="422">
        <v>2480.2074599217581</v>
      </c>
      <c r="H2192" s="417" t="s">
        <v>2616</v>
      </c>
      <c r="I2192" s="417" t="s">
        <v>1392</v>
      </c>
      <c r="J2192" s="417" t="s">
        <v>4364</v>
      </c>
      <c r="K2192" s="417" t="s">
        <v>6796</v>
      </c>
      <c r="L2192" s="417"/>
      <c r="M2192" s="417" t="s">
        <v>28840</v>
      </c>
    </row>
    <row r="2193" spans="1:13" x14ac:dyDescent="0.25">
      <c r="A2193" s="417" t="s">
        <v>3385</v>
      </c>
      <c r="B2193" s="417" t="s">
        <v>2623</v>
      </c>
      <c r="C2193" s="417" t="s">
        <v>6797</v>
      </c>
      <c r="D2193" s="417" t="s">
        <v>563</v>
      </c>
      <c r="E2193" s="423">
        <v>0.29119067959105488</v>
      </c>
      <c r="F2193" s="423">
        <v>5.7923011036216387E-3</v>
      </c>
      <c r="G2193" s="422">
        <v>2638.3356690251471</v>
      </c>
      <c r="H2193" s="417" t="s">
        <v>2616</v>
      </c>
      <c r="I2193" s="417" t="s">
        <v>1392</v>
      </c>
      <c r="J2193" s="417" t="s">
        <v>4364</v>
      </c>
      <c r="K2193" s="417" t="s">
        <v>6798</v>
      </c>
      <c r="L2193" s="417"/>
      <c r="M2193" s="417" t="s">
        <v>28840</v>
      </c>
    </row>
    <row r="2194" spans="1:13" x14ac:dyDescent="0.25">
      <c r="A2194" s="417" t="s">
        <v>3385</v>
      </c>
      <c r="B2194" s="417" t="s">
        <v>2623</v>
      </c>
      <c r="C2194" s="417" t="s">
        <v>6799</v>
      </c>
      <c r="D2194" s="417" t="s">
        <v>563</v>
      </c>
      <c r="E2194" s="423">
        <v>0.12796837760504479</v>
      </c>
      <c r="F2194" s="423">
        <v>5.8659483955723858E-3</v>
      </c>
      <c r="G2194" s="422">
        <v>2472.6803065464051</v>
      </c>
      <c r="H2194" s="417" t="s">
        <v>2616</v>
      </c>
      <c r="I2194" s="417" t="s">
        <v>1392</v>
      </c>
      <c r="J2194" s="417" t="s">
        <v>4364</v>
      </c>
      <c r="K2194" s="417" t="s">
        <v>6800</v>
      </c>
      <c r="L2194" s="417"/>
      <c r="M2194" s="417" t="s">
        <v>28840</v>
      </c>
    </row>
    <row r="2195" spans="1:13" x14ac:dyDescent="0.25">
      <c r="A2195" s="417" t="s">
        <v>3385</v>
      </c>
      <c r="B2195" s="417" t="s">
        <v>2623</v>
      </c>
      <c r="C2195" s="417" t="s">
        <v>6801</v>
      </c>
      <c r="D2195" s="417" t="s">
        <v>563</v>
      </c>
      <c r="E2195" s="423">
        <v>5.5906807670658622E-2</v>
      </c>
      <c r="F2195" s="423">
        <v>2.7187229274697371E-3</v>
      </c>
      <c r="G2195" s="422">
        <v>998.85742200770699</v>
      </c>
      <c r="H2195" s="417" t="s">
        <v>2616</v>
      </c>
      <c r="I2195" s="417" t="s">
        <v>1392</v>
      </c>
      <c r="J2195" s="417" t="s">
        <v>4364</v>
      </c>
      <c r="K2195" s="417" t="s">
        <v>6802</v>
      </c>
      <c r="L2195" s="417"/>
      <c r="M2195" s="417" t="s">
        <v>28840</v>
      </c>
    </row>
    <row r="2196" spans="1:13" x14ac:dyDescent="0.25">
      <c r="A2196" s="417" t="s">
        <v>3385</v>
      </c>
      <c r="B2196" s="417" t="s">
        <v>2623</v>
      </c>
      <c r="C2196" s="417" t="s">
        <v>6803</v>
      </c>
      <c r="D2196" s="417" t="s">
        <v>563</v>
      </c>
      <c r="E2196" s="423">
        <v>0.21549875837657931</v>
      </c>
      <c r="F2196" s="423">
        <v>2.358657502320546E-3</v>
      </c>
      <c r="G2196" s="422">
        <v>1156.9856312461391</v>
      </c>
      <c r="H2196" s="417" t="s">
        <v>2616</v>
      </c>
      <c r="I2196" s="417" t="s">
        <v>1392</v>
      </c>
      <c r="J2196" s="417" t="s">
        <v>4364</v>
      </c>
      <c r="K2196" s="417" t="s">
        <v>6804</v>
      </c>
      <c r="L2196" s="417"/>
      <c r="M2196" s="417" t="s">
        <v>28840</v>
      </c>
    </row>
    <row r="2197" spans="1:13" x14ac:dyDescent="0.25">
      <c r="A2197" s="417" t="s">
        <v>3385</v>
      </c>
      <c r="B2197" s="417" t="s">
        <v>2623</v>
      </c>
      <c r="C2197" s="417" t="s">
        <v>6805</v>
      </c>
      <c r="D2197" s="417" t="s">
        <v>563</v>
      </c>
      <c r="E2197" s="423">
        <v>5.2276456422514057E-2</v>
      </c>
      <c r="F2197" s="423">
        <v>2.4323047982165789E-3</v>
      </c>
      <c r="G2197" s="422">
        <v>991.33026862076952</v>
      </c>
      <c r="H2197" s="417" t="s">
        <v>2616</v>
      </c>
      <c r="I2197" s="417" t="s">
        <v>1392</v>
      </c>
      <c r="J2197" s="417" t="s">
        <v>4364</v>
      </c>
      <c r="K2197" s="417" t="s">
        <v>6806</v>
      </c>
      <c r="L2197" s="417"/>
      <c r="M2197" s="417" t="s">
        <v>28840</v>
      </c>
    </row>
    <row r="2198" spans="1:13" x14ac:dyDescent="0.25">
      <c r="A2198" s="417" t="s">
        <v>3385</v>
      </c>
      <c r="B2198" s="417" t="s">
        <v>2623</v>
      </c>
      <c r="C2198" s="417" t="s">
        <v>6807</v>
      </c>
      <c r="D2198" s="417" t="s">
        <v>563</v>
      </c>
      <c r="E2198" s="423">
        <v>6.8522127881515293E-2</v>
      </c>
      <c r="F2198" s="423">
        <v>3.2909968616714209E-3</v>
      </c>
      <c r="G2198" s="422">
        <v>1245.7490950690039</v>
      </c>
      <c r="H2198" s="417" t="s">
        <v>2616</v>
      </c>
      <c r="I2198" s="417" t="s">
        <v>1392</v>
      </c>
      <c r="J2198" s="417" t="s">
        <v>4364</v>
      </c>
      <c r="K2198" s="417" t="s">
        <v>6808</v>
      </c>
      <c r="L2198" s="417"/>
      <c r="M2198" s="417" t="s">
        <v>28840</v>
      </c>
    </row>
    <row r="2199" spans="1:13" x14ac:dyDescent="0.25">
      <c r="A2199" s="417" t="s">
        <v>3385</v>
      </c>
      <c r="B2199" s="417" t="s">
        <v>2623</v>
      </c>
      <c r="C2199" s="417" t="s">
        <v>6809</v>
      </c>
      <c r="D2199" s="417" t="s">
        <v>563</v>
      </c>
      <c r="E2199" s="423">
        <v>0.2281140785747528</v>
      </c>
      <c r="F2199" s="423">
        <v>2.9309314356424001E-3</v>
      </c>
      <c r="G2199" s="422">
        <v>1403.8773041688851</v>
      </c>
      <c r="H2199" s="417" t="s">
        <v>2616</v>
      </c>
      <c r="I2199" s="417" t="s">
        <v>1392</v>
      </c>
      <c r="J2199" s="417" t="s">
        <v>4364</v>
      </c>
      <c r="K2199" s="417" t="s">
        <v>6810</v>
      </c>
      <c r="L2199" s="417"/>
      <c r="M2199" s="417" t="s">
        <v>28840</v>
      </c>
    </row>
    <row r="2200" spans="1:13" x14ac:dyDescent="0.25">
      <c r="A2200" s="417" t="s">
        <v>3385</v>
      </c>
      <c r="B2200" s="417" t="s">
        <v>2623</v>
      </c>
      <c r="C2200" s="417" t="s">
        <v>6811</v>
      </c>
      <c r="D2200" s="417" t="s">
        <v>563</v>
      </c>
      <c r="E2200" s="423">
        <v>6.4891776620598904E-2</v>
      </c>
      <c r="F2200" s="423">
        <v>3.0045787309916239E-3</v>
      </c>
      <c r="G2200" s="422">
        <v>1238.221941616262</v>
      </c>
      <c r="H2200" s="417" t="s">
        <v>2616</v>
      </c>
      <c r="I2200" s="417" t="s">
        <v>1392</v>
      </c>
      <c r="J2200" s="417" t="s">
        <v>4364</v>
      </c>
      <c r="K2200" s="417" t="s">
        <v>6812</v>
      </c>
      <c r="L2200" s="417"/>
      <c r="M2200" s="417" t="s">
        <v>28840</v>
      </c>
    </row>
    <row r="2201" spans="1:13" x14ac:dyDescent="0.25">
      <c r="A2201" s="417" t="s">
        <v>3385</v>
      </c>
      <c r="B2201" s="417" t="s">
        <v>2623</v>
      </c>
      <c r="C2201" s="417" t="s">
        <v>6813</v>
      </c>
      <c r="D2201" s="417" t="s">
        <v>563</v>
      </c>
      <c r="E2201" s="423">
        <v>8.1137448075805169E-2</v>
      </c>
      <c r="F2201" s="423">
        <v>3.8632707935179231E-3</v>
      </c>
      <c r="G2201" s="422">
        <v>1492.640768065985</v>
      </c>
      <c r="H2201" s="417" t="s">
        <v>2616</v>
      </c>
      <c r="I2201" s="417" t="s">
        <v>1392</v>
      </c>
      <c r="J2201" s="417" t="s">
        <v>4364</v>
      </c>
      <c r="K2201" s="417" t="s">
        <v>6814</v>
      </c>
      <c r="L2201" s="417"/>
      <c r="M2201" s="417" t="s">
        <v>28840</v>
      </c>
    </row>
    <row r="2202" spans="1:13" x14ac:dyDescent="0.25">
      <c r="A2202" s="417" t="s">
        <v>3385</v>
      </c>
      <c r="B2202" s="417" t="s">
        <v>2623</v>
      </c>
      <c r="C2202" s="417" t="s">
        <v>6815</v>
      </c>
      <c r="D2202" s="417" t="s">
        <v>563</v>
      </c>
      <c r="E2202" s="423">
        <v>0.24072939878481661</v>
      </c>
      <c r="F2202" s="423">
        <v>3.5032053699949801E-3</v>
      </c>
      <c r="G2202" s="422">
        <v>1650.768977149643</v>
      </c>
      <c r="H2202" s="417" t="s">
        <v>2616</v>
      </c>
      <c r="I2202" s="417" t="s">
        <v>1392</v>
      </c>
      <c r="J2202" s="417" t="s">
        <v>4364</v>
      </c>
      <c r="K2202" s="417" t="s">
        <v>6816</v>
      </c>
      <c r="L2202" s="417"/>
      <c r="M2202" s="417" t="s">
        <v>28840</v>
      </c>
    </row>
    <row r="2203" spans="1:13" x14ac:dyDescent="0.25">
      <c r="A2203" s="417" t="s">
        <v>3385</v>
      </c>
      <c r="B2203" s="417" t="s">
        <v>2623</v>
      </c>
      <c r="C2203" s="417" t="s">
        <v>6817</v>
      </c>
      <c r="D2203" s="417" t="s">
        <v>563</v>
      </c>
      <c r="E2203" s="423">
        <v>7.7507096813918874E-2</v>
      </c>
      <c r="F2203" s="423">
        <v>3.576852664322287E-3</v>
      </c>
      <c r="G2203" s="422">
        <v>1485.113614515778</v>
      </c>
      <c r="H2203" s="417" t="s">
        <v>2616</v>
      </c>
      <c r="I2203" s="417" t="s">
        <v>1392</v>
      </c>
      <c r="J2203" s="417" t="s">
        <v>4364</v>
      </c>
      <c r="K2203" s="417" t="s">
        <v>6818</v>
      </c>
      <c r="L2203" s="417"/>
      <c r="M2203" s="417" t="s">
        <v>28840</v>
      </c>
    </row>
    <row r="2204" spans="1:13" x14ac:dyDescent="0.25">
      <c r="A2204" s="417" t="s">
        <v>3385</v>
      </c>
      <c r="B2204" s="417" t="s">
        <v>2623</v>
      </c>
      <c r="C2204" s="417" t="s">
        <v>6819</v>
      </c>
      <c r="D2204" s="417" t="s">
        <v>563</v>
      </c>
      <c r="E2204" s="423">
        <v>0.1063680884700543</v>
      </c>
      <c r="F2204" s="423">
        <v>5.0078186615721094E-3</v>
      </c>
      <c r="G2204" s="422">
        <v>1986.424114012088</v>
      </c>
      <c r="H2204" s="417" t="s">
        <v>2616</v>
      </c>
      <c r="I2204" s="417" t="s">
        <v>1392</v>
      </c>
      <c r="J2204" s="417" t="s">
        <v>4364</v>
      </c>
      <c r="K2204" s="417" t="s">
        <v>6820</v>
      </c>
      <c r="L2204" s="417"/>
      <c r="M2204" s="417" t="s">
        <v>28840</v>
      </c>
    </row>
    <row r="2205" spans="1:13" x14ac:dyDescent="0.25">
      <c r="A2205" s="417" t="s">
        <v>3385</v>
      </c>
      <c r="B2205" s="417" t="s">
        <v>2623</v>
      </c>
      <c r="C2205" s="417" t="s">
        <v>6821</v>
      </c>
      <c r="D2205" s="417" t="s">
        <v>563</v>
      </c>
      <c r="E2205" s="423">
        <v>0.26596003918258332</v>
      </c>
      <c r="F2205" s="423">
        <v>4.6477532355833446E-3</v>
      </c>
      <c r="G2205" s="422">
        <v>2144.5523231511111</v>
      </c>
      <c r="H2205" s="417" t="s">
        <v>2616</v>
      </c>
      <c r="I2205" s="417" t="s">
        <v>1392</v>
      </c>
      <c r="J2205" s="417" t="s">
        <v>4364</v>
      </c>
      <c r="K2205" s="417" t="s">
        <v>6822</v>
      </c>
      <c r="L2205" s="417"/>
      <c r="M2205" s="417" t="s">
        <v>28840</v>
      </c>
    </row>
    <row r="2206" spans="1:13" x14ac:dyDescent="0.25">
      <c r="A2206" s="417" t="s">
        <v>3385</v>
      </c>
      <c r="B2206" s="417" t="s">
        <v>2623</v>
      </c>
      <c r="C2206" s="417" t="s">
        <v>6823</v>
      </c>
      <c r="D2206" s="417" t="s">
        <v>563</v>
      </c>
      <c r="E2206" s="423">
        <v>0.102737737216133</v>
      </c>
      <c r="F2206" s="423">
        <v>4.7214005296772298E-3</v>
      </c>
      <c r="G2206" s="422">
        <v>1978.8969605157099</v>
      </c>
      <c r="H2206" s="417" t="s">
        <v>2616</v>
      </c>
      <c r="I2206" s="417" t="s">
        <v>1392</v>
      </c>
      <c r="J2206" s="417" t="s">
        <v>4364</v>
      </c>
      <c r="K2206" s="417" t="s">
        <v>6824</v>
      </c>
      <c r="L2206" s="417"/>
      <c r="M2206" s="417" t="s">
        <v>28840</v>
      </c>
    </row>
    <row r="2207" spans="1:13" x14ac:dyDescent="0.25">
      <c r="A2207" s="417" t="s">
        <v>3385</v>
      </c>
      <c r="B2207" s="417" t="s">
        <v>2623</v>
      </c>
      <c r="C2207" s="417" t="s">
        <v>6825</v>
      </c>
      <c r="D2207" s="417" t="s">
        <v>563</v>
      </c>
      <c r="E2207" s="423">
        <v>1.004342231391071</v>
      </c>
      <c r="F2207" s="423">
        <v>1.295681773837902E-2</v>
      </c>
      <c r="G2207" s="422">
        <v>3447.5597587626098</v>
      </c>
      <c r="H2207" s="417" t="s">
        <v>2616</v>
      </c>
      <c r="I2207" s="417" t="s">
        <v>1392</v>
      </c>
      <c r="J2207" s="417" t="s">
        <v>4364</v>
      </c>
      <c r="K2207" s="417" t="s">
        <v>6826</v>
      </c>
      <c r="L2207" s="417"/>
      <c r="M2207" s="417" t="s">
        <v>28840</v>
      </c>
    </row>
    <row r="2208" spans="1:13" x14ac:dyDescent="0.25">
      <c r="A2208" s="417" t="s">
        <v>3385</v>
      </c>
      <c r="B2208" s="417" t="s">
        <v>2623</v>
      </c>
      <c r="C2208" s="417" t="s">
        <v>6827</v>
      </c>
      <c r="D2208" s="417" t="s">
        <v>563</v>
      </c>
      <c r="E2208" s="423">
        <v>0.92865031021966526</v>
      </c>
      <c r="F2208" s="423">
        <v>9.5231741394032031E-3</v>
      </c>
      <c r="G2208" s="422">
        <v>1966.2097209561621</v>
      </c>
      <c r="H2208" s="417" t="s">
        <v>2616</v>
      </c>
      <c r="I2208" s="417" t="s">
        <v>1392</v>
      </c>
      <c r="J2208" s="417" t="s">
        <v>4364</v>
      </c>
      <c r="K2208" s="417" t="s">
        <v>6828</v>
      </c>
      <c r="L2208" s="417"/>
      <c r="M2208" s="417" t="s">
        <v>28840</v>
      </c>
    </row>
    <row r="2209" spans="1:13" x14ac:dyDescent="0.25">
      <c r="A2209" s="417" t="s">
        <v>3385</v>
      </c>
      <c r="B2209" s="417" t="s">
        <v>2623</v>
      </c>
      <c r="C2209" s="417" t="s">
        <v>6829</v>
      </c>
      <c r="D2209" s="417" t="s">
        <v>563</v>
      </c>
      <c r="E2209" s="423">
        <v>0.94126563036485877</v>
      </c>
      <c r="F2209" s="423">
        <v>1.009544808284811E-2</v>
      </c>
      <c r="G2209" s="422">
        <v>2213.101393793318</v>
      </c>
      <c r="H2209" s="417" t="s">
        <v>2616</v>
      </c>
      <c r="I2209" s="417" t="s">
        <v>1392</v>
      </c>
      <c r="J2209" s="417" t="s">
        <v>4364</v>
      </c>
      <c r="K2209" s="417" t="s">
        <v>6830</v>
      </c>
      <c r="L2209" s="417"/>
      <c r="M2209" s="417" t="s">
        <v>28840</v>
      </c>
    </row>
    <row r="2210" spans="1:13" x14ac:dyDescent="0.25">
      <c r="A2210" s="417" t="s">
        <v>3385</v>
      </c>
      <c r="B2210" s="417" t="s">
        <v>2623</v>
      </c>
      <c r="C2210" s="417" t="s">
        <v>6831</v>
      </c>
      <c r="D2210" s="417" t="s">
        <v>563</v>
      </c>
      <c r="E2210" s="423">
        <v>0.9538809505861775</v>
      </c>
      <c r="F2210" s="423">
        <v>1.066772201093668E-2</v>
      </c>
      <c r="G2210" s="422">
        <v>2459.9930667163449</v>
      </c>
      <c r="H2210" s="417" t="s">
        <v>2616</v>
      </c>
      <c r="I2210" s="417" t="s">
        <v>1392</v>
      </c>
      <c r="J2210" s="417" t="s">
        <v>4364</v>
      </c>
      <c r="K2210" s="417" t="s">
        <v>6832</v>
      </c>
      <c r="L2210" s="417"/>
      <c r="M2210" s="417" t="s">
        <v>28840</v>
      </c>
    </row>
    <row r="2211" spans="1:13" x14ac:dyDescent="0.25">
      <c r="A2211" s="417" t="s">
        <v>3385</v>
      </c>
      <c r="B2211" s="417" t="s">
        <v>2623</v>
      </c>
      <c r="C2211" s="417" t="s">
        <v>6833</v>
      </c>
      <c r="D2211" s="417" t="s">
        <v>563</v>
      </c>
      <c r="E2211" s="423">
        <v>0.97911159102057743</v>
      </c>
      <c r="F2211" s="423">
        <v>1.1812269876395141E-2</v>
      </c>
      <c r="G2211" s="422">
        <v>2953.7764127359869</v>
      </c>
      <c r="H2211" s="417" t="s">
        <v>2616</v>
      </c>
      <c r="I2211" s="417" t="s">
        <v>1392</v>
      </c>
      <c r="J2211" s="417" t="s">
        <v>4364</v>
      </c>
      <c r="K2211" s="417" t="s">
        <v>6834</v>
      </c>
      <c r="L2211" s="417"/>
      <c r="M2211" s="417" t="s">
        <v>28840</v>
      </c>
    </row>
    <row r="2212" spans="1:13" x14ac:dyDescent="0.25">
      <c r="A2212" s="417" t="s">
        <v>3385</v>
      </c>
      <c r="B2212" s="417" t="s">
        <v>2623</v>
      </c>
      <c r="C2212" s="417" t="s">
        <v>6835</v>
      </c>
      <c r="D2212" s="417" t="s">
        <v>88</v>
      </c>
      <c r="E2212" s="423">
        <v>1.0999152465685691E-3</v>
      </c>
      <c r="F2212" s="423">
        <v>6.628903235629439E-5</v>
      </c>
      <c r="G2212" s="422">
        <v>283.13496850906517</v>
      </c>
      <c r="H2212" s="417" t="s">
        <v>2616</v>
      </c>
      <c r="I2212" s="417" t="s">
        <v>1392</v>
      </c>
      <c r="J2212" s="417" t="s">
        <v>6311</v>
      </c>
      <c r="K2212" s="417" t="s">
        <v>6836</v>
      </c>
      <c r="L2212" s="417"/>
      <c r="M2212" s="417" t="s">
        <v>28840</v>
      </c>
    </row>
    <row r="2213" spans="1:13" x14ac:dyDescent="0.25">
      <c r="A2213" s="417" t="s">
        <v>3385</v>
      </c>
      <c r="B2213" s="417" t="s">
        <v>2623</v>
      </c>
      <c r="C2213" s="417" t="s">
        <v>6837</v>
      </c>
      <c r="D2213" s="417" t="s">
        <v>88</v>
      </c>
      <c r="E2213" s="423">
        <v>2.379782280282643E-2</v>
      </c>
      <c r="F2213" s="423">
        <v>1.352886036942977E-2</v>
      </c>
      <c r="G2213" s="422">
        <v>27.693642214195389</v>
      </c>
      <c r="H2213" s="417" t="s">
        <v>2616</v>
      </c>
      <c r="I2213" s="417" t="s">
        <v>1392</v>
      </c>
      <c r="J2213" s="417" t="s">
        <v>6320</v>
      </c>
      <c r="K2213" s="417" t="s">
        <v>6838</v>
      </c>
      <c r="L2213" s="417"/>
      <c r="M2213" s="417" t="s">
        <v>28840</v>
      </c>
    </row>
    <row r="2214" spans="1:13" x14ac:dyDescent="0.25">
      <c r="A2214" s="417" t="s">
        <v>3385</v>
      </c>
      <c r="B2214" s="417" t="s">
        <v>2623</v>
      </c>
      <c r="C2214" s="417" t="s">
        <v>6839</v>
      </c>
      <c r="D2214" s="417" t="s">
        <v>989</v>
      </c>
      <c r="E2214" s="423">
        <v>0.1401243715495131</v>
      </c>
      <c r="F2214" s="423">
        <v>3.4665038459183673E-4</v>
      </c>
      <c r="G2214" s="422">
        <v>150.99678614785901</v>
      </c>
      <c r="H2214" s="417" t="s">
        <v>2616</v>
      </c>
      <c r="I2214" s="417" t="s">
        <v>1392</v>
      </c>
      <c r="J2214" s="417" t="s">
        <v>5849</v>
      </c>
      <c r="K2214" s="417" t="s">
        <v>6840</v>
      </c>
      <c r="L2214" s="417"/>
      <c r="M2214" s="417" t="s">
        <v>28840</v>
      </c>
    </row>
    <row r="2215" spans="1:13" x14ac:dyDescent="0.25">
      <c r="A2215" s="417" t="s">
        <v>3385</v>
      </c>
      <c r="B2215" s="417" t="s">
        <v>2623</v>
      </c>
      <c r="C2215" s="417" t="s">
        <v>6841</v>
      </c>
      <c r="D2215" s="417" t="s">
        <v>88</v>
      </c>
      <c r="E2215" s="423">
        <v>5.8496518176738271E-3</v>
      </c>
      <c r="F2215" s="423">
        <v>2.8147539714795341E-4</v>
      </c>
      <c r="G2215" s="422">
        <v>496.64373724866488</v>
      </c>
      <c r="H2215" s="417" t="s">
        <v>2616</v>
      </c>
      <c r="I2215" s="417" t="s">
        <v>1392</v>
      </c>
      <c r="J2215" s="417" t="s">
        <v>4364</v>
      </c>
      <c r="K2215" s="417" t="s">
        <v>6842</v>
      </c>
      <c r="L2215" s="417"/>
      <c r="M2215" s="417" t="s">
        <v>28840</v>
      </c>
    </row>
    <row r="2216" spans="1:13" x14ac:dyDescent="0.25">
      <c r="A2216" s="417" t="s">
        <v>3385</v>
      </c>
      <c r="B2216" s="417" t="s">
        <v>2623</v>
      </c>
      <c r="C2216" s="417" t="s">
        <v>652</v>
      </c>
      <c r="D2216" s="417" t="s">
        <v>88</v>
      </c>
      <c r="E2216" s="423">
        <v>0.52184029541431309</v>
      </c>
      <c r="F2216" s="423">
        <v>0.75256452262237694</v>
      </c>
      <c r="G2216" s="422">
        <v>596.44822199746727</v>
      </c>
      <c r="H2216" s="417" t="s">
        <v>2616</v>
      </c>
      <c r="I2216" s="417" t="s">
        <v>28997</v>
      </c>
      <c r="J2216" s="417" t="s">
        <v>5990</v>
      </c>
      <c r="K2216" s="417" t="s">
        <v>6843</v>
      </c>
      <c r="L2216" s="417"/>
      <c r="M2216" s="417" t="s">
        <v>28840</v>
      </c>
    </row>
    <row r="2217" spans="1:13" x14ac:dyDescent="0.25">
      <c r="A2217" s="417" t="s">
        <v>3385</v>
      </c>
      <c r="B2217" s="417" t="s">
        <v>2623</v>
      </c>
      <c r="C2217" s="417" t="s">
        <v>6844</v>
      </c>
      <c r="D2217" s="417" t="s">
        <v>88</v>
      </c>
      <c r="E2217" s="423">
        <v>0.60616357509451102</v>
      </c>
      <c r="F2217" s="423">
        <v>0.14026897977974681</v>
      </c>
      <c r="G2217" s="422">
        <v>1386.0957993553041</v>
      </c>
      <c r="H2217" s="417" t="s">
        <v>2616</v>
      </c>
      <c r="I2217" s="417" t="s">
        <v>1392</v>
      </c>
      <c r="J2217" s="417" t="s">
        <v>5995</v>
      </c>
      <c r="K2217" s="417" t="s">
        <v>6845</v>
      </c>
      <c r="L2217" s="417"/>
      <c r="M2217" s="417" t="s">
        <v>28840</v>
      </c>
    </row>
    <row r="2218" spans="1:13" x14ac:dyDescent="0.25">
      <c r="A2218" s="417" t="s">
        <v>3385</v>
      </c>
      <c r="B2218" s="417" t="s">
        <v>2623</v>
      </c>
      <c r="C2218" s="417" t="s">
        <v>6846</v>
      </c>
      <c r="D2218" s="417" t="s">
        <v>88</v>
      </c>
      <c r="E2218" s="423">
        <v>1.0999152420257711E-3</v>
      </c>
      <c r="F2218" s="423">
        <v>6.6289031183306712E-5</v>
      </c>
      <c r="G2218" s="422">
        <v>65.031573004671742</v>
      </c>
      <c r="H2218" s="417" t="s">
        <v>2616</v>
      </c>
      <c r="I2218" s="417" t="s">
        <v>1392</v>
      </c>
      <c r="J2218" s="417" t="s">
        <v>6311</v>
      </c>
      <c r="K2218" s="417" t="s">
        <v>6847</v>
      </c>
      <c r="L2218" s="417"/>
      <c r="M2218" s="417" t="s">
        <v>28840</v>
      </c>
    </row>
    <row r="2219" spans="1:13" x14ac:dyDescent="0.25">
      <c r="A2219" s="417" t="s">
        <v>3385</v>
      </c>
      <c r="B2219" s="417" t="s">
        <v>2623</v>
      </c>
      <c r="C2219" s="417" t="s">
        <v>6848</v>
      </c>
      <c r="D2219" s="417" t="s">
        <v>88</v>
      </c>
      <c r="E2219" s="423">
        <v>2.542146392575264E-2</v>
      </c>
      <c r="F2219" s="423">
        <v>0.48398798154852901</v>
      </c>
      <c r="G2219" s="422">
        <v>59.203454797936523</v>
      </c>
      <c r="H2219" s="417" t="s">
        <v>2616</v>
      </c>
      <c r="I2219" s="417" t="s">
        <v>1392</v>
      </c>
      <c r="J2219" s="417" t="s">
        <v>4364</v>
      </c>
      <c r="K2219" s="417" t="s">
        <v>6849</v>
      </c>
      <c r="L2219" s="417"/>
      <c r="M2219" s="417" t="s">
        <v>28840</v>
      </c>
    </row>
    <row r="2220" spans="1:13" x14ac:dyDescent="0.25">
      <c r="A2220" s="417" t="s">
        <v>3385</v>
      </c>
      <c r="B2220" s="417" t="s">
        <v>2623</v>
      </c>
      <c r="C2220" s="417" t="s">
        <v>6850</v>
      </c>
      <c r="D2220" s="417" t="s">
        <v>88</v>
      </c>
      <c r="E2220" s="423">
        <v>0.77992765173779177</v>
      </c>
      <c r="F2220" s="423">
        <v>1.548326548361702E-3</v>
      </c>
      <c r="G2220" s="422">
        <v>831.93070748064247</v>
      </c>
      <c r="H2220" s="417" t="s">
        <v>2616</v>
      </c>
      <c r="I2220" s="417" t="s">
        <v>1392</v>
      </c>
      <c r="J2220" s="417" t="s">
        <v>4364</v>
      </c>
      <c r="K2220" s="417" t="s">
        <v>6851</v>
      </c>
      <c r="L2220" s="417"/>
      <c r="M2220" s="417" t="s">
        <v>28840</v>
      </c>
    </row>
    <row r="2221" spans="1:13" x14ac:dyDescent="0.25">
      <c r="A2221" s="417" t="s">
        <v>3385</v>
      </c>
      <c r="B2221" s="417" t="s">
        <v>2623</v>
      </c>
      <c r="C2221" s="417" t="s">
        <v>6852</v>
      </c>
      <c r="D2221" s="417" t="s">
        <v>563</v>
      </c>
      <c r="E2221" s="423">
        <v>3.1856155925705449</v>
      </c>
      <c r="F2221" s="423">
        <v>9.3500103805844881E-3</v>
      </c>
      <c r="G2221" s="422">
        <v>3744.4891805693469</v>
      </c>
      <c r="H2221" s="417" t="s">
        <v>2616</v>
      </c>
      <c r="I2221" s="417" t="s">
        <v>1392</v>
      </c>
      <c r="J2221" s="417" t="s">
        <v>4364</v>
      </c>
      <c r="K2221" s="417" t="s">
        <v>6853</v>
      </c>
      <c r="L2221" s="417"/>
      <c r="M2221" s="417" t="s">
        <v>28840</v>
      </c>
    </row>
    <row r="2222" spans="1:13" x14ac:dyDescent="0.25">
      <c r="A2222" s="417" t="s">
        <v>3385</v>
      </c>
      <c r="B2222" s="417" t="s">
        <v>2623</v>
      </c>
      <c r="C2222" s="417" t="s">
        <v>6854</v>
      </c>
      <c r="D2222" s="417" t="s">
        <v>563</v>
      </c>
      <c r="E2222" s="423">
        <v>0.50172626391180963</v>
      </c>
      <c r="F2222" s="423">
        <v>2.0871402103229839E-2</v>
      </c>
      <c r="G2222" s="422">
        <v>1693.183417212859</v>
      </c>
      <c r="H2222" s="417" t="s">
        <v>2616</v>
      </c>
      <c r="I2222" s="417" t="s">
        <v>1392</v>
      </c>
      <c r="J2222" s="417" t="s">
        <v>4364</v>
      </c>
      <c r="K2222" s="417" t="s">
        <v>6855</v>
      </c>
      <c r="L2222" s="417"/>
      <c r="M2222" s="417" t="s">
        <v>28840</v>
      </c>
    </row>
    <row r="2223" spans="1:13" x14ac:dyDescent="0.25">
      <c r="A2223" s="417" t="s">
        <v>3385</v>
      </c>
      <c r="B2223" s="417" t="s">
        <v>2623</v>
      </c>
      <c r="C2223" s="417" t="s">
        <v>6856</v>
      </c>
      <c r="D2223" s="417" t="s">
        <v>563</v>
      </c>
      <c r="E2223" s="423">
        <v>3.8681829416164542</v>
      </c>
      <c r="F2223" s="423">
        <v>1.876133016351256E-3</v>
      </c>
      <c r="G2223" s="422">
        <v>4006.1263262732359</v>
      </c>
      <c r="H2223" s="417" t="s">
        <v>2616</v>
      </c>
      <c r="I2223" s="417" t="s">
        <v>1392</v>
      </c>
      <c r="J2223" s="417" t="s">
        <v>4364</v>
      </c>
      <c r="K2223" s="417" t="s">
        <v>6857</v>
      </c>
      <c r="L2223" s="417"/>
      <c r="M2223" s="417" t="s">
        <v>28840</v>
      </c>
    </row>
    <row r="2224" spans="1:13" x14ac:dyDescent="0.25">
      <c r="A2224" s="417" t="s">
        <v>3385</v>
      </c>
      <c r="B2224" s="417" t="s">
        <v>2623</v>
      </c>
      <c r="C2224" s="417" t="s">
        <v>6858</v>
      </c>
      <c r="D2224" s="417" t="s">
        <v>88</v>
      </c>
      <c r="E2224" s="423">
        <v>2.2071881128667849E-2</v>
      </c>
      <c r="F2224" s="423">
        <v>1.48865638898826</v>
      </c>
      <c r="G2224" s="422">
        <v>58.942026831805748</v>
      </c>
      <c r="H2224" s="417" t="s">
        <v>2616</v>
      </c>
      <c r="I2224" s="417" t="s">
        <v>1392</v>
      </c>
      <c r="J2224" s="417" t="s">
        <v>5990</v>
      </c>
      <c r="K2224" s="417" t="s">
        <v>6859</v>
      </c>
      <c r="L2224" s="417"/>
      <c r="M2224" s="417" t="s">
        <v>28840</v>
      </c>
    </row>
    <row r="2225" spans="1:13" x14ac:dyDescent="0.25">
      <c r="A2225" s="417" t="s">
        <v>3385</v>
      </c>
      <c r="B2225" s="417" t="s">
        <v>2623</v>
      </c>
      <c r="C2225" s="417" t="s">
        <v>6860</v>
      </c>
      <c r="D2225" s="417" t="s">
        <v>88</v>
      </c>
      <c r="E2225" s="423">
        <v>0.69700352149556444</v>
      </c>
      <c r="F2225" s="423">
        <v>0.17114156308535439</v>
      </c>
      <c r="G2225" s="422">
        <v>1591.036122659408</v>
      </c>
      <c r="H2225" s="417" t="s">
        <v>2616</v>
      </c>
      <c r="I2225" s="417" t="s">
        <v>1392</v>
      </c>
      <c r="J2225" s="417" t="s">
        <v>5995</v>
      </c>
      <c r="K2225" s="417" t="s">
        <v>6861</v>
      </c>
      <c r="L2225" s="417"/>
      <c r="M2225" s="417" t="s">
        <v>28840</v>
      </c>
    </row>
    <row r="2226" spans="1:13" x14ac:dyDescent="0.25">
      <c r="A2226" s="417" t="s">
        <v>3385</v>
      </c>
      <c r="B2226" s="417" t="s">
        <v>2623</v>
      </c>
      <c r="C2226" s="417" t="s">
        <v>6862</v>
      </c>
      <c r="D2226" s="417" t="s">
        <v>88</v>
      </c>
      <c r="E2226" s="423">
        <v>1.0633757112191789E-2</v>
      </c>
      <c r="F2226" s="423">
        <v>3.4574117200529011E-4</v>
      </c>
      <c r="G2226" s="422">
        <v>49.117389890392808</v>
      </c>
      <c r="H2226" s="417" t="s">
        <v>2616</v>
      </c>
      <c r="I2226" s="417" t="s">
        <v>1392</v>
      </c>
      <c r="J2226" s="417" t="s">
        <v>6015</v>
      </c>
      <c r="K2226" s="417" t="s">
        <v>6863</v>
      </c>
      <c r="L2226" s="417"/>
      <c r="M2226" s="417" t="s">
        <v>28840</v>
      </c>
    </row>
    <row r="2227" spans="1:13" x14ac:dyDescent="0.25">
      <c r="A2227" s="417" t="s">
        <v>3385</v>
      </c>
      <c r="B2227" s="417" t="s">
        <v>2623</v>
      </c>
      <c r="C2227" s="417" t="s">
        <v>6864</v>
      </c>
      <c r="D2227" s="417" t="s">
        <v>88</v>
      </c>
      <c r="E2227" s="423">
        <v>0.63667373621302059</v>
      </c>
      <c r="F2227" s="423">
        <v>2.1084682401797169E-2</v>
      </c>
      <c r="G2227" s="422">
        <v>1329.7182158354881</v>
      </c>
      <c r="H2227" s="417" t="s">
        <v>2616</v>
      </c>
      <c r="I2227" s="417" t="s">
        <v>1392</v>
      </c>
      <c r="J2227" s="417" t="s">
        <v>5849</v>
      </c>
      <c r="K2227" s="417" t="s">
        <v>6865</v>
      </c>
      <c r="L2227" s="417"/>
      <c r="M2227" s="417" t="s">
        <v>28840</v>
      </c>
    </row>
    <row r="2228" spans="1:13" x14ac:dyDescent="0.25">
      <c r="A2228" s="417" t="s">
        <v>3385</v>
      </c>
      <c r="B2228" s="417" t="s">
        <v>2623</v>
      </c>
      <c r="C2228" s="417" t="s">
        <v>6866</v>
      </c>
      <c r="D2228" s="417" t="s">
        <v>88</v>
      </c>
      <c r="E2228" s="423">
        <v>7.8216180124247789E-3</v>
      </c>
      <c r="F2228" s="423">
        <v>2.5247852924459822E-4</v>
      </c>
      <c r="G2228" s="422">
        <v>19.539248908946639</v>
      </c>
      <c r="H2228" s="417" t="s">
        <v>2616</v>
      </c>
      <c r="I2228" s="417" t="s">
        <v>1392</v>
      </c>
      <c r="J2228" s="417" t="s">
        <v>4364</v>
      </c>
      <c r="K2228" s="417" t="s">
        <v>6867</v>
      </c>
      <c r="L2228" s="417"/>
      <c r="M2228" s="417" t="s">
        <v>28840</v>
      </c>
    </row>
    <row r="2229" spans="1:13" x14ac:dyDescent="0.25">
      <c r="A2229" s="417" t="s">
        <v>3385</v>
      </c>
      <c r="B2229" s="417" t="s">
        <v>2623</v>
      </c>
      <c r="C2229" s="417" t="s">
        <v>6868</v>
      </c>
      <c r="D2229" s="417" t="s">
        <v>88</v>
      </c>
      <c r="E2229" s="423">
        <v>1.238830281268666E-2</v>
      </c>
      <c r="F2229" s="423">
        <v>5.1534326191480877E-4</v>
      </c>
      <c r="G2229" s="422">
        <v>41.806997944996162</v>
      </c>
      <c r="H2229" s="417" t="s">
        <v>2616</v>
      </c>
      <c r="I2229" s="417" t="s">
        <v>1392</v>
      </c>
      <c r="J2229" s="417" t="s">
        <v>4364</v>
      </c>
      <c r="K2229" s="417" t="s">
        <v>6869</v>
      </c>
      <c r="L2229" s="417"/>
      <c r="M2229" s="417" t="s">
        <v>28840</v>
      </c>
    </row>
    <row r="2230" spans="1:13" x14ac:dyDescent="0.25">
      <c r="A2230" s="417" t="s">
        <v>3385</v>
      </c>
      <c r="B2230" s="417" t="s">
        <v>2623</v>
      </c>
      <c r="C2230" s="417" t="s">
        <v>6870</v>
      </c>
      <c r="D2230" s="417" t="s">
        <v>88</v>
      </c>
      <c r="E2230" s="423">
        <v>0</v>
      </c>
      <c r="F2230" s="423">
        <v>0</v>
      </c>
      <c r="G2230" s="422">
        <v>4.1768999999999998</v>
      </c>
      <c r="H2230" s="417" t="s">
        <v>2616</v>
      </c>
      <c r="I2230" s="417" t="s">
        <v>1392</v>
      </c>
      <c r="J2230" s="417" t="s">
        <v>6015</v>
      </c>
      <c r="K2230" s="417" t="s">
        <v>6871</v>
      </c>
      <c r="L2230" s="417"/>
      <c r="M2230" s="417" t="s">
        <v>28840</v>
      </c>
    </row>
    <row r="2231" spans="1:13" x14ac:dyDescent="0.25">
      <c r="A2231" s="417" t="s">
        <v>3385</v>
      </c>
      <c r="B2231" s="417" t="s">
        <v>2623</v>
      </c>
      <c r="C2231" s="417" t="s">
        <v>6872</v>
      </c>
      <c r="D2231" s="417" t="s">
        <v>88</v>
      </c>
      <c r="E2231" s="423">
        <v>0</v>
      </c>
      <c r="F2231" s="423">
        <v>0</v>
      </c>
      <c r="G2231" s="422">
        <v>4.1768999999999998</v>
      </c>
      <c r="H2231" s="417" t="s">
        <v>2616</v>
      </c>
      <c r="I2231" s="417" t="s">
        <v>1392</v>
      </c>
      <c r="J2231" s="417" t="s">
        <v>6015</v>
      </c>
      <c r="K2231" s="417" t="s">
        <v>6873</v>
      </c>
      <c r="L2231" s="417"/>
      <c r="M2231" s="417" t="s">
        <v>28840</v>
      </c>
    </row>
    <row r="2232" spans="1:13" x14ac:dyDescent="0.25">
      <c r="A2232" s="417" t="s">
        <v>3385</v>
      </c>
      <c r="B2232" s="417" t="s">
        <v>2623</v>
      </c>
      <c r="C2232" s="417" t="s">
        <v>6874</v>
      </c>
      <c r="D2232" s="417" t="s">
        <v>88</v>
      </c>
      <c r="E2232" s="423">
        <v>3.9216145400884417E-2</v>
      </c>
      <c r="F2232" s="423">
        <v>6.0948758002598979E-3</v>
      </c>
      <c r="G2232" s="422">
        <v>379.12536256894703</v>
      </c>
      <c r="H2232" s="417" t="s">
        <v>2616</v>
      </c>
      <c r="I2232" s="417" t="s">
        <v>1392</v>
      </c>
      <c r="J2232" s="417" t="s">
        <v>4364</v>
      </c>
      <c r="K2232" s="417" t="s">
        <v>6875</v>
      </c>
      <c r="L2232" s="417"/>
      <c r="M2232" s="417" t="s">
        <v>28840</v>
      </c>
    </row>
    <row r="2233" spans="1:13" x14ac:dyDescent="0.25">
      <c r="A2233" s="417" t="s">
        <v>3385</v>
      </c>
      <c r="B2233" s="417" t="s">
        <v>2623</v>
      </c>
      <c r="C2233" s="417" t="s">
        <v>6876</v>
      </c>
      <c r="D2233" s="417" t="s">
        <v>88</v>
      </c>
      <c r="E2233" s="423">
        <v>3.4836974333766119E-2</v>
      </c>
      <c r="F2233" s="423">
        <v>0.47250399026889922</v>
      </c>
      <c r="G2233" s="422">
        <v>83.565764348182796</v>
      </c>
      <c r="H2233" s="417" t="s">
        <v>2616</v>
      </c>
      <c r="I2233" s="417" t="s">
        <v>1392</v>
      </c>
      <c r="J2233" s="417" t="s">
        <v>4364</v>
      </c>
      <c r="K2233" s="417" t="s">
        <v>6877</v>
      </c>
      <c r="L2233" s="417"/>
      <c r="M2233" s="417" t="s">
        <v>28840</v>
      </c>
    </row>
    <row r="2234" spans="1:13" x14ac:dyDescent="0.25">
      <c r="A2234" s="417" t="s">
        <v>3385</v>
      </c>
      <c r="B2234" s="417" t="s">
        <v>2623</v>
      </c>
      <c r="C2234" s="417" t="s">
        <v>6878</v>
      </c>
      <c r="D2234" s="417" t="s">
        <v>88</v>
      </c>
      <c r="E2234" s="423">
        <v>3.164472453647317</v>
      </c>
      <c r="F2234" s="423">
        <v>1.9464521514751961E-3</v>
      </c>
      <c r="G2234" s="422">
        <v>3285.6893933152742</v>
      </c>
      <c r="H2234" s="417" t="s">
        <v>2616</v>
      </c>
      <c r="I2234" s="417" t="s">
        <v>1392</v>
      </c>
      <c r="J2234" s="417" t="s">
        <v>4364</v>
      </c>
      <c r="K2234" s="417" t="s">
        <v>6879</v>
      </c>
      <c r="L2234" s="417"/>
      <c r="M2234" s="417" t="s">
        <v>28840</v>
      </c>
    </row>
    <row r="2235" spans="1:13" x14ac:dyDescent="0.25">
      <c r="A2235" s="417" t="s">
        <v>3385</v>
      </c>
      <c r="B2235" s="417" t="s">
        <v>2623</v>
      </c>
      <c r="C2235" s="417" t="s">
        <v>6880</v>
      </c>
      <c r="D2235" s="417" t="s">
        <v>88</v>
      </c>
      <c r="E2235" s="423">
        <v>8.1058394313490559E-2</v>
      </c>
      <c r="F2235" s="423">
        <v>1.6553267480176121E-2</v>
      </c>
      <c r="G2235" s="422">
        <v>1066.7982344707609</v>
      </c>
      <c r="H2235" s="417" t="s">
        <v>2616</v>
      </c>
      <c r="I2235" s="417" t="s">
        <v>1392</v>
      </c>
      <c r="J2235" s="417" t="s">
        <v>4364</v>
      </c>
      <c r="K2235" s="417" t="s">
        <v>6881</v>
      </c>
      <c r="L2235" s="417"/>
      <c r="M2235" s="417" t="s">
        <v>28840</v>
      </c>
    </row>
    <row r="2236" spans="1:13" x14ac:dyDescent="0.25">
      <c r="A2236" s="417" t="s">
        <v>3385</v>
      </c>
      <c r="B2236" s="417" t="s">
        <v>2623</v>
      </c>
      <c r="C2236" s="417" t="s">
        <v>6882</v>
      </c>
      <c r="D2236" s="417" t="s">
        <v>88</v>
      </c>
      <c r="E2236" s="423">
        <v>0.12612306942304921</v>
      </c>
      <c r="F2236" s="423">
        <v>1.0676173253988471E-3</v>
      </c>
      <c r="G2236" s="422">
        <v>1964.392585808313</v>
      </c>
      <c r="H2236" s="417" t="s">
        <v>2616</v>
      </c>
      <c r="I2236" s="417" t="s">
        <v>1392</v>
      </c>
      <c r="J2236" s="417" t="s">
        <v>4364</v>
      </c>
      <c r="K2236" s="417" t="s">
        <v>6883</v>
      </c>
      <c r="L2236" s="417"/>
      <c r="M2236" s="417" t="s">
        <v>28840</v>
      </c>
    </row>
    <row r="2237" spans="1:13" x14ac:dyDescent="0.25">
      <c r="A2237" s="417" t="s">
        <v>3385</v>
      </c>
      <c r="B2237" s="417" t="s">
        <v>2623</v>
      </c>
      <c r="C2237" s="417" t="s">
        <v>6884</v>
      </c>
      <c r="D2237" s="417" t="s">
        <v>989</v>
      </c>
      <c r="E2237" s="423">
        <v>6.1662000870448388</v>
      </c>
      <c r="F2237" s="423">
        <v>9.4632399212926863E-3</v>
      </c>
      <c r="G2237" s="422">
        <v>6421.4715340957391</v>
      </c>
      <c r="H2237" s="417" t="s">
        <v>2616</v>
      </c>
      <c r="I2237" s="417" t="s">
        <v>1392</v>
      </c>
      <c r="J2237" s="417" t="s">
        <v>5974</v>
      </c>
      <c r="K2237" s="417" t="s">
        <v>6885</v>
      </c>
      <c r="L2237" s="417"/>
      <c r="M2237" s="417" t="s">
        <v>28840</v>
      </c>
    </row>
    <row r="2238" spans="1:13" x14ac:dyDescent="0.25">
      <c r="A2238" s="417" t="s">
        <v>3385</v>
      </c>
      <c r="B2238" s="417" t="s">
        <v>2623</v>
      </c>
      <c r="C2238" s="417" t="s">
        <v>6886</v>
      </c>
      <c r="D2238" s="417" t="s">
        <v>989</v>
      </c>
      <c r="E2238" s="423">
        <v>0.79307909760719131</v>
      </c>
      <c r="F2238" s="423">
        <v>6.4984694444334388E-4</v>
      </c>
      <c r="G2238" s="422">
        <v>825.67179021475988</v>
      </c>
      <c r="H2238" s="417" t="s">
        <v>2616</v>
      </c>
      <c r="I2238" s="417" t="s">
        <v>1392</v>
      </c>
      <c r="J2238" s="417" t="s">
        <v>5974</v>
      </c>
      <c r="K2238" s="417" t="s">
        <v>6887</v>
      </c>
      <c r="L2238" s="417"/>
      <c r="M2238" s="417" t="s">
        <v>28840</v>
      </c>
    </row>
    <row r="2239" spans="1:13" x14ac:dyDescent="0.25">
      <c r="A2239" s="417" t="s">
        <v>3385</v>
      </c>
      <c r="B2239" s="417" t="s">
        <v>2623</v>
      </c>
      <c r="C2239" s="417" t="s">
        <v>6888</v>
      </c>
      <c r="D2239" s="417" t="s">
        <v>88</v>
      </c>
      <c r="E2239" s="423">
        <v>1.099915242044304E-3</v>
      </c>
      <c r="F2239" s="423">
        <v>6.6289031186694694E-5</v>
      </c>
      <c r="G2239" s="422">
        <v>6943.3645516967526</v>
      </c>
      <c r="H2239" s="417" t="s">
        <v>2616</v>
      </c>
      <c r="I2239" s="417" t="s">
        <v>1392</v>
      </c>
      <c r="J2239" s="417" t="s">
        <v>6311</v>
      </c>
      <c r="K2239" s="417" t="s">
        <v>6889</v>
      </c>
      <c r="L2239" s="417"/>
      <c r="M2239" s="417" t="s">
        <v>28840</v>
      </c>
    </row>
    <row r="2240" spans="1:13" x14ac:dyDescent="0.25">
      <c r="A2240" s="417" t="s">
        <v>3385</v>
      </c>
      <c r="B2240" s="417" t="s">
        <v>2623</v>
      </c>
      <c r="C2240" s="417" t="s">
        <v>6890</v>
      </c>
      <c r="D2240" s="417" t="s">
        <v>88</v>
      </c>
      <c r="E2240" s="423">
        <v>3.4335840528029647E-2</v>
      </c>
      <c r="F2240" s="423">
        <v>1.5796095511651189</v>
      </c>
      <c r="G2240" s="422">
        <v>84.701937035349687</v>
      </c>
      <c r="H2240" s="417" t="s">
        <v>2616</v>
      </c>
      <c r="I2240" s="417" t="s">
        <v>1392</v>
      </c>
      <c r="J2240" s="417" t="s">
        <v>5990</v>
      </c>
      <c r="K2240" s="417" t="s">
        <v>6891</v>
      </c>
      <c r="L2240" s="417"/>
      <c r="M2240" s="417" t="s">
        <v>28840</v>
      </c>
    </row>
    <row r="2241" spans="1:13" x14ac:dyDescent="0.25">
      <c r="A2241" s="417" t="s">
        <v>3385</v>
      </c>
      <c r="B2241" s="417" t="s">
        <v>2623</v>
      </c>
      <c r="C2241" s="417" t="s">
        <v>6892</v>
      </c>
      <c r="D2241" s="417" t="s">
        <v>88</v>
      </c>
      <c r="E2241" s="423">
        <v>1.474384359181228</v>
      </c>
      <c r="F2241" s="423">
        <v>0.36464471131825832</v>
      </c>
      <c r="G2241" s="422">
        <v>2345.530241042803</v>
      </c>
      <c r="H2241" s="417" t="s">
        <v>2616</v>
      </c>
      <c r="I2241" s="417" t="s">
        <v>1392</v>
      </c>
      <c r="J2241" s="417" t="s">
        <v>5995</v>
      </c>
      <c r="K2241" s="417" t="s">
        <v>6893</v>
      </c>
      <c r="L2241" s="417"/>
      <c r="M2241" s="417" t="s">
        <v>28840</v>
      </c>
    </row>
    <row r="2242" spans="1:13" x14ac:dyDescent="0.25">
      <c r="A2242" s="417" t="s">
        <v>3385</v>
      </c>
      <c r="B2242" s="417" t="s">
        <v>2623</v>
      </c>
      <c r="C2242" s="417" t="s">
        <v>6894</v>
      </c>
      <c r="D2242" s="417" t="s">
        <v>88</v>
      </c>
      <c r="E2242" s="423">
        <v>4.3301979630043973E-2</v>
      </c>
      <c r="F2242" s="423">
        <v>1.471333211433679</v>
      </c>
      <c r="G2242" s="422">
        <v>99.879796984260054</v>
      </c>
      <c r="H2242" s="417" t="s">
        <v>2616</v>
      </c>
      <c r="I2242" s="417" t="s">
        <v>1392</v>
      </c>
      <c r="J2242" s="417" t="s">
        <v>5990</v>
      </c>
      <c r="K2242" s="417" t="s">
        <v>6895</v>
      </c>
      <c r="L2242" s="417"/>
      <c r="M2242" s="417" t="s">
        <v>28840</v>
      </c>
    </row>
    <row r="2243" spans="1:13" x14ac:dyDescent="0.25">
      <c r="A2243" s="417" t="s">
        <v>3385</v>
      </c>
      <c r="B2243" s="417" t="s">
        <v>2623</v>
      </c>
      <c r="C2243" s="417" t="s">
        <v>6896</v>
      </c>
      <c r="D2243" s="417" t="s">
        <v>88</v>
      </c>
      <c r="E2243" s="423">
        <v>1.0999152421160281E-3</v>
      </c>
      <c r="F2243" s="423">
        <v>6.6289031188450262E-5</v>
      </c>
      <c r="G2243" s="422">
        <v>10427.90364242442</v>
      </c>
      <c r="H2243" s="417" t="s">
        <v>2616</v>
      </c>
      <c r="I2243" s="417" t="s">
        <v>1392</v>
      </c>
      <c r="J2243" s="417" t="s">
        <v>6311</v>
      </c>
      <c r="K2243" s="417" t="s">
        <v>6897</v>
      </c>
      <c r="L2243" s="417"/>
      <c r="M2243" s="417" t="s">
        <v>28840</v>
      </c>
    </row>
    <row r="2244" spans="1:13" x14ac:dyDescent="0.25">
      <c r="A2244" s="417" t="s">
        <v>3385</v>
      </c>
      <c r="B2244" s="417" t="s">
        <v>2623</v>
      </c>
      <c r="C2244" s="417" t="s">
        <v>6898</v>
      </c>
      <c r="D2244" s="417" t="s">
        <v>88</v>
      </c>
      <c r="E2244" s="423">
        <v>3.629640435103024</v>
      </c>
      <c r="F2244" s="423">
        <v>5.6013943195935929E-3</v>
      </c>
      <c r="G2244" s="422">
        <v>4741.061510564482</v>
      </c>
      <c r="H2244" s="417" t="s">
        <v>2616</v>
      </c>
      <c r="I2244" s="417" t="s">
        <v>1392</v>
      </c>
      <c r="J2244" s="417" t="s">
        <v>6002</v>
      </c>
      <c r="K2244" s="417" t="s">
        <v>6899</v>
      </c>
      <c r="L2244" s="417"/>
      <c r="M2244" s="417" t="s">
        <v>28840</v>
      </c>
    </row>
    <row r="2245" spans="1:13" x14ac:dyDescent="0.25">
      <c r="A2245" s="417" t="s">
        <v>3385</v>
      </c>
      <c r="B2245" s="417" t="s">
        <v>2623</v>
      </c>
      <c r="C2245" s="417" t="s">
        <v>6900</v>
      </c>
      <c r="D2245" s="417" t="s">
        <v>88</v>
      </c>
      <c r="E2245" s="423">
        <v>2.395072656613626</v>
      </c>
      <c r="F2245" s="423">
        <v>6.3301161256757712E-4</v>
      </c>
      <c r="G2245" s="422">
        <v>2763.7343994850789</v>
      </c>
      <c r="H2245" s="417" t="s">
        <v>2616</v>
      </c>
      <c r="I2245" s="417" t="s">
        <v>1392</v>
      </c>
      <c r="J2245" s="417" t="s">
        <v>5990</v>
      </c>
      <c r="K2245" s="417" t="s">
        <v>6901</v>
      </c>
      <c r="L2245" s="417"/>
      <c r="M2245" s="417" t="s">
        <v>28840</v>
      </c>
    </row>
    <row r="2246" spans="1:13" x14ac:dyDescent="0.25">
      <c r="A2246" s="417" t="s">
        <v>3385</v>
      </c>
      <c r="B2246" s="417" t="s">
        <v>2623</v>
      </c>
      <c r="C2246" s="417" t="s">
        <v>6902</v>
      </c>
      <c r="D2246" s="417" t="s">
        <v>88</v>
      </c>
      <c r="E2246" s="423">
        <v>0.1044705135294292</v>
      </c>
      <c r="F2246" s="423">
        <v>5.6280495896318932E-4</v>
      </c>
      <c r="G2246" s="422">
        <v>1691.183154804743</v>
      </c>
      <c r="H2246" s="417" t="s">
        <v>2616</v>
      </c>
      <c r="I2246" s="417" t="s">
        <v>1392</v>
      </c>
      <c r="J2246" s="417" t="s">
        <v>5995</v>
      </c>
      <c r="K2246" s="417" t="s">
        <v>6903</v>
      </c>
      <c r="L2246" s="417"/>
      <c r="M2246" s="417" t="s">
        <v>28840</v>
      </c>
    </row>
    <row r="2247" spans="1:13" x14ac:dyDescent="0.25">
      <c r="A2247" s="417" t="s">
        <v>3385</v>
      </c>
      <c r="B2247" s="417" t="s">
        <v>2623</v>
      </c>
      <c r="C2247" s="417" t="s">
        <v>6904</v>
      </c>
      <c r="D2247" s="417" t="s">
        <v>563</v>
      </c>
      <c r="E2247" s="423">
        <v>4.6784370664831092E-2</v>
      </c>
      <c r="F2247" s="423">
        <v>1.4157718825342261E-4</v>
      </c>
      <c r="G2247" s="422">
        <v>58.894719254054962</v>
      </c>
      <c r="H2247" s="417" t="s">
        <v>2616</v>
      </c>
      <c r="I2247" s="417" t="s">
        <v>1392</v>
      </c>
      <c r="J2247" s="417" t="s">
        <v>4364</v>
      </c>
      <c r="K2247" s="417" t="s">
        <v>6905</v>
      </c>
      <c r="L2247" s="417"/>
      <c r="M2247" s="417" t="s">
        <v>28840</v>
      </c>
    </row>
    <row r="2248" spans="1:13" x14ac:dyDescent="0.25">
      <c r="A2248" s="417" t="s">
        <v>3385</v>
      </c>
      <c r="B2248" s="417" t="s">
        <v>2623</v>
      </c>
      <c r="C2248" s="417" t="s">
        <v>6906</v>
      </c>
      <c r="D2248" s="417" t="s">
        <v>563</v>
      </c>
      <c r="E2248" s="423">
        <v>5.6141244821374801E-2</v>
      </c>
      <c r="F2248" s="423">
        <v>1.69892628401568E-4</v>
      </c>
      <c r="G2248" s="422">
        <v>70.673663168453572</v>
      </c>
      <c r="H2248" s="417" t="s">
        <v>2616</v>
      </c>
      <c r="I2248" s="417" t="s">
        <v>1392</v>
      </c>
      <c r="J2248" s="417" t="s">
        <v>4364</v>
      </c>
      <c r="K2248" s="417" t="s">
        <v>6907</v>
      </c>
      <c r="L2248" s="417"/>
      <c r="M2248" s="417" t="s">
        <v>28840</v>
      </c>
    </row>
    <row r="2249" spans="1:13" x14ac:dyDescent="0.25">
      <c r="A2249" s="417" t="s">
        <v>3385</v>
      </c>
      <c r="B2249" s="417" t="s">
        <v>2623</v>
      </c>
      <c r="C2249" s="417" t="s">
        <v>6908</v>
      </c>
      <c r="D2249" s="417" t="s">
        <v>88</v>
      </c>
      <c r="E2249" s="423">
        <v>2.7426194830646601E-2</v>
      </c>
      <c r="F2249" s="423">
        <v>1.489028070270962</v>
      </c>
      <c r="G2249" s="422">
        <v>68.95592141299899</v>
      </c>
      <c r="H2249" s="417" t="s">
        <v>2616</v>
      </c>
      <c r="I2249" s="417" t="s">
        <v>1392</v>
      </c>
      <c r="J2249" s="417" t="s">
        <v>4364</v>
      </c>
      <c r="K2249" s="417" t="s">
        <v>6909</v>
      </c>
      <c r="L2249" s="417"/>
      <c r="M2249" s="417" t="s">
        <v>28840</v>
      </c>
    </row>
    <row r="2250" spans="1:13" x14ac:dyDescent="0.25">
      <c r="A2250" s="417" t="s">
        <v>3385</v>
      </c>
      <c r="B2250" s="417" t="s">
        <v>2623</v>
      </c>
      <c r="C2250" s="417" t="s">
        <v>6910</v>
      </c>
      <c r="D2250" s="417" t="s">
        <v>88</v>
      </c>
      <c r="E2250" s="423">
        <v>0.70253055499515049</v>
      </c>
      <c r="F2250" s="423">
        <v>0.17152523408697901</v>
      </c>
      <c r="G2250" s="422">
        <v>1601.3730461011439</v>
      </c>
      <c r="H2250" s="417" t="s">
        <v>2616</v>
      </c>
      <c r="I2250" s="417" t="s">
        <v>1392</v>
      </c>
      <c r="J2250" s="417" t="s">
        <v>4364</v>
      </c>
      <c r="K2250" s="417" t="s">
        <v>6911</v>
      </c>
      <c r="L2250" s="417"/>
      <c r="M2250" s="417" t="s">
        <v>28840</v>
      </c>
    </row>
    <row r="2251" spans="1:13" x14ac:dyDescent="0.25">
      <c r="A2251" s="417" t="s">
        <v>3385</v>
      </c>
      <c r="B2251" s="417" t="s">
        <v>2623</v>
      </c>
      <c r="C2251" s="417" t="s">
        <v>6912</v>
      </c>
      <c r="D2251" s="417" t="s">
        <v>88</v>
      </c>
      <c r="E2251" s="423">
        <v>4.1178921232346247E-2</v>
      </c>
      <c r="F2251" s="423">
        <v>1.473025527215664</v>
      </c>
      <c r="G2251" s="422">
        <v>95.785806309048567</v>
      </c>
      <c r="H2251" s="417" t="s">
        <v>2616</v>
      </c>
      <c r="I2251" s="417" t="s">
        <v>1392</v>
      </c>
      <c r="J2251" s="417" t="s">
        <v>5990</v>
      </c>
      <c r="K2251" s="417" t="s">
        <v>6913</v>
      </c>
      <c r="L2251" s="417"/>
      <c r="M2251" s="417" t="s">
        <v>28840</v>
      </c>
    </row>
    <row r="2252" spans="1:13" x14ac:dyDescent="0.25">
      <c r="A2252" s="417" t="s">
        <v>3385</v>
      </c>
      <c r="B2252" s="417" t="s">
        <v>2623</v>
      </c>
      <c r="C2252" s="417" t="s">
        <v>6914</v>
      </c>
      <c r="D2252" s="417" t="s">
        <v>88</v>
      </c>
      <c r="E2252" s="423">
        <v>1.148202295360335</v>
      </c>
      <c r="F2252" s="423">
        <v>0.28301092317845639</v>
      </c>
      <c r="G2252" s="422">
        <v>2021.2667487640881</v>
      </c>
      <c r="H2252" s="417" t="s">
        <v>2616</v>
      </c>
      <c r="I2252" s="417" t="s">
        <v>1392</v>
      </c>
      <c r="J2252" s="417" t="s">
        <v>5995</v>
      </c>
      <c r="K2252" s="417" t="s">
        <v>6915</v>
      </c>
      <c r="L2252" s="417"/>
      <c r="M2252" s="417" t="s">
        <v>28840</v>
      </c>
    </row>
    <row r="2253" spans="1:13" x14ac:dyDescent="0.25">
      <c r="A2253" s="417" t="s">
        <v>3385</v>
      </c>
      <c r="B2253" s="417" t="s">
        <v>2623</v>
      </c>
      <c r="C2253" s="417" t="s">
        <v>6916</v>
      </c>
      <c r="D2253" s="417" t="s">
        <v>88</v>
      </c>
      <c r="E2253" s="423">
        <v>6.8848348787613811E-2</v>
      </c>
      <c r="F2253" s="423">
        <v>1.4304448637288441</v>
      </c>
      <c r="G2253" s="422">
        <v>159.93225066942111</v>
      </c>
      <c r="H2253" s="417" t="s">
        <v>2616</v>
      </c>
      <c r="I2253" s="417" t="s">
        <v>1392</v>
      </c>
      <c r="J2253" s="417" t="s">
        <v>4364</v>
      </c>
      <c r="K2253" s="417" t="s">
        <v>6917</v>
      </c>
      <c r="L2253" s="417"/>
      <c r="M2253" s="417" t="s">
        <v>28840</v>
      </c>
    </row>
    <row r="2254" spans="1:13" x14ac:dyDescent="0.25">
      <c r="A2254" s="417" t="s">
        <v>3385</v>
      </c>
      <c r="B2254" s="417" t="s">
        <v>2627</v>
      </c>
      <c r="C2254" s="417" t="s">
        <v>6918</v>
      </c>
      <c r="D2254" s="417" t="s">
        <v>563</v>
      </c>
      <c r="E2254" s="423">
        <v>2.11198935791028</v>
      </c>
      <c r="F2254" s="423">
        <v>2.3536215790626551</v>
      </c>
      <c r="G2254" s="422">
        <v>2592.533527362737</v>
      </c>
      <c r="H2254" s="417" t="s">
        <v>2616</v>
      </c>
      <c r="I2254" s="417" t="s">
        <v>1392</v>
      </c>
      <c r="J2254" s="417" t="s">
        <v>3798</v>
      </c>
      <c r="K2254" s="417" t="s">
        <v>6919</v>
      </c>
      <c r="L2254" s="417"/>
      <c r="M2254" s="417" t="s">
        <v>28840</v>
      </c>
    </row>
    <row r="2255" spans="1:13" x14ac:dyDescent="0.25">
      <c r="A2255" s="417" t="s">
        <v>3385</v>
      </c>
      <c r="B2255" s="417" t="s">
        <v>2627</v>
      </c>
      <c r="C2255" s="417" t="s">
        <v>6920</v>
      </c>
      <c r="D2255" s="417" t="s">
        <v>563</v>
      </c>
      <c r="E2255" s="423">
        <v>1.398318038944534</v>
      </c>
      <c r="F2255" s="423">
        <v>1.9818776868139341</v>
      </c>
      <c r="G2255" s="422">
        <v>1744.2683452982019</v>
      </c>
      <c r="H2255" s="417" t="s">
        <v>2616</v>
      </c>
      <c r="I2255" s="417" t="s">
        <v>1392</v>
      </c>
      <c r="J2255" s="417" t="s">
        <v>3798</v>
      </c>
      <c r="K2255" s="417" t="s">
        <v>6921</v>
      </c>
      <c r="L2255" s="417"/>
      <c r="M2255" s="417" t="s">
        <v>28840</v>
      </c>
    </row>
    <row r="2256" spans="1:13" x14ac:dyDescent="0.25">
      <c r="A2256" s="417" t="s">
        <v>3385</v>
      </c>
      <c r="B2256" s="417" t="s">
        <v>2627</v>
      </c>
      <c r="C2256" s="417" t="s">
        <v>6922</v>
      </c>
      <c r="D2256" s="417" t="s">
        <v>563</v>
      </c>
      <c r="E2256" s="423">
        <v>1.2030270131513561</v>
      </c>
      <c r="F2256" s="423">
        <v>2.4152559968248419</v>
      </c>
      <c r="G2256" s="422">
        <v>1547.2521344135389</v>
      </c>
      <c r="H2256" s="417" t="s">
        <v>2616</v>
      </c>
      <c r="I2256" s="417" t="s">
        <v>1392</v>
      </c>
      <c r="J2256" s="417" t="s">
        <v>3798</v>
      </c>
      <c r="K2256" s="417" t="s">
        <v>6923</v>
      </c>
      <c r="L2256" s="417"/>
      <c r="M2256" s="417" t="s">
        <v>28840</v>
      </c>
    </row>
    <row r="2257" spans="1:13" x14ac:dyDescent="0.25">
      <c r="A2257" s="417" t="s">
        <v>3385</v>
      </c>
      <c r="B2257" s="417" t="s">
        <v>2623</v>
      </c>
      <c r="C2257" s="417" t="s">
        <v>6924</v>
      </c>
      <c r="D2257" s="417" t="s">
        <v>989</v>
      </c>
      <c r="E2257" s="423">
        <v>414.47293341277418</v>
      </c>
      <c r="F2257" s="423">
        <v>3.569549591189479</v>
      </c>
      <c r="G2257" s="422">
        <v>512182.47693203838</v>
      </c>
      <c r="H2257" s="417" t="s">
        <v>2616</v>
      </c>
      <c r="I2257" s="417" t="s">
        <v>1392</v>
      </c>
      <c r="J2257" s="417" t="s">
        <v>5983</v>
      </c>
      <c r="K2257" s="417" t="s">
        <v>6925</v>
      </c>
      <c r="L2257" s="417"/>
      <c r="M2257" s="417" t="s">
        <v>28840</v>
      </c>
    </row>
    <row r="2258" spans="1:13" x14ac:dyDescent="0.25">
      <c r="A2258" s="417" t="s">
        <v>3385</v>
      </c>
      <c r="B2258" s="417" t="s">
        <v>2623</v>
      </c>
      <c r="C2258" s="417" t="s">
        <v>6926</v>
      </c>
      <c r="D2258" s="417" t="s">
        <v>989</v>
      </c>
      <c r="E2258" s="423">
        <v>172.6970573618633</v>
      </c>
      <c r="F2258" s="423">
        <v>1.48731865788329</v>
      </c>
      <c r="G2258" s="422">
        <v>213409.6000496021</v>
      </c>
      <c r="H2258" s="417" t="s">
        <v>2616</v>
      </c>
      <c r="I2258" s="417" t="s">
        <v>1392</v>
      </c>
      <c r="J2258" s="417" t="s">
        <v>5983</v>
      </c>
      <c r="K2258" s="417" t="s">
        <v>6927</v>
      </c>
      <c r="L2258" s="417"/>
      <c r="M2258" s="417" t="s">
        <v>28840</v>
      </c>
    </row>
    <row r="2259" spans="1:13" x14ac:dyDescent="0.25">
      <c r="A2259" s="417" t="s">
        <v>3385</v>
      </c>
      <c r="B2259" s="417" t="s">
        <v>2623</v>
      </c>
      <c r="C2259" s="417" t="s">
        <v>6928</v>
      </c>
      <c r="D2259" s="417" t="s">
        <v>989</v>
      </c>
      <c r="E2259" s="423">
        <v>199.9668166078487</v>
      </c>
      <c r="F2259" s="423">
        <v>1.722162719802141</v>
      </c>
      <c r="G2259" s="422">
        <v>247107.76015636171</v>
      </c>
      <c r="H2259" s="417" t="s">
        <v>2616</v>
      </c>
      <c r="I2259" s="417" t="s">
        <v>1392</v>
      </c>
      <c r="J2259" s="417" t="s">
        <v>5983</v>
      </c>
      <c r="K2259" s="417" t="s">
        <v>6929</v>
      </c>
      <c r="L2259" s="417"/>
      <c r="M2259" s="417" t="s">
        <v>28840</v>
      </c>
    </row>
    <row r="2260" spans="1:13" x14ac:dyDescent="0.25">
      <c r="A2260" s="417" t="s">
        <v>3385</v>
      </c>
      <c r="B2260" s="417" t="s">
        <v>2623</v>
      </c>
      <c r="C2260" s="417" t="s">
        <v>6930</v>
      </c>
      <c r="D2260" s="417" t="s">
        <v>989</v>
      </c>
      <c r="E2260" s="423">
        <v>276.29087134547012</v>
      </c>
      <c r="F2260" s="423">
        <v>10.910665471529009</v>
      </c>
      <c r="G2260" s="422">
        <v>382880.01999397587</v>
      </c>
      <c r="H2260" s="417" t="s">
        <v>2616</v>
      </c>
      <c r="I2260" s="417" t="s">
        <v>1392</v>
      </c>
      <c r="J2260" s="417" t="s">
        <v>5983</v>
      </c>
      <c r="K2260" s="417" t="s">
        <v>6931</v>
      </c>
      <c r="L2260" s="417"/>
      <c r="M2260" s="417" t="s">
        <v>28840</v>
      </c>
    </row>
    <row r="2261" spans="1:13" x14ac:dyDescent="0.25">
      <c r="A2261" s="417" t="s">
        <v>3385</v>
      </c>
      <c r="B2261" s="417" t="s">
        <v>2623</v>
      </c>
      <c r="C2261" s="417" t="s">
        <v>6932</v>
      </c>
      <c r="D2261" s="417" t="s">
        <v>88</v>
      </c>
      <c r="E2261" s="423">
        <v>2.7191657754152341</v>
      </c>
      <c r="F2261" s="423">
        <v>1.6417540468257311E-3</v>
      </c>
      <c r="G2261" s="422">
        <v>2841.561815413047</v>
      </c>
      <c r="H2261" s="417" t="s">
        <v>2616</v>
      </c>
      <c r="I2261" s="417" t="s">
        <v>1392</v>
      </c>
      <c r="J2261" s="417" t="s">
        <v>4364</v>
      </c>
      <c r="K2261" s="417" t="s">
        <v>6933</v>
      </c>
      <c r="L2261" s="417"/>
      <c r="M2261" s="417" t="s">
        <v>28840</v>
      </c>
    </row>
    <row r="2262" spans="1:13" x14ac:dyDescent="0.25">
      <c r="A2262" s="417" t="s">
        <v>3385</v>
      </c>
      <c r="B2262" s="417" t="s">
        <v>2623</v>
      </c>
      <c r="C2262" s="417" t="s">
        <v>6934</v>
      </c>
      <c r="D2262" s="417" t="s">
        <v>88</v>
      </c>
      <c r="E2262" s="423">
        <v>2.5752980486572068</v>
      </c>
      <c r="F2262" s="423">
        <v>7.6599054676385189E-4</v>
      </c>
      <c r="G2262" s="422">
        <v>2732.6712692201759</v>
      </c>
      <c r="H2262" s="417" t="s">
        <v>2616</v>
      </c>
      <c r="I2262" s="417" t="s">
        <v>1392</v>
      </c>
      <c r="J2262" s="417" t="s">
        <v>5990</v>
      </c>
      <c r="K2262" s="417" t="s">
        <v>6935</v>
      </c>
      <c r="L2262" s="417"/>
      <c r="M2262" s="417" t="s">
        <v>28840</v>
      </c>
    </row>
    <row r="2263" spans="1:13" x14ac:dyDescent="0.25">
      <c r="A2263" s="417" t="s">
        <v>3385</v>
      </c>
      <c r="B2263" s="417" t="s">
        <v>2623</v>
      </c>
      <c r="C2263" s="417" t="s">
        <v>6936</v>
      </c>
      <c r="D2263" s="417" t="s">
        <v>88</v>
      </c>
      <c r="E2263" s="423">
        <v>2.6653665799524431</v>
      </c>
      <c r="F2263" s="423">
        <v>2.0651066410141911E-3</v>
      </c>
      <c r="G2263" s="422">
        <v>2807.8738265136308</v>
      </c>
      <c r="H2263" s="417" t="s">
        <v>2616</v>
      </c>
      <c r="I2263" s="417" t="s">
        <v>1392</v>
      </c>
      <c r="J2263" s="417" t="s">
        <v>4364</v>
      </c>
      <c r="K2263" s="417" t="s">
        <v>6937</v>
      </c>
      <c r="L2263" s="417"/>
      <c r="M2263" s="417" t="s">
        <v>28840</v>
      </c>
    </row>
    <row r="2264" spans="1:13" x14ac:dyDescent="0.25">
      <c r="A2264" s="417" t="s">
        <v>3385</v>
      </c>
      <c r="B2264" s="417" t="s">
        <v>2623</v>
      </c>
      <c r="C2264" s="417" t="s">
        <v>6938</v>
      </c>
      <c r="D2264" s="417" t="s">
        <v>88</v>
      </c>
      <c r="E2264" s="423">
        <v>3.3614363420101851E-3</v>
      </c>
      <c r="F2264" s="423">
        <v>2.6520197213246498E-4</v>
      </c>
      <c r="G2264" s="422">
        <v>6.9695865051024768</v>
      </c>
      <c r="H2264" s="417" t="s">
        <v>2616</v>
      </c>
      <c r="I2264" s="417" t="s">
        <v>1392</v>
      </c>
      <c r="J2264" s="417" t="s">
        <v>4364</v>
      </c>
      <c r="K2264" s="417" t="s">
        <v>6939</v>
      </c>
      <c r="L2264" s="417"/>
      <c r="M2264" s="417" t="s">
        <v>28840</v>
      </c>
    </row>
    <row r="2265" spans="1:13" x14ac:dyDescent="0.25">
      <c r="A2265" s="417" t="s">
        <v>3385</v>
      </c>
      <c r="B2265" s="417" t="s">
        <v>2623</v>
      </c>
      <c r="C2265" s="417" t="s">
        <v>6940</v>
      </c>
      <c r="D2265" s="417" t="s">
        <v>563</v>
      </c>
      <c r="E2265" s="423">
        <v>3.3433802334691411</v>
      </c>
      <c r="F2265" s="423">
        <v>9.0546120397759187E-3</v>
      </c>
      <c r="G2265" s="422">
        <v>3635.5842993818651</v>
      </c>
      <c r="H2265" s="417" t="s">
        <v>2616</v>
      </c>
      <c r="I2265" s="417" t="s">
        <v>1392</v>
      </c>
      <c r="J2265" s="417" t="s">
        <v>4364</v>
      </c>
      <c r="K2265" s="417" t="s">
        <v>6941</v>
      </c>
      <c r="L2265" s="417"/>
      <c r="M2265" s="417" t="s">
        <v>28840</v>
      </c>
    </row>
    <row r="2266" spans="1:13" x14ac:dyDescent="0.25">
      <c r="A2266" s="417" t="s">
        <v>3385</v>
      </c>
      <c r="B2266" s="417" t="s">
        <v>2623</v>
      </c>
      <c r="C2266" s="417" t="s">
        <v>6942</v>
      </c>
      <c r="D2266" s="417" t="s">
        <v>563</v>
      </c>
      <c r="E2266" s="423">
        <v>4.1651106347548499</v>
      </c>
      <c r="F2266" s="423">
        <v>9.661456584709089E-3</v>
      </c>
      <c r="G2266" s="422">
        <v>4521.2313895082352</v>
      </c>
      <c r="H2266" s="417" t="s">
        <v>2616</v>
      </c>
      <c r="I2266" s="417" t="s">
        <v>1392</v>
      </c>
      <c r="J2266" s="417" t="s">
        <v>4364</v>
      </c>
      <c r="K2266" s="417" t="s">
        <v>6943</v>
      </c>
      <c r="L2266" s="417"/>
      <c r="M2266" s="417" t="s">
        <v>28840</v>
      </c>
    </row>
    <row r="2267" spans="1:13" x14ac:dyDescent="0.25">
      <c r="A2267" s="417" t="s">
        <v>3385</v>
      </c>
      <c r="B2267" s="417" t="s">
        <v>2623</v>
      </c>
      <c r="C2267" s="417" t="s">
        <v>6944</v>
      </c>
      <c r="D2267" s="417" t="s">
        <v>563</v>
      </c>
      <c r="E2267" s="423">
        <v>4.9868410361435114</v>
      </c>
      <c r="F2267" s="423">
        <v>1.026830111000869E-2</v>
      </c>
      <c r="G2267" s="422">
        <v>5406.8784791460357</v>
      </c>
      <c r="H2267" s="417" t="s">
        <v>2616</v>
      </c>
      <c r="I2267" s="417" t="s">
        <v>1392</v>
      </c>
      <c r="J2267" s="417" t="s">
        <v>4364</v>
      </c>
      <c r="K2267" s="417" t="s">
        <v>6945</v>
      </c>
      <c r="L2267" s="417"/>
      <c r="M2267" s="417" t="s">
        <v>28840</v>
      </c>
    </row>
    <row r="2268" spans="1:13" x14ac:dyDescent="0.25">
      <c r="A2268" s="417" t="s">
        <v>3385</v>
      </c>
      <c r="B2268" s="417" t="s">
        <v>2623</v>
      </c>
      <c r="C2268" s="417" t="s">
        <v>6946</v>
      </c>
      <c r="D2268" s="417" t="s">
        <v>563</v>
      </c>
      <c r="E2268" s="423">
        <v>5.8085714375333337</v>
      </c>
      <c r="F2268" s="423">
        <v>1.0875145704607099E-2</v>
      </c>
      <c r="G2268" s="422">
        <v>6292.5255700114858</v>
      </c>
      <c r="H2268" s="417" t="s">
        <v>2616</v>
      </c>
      <c r="I2268" s="417" t="s">
        <v>1392</v>
      </c>
      <c r="J2268" s="417" t="s">
        <v>4364</v>
      </c>
      <c r="K2268" s="417" t="s">
        <v>6947</v>
      </c>
      <c r="L2268" s="417"/>
      <c r="M2268" s="417" t="s">
        <v>28840</v>
      </c>
    </row>
    <row r="2269" spans="1:13" x14ac:dyDescent="0.25">
      <c r="A2269" s="417" t="s">
        <v>3385</v>
      </c>
      <c r="B2269" s="417" t="s">
        <v>2623</v>
      </c>
      <c r="C2269" s="417" t="s">
        <v>6948</v>
      </c>
      <c r="D2269" s="417" t="s">
        <v>563</v>
      </c>
      <c r="E2269" s="423">
        <v>7.4520322401226036</v>
      </c>
      <c r="F2269" s="423">
        <v>1.208883477129755E-2</v>
      </c>
      <c r="G2269" s="422">
        <v>8063.8197498459494</v>
      </c>
      <c r="H2269" s="417" t="s">
        <v>2616</v>
      </c>
      <c r="I2269" s="417" t="s">
        <v>1392</v>
      </c>
      <c r="J2269" s="417" t="s">
        <v>4364</v>
      </c>
      <c r="K2269" s="417" t="s">
        <v>6949</v>
      </c>
      <c r="L2269" s="417"/>
      <c r="M2269" s="417" t="s">
        <v>28840</v>
      </c>
    </row>
    <row r="2270" spans="1:13" x14ac:dyDescent="0.25">
      <c r="A2270" s="417" t="s">
        <v>3385</v>
      </c>
      <c r="B2270" s="417" t="s">
        <v>2623</v>
      </c>
      <c r="C2270" s="417" t="s">
        <v>6950</v>
      </c>
      <c r="D2270" s="417" t="s">
        <v>88</v>
      </c>
      <c r="E2270" s="423">
        <v>1.244612161588016E-2</v>
      </c>
      <c r="F2270" s="423">
        <v>5.1192164193415365E-4</v>
      </c>
      <c r="G2270" s="422">
        <v>41.830433294745127</v>
      </c>
      <c r="H2270" s="417" t="s">
        <v>2616</v>
      </c>
      <c r="I2270" s="417" t="s">
        <v>1392</v>
      </c>
      <c r="J2270" s="417" t="s">
        <v>4364</v>
      </c>
      <c r="K2270" s="417" t="s">
        <v>6951</v>
      </c>
      <c r="L2270" s="417"/>
      <c r="M2270" s="417" t="s">
        <v>28840</v>
      </c>
    </row>
    <row r="2271" spans="1:13" x14ac:dyDescent="0.25">
      <c r="A2271" s="417" t="s">
        <v>3385</v>
      </c>
      <c r="B2271" s="417" t="s">
        <v>2623</v>
      </c>
      <c r="C2271" s="417" t="s">
        <v>6952</v>
      </c>
      <c r="D2271" s="417" t="s">
        <v>88</v>
      </c>
      <c r="E2271" s="423">
        <v>2.202301699561815</v>
      </c>
      <c r="F2271" s="423">
        <v>2.535223117931733E-3</v>
      </c>
      <c r="G2271" s="422">
        <v>2314.620387424894</v>
      </c>
      <c r="H2271" s="417" t="s">
        <v>2616</v>
      </c>
      <c r="I2271" s="417" t="s">
        <v>1392</v>
      </c>
      <c r="J2271" s="417" t="s">
        <v>4364</v>
      </c>
      <c r="K2271" s="417" t="s">
        <v>6953</v>
      </c>
      <c r="L2271" s="417"/>
      <c r="M2271" s="417" t="s">
        <v>28840</v>
      </c>
    </row>
    <row r="2272" spans="1:13" x14ac:dyDescent="0.25">
      <c r="A2272" s="417" t="s">
        <v>3385</v>
      </c>
      <c r="B2272" s="417" t="s">
        <v>2623</v>
      </c>
      <c r="C2272" s="417" t="s">
        <v>6954</v>
      </c>
      <c r="D2272" s="417" t="s">
        <v>88</v>
      </c>
      <c r="E2272" s="423">
        <v>3.8002783830079598E-3</v>
      </c>
      <c r="F2272" s="423">
        <v>3.0142597275891652E-4</v>
      </c>
      <c r="G2272" s="422">
        <v>246.71446504579399</v>
      </c>
      <c r="H2272" s="417" t="s">
        <v>2616</v>
      </c>
      <c r="I2272" s="417" t="s">
        <v>1392</v>
      </c>
      <c r="J2272" s="417" t="s">
        <v>4364</v>
      </c>
      <c r="K2272" s="417" t="s">
        <v>6955</v>
      </c>
      <c r="L2272" s="417"/>
      <c r="M2272" s="417" t="s">
        <v>28840</v>
      </c>
    </row>
    <row r="2273" spans="1:13" x14ac:dyDescent="0.25">
      <c r="A2273" s="417" t="s">
        <v>3385</v>
      </c>
      <c r="B2273" s="417" t="s">
        <v>2623</v>
      </c>
      <c r="C2273" s="417" t="s">
        <v>6956</v>
      </c>
      <c r="D2273" s="417" t="s">
        <v>88</v>
      </c>
      <c r="E2273" s="423">
        <v>1.099915242044304E-3</v>
      </c>
      <c r="F2273" s="423">
        <v>6.6289031186692418E-5</v>
      </c>
      <c r="G2273" s="422">
        <v>2260.7844202058532</v>
      </c>
      <c r="H2273" s="417" t="s">
        <v>2616</v>
      </c>
      <c r="I2273" s="417" t="s">
        <v>1392</v>
      </c>
      <c r="J2273" s="417" t="s">
        <v>6311</v>
      </c>
      <c r="K2273" s="417" t="s">
        <v>6957</v>
      </c>
      <c r="L2273" s="417"/>
      <c r="M2273" s="417" t="s">
        <v>28840</v>
      </c>
    </row>
    <row r="2274" spans="1:13" x14ac:dyDescent="0.25">
      <c r="A2274" s="417" t="s">
        <v>3385</v>
      </c>
      <c r="B2274" s="417" t="s">
        <v>2623</v>
      </c>
      <c r="C2274" s="417" t="s">
        <v>6958</v>
      </c>
      <c r="D2274" s="417" t="s">
        <v>88</v>
      </c>
      <c r="E2274" s="423">
        <v>1.667086941363341E-2</v>
      </c>
      <c r="F2274" s="423">
        <v>5.6016693481205E-4</v>
      </c>
      <c r="G2274" s="422">
        <v>373.89931487306228</v>
      </c>
      <c r="H2274" s="417" t="s">
        <v>2616</v>
      </c>
      <c r="I2274" s="417" t="s">
        <v>1392</v>
      </c>
      <c r="J2274" s="417" t="s">
        <v>5995</v>
      </c>
      <c r="K2274" s="417" t="s">
        <v>6959</v>
      </c>
      <c r="L2274" s="417"/>
      <c r="M2274" s="417" t="s">
        <v>28840</v>
      </c>
    </row>
    <row r="2275" spans="1:13" x14ac:dyDescent="0.25">
      <c r="A2275" s="417" t="s">
        <v>3385</v>
      </c>
      <c r="B2275" s="417" t="s">
        <v>2623</v>
      </c>
      <c r="C2275" s="417" t="s">
        <v>6960</v>
      </c>
      <c r="D2275" s="417" t="s">
        <v>88</v>
      </c>
      <c r="E2275" s="423">
        <v>3.1039199423789472</v>
      </c>
      <c r="F2275" s="423">
        <v>1.142109011964639E-3</v>
      </c>
      <c r="G2275" s="422">
        <v>3276.8515943324269</v>
      </c>
      <c r="H2275" s="417" t="s">
        <v>2616</v>
      </c>
      <c r="I2275" s="417" t="s">
        <v>1392</v>
      </c>
      <c r="J2275" s="417" t="s">
        <v>5990</v>
      </c>
      <c r="K2275" s="417" t="s">
        <v>6961</v>
      </c>
      <c r="L2275" s="417"/>
      <c r="M2275" s="417" t="s">
        <v>28840</v>
      </c>
    </row>
    <row r="2276" spans="1:13" x14ac:dyDescent="0.25">
      <c r="A2276" s="417" t="s">
        <v>3385</v>
      </c>
      <c r="B2276" s="417" t="s">
        <v>2623</v>
      </c>
      <c r="C2276" s="417" t="s">
        <v>6962</v>
      </c>
      <c r="D2276" s="417" t="s">
        <v>88</v>
      </c>
      <c r="E2276" s="423">
        <v>3.0578062416837768</v>
      </c>
      <c r="F2276" s="423">
        <v>1.1120518402672581E-3</v>
      </c>
      <c r="G2276" s="422">
        <v>3196.5166294005849</v>
      </c>
      <c r="H2276" s="417" t="s">
        <v>2616</v>
      </c>
      <c r="I2276" s="417" t="s">
        <v>1392</v>
      </c>
      <c r="J2276" s="417" t="s">
        <v>5990</v>
      </c>
      <c r="K2276" s="417" t="s">
        <v>6963</v>
      </c>
      <c r="L2276" s="417"/>
      <c r="M2276" s="417" t="s">
        <v>28840</v>
      </c>
    </row>
    <row r="2277" spans="1:13" x14ac:dyDescent="0.25">
      <c r="A2277" s="417" t="s">
        <v>3385</v>
      </c>
      <c r="B2277" s="417" t="s">
        <v>2623</v>
      </c>
      <c r="C2277" s="417" t="s">
        <v>6964</v>
      </c>
      <c r="D2277" s="417" t="s">
        <v>88</v>
      </c>
      <c r="E2277" s="423">
        <v>0.12612306942304921</v>
      </c>
      <c r="F2277" s="423">
        <v>1.0676173253988471E-3</v>
      </c>
      <c r="G2277" s="422">
        <v>1964.392585808313</v>
      </c>
      <c r="H2277" s="417" t="s">
        <v>2616</v>
      </c>
      <c r="I2277" s="417" t="s">
        <v>1392</v>
      </c>
      <c r="J2277" s="417" t="s">
        <v>4364</v>
      </c>
      <c r="K2277" s="417" t="s">
        <v>6965</v>
      </c>
      <c r="L2277" s="417"/>
      <c r="M2277" s="417" t="s">
        <v>28840</v>
      </c>
    </row>
    <row r="2278" spans="1:13" x14ac:dyDescent="0.25">
      <c r="A2278" s="417" t="s">
        <v>3385</v>
      </c>
      <c r="B2278" s="417" t="s">
        <v>2623</v>
      </c>
      <c r="C2278" s="417" t="s">
        <v>6966</v>
      </c>
      <c r="D2278" s="417" t="s">
        <v>88</v>
      </c>
      <c r="E2278" s="423">
        <v>2.81885657758344</v>
      </c>
      <c r="F2278" s="423">
        <v>1.767093678867545E-3</v>
      </c>
      <c r="G2278" s="422">
        <v>2942.1603787745789</v>
      </c>
      <c r="H2278" s="417" t="s">
        <v>2616</v>
      </c>
      <c r="I2278" s="417" t="s">
        <v>1392</v>
      </c>
      <c r="J2278" s="417" t="s">
        <v>4364</v>
      </c>
      <c r="K2278" s="417" t="s">
        <v>6967</v>
      </c>
      <c r="L2278" s="417"/>
      <c r="M2278" s="417" t="s">
        <v>28840</v>
      </c>
    </row>
    <row r="2279" spans="1:13" x14ac:dyDescent="0.25">
      <c r="A2279" s="417" t="s">
        <v>3385</v>
      </c>
      <c r="B2279" s="417" t="s">
        <v>2627</v>
      </c>
      <c r="C2279" s="417" t="s">
        <v>6968</v>
      </c>
      <c r="D2279" s="417" t="s">
        <v>989</v>
      </c>
      <c r="E2279" s="423">
        <v>1.959849890176085</v>
      </c>
      <c r="F2279" s="423">
        <v>4.1159440665000348E-4</v>
      </c>
      <c r="G2279" s="422">
        <v>2006.4839777567211</v>
      </c>
      <c r="H2279" s="417" t="s">
        <v>2616</v>
      </c>
      <c r="I2279" s="417" t="s">
        <v>1392</v>
      </c>
      <c r="J2279" s="417" t="s">
        <v>3619</v>
      </c>
      <c r="K2279" s="417" t="s">
        <v>6969</v>
      </c>
      <c r="L2279" s="417"/>
      <c r="M2279" s="417" t="s">
        <v>28840</v>
      </c>
    </row>
    <row r="2280" spans="1:13" x14ac:dyDescent="0.25">
      <c r="A2280" s="417" t="s">
        <v>3385</v>
      </c>
      <c r="B2280" s="417" t="s">
        <v>2623</v>
      </c>
      <c r="C2280" s="417" t="s">
        <v>6970</v>
      </c>
      <c r="D2280" s="417" t="s">
        <v>88</v>
      </c>
      <c r="E2280" s="423">
        <v>2.742728453635666</v>
      </c>
      <c r="F2280" s="423">
        <v>2.2745992291073611E-3</v>
      </c>
      <c r="G2280" s="422">
        <v>2958.9405731776042</v>
      </c>
      <c r="H2280" s="417" t="s">
        <v>2616</v>
      </c>
      <c r="I2280" s="417" t="s">
        <v>1392</v>
      </c>
      <c r="J2280" s="417" t="s">
        <v>4364</v>
      </c>
      <c r="K2280" s="417" t="s">
        <v>6971</v>
      </c>
      <c r="L2280" s="417"/>
      <c r="M2280" s="417" t="s">
        <v>28840</v>
      </c>
    </row>
    <row r="2281" spans="1:13" x14ac:dyDescent="0.25">
      <c r="A2281" s="417" t="s">
        <v>3385</v>
      </c>
      <c r="B2281" s="417" t="s">
        <v>2623</v>
      </c>
      <c r="C2281" s="417" t="s">
        <v>6972</v>
      </c>
      <c r="D2281" s="417" t="s">
        <v>88</v>
      </c>
      <c r="E2281" s="423">
        <v>2.760416305539902</v>
      </c>
      <c r="F2281" s="423">
        <v>3.440324761887954E-3</v>
      </c>
      <c r="G2281" s="422">
        <v>2993.3866671528172</v>
      </c>
      <c r="H2281" s="417" t="s">
        <v>2616</v>
      </c>
      <c r="I2281" s="417" t="s">
        <v>1392</v>
      </c>
      <c r="J2281" s="417" t="s">
        <v>4364</v>
      </c>
      <c r="K2281" s="417" t="s">
        <v>6973</v>
      </c>
      <c r="L2281" s="417"/>
      <c r="M2281" s="417" t="s">
        <v>28840</v>
      </c>
    </row>
    <row r="2282" spans="1:13" x14ac:dyDescent="0.25">
      <c r="A2282" s="417" t="s">
        <v>3385</v>
      </c>
      <c r="B2282" s="417" t="s">
        <v>2623</v>
      </c>
      <c r="C2282" s="417" t="s">
        <v>6974</v>
      </c>
      <c r="D2282" s="417" t="s">
        <v>88</v>
      </c>
      <c r="E2282" s="423">
        <v>2.8188565775716561</v>
      </c>
      <c r="F2282" s="423">
        <v>1.7670936782847679E-3</v>
      </c>
      <c r="G2282" s="422">
        <v>2942.1603787556892</v>
      </c>
      <c r="H2282" s="417" t="s">
        <v>2616</v>
      </c>
      <c r="I2282" s="417" t="s">
        <v>1392</v>
      </c>
      <c r="J2282" s="417" t="s">
        <v>4364</v>
      </c>
      <c r="K2282" s="417" t="s">
        <v>6975</v>
      </c>
      <c r="L2282" s="417"/>
      <c r="M2282" s="417" t="s">
        <v>28840</v>
      </c>
    </row>
    <row r="2283" spans="1:13" x14ac:dyDescent="0.25">
      <c r="A2283" s="417" t="s">
        <v>3385</v>
      </c>
      <c r="B2283" s="417" t="s">
        <v>2623</v>
      </c>
      <c r="C2283" s="417" t="s">
        <v>6976</v>
      </c>
      <c r="D2283" s="417" t="s">
        <v>88</v>
      </c>
      <c r="E2283" s="423">
        <v>3.0363056141083788</v>
      </c>
      <c r="F2283" s="423">
        <v>1.0053744699675281E-3</v>
      </c>
      <c r="G2283" s="422">
        <v>3112.9755755518122</v>
      </c>
      <c r="H2283" s="417" t="s">
        <v>2616</v>
      </c>
      <c r="I2283" s="417" t="s">
        <v>1392</v>
      </c>
      <c r="J2283" s="417" t="s">
        <v>4364</v>
      </c>
      <c r="K2283" s="417" t="s">
        <v>6977</v>
      </c>
      <c r="L2283" s="417"/>
      <c r="M2283" s="417" t="s">
        <v>28840</v>
      </c>
    </row>
    <row r="2284" spans="1:13" x14ac:dyDescent="0.25">
      <c r="A2284" s="417" t="s">
        <v>3385</v>
      </c>
      <c r="B2284" s="417" t="s">
        <v>2623</v>
      </c>
      <c r="C2284" s="417" t="s">
        <v>6978</v>
      </c>
      <c r="D2284" s="417" t="s">
        <v>88</v>
      </c>
      <c r="E2284" s="423">
        <v>2.3708247028711571</v>
      </c>
      <c r="F2284" s="423">
        <v>1.9448907320591959E-3</v>
      </c>
      <c r="G2284" s="422">
        <v>2447.0021650172589</v>
      </c>
      <c r="H2284" s="417" t="s">
        <v>2616</v>
      </c>
      <c r="I2284" s="417" t="s">
        <v>1392</v>
      </c>
      <c r="J2284" s="417" t="s">
        <v>4364</v>
      </c>
      <c r="K2284" s="417" t="s">
        <v>6979</v>
      </c>
      <c r="L2284" s="417"/>
      <c r="M2284" s="417" t="s">
        <v>28840</v>
      </c>
    </row>
    <row r="2285" spans="1:13" x14ac:dyDescent="0.25">
      <c r="A2285" s="417" t="s">
        <v>3385</v>
      </c>
      <c r="B2285" s="417" t="s">
        <v>2623</v>
      </c>
      <c r="C2285" s="417" t="s">
        <v>6980</v>
      </c>
      <c r="D2285" s="417" t="s">
        <v>88</v>
      </c>
      <c r="E2285" s="423">
        <v>2.0765198105345481</v>
      </c>
      <c r="F2285" s="423">
        <v>1.8347250822007052E-2</v>
      </c>
      <c r="G2285" s="422">
        <v>2331.5246423443919</v>
      </c>
      <c r="H2285" s="417" t="s">
        <v>2616</v>
      </c>
      <c r="I2285" s="417" t="s">
        <v>1392</v>
      </c>
      <c r="J2285" s="417" t="s">
        <v>4364</v>
      </c>
      <c r="K2285" s="417" t="s">
        <v>6981</v>
      </c>
      <c r="L2285" s="417"/>
      <c r="M2285" s="417" t="s">
        <v>28840</v>
      </c>
    </row>
    <row r="2286" spans="1:13" x14ac:dyDescent="0.25">
      <c r="A2286" s="417" t="s">
        <v>3385</v>
      </c>
      <c r="B2286" s="417" t="s">
        <v>2623</v>
      </c>
      <c r="C2286" s="417" t="s">
        <v>6982</v>
      </c>
      <c r="D2286" s="417" t="s">
        <v>88</v>
      </c>
      <c r="E2286" s="423">
        <v>2.0588319588824429</v>
      </c>
      <c r="F2286" s="423">
        <v>1.71815252998265E-2</v>
      </c>
      <c r="G2286" s="422">
        <v>2297.0785487931639</v>
      </c>
      <c r="H2286" s="417" t="s">
        <v>2616</v>
      </c>
      <c r="I2286" s="417" t="s">
        <v>1392</v>
      </c>
      <c r="J2286" s="417" t="s">
        <v>4364</v>
      </c>
      <c r="K2286" s="417" t="s">
        <v>6983</v>
      </c>
      <c r="L2286" s="417"/>
      <c r="M2286" s="417" t="s">
        <v>28840</v>
      </c>
    </row>
    <row r="2287" spans="1:13" x14ac:dyDescent="0.25">
      <c r="A2287" s="417" t="s">
        <v>3385</v>
      </c>
      <c r="B2287" s="417" t="s">
        <v>2623</v>
      </c>
      <c r="C2287" s="417" t="s">
        <v>6984</v>
      </c>
      <c r="D2287" s="417" t="s">
        <v>88</v>
      </c>
      <c r="E2287" s="423">
        <v>2.635309633766405</v>
      </c>
      <c r="F2287" s="423">
        <v>2.9266953297058711E-3</v>
      </c>
      <c r="G2287" s="422">
        <v>2925.6075765516562</v>
      </c>
      <c r="H2287" s="417" t="s">
        <v>2616</v>
      </c>
      <c r="I2287" s="417" t="s">
        <v>1392</v>
      </c>
      <c r="J2287" s="417" t="s">
        <v>4364</v>
      </c>
      <c r="K2287" s="417" t="s">
        <v>6985</v>
      </c>
      <c r="L2287" s="417"/>
      <c r="M2287" s="417" t="s">
        <v>28840</v>
      </c>
    </row>
    <row r="2288" spans="1:13" x14ac:dyDescent="0.25">
      <c r="A2288" s="417" t="s">
        <v>3385</v>
      </c>
      <c r="B2288" s="417" t="s">
        <v>2623</v>
      </c>
      <c r="C2288" s="417" t="s">
        <v>6986</v>
      </c>
      <c r="D2288" s="417" t="s">
        <v>88</v>
      </c>
      <c r="E2288" s="423">
        <v>0.110255620503163</v>
      </c>
      <c r="F2288" s="423">
        <v>1.111822162342177E-3</v>
      </c>
      <c r="G2288" s="422">
        <v>1728.928240026441</v>
      </c>
      <c r="H2288" s="417" t="s">
        <v>2616</v>
      </c>
      <c r="I2288" s="417" t="s">
        <v>1392</v>
      </c>
      <c r="J2288" s="417" t="s">
        <v>4364</v>
      </c>
      <c r="K2288" s="417" t="s">
        <v>6987</v>
      </c>
      <c r="L2288" s="417"/>
      <c r="M2288" s="417" t="s">
        <v>28840</v>
      </c>
    </row>
    <row r="2289" spans="1:13" x14ac:dyDescent="0.25">
      <c r="A2289" s="417" t="s">
        <v>3385</v>
      </c>
      <c r="B2289" s="417" t="s">
        <v>2623</v>
      </c>
      <c r="C2289" s="417" t="s">
        <v>6988</v>
      </c>
      <c r="D2289" s="417" t="s">
        <v>88</v>
      </c>
      <c r="E2289" s="423">
        <v>2.742728453635666</v>
      </c>
      <c r="F2289" s="423">
        <v>2.2745992291073468E-3</v>
      </c>
      <c r="G2289" s="422">
        <v>2958.9405731776042</v>
      </c>
      <c r="H2289" s="417" t="s">
        <v>2616</v>
      </c>
      <c r="I2289" s="417" t="s">
        <v>1392</v>
      </c>
      <c r="J2289" s="417" t="s">
        <v>4364</v>
      </c>
      <c r="K2289" s="417" t="s">
        <v>6989</v>
      </c>
      <c r="L2289" s="417"/>
      <c r="M2289" s="417" t="s">
        <v>28840</v>
      </c>
    </row>
    <row r="2290" spans="1:13" x14ac:dyDescent="0.25">
      <c r="A2290" s="417" t="s">
        <v>3385</v>
      </c>
      <c r="B2290" s="417" t="s">
        <v>2623</v>
      </c>
      <c r="C2290" s="417" t="s">
        <v>6990</v>
      </c>
      <c r="D2290" s="417" t="s">
        <v>88</v>
      </c>
      <c r="E2290" s="423">
        <v>1.6564024736620351</v>
      </c>
      <c r="F2290" s="423">
        <v>1.9338006108077651E-3</v>
      </c>
      <c r="G2290" s="422">
        <v>1798.1881612630541</v>
      </c>
      <c r="H2290" s="417" t="s">
        <v>2616</v>
      </c>
      <c r="I2290" s="417" t="s">
        <v>1392</v>
      </c>
      <c r="J2290" s="417" t="s">
        <v>4364</v>
      </c>
      <c r="K2290" s="417" t="s">
        <v>6991</v>
      </c>
      <c r="L2290" s="417"/>
      <c r="M2290" s="417" t="s">
        <v>28840</v>
      </c>
    </row>
    <row r="2291" spans="1:13" x14ac:dyDescent="0.25">
      <c r="A2291" s="417" t="s">
        <v>3385</v>
      </c>
      <c r="B2291" s="417" t="s">
        <v>2623</v>
      </c>
      <c r="C2291" s="417" t="s">
        <v>6992</v>
      </c>
      <c r="D2291" s="417" t="s">
        <v>88</v>
      </c>
      <c r="E2291" s="423">
        <v>1.1132394836693169</v>
      </c>
      <c r="F2291" s="423">
        <v>1.763401291411738E-3</v>
      </c>
      <c r="G2291" s="422">
        <v>1217.811955325029</v>
      </c>
      <c r="H2291" s="417" t="s">
        <v>2616</v>
      </c>
      <c r="I2291" s="417" t="s">
        <v>1392</v>
      </c>
      <c r="J2291" s="417" t="s">
        <v>4364</v>
      </c>
      <c r="K2291" s="417" t="s">
        <v>6993</v>
      </c>
      <c r="L2291" s="417"/>
      <c r="M2291" s="417" t="s">
        <v>28840</v>
      </c>
    </row>
    <row r="2292" spans="1:13" x14ac:dyDescent="0.25">
      <c r="A2292" s="417" t="s">
        <v>3385</v>
      </c>
      <c r="B2292" s="417" t="s">
        <v>2623</v>
      </c>
      <c r="C2292" s="417" t="s">
        <v>6994</v>
      </c>
      <c r="D2292" s="417" t="s">
        <v>88</v>
      </c>
      <c r="E2292" s="423">
        <v>2.7087260274578462</v>
      </c>
      <c r="F2292" s="423">
        <v>2.440038328900631E-3</v>
      </c>
      <c r="G2292" s="422">
        <v>2920.1783866930818</v>
      </c>
      <c r="H2292" s="417" t="s">
        <v>2616</v>
      </c>
      <c r="I2292" s="417" t="s">
        <v>1392</v>
      </c>
      <c r="J2292" s="417" t="s">
        <v>4364</v>
      </c>
      <c r="K2292" s="417" t="s">
        <v>6995</v>
      </c>
      <c r="L2292" s="417"/>
      <c r="M2292" s="417" t="s">
        <v>28840</v>
      </c>
    </row>
    <row r="2293" spans="1:13" x14ac:dyDescent="0.25">
      <c r="A2293" s="417" t="s">
        <v>3385</v>
      </c>
      <c r="B2293" s="417" t="s">
        <v>2623</v>
      </c>
      <c r="C2293" s="417" t="s">
        <v>6996</v>
      </c>
      <c r="D2293" s="417" t="s">
        <v>88</v>
      </c>
      <c r="E2293" s="423">
        <v>1.9808449108241111</v>
      </c>
      <c r="F2293" s="423">
        <v>1.7155458470278089E-2</v>
      </c>
      <c r="G2293" s="422">
        <v>2268.354557257052</v>
      </c>
      <c r="H2293" s="417" t="s">
        <v>2616</v>
      </c>
      <c r="I2293" s="417" t="s">
        <v>1392</v>
      </c>
      <c r="J2293" s="417" t="s">
        <v>4364</v>
      </c>
      <c r="K2293" s="417" t="s">
        <v>6997</v>
      </c>
      <c r="L2293" s="417"/>
      <c r="M2293" s="417" t="s">
        <v>28840</v>
      </c>
    </row>
    <row r="2294" spans="1:13" x14ac:dyDescent="0.25">
      <c r="A2294" s="417" t="s">
        <v>3385</v>
      </c>
      <c r="B2294" s="417" t="s">
        <v>2623</v>
      </c>
      <c r="C2294" s="417" t="s">
        <v>660</v>
      </c>
      <c r="D2294" s="417" t="s">
        <v>88</v>
      </c>
      <c r="E2294" s="423">
        <v>2.3830364175060761</v>
      </c>
      <c r="F2294" s="423">
        <v>1.181914299544666E-3</v>
      </c>
      <c r="G2294" s="422">
        <v>2483.5280721058921</v>
      </c>
      <c r="H2294" s="417" t="s">
        <v>2616</v>
      </c>
      <c r="I2294" s="417" t="s">
        <v>28997</v>
      </c>
      <c r="J2294" s="417" t="s">
        <v>5990</v>
      </c>
      <c r="K2294" s="417" t="s">
        <v>6998</v>
      </c>
      <c r="L2294" s="417"/>
      <c r="M2294" s="417" t="s">
        <v>28840</v>
      </c>
    </row>
    <row r="2295" spans="1:13" x14ac:dyDescent="0.25">
      <c r="A2295" s="417" t="s">
        <v>3385</v>
      </c>
      <c r="B2295" s="417" t="s">
        <v>2623</v>
      </c>
      <c r="C2295" s="417" t="s">
        <v>6999</v>
      </c>
      <c r="D2295" s="417" t="s">
        <v>88</v>
      </c>
      <c r="E2295" s="423">
        <v>0.10214484243163501</v>
      </c>
      <c r="F2295" s="423">
        <v>5.7930253589349599E-4</v>
      </c>
      <c r="G2295" s="422">
        <v>1655.08514602687</v>
      </c>
      <c r="H2295" s="417" t="s">
        <v>2616</v>
      </c>
      <c r="I2295" s="417" t="s">
        <v>1392</v>
      </c>
      <c r="J2295" s="417" t="s">
        <v>5995</v>
      </c>
      <c r="K2295" s="417" t="s">
        <v>7000</v>
      </c>
      <c r="L2295" s="417"/>
      <c r="M2295" s="417" t="s">
        <v>28840</v>
      </c>
    </row>
    <row r="2296" spans="1:13" x14ac:dyDescent="0.25">
      <c r="A2296" s="417" t="s">
        <v>3385</v>
      </c>
      <c r="B2296" s="417" t="s">
        <v>2623</v>
      </c>
      <c r="C2296" s="417" t="s">
        <v>7001</v>
      </c>
      <c r="D2296" s="417" t="s">
        <v>88</v>
      </c>
      <c r="E2296" s="423">
        <v>0.30107016803924691</v>
      </c>
      <c r="F2296" s="423">
        <v>1.868651211877834E-2</v>
      </c>
      <c r="G2296" s="422">
        <v>2790.1214228140989</v>
      </c>
      <c r="H2296" s="417" t="s">
        <v>2616</v>
      </c>
      <c r="I2296" s="417" t="s">
        <v>1392</v>
      </c>
      <c r="J2296" s="417" t="s">
        <v>6015</v>
      </c>
      <c r="K2296" s="417" t="s">
        <v>7002</v>
      </c>
      <c r="L2296" s="417"/>
      <c r="M2296" s="417" t="s">
        <v>28840</v>
      </c>
    </row>
    <row r="2297" spans="1:13" x14ac:dyDescent="0.25">
      <c r="A2297" s="417" t="s">
        <v>3385</v>
      </c>
      <c r="B2297" s="417" t="s">
        <v>2623</v>
      </c>
      <c r="C2297" s="417" t="s">
        <v>7003</v>
      </c>
      <c r="D2297" s="417" t="s">
        <v>88</v>
      </c>
      <c r="E2297" s="423">
        <v>2.072072162390564</v>
      </c>
      <c r="F2297" s="423">
        <v>4.6791870109215319E-4</v>
      </c>
      <c r="G2297" s="422">
        <v>2132.0390930528938</v>
      </c>
      <c r="H2297" s="417" t="s">
        <v>2616</v>
      </c>
      <c r="I2297" s="417" t="s">
        <v>1392</v>
      </c>
      <c r="J2297" s="417" t="s">
        <v>5990</v>
      </c>
      <c r="K2297" s="417" t="s">
        <v>7004</v>
      </c>
      <c r="L2297" s="417"/>
      <c r="M2297" s="417" t="s">
        <v>28840</v>
      </c>
    </row>
    <row r="2298" spans="1:13" x14ac:dyDescent="0.25">
      <c r="A2298" s="417" t="s">
        <v>3385</v>
      </c>
      <c r="B2298" s="417" t="s">
        <v>2623</v>
      </c>
      <c r="C2298" s="417" t="s">
        <v>7005</v>
      </c>
      <c r="D2298" s="417" t="s">
        <v>88</v>
      </c>
      <c r="E2298" s="423">
        <v>3.0309513004033279</v>
      </c>
      <c r="F2298" s="423">
        <v>6.3369318662719011E-4</v>
      </c>
      <c r="G2298" s="422">
        <v>3102.9616809758281</v>
      </c>
      <c r="H2298" s="417" t="s">
        <v>2616</v>
      </c>
      <c r="I2298" s="417" t="s">
        <v>1392</v>
      </c>
      <c r="J2298" s="417" t="s">
        <v>5990</v>
      </c>
      <c r="K2298" s="417" t="s">
        <v>7006</v>
      </c>
      <c r="L2298" s="417"/>
      <c r="M2298" s="417" t="s">
        <v>28840</v>
      </c>
    </row>
    <row r="2299" spans="1:13" x14ac:dyDescent="0.25">
      <c r="A2299" s="417" t="s">
        <v>3385</v>
      </c>
      <c r="B2299" s="417" t="s">
        <v>2623</v>
      </c>
      <c r="C2299" s="417" t="s">
        <v>7007</v>
      </c>
      <c r="D2299" s="417" t="s">
        <v>88</v>
      </c>
      <c r="E2299" s="423">
        <v>0.1286297757715886</v>
      </c>
      <c r="F2299" s="423">
        <v>5.6703391965329264E-4</v>
      </c>
      <c r="G2299" s="422">
        <v>2134.016373413408</v>
      </c>
      <c r="H2299" s="417" t="s">
        <v>2616</v>
      </c>
      <c r="I2299" s="417" t="s">
        <v>1392</v>
      </c>
      <c r="J2299" s="417" t="s">
        <v>5995</v>
      </c>
      <c r="K2299" s="417" t="s">
        <v>7008</v>
      </c>
      <c r="L2299" s="417"/>
      <c r="M2299" s="417" t="s">
        <v>28840</v>
      </c>
    </row>
    <row r="2300" spans="1:13" x14ac:dyDescent="0.25">
      <c r="A2300" s="417" t="s">
        <v>3385</v>
      </c>
      <c r="B2300" s="417" t="s">
        <v>2623</v>
      </c>
      <c r="C2300" s="417" t="s">
        <v>7009</v>
      </c>
      <c r="D2300" s="417" t="s">
        <v>88</v>
      </c>
      <c r="E2300" s="423">
        <v>3.0363056141083788</v>
      </c>
      <c r="F2300" s="423">
        <v>1.0053744699675281E-3</v>
      </c>
      <c r="G2300" s="422">
        <v>3112.9755755518122</v>
      </c>
      <c r="H2300" s="417" t="s">
        <v>2616</v>
      </c>
      <c r="I2300" s="417" t="s">
        <v>1392</v>
      </c>
      <c r="J2300" s="417" t="s">
        <v>4364</v>
      </c>
      <c r="K2300" s="417" t="s">
        <v>7010</v>
      </c>
      <c r="L2300" s="417"/>
      <c r="M2300" s="417" t="s">
        <v>28840</v>
      </c>
    </row>
    <row r="2301" spans="1:13" x14ac:dyDescent="0.25">
      <c r="A2301" s="417" t="s">
        <v>3385</v>
      </c>
      <c r="B2301" s="417" t="s">
        <v>2623</v>
      </c>
      <c r="C2301" s="417" t="s">
        <v>7011</v>
      </c>
      <c r="D2301" s="417" t="s">
        <v>563</v>
      </c>
      <c r="E2301" s="423">
        <v>10.115182349920969</v>
      </c>
      <c r="F2301" s="423">
        <v>4.9085186256311187E-3</v>
      </c>
      <c r="G2301" s="422">
        <v>10447.89183404745</v>
      </c>
      <c r="H2301" s="417" t="s">
        <v>2616</v>
      </c>
      <c r="I2301" s="417" t="s">
        <v>1392</v>
      </c>
      <c r="J2301" s="417" t="s">
        <v>4364</v>
      </c>
      <c r="K2301" s="417" t="s">
        <v>7012</v>
      </c>
      <c r="L2301" s="417"/>
      <c r="M2301" s="417" t="s">
        <v>28840</v>
      </c>
    </row>
    <row r="2302" spans="1:13" x14ac:dyDescent="0.25">
      <c r="A2302" s="417" t="s">
        <v>3385</v>
      </c>
      <c r="B2302" s="417" t="s">
        <v>2623</v>
      </c>
      <c r="C2302" s="417" t="s">
        <v>7013</v>
      </c>
      <c r="D2302" s="417" t="s">
        <v>88</v>
      </c>
      <c r="E2302" s="423">
        <v>2.6653665799524431</v>
      </c>
      <c r="F2302" s="423">
        <v>2.0651066410141911E-3</v>
      </c>
      <c r="G2302" s="422">
        <v>2807.8738265136308</v>
      </c>
      <c r="H2302" s="417" t="s">
        <v>2616</v>
      </c>
      <c r="I2302" s="417" t="s">
        <v>1392</v>
      </c>
      <c r="J2302" s="417" t="s">
        <v>4364</v>
      </c>
      <c r="K2302" s="417" t="s">
        <v>7014</v>
      </c>
      <c r="L2302" s="417"/>
      <c r="M2302" s="417" t="s">
        <v>28840</v>
      </c>
    </row>
    <row r="2303" spans="1:13" x14ac:dyDescent="0.25">
      <c r="A2303" s="417" t="s">
        <v>3385</v>
      </c>
      <c r="B2303" s="417" t="s">
        <v>2623</v>
      </c>
      <c r="C2303" s="417" t="s">
        <v>7015</v>
      </c>
      <c r="D2303" s="417" t="s">
        <v>88</v>
      </c>
      <c r="E2303" s="423">
        <v>2.5598414966030529</v>
      </c>
      <c r="F2303" s="423">
        <v>5.5378965011299399E-4</v>
      </c>
      <c r="G2303" s="422">
        <v>2621.3793100565672</v>
      </c>
      <c r="H2303" s="417" t="s">
        <v>2616</v>
      </c>
      <c r="I2303" s="417" t="s">
        <v>1392</v>
      </c>
      <c r="J2303" s="417" t="s">
        <v>5990</v>
      </c>
      <c r="K2303" s="417" t="s">
        <v>7016</v>
      </c>
      <c r="L2303" s="417"/>
      <c r="M2303" s="417" t="s">
        <v>28840</v>
      </c>
    </row>
    <row r="2304" spans="1:13" x14ac:dyDescent="0.25">
      <c r="A2304" s="417" t="s">
        <v>3385</v>
      </c>
      <c r="B2304" s="417" t="s">
        <v>2623</v>
      </c>
      <c r="C2304" s="417" t="s">
        <v>7017</v>
      </c>
      <c r="D2304" s="417" t="s">
        <v>88</v>
      </c>
      <c r="E2304" s="423">
        <v>0.14038277518861519</v>
      </c>
      <c r="F2304" s="423">
        <v>9.5262561560992363E-4</v>
      </c>
      <c r="G2304" s="422">
        <v>2255.836489143438</v>
      </c>
      <c r="H2304" s="417" t="s">
        <v>2616</v>
      </c>
      <c r="I2304" s="417" t="s">
        <v>1392</v>
      </c>
      <c r="J2304" s="417" t="s">
        <v>4364</v>
      </c>
      <c r="K2304" s="417" t="s">
        <v>7018</v>
      </c>
      <c r="L2304" s="417"/>
      <c r="M2304" s="417" t="s">
        <v>28840</v>
      </c>
    </row>
    <row r="2305" spans="1:13" x14ac:dyDescent="0.25">
      <c r="A2305" s="417" t="s">
        <v>3385</v>
      </c>
      <c r="B2305" s="417" t="s">
        <v>2623</v>
      </c>
      <c r="C2305" s="417" t="s">
        <v>7019</v>
      </c>
      <c r="D2305" s="417" t="s">
        <v>88</v>
      </c>
      <c r="E2305" s="423">
        <v>3.2074316973973329</v>
      </c>
      <c r="F2305" s="423">
        <v>9.5753125340720729E-4</v>
      </c>
      <c r="G2305" s="422">
        <v>3309.8273866770778</v>
      </c>
      <c r="H2305" s="417" t="s">
        <v>2616</v>
      </c>
      <c r="I2305" s="417" t="s">
        <v>1392</v>
      </c>
      <c r="J2305" s="417" t="s">
        <v>4364</v>
      </c>
      <c r="K2305" s="417" t="s">
        <v>7020</v>
      </c>
      <c r="L2305" s="417"/>
      <c r="M2305" s="417" t="s">
        <v>28840</v>
      </c>
    </row>
    <row r="2306" spans="1:13" x14ac:dyDescent="0.25">
      <c r="A2306" s="417" t="s">
        <v>3385</v>
      </c>
      <c r="B2306" s="417" t="s">
        <v>2623</v>
      </c>
      <c r="C2306" s="417" t="s">
        <v>7021</v>
      </c>
      <c r="D2306" s="417" t="s">
        <v>88</v>
      </c>
      <c r="E2306" s="423">
        <v>3.0804569560556669</v>
      </c>
      <c r="F2306" s="423">
        <v>1.6617318640175099E-3</v>
      </c>
      <c r="G2306" s="422">
        <v>3284.415360000588</v>
      </c>
      <c r="H2306" s="417" t="s">
        <v>2616</v>
      </c>
      <c r="I2306" s="417" t="s">
        <v>1392</v>
      </c>
      <c r="J2306" s="417" t="s">
        <v>4364</v>
      </c>
      <c r="K2306" s="417" t="s">
        <v>7022</v>
      </c>
      <c r="L2306" s="417"/>
      <c r="M2306" s="417" t="s">
        <v>28840</v>
      </c>
    </row>
    <row r="2307" spans="1:13" x14ac:dyDescent="0.25">
      <c r="A2307" s="417" t="s">
        <v>3385</v>
      </c>
      <c r="B2307" s="417" t="s">
        <v>2623</v>
      </c>
      <c r="C2307" s="417" t="s">
        <v>7023</v>
      </c>
      <c r="D2307" s="417" t="s">
        <v>88</v>
      </c>
      <c r="E2307" s="423">
        <v>3.190840330487597</v>
      </c>
      <c r="F2307" s="423">
        <v>1.0569526023240651E-3</v>
      </c>
      <c r="G2307" s="422">
        <v>3293.6162512074402</v>
      </c>
      <c r="H2307" s="417" t="s">
        <v>2616</v>
      </c>
      <c r="I2307" s="417" t="s">
        <v>1392</v>
      </c>
      <c r="J2307" s="417" t="s">
        <v>4364</v>
      </c>
      <c r="K2307" s="417" t="s">
        <v>7024</v>
      </c>
      <c r="L2307" s="417"/>
      <c r="M2307" s="417" t="s">
        <v>28840</v>
      </c>
    </row>
    <row r="2308" spans="1:13" x14ac:dyDescent="0.25">
      <c r="A2308" s="417" t="s">
        <v>3385</v>
      </c>
      <c r="B2308" s="417" t="s">
        <v>2623</v>
      </c>
      <c r="C2308" s="417" t="s">
        <v>7025</v>
      </c>
      <c r="D2308" s="417" t="s">
        <v>88</v>
      </c>
      <c r="E2308" s="423">
        <v>0.14038277518861519</v>
      </c>
      <c r="F2308" s="423">
        <v>9.5262561560992363E-4</v>
      </c>
      <c r="G2308" s="422">
        <v>2255.836489143438</v>
      </c>
      <c r="H2308" s="417" t="s">
        <v>2616</v>
      </c>
      <c r="I2308" s="417" t="s">
        <v>1392</v>
      </c>
      <c r="J2308" s="417" t="s">
        <v>4364</v>
      </c>
      <c r="K2308" s="417" t="s">
        <v>7026</v>
      </c>
      <c r="L2308" s="417"/>
      <c r="M2308" s="417" t="s">
        <v>28840</v>
      </c>
    </row>
    <row r="2309" spans="1:13" x14ac:dyDescent="0.25">
      <c r="A2309" s="417" t="s">
        <v>3385</v>
      </c>
      <c r="B2309" s="417" t="s">
        <v>2623</v>
      </c>
      <c r="C2309" s="417" t="s">
        <v>7027</v>
      </c>
      <c r="D2309" s="417" t="s">
        <v>88</v>
      </c>
      <c r="E2309" s="423">
        <v>3.0941308612844551</v>
      </c>
      <c r="F2309" s="423">
        <v>1.637179686171648E-3</v>
      </c>
      <c r="G2309" s="422">
        <v>3276.484860661963</v>
      </c>
      <c r="H2309" s="417" t="s">
        <v>2616</v>
      </c>
      <c r="I2309" s="417" t="s">
        <v>1392</v>
      </c>
      <c r="J2309" s="417" t="s">
        <v>4364</v>
      </c>
      <c r="K2309" s="417" t="s">
        <v>7028</v>
      </c>
      <c r="L2309" s="417"/>
      <c r="M2309" s="417" t="s">
        <v>28840</v>
      </c>
    </row>
    <row r="2310" spans="1:13" x14ac:dyDescent="0.25">
      <c r="A2310" s="417" t="s">
        <v>3385</v>
      </c>
      <c r="B2310" s="417" t="s">
        <v>2623</v>
      </c>
      <c r="C2310" s="417" t="s">
        <v>7029</v>
      </c>
      <c r="D2310" s="417" t="s">
        <v>88</v>
      </c>
      <c r="E2310" s="423">
        <v>3.2020773828239268</v>
      </c>
      <c r="F2310" s="423">
        <v>5.8584987031498181E-4</v>
      </c>
      <c r="G2310" s="422">
        <v>3299.8134903575342</v>
      </c>
      <c r="H2310" s="417" t="s">
        <v>2616</v>
      </c>
      <c r="I2310" s="417" t="s">
        <v>1392</v>
      </c>
      <c r="J2310" s="417" t="s">
        <v>5990</v>
      </c>
      <c r="K2310" s="417" t="s">
        <v>7030</v>
      </c>
      <c r="L2310" s="417"/>
      <c r="M2310" s="417" t="s">
        <v>28840</v>
      </c>
    </row>
    <row r="2311" spans="1:13" x14ac:dyDescent="0.25">
      <c r="A2311" s="417" t="s">
        <v>3385</v>
      </c>
      <c r="B2311" s="417" t="s">
        <v>2623</v>
      </c>
      <c r="C2311" s="417" t="s">
        <v>7031</v>
      </c>
      <c r="D2311" s="417" t="s">
        <v>88</v>
      </c>
      <c r="E2311" s="423">
        <v>0.1348557416889368</v>
      </c>
      <c r="F2311" s="423">
        <v>5.6895461411511953E-4</v>
      </c>
      <c r="G2311" s="422">
        <v>2245.4995657182239</v>
      </c>
      <c r="H2311" s="417" t="s">
        <v>2616</v>
      </c>
      <c r="I2311" s="417" t="s">
        <v>1392</v>
      </c>
      <c r="J2311" s="417" t="s">
        <v>5995</v>
      </c>
      <c r="K2311" s="417" t="s">
        <v>7032</v>
      </c>
      <c r="L2311" s="417"/>
      <c r="M2311" s="417" t="s">
        <v>28840</v>
      </c>
    </row>
    <row r="2312" spans="1:13" x14ac:dyDescent="0.25">
      <c r="A2312" s="417" t="s">
        <v>3385</v>
      </c>
      <c r="B2312" s="417" t="s">
        <v>2623</v>
      </c>
      <c r="C2312" s="417" t="s">
        <v>7033</v>
      </c>
      <c r="D2312" s="417" t="s">
        <v>88</v>
      </c>
      <c r="E2312" s="423">
        <v>2.742728453635666</v>
      </c>
      <c r="F2312" s="423">
        <v>2.2745992291073611E-3</v>
      </c>
      <c r="G2312" s="422">
        <v>2958.9405731776042</v>
      </c>
      <c r="H2312" s="417" t="s">
        <v>2616</v>
      </c>
      <c r="I2312" s="417" t="s">
        <v>1392</v>
      </c>
      <c r="J2312" s="417" t="s">
        <v>4364</v>
      </c>
      <c r="K2312" s="417" t="s">
        <v>7034</v>
      </c>
      <c r="L2312" s="417"/>
      <c r="M2312" s="417" t="s">
        <v>28840</v>
      </c>
    </row>
    <row r="2313" spans="1:13" x14ac:dyDescent="0.25">
      <c r="A2313" s="417" t="s">
        <v>3385</v>
      </c>
      <c r="B2313" s="417" t="s">
        <v>2623</v>
      </c>
      <c r="C2313" s="417" t="s">
        <v>7035</v>
      </c>
      <c r="D2313" s="417" t="s">
        <v>88</v>
      </c>
      <c r="E2313" s="423">
        <v>0.110255620503163</v>
      </c>
      <c r="F2313" s="423">
        <v>1.1118221623421919E-3</v>
      </c>
      <c r="G2313" s="422">
        <v>1728.928240026441</v>
      </c>
      <c r="H2313" s="417" t="s">
        <v>2616</v>
      </c>
      <c r="I2313" s="417" t="s">
        <v>1392</v>
      </c>
      <c r="J2313" s="417" t="s">
        <v>4364</v>
      </c>
      <c r="K2313" s="417" t="s">
        <v>7036</v>
      </c>
      <c r="L2313" s="417"/>
      <c r="M2313" s="417" t="s">
        <v>28840</v>
      </c>
    </row>
    <row r="2314" spans="1:13" x14ac:dyDescent="0.25">
      <c r="A2314" s="417" t="s">
        <v>3385</v>
      </c>
      <c r="B2314" s="417" t="s">
        <v>2623</v>
      </c>
      <c r="C2314" s="417" t="s">
        <v>7037</v>
      </c>
      <c r="D2314" s="417" t="s">
        <v>88</v>
      </c>
      <c r="E2314" s="423">
        <v>2.6606484552316139</v>
      </c>
      <c r="F2314" s="423">
        <v>2.8177807833081559E-3</v>
      </c>
      <c r="G2314" s="422">
        <v>2935.0810523048558</v>
      </c>
      <c r="H2314" s="417" t="s">
        <v>2616</v>
      </c>
      <c r="I2314" s="417" t="s">
        <v>1392</v>
      </c>
      <c r="J2314" s="417" t="s">
        <v>4364</v>
      </c>
      <c r="K2314" s="417" t="s">
        <v>7038</v>
      </c>
      <c r="L2314" s="417"/>
      <c r="M2314" s="417" t="s">
        <v>28840</v>
      </c>
    </row>
    <row r="2315" spans="1:13" x14ac:dyDescent="0.25">
      <c r="A2315" s="417" t="s">
        <v>3385</v>
      </c>
      <c r="B2315" s="417" t="s">
        <v>2623</v>
      </c>
      <c r="C2315" s="417" t="s">
        <v>7039</v>
      </c>
      <c r="D2315" s="417" t="s">
        <v>88</v>
      </c>
      <c r="E2315" s="423">
        <v>1.099915242044304E-3</v>
      </c>
      <c r="F2315" s="423">
        <v>6.6289031186693475E-5</v>
      </c>
      <c r="G2315" s="422">
        <v>10275.811616610359</v>
      </c>
      <c r="H2315" s="417" t="s">
        <v>2616</v>
      </c>
      <c r="I2315" s="417" t="s">
        <v>1392</v>
      </c>
      <c r="J2315" s="417" t="s">
        <v>6311</v>
      </c>
      <c r="K2315" s="417" t="s">
        <v>7040</v>
      </c>
      <c r="L2315" s="417"/>
      <c r="M2315" s="417" t="s">
        <v>28840</v>
      </c>
    </row>
    <row r="2316" spans="1:13" x14ac:dyDescent="0.25">
      <c r="A2316" s="417" t="s">
        <v>3385</v>
      </c>
      <c r="B2316" s="417" t="s">
        <v>2623</v>
      </c>
      <c r="C2316" s="417" t="s">
        <v>7041</v>
      </c>
      <c r="D2316" s="417" t="s">
        <v>88</v>
      </c>
      <c r="E2316" s="423">
        <v>2.737374139739543</v>
      </c>
      <c r="F2316" s="423">
        <v>1.902917917905941E-3</v>
      </c>
      <c r="G2316" s="422">
        <v>2948.926678116155</v>
      </c>
      <c r="H2316" s="417" t="s">
        <v>2616</v>
      </c>
      <c r="I2316" s="417" t="s">
        <v>1392</v>
      </c>
      <c r="J2316" s="417" t="s">
        <v>5990</v>
      </c>
      <c r="K2316" s="417" t="s">
        <v>7042</v>
      </c>
      <c r="L2316" s="417"/>
      <c r="M2316" s="417" t="s">
        <v>28840</v>
      </c>
    </row>
    <row r="2317" spans="1:13" x14ac:dyDescent="0.25">
      <c r="A2317" s="417" t="s">
        <v>3385</v>
      </c>
      <c r="B2317" s="417" t="s">
        <v>2623</v>
      </c>
      <c r="C2317" s="417" t="s">
        <v>7043</v>
      </c>
      <c r="D2317" s="417" t="s">
        <v>88</v>
      </c>
      <c r="E2317" s="423">
        <v>0.1047285870025785</v>
      </c>
      <c r="F2317" s="423">
        <v>7.2815116082898339E-4</v>
      </c>
      <c r="G2317" s="422">
        <v>1718.591316658576</v>
      </c>
      <c r="H2317" s="417" t="s">
        <v>2616</v>
      </c>
      <c r="I2317" s="417" t="s">
        <v>1392</v>
      </c>
      <c r="J2317" s="417" t="s">
        <v>5995</v>
      </c>
      <c r="K2317" s="417" t="s">
        <v>7044</v>
      </c>
      <c r="L2317" s="417"/>
      <c r="M2317" s="417" t="s">
        <v>28840</v>
      </c>
    </row>
    <row r="2318" spans="1:13" x14ac:dyDescent="0.25">
      <c r="A2318" s="417" t="s">
        <v>3385</v>
      </c>
      <c r="B2318" s="417" t="s">
        <v>2623</v>
      </c>
      <c r="C2318" s="417" t="s">
        <v>7045</v>
      </c>
      <c r="D2318" s="417" t="s">
        <v>88</v>
      </c>
      <c r="E2318" s="423">
        <v>2.0534776450880372</v>
      </c>
      <c r="F2318" s="423">
        <v>1.6809844004189889E-2</v>
      </c>
      <c r="G2318" s="422">
        <v>2287.0646538709711</v>
      </c>
      <c r="H2318" s="417" t="s">
        <v>2616</v>
      </c>
      <c r="I2318" s="417" t="s">
        <v>1392</v>
      </c>
      <c r="J2318" s="417" t="s">
        <v>5990</v>
      </c>
      <c r="K2318" s="417" t="s">
        <v>7046</v>
      </c>
      <c r="L2318" s="417"/>
      <c r="M2318" s="417" t="s">
        <v>28840</v>
      </c>
    </row>
    <row r="2319" spans="1:13" x14ac:dyDescent="0.25">
      <c r="A2319" s="417" t="s">
        <v>3385</v>
      </c>
      <c r="B2319" s="417" t="s">
        <v>2623</v>
      </c>
      <c r="C2319" s="417" t="s">
        <v>7047</v>
      </c>
      <c r="D2319" s="417" t="s">
        <v>88</v>
      </c>
      <c r="E2319" s="423">
        <v>7.4871469015208705E-2</v>
      </c>
      <c r="F2319" s="423">
        <v>5.6478943092213814E-4</v>
      </c>
      <c r="G2319" s="422">
        <v>1159.1516260421849</v>
      </c>
      <c r="H2319" s="417" t="s">
        <v>2616</v>
      </c>
      <c r="I2319" s="417" t="s">
        <v>1392</v>
      </c>
      <c r="J2319" s="417" t="s">
        <v>5995</v>
      </c>
      <c r="K2319" s="417" t="s">
        <v>7048</v>
      </c>
      <c r="L2319" s="417"/>
      <c r="M2319" s="417" t="s">
        <v>28840</v>
      </c>
    </row>
    <row r="2320" spans="1:13" x14ac:dyDescent="0.25">
      <c r="A2320" s="417" t="s">
        <v>3385</v>
      </c>
      <c r="B2320" s="417" t="s">
        <v>2623</v>
      </c>
      <c r="C2320" s="417" t="s">
        <v>7049</v>
      </c>
      <c r="D2320" s="417" t="s">
        <v>88</v>
      </c>
      <c r="E2320" s="423">
        <v>2.2762046325618441</v>
      </c>
      <c r="F2320" s="423">
        <v>9.2030396964525724E-3</v>
      </c>
      <c r="G2320" s="422">
        <v>2456.6253011566941</v>
      </c>
      <c r="H2320" s="417" t="s">
        <v>2616</v>
      </c>
      <c r="I2320" s="417" t="s">
        <v>1392</v>
      </c>
      <c r="J2320" s="417" t="s">
        <v>5990</v>
      </c>
      <c r="K2320" s="417" t="s">
        <v>7050</v>
      </c>
      <c r="L2320" s="417"/>
      <c r="M2320" s="417" t="s">
        <v>28840</v>
      </c>
    </row>
    <row r="2321" spans="1:13" x14ac:dyDescent="0.25">
      <c r="A2321" s="417" t="s">
        <v>3385</v>
      </c>
      <c r="B2321" s="417" t="s">
        <v>2623</v>
      </c>
      <c r="C2321" s="417" t="s">
        <v>7051</v>
      </c>
      <c r="D2321" s="417" t="s">
        <v>989</v>
      </c>
      <c r="E2321" s="423">
        <v>0.36852709746899043</v>
      </c>
      <c r="F2321" s="423">
        <v>9.1169054249488695E-4</v>
      </c>
      <c r="G2321" s="422">
        <v>397.12154807957592</v>
      </c>
      <c r="H2321" s="417" t="s">
        <v>2616</v>
      </c>
      <c r="I2321" s="417" t="s">
        <v>1392</v>
      </c>
      <c r="J2321" s="417" t="s">
        <v>5849</v>
      </c>
      <c r="K2321" s="417" t="s">
        <v>7052</v>
      </c>
      <c r="L2321" s="417"/>
      <c r="M2321" s="417" t="s">
        <v>28840</v>
      </c>
    </row>
    <row r="2322" spans="1:13" x14ac:dyDescent="0.25">
      <c r="A2322" s="417" t="s">
        <v>3385</v>
      </c>
      <c r="B2322" s="417" t="s">
        <v>2437</v>
      </c>
      <c r="C2322" s="417" t="s">
        <v>7053</v>
      </c>
      <c r="D2322" s="417" t="s">
        <v>88</v>
      </c>
      <c r="E2322" s="423">
        <v>4.9453012179012913E-2</v>
      </c>
      <c r="F2322" s="423">
        <v>2.137259860016318E-3</v>
      </c>
      <c r="G2322" s="422">
        <v>60.230198858281483</v>
      </c>
      <c r="H2322" s="417" t="s">
        <v>2616</v>
      </c>
      <c r="I2322" s="417" t="s">
        <v>1392</v>
      </c>
      <c r="J2322" s="417" t="s">
        <v>4342</v>
      </c>
      <c r="K2322" s="417" t="s">
        <v>7054</v>
      </c>
      <c r="L2322" s="417"/>
      <c r="M2322" s="417" t="s">
        <v>28840</v>
      </c>
    </row>
    <row r="2323" spans="1:13" x14ac:dyDescent="0.25">
      <c r="A2323" s="417" t="s">
        <v>3385</v>
      </c>
      <c r="B2323" s="417" t="s">
        <v>2437</v>
      </c>
      <c r="C2323" s="417" t="s">
        <v>7055</v>
      </c>
      <c r="D2323" s="417" t="s">
        <v>88</v>
      </c>
      <c r="E2323" s="423">
        <v>6.6437247934997192E-3</v>
      </c>
      <c r="F2323" s="423">
        <v>2.12169113415543E-3</v>
      </c>
      <c r="G2323" s="422">
        <v>15.47896604152694</v>
      </c>
      <c r="H2323" s="417" t="s">
        <v>2616</v>
      </c>
      <c r="I2323" s="417" t="s">
        <v>1392</v>
      </c>
      <c r="J2323" s="417" t="s">
        <v>4342</v>
      </c>
      <c r="K2323" s="417" t="s">
        <v>7056</v>
      </c>
      <c r="L2323" s="417"/>
      <c r="M2323" s="417" t="s">
        <v>28840</v>
      </c>
    </row>
    <row r="2324" spans="1:13" x14ac:dyDescent="0.25">
      <c r="A2324" s="417" t="s">
        <v>3385</v>
      </c>
      <c r="B2324" s="417" t="s">
        <v>2627</v>
      </c>
      <c r="C2324" s="417" t="s">
        <v>7057</v>
      </c>
      <c r="D2324" s="417" t="s">
        <v>4315</v>
      </c>
      <c r="E2324" s="423">
        <v>0</v>
      </c>
      <c r="F2324" s="423">
        <v>0</v>
      </c>
      <c r="G2324" s="422">
        <v>0</v>
      </c>
      <c r="H2324" s="417" t="s">
        <v>2616</v>
      </c>
      <c r="I2324" s="417" t="s">
        <v>1392</v>
      </c>
      <c r="J2324" s="417" t="s">
        <v>4138</v>
      </c>
      <c r="K2324" s="417" t="s">
        <v>7058</v>
      </c>
      <c r="L2324" s="417"/>
      <c r="M2324" s="417" t="s">
        <v>28840</v>
      </c>
    </row>
    <row r="2325" spans="1:13" x14ac:dyDescent="0.25">
      <c r="A2325" s="417" t="s">
        <v>3385</v>
      </c>
      <c r="B2325" s="417" t="s">
        <v>2627</v>
      </c>
      <c r="C2325" s="417" t="s">
        <v>7059</v>
      </c>
      <c r="D2325" s="417" t="s">
        <v>4315</v>
      </c>
      <c r="E2325" s="423">
        <v>0</v>
      </c>
      <c r="F2325" s="423">
        <v>0</v>
      </c>
      <c r="G2325" s="422">
        <v>0</v>
      </c>
      <c r="H2325" s="417" t="s">
        <v>2616</v>
      </c>
      <c r="I2325" s="417" t="s">
        <v>1392</v>
      </c>
      <c r="J2325" s="417" t="s">
        <v>4138</v>
      </c>
      <c r="K2325" s="417" t="s">
        <v>7060</v>
      </c>
      <c r="L2325" s="417"/>
      <c r="M2325" s="417" t="s">
        <v>28840</v>
      </c>
    </row>
    <row r="2326" spans="1:13" x14ac:dyDescent="0.25">
      <c r="A2326" s="417" t="s">
        <v>3385</v>
      </c>
      <c r="B2326" s="417" t="s">
        <v>2627</v>
      </c>
      <c r="C2326" s="417" t="s">
        <v>7061</v>
      </c>
      <c r="D2326" s="417" t="s">
        <v>4315</v>
      </c>
      <c r="E2326" s="423">
        <v>0</v>
      </c>
      <c r="F2326" s="423">
        <v>0</v>
      </c>
      <c r="G2326" s="422">
        <v>0</v>
      </c>
      <c r="H2326" s="417" t="s">
        <v>2616</v>
      </c>
      <c r="I2326" s="417" t="s">
        <v>1392</v>
      </c>
      <c r="J2326" s="417" t="s">
        <v>4138</v>
      </c>
      <c r="K2326" s="417" t="s">
        <v>7062</v>
      </c>
      <c r="L2326" s="417"/>
      <c r="M2326" s="417" t="s">
        <v>28840</v>
      </c>
    </row>
    <row r="2327" spans="1:13" x14ac:dyDescent="0.25">
      <c r="A2327" s="417" t="s">
        <v>3385</v>
      </c>
      <c r="B2327" s="417" t="s">
        <v>2627</v>
      </c>
      <c r="C2327" s="417" t="s">
        <v>7063</v>
      </c>
      <c r="D2327" s="417" t="s">
        <v>4315</v>
      </c>
      <c r="E2327" s="423">
        <v>0</v>
      </c>
      <c r="F2327" s="423">
        <v>0</v>
      </c>
      <c r="G2327" s="422">
        <v>0</v>
      </c>
      <c r="H2327" s="417" t="s">
        <v>2616</v>
      </c>
      <c r="I2327" s="417" t="s">
        <v>1392</v>
      </c>
      <c r="J2327" s="417" t="s">
        <v>4138</v>
      </c>
      <c r="K2327" s="417" t="s">
        <v>7064</v>
      </c>
      <c r="L2327" s="417"/>
      <c r="M2327" s="417" t="s">
        <v>28840</v>
      </c>
    </row>
    <row r="2328" spans="1:13" x14ac:dyDescent="0.25">
      <c r="A2328" s="417" t="s">
        <v>3385</v>
      </c>
      <c r="B2328" s="417" t="s">
        <v>2623</v>
      </c>
      <c r="C2328" s="417" t="s">
        <v>7065</v>
      </c>
      <c r="D2328" s="417" t="s">
        <v>989</v>
      </c>
      <c r="E2328" s="423">
        <v>12.17192945927775</v>
      </c>
      <c r="F2328" s="423">
        <v>1.24290392516298E-2</v>
      </c>
      <c r="G2328" s="422">
        <v>12849.614133459439</v>
      </c>
      <c r="H2328" s="417" t="s">
        <v>2616</v>
      </c>
      <c r="I2328" s="417" t="s">
        <v>1392</v>
      </c>
      <c r="J2328" s="417" t="s">
        <v>5849</v>
      </c>
      <c r="K2328" s="417" t="s">
        <v>7066</v>
      </c>
      <c r="L2328" s="417"/>
      <c r="M2328" s="417" t="s">
        <v>28840</v>
      </c>
    </row>
    <row r="2329" spans="1:13" x14ac:dyDescent="0.25">
      <c r="A2329" s="417" t="s">
        <v>3385</v>
      </c>
      <c r="B2329" s="417" t="s">
        <v>2623</v>
      </c>
      <c r="C2329" s="417" t="s">
        <v>7067</v>
      </c>
      <c r="D2329" s="417" t="s">
        <v>989</v>
      </c>
      <c r="E2329" s="423">
        <v>12.17192945928111</v>
      </c>
      <c r="F2329" s="423">
        <v>1.242903925180904E-2</v>
      </c>
      <c r="G2329" s="422">
        <v>12849.614133462759</v>
      </c>
      <c r="H2329" s="417" t="s">
        <v>2616</v>
      </c>
      <c r="I2329" s="417" t="s">
        <v>1392</v>
      </c>
      <c r="J2329" s="417" t="s">
        <v>5849</v>
      </c>
      <c r="K2329" s="417" t="s">
        <v>7068</v>
      </c>
      <c r="L2329" s="417"/>
      <c r="M2329" s="417" t="s">
        <v>28840</v>
      </c>
    </row>
    <row r="2330" spans="1:13" x14ac:dyDescent="0.25">
      <c r="A2330" s="417" t="s">
        <v>3385</v>
      </c>
      <c r="B2330" s="417" t="s">
        <v>2623</v>
      </c>
      <c r="C2330" s="417" t="s">
        <v>7069</v>
      </c>
      <c r="D2330" s="417" t="s">
        <v>88</v>
      </c>
      <c r="E2330" s="423">
        <v>2.9167513756138752</v>
      </c>
      <c r="F2330" s="423">
        <v>1.7073354189829229E-3</v>
      </c>
      <c r="G2330" s="422">
        <v>3091.405131970906</v>
      </c>
      <c r="H2330" s="417" t="s">
        <v>2616</v>
      </c>
      <c r="I2330" s="417" t="s">
        <v>1392</v>
      </c>
      <c r="J2330" s="417" t="s">
        <v>4364</v>
      </c>
      <c r="K2330" s="417" t="s">
        <v>7070</v>
      </c>
      <c r="L2330" s="417"/>
      <c r="M2330" s="417" t="s">
        <v>28840</v>
      </c>
    </row>
    <row r="2331" spans="1:13" x14ac:dyDescent="0.25">
      <c r="A2331" s="417" t="s">
        <v>3385</v>
      </c>
      <c r="B2331" s="417" t="s">
        <v>2623</v>
      </c>
      <c r="C2331" s="417" t="s">
        <v>7071</v>
      </c>
      <c r="D2331" s="417" t="s">
        <v>88</v>
      </c>
      <c r="E2331" s="423">
        <v>0.1341568086972468</v>
      </c>
      <c r="F2331" s="423">
        <v>9.5070473683632592E-4</v>
      </c>
      <c r="G2331" s="422">
        <v>2144.3533016880428</v>
      </c>
      <c r="H2331" s="417" t="s">
        <v>2616</v>
      </c>
      <c r="I2331" s="417" t="s">
        <v>1392</v>
      </c>
      <c r="J2331" s="417" t="s">
        <v>4364</v>
      </c>
      <c r="K2331" s="417" t="s">
        <v>7072</v>
      </c>
      <c r="L2331" s="417"/>
      <c r="M2331" s="417" t="s">
        <v>28840</v>
      </c>
    </row>
    <row r="2332" spans="1:13" x14ac:dyDescent="0.25">
      <c r="A2332" s="417" t="s">
        <v>3385</v>
      </c>
      <c r="B2332" s="417" t="s">
        <v>2623</v>
      </c>
      <c r="C2332" s="417" t="s">
        <v>7073</v>
      </c>
      <c r="D2332" s="417" t="s">
        <v>88</v>
      </c>
      <c r="E2332" s="423">
        <v>3.0363056141041871</v>
      </c>
      <c r="F2332" s="423">
        <v>1.0053744691225781E-3</v>
      </c>
      <c r="G2332" s="422">
        <v>3112.97557553971</v>
      </c>
      <c r="H2332" s="417" t="s">
        <v>2616</v>
      </c>
      <c r="I2332" s="417" t="s">
        <v>1392</v>
      </c>
      <c r="J2332" s="417" t="s">
        <v>4364</v>
      </c>
      <c r="K2332" s="417" t="s">
        <v>7074</v>
      </c>
      <c r="L2332" s="417"/>
      <c r="M2332" s="417" t="s">
        <v>28840</v>
      </c>
    </row>
    <row r="2333" spans="1:13" x14ac:dyDescent="0.25">
      <c r="A2333" s="417" t="s">
        <v>3385</v>
      </c>
      <c r="B2333" s="417" t="s">
        <v>2627</v>
      </c>
      <c r="C2333" s="417" t="s">
        <v>7075</v>
      </c>
      <c r="D2333" s="417" t="s">
        <v>4315</v>
      </c>
      <c r="E2333" s="423">
        <v>0</v>
      </c>
      <c r="F2333" s="423">
        <v>0</v>
      </c>
      <c r="G2333" s="422">
        <v>0</v>
      </c>
      <c r="H2333" s="417" t="s">
        <v>2616</v>
      </c>
      <c r="I2333" s="417" t="s">
        <v>1392</v>
      </c>
      <c r="J2333" s="417" t="s">
        <v>4138</v>
      </c>
      <c r="K2333" s="417" t="s">
        <v>7076</v>
      </c>
      <c r="L2333" s="417"/>
      <c r="M2333" s="417" t="s">
        <v>28840</v>
      </c>
    </row>
    <row r="2334" spans="1:13" x14ac:dyDescent="0.25">
      <c r="A2334" s="417" t="s">
        <v>3385</v>
      </c>
      <c r="B2334" s="417" t="s">
        <v>2627</v>
      </c>
      <c r="C2334" s="417" t="s">
        <v>7077</v>
      </c>
      <c r="D2334" s="417" t="s">
        <v>4315</v>
      </c>
      <c r="E2334" s="423">
        <v>0</v>
      </c>
      <c r="F2334" s="423">
        <v>0</v>
      </c>
      <c r="G2334" s="422">
        <v>0</v>
      </c>
      <c r="H2334" s="417" t="s">
        <v>2616</v>
      </c>
      <c r="I2334" s="417" t="s">
        <v>1392</v>
      </c>
      <c r="J2334" s="417" t="s">
        <v>4138</v>
      </c>
      <c r="K2334" s="417" t="s">
        <v>7078</v>
      </c>
      <c r="L2334" s="417"/>
      <c r="M2334" s="417" t="s">
        <v>28840</v>
      </c>
    </row>
    <row r="2335" spans="1:13" x14ac:dyDescent="0.25">
      <c r="A2335" s="417" t="s">
        <v>3385</v>
      </c>
      <c r="B2335" s="417" t="s">
        <v>2627</v>
      </c>
      <c r="C2335" s="417" t="s">
        <v>7079</v>
      </c>
      <c r="D2335" s="417" t="s">
        <v>4315</v>
      </c>
      <c r="E2335" s="423">
        <v>0</v>
      </c>
      <c r="F2335" s="423">
        <v>0</v>
      </c>
      <c r="G2335" s="422">
        <v>0</v>
      </c>
      <c r="H2335" s="417" t="s">
        <v>2616</v>
      </c>
      <c r="I2335" s="417" t="s">
        <v>1392</v>
      </c>
      <c r="J2335" s="417" t="s">
        <v>4138</v>
      </c>
      <c r="K2335" s="417" t="s">
        <v>7080</v>
      </c>
      <c r="L2335" s="417"/>
      <c r="M2335" s="417" t="s">
        <v>28840</v>
      </c>
    </row>
    <row r="2336" spans="1:13" x14ac:dyDescent="0.25">
      <c r="A2336" s="417" t="s">
        <v>3385</v>
      </c>
      <c r="B2336" s="417" t="s">
        <v>2627</v>
      </c>
      <c r="C2336" s="417" t="s">
        <v>7081</v>
      </c>
      <c r="D2336" s="417" t="s">
        <v>4315</v>
      </c>
      <c r="E2336" s="423">
        <v>0</v>
      </c>
      <c r="F2336" s="423">
        <v>0</v>
      </c>
      <c r="G2336" s="422">
        <v>0</v>
      </c>
      <c r="H2336" s="417" t="s">
        <v>2616</v>
      </c>
      <c r="I2336" s="417" t="s">
        <v>1392</v>
      </c>
      <c r="J2336" s="417" t="s">
        <v>4138</v>
      </c>
      <c r="K2336" s="417" t="s">
        <v>7082</v>
      </c>
      <c r="L2336" s="417"/>
      <c r="M2336" s="417" t="s">
        <v>28840</v>
      </c>
    </row>
    <row r="2337" spans="1:13" x14ac:dyDescent="0.25">
      <c r="A2337" s="417" t="s">
        <v>3385</v>
      </c>
      <c r="B2337" s="417" t="s">
        <v>2623</v>
      </c>
      <c r="C2337" s="417" t="s">
        <v>7083</v>
      </c>
      <c r="D2337" s="417" t="s">
        <v>88</v>
      </c>
      <c r="E2337" s="423">
        <v>8.039849883837237E-2</v>
      </c>
      <c r="F2337" s="423">
        <v>9.4846034488759606E-4</v>
      </c>
      <c r="G2337" s="422">
        <v>1169.488542476819</v>
      </c>
      <c r="H2337" s="417" t="s">
        <v>2616</v>
      </c>
      <c r="I2337" s="417" t="s">
        <v>1392</v>
      </c>
      <c r="J2337" s="417" t="s">
        <v>4364</v>
      </c>
      <c r="K2337" s="417" t="s">
        <v>7084</v>
      </c>
      <c r="L2337" s="417"/>
      <c r="M2337" s="417" t="s">
        <v>28840</v>
      </c>
    </row>
    <row r="2338" spans="1:13" x14ac:dyDescent="0.25">
      <c r="A2338" s="417" t="s">
        <v>3385</v>
      </c>
      <c r="B2338" s="417" t="s">
        <v>2623</v>
      </c>
      <c r="C2338" s="417" t="s">
        <v>7085</v>
      </c>
      <c r="D2338" s="417" t="s">
        <v>88</v>
      </c>
      <c r="E2338" s="423">
        <v>2.0588319588910409</v>
      </c>
      <c r="F2338" s="423">
        <v>1.7181525303168761E-2</v>
      </c>
      <c r="G2338" s="422">
        <v>2297.078548760353</v>
      </c>
      <c r="H2338" s="417" t="s">
        <v>2616</v>
      </c>
      <c r="I2338" s="417" t="s">
        <v>1392</v>
      </c>
      <c r="J2338" s="417" t="s">
        <v>4364</v>
      </c>
      <c r="K2338" s="417" t="s">
        <v>7086</v>
      </c>
      <c r="L2338" s="417"/>
      <c r="M2338" s="417" t="s">
        <v>28840</v>
      </c>
    </row>
    <row r="2339" spans="1:13" x14ac:dyDescent="0.25">
      <c r="A2339" s="417" t="s">
        <v>3385</v>
      </c>
      <c r="B2339" s="417" t="s">
        <v>2623</v>
      </c>
      <c r="C2339" s="417" t="s">
        <v>7087</v>
      </c>
      <c r="D2339" s="417" t="s">
        <v>88</v>
      </c>
      <c r="E2339" s="423">
        <v>1.987240201478121</v>
      </c>
      <c r="F2339" s="423">
        <v>9.2591079696500295E-3</v>
      </c>
      <c r="G2339" s="422">
        <v>2203.7367717836032</v>
      </c>
      <c r="H2339" s="417" t="s">
        <v>2616</v>
      </c>
      <c r="I2339" s="417" t="s">
        <v>1392</v>
      </c>
      <c r="J2339" s="417" t="s">
        <v>5990</v>
      </c>
      <c r="K2339" s="417" t="s">
        <v>7088</v>
      </c>
      <c r="L2339" s="417"/>
      <c r="M2339" s="417" t="s">
        <v>28840</v>
      </c>
    </row>
    <row r="2340" spans="1:13" x14ac:dyDescent="0.25">
      <c r="A2340" s="417" t="s">
        <v>3385</v>
      </c>
      <c r="B2340" s="417" t="s">
        <v>2623</v>
      </c>
      <c r="C2340" s="417" t="s">
        <v>7089</v>
      </c>
      <c r="D2340" s="417" t="s">
        <v>4476</v>
      </c>
      <c r="E2340" s="423">
        <v>6.4752940314432132</v>
      </c>
      <c r="F2340" s="423">
        <v>0.44879777824951511</v>
      </c>
      <c r="G2340" s="422">
        <v>14200.19544735514</v>
      </c>
      <c r="H2340" s="417" t="s">
        <v>2616</v>
      </c>
      <c r="I2340" s="417" t="s">
        <v>1392</v>
      </c>
      <c r="J2340" s="417" t="s">
        <v>5983</v>
      </c>
      <c r="K2340" s="417" t="s">
        <v>7090</v>
      </c>
      <c r="L2340" s="417"/>
      <c r="M2340" s="417" t="s">
        <v>28840</v>
      </c>
    </row>
    <row r="2341" spans="1:13" x14ac:dyDescent="0.25">
      <c r="A2341" s="417" t="s">
        <v>3385</v>
      </c>
      <c r="B2341" s="417" t="s">
        <v>2627</v>
      </c>
      <c r="C2341" s="417" t="s">
        <v>7091</v>
      </c>
      <c r="D2341" s="417" t="s">
        <v>88</v>
      </c>
      <c r="E2341" s="423">
        <v>1.145692195983355E-3</v>
      </c>
      <c r="F2341" s="423">
        <v>5.6215607040000003E-5</v>
      </c>
      <c r="G2341" s="422">
        <v>48.163747419760497</v>
      </c>
      <c r="H2341" s="417" t="s">
        <v>2616</v>
      </c>
      <c r="I2341" s="417" t="s">
        <v>1392</v>
      </c>
      <c r="J2341" s="417" t="s">
        <v>3958</v>
      </c>
      <c r="K2341" s="417" t="s">
        <v>7092</v>
      </c>
      <c r="L2341" s="417"/>
      <c r="M2341" s="417" t="s">
        <v>28840</v>
      </c>
    </row>
    <row r="2342" spans="1:13" x14ac:dyDescent="0.25">
      <c r="A2342" s="417" t="s">
        <v>3385</v>
      </c>
      <c r="B2342" s="417" t="s">
        <v>2623</v>
      </c>
      <c r="C2342" s="417" t="s">
        <v>7093</v>
      </c>
      <c r="D2342" s="417" t="s">
        <v>88</v>
      </c>
      <c r="E2342" s="423">
        <v>8.4476906351101555E-2</v>
      </c>
      <c r="F2342" s="423">
        <v>0.40559096242743919</v>
      </c>
      <c r="G2342" s="422">
        <v>141.49696130361261</v>
      </c>
      <c r="H2342" s="417" t="s">
        <v>2616</v>
      </c>
      <c r="I2342" s="417" t="s">
        <v>1392</v>
      </c>
      <c r="J2342" s="417" t="s">
        <v>5990</v>
      </c>
      <c r="K2342" s="417" t="s">
        <v>7094</v>
      </c>
      <c r="L2342" s="417"/>
      <c r="M2342" s="417" t="s">
        <v>28840</v>
      </c>
    </row>
    <row r="2343" spans="1:13" x14ac:dyDescent="0.25">
      <c r="A2343" s="417" t="s">
        <v>3385</v>
      </c>
      <c r="B2343" s="417" t="s">
        <v>2627</v>
      </c>
      <c r="C2343" s="417" t="s">
        <v>7095</v>
      </c>
      <c r="D2343" s="417" t="s">
        <v>88</v>
      </c>
      <c r="E2343" s="423">
        <v>0</v>
      </c>
      <c r="F2343" s="423">
        <v>0</v>
      </c>
      <c r="G2343" s="422">
        <v>0</v>
      </c>
      <c r="H2343" s="417" t="s">
        <v>2616</v>
      </c>
      <c r="I2343" s="417" t="s">
        <v>1392</v>
      </c>
      <c r="J2343" s="417" t="s">
        <v>7096</v>
      </c>
      <c r="K2343" s="417" t="s">
        <v>7097</v>
      </c>
      <c r="L2343" s="417"/>
      <c r="M2343" s="417" t="s">
        <v>28840</v>
      </c>
    </row>
    <row r="2344" spans="1:13" x14ac:dyDescent="0.25">
      <c r="A2344" s="417" t="s">
        <v>3385</v>
      </c>
      <c r="B2344" s="417" t="s">
        <v>2623</v>
      </c>
      <c r="C2344" s="417" t="s">
        <v>7098</v>
      </c>
      <c r="D2344" s="417" t="s">
        <v>88</v>
      </c>
      <c r="E2344" s="423">
        <v>1.0633757112191789E-2</v>
      </c>
      <c r="F2344" s="423">
        <v>3.4574117200529011E-4</v>
      </c>
      <c r="G2344" s="422">
        <v>692.78938754421279</v>
      </c>
      <c r="H2344" s="417" t="s">
        <v>2616</v>
      </c>
      <c r="I2344" s="417" t="s">
        <v>1392</v>
      </c>
      <c r="J2344" s="417" t="s">
        <v>6015</v>
      </c>
      <c r="K2344" s="417" t="s">
        <v>7099</v>
      </c>
      <c r="L2344" s="417"/>
      <c r="M2344" s="417" t="s">
        <v>28840</v>
      </c>
    </row>
    <row r="2345" spans="1:13" x14ac:dyDescent="0.25">
      <c r="A2345" s="417" t="s">
        <v>3385</v>
      </c>
      <c r="B2345" s="417" t="s">
        <v>2623</v>
      </c>
      <c r="C2345" s="417" t="s">
        <v>7100</v>
      </c>
      <c r="D2345" s="417" t="s">
        <v>88</v>
      </c>
      <c r="E2345" s="423">
        <v>2.3083009743388589</v>
      </c>
      <c r="F2345" s="423">
        <v>7.0565012030626212E-3</v>
      </c>
      <c r="G2345" s="422">
        <v>2890.6159384048151</v>
      </c>
      <c r="H2345" s="417" t="s">
        <v>2616</v>
      </c>
      <c r="I2345" s="417" t="s">
        <v>1392</v>
      </c>
      <c r="J2345" s="417" t="s">
        <v>6002</v>
      </c>
      <c r="K2345" s="417" t="s">
        <v>7101</v>
      </c>
      <c r="L2345" s="417"/>
      <c r="M2345" s="417" t="s">
        <v>28840</v>
      </c>
    </row>
    <row r="2346" spans="1:13" x14ac:dyDescent="0.25">
      <c r="A2346" s="417" t="s">
        <v>3385</v>
      </c>
      <c r="B2346" s="417" t="s">
        <v>2623</v>
      </c>
      <c r="C2346" s="417" t="s">
        <v>7102</v>
      </c>
      <c r="D2346" s="417" t="s">
        <v>88</v>
      </c>
      <c r="E2346" s="423">
        <v>0.74209856645756367</v>
      </c>
      <c r="F2346" s="423">
        <v>7.0301024646702475E-4</v>
      </c>
      <c r="G2346" s="422">
        <v>918.20158149829717</v>
      </c>
      <c r="H2346" s="417" t="s">
        <v>2616</v>
      </c>
      <c r="I2346" s="417" t="s">
        <v>1392</v>
      </c>
      <c r="J2346" s="417" t="s">
        <v>5995</v>
      </c>
      <c r="K2346" s="417" t="s">
        <v>7103</v>
      </c>
      <c r="L2346" s="417"/>
      <c r="M2346" s="417" t="s">
        <v>28840</v>
      </c>
    </row>
    <row r="2347" spans="1:13" x14ac:dyDescent="0.25">
      <c r="A2347" s="417" t="s">
        <v>3385</v>
      </c>
      <c r="B2347" s="417" t="s">
        <v>2623</v>
      </c>
      <c r="C2347" s="417" t="s">
        <v>7104</v>
      </c>
      <c r="D2347" s="417" t="s">
        <v>88</v>
      </c>
      <c r="E2347" s="423">
        <v>0.30121365005901968</v>
      </c>
      <c r="F2347" s="423">
        <v>1.8695406051512861E-2</v>
      </c>
      <c r="G2347" s="422">
        <v>427.44612445621863</v>
      </c>
      <c r="H2347" s="417" t="s">
        <v>2616</v>
      </c>
      <c r="I2347" s="417" t="s">
        <v>1392</v>
      </c>
      <c r="J2347" s="417" t="s">
        <v>6015</v>
      </c>
      <c r="K2347" s="417" t="s">
        <v>7105</v>
      </c>
      <c r="L2347" s="417"/>
      <c r="M2347" s="417" t="s">
        <v>28840</v>
      </c>
    </row>
    <row r="2348" spans="1:13" x14ac:dyDescent="0.25">
      <c r="A2348" s="417" t="s">
        <v>3385</v>
      </c>
      <c r="B2348" s="417" t="s">
        <v>2623</v>
      </c>
      <c r="C2348" s="417" t="s">
        <v>7106</v>
      </c>
      <c r="D2348" s="417" t="s">
        <v>989</v>
      </c>
      <c r="E2348" s="423">
        <v>1823.592839644758</v>
      </c>
      <c r="F2348" s="423">
        <v>9103.8859279317658</v>
      </c>
      <c r="G2348" s="422">
        <v>22621305.814404119</v>
      </c>
      <c r="H2348" s="417" t="s">
        <v>2616</v>
      </c>
      <c r="I2348" s="417" t="s">
        <v>1392</v>
      </c>
      <c r="J2348" s="417" t="s">
        <v>5983</v>
      </c>
      <c r="K2348" s="417" t="s">
        <v>7107</v>
      </c>
      <c r="L2348" s="417"/>
      <c r="M2348" s="417" t="s">
        <v>28840</v>
      </c>
    </row>
    <row r="2349" spans="1:13" x14ac:dyDescent="0.25">
      <c r="A2349" s="417" t="s">
        <v>3385</v>
      </c>
      <c r="B2349" s="417" t="s">
        <v>2623</v>
      </c>
      <c r="C2349" s="417" t="s">
        <v>7108</v>
      </c>
      <c r="D2349" s="417" t="s">
        <v>88</v>
      </c>
      <c r="E2349" s="423">
        <v>1.2017796877947689E-2</v>
      </c>
      <c r="F2349" s="423">
        <v>4.2178136831501052E-4</v>
      </c>
      <c r="G2349" s="422">
        <v>18.96218026657451</v>
      </c>
      <c r="H2349" s="417" t="s">
        <v>2616</v>
      </c>
      <c r="I2349" s="417" t="s">
        <v>1392</v>
      </c>
      <c r="J2349" s="417" t="s">
        <v>4364</v>
      </c>
      <c r="K2349" s="417" t="s">
        <v>7109</v>
      </c>
      <c r="L2349" s="417"/>
      <c r="M2349" s="417" t="s">
        <v>28840</v>
      </c>
    </row>
    <row r="2350" spans="1:13" x14ac:dyDescent="0.25">
      <c r="A2350" s="417" t="s">
        <v>3385</v>
      </c>
      <c r="B2350" s="417" t="s">
        <v>2623</v>
      </c>
      <c r="C2350" s="417" t="s">
        <v>7110</v>
      </c>
      <c r="D2350" s="417" t="s">
        <v>563</v>
      </c>
      <c r="E2350" s="423">
        <v>0.17839156050884669</v>
      </c>
      <c r="F2350" s="423">
        <v>7.420942971052483E-3</v>
      </c>
      <c r="G2350" s="422">
        <v>602.02077045423675</v>
      </c>
      <c r="H2350" s="417" t="s">
        <v>2616</v>
      </c>
      <c r="I2350" s="417" t="s">
        <v>1392</v>
      </c>
      <c r="J2350" s="417" t="s">
        <v>4364</v>
      </c>
      <c r="K2350" s="417" t="s">
        <v>7111</v>
      </c>
      <c r="L2350" s="417"/>
      <c r="M2350" s="417" t="s">
        <v>28840</v>
      </c>
    </row>
    <row r="2351" spans="1:13" x14ac:dyDescent="0.25">
      <c r="A2351" s="417" t="s">
        <v>3385</v>
      </c>
      <c r="B2351" s="417" t="s">
        <v>2623</v>
      </c>
      <c r="C2351" s="417" t="s">
        <v>7112</v>
      </c>
      <c r="D2351" s="417" t="s">
        <v>563</v>
      </c>
      <c r="E2351" s="423">
        <v>7.8046307722570346E-2</v>
      </c>
      <c r="F2351" s="423">
        <v>3.24666255001385E-3</v>
      </c>
      <c r="G2351" s="422">
        <v>263.38408702903229</v>
      </c>
      <c r="H2351" s="417" t="s">
        <v>2616</v>
      </c>
      <c r="I2351" s="417" t="s">
        <v>1392</v>
      </c>
      <c r="J2351" s="417" t="s">
        <v>4364</v>
      </c>
      <c r="K2351" s="417" t="s">
        <v>7113</v>
      </c>
      <c r="L2351" s="417"/>
      <c r="M2351" s="417" t="s">
        <v>28840</v>
      </c>
    </row>
    <row r="2352" spans="1:13" x14ac:dyDescent="0.25">
      <c r="A2352" s="417" t="s">
        <v>3385</v>
      </c>
      <c r="B2352" s="417" t="s">
        <v>2623</v>
      </c>
      <c r="C2352" s="417" t="s">
        <v>7114</v>
      </c>
      <c r="D2352" s="417" t="s">
        <v>563</v>
      </c>
      <c r="E2352" s="423">
        <v>3.884931603346613</v>
      </c>
      <c r="F2352" s="423">
        <v>8.7786047779200103E-3</v>
      </c>
      <c r="G2352" s="422">
        <v>4546.1870886239967</v>
      </c>
      <c r="H2352" s="417" t="s">
        <v>2616</v>
      </c>
      <c r="I2352" s="417" t="s">
        <v>1392</v>
      </c>
      <c r="J2352" s="417" t="s">
        <v>4364</v>
      </c>
      <c r="K2352" s="417" t="s">
        <v>7115</v>
      </c>
      <c r="L2352" s="417"/>
      <c r="M2352" s="417" t="s">
        <v>28840</v>
      </c>
    </row>
    <row r="2353" spans="1:13" x14ac:dyDescent="0.25">
      <c r="A2353" s="417" t="s">
        <v>3385</v>
      </c>
      <c r="B2353" s="417" t="s">
        <v>2623</v>
      </c>
      <c r="C2353" s="417" t="s">
        <v>7116</v>
      </c>
      <c r="D2353" s="417" t="s">
        <v>88</v>
      </c>
      <c r="E2353" s="423">
        <v>2.1271950114109071E-2</v>
      </c>
      <c r="F2353" s="423">
        <v>5.6241782820807358E-4</v>
      </c>
      <c r="G2353" s="422">
        <v>132.50743020395839</v>
      </c>
      <c r="H2353" s="417" t="s">
        <v>2616</v>
      </c>
      <c r="I2353" s="417" t="s">
        <v>1392</v>
      </c>
      <c r="J2353" s="417" t="s">
        <v>5995</v>
      </c>
      <c r="K2353" s="417" t="s">
        <v>7117</v>
      </c>
      <c r="L2353" s="417"/>
      <c r="M2353" s="417" t="s">
        <v>28840</v>
      </c>
    </row>
    <row r="2354" spans="1:13" x14ac:dyDescent="0.25">
      <c r="A2354" s="417" t="s">
        <v>3385</v>
      </c>
      <c r="B2354" s="417" t="s">
        <v>2623</v>
      </c>
      <c r="C2354" s="417" t="s">
        <v>7118</v>
      </c>
      <c r="D2354" s="417" t="s">
        <v>88</v>
      </c>
      <c r="E2354" s="423">
        <v>0.30107017418616222</v>
      </c>
      <c r="F2354" s="423">
        <v>1.8686512874611028E-2</v>
      </c>
      <c r="G2354" s="422">
        <v>26901.561772651581</v>
      </c>
      <c r="H2354" s="417" t="s">
        <v>2616</v>
      </c>
      <c r="I2354" s="417" t="s">
        <v>1392</v>
      </c>
      <c r="J2354" s="417" t="s">
        <v>6015</v>
      </c>
      <c r="K2354" s="417" t="s">
        <v>7119</v>
      </c>
      <c r="L2354" s="417"/>
      <c r="M2354" s="417" t="s">
        <v>28840</v>
      </c>
    </row>
    <row r="2355" spans="1:13" x14ac:dyDescent="0.25">
      <c r="A2355" s="417" t="s">
        <v>3385</v>
      </c>
      <c r="B2355" s="417" t="s">
        <v>2623</v>
      </c>
      <c r="C2355" s="417" t="s">
        <v>7120</v>
      </c>
      <c r="D2355" s="417" t="s">
        <v>88</v>
      </c>
      <c r="E2355" s="423">
        <v>2.8418125097652762</v>
      </c>
      <c r="F2355" s="423">
        <v>1.1070572770384779E-3</v>
      </c>
      <c r="G2355" s="422">
        <v>2986.1920193156411</v>
      </c>
      <c r="H2355" s="417" t="s">
        <v>2616</v>
      </c>
      <c r="I2355" s="417" t="s">
        <v>1392</v>
      </c>
      <c r="J2355" s="417" t="s">
        <v>5990</v>
      </c>
      <c r="K2355" s="417" t="s">
        <v>7121</v>
      </c>
      <c r="L2355" s="417"/>
      <c r="M2355" s="417" t="s">
        <v>28840</v>
      </c>
    </row>
    <row r="2356" spans="1:13" x14ac:dyDescent="0.25">
      <c r="A2356" s="417" t="s">
        <v>3385</v>
      </c>
      <c r="B2356" s="417" t="s">
        <v>2623</v>
      </c>
      <c r="C2356" s="417" t="s">
        <v>7122</v>
      </c>
      <c r="D2356" s="417" t="s">
        <v>88</v>
      </c>
      <c r="E2356" s="423">
        <v>2.2903111731171042</v>
      </c>
      <c r="F2356" s="423">
        <v>1.0264609735987601E-3</v>
      </c>
      <c r="G2356" s="422">
        <v>2409.9769629633688</v>
      </c>
      <c r="H2356" s="417" t="s">
        <v>2616</v>
      </c>
      <c r="I2356" s="417" t="s">
        <v>1392</v>
      </c>
      <c r="J2356" s="417" t="s">
        <v>5990</v>
      </c>
      <c r="K2356" s="417" t="s">
        <v>7123</v>
      </c>
      <c r="L2356" s="417"/>
      <c r="M2356" s="417" t="s">
        <v>28840</v>
      </c>
    </row>
    <row r="2357" spans="1:13" x14ac:dyDescent="0.25">
      <c r="A2357" s="417" t="s">
        <v>3385</v>
      </c>
      <c r="B2357" s="417" t="s">
        <v>2623</v>
      </c>
      <c r="C2357" s="417" t="s">
        <v>7124</v>
      </c>
      <c r="D2357" s="417" t="s">
        <v>88</v>
      </c>
      <c r="E2357" s="423">
        <v>2.3717053937331878</v>
      </c>
      <c r="F2357" s="423">
        <v>1.004395594625031E-3</v>
      </c>
      <c r="G2357" s="422">
        <v>2494.3152385825329</v>
      </c>
      <c r="H2357" s="417" t="s">
        <v>2616</v>
      </c>
      <c r="I2357" s="417" t="s">
        <v>1392</v>
      </c>
      <c r="J2357" s="417" t="s">
        <v>5990</v>
      </c>
      <c r="K2357" s="417" t="s">
        <v>7125</v>
      </c>
      <c r="L2357" s="417"/>
      <c r="M2357" s="417" t="s">
        <v>28840</v>
      </c>
    </row>
    <row r="2358" spans="1:13" x14ac:dyDescent="0.25">
      <c r="A2358" s="417" t="s">
        <v>3385</v>
      </c>
      <c r="B2358" s="417" t="s">
        <v>2623</v>
      </c>
      <c r="C2358" s="417" t="s">
        <v>7126</v>
      </c>
      <c r="D2358" s="417" t="s">
        <v>88</v>
      </c>
      <c r="E2358" s="423">
        <v>2.9287119501862242</v>
      </c>
      <c r="F2358" s="423">
        <v>1.1176068560115209E-3</v>
      </c>
      <c r="G2358" s="422">
        <v>3076.9439053412029</v>
      </c>
      <c r="H2358" s="417" t="s">
        <v>2616</v>
      </c>
      <c r="I2358" s="417" t="s">
        <v>1392</v>
      </c>
      <c r="J2358" s="417" t="s">
        <v>5990</v>
      </c>
      <c r="K2358" s="417" t="s">
        <v>7127</v>
      </c>
      <c r="L2358" s="417"/>
      <c r="M2358" s="417" t="s">
        <v>28840</v>
      </c>
    </row>
    <row r="2359" spans="1:13" x14ac:dyDescent="0.25">
      <c r="A2359" s="417" t="s">
        <v>3385</v>
      </c>
      <c r="B2359" s="417" t="s">
        <v>2623</v>
      </c>
      <c r="C2359" s="417" t="s">
        <v>7128</v>
      </c>
      <c r="D2359" s="417" t="s">
        <v>88</v>
      </c>
      <c r="E2359" s="423">
        <v>2.84631676474307</v>
      </c>
      <c r="F2359" s="423">
        <v>1.1055533683559131E-3</v>
      </c>
      <c r="G2359" s="422">
        <v>2990.8536404694992</v>
      </c>
      <c r="H2359" s="417" t="s">
        <v>2616</v>
      </c>
      <c r="I2359" s="417" t="s">
        <v>1392</v>
      </c>
      <c r="J2359" s="417" t="s">
        <v>5990</v>
      </c>
      <c r="K2359" s="417" t="s">
        <v>7129</v>
      </c>
      <c r="L2359" s="417"/>
      <c r="M2359" s="417" t="s">
        <v>28840</v>
      </c>
    </row>
    <row r="2360" spans="1:13" x14ac:dyDescent="0.25">
      <c r="A2360" s="417" t="s">
        <v>3385</v>
      </c>
      <c r="B2360" s="417" t="s">
        <v>2623</v>
      </c>
      <c r="C2360" s="417" t="s">
        <v>7130</v>
      </c>
      <c r="D2360" s="417" t="s">
        <v>88</v>
      </c>
      <c r="E2360" s="423">
        <v>2.9652935316311129</v>
      </c>
      <c r="F2360" s="423">
        <v>1.1191948839900979E-3</v>
      </c>
      <c r="G2360" s="422">
        <v>3115.08572491627</v>
      </c>
      <c r="H2360" s="417" t="s">
        <v>2616</v>
      </c>
      <c r="I2360" s="417" t="s">
        <v>1392</v>
      </c>
      <c r="J2360" s="417" t="s">
        <v>5990</v>
      </c>
      <c r="K2360" s="417" t="s">
        <v>7131</v>
      </c>
      <c r="L2360" s="417"/>
      <c r="M2360" s="417" t="s">
        <v>28840</v>
      </c>
    </row>
    <row r="2361" spans="1:13" x14ac:dyDescent="0.25">
      <c r="A2361" s="417" t="s">
        <v>3385</v>
      </c>
      <c r="B2361" s="417" t="s">
        <v>2623</v>
      </c>
      <c r="C2361" s="417" t="s">
        <v>7132</v>
      </c>
      <c r="D2361" s="417" t="s">
        <v>88</v>
      </c>
      <c r="E2361" s="423">
        <v>3.0017949708645588</v>
      </c>
      <c r="F2361" s="423">
        <v>1.1269586132508921E-3</v>
      </c>
      <c r="G2361" s="422">
        <v>3153.2723058584729</v>
      </c>
      <c r="H2361" s="417" t="s">
        <v>2616</v>
      </c>
      <c r="I2361" s="417" t="s">
        <v>1392</v>
      </c>
      <c r="J2361" s="417" t="s">
        <v>5990</v>
      </c>
      <c r="K2361" s="417" t="s">
        <v>7133</v>
      </c>
      <c r="L2361" s="417"/>
      <c r="M2361" s="417" t="s">
        <v>28840</v>
      </c>
    </row>
    <row r="2362" spans="1:13" x14ac:dyDescent="0.25">
      <c r="A2362" s="417" t="s">
        <v>3385</v>
      </c>
      <c r="B2362" s="417" t="s">
        <v>2623</v>
      </c>
      <c r="C2362" s="417" t="s">
        <v>7134</v>
      </c>
      <c r="D2362" s="417" t="s">
        <v>88</v>
      </c>
      <c r="E2362" s="423">
        <v>2.4750625122519749</v>
      </c>
      <c r="F2362" s="423">
        <v>1.0800716538572461E-3</v>
      </c>
      <c r="G2362" s="422">
        <v>2603.5670989493328</v>
      </c>
      <c r="H2362" s="417" t="s">
        <v>2616</v>
      </c>
      <c r="I2362" s="417" t="s">
        <v>1392</v>
      </c>
      <c r="J2362" s="417" t="s">
        <v>5990</v>
      </c>
      <c r="K2362" s="417" t="s">
        <v>7135</v>
      </c>
      <c r="L2362" s="417"/>
      <c r="M2362" s="417" t="s">
        <v>28840</v>
      </c>
    </row>
    <row r="2363" spans="1:13" x14ac:dyDescent="0.25">
      <c r="A2363" s="417" t="s">
        <v>3385</v>
      </c>
      <c r="B2363" s="417" t="s">
        <v>2623</v>
      </c>
      <c r="C2363" s="417" t="s">
        <v>7136</v>
      </c>
      <c r="D2363" s="417" t="s">
        <v>88</v>
      </c>
      <c r="E2363" s="423">
        <v>0.86204655214371972</v>
      </c>
      <c r="F2363" s="423">
        <v>1.7435142254182249E-3</v>
      </c>
      <c r="G2363" s="422">
        <v>1119.792927046223</v>
      </c>
      <c r="H2363" s="417" t="s">
        <v>2616</v>
      </c>
      <c r="I2363" s="417" t="s">
        <v>1392</v>
      </c>
      <c r="J2363" s="417" t="s">
        <v>4364</v>
      </c>
      <c r="K2363" s="417" t="s">
        <v>7137</v>
      </c>
      <c r="L2363" s="417"/>
      <c r="M2363" s="417" t="s">
        <v>28840</v>
      </c>
    </row>
    <row r="2364" spans="1:13" x14ac:dyDescent="0.25">
      <c r="A2364" s="417" t="s">
        <v>3385</v>
      </c>
      <c r="B2364" s="417" t="s">
        <v>2623</v>
      </c>
      <c r="C2364" s="417" t="s">
        <v>7138</v>
      </c>
      <c r="D2364" s="417" t="s">
        <v>4476</v>
      </c>
      <c r="E2364" s="423">
        <v>0.10181452988625619</v>
      </c>
      <c r="F2364" s="423">
        <v>6.7824735674430533E-3</v>
      </c>
      <c r="G2364" s="422">
        <v>189.7557498553569</v>
      </c>
      <c r="H2364" s="417" t="s">
        <v>2616</v>
      </c>
      <c r="I2364" s="417" t="s">
        <v>1392</v>
      </c>
      <c r="J2364" s="417" t="s">
        <v>5983</v>
      </c>
      <c r="K2364" s="417" t="s">
        <v>7139</v>
      </c>
      <c r="L2364" s="417"/>
      <c r="M2364" s="417" t="s">
        <v>28840</v>
      </c>
    </row>
    <row r="2365" spans="1:13" x14ac:dyDescent="0.25">
      <c r="A2365" s="417" t="s">
        <v>3385</v>
      </c>
      <c r="B2365" s="417" t="s">
        <v>2627</v>
      </c>
      <c r="C2365" s="417" t="s">
        <v>7140</v>
      </c>
      <c r="D2365" s="417" t="s">
        <v>88</v>
      </c>
      <c r="E2365" s="423">
        <v>3.8931613217830078E-3</v>
      </c>
      <c r="F2365" s="423">
        <v>2.059188194E-4</v>
      </c>
      <c r="G2365" s="422">
        <v>298.29788388665071</v>
      </c>
      <c r="H2365" s="417" t="s">
        <v>2616</v>
      </c>
      <c r="I2365" s="417" t="s">
        <v>1392</v>
      </c>
      <c r="J2365" s="417" t="s">
        <v>7141</v>
      </c>
      <c r="K2365" s="417" t="s">
        <v>7142</v>
      </c>
      <c r="L2365" s="417"/>
      <c r="M2365" s="417" t="s">
        <v>28840</v>
      </c>
    </row>
    <row r="2366" spans="1:13" x14ac:dyDescent="0.25">
      <c r="A2366" s="417" t="s">
        <v>3385</v>
      </c>
      <c r="B2366" s="417" t="s">
        <v>2623</v>
      </c>
      <c r="C2366" s="417" t="s">
        <v>7143</v>
      </c>
      <c r="D2366" s="417" t="s">
        <v>563</v>
      </c>
      <c r="E2366" s="423">
        <v>0.67669606007372518</v>
      </c>
      <c r="F2366" s="423">
        <v>3.3866075187204401E-3</v>
      </c>
      <c r="G2366" s="422">
        <v>770.62509922106551</v>
      </c>
      <c r="H2366" s="417" t="s">
        <v>2616</v>
      </c>
      <c r="I2366" s="417" t="s">
        <v>1392</v>
      </c>
      <c r="J2366" s="417" t="s">
        <v>4364</v>
      </c>
      <c r="K2366" s="417" t="s">
        <v>7144</v>
      </c>
      <c r="L2366" s="417"/>
      <c r="M2366" s="417" t="s">
        <v>28840</v>
      </c>
    </row>
    <row r="2367" spans="1:13" x14ac:dyDescent="0.25">
      <c r="A2367" s="417" t="s">
        <v>3385</v>
      </c>
      <c r="B2367" s="417" t="s">
        <v>2627</v>
      </c>
      <c r="C2367" s="417" t="s">
        <v>7145</v>
      </c>
      <c r="D2367" s="417" t="s">
        <v>563</v>
      </c>
      <c r="E2367" s="423">
        <v>2.007112422642523</v>
      </c>
      <c r="F2367" s="423">
        <v>9.9546731880075087E-4</v>
      </c>
      <c r="G2367" s="422">
        <v>2091.7515187360209</v>
      </c>
      <c r="H2367" s="417" t="s">
        <v>2616</v>
      </c>
      <c r="I2367" s="417" t="s">
        <v>1392</v>
      </c>
      <c r="J2367" s="417" t="s">
        <v>3433</v>
      </c>
      <c r="K2367" s="417" t="s">
        <v>7146</v>
      </c>
      <c r="L2367" s="417"/>
      <c r="M2367" s="417" t="s">
        <v>28840</v>
      </c>
    </row>
    <row r="2368" spans="1:13" x14ac:dyDescent="0.25">
      <c r="A2368" s="417" t="s">
        <v>3385</v>
      </c>
      <c r="B2368" s="417" t="s">
        <v>2623</v>
      </c>
      <c r="C2368" s="417" t="s">
        <v>7147</v>
      </c>
      <c r="D2368" s="417" t="s">
        <v>88</v>
      </c>
      <c r="E2368" s="423">
        <v>1.2454555428310071E-2</v>
      </c>
      <c r="F2368" s="423">
        <v>4.8356273531139179E-4</v>
      </c>
      <c r="G2368" s="422">
        <v>35.005032224257121</v>
      </c>
      <c r="H2368" s="417" t="s">
        <v>2616</v>
      </c>
      <c r="I2368" s="417" t="s">
        <v>1392</v>
      </c>
      <c r="J2368" s="417" t="s">
        <v>4364</v>
      </c>
      <c r="K2368" s="417" t="s">
        <v>7148</v>
      </c>
      <c r="L2368" s="417"/>
      <c r="M2368" s="417" t="s">
        <v>28840</v>
      </c>
    </row>
    <row r="2369" spans="1:13" x14ac:dyDescent="0.25">
      <c r="A2369" s="417" t="s">
        <v>3385</v>
      </c>
      <c r="B2369" s="417" t="s">
        <v>2623</v>
      </c>
      <c r="C2369" s="417" t="s">
        <v>7149</v>
      </c>
      <c r="D2369" s="417" t="s">
        <v>88</v>
      </c>
      <c r="E2369" s="423">
        <v>1.498691858648689</v>
      </c>
      <c r="F2369" s="423">
        <v>1.7600012385063919E-3</v>
      </c>
      <c r="G2369" s="422">
        <v>1596.222239712692</v>
      </c>
      <c r="H2369" s="417" t="s">
        <v>2616</v>
      </c>
      <c r="I2369" s="417" t="s">
        <v>1392</v>
      </c>
      <c r="J2369" s="417" t="s">
        <v>4364</v>
      </c>
      <c r="K2369" s="417" t="s">
        <v>7150</v>
      </c>
      <c r="L2369" s="417"/>
      <c r="M2369" s="417" t="s">
        <v>28840</v>
      </c>
    </row>
    <row r="2370" spans="1:13" x14ac:dyDescent="0.25">
      <c r="A2370" s="417" t="s">
        <v>3385</v>
      </c>
      <c r="B2370" s="417" t="s">
        <v>2623</v>
      </c>
      <c r="C2370" s="417" t="s">
        <v>7151</v>
      </c>
      <c r="D2370" s="417" t="s">
        <v>563</v>
      </c>
      <c r="E2370" s="423">
        <v>11.939851157113621</v>
      </c>
      <c r="F2370" s="423">
        <v>2.0090847719800721E-2</v>
      </c>
      <c r="G2370" s="422">
        <v>13399.74543942036</v>
      </c>
      <c r="H2370" s="417" t="s">
        <v>2616</v>
      </c>
      <c r="I2370" s="417" t="s">
        <v>1392</v>
      </c>
      <c r="J2370" s="417" t="s">
        <v>4364</v>
      </c>
      <c r="K2370" s="417" t="s">
        <v>7152</v>
      </c>
      <c r="L2370" s="417"/>
      <c r="M2370" s="417" t="s">
        <v>28840</v>
      </c>
    </row>
    <row r="2371" spans="1:13" x14ac:dyDescent="0.25">
      <c r="A2371" s="417" t="s">
        <v>3385</v>
      </c>
      <c r="B2371" s="417" t="s">
        <v>2623</v>
      </c>
      <c r="C2371" s="417" t="s">
        <v>7153</v>
      </c>
      <c r="D2371" s="417" t="s">
        <v>88</v>
      </c>
      <c r="E2371" s="423">
        <v>3.1591181400036761</v>
      </c>
      <c r="F2371" s="423">
        <v>1.5747708864874701E-3</v>
      </c>
      <c r="G2371" s="422">
        <v>3275.6754989039568</v>
      </c>
      <c r="H2371" s="417" t="s">
        <v>2616</v>
      </c>
      <c r="I2371" s="417" t="s">
        <v>1392</v>
      </c>
      <c r="J2371" s="417" t="s">
        <v>5990</v>
      </c>
      <c r="K2371" s="417" t="s">
        <v>7154</v>
      </c>
      <c r="L2371" s="417"/>
      <c r="M2371" s="417" t="s">
        <v>28840</v>
      </c>
    </row>
    <row r="2372" spans="1:13" x14ac:dyDescent="0.25">
      <c r="A2372" s="417" t="s">
        <v>3385</v>
      </c>
      <c r="B2372" s="417" t="s">
        <v>2623</v>
      </c>
      <c r="C2372" s="417" t="s">
        <v>7155</v>
      </c>
      <c r="D2372" s="417" t="s">
        <v>88</v>
      </c>
      <c r="E2372" s="423">
        <v>1.0633757112191789E-2</v>
      </c>
      <c r="F2372" s="423">
        <v>3.4574117200529011E-4</v>
      </c>
      <c r="G2372" s="422">
        <v>27.676216559992341</v>
      </c>
      <c r="H2372" s="417" t="s">
        <v>2616</v>
      </c>
      <c r="I2372" s="417" t="s">
        <v>1392</v>
      </c>
      <c r="J2372" s="417" t="s">
        <v>6015</v>
      </c>
      <c r="K2372" s="417" t="s">
        <v>7156</v>
      </c>
      <c r="L2372" s="417"/>
      <c r="M2372" s="417" t="s">
        <v>28840</v>
      </c>
    </row>
    <row r="2373" spans="1:13" x14ac:dyDescent="0.25">
      <c r="A2373" s="417" t="s">
        <v>3385</v>
      </c>
      <c r="B2373" s="417" t="s">
        <v>2623</v>
      </c>
      <c r="C2373" s="417" t="s">
        <v>7157</v>
      </c>
      <c r="D2373" s="417" t="s">
        <v>88</v>
      </c>
      <c r="E2373" s="423">
        <v>6.622938806590266E-3</v>
      </c>
      <c r="F2373" s="423">
        <v>0.51652421306120344</v>
      </c>
      <c r="G2373" s="422">
        <v>20.03733558830379</v>
      </c>
      <c r="H2373" s="417" t="s">
        <v>2616</v>
      </c>
      <c r="I2373" s="417" t="s">
        <v>1392</v>
      </c>
      <c r="J2373" s="417" t="s">
        <v>4364</v>
      </c>
      <c r="K2373" s="417" t="s">
        <v>7158</v>
      </c>
      <c r="L2373" s="417"/>
      <c r="M2373" s="417" t="s">
        <v>28840</v>
      </c>
    </row>
    <row r="2374" spans="1:13" x14ac:dyDescent="0.25">
      <c r="A2374" s="417" t="s">
        <v>3385</v>
      </c>
      <c r="B2374" s="417" t="s">
        <v>2623</v>
      </c>
      <c r="C2374" s="417" t="s">
        <v>7159</v>
      </c>
      <c r="D2374" s="417" t="s">
        <v>989</v>
      </c>
      <c r="E2374" s="423">
        <v>67.926591303049918</v>
      </c>
      <c r="F2374" s="423">
        <v>0.57358973215592224</v>
      </c>
      <c r="G2374" s="422">
        <v>77763.190908445889</v>
      </c>
      <c r="H2374" s="417" t="s">
        <v>2616</v>
      </c>
      <c r="I2374" s="417" t="s">
        <v>1392</v>
      </c>
      <c r="J2374" s="417" t="s">
        <v>5983</v>
      </c>
      <c r="K2374" s="417" t="s">
        <v>7160</v>
      </c>
      <c r="L2374" s="417"/>
      <c r="M2374" s="417" t="s">
        <v>28840</v>
      </c>
    </row>
    <row r="2375" spans="1:13" x14ac:dyDescent="0.25">
      <c r="A2375" s="417" t="s">
        <v>3385</v>
      </c>
      <c r="B2375" s="417" t="s">
        <v>2623</v>
      </c>
      <c r="C2375" s="417" t="s">
        <v>7161</v>
      </c>
      <c r="D2375" s="417" t="s">
        <v>88</v>
      </c>
      <c r="E2375" s="423">
        <v>9.4011501091707736E-2</v>
      </c>
      <c r="F2375" s="423">
        <v>9.9348850983496336E-4</v>
      </c>
      <c r="G2375" s="422">
        <v>1401.6918006094311</v>
      </c>
      <c r="H2375" s="417" t="s">
        <v>2616</v>
      </c>
      <c r="I2375" s="417" t="s">
        <v>1392</v>
      </c>
      <c r="J2375" s="417" t="s">
        <v>4364</v>
      </c>
      <c r="K2375" s="417" t="s">
        <v>7162</v>
      </c>
      <c r="L2375" s="417"/>
      <c r="M2375" s="417" t="s">
        <v>28840</v>
      </c>
    </row>
    <row r="2376" spans="1:13" x14ac:dyDescent="0.25">
      <c r="A2376" s="417" t="s">
        <v>3385</v>
      </c>
      <c r="B2376" s="417" t="s">
        <v>2623</v>
      </c>
      <c r="C2376" s="417" t="s">
        <v>7163</v>
      </c>
      <c r="D2376" s="417" t="s">
        <v>88</v>
      </c>
      <c r="E2376" s="423">
        <v>2.5454834211544481</v>
      </c>
      <c r="F2376" s="423">
        <v>1.9106822295133889E-3</v>
      </c>
      <c r="G2376" s="422">
        <v>2647.585474892011</v>
      </c>
      <c r="H2376" s="417" t="s">
        <v>2616</v>
      </c>
      <c r="I2376" s="417" t="s">
        <v>1392</v>
      </c>
      <c r="J2376" s="417" t="s">
        <v>4364</v>
      </c>
      <c r="K2376" s="417" t="s">
        <v>7164</v>
      </c>
      <c r="L2376" s="417"/>
      <c r="M2376" s="417" t="s">
        <v>28840</v>
      </c>
    </row>
    <row r="2377" spans="1:13" x14ac:dyDescent="0.25">
      <c r="A2377" s="417" t="s">
        <v>3385</v>
      </c>
      <c r="B2377" s="417" t="s">
        <v>2623</v>
      </c>
      <c r="C2377" s="417" t="s">
        <v>7165</v>
      </c>
      <c r="D2377" s="417" t="s">
        <v>88</v>
      </c>
      <c r="E2377" s="423">
        <v>2.4957657608442481</v>
      </c>
      <c r="F2377" s="423">
        <v>2.327714975679511E-3</v>
      </c>
      <c r="G2377" s="422">
        <v>2618.4559295588701</v>
      </c>
      <c r="H2377" s="417" t="s">
        <v>2616</v>
      </c>
      <c r="I2377" s="417" t="s">
        <v>1392</v>
      </c>
      <c r="J2377" s="417" t="s">
        <v>4364</v>
      </c>
      <c r="K2377" s="417" t="s">
        <v>7166</v>
      </c>
      <c r="L2377" s="417"/>
      <c r="M2377" s="417" t="s">
        <v>28840</v>
      </c>
    </row>
    <row r="2378" spans="1:13" x14ac:dyDescent="0.25">
      <c r="A2378" s="417" t="s">
        <v>3385</v>
      </c>
      <c r="B2378" s="417" t="s">
        <v>2623</v>
      </c>
      <c r="C2378" s="417" t="s">
        <v>7167</v>
      </c>
      <c r="D2378" s="417" t="s">
        <v>4315</v>
      </c>
      <c r="E2378" s="423">
        <v>0.1244877918257576</v>
      </c>
      <c r="F2378" s="423">
        <v>4.3713314665295637E-5</v>
      </c>
      <c r="G2378" s="422">
        <v>143.22089160369219</v>
      </c>
      <c r="H2378" s="417" t="s">
        <v>2616</v>
      </c>
      <c r="I2378" s="417" t="s">
        <v>1392</v>
      </c>
      <c r="J2378" s="417" t="s">
        <v>5974</v>
      </c>
      <c r="K2378" s="417" t="s">
        <v>7168</v>
      </c>
      <c r="L2378" s="417"/>
      <c r="M2378" s="417" t="s">
        <v>28840</v>
      </c>
    </row>
    <row r="2379" spans="1:13" x14ac:dyDescent="0.25">
      <c r="A2379" s="417" t="s">
        <v>3385</v>
      </c>
      <c r="B2379" s="417" t="s">
        <v>2623</v>
      </c>
      <c r="C2379" s="417" t="s">
        <v>7169</v>
      </c>
      <c r="D2379" s="417" t="s">
        <v>88</v>
      </c>
      <c r="E2379" s="423">
        <v>2.2900260281304048</v>
      </c>
      <c r="F2379" s="423">
        <v>7.9259638755395379E-3</v>
      </c>
      <c r="G2379" s="422">
        <v>3009.8199722226459</v>
      </c>
      <c r="H2379" s="417" t="s">
        <v>2616</v>
      </c>
      <c r="I2379" s="417" t="s">
        <v>1392</v>
      </c>
      <c r="J2379" s="417" t="s">
        <v>6002</v>
      </c>
      <c r="K2379" s="417" t="s">
        <v>7170</v>
      </c>
      <c r="L2379" s="417"/>
      <c r="M2379" s="417" t="s">
        <v>28840</v>
      </c>
    </row>
    <row r="2380" spans="1:13" x14ac:dyDescent="0.25">
      <c r="A2380" s="417" t="s">
        <v>3385</v>
      </c>
      <c r="B2380" s="417" t="s">
        <v>2623</v>
      </c>
      <c r="C2380" s="417" t="s">
        <v>7171</v>
      </c>
      <c r="D2380" s="417" t="s">
        <v>563</v>
      </c>
      <c r="E2380" s="423">
        <v>2.459827762795372</v>
      </c>
      <c r="F2380" s="423">
        <v>8.1381397420977677E-2</v>
      </c>
      <c r="G2380" s="422">
        <v>5359.1021908243047</v>
      </c>
      <c r="H2380" s="417" t="s">
        <v>2616</v>
      </c>
      <c r="I2380" s="417" t="s">
        <v>1392</v>
      </c>
      <c r="J2380" s="417" t="s">
        <v>4364</v>
      </c>
      <c r="K2380" s="417" t="s">
        <v>7172</v>
      </c>
      <c r="L2380" s="417"/>
      <c r="M2380" s="417" t="s">
        <v>28840</v>
      </c>
    </row>
    <row r="2381" spans="1:13" x14ac:dyDescent="0.25">
      <c r="A2381" s="417" t="s">
        <v>3385</v>
      </c>
      <c r="B2381" s="417" t="s">
        <v>2623</v>
      </c>
      <c r="C2381" s="417" t="s">
        <v>7173</v>
      </c>
      <c r="D2381" s="417" t="s">
        <v>563</v>
      </c>
      <c r="E2381" s="423">
        <v>1.052546920946474</v>
      </c>
      <c r="F2381" s="423">
        <v>2.885296031585673E-2</v>
      </c>
      <c r="G2381" s="422">
        <v>1664.1276248196159</v>
      </c>
      <c r="H2381" s="417" t="s">
        <v>2616</v>
      </c>
      <c r="I2381" s="417" t="s">
        <v>1392</v>
      </c>
      <c r="J2381" s="417" t="s">
        <v>4364</v>
      </c>
      <c r="K2381" s="417" t="s">
        <v>7174</v>
      </c>
      <c r="L2381" s="417"/>
      <c r="M2381" s="417" t="s">
        <v>28840</v>
      </c>
    </row>
    <row r="2382" spans="1:13" x14ac:dyDescent="0.25">
      <c r="A2382" s="417" t="s">
        <v>3385</v>
      </c>
      <c r="B2382" s="417" t="s">
        <v>2623</v>
      </c>
      <c r="C2382" s="417" t="s">
        <v>7175</v>
      </c>
      <c r="D2382" s="417" t="s">
        <v>563</v>
      </c>
      <c r="E2382" s="423">
        <v>0.57580508028180255</v>
      </c>
      <c r="F2382" s="423">
        <v>1.5784266525970571E-2</v>
      </c>
      <c r="G2382" s="422">
        <v>910.37570107098259</v>
      </c>
      <c r="H2382" s="417" t="s">
        <v>2616</v>
      </c>
      <c r="I2382" s="417" t="s">
        <v>1392</v>
      </c>
      <c r="J2382" s="417" t="s">
        <v>4364</v>
      </c>
      <c r="K2382" s="417" t="s">
        <v>7176</v>
      </c>
      <c r="L2382" s="417"/>
      <c r="M2382" s="417" t="s">
        <v>28840</v>
      </c>
    </row>
    <row r="2383" spans="1:13" x14ac:dyDescent="0.25">
      <c r="A2383" s="417" t="s">
        <v>3385</v>
      </c>
      <c r="B2383" s="417" t="s">
        <v>2627</v>
      </c>
      <c r="C2383" s="417" t="s">
        <v>7177</v>
      </c>
      <c r="D2383" s="417" t="s">
        <v>563</v>
      </c>
      <c r="E2383" s="423">
        <v>0</v>
      </c>
      <c r="F2383" s="423">
        <v>0</v>
      </c>
      <c r="G2383" s="422">
        <v>0</v>
      </c>
      <c r="H2383" s="417" t="s">
        <v>2616</v>
      </c>
      <c r="I2383" s="417" t="s">
        <v>1392</v>
      </c>
      <c r="J2383" s="417" t="s">
        <v>4138</v>
      </c>
      <c r="K2383" s="417" t="s">
        <v>7178</v>
      </c>
      <c r="L2383" s="417"/>
      <c r="M2383" s="417" t="s">
        <v>28840</v>
      </c>
    </row>
    <row r="2384" spans="1:13" x14ac:dyDescent="0.25">
      <c r="A2384" s="417" t="s">
        <v>3385</v>
      </c>
      <c r="B2384" s="417" t="s">
        <v>2627</v>
      </c>
      <c r="C2384" s="417" t="s">
        <v>7179</v>
      </c>
      <c r="D2384" s="417" t="s">
        <v>563</v>
      </c>
      <c r="E2384" s="423">
        <v>0</v>
      </c>
      <c r="F2384" s="423">
        <v>0</v>
      </c>
      <c r="G2384" s="422">
        <v>0</v>
      </c>
      <c r="H2384" s="417" t="s">
        <v>2616</v>
      </c>
      <c r="I2384" s="417" t="s">
        <v>1392</v>
      </c>
      <c r="J2384" s="417" t="s">
        <v>4138</v>
      </c>
      <c r="K2384" s="417" t="s">
        <v>7180</v>
      </c>
      <c r="L2384" s="417"/>
      <c r="M2384" s="417" t="s">
        <v>28840</v>
      </c>
    </row>
    <row r="2385" spans="1:13" x14ac:dyDescent="0.25">
      <c r="A2385" s="417" t="s">
        <v>3385</v>
      </c>
      <c r="B2385" s="417" t="s">
        <v>2627</v>
      </c>
      <c r="C2385" s="417" t="s">
        <v>7181</v>
      </c>
      <c r="D2385" s="417" t="s">
        <v>563</v>
      </c>
      <c r="E2385" s="423">
        <v>0</v>
      </c>
      <c r="F2385" s="423">
        <v>0</v>
      </c>
      <c r="G2385" s="422">
        <v>0</v>
      </c>
      <c r="H2385" s="417" t="s">
        <v>2616</v>
      </c>
      <c r="I2385" s="417" t="s">
        <v>1392</v>
      </c>
      <c r="J2385" s="417" t="s">
        <v>4138</v>
      </c>
      <c r="K2385" s="417" t="s">
        <v>7182</v>
      </c>
      <c r="L2385" s="417"/>
      <c r="M2385" s="417" t="s">
        <v>28840</v>
      </c>
    </row>
    <row r="2386" spans="1:13" x14ac:dyDescent="0.25">
      <c r="A2386" s="417" t="s">
        <v>3385</v>
      </c>
      <c r="B2386" s="417" t="s">
        <v>2623</v>
      </c>
      <c r="C2386" s="417" t="s">
        <v>7183</v>
      </c>
      <c r="D2386" s="417" t="s">
        <v>989</v>
      </c>
      <c r="E2386" s="423">
        <v>24.94642432220563</v>
      </c>
      <c r="F2386" s="423">
        <v>0.1163175214939295</v>
      </c>
      <c r="G2386" s="422">
        <v>47829.510985676839</v>
      </c>
      <c r="H2386" s="417" t="s">
        <v>2616</v>
      </c>
      <c r="I2386" s="417" t="s">
        <v>1392</v>
      </c>
      <c r="J2386" s="417" t="s">
        <v>4364</v>
      </c>
      <c r="K2386" s="417" t="s">
        <v>7184</v>
      </c>
      <c r="L2386" s="417"/>
      <c r="M2386" s="417" t="s">
        <v>28840</v>
      </c>
    </row>
    <row r="2387" spans="1:13" x14ac:dyDescent="0.25">
      <c r="A2387" s="417" t="s">
        <v>3385</v>
      </c>
      <c r="B2387" s="417" t="s">
        <v>2623</v>
      </c>
      <c r="C2387" s="417" t="s">
        <v>7185</v>
      </c>
      <c r="D2387" s="417" t="s">
        <v>83</v>
      </c>
      <c r="E2387" s="423">
        <v>5.4000716316865774E-3</v>
      </c>
      <c r="F2387" s="423">
        <v>1.9466717543270369E-5</v>
      </c>
      <c r="G2387" s="422">
        <v>7.7501840226256986</v>
      </c>
      <c r="H2387" s="417" t="s">
        <v>2616</v>
      </c>
      <c r="I2387" s="417" t="s">
        <v>1392</v>
      </c>
      <c r="J2387" s="417" t="s">
        <v>4364</v>
      </c>
      <c r="K2387" s="417" t="s">
        <v>7186</v>
      </c>
      <c r="L2387" s="417"/>
      <c r="M2387" s="417" t="s">
        <v>28840</v>
      </c>
    </row>
    <row r="2388" spans="1:13" x14ac:dyDescent="0.25">
      <c r="A2388" s="417" t="s">
        <v>3385</v>
      </c>
      <c r="B2388" s="417" t="s">
        <v>2623</v>
      </c>
      <c r="C2388" s="417" t="s">
        <v>7187</v>
      </c>
      <c r="D2388" s="417" t="s">
        <v>989</v>
      </c>
      <c r="E2388" s="423">
        <v>9.7201166582522003</v>
      </c>
      <c r="F2388" s="423">
        <v>3.5039399226137538E-2</v>
      </c>
      <c r="G2388" s="422">
        <v>13950.16151088985</v>
      </c>
      <c r="H2388" s="417" t="s">
        <v>2616</v>
      </c>
      <c r="I2388" s="417" t="s">
        <v>1392</v>
      </c>
      <c r="J2388" s="417" t="s">
        <v>4364</v>
      </c>
      <c r="K2388" s="417" t="s">
        <v>7188</v>
      </c>
      <c r="L2388" s="417"/>
      <c r="M2388" s="417" t="s">
        <v>28840</v>
      </c>
    </row>
    <row r="2389" spans="1:13" x14ac:dyDescent="0.25">
      <c r="A2389" s="417" t="s">
        <v>3385</v>
      </c>
      <c r="B2389" s="417" t="s">
        <v>2623</v>
      </c>
      <c r="C2389" s="417" t="s">
        <v>7189</v>
      </c>
      <c r="D2389" s="417" t="s">
        <v>989</v>
      </c>
      <c r="E2389" s="423">
        <v>13.008007429336979</v>
      </c>
      <c r="F2389" s="423">
        <v>4.7771332450380441E-2</v>
      </c>
      <c r="G2389" s="422">
        <v>20120.407592917141</v>
      </c>
      <c r="H2389" s="417" t="s">
        <v>2616</v>
      </c>
      <c r="I2389" s="417" t="s">
        <v>1392</v>
      </c>
      <c r="J2389" s="417" t="s">
        <v>4364</v>
      </c>
      <c r="K2389" s="417" t="s">
        <v>7190</v>
      </c>
      <c r="L2389" s="417"/>
      <c r="M2389" s="417" t="s">
        <v>28840</v>
      </c>
    </row>
    <row r="2390" spans="1:13" x14ac:dyDescent="0.25">
      <c r="A2390" s="417" t="s">
        <v>3385</v>
      </c>
      <c r="B2390" s="417" t="s">
        <v>2623</v>
      </c>
      <c r="C2390" s="417" t="s">
        <v>7191</v>
      </c>
      <c r="D2390" s="417" t="s">
        <v>83</v>
      </c>
      <c r="E2390" s="423">
        <v>2.6908056148917101E-3</v>
      </c>
      <c r="F2390" s="423">
        <v>1.062513376563158E-5</v>
      </c>
      <c r="G2390" s="422">
        <v>4.61962144839418</v>
      </c>
      <c r="H2390" s="417" t="s">
        <v>2616</v>
      </c>
      <c r="I2390" s="417" t="s">
        <v>1392</v>
      </c>
      <c r="J2390" s="417" t="s">
        <v>4364</v>
      </c>
      <c r="K2390" s="417" t="s">
        <v>7192</v>
      </c>
      <c r="L2390" s="417"/>
      <c r="M2390" s="417" t="s">
        <v>28840</v>
      </c>
    </row>
    <row r="2391" spans="1:13" x14ac:dyDescent="0.25">
      <c r="A2391" s="417" t="s">
        <v>3385</v>
      </c>
      <c r="B2391" s="417" t="s">
        <v>2623</v>
      </c>
      <c r="C2391" s="417" t="s">
        <v>7193</v>
      </c>
      <c r="D2391" s="417" t="s">
        <v>989</v>
      </c>
      <c r="E2391" s="423">
        <v>18.028382793285029</v>
      </c>
      <c r="F2391" s="423">
        <v>7.118707447469319E-2</v>
      </c>
      <c r="G2391" s="422">
        <v>30951.283231562069</v>
      </c>
      <c r="H2391" s="417" t="s">
        <v>2616</v>
      </c>
      <c r="I2391" s="417" t="s">
        <v>1392</v>
      </c>
      <c r="J2391" s="417" t="s">
        <v>4364</v>
      </c>
      <c r="K2391" s="417" t="s">
        <v>7194</v>
      </c>
      <c r="L2391" s="417"/>
      <c r="M2391" s="417" t="s">
        <v>28840</v>
      </c>
    </row>
    <row r="2392" spans="1:13" x14ac:dyDescent="0.25">
      <c r="A2392" s="417" t="s">
        <v>3385</v>
      </c>
      <c r="B2392" s="417" t="s">
        <v>2623</v>
      </c>
      <c r="C2392" s="417" t="s">
        <v>7195</v>
      </c>
      <c r="D2392" s="417" t="s">
        <v>989</v>
      </c>
      <c r="E2392" s="423">
        <v>4.8906606922753247E-2</v>
      </c>
      <c r="F2392" s="423">
        <v>2.9737660167413909E-3</v>
      </c>
      <c r="G2392" s="422">
        <v>563.07097051696337</v>
      </c>
      <c r="H2392" s="417" t="s">
        <v>2616</v>
      </c>
      <c r="I2392" s="417" t="s">
        <v>1392</v>
      </c>
      <c r="J2392" s="417" t="s">
        <v>5974</v>
      </c>
      <c r="K2392" s="417" t="s">
        <v>7196</v>
      </c>
      <c r="L2392" s="417"/>
      <c r="M2392" s="417" t="s">
        <v>28840</v>
      </c>
    </row>
    <row r="2393" spans="1:13" x14ac:dyDescent="0.25">
      <c r="A2393" s="417" t="s">
        <v>3385</v>
      </c>
      <c r="B2393" s="417" t="s">
        <v>2623</v>
      </c>
      <c r="C2393" s="417" t="s">
        <v>7197</v>
      </c>
      <c r="D2393" s="417" t="s">
        <v>989</v>
      </c>
      <c r="E2393" s="423">
        <v>0.1066162617706745</v>
      </c>
      <c r="F2393" s="423">
        <v>6.7526450317022544E-3</v>
      </c>
      <c r="G2393" s="422">
        <v>1086.6856097580519</v>
      </c>
      <c r="H2393" s="417" t="s">
        <v>2616</v>
      </c>
      <c r="I2393" s="417" t="s">
        <v>1392</v>
      </c>
      <c r="J2393" s="417" t="s">
        <v>5974</v>
      </c>
      <c r="K2393" s="417" t="s">
        <v>7198</v>
      </c>
      <c r="L2393" s="417"/>
      <c r="M2393" s="417" t="s">
        <v>28840</v>
      </c>
    </row>
    <row r="2394" spans="1:13" x14ac:dyDescent="0.25">
      <c r="A2394" s="417" t="s">
        <v>3385</v>
      </c>
      <c r="B2394" s="417" t="s">
        <v>2623</v>
      </c>
      <c r="C2394" s="417" t="s">
        <v>7199</v>
      </c>
      <c r="D2394" s="417" t="s">
        <v>989</v>
      </c>
      <c r="E2394" s="423">
        <v>5.4157994394192306</v>
      </c>
      <c r="F2394" s="423">
        <v>14.656222874582889</v>
      </c>
      <c r="G2394" s="422">
        <v>6020.7742896415812</v>
      </c>
      <c r="H2394" s="417" t="s">
        <v>2616</v>
      </c>
      <c r="I2394" s="417" t="s">
        <v>1392</v>
      </c>
      <c r="J2394" s="417" t="s">
        <v>4364</v>
      </c>
      <c r="K2394" s="417" t="s">
        <v>7200</v>
      </c>
      <c r="L2394" s="417"/>
      <c r="M2394" s="417" t="s">
        <v>28840</v>
      </c>
    </row>
    <row r="2395" spans="1:13" x14ac:dyDescent="0.25">
      <c r="A2395" s="417" t="s">
        <v>3385</v>
      </c>
      <c r="B2395" s="417" t="s">
        <v>2623</v>
      </c>
      <c r="C2395" s="417" t="s">
        <v>7201</v>
      </c>
      <c r="D2395" s="417" t="s">
        <v>989</v>
      </c>
      <c r="E2395" s="423">
        <v>4.9231746517490889</v>
      </c>
      <c r="F2395" s="423">
        <v>5.6932809287986164E-3</v>
      </c>
      <c r="G2395" s="422">
        <v>5331.3699891470087</v>
      </c>
      <c r="H2395" s="417" t="s">
        <v>2616</v>
      </c>
      <c r="I2395" s="417" t="s">
        <v>1392</v>
      </c>
      <c r="J2395" s="417" t="s">
        <v>4364</v>
      </c>
      <c r="K2395" s="417" t="s">
        <v>7202</v>
      </c>
      <c r="L2395" s="417"/>
      <c r="M2395" s="417" t="s">
        <v>28840</v>
      </c>
    </row>
    <row r="2396" spans="1:13" x14ac:dyDescent="0.25">
      <c r="A2396" s="417" t="s">
        <v>3385</v>
      </c>
      <c r="B2396" s="417" t="s">
        <v>2623</v>
      </c>
      <c r="C2396" s="417" t="s">
        <v>7203</v>
      </c>
      <c r="D2396" s="417" t="s">
        <v>989</v>
      </c>
      <c r="E2396" s="423">
        <v>0.1734362393852511</v>
      </c>
      <c r="F2396" s="423">
        <v>7.2148056665914343E-3</v>
      </c>
      <c r="G2396" s="422">
        <v>585.29797139039192</v>
      </c>
      <c r="H2396" s="417" t="s">
        <v>2616</v>
      </c>
      <c r="I2396" s="417" t="s">
        <v>1392</v>
      </c>
      <c r="J2396" s="417" t="s">
        <v>4364</v>
      </c>
      <c r="K2396" s="417" t="s">
        <v>7204</v>
      </c>
      <c r="L2396" s="417"/>
      <c r="M2396" s="417" t="s">
        <v>28840</v>
      </c>
    </row>
    <row r="2397" spans="1:13" x14ac:dyDescent="0.25">
      <c r="A2397" s="417" t="s">
        <v>3385</v>
      </c>
      <c r="B2397" s="417" t="s">
        <v>2623</v>
      </c>
      <c r="C2397" s="417" t="s">
        <v>7205</v>
      </c>
      <c r="D2397" s="417" t="s">
        <v>88</v>
      </c>
      <c r="E2397" s="423">
        <v>1.099915242074501E-3</v>
      </c>
      <c r="F2397" s="423">
        <v>6.6289031188596019E-5</v>
      </c>
      <c r="G2397" s="422">
        <v>28.308580976795209</v>
      </c>
      <c r="H2397" s="417" t="s">
        <v>2616</v>
      </c>
      <c r="I2397" s="417" t="s">
        <v>1392</v>
      </c>
      <c r="J2397" s="417" t="s">
        <v>6311</v>
      </c>
      <c r="K2397" s="417" t="s">
        <v>7206</v>
      </c>
      <c r="L2397" s="417"/>
      <c r="M2397" s="417" t="s">
        <v>28840</v>
      </c>
    </row>
    <row r="2398" spans="1:13" x14ac:dyDescent="0.25">
      <c r="A2398" s="417" t="s">
        <v>3385</v>
      </c>
      <c r="B2398" s="417" t="s">
        <v>2623</v>
      </c>
      <c r="C2398" s="417" t="s">
        <v>7207</v>
      </c>
      <c r="D2398" s="417" t="s">
        <v>88</v>
      </c>
      <c r="E2398" s="423">
        <v>1.0633757112191789E-2</v>
      </c>
      <c r="F2398" s="423">
        <v>3.4574117200529011E-4</v>
      </c>
      <c r="G2398" s="422">
        <v>54.021236356692327</v>
      </c>
      <c r="H2398" s="417" t="s">
        <v>2616</v>
      </c>
      <c r="I2398" s="417" t="s">
        <v>1392</v>
      </c>
      <c r="J2398" s="417" t="s">
        <v>6052</v>
      </c>
      <c r="K2398" s="417" t="s">
        <v>7208</v>
      </c>
      <c r="L2398" s="417"/>
      <c r="M2398" s="417" t="s">
        <v>28840</v>
      </c>
    </row>
    <row r="2399" spans="1:13" x14ac:dyDescent="0.25">
      <c r="A2399" s="417" t="s">
        <v>3385</v>
      </c>
      <c r="B2399" s="417" t="s">
        <v>2623</v>
      </c>
      <c r="C2399" s="417" t="s">
        <v>7209</v>
      </c>
      <c r="D2399" s="417" t="s">
        <v>88</v>
      </c>
      <c r="E2399" s="423">
        <v>0.66969223448012238</v>
      </c>
      <c r="F2399" s="423">
        <v>2.757284000806029E-2</v>
      </c>
      <c r="G2399" s="422">
        <v>192633.3638017762</v>
      </c>
      <c r="H2399" s="417" t="s">
        <v>2616</v>
      </c>
      <c r="I2399" s="417" t="s">
        <v>1392</v>
      </c>
      <c r="J2399" s="417" t="s">
        <v>6304</v>
      </c>
      <c r="K2399" s="417" t="s">
        <v>7210</v>
      </c>
      <c r="L2399" s="417"/>
      <c r="M2399" s="417" t="s">
        <v>28840</v>
      </c>
    </row>
    <row r="2400" spans="1:13" x14ac:dyDescent="0.25">
      <c r="A2400" s="417" t="s">
        <v>3385</v>
      </c>
      <c r="B2400" s="417" t="s">
        <v>2623</v>
      </c>
      <c r="C2400" s="417" t="s">
        <v>7211</v>
      </c>
      <c r="D2400" s="417" t="s">
        <v>88</v>
      </c>
      <c r="E2400" s="423">
        <v>1.0273658309294731</v>
      </c>
      <c r="F2400" s="423">
        <v>0.24864595050593899</v>
      </c>
      <c r="G2400" s="422">
        <v>2216.3499197839278</v>
      </c>
      <c r="H2400" s="417" t="s">
        <v>2616</v>
      </c>
      <c r="I2400" s="417" t="s">
        <v>1392</v>
      </c>
      <c r="J2400" s="417" t="s">
        <v>5995</v>
      </c>
      <c r="K2400" s="417" t="s">
        <v>7212</v>
      </c>
      <c r="L2400" s="417"/>
      <c r="M2400" s="417" t="s">
        <v>28840</v>
      </c>
    </row>
    <row r="2401" spans="1:13" x14ac:dyDescent="0.25">
      <c r="A2401" s="417" t="s">
        <v>3385</v>
      </c>
      <c r="B2401" s="417" t="s">
        <v>2623</v>
      </c>
      <c r="C2401" s="417" t="s">
        <v>7213</v>
      </c>
      <c r="D2401" s="417" t="s">
        <v>88</v>
      </c>
      <c r="E2401" s="423">
        <v>0.30107016828235322</v>
      </c>
      <c r="F2401" s="423">
        <v>1.8686512124212209E-2</v>
      </c>
      <c r="G2401" s="422">
        <v>491.31918728822188</v>
      </c>
      <c r="H2401" s="417" t="s">
        <v>2616</v>
      </c>
      <c r="I2401" s="417" t="s">
        <v>1392</v>
      </c>
      <c r="J2401" s="417" t="s">
        <v>6052</v>
      </c>
      <c r="K2401" s="417" t="s">
        <v>7214</v>
      </c>
      <c r="L2401" s="417"/>
      <c r="M2401" s="417" t="s">
        <v>28840</v>
      </c>
    </row>
    <row r="2402" spans="1:13" x14ac:dyDescent="0.25">
      <c r="A2402" s="417" t="s">
        <v>3385</v>
      </c>
      <c r="B2402" s="417" t="s">
        <v>2623</v>
      </c>
      <c r="C2402" s="417" t="s">
        <v>7215</v>
      </c>
      <c r="D2402" s="417" t="s">
        <v>88</v>
      </c>
      <c r="E2402" s="423">
        <v>0.30107016382108132</v>
      </c>
      <c r="F2402" s="423">
        <v>1.868651190846371E-2</v>
      </c>
      <c r="G2402" s="422">
        <v>425.00028027685289</v>
      </c>
      <c r="H2402" s="417" t="s">
        <v>2616</v>
      </c>
      <c r="I2402" s="417" t="s">
        <v>1392</v>
      </c>
      <c r="J2402" s="417" t="s">
        <v>6015</v>
      </c>
      <c r="K2402" s="417" t="s">
        <v>7216</v>
      </c>
      <c r="L2402" s="417"/>
      <c r="M2402" s="417" t="s">
        <v>28840</v>
      </c>
    </row>
    <row r="2403" spans="1:13" x14ac:dyDescent="0.25">
      <c r="A2403" s="417" t="s">
        <v>3385</v>
      </c>
      <c r="B2403" s="417" t="s">
        <v>2623</v>
      </c>
      <c r="C2403" s="417" t="s">
        <v>7217</v>
      </c>
      <c r="D2403" s="417" t="s">
        <v>88</v>
      </c>
      <c r="E2403" s="423">
        <v>0.30107016967462091</v>
      </c>
      <c r="F2403" s="423">
        <v>1.8686512132277969E-2</v>
      </c>
      <c r="G2403" s="422">
        <v>424.97488270614582</v>
      </c>
      <c r="H2403" s="417" t="s">
        <v>2616</v>
      </c>
      <c r="I2403" s="417" t="s">
        <v>1392</v>
      </c>
      <c r="J2403" s="417" t="s">
        <v>6015</v>
      </c>
      <c r="K2403" s="417" t="s">
        <v>7218</v>
      </c>
      <c r="L2403" s="417"/>
      <c r="M2403" s="417" t="s">
        <v>28840</v>
      </c>
    </row>
    <row r="2404" spans="1:13" x14ac:dyDescent="0.25">
      <c r="A2404" s="417" t="s">
        <v>3385</v>
      </c>
      <c r="B2404" s="417" t="s">
        <v>2623</v>
      </c>
      <c r="C2404" s="417" t="s">
        <v>7219</v>
      </c>
      <c r="D2404" s="417" t="s">
        <v>88</v>
      </c>
      <c r="E2404" s="423">
        <v>0.30107016805647951</v>
      </c>
      <c r="F2404" s="423">
        <v>1.8686512130948948E-2</v>
      </c>
      <c r="G2404" s="422">
        <v>2334.4797455526132</v>
      </c>
      <c r="H2404" s="417" t="s">
        <v>2616</v>
      </c>
      <c r="I2404" s="417" t="s">
        <v>1392</v>
      </c>
      <c r="J2404" s="417" t="s">
        <v>6015</v>
      </c>
      <c r="K2404" s="417" t="s">
        <v>7220</v>
      </c>
      <c r="L2404" s="417"/>
      <c r="M2404" s="417" t="s">
        <v>28840</v>
      </c>
    </row>
    <row r="2405" spans="1:13" x14ac:dyDescent="0.25">
      <c r="A2405" s="417" t="s">
        <v>3385</v>
      </c>
      <c r="B2405" s="417" t="s">
        <v>2623</v>
      </c>
      <c r="C2405" s="417" t="s">
        <v>7221</v>
      </c>
      <c r="D2405" s="417" t="s">
        <v>88</v>
      </c>
      <c r="E2405" s="423">
        <v>6.622938806590266E-3</v>
      </c>
      <c r="F2405" s="423">
        <v>0.51652421306120344</v>
      </c>
      <c r="G2405" s="422">
        <v>20.03733558830379</v>
      </c>
      <c r="H2405" s="417" t="s">
        <v>2616</v>
      </c>
      <c r="I2405" s="417" t="s">
        <v>1392</v>
      </c>
      <c r="J2405" s="417" t="s">
        <v>4364</v>
      </c>
      <c r="K2405" s="417" t="s">
        <v>7222</v>
      </c>
      <c r="L2405" s="417"/>
      <c r="M2405" s="417" t="s">
        <v>28840</v>
      </c>
    </row>
    <row r="2406" spans="1:13" x14ac:dyDescent="0.25">
      <c r="A2406" s="417" t="s">
        <v>3385</v>
      </c>
      <c r="B2406" s="417" t="s">
        <v>2623</v>
      </c>
      <c r="C2406" s="417" t="s">
        <v>7223</v>
      </c>
      <c r="D2406" s="417" t="s">
        <v>563</v>
      </c>
      <c r="E2406" s="423">
        <v>8.6051305221942496</v>
      </c>
      <c r="F2406" s="423">
        <v>0.33317420251294561</v>
      </c>
      <c r="G2406" s="422">
        <v>23878.34135821036</v>
      </c>
      <c r="H2406" s="417" t="s">
        <v>2616</v>
      </c>
      <c r="I2406" s="417" t="s">
        <v>1392</v>
      </c>
      <c r="J2406" s="417" t="s">
        <v>4364</v>
      </c>
      <c r="K2406" s="417" t="s">
        <v>7224</v>
      </c>
      <c r="L2406" s="417"/>
      <c r="M2406" s="417" t="s">
        <v>28840</v>
      </c>
    </row>
    <row r="2407" spans="1:13" x14ac:dyDescent="0.25">
      <c r="A2407" s="417" t="s">
        <v>3385</v>
      </c>
      <c r="B2407" s="417" t="s">
        <v>2627</v>
      </c>
      <c r="C2407" s="417" t="s">
        <v>7225</v>
      </c>
      <c r="D2407" s="417" t="s">
        <v>563</v>
      </c>
      <c r="E2407" s="423">
        <v>9.5557576523711827</v>
      </c>
      <c r="F2407" s="423">
        <v>0.37101350866834909</v>
      </c>
      <c r="G2407" s="422">
        <v>26857.610969591551</v>
      </c>
      <c r="H2407" s="417" t="s">
        <v>2616</v>
      </c>
      <c r="I2407" s="417" t="s">
        <v>1392</v>
      </c>
      <c r="J2407" s="417" t="s">
        <v>4138</v>
      </c>
      <c r="K2407" s="417" t="s">
        <v>7226</v>
      </c>
      <c r="L2407" s="417"/>
      <c r="M2407" s="417" t="s">
        <v>28840</v>
      </c>
    </row>
    <row r="2408" spans="1:13" x14ac:dyDescent="0.25">
      <c r="A2408" s="417" t="s">
        <v>3385</v>
      </c>
      <c r="B2408" s="417" t="s">
        <v>2627</v>
      </c>
      <c r="C2408" s="417" t="s">
        <v>7227</v>
      </c>
      <c r="D2408" s="417" t="s">
        <v>563</v>
      </c>
      <c r="E2408" s="423">
        <v>8.107915583958615</v>
      </c>
      <c r="F2408" s="423">
        <v>0.31479934068727639</v>
      </c>
      <c r="G2408" s="422">
        <v>22788.275979606409</v>
      </c>
      <c r="H2408" s="417" t="s">
        <v>2616</v>
      </c>
      <c r="I2408" s="417" t="s">
        <v>1392</v>
      </c>
      <c r="J2408" s="417" t="s">
        <v>4138</v>
      </c>
      <c r="K2408" s="417" t="s">
        <v>7228</v>
      </c>
      <c r="L2408" s="417"/>
      <c r="M2408" s="417" t="s">
        <v>28840</v>
      </c>
    </row>
    <row r="2409" spans="1:13" x14ac:dyDescent="0.25">
      <c r="A2409" s="417" t="s">
        <v>3385</v>
      </c>
      <c r="B2409" s="417" t="s">
        <v>2627</v>
      </c>
      <c r="C2409" s="417" t="s">
        <v>7229</v>
      </c>
      <c r="D2409" s="417" t="s">
        <v>563</v>
      </c>
      <c r="E2409" s="423">
        <v>8.107915583958615</v>
      </c>
      <c r="F2409" s="423">
        <v>0.31479934068727639</v>
      </c>
      <c r="G2409" s="422">
        <v>22788.275979606409</v>
      </c>
      <c r="H2409" s="417" t="s">
        <v>2616</v>
      </c>
      <c r="I2409" s="417" t="s">
        <v>1392</v>
      </c>
      <c r="J2409" s="417" t="s">
        <v>4138</v>
      </c>
      <c r="K2409" s="417" t="s">
        <v>7230</v>
      </c>
      <c r="L2409" s="417"/>
      <c r="M2409" s="417" t="s">
        <v>28840</v>
      </c>
    </row>
    <row r="2410" spans="1:13" x14ac:dyDescent="0.25">
      <c r="A2410" s="417" t="s">
        <v>3385</v>
      </c>
      <c r="B2410" s="417" t="s">
        <v>2627</v>
      </c>
      <c r="C2410" s="417" t="s">
        <v>7231</v>
      </c>
      <c r="D2410" s="417" t="s">
        <v>563</v>
      </c>
      <c r="E2410" s="423">
        <v>8.6870524110928287</v>
      </c>
      <c r="F2410" s="423">
        <v>0.33728500787857252</v>
      </c>
      <c r="G2410" s="422">
        <v>24416.009971716761</v>
      </c>
      <c r="H2410" s="417" t="s">
        <v>2616</v>
      </c>
      <c r="I2410" s="417" t="s">
        <v>1392</v>
      </c>
      <c r="J2410" s="417" t="s">
        <v>4138</v>
      </c>
      <c r="K2410" s="417" t="s">
        <v>7232</v>
      </c>
      <c r="L2410" s="417"/>
      <c r="M2410" s="417" t="s">
        <v>28840</v>
      </c>
    </row>
    <row r="2411" spans="1:13" x14ac:dyDescent="0.25">
      <c r="A2411" s="417" t="s">
        <v>3385</v>
      </c>
      <c r="B2411" s="417" t="s">
        <v>2623</v>
      </c>
      <c r="C2411" s="417" t="s">
        <v>7233</v>
      </c>
      <c r="D2411" s="417" t="s">
        <v>88</v>
      </c>
      <c r="E2411" s="423">
        <v>3.9127085207393622E-2</v>
      </c>
      <c r="F2411" s="423">
        <v>0.22009988306805561</v>
      </c>
      <c r="G2411" s="422">
        <v>63.086968903297041</v>
      </c>
      <c r="H2411" s="417" t="s">
        <v>2616</v>
      </c>
      <c r="I2411" s="417" t="s">
        <v>1392</v>
      </c>
      <c r="J2411" s="417" t="s">
        <v>4364</v>
      </c>
      <c r="K2411" s="417" t="s">
        <v>7234</v>
      </c>
      <c r="L2411" s="417"/>
      <c r="M2411" s="417" t="s">
        <v>28840</v>
      </c>
    </row>
    <row r="2412" spans="1:13" x14ac:dyDescent="0.25">
      <c r="A2412" s="417" t="s">
        <v>3385</v>
      </c>
      <c r="B2412" s="417" t="s">
        <v>2623</v>
      </c>
      <c r="C2412" s="417" t="s">
        <v>7235</v>
      </c>
      <c r="D2412" s="417" t="s">
        <v>88</v>
      </c>
      <c r="E2412" s="423">
        <v>1.968471830319261</v>
      </c>
      <c r="F2412" s="423">
        <v>6.1828978351438843E-3</v>
      </c>
      <c r="G2412" s="422">
        <v>2182.350692726357</v>
      </c>
      <c r="H2412" s="417" t="s">
        <v>2616</v>
      </c>
      <c r="I2412" s="417" t="s">
        <v>1392</v>
      </c>
      <c r="J2412" s="417" t="s">
        <v>6002</v>
      </c>
      <c r="K2412" s="417" t="s">
        <v>7236</v>
      </c>
      <c r="L2412" s="417"/>
      <c r="M2412" s="417" t="s">
        <v>28840</v>
      </c>
    </row>
    <row r="2413" spans="1:13" x14ac:dyDescent="0.25">
      <c r="A2413" s="417" t="s">
        <v>3385</v>
      </c>
      <c r="B2413" s="417" t="s">
        <v>2623</v>
      </c>
      <c r="C2413" s="417" t="s">
        <v>7237</v>
      </c>
      <c r="D2413" s="417" t="s">
        <v>88</v>
      </c>
      <c r="E2413" s="423">
        <v>1.481114262717621E-2</v>
      </c>
      <c r="F2413" s="423">
        <v>1.4209725767909201E-3</v>
      </c>
      <c r="G2413" s="422">
        <v>143777.4244291936</v>
      </c>
      <c r="H2413" s="417" t="s">
        <v>2616</v>
      </c>
      <c r="I2413" s="417" t="s">
        <v>1392</v>
      </c>
      <c r="J2413" s="417" t="s">
        <v>6304</v>
      </c>
      <c r="K2413" s="417" t="s">
        <v>7238</v>
      </c>
      <c r="L2413" s="417"/>
      <c r="M2413" s="417" t="s">
        <v>28840</v>
      </c>
    </row>
    <row r="2414" spans="1:13" x14ac:dyDescent="0.25">
      <c r="A2414" s="417" t="s">
        <v>3385</v>
      </c>
      <c r="B2414" s="417" t="s">
        <v>2623</v>
      </c>
      <c r="C2414" s="417" t="s">
        <v>7239</v>
      </c>
      <c r="D2414" s="417" t="s">
        <v>563</v>
      </c>
      <c r="E2414" s="423">
        <v>0.33074818559023478</v>
      </c>
      <c r="F2414" s="423">
        <v>1.327999033301633E-3</v>
      </c>
      <c r="G2414" s="422">
        <v>358.32921391219662</v>
      </c>
      <c r="H2414" s="417" t="s">
        <v>2616</v>
      </c>
      <c r="I2414" s="417" t="s">
        <v>1392</v>
      </c>
      <c r="J2414" s="417" t="s">
        <v>4364</v>
      </c>
      <c r="K2414" s="417" t="s">
        <v>7240</v>
      </c>
      <c r="L2414" s="417"/>
      <c r="M2414" s="417" t="s">
        <v>28840</v>
      </c>
    </row>
    <row r="2415" spans="1:13" x14ac:dyDescent="0.25">
      <c r="A2415" s="417" t="s">
        <v>3385</v>
      </c>
      <c r="B2415" s="417" t="s">
        <v>2623</v>
      </c>
      <c r="C2415" s="417" t="s">
        <v>7241</v>
      </c>
      <c r="D2415" s="417" t="s">
        <v>563</v>
      </c>
      <c r="E2415" s="423">
        <v>0.33378289031711578</v>
      </c>
      <c r="F2415" s="423">
        <v>1.5674233727723959E-3</v>
      </c>
      <c r="G2415" s="422">
        <v>364.62135656410538</v>
      </c>
      <c r="H2415" s="417" t="s">
        <v>2616</v>
      </c>
      <c r="I2415" s="417" t="s">
        <v>1392</v>
      </c>
      <c r="J2415" s="417" t="s">
        <v>4364</v>
      </c>
      <c r="K2415" s="417" t="s">
        <v>7242</v>
      </c>
      <c r="L2415" s="417"/>
      <c r="M2415" s="417" t="s">
        <v>28840</v>
      </c>
    </row>
    <row r="2416" spans="1:13" x14ac:dyDescent="0.25">
      <c r="A2416" s="417" t="s">
        <v>3385</v>
      </c>
      <c r="B2416" s="417" t="s">
        <v>2623</v>
      </c>
      <c r="C2416" s="417" t="s">
        <v>7243</v>
      </c>
      <c r="D2416" s="417" t="s">
        <v>563</v>
      </c>
      <c r="E2416" s="423">
        <v>0.33985196362865122</v>
      </c>
      <c r="F2416" s="423">
        <v>2.0462455314269111E-3</v>
      </c>
      <c r="G2416" s="422">
        <v>377.20494499141472</v>
      </c>
      <c r="H2416" s="417" t="s">
        <v>2616</v>
      </c>
      <c r="I2416" s="417" t="s">
        <v>1392</v>
      </c>
      <c r="J2416" s="417" t="s">
        <v>4364</v>
      </c>
      <c r="K2416" s="417" t="s">
        <v>7244</v>
      </c>
      <c r="L2416" s="417"/>
      <c r="M2416" s="417" t="s">
        <v>28840</v>
      </c>
    </row>
    <row r="2417" spans="1:13" x14ac:dyDescent="0.25">
      <c r="A2417" s="417" t="s">
        <v>3385</v>
      </c>
      <c r="B2417" s="417" t="s">
        <v>2623</v>
      </c>
      <c r="C2417" s="417" t="s">
        <v>7245</v>
      </c>
      <c r="D2417" s="417" t="s">
        <v>563</v>
      </c>
      <c r="E2417" s="423">
        <v>0.34592103695678372</v>
      </c>
      <c r="F2417" s="423">
        <v>2.5250676968179581E-3</v>
      </c>
      <c r="G2417" s="422">
        <v>389.78853347203489</v>
      </c>
      <c r="H2417" s="417" t="s">
        <v>2616</v>
      </c>
      <c r="I2417" s="417" t="s">
        <v>1392</v>
      </c>
      <c r="J2417" s="417" t="s">
        <v>4364</v>
      </c>
      <c r="K2417" s="417" t="s">
        <v>7246</v>
      </c>
      <c r="L2417" s="417"/>
      <c r="M2417" s="417" t="s">
        <v>28840</v>
      </c>
    </row>
    <row r="2418" spans="1:13" x14ac:dyDescent="0.25">
      <c r="A2418" s="417" t="s">
        <v>3385</v>
      </c>
      <c r="B2418" s="417" t="s">
        <v>2623</v>
      </c>
      <c r="C2418" s="417" t="s">
        <v>7247</v>
      </c>
      <c r="D2418" s="417" t="s">
        <v>563</v>
      </c>
      <c r="E2418" s="423">
        <v>0.33074818559209918</v>
      </c>
      <c r="F2418" s="423">
        <v>1.327999033315681E-3</v>
      </c>
      <c r="G2418" s="422">
        <v>358.32921389095162</v>
      </c>
      <c r="H2418" s="417" t="s">
        <v>2616</v>
      </c>
      <c r="I2418" s="417" t="s">
        <v>1392</v>
      </c>
      <c r="J2418" s="417" t="s">
        <v>4364</v>
      </c>
      <c r="K2418" s="417" t="s">
        <v>7248</v>
      </c>
      <c r="L2418" s="417"/>
      <c r="M2418" s="417" t="s">
        <v>28840</v>
      </c>
    </row>
    <row r="2419" spans="1:13" x14ac:dyDescent="0.25">
      <c r="A2419" s="417" t="s">
        <v>3385</v>
      </c>
      <c r="B2419" s="417" t="s">
        <v>2623</v>
      </c>
      <c r="C2419" s="417" t="s">
        <v>7249</v>
      </c>
      <c r="D2419" s="417" t="s">
        <v>563</v>
      </c>
      <c r="E2419" s="423">
        <v>0.33378289031463498</v>
      </c>
      <c r="F2419" s="423">
        <v>1.5674233722690039E-3</v>
      </c>
      <c r="G2419" s="422">
        <v>364.6213565794443</v>
      </c>
      <c r="H2419" s="417" t="s">
        <v>2616</v>
      </c>
      <c r="I2419" s="417" t="s">
        <v>1392</v>
      </c>
      <c r="J2419" s="417" t="s">
        <v>4364</v>
      </c>
      <c r="K2419" s="417" t="s">
        <v>7250</v>
      </c>
      <c r="L2419" s="417"/>
      <c r="M2419" s="417" t="s">
        <v>28840</v>
      </c>
    </row>
    <row r="2420" spans="1:13" x14ac:dyDescent="0.25">
      <c r="A2420" s="417" t="s">
        <v>3385</v>
      </c>
      <c r="B2420" s="417" t="s">
        <v>2623</v>
      </c>
      <c r="C2420" s="417" t="s">
        <v>7251</v>
      </c>
      <c r="D2420" s="417" t="s">
        <v>563</v>
      </c>
      <c r="E2420" s="423">
        <v>0.33985196363011749</v>
      </c>
      <c r="F2420" s="423">
        <v>2.0462455322939571E-3</v>
      </c>
      <c r="G2420" s="422">
        <v>377.20494497158751</v>
      </c>
      <c r="H2420" s="417" t="s">
        <v>2616</v>
      </c>
      <c r="I2420" s="417" t="s">
        <v>1392</v>
      </c>
      <c r="J2420" s="417" t="s">
        <v>4364</v>
      </c>
      <c r="K2420" s="417" t="s">
        <v>7252</v>
      </c>
      <c r="L2420" s="417"/>
      <c r="M2420" s="417" t="s">
        <v>28840</v>
      </c>
    </row>
    <row r="2421" spans="1:13" x14ac:dyDescent="0.25">
      <c r="A2421" s="417" t="s">
        <v>3385</v>
      </c>
      <c r="B2421" s="417" t="s">
        <v>2623</v>
      </c>
      <c r="C2421" s="417" t="s">
        <v>7253</v>
      </c>
      <c r="D2421" s="417" t="s">
        <v>563</v>
      </c>
      <c r="E2421" s="423">
        <v>0.3459210369613761</v>
      </c>
      <c r="F2421" s="423">
        <v>2.5250676973531659E-3</v>
      </c>
      <c r="G2421" s="422">
        <v>389.78853347769848</v>
      </c>
      <c r="H2421" s="417" t="s">
        <v>2616</v>
      </c>
      <c r="I2421" s="417" t="s">
        <v>1392</v>
      </c>
      <c r="J2421" s="417" t="s">
        <v>4364</v>
      </c>
      <c r="K2421" s="417" t="s">
        <v>7254</v>
      </c>
      <c r="L2421" s="417"/>
      <c r="M2421" s="417" t="s">
        <v>28840</v>
      </c>
    </row>
    <row r="2422" spans="1:13" x14ac:dyDescent="0.25">
      <c r="A2422" s="417" t="s">
        <v>3385</v>
      </c>
      <c r="B2422" s="417" t="s">
        <v>2623</v>
      </c>
      <c r="C2422" s="417" t="s">
        <v>7255</v>
      </c>
      <c r="D2422" s="417" t="s">
        <v>88</v>
      </c>
      <c r="E2422" s="423">
        <v>0</v>
      </c>
      <c r="F2422" s="423">
        <v>0</v>
      </c>
      <c r="G2422" s="422">
        <v>7.4730599999999994E-2</v>
      </c>
      <c r="H2422" s="417" t="s">
        <v>2616</v>
      </c>
      <c r="I2422" s="417" t="s">
        <v>1392</v>
      </c>
      <c r="J2422" s="417" t="s">
        <v>6015</v>
      </c>
      <c r="K2422" s="417" t="s">
        <v>7256</v>
      </c>
      <c r="L2422" s="417"/>
      <c r="M2422" s="417" t="s">
        <v>28840</v>
      </c>
    </row>
    <row r="2423" spans="1:13" x14ac:dyDescent="0.25">
      <c r="A2423" s="417" t="s">
        <v>3385</v>
      </c>
      <c r="B2423" s="417" t="s">
        <v>2623</v>
      </c>
      <c r="C2423" s="417" t="s">
        <v>7257</v>
      </c>
      <c r="D2423" s="417" t="s">
        <v>88</v>
      </c>
      <c r="E2423" s="423">
        <v>0</v>
      </c>
      <c r="F2423" s="423">
        <v>0</v>
      </c>
      <c r="G2423" s="422">
        <v>6.2305200000000012E-2</v>
      </c>
      <c r="H2423" s="417" t="s">
        <v>2616</v>
      </c>
      <c r="I2423" s="417" t="s">
        <v>1392</v>
      </c>
      <c r="J2423" s="417" t="s">
        <v>6015</v>
      </c>
      <c r="K2423" s="417" t="s">
        <v>7258</v>
      </c>
      <c r="L2423" s="417"/>
      <c r="M2423" s="417" t="s">
        <v>28840</v>
      </c>
    </row>
    <row r="2424" spans="1:13" x14ac:dyDescent="0.25">
      <c r="A2424" s="417" t="s">
        <v>3385</v>
      </c>
      <c r="B2424" s="417" t="s">
        <v>2627</v>
      </c>
      <c r="C2424" s="417" t="s">
        <v>7259</v>
      </c>
      <c r="D2424" s="417" t="s">
        <v>563</v>
      </c>
      <c r="E2424" s="423">
        <v>4.4928447523194222E-3</v>
      </c>
      <c r="F2424" s="423">
        <v>0.2066919097801875</v>
      </c>
      <c r="G2424" s="422">
        <v>11.083248553880649</v>
      </c>
      <c r="H2424" s="417" t="s">
        <v>2616</v>
      </c>
      <c r="I2424" s="417" t="s">
        <v>1392</v>
      </c>
      <c r="J2424" s="417" t="s">
        <v>3798</v>
      </c>
      <c r="K2424" s="417" t="s">
        <v>7260</v>
      </c>
      <c r="L2424" s="417"/>
      <c r="M2424" s="417" t="s">
        <v>28840</v>
      </c>
    </row>
    <row r="2425" spans="1:13" x14ac:dyDescent="0.25">
      <c r="A2425" s="417" t="s">
        <v>3385</v>
      </c>
      <c r="B2425" s="417" t="s">
        <v>2627</v>
      </c>
      <c r="C2425" s="417" t="s">
        <v>7261</v>
      </c>
      <c r="D2425" s="417" t="s">
        <v>563</v>
      </c>
      <c r="E2425" s="423">
        <v>9.1563384000477553E-3</v>
      </c>
      <c r="F2425" s="423">
        <v>0.42123447901729921</v>
      </c>
      <c r="G2425" s="422">
        <v>22.587465256701542</v>
      </c>
      <c r="H2425" s="417" t="s">
        <v>2616</v>
      </c>
      <c r="I2425" s="417" t="s">
        <v>1392</v>
      </c>
      <c r="J2425" s="417" t="s">
        <v>3798</v>
      </c>
      <c r="K2425" s="417" t="s">
        <v>7262</v>
      </c>
      <c r="L2425" s="417"/>
      <c r="M2425" s="417" t="s">
        <v>28840</v>
      </c>
    </row>
    <row r="2426" spans="1:13" x14ac:dyDescent="0.25">
      <c r="A2426" s="417" t="s">
        <v>3385</v>
      </c>
      <c r="B2426" s="417" t="s">
        <v>2623</v>
      </c>
      <c r="C2426" s="417" t="s">
        <v>7263</v>
      </c>
      <c r="D2426" s="417" t="s">
        <v>88</v>
      </c>
      <c r="E2426" s="423">
        <v>2.7383726128281341E-2</v>
      </c>
      <c r="F2426" s="423">
        <v>1.4250265008016821E-3</v>
      </c>
      <c r="G2426" s="422">
        <v>221.91734358753291</v>
      </c>
      <c r="H2426" s="417" t="s">
        <v>2616</v>
      </c>
      <c r="I2426" s="417" t="s">
        <v>1392</v>
      </c>
      <c r="J2426" s="417" t="s">
        <v>5990</v>
      </c>
      <c r="K2426" s="417" t="s">
        <v>7264</v>
      </c>
      <c r="L2426" s="417"/>
      <c r="M2426" s="417" t="s">
        <v>28840</v>
      </c>
    </row>
    <row r="2427" spans="1:13" x14ac:dyDescent="0.25">
      <c r="A2427" s="417" t="s">
        <v>3385</v>
      </c>
      <c r="B2427" s="417" t="s">
        <v>2623</v>
      </c>
      <c r="C2427" s="417" t="s">
        <v>7265</v>
      </c>
      <c r="D2427" s="417" t="s">
        <v>88</v>
      </c>
      <c r="E2427" s="423">
        <v>3.4005354757521088E-3</v>
      </c>
      <c r="F2427" s="423">
        <v>2.6761308371900258E-4</v>
      </c>
      <c r="G2427" s="422">
        <v>104.63666810651669</v>
      </c>
      <c r="H2427" s="417" t="s">
        <v>2616</v>
      </c>
      <c r="I2427" s="417" t="s">
        <v>1392</v>
      </c>
      <c r="J2427" s="417" t="s">
        <v>4364</v>
      </c>
      <c r="K2427" s="417" t="s">
        <v>7266</v>
      </c>
      <c r="L2427" s="417"/>
      <c r="M2427" s="417" t="s">
        <v>28840</v>
      </c>
    </row>
    <row r="2428" spans="1:13" x14ac:dyDescent="0.25">
      <c r="A2428" s="417" t="s">
        <v>3385</v>
      </c>
      <c r="B2428" s="417" t="s">
        <v>2623</v>
      </c>
      <c r="C2428" s="417" t="s">
        <v>7267</v>
      </c>
      <c r="D2428" s="417" t="s">
        <v>88</v>
      </c>
      <c r="E2428" s="423">
        <v>1.0999152455378159E-3</v>
      </c>
      <c r="F2428" s="423">
        <v>6.6289031636409572E-5</v>
      </c>
      <c r="G2428" s="422">
        <v>31.52825594478448</v>
      </c>
      <c r="H2428" s="417" t="s">
        <v>2616</v>
      </c>
      <c r="I2428" s="417" t="s">
        <v>1392</v>
      </c>
      <c r="J2428" s="417" t="s">
        <v>6311</v>
      </c>
      <c r="K2428" s="417" t="s">
        <v>7268</v>
      </c>
      <c r="L2428" s="417"/>
      <c r="M2428" s="417" t="s">
        <v>28840</v>
      </c>
    </row>
    <row r="2429" spans="1:13" x14ac:dyDescent="0.25">
      <c r="A2429" s="417" t="s">
        <v>3385</v>
      </c>
      <c r="B2429" s="417" t="s">
        <v>2623</v>
      </c>
      <c r="C2429" s="417" t="s">
        <v>7269</v>
      </c>
      <c r="D2429" s="417" t="s">
        <v>88</v>
      </c>
      <c r="E2429" s="423">
        <v>1.208732133942607E-2</v>
      </c>
      <c r="F2429" s="423">
        <v>5.6544232033156876E-4</v>
      </c>
      <c r="G2429" s="422">
        <v>27.19259250440675</v>
      </c>
      <c r="H2429" s="417" t="s">
        <v>2616</v>
      </c>
      <c r="I2429" s="417" t="s">
        <v>1392</v>
      </c>
      <c r="J2429" s="417" t="s">
        <v>5990</v>
      </c>
      <c r="K2429" s="417" t="s">
        <v>7270</v>
      </c>
      <c r="L2429" s="417"/>
      <c r="M2429" s="417" t="s">
        <v>28840</v>
      </c>
    </row>
    <row r="2430" spans="1:13" x14ac:dyDescent="0.25">
      <c r="A2430" s="417" t="s">
        <v>3385</v>
      </c>
      <c r="B2430" s="417" t="s">
        <v>2623</v>
      </c>
      <c r="C2430" s="417" t="s">
        <v>7271</v>
      </c>
      <c r="D2430" s="417" t="s">
        <v>88</v>
      </c>
      <c r="E2430" s="423">
        <v>6.8793916403025977E-3</v>
      </c>
      <c r="F2430" s="423">
        <v>1.8858143997978381E-4</v>
      </c>
      <c r="G2430" s="422">
        <v>10.876651140113649</v>
      </c>
      <c r="H2430" s="417" t="s">
        <v>2616</v>
      </c>
      <c r="I2430" s="417" t="s">
        <v>1392</v>
      </c>
      <c r="J2430" s="417" t="s">
        <v>4364</v>
      </c>
      <c r="K2430" s="417" t="s">
        <v>7272</v>
      </c>
      <c r="L2430" s="417"/>
      <c r="M2430" s="417" t="s">
        <v>28840</v>
      </c>
    </row>
    <row r="2431" spans="1:13" x14ac:dyDescent="0.25">
      <c r="A2431" s="417" t="s">
        <v>3385</v>
      </c>
      <c r="B2431" s="417" t="s">
        <v>2627</v>
      </c>
      <c r="C2431" s="417" t="s">
        <v>7273</v>
      </c>
      <c r="D2431" s="417" t="s">
        <v>4315</v>
      </c>
      <c r="E2431" s="423">
        <v>0</v>
      </c>
      <c r="F2431" s="423">
        <v>0</v>
      </c>
      <c r="G2431" s="422">
        <v>0</v>
      </c>
      <c r="H2431" s="417" t="s">
        <v>2616</v>
      </c>
      <c r="I2431" s="417" t="s">
        <v>1392</v>
      </c>
      <c r="J2431" s="417" t="s">
        <v>4138</v>
      </c>
      <c r="K2431" s="417" t="s">
        <v>7274</v>
      </c>
      <c r="L2431" s="417"/>
      <c r="M2431" s="417" t="s">
        <v>28840</v>
      </c>
    </row>
    <row r="2432" spans="1:13" x14ac:dyDescent="0.25">
      <c r="A2432" s="417" t="s">
        <v>3385</v>
      </c>
      <c r="B2432" s="417" t="s">
        <v>2627</v>
      </c>
      <c r="C2432" s="417" t="s">
        <v>7275</v>
      </c>
      <c r="D2432" s="417" t="s">
        <v>4315</v>
      </c>
      <c r="E2432" s="423">
        <v>0</v>
      </c>
      <c r="F2432" s="423">
        <v>0</v>
      </c>
      <c r="G2432" s="422">
        <v>0</v>
      </c>
      <c r="H2432" s="417" t="s">
        <v>2616</v>
      </c>
      <c r="I2432" s="417" t="s">
        <v>1392</v>
      </c>
      <c r="J2432" s="417" t="s">
        <v>4138</v>
      </c>
      <c r="K2432" s="417" t="s">
        <v>7276</v>
      </c>
      <c r="L2432" s="417"/>
      <c r="M2432" s="417" t="s">
        <v>28840</v>
      </c>
    </row>
    <row r="2433" spans="1:13" x14ac:dyDescent="0.25">
      <c r="A2433" s="417" t="s">
        <v>3385</v>
      </c>
      <c r="B2433" s="417" t="s">
        <v>2627</v>
      </c>
      <c r="C2433" s="417" t="s">
        <v>7277</v>
      </c>
      <c r="D2433" s="417" t="s">
        <v>4315</v>
      </c>
      <c r="E2433" s="423">
        <v>0</v>
      </c>
      <c r="F2433" s="423">
        <v>0</v>
      </c>
      <c r="G2433" s="422">
        <v>0</v>
      </c>
      <c r="H2433" s="417" t="s">
        <v>2616</v>
      </c>
      <c r="I2433" s="417" t="s">
        <v>1392</v>
      </c>
      <c r="J2433" s="417" t="s">
        <v>4138</v>
      </c>
      <c r="K2433" s="417" t="s">
        <v>7278</v>
      </c>
      <c r="L2433" s="417"/>
      <c r="M2433" s="417" t="s">
        <v>28840</v>
      </c>
    </row>
    <row r="2434" spans="1:13" x14ac:dyDescent="0.25">
      <c r="A2434" s="417" t="s">
        <v>3385</v>
      </c>
      <c r="B2434" s="417" t="s">
        <v>2623</v>
      </c>
      <c r="C2434" s="417" t="s">
        <v>7279</v>
      </c>
      <c r="D2434" s="417" t="s">
        <v>88</v>
      </c>
      <c r="E2434" s="423">
        <v>0</v>
      </c>
      <c r="F2434" s="423">
        <v>0</v>
      </c>
      <c r="G2434" s="422">
        <v>1.096452</v>
      </c>
      <c r="H2434" s="417" t="s">
        <v>2616</v>
      </c>
      <c r="I2434" s="417" t="s">
        <v>1392</v>
      </c>
      <c r="J2434" s="417" t="s">
        <v>6015</v>
      </c>
      <c r="K2434" s="417" t="s">
        <v>7280</v>
      </c>
      <c r="L2434" s="417"/>
      <c r="M2434" s="417" t="s">
        <v>28840</v>
      </c>
    </row>
    <row r="2435" spans="1:13" x14ac:dyDescent="0.25">
      <c r="A2435" s="417" t="s">
        <v>3385</v>
      </c>
      <c r="B2435" s="417" t="s">
        <v>2623</v>
      </c>
      <c r="C2435" s="417" t="s">
        <v>7281</v>
      </c>
      <c r="D2435" s="417" t="s">
        <v>563</v>
      </c>
      <c r="E2435" s="423">
        <v>2.0061605059120442</v>
      </c>
      <c r="F2435" s="423">
        <v>9.031557178310394E-4</v>
      </c>
      <c r="G2435" s="422">
        <v>2320.5269933690511</v>
      </c>
      <c r="H2435" s="417" t="s">
        <v>2616</v>
      </c>
      <c r="I2435" s="417" t="s">
        <v>1392</v>
      </c>
      <c r="J2435" s="417" t="s">
        <v>4364</v>
      </c>
      <c r="K2435" s="417" t="s">
        <v>7282</v>
      </c>
      <c r="L2435" s="417"/>
      <c r="M2435" s="417" t="s">
        <v>28840</v>
      </c>
    </row>
    <row r="2436" spans="1:13" x14ac:dyDescent="0.25">
      <c r="A2436" s="417" t="s">
        <v>3385</v>
      </c>
      <c r="B2436" s="417" t="s">
        <v>2623</v>
      </c>
      <c r="C2436" s="417" t="s">
        <v>7283</v>
      </c>
      <c r="D2436" s="417" t="s">
        <v>563</v>
      </c>
      <c r="E2436" s="423">
        <v>2.5894495712793688</v>
      </c>
      <c r="F2436" s="423">
        <v>1.165747386277621E-3</v>
      </c>
      <c r="G2436" s="422">
        <v>2995.2177870673831</v>
      </c>
      <c r="H2436" s="417" t="s">
        <v>2616</v>
      </c>
      <c r="I2436" s="417" t="s">
        <v>1392</v>
      </c>
      <c r="J2436" s="417" t="s">
        <v>4364</v>
      </c>
      <c r="K2436" s="417" t="s">
        <v>7284</v>
      </c>
      <c r="L2436" s="417"/>
      <c r="M2436" s="417" t="s">
        <v>28840</v>
      </c>
    </row>
    <row r="2437" spans="1:13" x14ac:dyDescent="0.25">
      <c r="A2437" s="417" t="s">
        <v>3385</v>
      </c>
      <c r="B2437" s="417" t="s">
        <v>2623</v>
      </c>
      <c r="C2437" s="417" t="s">
        <v>7285</v>
      </c>
      <c r="D2437" s="417" t="s">
        <v>563</v>
      </c>
      <c r="E2437" s="423">
        <v>2.512551932375803</v>
      </c>
      <c r="F2437" s="423">
        <v>1.131128461920531E-3</v>
      </c>
      <c r="G2437" s="422">
        <v>2906.2702418650051</v>
      </c>
      <c r="H2437" s="417" t="s">
        <v>2616</v>
      </c>
      <c r="I2437" s="417" t="s">
        <v>1392</v>
      </c>
      <c r="J2437" s="417" t="s">
        <v>4364</v>
      </c>
      <c r="K2437" s="417" t="s">
        <v>7286</v>
      </c>
      <c r="L2437" s="417"/>
      <c r="M2437" s="417" t="s">
        <v>28840</v>
      </c>
    </row>
    <row r="2438" spans="1:13" x14ac:dyDescent="0.25">
      <c r="A2438" s="417" t="s">
        <v>3385</v>
      </c>
      <c r="B2438" s="417" t="s">
        <v>2623</v>
      </c>
      <c r="C2438" s="417" t="s">
        <v>7287</v>
      </c>
      <c r="D2438" s="417" t="s">
        <v>563</v>
      </c>
      <c r="E2438" s="423">
        <v>3.199809495350038</v>
      </c>
      <c r="F2438" s="423">
        <v>1.4405257189303469E-3</v>
      </c>
      <c r="G2438" s="422">
        <v>3701.2214537742639</v>
      </c>
      <c r="H2438" s="417" t="s">
        <v>2616</v>
      </c>
      <c r="I2438" s="417" t="s">
        <v>1392</v>
      </c>
      <c r="J2438" s="417" t="s">
        <v>4364</v>
      </c>
      <c r="K2438" s="417" t="s">
        <v>7288</v>
      </c>
      <c r="L2438" s="417"/>
      <c r="M2438" s="417" t="s">
        <v>28840</v>
      </c>
    </row>
    <row r="2439" spans="1:13" x14ac:dyDescent="0.25">
      <c r="A2439" s="417" t="s">
        <v>3385</v>
      </c>
      <c r="B2439" s="417" t="s">
        <v>2623</v>
      </c>
      <c r="C2439" s="417" t="s">
        <v>7289</v>
      </c>
      <c r="D2439" s="417" t="s">
        <v>88</v>
      </c>
      <c r="E2439" s="423">
        <v>2.2197902914407791E-2</v>
      </c>
      <c r="F2439" s="423">
        <v>9.4383793642303395E-4</v>
      </c>
      <c r="G2439" s="422">
        <v>384.23623830690462</v>
      </c>
      <c r="H2439" s="417" t="s">
        <v>2616</v>
      </c>
      <c r="I2439" s="417" t="s">
        <v>1392</v>
      </c>
      <c r="J2439" s="417" t="s">
        <v>4364</v>
      </c>
      <c r="K2439" s="417" t="s">
        <v>7290</v>
      </c>
      <c r="L2439" s="417"/>
      <c r="M2439" s="417" t="s">
        <v>28840</v>
      </c>
    </row>
    <row r="2440" spans="1:13" x14ac:dyDescent="0.25">
      <c r="A2440" s="417" t="s">
        <v>3385</v>
      </c>
      <c r="B2440" s="417" t="s">
        <v>2623</v>
      </c>
      <c r="C2440" s="417" t="s">
        <v>7291</v>
      </c>
      <c r="D2440" s="417" t="s">
        <v>88</v>
      </c>
      <c r="E2440" s="423">
        <v>1.6835606231869391</v>
      </c>
      <c r="F2440" s="423">
        <v>1.942320586546042E-3</v>
      </c>
      <c r="G2440" s="422">
        <v>1827.2069716843459</v>
      </c>
      <c r="H2440" s="417" t="s">
        <v>2616</v>
      </c>
      <c r="I2440" s="417" t="s">
        <v>1392</v>
      </c>
      <c r="J2440" s="417" t="s">
        <v>4364</v>
      </c>
      <c r="K2440" s="417" t="s">
        <v>7292</v>
      </c>
      <c r="L2440" s="417"/>
      <c r="M2440" s="417" t="s">
        <v>28840</v>
      </c>
    </row>
    <row r="2441" spans="1:13" x14ac:dyDescent="0.25">
      <c r="A2441" s="417" t="s">
        <v>3385</v>
      </c>
      <c r="B2441" s="417" t="s">
        <v>2623</v>
      </c>
      <c r="C2441" s="417" t="s">
        <v>7293</v>
      </c>
      <c r="D2441" s="417" t="s">
        <v>88</v>
      </c>
      <c r="E2441" s="423">
        <v>0</v>
      </c>
      <c r="F2441" s="423">
        <v>0</v>
      </c>
      <c r="G2441" s="422">
        <v>0.35569800000000001</v>
      </c>
      <c r="H2441" s="417" t="s">
        <v>2616</v>
      </c>
      <c r="I2441" s="417" t="s">
        <v>1392</v>
      </c>
      <c r="J2441" s="417" t="s">
        <v>7294</v>
      </c>
      <c r="K2441" s="417" t="s">
        <v>7295</v>
      </c>
      <c r="L2441" s="417"/>
      <c r="M2441" s="417" t="s">
        <v>28840</v>
      </c>
    </row>
    <row r="2442" spans="1:13" x14ac:dyDescent="0.25">
      <c r="A2442" s="417" t="s">
        <v>3385</v>
      </c>
      <c r="B2442" s="417" t="s">
        <v>2623</v>
      </c>
      <c r="C2442" s="417" t="s">
        <v>7296</v>
      </c>
      <c r="D2442" s="417" t="s">
        <v>563</v>
      </c>
      <c r="E2442" s="423">
        <v>1.176888767227102</v>
      </c>
      <c r="F2442" s="423">
        <v>4.8957609880668329E-2</v>
      </c>
      <c r="G2442" s="422">
        <v>3971.664805552874</v>
      </c>
      <c r="H2442" s="417" t="s">
        <v>2616</v>
      </c>
      <c r="I2442" s="417" t="s">
        <v>1392</v>
      </c>
      <c r="J2442" s="417" t="s">
        <v>4364</v>
      </c>
      <c r="K2442" s="417" t="s">
        <v>7297</v>
      </c>
      <c r="L2442" s="417"/>
      <c r="M2442" s="417" t="s">
        <v>28840</v>
      </c>
    </row>
    <row r="2443" spans="1:13" x14ac:dyDescent="0.25">
      <c r="A2443" s="417" t="s">
        <v>3385</v>
      </c>
      <c r="B2443" s="417" t="s">
        <v>2623</v>
      </c>
      <c r="C2443" s="417" t="s">
        <v>7298</v>
      </c>
      <c r="D2443" s="417" t="s">
        <v>88</v>
      </c>
      <c r="E2443" s="423">
        <v>0.79163013921950875</v>
      </c>
      <c r="F2443" s="423">
        <v>0.90825457684204547</v>
      </c>
      <c r="G2443" s="422">
        <v>965.61379710060248</v>
      </c>
      <c r="H2443" s="417" t="s">
        <v>2616</v>
      </c>
      <c r="I2443" s="417" t="s">
        <v>1392</v>
      </c>
      <c r="J2443" s="417" t="s">
        <v>5990</v>
      </c>
      <c r="K2443" s="417" t="s">
        <v>7299</v>
      </c>
      <c r="L2443" s="417"/>
      <c r="M2443" s="417" t="s">
        <v>28840</v>
      </c>
    </row>
    <row r="2444" spans="1:13" x14ac:dyDescent="0.25">
      <c r="A2444" s="417" t="s">
        <v>3385</v>
      </c>
      <c r="B2444" s="417" t="s">
        <v>2623</v>
      </c>
      <c r="C2444" s="417" t="s">
        <v>7300</v>
      </c>
      <c r="D2444" s="417" t="s">
        <v>563</v>
      </c>
      <c r="E2444" s="423">
        <v>7.9819406916472629E-2</v>
      </c>
      <c r="F2444" s="423">
        <v>3.8643464655201188E-3</v>
      </c>
      <c r="G2444" s="422">
        <v>1435.0848442884751</v>
      </c>
      <c r="H2444" s="417" t="s">
        <v>2616</v>
      </c>
      <c r="I2444" s="417" t="s">
        <v>1392</v>
      </c>
      <c r="J2444" s="417" t="s">
        <v>4364</v>
      </c>
      <c r="K2444" s="417" t="s">
        <v>7301</v>
      </c>
      <c r="L2444" s="417"/>
      <c r="M2444" s="417" t="s">
        <v>28840</v>
      </c>
    </row>
    <row r="2445" spans="1:13" x14ac:dyDescent="0.25">
      <c r="A2445" s="417" t="s">
        <v>3385</v>
      </c>
      <c r="B2445" s="417" t="s">
        <v>2623</v>
      </c>
      <c r="C2445" s="417" t="s">
        <v>7302</v>
      </c>
      <c r="D2445" s="417" t="s">
        <v>563</v>
      </c>
      <c r="E2445" s="423">
        <v>0.213358448659169</v>
      </c>
      <c r="F2445" s="423">
        <v>3.4687667006187408E-3</v>
      </c>
      <c r="G2445" s="422">
        <v>1571.170379709406</v>
      </c>
      <c r="H2445" s="417" t="s">
        <v>2616</v>
      </c>
      <c r="I2445" s="417" t="s">
        <v>1392</v>
      </c>
      <c r="J2445" s="417" t="s">
        <v>4364</v>
      </c>
      <c r="K2445" s="417" t="s">
        <v>7303</v>
      </c>
      <c r="L2445" s="417"/>
      <c r="M2445" s="417" t="s">
        <v>28840</v>
      </c>
    </row>
    <row r="2446" spans="1:13" x14ac:dyDescent="0.25">
      <c r="A2446" s="417" t="s">
        <v>3385</v>
      </c>
      <c r="B2446" s="417" t="s">
        <v>2623</v>
      </c>
      <c r="C2446" s="417" t="s">
        <v>7304</v>
      </c>
      <c r="D2446" s="417" t="s">
        <v>563</v>
      </c>
      <c r="E2446" s="423">
        <v>9.3668524651525156E-2</v>
      </c>
      <c r="F2446" s="423">
        <v>4.9569785911895078E-3</v>
      </c>
      <c r="G2446" s="422">
        <v>1463.7995407017791</v>
      </c>
      <c r="H2446" s="417" t="s">
        <v>2616</v>
      </c>
      <c r="I2446" s="417" t="s">
        <v>1392</v>
      </c>
      <c r="J2446" s="417" t="s">
        <v>4364</v>
      </c>
      <c r="K2446" s="417" t="s">
        <v>7305</v>
      </c>
      <c r="L2446" s="417"/>
      <c r="M2446" s="417" t="s">
        <v>28840</v>
      </c>
    </row>
    <row r="2447" spans="1:13" x14ac:dyDescent="0.25">
      <c r="A2447" s="417" t="s">
        <v>3385</v>
      </c>
      <c r="B2447" s="417" t="s">
        <v>2623</v>
      </c>
      <c r="C2447" s="417" t="s">
        <v>7306</v>
      </c>
      <c r="D2447" s="417" t="s">
        <v>563</v>
      </c>
      <c r="E2447" s="423">
        <v>2.9028313820711631E-2</v>
      </c>
      <c r="F2447" s="423">
        <v>1.560289320850285E-3</v>
      </c>
      <c r="G2447" s="422">
        <v>441.06346805580978</v>
      </c>
      <c r="H2447" s="417" t="s">
        <v>2616</v>
      </c>
      <c r="I2447" s="417" t="s">
        <v>1392</v>
      </c>
      <c r="J2447" s="417" t="s">
        <v>4364</v>
      </c>
      <c r="K2447" s="417" t="s">
        <v>7307</v>
      </c>
      <c r="L2447" s="417"/>
      <c r="M2447" s="417" t="s">
        <v>28840</v>
      </c>
    </row>
    <row r="2448" spans="1:13" x14ac:dyDescent="0.25">
      <c r="A2448" s="417" t="s">
        <v>3385</v>
      </c>
      <c r="B2448" s="417" t="s">
        <v>2623</v>
      </c>
      <c r="C2448" s="417" t="s">
        <v>7308</v>
      </c>
      <c r="D2448" s="417" t="s">
        <v>563</v>
      </c>
      <c r="E2448" s="423">
        <v>0.16256735558105931</v>
      </c>
      <c r="F2448" s="423">
        <v>1.164709561235546E-3</v>
      </c>
      <c r="G2448" s="422">
        <v>577.14900354142003</v>
      </c>
      <c r="H2448" s="417" t="s">
        <v>2616</v>
      </c>
      <c r="I2448" s="417" t="s">
        <v>1392</v>
      </c>
      <c r="J2448" s="417" t="s">
        <v>4364</v>
      </c>
      <c r="K2448" s="417" t="s">
        <v>7309</v>
      </c>
      <c r="L2448" s="417"/>
      <c r="M2448" s="417" t="s">
        <v>28840</v>
      </c>
    </row>
    <row r="2449" spans="1:13" x14ac:dyDescent="0.25">
      <c r="A2449" s="417" t="s">
        <v>3385</v>
      </c>
      <c r="B2449" s="417" t="s">
        <v>2623</v>
      </c>
      <c r="C2449" s="417" t="s">
        <v>7310</v>
      </c>
      <c r="D2449" s="417" t="s">
        <v>563</v>
      </c>
      <c r="E2449" s="423">
        <v>4.2877431562784112E-2</v>
      </c>
      <c r="F2449" s="423">
        <v>2.6529214483994919E-3</v>
      </c>
      <c r="G2449" s="422">
        <v>469.77816458203972</v>
      </c>
      <c r="H2449" s="417" t="s">
        <v>2616</v>
      </c>
      <c r="I2449" s="417" t="s">
        <v>1392</v>
      </c>
      <c r="J2449" s="417" t="s">
        <v>4364</v>
      </c>
      <c r="K2449" s="417" t="s">
        <v>7311</v>
      </c>
      <c r="L2449" s="417"/>
      <c r="M2449" s="417" t="s">
        <v>28840</v>
      </c>
    </row>
    <row r="2450" spans="1:13" x14ac:dyDescent="0.25">
      <c r="A2450" s="417" t="s">
        <v>3385</v>
      </c>
      <c r="B2450" s="417" t="s">
        <v>2623</v>
      </c>
      <c r="C2450" s="417" t="s">
        <v>7312</v>
      </c>
      <c r="D2450" s="417" t="s">
        <v>563</v>
      </c>
      <c r="E2450" s="423">
        <v>5.0795925153442688E-2</v>
      </c>
      <c r="F2450" s="423">
        <v>2.5477423830307152E-3</v>
      </c>
      <c r="G2450" s="422">
        <v>867.07262931945058</v>
      </c>
      <c r="H2450" s="417" t="s">
        <v>2616</v>
      </c>
      <c r="I2450" s="417" t="s">
        <v>1392</v>
      </c>
      <c r="J2450" s="417" t="s">
        <v>4364</v>
      </c>
      <c r="K2450" s="417" t="s">
        <v>7313</v>
      </c>
      <c r="L2450" s="417"/>
      <c r="M2450" s="417" t="s">
        <v>28840</v>
      </c>
    </row>
    <row r="2451" spans="1:13" x14ac:dyDescent="0.25">
      <c r="A2451" s="417" t="s">
        <v>3385</v>
      </c>
      <c r="B2451" s="417" t="s">
        <v>2623</v>
      </c>
      <c r="C2451" s="417" t="s">
        <v>7314</v>
      </c>
      <c r="D2451" s="417" t="s">
        <v>563</v>
      </c>
      <c r="E2451" s="423">
        <v>0.18433496689950479</v>
      </c>
      <c r="F2451" s="423">
        <v>2.1521626209293591E-3</v>
      </c>
      <c r="G2451" s="422">
        <v>1003.15816476589</v>
      </c>
      <c r="H2451" s="417" t="s">
        <v>2616</v>
      </c>
      <c r="I2451" s="417" t="s">
        <v>1392</v>
      </c>
      <c r="J2451" s="417" t="s">
        <v>4364</v>
      </c>
      <c r="K2451" s="417" t="s">
        <v>7315</v>
      </c>
      <c r="L2451" s="417"/>
      <c r="M2451" s="417" t="s">
        <v>28840</v>
      </c>
    </row>
    <row r="2452" spans="1:13" x14ac:dyDescent="0.25">
      <c r="A2452" s="417" t="s">
        <v>3385</v>
      </c>
      <c r="B2452" s="417" t="s">
        <v>2623</v>
      </c>
      <c r="C2452" s="417" t="s">
        <v>7316</v>
      </c>
      <c r="D2452" s="417" t="s">
        <v>563</v>
      </c>
      <c r="E2452" s="423">
        <v>6.4645042880583092E-2</v>
      </c>
      <c r="F2452" s="423">
        <v>3.6403745078802262E-3</v>
      </c>
      <c r="G2452" s="422">
        <v>895.78732575519166</v>
      </c>
      <c r="H2452" s="417" t="s">
        <v>2616</v>
      </c>
      <c r="I2452" s="417" t="s">
        <v>1392</v>
      </c>
      <c r="J2452" s="417" t="s">
        <v>4364</v>
      </c>
      <c r="K2452" s="417" t="s">
        <v>7317</v>
      </c>
      <c r="L2452" s="417"/>
      <c r="M2452" s="417" t="s">
        <v>28840</v>
      </c>
    </row>
    <row r="2453" spans="1:13" x14ac:dyDescent="0.25">
      <c r="A2453" s="417" t="s">
        <v>3385</v>
      </c>
      <c r="B2453" s="417" t="s">
        <v>2623</v>
      </c>
      <c r="C2453" s="417" t="s">
        <v>7318</v>
      </c>
      <c r="D2453" s="417" t="s">
        <v>88</v>
      </c>
      <c r="E2453" s="423">
        <v>1.1910619064514251E-2</v>
      </c>
      <c r="F2453" s="423">
        <v>5.6126687979522034E-4</v>
      </c>
      <c r="G2453" s="422">
        <v>26.06534865141062</v>
      </c>
      <c r="H2453" s="417" t="s">
        <v>2616</v>
      </c>
      <c r="I2453" s="417" t="s">
        <v>1392</v>
      </c>
      <c r="J2453" s="417" t="s">
        <v>5990</v>
      </c>
      <c r="K2453" s="417" t="s">
        <v>7319</v>
      </c>
      <c r="L2453" s="417"/>
      <c r="M2453" s="417" t="s">
        <v>28840</v>
      </c>
    </row>
    <row r="2454" spans="1:13" x14ac:dyDescent="0.25">
      <c r="A2454" s="417" t="s">
        <v>3385</v>
      </c>
      <c r="B2454" s="417" t="s">
        <v>2623</v>
      </c>
      <c r="C2454" s="417" t="s">
        <v>7320</v>
      </c>
      <c r="D2454" s="417" t="s">
        <v>88</v>
      </c>
      <c r="E2454" s="423">
        <v>1.4227142355263751E-2</v>
      </c>
      <c r="F2454" s="423">
        <v>6.1450439713565301E-4</v>
      </c>
      <c r="G2454" s="422">
        <v>97.545821542560859</v>
      </c>
      <c r="H2454" s="417" t="s">
        <v>2616</v>
      </c>
      <c r="I2454" s="417" t="s">
        <v>1392</v>
      </c>
      <c r="J2454" s="417" t="s">
        <v>5995</v>
      </c>
      <c r="K2454" s="417" t="s">
        <v>7321</v>
      </c>
      <c r="L2454" s="417"/>
      <c r="M2454" s="417" t="s">
        <v>28840</v>
      </c>
    </row>
    <row r="2455" spans="1:13" x14ac:dyDescent="0.25">
      <c r="A2455" s="417" t="s">
        <v>3385</v>
      </c>
      <c r="B2455" s="417" t="s">
        <v>2623</v>
      </c>
      <c r="C2455" s="417" t="s">
        <v>7322</v>
      </c>
      <c r="D2455" s="417" t="s">
        <v>989</v>
      </c>
      <c r="E2455" s="423">
        <v>2213.171367361876</v>
      </c>
      <c r="F2455" s="423">
        <v>3.1543982183875801</v>
      </c>
      <c r="G2455" s="422">
        <v>2336242.7217075131</v>
      </c>
      <c r="H2455" s="417" t="s">
        <v>2616</v>
      </c>
      <c r="I2455" s="417" t="s">
        <v>1392</v>
      </c>
      <c r="J2455" s="417" t="s">
        <v>5983</v>
      </c>
      <c r="K2455" s="417" t="s">
        <v>7323</v>
      </c>
      <c r="L2455" s="417"/>
      <c r="M2455" s="417" t="s">
        <v>28840</v>
      </c>
    </row>
    <row r="2456" spans="1:13" x14ac:dyDescent="0.25">
      <c r="A2456" s="417" t="s">
        <v>3385</v>
      </c>
      <c r="B2456" s="417" t="s">
        <v>2623</v>
      </c>
      <c r="C2456" s="417" t="s">
        <v>7324</v>
      </c>
      <c r="D2456" s="417" t="s">
        <v>4476</v>
      </c>
      <c r="E2456" s="423">
        <v>0.93095970506513182</v>
      </c>
      <c r="F2456" s="423">
        <v>6.4624584306629707E-2</v>
      </c>
      <c r="G2456" s="422">
        <v>1741.1255402784379</v>
      </c>
      <c r="H2456" s="417" t="s">
        <v>2616</v>
      </c>
      <c r="I2456" s="417" t="s">
        <v>1392</v>
      </c>
      <c r="J2456" s="417" t="s">
        <v>5983</v>
      </c>
      <c r="K2456" s="417" t="s">
        <v>7325</v>
      </c>
      <c r="L2456" s="417"/>
      <c r="M2456" s="417" t="s">
        <v>28840</v>
      </c>
    </row>
    <row r="2457" spans="1:13" x14ac:dyDescent="0.25">
      <c r="A2457" s="417" t="s">
        <v>3385</v>
      </c>
      <c r="B2457" s="417" t="s">
        <v>2623</v>
      </c>
      <c r="C2457" s="417" t="s">
        <v>7326</v>
      </c>
      <c r="D2457" s="417" t="s">
        <v>88</v>
      </c>
      <c r="E2457" s="423">
        <v>0.69363892633112001</v>
      </c>
      <c r="F2457" s="423">
        <v>5.2950501708068802E-2</v>
      </c>
      <c r="G2457" s="422">
        <v>1342.322428034493</v>
      </c>
      <c r="H2457" s="417" t="s">
        <v>2616</v>
      </c>
      <c r="I2457" s="417" t="s">
        <v>1392</v>
      </c>
      <c r="J2457" s="417" t="s">
        <v>5849</v>
      </c>
      <c r="K2457" s="417" t="s">
        <v>7327</v>
      </c>
      <c r="L2457" s="417"/>
      <c r="M2457" s="417" t="s">
        <v>28840</v>
      </c>
    </row>
    <row r="2458" spans="1:13" x14ac:dyDescent="0.25">
      <c r="A2458" s="417" t="s">
        <v>3385</v>
      </c>
      <c r="B2458" s="417" t="s">
        <v>2623</v>
      </c>
      <c r="C2458" s="417" t="s">
        <v>7328</v>
      </c>
      <c r="D2458" s="417" t="s">
        <v>88</v>
      </c>
      <c r="E2458" s="423">
        <v>0.85584714711918763</v>
      </c>
      <c r="F2458" s="423">
        <v>1.456800855339704E-2</v>
      </c>
      <c r="G2458" s="422">
        <v>1012.090117360999</v>
      </c>
      <c r="H2458" s="417" t="s">
        <v>2616</v>
      </c>
      <c r="I2458" s="417" t="s">
        <v>1392</v>
      </c>
      <c r="J2458" s="417" t="s">
        <v>5849</v>
      </c>
      <c r="K2458" s="417" t="s">
        <v>7329</v>
      </c>
      <c r="L2458" s="417"/>
      <c r="M2458" s="417" t="s">
        <v>28840</v>
      </c>
    </row>
    <row r="2459" spans="1:13" x14ac:dyDescent="0.25">
      <c r="A2459" s="417" t="s">
        <v>3385</v>
      </c>
      <c r="B2459" s="417" t="s">
        <v>2623</v>
      </c>
      <c r="C2459" s="417" t="s">
        <v>7330</v>
      </c>
      <c r="D2459" s="417" t="s">
        <v>88</v>
      </c>
      <c r="E2459" s="423">
        <v>0.10315343111192719</v>
      </c>
      <c r="F2459" s="423">
        <v>1.037495398795928E-2</v>
      </c>
      <c r="G2459" s="422">
        <v>196.7613116902601</v>
      </c>
      <c r="H2459" s="417" t="s">
        <v>2616</v>
      </c>
      <c r="I2459" s="417" t="s">
        <v>1392</v>
      </c>
      <c r="J2459" s="417" t="s">
        <v>5849</v>
      </c>
      <c r="K2459" s="417" t="s">
        <v>7331</v>
      </c>
      <c r="L2459" s="417"/>
      <c r="M2459" s="417" t="s">
        <v>28840</v>
      </c>
    </row>
    <row r="2460" spans="1:13" x14ac:dyDescent="0.25">
      <c r="A2460" s="417" t="s">
        <v>3385</v>
      </c>
      <c r="B2460" s="417" t="s">
        <v>2623</v>
      </c>
      <c r="C2460" s="417" t="s">
        <v>7332</v>
      </c>
      <c r="D2460" s="417" t="s">
        <v>88</v>
      </c>
      <c r="E2460" s="423">
        <v>0.10557071669361</v>
      </c>
      <c r="F2460" s="423">
        <v>1.065531790066304E-2</v>
      </c>
      <c r="G2460" s="422">
        <v>201.76190866976029</v>
      </c>
      <c r="H2460" s="417" t="s">
        <v>2616</v>
      </c>
      <c r="I2460" s="417" t="s">
        <v>1392</v>
      </c>
      <c r="J2460" s="417" t="s">
        <v>5849</v>
      </c>
      <c r="K2460" s="417" t="s">
        <v>7333</v>
      </c>
      <c r="L2460" s="417"/>
      <c r="M2460" s="417" t="s">
        <v>28840</v>
      </c>
    </row>
    <row r="2461" spans="1:13" x14ac:dyDescent="0.25">
      <c r="A2461" s="417" t="s">
        <v>3385</v>
      </c>
      <c r="B2461" s="417" t="s">
        <v>2623</v>
      </c>
      <c r="C2461" s="417" t="s">
        <v>7334</v>
      </c>
      <c r="D2461" s="417" t="s">
        <v>563</v>
      </c>
      <c r="E2461" s="423">
        <v>6.2486032133724203</v>
      </c>
      <c r="F2461" s="423">
        <v>3.030676409825898E-3</v>
      </c>
      <c r="G2461" s="422">
        <v>6471.4348349222237</v>
      </c>
      <c r="H2461" s="417" t="s">
        <v>2616</v>
      </c>
      <c r="I2461" s="417" t="s">
        <v>1392</v>
      </c>
      <c r="J2461" s="417" t="s">
        <v>4364</v>
      </c>
      <c r="K2461" s="417" t="s">
        <v>7335</v>
      </c>
      <c r="L2461" s="417"/>
      <c r="M2461" s="417" t="s">
        <v>28840</v>
      </c>
    </row>
    <row r="2462" spans="1:13" x14ac:dyDescent="0.25">
      <c r="A2462" s="417" t="s">
        <v>3385</v>
      </c>
      <c r="B2462" s="417" t="s">
        <v>2623</v>
      </c>
      <c r="C2462" s="417" t="s">
        <v>7336</v>
      </c>
      <c r="D2462" s="417" t="s">
        <v>83</v>
      </c>
      <c r="E2462" s="423">
        <v>0</v>
      </c>
      <c r="F2462" s="423">
        <v>0</v>
      </c>
      <c r="G2462" s="422">
        <v>1890126.56253</v>
      </c>
      <c r="H2462" s="417" t="s">
        <v>2616</v>
      </c>
      <c r="I2462" s="417" t="s">
        <v>1392</v>
      </c>
      <c r="J2462" s="417" t="s">
        <v>7337</v>
      </c>
      <c r="K2462" s="417" t="s">
        <v>7338</v>
      </c>
      <c r="L2462" s="417"/>
      <c r="M2462" s="417" t="s">
        <v>28840</v>
      </c>
    </row>
    <row r="2463" spans="1:13" x14ac:dyDescent="0.25">
      <c r="A2463" s="417" t="s">
        <v>3385</v>
      </c>
      <c r="B2463" s="417" t="s">
        <v>2623</v>
      </c>
      <c r="C2463" s="417" t="s">
        <v>7339</v>
      </c>
      <c r="D2463" s="417" t="s">
        <v>88</v>
      </c>
      <c r="E2463" s="423">
        <v>2.852034537250554</v>
      </c>
      <c r="F2463" s="423">
        <v>8.1909417520509753E-4</v>
      </c>
      <c r="G2463" s="422">
        <v>2990.426342725249</v>
      </c>
      <c r="H2463" s="417" t="s">
        <v>2616</v>
      </c>
      <c r="I2463" s="417" t="s">
        <v>1392</v>
      </c>
      <c r="J2463" s="417" t="s">
        <v>6002</v>
      </c>
      <c r="K2463" s="417" t="s">
        <v>7340</v>
      </c>
      <c r="L2463" s="417"/>
      <c r="M2463" s="417" t="s">
        <v>28840</v>
      </c>
    </row>
    <row r="2464" spans="1:13" x14ac:dyDescent="0.25">
      <c r="A2464" s="417" t="s">
        <v>3385</v>
      </c>
      <c r="B2464" s="417" t="s">
        <v>2623</v>
      </c>
      <c r="C2464" s="417" t="s">
        <v>7341</v>
      </c>
      <c r="D2464" s="417" t="s">
        <v>88</v>
      </c>
      <c r="E2464" s="423">
        <v>2.8523248749992591</v>
      </c>
      <c r="F2464" s="423">
        <v>1.7741550644985581E-3</v>
      </c>
      <c r="G2464" s="422">
        <v>2930.4245731851352</v>
      </c>
      <c r="H2464" s="417" t="s">
        <v>2616</v>
      </c>
      <c r="I2464" s="417" t="s">
        <v>1392</v>
      </c>
      <c r="J2464" s="417" t="s">
        <v>5990</v>
      </c>
      <c r="K2464" s="417" t="s">
        <v>7342</v>
      </c>
      <c r="L2464" s="417"/>
      <c r="M2464" s="417" t="s">
        <v>28840</v>
      </c>
    </row>
    <row r="2465" spans="1:13" x14ac:dyDescent="0.25">
      <c r="A2465" s="417" t="s">
        <v>3385</v>
      </c>
      <c r="B2465" s="417" t="s">
        <v>2623</v>
      </c>
      <c r="C2465" s="417" t="s">
        <v>7343</v>
      </c>
      <c r="D2465" s="417" t="s">
        <v>88</v>
      </c>
      <c r="E2465" s="423">
        <v>0.39916550888617941</v>
      </c>
      <c r="F2465" s="423">
        <v>3.6658135533761382E-4</v>
      </c>
      <c r="G2465" s="422">
        <v>412.33084448131859</v>
      </c>
      <c r="H2465" s="417" t="s">
        <v>2616</v>
      </c>
      <c r="I2465" s="417" t="s">
        <v>1392</v>
      </c>
      <c r="J2465" s="417" t="s">
        <v>4364</v>
      </c>
      <c r="K2465" s="417" t="s">
        <v>7344</v>
      </c>
      <c r="L2465" s="417"/>
      <c r="M2465" s="417" t="s">
        <v>28840</v>
      </c>
    </row>
    <row r="2466" spans="1:13" x14ac:dyDescent="0.25">
      <c r="A2466" s="417" t="s">
        <v>3385</v>
      </c>
      <c r="B2466" s="417" t="s">
        <v>2623</v>
      </c>
      <c r="C2466" s="417" t="s">
        <v>7345</v>
      </c>
      <c r="D2466" s="417" t="s">
        <v>83</v>
      </c>
      <c r="E2466" s="423">
        <v>7.7326816158210232E-4</v>
      </c>
      <c r="F2466" s="423">
        <v>5.7258287310010628E-5</v>
      </c>
      <c r="G2466" s="422">
        <v>3.5595809271341632</v>
      </c>
      <c r="H2466" s="417" t="s">
        <v>2616</v>
      </c>
      <c r="I2466" s="417" t="s">
        <v>1392</v>
      </c>
      <c r="J2466" s="417" t="s">
        <v>4364</v>
      </c>
      <c r="K2466" s="417" t="s">
        <v>7346</v>
      </c>
      <c r="L2466" s="417"/>
      <c r="M2466" s="417" t="s">
        <v>28840</v>
      </c>
    </row>
    <row r="2467" spans="1:13" x14ac:dyDescent="0.25">
      <c r="A2467" s="417" t="s">
        <v>3385</v>
      </c>
      <c r="B2467" s="417" t="s">
        <v>2623</v>
      </c>
      <c r="C2467" s="417" t="s">
        <v>7347</v>
      </c>
      <c r="D2467" s="417" t="s">
        <v>563</v>
      </c>
      <c r="E2467" s="423">
        <v>0.17905597907868701</v>
      </c>
      <c r="F2467" s="423">
        <v>1.7434378464018211E-3</v>
      </c>
      <c r="G2467" s="422">
        <v>207.5325664668469</v>
      </c>
      <c r="H2467" s="417" t="s">
        <v>2616</v>
      </c>
      <c r="I2467" s="417" t="s">
        <v>1392</v>
      </c>
      <c r="J2467" s="417" t="s">
        <v>4364</v>
      </c>
      <c r="K2467" s="417" t="s">
        <v>7348</v>
      </c>
      <c r="L2467" s="417"/>
      <c r="M2467" s="417" t="s">
        <v>28840</v>
      </c>
    </row>
    <row r="2468" spans="1:13" x14ac:dyDescent="0.25">
      <c r="A2468" s="417" t="s">
        <v>3385</v>
      </c>
      <c r="B2468" s="417" t="s">
        <v>2623</v>
      </c>
      <c r="C2468" s="417" t="s">
        <v>7349</v>
      </c>
      <c r="D2468" s="417" t="s">
        <v>563</v>
      </c>
      <c r="E2468" s="423">
        <v>0.18351526052213629</v>
      </c>
      <c r="F2468" s="423">
        <v>2.0952547801928552E-3</v>
      </c>
      <c r="G2468" s="422">
        <v>216.77841986796719</v>
      </c>
      <c r="H2468" s="417" t="s">
        <v>2616</v>
      </c>
      <c r="I2468" s="417" t="s">
        <v>1392</v>
      </c>
      <c r="J2468" s="417" t="s">
        <v>4364</v>
      </c>
      <c r="K2468" s="417" t="s">
        <v>7350</v>
      </c>
      <c r="L2468" s="417"/>
      <c r="M2468" s="417" t="s">
        <v>28840</v>
      </c>
    </row>
    <row r="2469" spans="1:13" x14ac:dyDescent="0.25">
      <c r="A2469" s="417" t="s">
        <v>3385</v>
      </c>
      <c r="B2469" s="417" t="s">
        <v>2623</v>
      </c>
      <c r="C2469" s="417" t="s">
        <v>7351</v>
      </c>
      <c r="D2469" s="417" t="s">
        <v>563</v>
      </c>
      <c r="E2469" s="423">
        <v>0.1876316754705174</v>
      </c>
      <c r="F2469" s="423">
        <v>2.4200211156304619E-3</v>
      </c>
      <c r="G2469" s="422">
        <v>225.31337548570659</v>
      </c>
      <c r="H2469" s="417" t="s">
        <v>2616</v>
      </c>
      <c r="I2469" s="417" t="s">
        <v>1392</v>
      </c>
      <c r="J2469" s="417" t="s">
        <v>4364</v>
      </c>
      <c r="K2469" s="417" t="s">
        <v>7352</v>
      </c>
      <c r="L2469" s="417"/>
      <c r="M2469" s="417" t="s">
        <v>28840</v>
      </c>
    </row>
    <row r="2470" spans="1:13" x14ac:dyDescent="0.25">
      <c r="A2470" s="417" t="s">
        <v>3385</v>
      </c>
      <c r="B2470" s="417" t="s">
        <v>2623</v>
      </c>
      <c r="C2470" s="417" t="s">
        <v>7353</v>
      </c>
      <c r="D2470" s="417" t="s">
        <v>563</v>
      </c>
      <c r="E2470" s="423">
        <v>0.19209129306678019</v>
      </c>
      <c r="F2470" s="423">
        <v>2.7718645720363299E-3</v>
      </c>
      <c r="G2470" s="422">
        <v>234.55992587302561</v>
      </c>
      <c r="H2470" s="417" t="s">
        <v>2616</v>
      </c>
      <c r="I2470" s="417" t="s">
        <v>1392</v>
      </c>
      <c r="J2470" s="417" t="s">
        <v>4364</v>
      </c>
      <c r="K2470" s="417" t="s">
        <v>7354</v>
      </c>
      <c r="L2470" s="417"/>
      <c r="M2470" s="417" t="s">
        <v>28840</v>
      </c>
    </row>
    <row r="2471" spans="1:13" x14ac:dyDescent="0.25">
      <c r="A2471" s="417" t="s">
        <v>3385</v>
      </c>
      <c r="B2471" s="417" t="s">
        <v>2623</v>
      </c>
      <c r="C2471" s="417" t="s">
        <v>7355</v>
      </c>
      <c r="D2471" s="417" t="s">
        <v>563</v>
      </c>
      <c r="E2471" s="423">
        <v>0.2006663171715321</v>
      </c>
      <c r="F2471" s="423">
        <v>3.4483948028271368E-3</v>
      </c>
      <c r="G2471" s="422">
        <v>252.33934108479869</v>
      </c>
      <c r="H2471" s="417" t="s">
        <v>2616</v>
      </c>
      <c r="I2471" s="417" t="s">
        <v>1392</v>
      </c>
      <c r="J2471" s="417" t="s">
        <v>4364</v>
      </c>
      <c r="K2471" s="417" t="s">
        <v>7356</v>
      </c>
      <c r="L2471" s="417"/>
      <c r="M2471" s="417" t="s">
        <v>28840</v>
      </c>
    </row>
    <row r="2472" spans="1:13" x14ac:dyDescent="0.25">
      <c r="A2472" s="417" t="s">
        <v>3385</v>
      </c>
      <c r="B2472" s="417" t="s">
        <v>2623</v>
      </c>
      <c r="C2472" s="417" t="s">
        <v>7357</v>
      </c>
      <c r="D2472" s="417" t="s">
        <v>563</v>
      </c>
      <c r="E2472" s="423">
        <v>0.20924134127089561</v>
      </c>
      <c r="F2472" s="423">
        <v>4.1249250349544627E-3</v>
      </c>
      <c r="G2472" s="422">
        <v>270.11875630153202</v>
      </c>
      <c r="H2472" s="417" t="s">
        <v>2616</v>
      </c>
      <c r="I2472" s="417" t="s">
        <v>1392</v>
      </c>
      <c r="J2472" s="417" t="s">
        <v>4364</v>
      </c>
      <c r="K2472" s="417" t="s">
        <v>7358</v>
      </c>
      <c r="L2472" s="417"/>
      <c r="M2472" s="417" t="s">
        <v>28840</v>
      </c>
    </row>
    <row r="2473" spans="1:13" x14ac:dyDescent="0.25">
      <c r="A2473" s="417" t="s">
        <v>3385</v>
      </c>
      <c r="B2473" s="417" t="s">
        <v>2623</v>
      </c>
      <c r="C2473" s="417" t="s">
        <v>7359</v>
      </c>
      <c r="D2473" s="417" t="s">
        <v>563</v>
      </c>
      <c r="E2473" s="423">
        <v>0.17905597907624121</v>
      </c>
      <c r="F2473" s="423">
        <v>1.7434378454936211E-3</v>
      </c>
      <c r="G2473" s="422">
        <v>207.53256643032029</v>
      </c>
      <c r="H2473" s="417" t="s">
        <v>2616</v>
      </c>
      <c r="I2473" s="417" t="s">
        <v>1392</v>
      </c>
      <c r="J2473" s="417" t="s">
        <v>4364</v>
      </c>
      <c r="K2473" s="417" t="s">
        <v>7360</v>
      </c>
      <c r="L2473" s="417"/>
      <c r="M2473" s="417" t="s">
        <v>28840</v>
      </c>
    </row>
    <row r="2474" spans="1:13" x14ac:dyDescent="0.25">
      <c r="A2474" s="417" t="s">
        <v>3385</v>
      </c>
      <c r="B2474" s="417" t="s">
        <v>2623</v>
      </c>
      <c r="C2474" s="417" t="s">
        <v>7361</v>
      </c>
      <c r="D2474" s="417" t="s">
        <v>563</v>
      </c>
      <c r="E2474" s="423">
        <v>0.18351526051881431</v>
      </c>
      <c r="F2474" s="423">
        <v>2.0952547798085992E-3</v>
      </c>
      <c r="G2474" s="422">
        <v>216.77841980826719</v>
      </c>
      <c r="H2474" s="417" t="s">
        <v>2616</v>
      </c>
      <c r="I2474" s="417" t="s">
        <v>1392</v>
      </c>
      <c r="J2474" s="417" t="s">
        <v>4364</v>
      </c>
      <c r="K2474" s="417" t="s">
        <v>7362</v>
      </c>
      <c r="L2474" s="417"/>
      <c r="M2474" s="417" t="s">
        <v>28840</v>
      </c>
    </row>
    <row r="2475" spans="1:13" x14ac:dyDescent="0.25">
      <c r="A2475" s="417" t="s">
        <v>3385</v>
      </c>
      <c r="B2475" s="417" t="s">
        <v>2623</v>
      </c>
      <c r="C2475" s="417" t="s">
        <v>7363</v>
      </c>
      <c r="D2475" s="417" t="s">
        <v>563</v>
      </c>
      <c r="E2475" s="423">
        <v>0.1876316754712421</v>
      </c>
      <c r="F2475" s="423">
        <v>2.420021116337186E-3</v>
      </c>
      <c r="G2475" s="422">
        <v>225.3133754294297</v>
      </c>
      <c r="H2475" s="417" t="s">
        <v>2616</v>
      </c>
      <c r="I2475" s="417" t="s">
        <v>1392</v>
      </c>
      <c r="J2475" s="417" t="s">
        <v>4364</v>
      </c>
      <c r="K2475" s="417" t="s">
        <v>7364</v>
      </c>
      <c r="L2475" s="417"/>
      <c r="M2475" s="417" t="s">
        <v>28840</v>
      </c>
    </row>
    <row r="2476" spans="1:13" x14ac:dyDescent="0.25">
      <c r="A2476" s="417" t="s">
        <v>3385</v>
      </c>
      <c r="B2476" s="417" t="s">
        <v>2623</v>
      </c>
      <c r="C2476" s="417" t="s">
        <v>7365</v>
      </c>
      <c r="D2476" s="417" t="s">
        <v>563</v>
      </c>
      <c r="E2476" s="423">
        <v>0.1920912930610896</v>
      </c>
      <c r="F2476" s="423">
        <v>2.771864571338334E-3</v>
      </c>
      <c r="G2476" s="422">
        <v>234.5599258491319</v>
      </c>
      <c r="H2476" s="417" t="s">
        <v>2616</v>
      </c>
      <c r="I2476" s="417" t="s">
        <v>1392</v>
      </c>
      <c r="J2476" s="417" t="s">
        <v>4364</v>
      </c>
      <c r="K2476" s="417" t="s">
        <v>7366</v>
      </c>
      <c r="L2476" s="417"/>
      <c r="M2476" s="417" t="s">
        <v>28840</v>
      </c>
    </row>
    <row r="2477" spans="1:13" x14ac:dyDescent="0.25">
      <c r="A2477" s="417" t="s">
        <v>3385</v>
      </c>
      <c r="B2477" s="417" t="s">
        <v>2623</v>
      </c>
      <c r="C2477" s="417" t="s">
        <v>7367</v>
      </c>
      <c r="D2477" s="417" t="s">
        <v>563</v>
      </c>
      <c r="E2477" s="423">
        <v>0.20066631716631211</v>
      </c>
      <c r="F2477" s="423">
        <v>3.4483948008216859E-3</v>
      </c>
      <c r="G2477" s="422">
        <v>252.33934103912131</v>
      </c>
      <c r="H2477" s="417" t="s">
        <v>2616</v>
      </c>
      <c r="I2477" s="417" t="s">
        <v>1392</v>
      </c>
      <c r="J2477" s="417" t="s">
        <v>4364</v>
      </c>
      <c r="K2477" s="417" t="s">
        <v>7368</v>
      </c>
      <c r="L2477" s="417"/>
      <c r="M2477" s="417" t="s">
        <v>28840</v>
      </c>
    </row>
    <row r="2478" spans="1:13" x14ac:dyDescent="0.25">
      <c r="A2478" s="417" t="s">
        <v>3385</v>
      </c>
      <c r="B2478" s="417" t="s">
        <v>2623</v>
      </c>
      <c r="C2478" s="417" t="s">
        <v>7369</v>
      </c>
      <c r="D2478" s="417" t="s">
        <v>563</v>
      </c>
      <c r="E2478" s="423">
        <v>0.2092413412745345</v>
      </c>
      <c r="F2478" s="423">
        <v>4.1249250341533674E-3</v>
      </c>
      <c r="G2478" s="422">
        <v>270.11875639599322</v>
      </c>
      <c r="H2478" s="417" t="s">
        <v>2616</v>
      </c>
      <c r="I2478" s="417" t="s">
        <v>1392</v>
      </c>
      <c r="J2478" s="417" t="s">
        <v>4364</v>
      </c>
      <c r="K2478" s="417" t="s">
        <v>7370</v>
      </c>
      <c r="L2478" s="417"/>
      <c r="M2478" s="417" t="s">
        <v>28840</v>
      </c>
    </row>
    <row r="2479" spans="1:13" x14ac:dyDescent="0.25">
      <c r="A2479" s="417" t="s">
        <v>3385</v>
      </c>
      <c r="B2479" s="417" t="s">
        <v>2623</v>
      </c>
      <c r="C2479" s="417" t="s">
        <v>7371</v>
      </c>
      <c r="D2479" s="417" t="s">
        <v>989</v>
      </c>
      <c r="E2479" s="423">
        <v>3.2082342893654072</v>
      </c>
      <c r="F2479" s="423">
        <v>4.9670743025471538E-2</v>
      </c>
      <c r="G2479" s="422">
        <v>7675.7383963452467</v>
      </c>
      <c r="H2479" s="417" t="s">
        <v>2616</v>
      </c>
      <c r="I2479" s="417" t="s">
        <v>1392</v>
      </c>
      <c r="J2479" s="417" t="s">
        <v>5974</v>
      </c>
      <c r="K2479" s="417" t="s">
        <v>7372</v>
      </c>
      <c r="L2479" s="417"/>
      <c r="M2479" s="417" t="s">
        <v>28840</v>
      </c>
    </row>
    <row r="2480" spans="1:13" x14ac:dyDescent="0.25">
      <c r="A2480" s="417" t="s">
        <v>3385</v>
      </c>
      <c r="B2480" s="417" t="s">
        <v>2623</v>
      </c>
      <c r="C2480" s="417" t="s">
        <v>7373</v>
      </c>
      <c r="D2480" s="417" t="s">
        <v>989</v>
      </c>
      <c r="E2480" s="423">
        <v>30.375974710104771</v>
      </c>
      <c r="F2480" s="423">
        <v>1.8902634975888139E-2</v>
      </c>
      <c r="G2480" s="422">
        <v>32124.701208567429</v>
      </c>
      <c r="H2480" s="417" t="s">
        <v>2616</v>
      </c>
      <c r="I2480" s="417" t="s">
        <v>1392</v>
      </c>
      <c r="J2480" s="417" t="s">
        <v>5974</v>
      </c>
      <c r="K2480" s="417" t="s">
        <v>7374</v>
      </c>
      <c r="L2480" s="417"/>
      <c r="M2480" s="417" t="s">
        <v>28840</v>
      </c>
    </row>
    <row r="2481" spans="1:13" x14ac:dyDescent="0.25">
      <c r="A2481" s="417" t="s">
        <v>3385</v>
      </c>
      <c r="B2481" s="417" t="s">
        <v>2623</v>
      </c>
      <c r="C2481" s="417" t="s">
        <v>7375</v>
      </c>
      <c r="D2481" s="417" t="s">
        <v>989</v>
      </c>
      <c r="E2481" s="423">
        <v>0.79628899028832467</v>
      </c>
      <c r="F2481" s="423">
        <v>1.281870423634736E-2</v>
      </c>
      <c r="G2481" s="422">
        <v>1459.7229104643791</v>
      </c>
      <c r="H2481" s="417" t="s">
        <v>2616</v>
      </c>
      <c r="I2481" s="417" t="s">
        <v>1392</v>
      </c>
      <c r="J2481" s="417" t="s">
        <v>5974</v>
      </c>
      <c r="K2481" s="417" t="s">
        <v>7376</v>
      </c>
      <c r="L2481" s="417"/>
      <c r="M2481" s="417" t="s">
        <v>28840</v>
      </c>
    </row>
    <row r="2482" spans="1:13" x14ac:dyDescent="0.25">
      <c r="A2482" s="417" t="s">
        <v>3385</v>
      </c>
      <c r="B2482" s="417" t="s">
        <v>2623</v>
      </c>
      <c r="C2482" s="417" t="s">
        <v>7377</v>
      </c>
      <c r="D2482" s="417" t="s">
        <v>989</v>
      </c>
      <c r="E2482" s="423">
        <v>3.345405491048961</v>
      </c>
      <c r="F2482" s="423">
        <v>5.8609859992512253E-2</v>
      </c>
      <c r="G2482" s="422">
        <v>8941.1665632846325</v>
      </c>
      <c r="H2482" s="417" t="s">
        <v>2616</v>
      </c>
      <c r="I2482" s="417" t="s">
        <v>1392</v>
      </c>
      <c r="J2482" s="417" t="s">
        <v>5974</v>
      </c>
      <c r="K2482" s="417" t="s">
        <v>7378</v>
      </c>
      <c r="L2482" s="417"/>
      <c r="M2482" s="417" t="s">
        <v>28840</v>
      </c>
    </row>
    <row r="2483" spans="1:13" x14ac:dyDescent="0.25">
      <c r="A2483" s="417" t="s">
        <v>3385</v>
      </c>
      <c r="B2483" s="417" t="s">
        <v>2623</v>
      </c>
      <c r="C2483" s="417" t="s">
        <v>7379</v>
      </c>
      <c r="D2483" s="417" t="s">
        <v>563</v>
      </c>
      <c r="E2483" s="423">
        <v>0.72309333887666838</v>
      </c>
      <c r="F2483" s="423">
        <v>2.157267782091713E-3</v>
      </c>
      <c r="G2483" s="422">
        <v>781.14303697157652</v>
      </c>
      <c r="H2483" s="417" t="s">
        <v>2616</v>
      </c>
      <c r="I2483" s="417" t="s">
        <v>1392</v>
      </c>
      <c r="J2483" s="417" t="s">
        <v>4364</v>
      </c>
      <c r="K2483" s="417" t="s">
        <v>7380</v>
      </c>
      <c r="L2483" s="417"/>
      <c r="M2483" s="417" t="s">
        <v>28840</v>
      </c>
    </row>
    <row r="2484" spans="1:13" x14ac:dyDescent="0.25">
      <c r="A2484" s="417" t="s">
        <v>3385</v>
      </c>
      <c r="B2484" s="417" t="s">
        <v>2623</v>
      </c>
      <c r="C2484" s="417" t="s">
        <v>7381</v>
      </c>
      <c r="D2484" s="417" t="s">
        <v>563</v>
      </c>
      <c r="E2484" s="423">
        <v>0.29742025501363578</v>
      </c>
      <c r="F2484" s="423">
        <v>2.7000992511520558E-3</v>
      </c>
      <c r="G2484" s="422">
        <v>359.7493902998113</v>
      </c>
      <c r="H2484" s="417" t="s">
        <v>2616</v>
      </c>
      <c r="I2484" s="417" t="s">
        <v>1392</v>
      </c>
      <c r="J2484" s="417" t="s">
        <v>4364</v>
      </c>
      <c r="K2484" s="417" t="s">
        <v>7382</v>
      </c>
      <c r="L2484" s="417"/>
      <c r="M2484" s="417" t="s">
        <v>28840</v>
      </c>
    </row>
    <row r="2485" spans="1:13" x14ac:dyDescent="0.25">
      <c r="A2485" s="417" t="s">
        <v>3385</v>
      </c>
      <c r="B2485" s="417" t="s">
        <v>2623</v>
      </c>
      <c r="C2485" s="417" t="s">
        <v>7383</v>
      </c>
      <c r="D2485" s="417" t="s">
        <v>989</v>
      </c>
      <c r="E2485" s="423">
        <v>5139.1357180940877</v>
      </c>
      <c r="F2485" s="423">
        <v>515.71529929296764</v>
      </c>
      <c r="G2485" s="422">
        <v>9338057.9721649941</v>
      </c>
      <c r="H2485" s="417" t="s">
        <v>2616</v>
      </c>
      <c r="I2485" s="417" t="s">
        <v>1392</v>
      </c>
      <c r="J2485" s="417" t="s">
        <v>4364</v>
      </c>
      <c r="K2485" s="417" t="s">
        <v>7384</v>
      </c>
      <c r="L2485" s="417"/>
      <c r="M2485" s="417" t="s">
        <v>28840</v>
      </c>
    </row>
    <row r="2486" spans="1:13" x14ac:dyDescent="0.25">
      <c r="A2486" s="417" t="s">
        <v>3385</v>
      </c>
      <c r="B2486" s="417" t="s">
        <v>2623</v>
      </c>
      <c r="C2486" s="417" t="s">
        <v>7385</v>
      </c>
      <c r="D2486" s="417" t="s">
        <v>989</v>
      </c>
      <c r="E2486" s="423">
        <v>5.2976236770671923</v>
      </c>
      <c r="F2486" s="423">
        <v>0.41795830867905298</v>
      </c>
      <c r="G2486" s="422">
        <v>10984.06834033819</v>
      </c>
      <c r="H2486" s="417" t="s">
        <v>2616</v>
      </c>
      <c r="I2486" s="417" t="s">
        <v>1392</v>
      </c>
      <c r="J2486" s="417" t="s">
        <v>4364</v>
      </c>
      <c r="K2486" s="417" t="s">
        <v>7386</v>
      </c>
      <c r="L2486" s="417"/>
      <c r="M2486" s="417" t="s">
        <v>28840</v>
      </c>
    </row>
    <row r="2487" spans="1:13" x14ac:dyDescent="0.25">
      <c r="A2487" s="417" t="s">
        <v>3385</v>
      </c>
      <c r="B2487" s="417" t="s">
        <v>2623</v>
      </c>
      <c r="C2487" s="417" t="s">
        <v>7387</v>
      </c>
      <c r="D2487" s="417" t="s">
        <v>989</v>
      </c>
      <c r="E2487" s="423">
        <v>301.73993800251162</v>
      </c>
      <c r="F2487" s="423">
        <v>3.1307041384404002</v>
      </c>
      <c r="G2487" s="422">
        <v>535439.29239682236</v>
      </c>
      <c r="H2487" s="417" t="s">
        <v>2616</v>
      </c>
      <c r="I2487" s="417" t="s">
        <v>1392</v>
      </c>
      <c r="J2487" s="417" t="s">
        <v>4364</v>
      </c>
      <c r="K2487" s="417" t="s">
        <v>7388</v>
      </c>
      <c r="L2487" s="417"/>
      <c r="M2487" s="417" t="s">
        <v>28840</v>
      </c>
    </row>
    <row r="2488" spans="1:13" x14ac:dyDescent="0.25">
      <c r="A2488" s="417" t="s">
        <v>3385</v>
      </c>
      <c r="B2488" s="417" t="s">
        <v>2623</v>
      </c>
      <c r="C2488" s="417" t="s">
        <v>7389</v>
      </c>
      <c r="D2488" s="417" t="s">
        <v>989</v>
      </c>
      <c r="E2488" s="423">
        <v>5881.0302005635031</v>
      </c>
      <c r="F2488" s="423">
        <v>72.688052014637236</v>
      </c>
      <c r="G2488" s="422">
        <v>8284130.1395381987</v>
      </c>
      <c r="H2488" s="417" t="s">
        <v>2616</v>
      </c>
      <c r="I2488" s="417" t="s">
        <v>1392</v>
      </c>
      <c r="J2488" s="417" t="s">
        <v>4364</v>
      </c>
      <c r="K2488" s="417" t="s">
        <v>7390</v>
      </c>
      <c r="L2488" s="417"/>
      <c r="M2488" s="417" t="s">
        <v>28840</v>
      </c>
    </row>
    <row r="2489" spans="1:13" x14ac:dyDescent="0.25">
      <c r="A2489" s="417" t="s">
        <v>3385</v>
      </c>
      <c r="B2489" s="417" t="s">
        <v>2623</v>
      </c>
      <c r="C2489" s="417" t="s">
        <v>7391</v>
      </c>
      <c r="D2489" s="417" t="s">
        <v>989</v>
      </c>
      <c r="E2489" s="423">
        <v>42.484756705919438</v>
      </c>
      <c r="F2489" s="423">
        <v>0.75282132258287993</v>
      </c>
      <c r="G2489" s="422">
        <v>131364.62237713649</v>
      </c>
      <c r="H2489" s="417" t="s">
        <v>2616</v>
      </c>
      <c r="I2489" s="417" t="s">
        <v>1392</v>
      </c>
      <c r="J2489" s="417" t="s">
        <v>4364</v>
      </c>
      <c r="K2489" s="417" t="s">
        <v>7392</v>
      </c>
      <c r="L2489" s="417"/>
      <c r="M2489" s="417" t="s">
        <v>28840</v>
      </c>
    </row>
    <row r="2490" spans="1:13" x14ac:dyDescent="0.25">
      <c r="A2490" s="417" t="s">
        <v>3385</v>
      </c>
      <c r="B2490" s="417" t="s">
        <v>2623</v>
      </c>
      <c r="C2490" s="417" t="s">
        <v>7393</v>
      </c>
      <c r="D2490" s="417" t="s">
        <v>989</v>
      </c>
      <c r="E2490" s="423">
        <v>4779.3521011102384</v>
      </c>
      <c r="F2490" s="423">
        <v>464.58555429589421</v>
      </c>
      <c r="G2490" s="422">
        <v>8328965.6478022067</v>
      </c>
      <c r="H2490" s="417" t="s">
        <v>2616</v>
      </c>
      <c r="I2490" s="417" t="s">
        <v>1392</v>
      </c>
      <c r="J2490" s="417" t="s">
        <v>4364</v>
      </c>
      <c r="K2490" s="417" t="s">
        <v>7394</v>
      </c>
      <c r="L2490" s="417"/>
      <c r="M2490" s="417" t="s">
        <v>28840</v>
      </c>
    </row>
    <row r="2491" spans="1:13" x14ac:dyDescent="0.25">
      <c r="A2491" s="417" t="s">
        <v>3385</v>
      </c>
      <c r="B2491" s="417" t="s">
        <v>2623</v>
      </c>
      <c r="C2491" s="417" t="s">
        <v>7395</v>
      </c>
      <c r="D2491" s="417" t="s">
        <v>989</v>
      </c>
      <c r="E2491" s="423">
        <v>7.9968570572887732</v>
      </c>
      <c r="F2491" s="423">
        <v>0.63091549198503261</v>
      </c>
      <c r="G2491" s="422">
        <v>16580.646267070118</v>
      </c>
      <c r="H2491" s="417" t="s">
        <v>2616</v>
      </c>
      <c r="I2491" s="417" t="s">
        <v>1392</v>
      </c>
      <c r="J2491" s="417" t="s">
        <v>4364</v>
      </c>
      <c r="K2491" s="417" t="s">
        <v>7396</v>
      </c>
      <c r="L2491" s="417"/>
      <c r="M2491" s="417" t="s">
        <v>28840</v>
      </c>
    </row>
    <row r="2492" spans="1:13" x14ac:dyDescent="0.25">
      <c r="A2492" s="417" t="s">
        <v>3385</v>
      </c>
      <c r="B2492" s="417" t="s">
        <v>2623</v>
      </c>
      <c r="C2492" s="417" t="s">
        <v>7397</v>
      </c>
      <c r="D2492" s="417" t="s">
        <v>989</v>
      </c>
      <c r="E2492" s="423">
        <v>153.83292530614179</v>
      </c>
      <c r="F2492" s="423">
        <v>1.266990298053128</v>
      </c>
      <c r="G2492" s="422">
        <v>209128.7301135876</v>
      </c>
      <c r="H2492" s="417" t="s">
        <v>2616</v>
      </c>
      <c r="I2492" s="417" t="s">
        <v>1392</v>
      </c>
      <c r="J2492" s="417" t="s">
        <v>4364</v>
      </c>
      <c r="K2492" s="417" t="s">
        <v>7398</v>
      </c>
      <c r="L2492" s="417"/>
      <c r="M2492" s="417" t="s">
        <v>28840</v>
      </c>
    </row>
    <row r="2493" spans="1:13" x14ac:dyDescent="0.25">
      <c r="A2493" s="417" t="s">
        <v>3385</v>
      </c>
      <c r="B2493" s="417" t="s">
        <v>2623</v>
      </c>
      <c r="C2493" s="417" t="s">
        <v>7399</v>
      </c>
      <c r="D2493" s="417" t="s">
        <v>989</v>
      </c>
      <c r="E2493" s="423">
        <v>5812.9414927273856</v>
      </c>
      <c r="F2493" s="423">
        <v>621.61869414038608</v>
      </c>
      <c r="G2493" s="422">
        <v>8289142.6784247924</v>
      </c>
      <c r="H2493" s="417" t="s">
        <v>2616</v>
      </c>
      <c r="I2493" s="417" t="s">
        <v>1392</v>
      </c>
      <c r="J2493" s="417" t="s">
        <v>4364</v>
      </c>
      <c r="K2493" s="417" t="s">
        <v>7400</v>
      </c>
      <c r="L2493" s="417"/>
      <c r="M2493" s="417" t="s">
        <v>28840</v>
      </c>
    </row>
    <row r="2494" spans="1:13" x14ac:dyDescent="0.25">
      <c r="A2494" s="417" t="s">
        <v>3385</v>
      </c>
      <c r="B2494" s="417" t="s">
        <v>2623</v>
      </c>
      <c r="C2494" s="417" t="s">
        <v>7401</v>
      </c>
      <c r="D2494" s="417" t="s">
        <v>989</v>
      </c>
      <c r="E2494" s="423">
        <v>59.297776720642076</v>
      </c>
      <c r="F2494" s="423">
        <v>1.0226610439739561</v>
      </c>
      <c r="G2494" s="422">
        <v>111752.92327335291</v>
      </c>
      <c r="H2494" s="417" t="s">
        <v>2616</v>
      </c>
      <c r="I2494" s="417" t="s">
        <v>1392</v>
      </c>
      <c r="J2494" s="417" t="s">
        <v>4364</v>
      </c>
      <c r="K2494" s="417" t="s">
        <v>7402</v>
      </c>
      <c r="L2494" s="417"/>
      <c r="M2494" s="417" t="s">
        <v>28840</v>
      </c>
    </row>
    <row r="2495" spans="1:13" x14ac:dyDescent="0.25">
      <c r="A2495" s="417" t="s">
        <v>3385</v>
      </c>
      <c r="B2495" s="417" t="s">
        <v>2623</v>
      </c>
      <c r="C2495" s="417" t="s">
        <v>7403</v>
      </c>
      <c r="D2495" s="417" t="s">
        <v>989</v>
      </c>
      <c r="E2495" s="423">
        <v>348.15318994400371</v>
      </c>
      <c r="F2495" s="423">
        <v>3.8958571633053158</v>
      </c>
      <c r="G2495" s="422">
        <v>803404.3583163087</v>
      </c>
      <c r="H2495" s="417" t="s">
        <v>2616</v>
      </c>
      <c r="I2495" s="417" t="s">
        <v>1392</v>
      </c>
      <c r="J2495" s="417" t="s">
        <v>4364</v>
      </c>
      <c r="K2495" s="417" t="s">
        <v>7404</v>
      </c>
      <c r="L2495" s="417"/>
      <c r="M2495" s="417" t="s">
        <v>28840</v>
      </c>
    </row>
    <row r="2496" spans="1:13" x14ac:dyDescent="0.25">
      <c r="A2496" s="417" t="s">
        <v>3385</v>
      </c>
      <c r="B2496" s="417" t="s">
        <v>2623</v>
      </c>
      <c r="C2496" s="417" t="s">
        <v>7405</v>
      </c>
      <c r="D2496" s="417" t="s">
        <v>563</v>
      </c>
      <c r="E2496" s="423">
        <v>0.33744154211852911</v>
      </c>
      <c r="F2496" s="423">
        <v>2.327223598818506E-2</v>
      </c>
      <c r="G2496" s="422">
        <v>589.52292719467175</v>
      </c>
      <c r="H2496" s="417" t="s">
        <v>2616</v>
      </c>
      <c r="I2496" s="417" t="s">
        <v>1392</v>
      </c>
      <c r="J2496" s="417" t="s">
        <v>4364</v>
      </c>
      <c r="K2496" s="417" t="s">
        <v>7406</v>
      </c>
      <c r="L2496" s="417"/>
      <c r="M2496" s="417" t="s">
        <v>28840</v>
      </c>
    </row>
    <row r="2497" spans="1:13" x14ac:dyDescent="0.25">
      <c r="A2497" s="417" t="s">
        <v>3385</v>
      </c>
      <c r="B2497" s="417" t="s">
        <v>2623</v>
      </c>
      <c r="C2497" s="417" t="s">
        <v>7407</v>
      </c>
      <c r="D2497" s="417" t="s">
        <v>563</v>
      </c>
      <c r="E2497" s="423">
        <v>0.47369014601079329</v>
      </c>
      <c r="F2497" s="423">
        <v>3.331292053553795E-2</v>
      </c>
      <c r="G2497" s="422">
        <v>825.48851153865985</v>
      </c>
      <c r="H2497" s="417" t="s">
        <v>2616</v>
      </c>
      <c r="I2497" s="417" t="s">
        <v>1392</v>
      </c>
      <c r="J2497" s="417" t="s">
        <v>4364</v>
      </c>
      <c r="K2497" s="417" t="s">
        <v>7408</v>
      </c>
      <c r="L2497" s="417"/>
      <c r="M2497" s="417" t="s">
        <v>28840</v>
      </c>
    </row>
    <row r="2498" spans="1:13" x14ac:dyDescent="0.25">
      <c r="A2498" s="417" t="s">
        <v>3385</v>
      </c>
      <c r="B2498" s="417" t="s">
        <v>2623</v>
      </c>
      <c r="C2498" s="417" t="s">
        <v>7409</v>
      </c>
      <c r="D2498" s="417" t="s">
        <v>563</v>
      </c>
      <c r="E2498" s="423">
        <v>0.74618099608414357</v>
      </c>
      <c r="F2498" s="423">
        <v>5.339383543324755E-2</v>
      </c>
      <c r="G2498" s="422">
        <v>1297.3983020968981</v>
      </c>
      <c r="H2498" s="417" t="s">
        <v>2616</v>
      </c>
      <c r="I2498" s="417" t="s">
        <v>1392</v>
      </c>
      <c r="J2498" s="417" t="s">
        <v>4364</v>
      </c>
      <c r="K2498" s="417" t="s">
        <v>7410</v>
      </c>
      <c r="L2498" s="417"/>
      <c r="M2498" s="417" t="s">
        <v>28840</v>
      </c>
    </row>
    <row r="2499" spans="1:13" x14ac:dyDescent="0.25">
      <c r="A2499" s="417" t="s">
        <v>3385</v>
      </c>
      <c r="B2499" s="417" t="s">
        <v>2623</v>
      </c>
      <c r="C2499" s="417" t="s">
        <v>7411</v>
      </c>
      <c r="D2499" s="417" t="s">
        <v>563</v>
      </c>
      <c r="E2499" s="423">
        <v>1.018675835682274</v>
      </c>
      <c r="F2499" s="423">
        <v>7.347529605434773E-2</v>
      </c>
      <c r="G2499" s="422">
        <v>1769.3298460462811</v>
      </c>
      <c r="H2499" s="417" t="s">
        <v>2616</v>
      </c>
      <c r="I2499" s="417" t="s">
        <v>1392</v>
      </c>
      <c r="J2499" s="417" t="s">
        <v>4364</v>
      </c>
      <c r="K2499" s="417" t="s">
        <v>7412</v>
      </c>
      <c r="L2499" s="417"/>
      <c r="M2499" s="417" t="s">
        <v>28840</v>
      </c>
    </row>
    <row r="2500" spans="1:13" x14ac:dyDescent="0.25">
      <c r="A2500" s="417" t="s">
        <v>3385</v>
      </c>
      <c r="B2500" s="417" t="s">
        <v>2623</v>
      </c>
      <c r="C2500" s="417" t="s">
        <v>7413</v>
      </c>
      <c r="D2500" s="417" t="s">
        <v>563</v>
      </c>
      <c r="E2500" s="423">
        <v>1.29117481843454</v>
      </c>
      <c r="F2500" s="423">
        <v>9.3555908213254713E-2</v>
      </c>
      <c r="G2500" s="422">
        <v>2241.2609970678632</v>
      </c>
      <c r="H2500" s="417" t="s">
        <v>2616</v>
      </c>
      <c r="I2500" s="417" t="s">
        <v>1392</v>
      </c>
      <c r="J2500" s="417" t="s">
        <v>4364</v>
      </c>
      <c r="K2500" s="417" t="s">
        <v>7414</v>
      </c>
      <c r="L2500" s="417"/>
      <c r="M2500" s="417" t="s">
        <v>28840</v>
      </c>
    </row>
    <row r="2501" spans="1:13" x14ac:dyDescent="0.25">
      <c r="A2501" s="417" t="s">
        <v>3385</v>
      </c>
      <c r="B2501" s="417" t="s">
        <v>2623</v>
      </c>
      <c r="C2501" s="417" t="s">
        <v>7415</v>
      </c>
      <c r="D2501" s="417" t="s">
        <v>989</v>
      </c>
      <c r="E2501" s="423">
        <v>848.93635634235488</v>
      </c>
      <c r="F2501" s="423">
        <v>94.657859556620892</v>
      </c>
      <c r="G2501" s="422">
        <v>1559854.430022615</v>
      </c>
      <c r="H2501" s="417" t="s">
        <v>2616</v>
      </c>
      <c r="I2501" s="417" t="s">
        <v>1392</v>
      </c>
      <c r="J2501" s="417" t="s">
        <v>4364</v>
      </c>
      <c r="K2501" s="417" t="s">
        <v>7416</v>
      </c>
      <c r="L2501" s="417"/>
      <c r="M2501" s="417" t="s">
        <v>28840</v>
      </c>
    </row>
    <row r="2502" spans="1:13" x14ac:dyDescent="0.25">
      <c r="A2502" s="417" t="s">
        <v>3385</v>
      </c>
      <c r="B2502" s="417" t="s">
        <v>2623</v>
      </c>
      <c r="C2502" s="417" t="s">
        <v>7417</v>
      </c>
      <c r="D2502" s="417" t="s">
        <v>989</v>
      </c>
      <c r="E2502" s="423">
        <v>17.67298843792933</v>
      </c>
      <c r="F2502" s="423">
        <v>0.10092637123193721</v>
      </c>
      <c r="G2502" s="422">
        <v>19908.460364736489</v>
      </c>
      <c r="H2502" s="417" t="s">
        <v>2616</v>
      </c>
      <c r="I2502" s="417" t="s">
        <v>1392</v>
      </c>
      <c r="J2502" s="417" t="s">
        <v>4364</v>
      </c>
      <c r="K2502" s="417" t="s">
        <v>7418</v>
      </c>
      <c r="L2502" s="417"/>
      <c r="M2502" s="417" t="s">
        <v>28840</v>
      </c>
    </row>
    <row r="2503" spans="1:13" x14ac:dyDescent="0.25">
      <c r="A2503" s="417" t="s">
        <v>3385</v>
      </c>
      <c r="B2503" s="417" t="s">
        <v>2623</v>
      </c>
      <c r="C2503" s="417" t="s">
        <v>7419</v>
      </c>
      <c r="D2503" s="417" t="s">
        <v>989</v>
      </c>
      <c r="E2503" s="423">
        <v>1020.055671752144</v>
      </c>
      <c r="F2503" s="423">
        <v>191.50583386934699</v>
      </c>
      <c r="G2503" s="422">
        <v>1958773.230414341</v>
      </c>
      <c r="H2503" s="417" t="s">
        <v>2616</v>
      </c>
      <c r="I2503" s="417" t="s">
        <v>1392</v>
      </c>
      <c r="J2503" s="417" t="s">
        <v>4364</v>
      </c>
      <c r="K2503" s="417" t="s">
        <v>7420</v>
      </c>
      <c r="L2503" s="417"/>
      <c r="M2503" s="417" t="s">
        <v>28840</v>
      </c>
    </row>
    <row r="2504" spans="1:13" x14ac:dyDescent="0.25">
      <c r="A2504" s="417" t="s">
        <v>3385</v>
      </c>
      <c r="B2504" s="417" t="s">
        <v>2623</v>
      </c>
      <c r="C2504" s="417" t="s">
        <v>7421</v>
      </c>
      <c r="D2504" s="417" t="s">
        <v>989</v>
      </c>
      <c r="E2504" s="423">
        <v>77.007389648671349</v>
      </c>
      <c r="F2504" s="423">
        <v>103.84549940531269</v>
      </c>
      <c r="G2504" s="422">
        <v>85568.818351152164</v>
      </c>
      <c r="H2504" s="417" t="s">
        <v>2616</v>
      </c>
      <c r="I2504" s="417" t="s">
        <v>1392</v>
      </c>
      <c r="J2504" s="417" t="s">
        <v>4364</v>
      </c>
      <c r="K2504" s="417" t="s">
        <v>7422</v>
      </c>
      <c r="L2504" s="417"/>
      <c r="M2504" s="417" t="s">
        <v>28840</v>
      </c>
    </row>
    <row r="2505" spans="1:13" x14ac:dyDescent="0.25">
      <c r="A2505" s="417" t="s">
        <v>3385</v>
      </c>
      <c r="B2505" s="417" t="s">
        <v>2623</v>
      </c>
      <c r="C2505" s="417" t="s">
        <v>7423</v>
      </c>
      <c r="D2505" s="417" t="s">
        <v>989</v>
      </c>
      <c r="E2505" s="423">
        <v>21.516263675128311</v>
      </c>
      <c r="F2505" s="423">
        <v>0.40442258503253431</v>
      </c>
      <c r="G2505" s="422">
        <v>72666.03380545757</v>
      </c>
      <c r="H2505" s="417" t="s">
        <v>2616</v>
      </c>
      <c r="I2505" s="417" t="s">
        <v>1392</v>
      </c>
      <c r="J2505" s="417" t="s">
        <v>4364</v>
      </c>
      <c r="K2505" s="417" t="s">
        <v>7424</v>
      </c>
      <c r="L2505" s="417"/>
      <c r="M2505" s="417" t="s">
        <v>28840</v>
      </c>
    </row>
    <row r="2506" spans="1:13" x14ac:dyDescent="0.25">
      <c r="A2506" s="417" t="s">
        <v>3385</v>
      </c>
      <c r="B2506" s="417" t="s">
        <v>2623</v>
      </c>
      <c r="C2506" s="417" t="s">
        <v>7425</v>
      </c>
      <c r="D2506" s="417" t="s">
        <v>989</v>
      </c>
      <c r="E2506" s="423">
        <v>10332.34570454542</v>
      </c>
      <c r="F2506" s="423">
        <v>1037.5577849575741</v>
      </c>
      <c r="G2506" s="422">
        <v>22159098.4083809</v>
      </c>
      <c r="H2506" s="417" t="s">
        <v>2616</v>
      </c>
      <c r="I2506" s="417" t="s">
        <v>1392</v>
      </c>
      <c r="J2506" s="417" t="s">
        <v>4364</v>
      </c>
      <c r="K2506" s="417" t="s">
        <v>7426</v>
      </c>
      <c r="L2506" s="417"/>
      <c r="M2506" s="417" t="s">
        <v>28840</v>
      </c>
    </row>
    <row r="2507" spans="1:13" x14ac:dyDescent="0.25">
      <c r="A2507" s="417" t="s">
        <v>3385</v>
      </c>
      <c r="B2507" s="417" t="s">
        <v>2623</v>
      </c>
      <c r="C2507" s="417" t="s">
        <v>7427</v>
      </c>
      <c r="D2507" s="417" t="s">
        <v>989</v>
      </c>
      <c r="E2507" s="423">
        <v>15.834877566654029</v>
      </c>
      <c r="F2507" s="423">
        <v>1.1080725858140721</v>
      </c>
      <c r="G2507" s="422">
        <v>106525.7542549732</v>
      </c>
      <c r="H2507" s="417" t="s">
        <v>2616</v>
      </c>
      <c r="I2507" s="417" t="s">
        <v>1392</v>
      </c>
      <c r="J2507" s="417" t="s">
        <v>4364</v>
      </c>
      <c r="K2507" s="417" t="s">
        <v>7428</v>
      </c>
      <c r="L2507" s="417"/>
      <c r="M2507" s="417" t="s">
        <v>28840</v>
      </c>
    </row>
    <row r="2508" spans="1:13" x14ac:dyDescent="0.25">
      <c r="A2508" s="417" t="s">
        <v>3385</v>
      </c>
      <c r="B2508" s="417" t="s">
        <v>2623</v>
      </c>
      <c r="C2508" s="417" t="s">
        <v>7429</v>
      </c>
      <c r="D2508" s="417" t="s">
        <v>989</v>
      </c>
      <c r="E2508" s="423">
        <v>212.97277794926109</v>
      </c>
      <c r="F2508" s="423">
        <v>2.3324862188690298</v>
      </c>
      <c r="G2508" s="422">
        <v>466217.50912749348</v>
      </c>
      <c r="H2508" s="417" t="s">
        <v>2616</v>
      </c>
      <c r="I2508" s="417" t="s">
        <v>1392</v>
      </c>
      <c r="J2508" s="417" t="s">
        <v>4364</v>
      </c>
      <c r="K2508" s="417" t="s">
        <v>7430</v>
      </c>
      <c r="L2508" s="417"/>
      <c r="M2508" s="417" t="s">
        <v>28840</v>
      </c>
    </row>
    <row r="2509" spans="1:13" x14ac:dyDescent="0.25">
      <c r="A2509" s="417" t="s">
        <v>3385</v>
      </c>
      <c r="B2509" s="417" t="s">
        <v>2623</v>
      </c>
      <c r="C2509" s="417" t="s">
        <v>7431</v>
      </c>
      <c r="D2509" s="417" t="s">
        <v>989</v>
      </c>
      <c r="E2509" s="423">
        <v>5337.784241549135</v>
      </c>
      <c r="F2509" s="423">
        <v>371.88326084245182</v>
      </c>
      <c r="G2509" s="422">
        <v>12796060.504750021</v>
      </c>
      <c r="H2509" s="417" t="s">
        <v>2616</v>
      </c>
      <c r="I2509" s="417" t="s">
        <v>1392</v>
      </c>
      <c r="J2509" s="417" t="s">
        <v>4364</v>
      </c>
      <c r="K2509" s="417" t="s">
        <v>7432</v>
      </c>
      <c r="L2509" s="417"/>
      <c r="M2509" s="417" t="s">
        <v>28840</v>
      </c>
    </row>
    <row r="2510" spans="1:13" x14ac:dyDescent="0.25">
      <c r="A2510" s="417" t="s">
        <v>3385</v>
      </c>
      <c r="B2510" s="417" t="s">
        <v>2623</v>
      </c>
      <c r="C2510" s="417" t="s">
        <v>7433</v>
      </c>
      <c r="D2510" s="417" t="s">
        <v>989</v>
      </c>
      <c r="E2510" s="423">
        <v>1.2941529924798849</v>
      </c>
      <c r="F2510" s="423">
        <v>0.1021027593719625</v>
      </c>
      <c r="G2510" s="422">
        <v>2683.290806694873</v>
      </c>
      <c r="H2510" s="417" t="s">
        <v>2616</v>
      </c>
      <c r="I2510" s="417" t="s">
        <v>1392</v>
      </c>
      <c r="J2510" s="417" t="s">
        <v>4364</v>
      </c>
      <c r="K2510" s="417" t="s">
        <v>7434</v>
      </c>
      <c r="L2510" s="417"/>
      <c r="M2510" s="417" t="s">
        <v>28840</v>
      </c>
    </row>
    <row r="2511" spans="1:13" x14ac:dyDescent="0.25">
      <c r="A2511" s="417" t="s">
        <v>3385</v>
      </c>
      <c r="B2511" s="417" t="s">
        <v>2623</v>
      </c>
      <c r="C2511" s="417" t="s">
        <v>7435</v>
      </c>
      <c r="D2511" s="417" t="s">
        <v>989</v>
      </c>
      <c r="E2511" s="423">
        <v>173.82684928039939</v>
      </c>
      <c r="F2511" s="423">
        <v>1.5063292715997729</v>
      </c>
      <c r="G2511" s="422">
        <v>222134.3947062908</v>
      </c>
      <c r="H2511" s="417" t="s">
        <v>2616</v>
      </c>
      <c r="I2511" s="417" t="s">
        <v>1392</v>
      </c>
      <c r="J2511" s="417" t="s">
        <v>4364</v>
      </c>
      <c r="K2511" s="417" t="s">
        <v>7436</v>
      </c>
      <c r="L2511" s="417"/>
      <c r="M2511" s="417" t="s">
        <v>28840</v>
      </c>
    </row>
    <row r="2512" spans="1:13" x14ac:dyDescent="0.25">
      <c r="A2512" s="417" t="s">
        <v>3385</v>
      </c>
      <c r="B2512" s="417" t="s">
        <v>2623</v>
      </c>
      <c r="C2512" s="417" t="s">
        <v>7437</v>
      </c>
      <c r="D2512" s="417" t="s">
        <v>989</v>
      </c>
      <c r="E2512" s="423">
        <v>12019.920991875761</v>
      </c>
      <c r="F2512" s="423">
        <v>437.043479551779</v>
      </c>
      <c r="G2512" s="422">
        <v>16082789.8856622</v>
      </c>
      <c r="H2512" s="417" t="s">
        <v>2616</v>
      </c>
      <c r="I2512" s="417" t="s">
        <v>1392</v>
      </c>
      <c r="J2512" s="417" t="s">
        <v>4364</v>
      </c>
      <c r="K2512" s="417" t="s">
        <v>7438</v>
      </c>
      <c r="L2512" s="417"/>
      <c r="M2512" s="417" t="s">
        <v>28840</v>
      </c>
    </row>
    <row r="2513" spans="1:13" x14ac:dyDescent="0.25">
      <c r="A2513" s="417" t="s">
        <v>3385</v>
      </c>
      <c r="B2513" s="417" t="s">
        <v>2623</v>
      </c>
      <c r="C2513" s="417" t="s">
        <v>7439</v>
      </c>
      <c r="D2513" s="417" t="s">
        <v>989</v>
      </c>
      <c r="E2513" s="423">
        <v>209.2928859288304</v>
      </c>
      <c r="F2513" s="423">
        <v>1.988966326584614</v>
      </c>
      <c r="G2513" s="422">
        <v>341485.42227898177</v>
      </c>
      <c r="H2513" s="417" t="s">
        <v>2616</v>
      </c>
      <c r="I2513" s="417" t="s">
        <v>1392</v>
      </c>
      <c r="J2513" s="417" t="s">
        <v>4364</v>
      </c>
      <c r="K2513" s="417" t="s">
        <v>7440</v>
      </c>
      <c r="L2513" s="417"/>
      <c r="M2513" s="417" t="s">
        <v>28840</v>
      </c>
    </row>
    <row r="2514" spans="1:13" x14ac:dyDescent="0.25">
      <c r="A2514" s="417" t="s">
        <v>3385</v>
      </c>
      <c r="B2514" s="417" t="s">
        <v>2623</v>
      </c>
      <c r="C2514" s="417" t="s">
        <v>7441</v>
      </c>
      <c r="D2514" s="417" t="s">
        <v>989</v>
      </c>
      <c r="E2514" s="423">
        <v>2585.1944182298739</v>
      </c>
      <c r="F2514" s="423">
        <v>150.67699668212811</v>
      </c>
      <c r="G2514" s="422">
        <v>4663806.0885699494</v>
      </c>
      <c r="H2514" s="417" t="s">
        <v>2616</v>
      </c>
      <c r="I2514" s="417" t="s">
        <v>1392</v>
      </c>
      <c r="J2514" s="417" t="s">
        <v>4364</v>
      </c>
      <c r="K2514" s="417" t="s">
        <v>7442</v>
      </c>
      <c r="L2514" s="417"/>
      <c r="M2514" s="417" t="s">
        <v>28840</v>
      </c>
    </row>
    <row r="2515" spans="1:13" x14ac:dyDescent="0.25">
      <c r="A2515" s="417" t="s">
        <v>3385</v>
      </c>
      <c r="B2515" s="417" t="s">
        <v>2623</v>
      </c>
      <c r="C2515" s="417" t="s">
        <v>7443</v>
      </c>
      <c r="D2515" s="417" t="s">
        <v>989</v>
      </c>
      <c r="E2515" s="423">
        <v>77.109588965165585</v>
      </c>
      <c r="F2515" s="423">
        <v>1.0284271997339509</v>
      </c>
      <c r="G2515" s="422">
        <v>213603.5972220808</v>
      </c>
      <c r="H2515" s="417" t="s">
        <v>2616</v>
      </c>
      <c r="I2515" s="417" t="s">
        <v>1392</v>
      </c>
      <c r="J2515" s="417" t="s">
        <v>4364</v>
      </c>
      <c r="K2515" s="417" t="s">
        <v>7444</v>
      </c>
      <c r="L2515" s="417"/>
      <c r="M2515" s="417" t="s">
        <v>28840</v>
      </c>
    </row>
    <row r="2516" spans="1:13" x14ac:dyDescent="0.25">
      <c r="A2516" s="417" t="s">
        <v>3385</v>
      </c>
      <c r="B2516" s="417" t="s">
        <v>2623</v>
      </c>
      <c r="C2516" s="417" t="s">
        <v>7445</v>
      </c>
      <c r="D2516" s="417" t="s">
        <v>563</v>
      </c>
      <c r="E2516" s="423">
        <v>2.525332258595785E-2</v>
      </c>
      <c r="F2516" s="423">
        <v>2.658472599832032E-4</v>
      </c>
      <c r="G2516" s="422">
        <v>48.856009669225031</v>
      </c>
      <c r="H2516" s="417" t="s">
        <v>2616</v>
      </c>
      <c r="I2516" s="417" t="s">
        <v>1392</v>
      </c>
      <c r="J2516" s="417" t="s">
        <v>4364</v>
      </c>
      <c r="K2516" s="417" t="s">
        <v>7446</v>
      </c>
      <c r="L2516" s="417"/>
      <c r="M2516" s="417" t="s">
        <v>28840</v>
      </c>
    </row>
    <row r="2517" spans="1:13" x14ac:dyDescent="0.25">
      <c r="A2517" s="417" t="s">
        <v>3385</v>
      </c>
      <c r="B2517" s="417" t="s">
        <v>2623</v>
      </c>
      <c r="C2517" s="417" t="s">
        <v>7447</v>
      </c>
      <c r="D2517" s="417" t="s">
        <v>83</v>
      </c>
      <c r="E2517" s="423">
        <v>5.1576632207391091E-3</v>
      </c>
      <c r="F2517" s="423">
        <v>5.4297455115907192E-5</v>
      </c>
      <c r="G2517" s="422">
        <v>9.9781399725579352</v>
      </c>
      <c r="H2517" s="417" t="s">
        <v>2616</v>
      </c>
      <c r="I2517" s="417" t="s">
        <v>1392</v>
      </c>
      <c r="J2517" s="417" t="s">
        <v>4364</v>
      </c>
      <c r="K2517" s="417" t="s">
        <v>7448</v>
      </c>
      <c r="L2517" s="417"/>
      <c r="M2517" s="417" t="s">
        <v>28840</v>
      </c>
    </row>
    <row r="2518" spans="1:13" x14ac:dyDescent="0.25">
      <c r="A2518" s="417" t="s">
        <v>3385</v>
      </c>
      <c r="B2518" s="417" t="s">
        <v>2623</v>
      </c>
      <c r="C2518" s="417" t="s">
        <v>7449</v>
      </c>
      <c r="D2518" s="417" t="s">
        <v>989</v>
      </c>
      <c r="E2518" s="423">
        <v>837.37289991546425</v>
      </c>
      <c r="F2518" s="423">
        <v>145.70017007928311</v>
      </c>
      <c r="G2518" s="422">
        <v>895589.76572298794</v>
      </c>
      <c r="H2518" s="417" t="s">
        <v>2616</v>
      </c>
      <c r="I2518" s="417" t="s">
        <v>1392</v>
      </c>
      <c r="J2518" s="417" t="s">
        <v>4364</v>
      </c>
      <c r="K2518" s="417" t="s">
        <v>7450</v>
      </c>
      <c r="L2518" s="417"/>
      <c r="M2518" s="417" t="s">
        <v>28840</v>
      </c>
    </row>
    <row r="2519" spans="1:13" x14ac:dyDescent="0.25">
      <c r="A2519" s="417" t="s">
        <v>3385</v>
      </c>
      <c r="B2519" s="417" t="s">
        <v>2623</v>
      </c>
      <c r="C2519" s="417" t="s">
        <v>7451</v>
      </c>
      <c r="D2519" s="417" t="s">
        <v>989</v>
      </c>
      <c r="E2519" s="423">
        <v>886.1088981764143</v>
      </c>
      <c r="F2519" s="423">
        <v>145.9136904672942</v>
      </c>
      <c r="G2519" s="422">
        <v>950383.97760020604</v>
      </c>
      <c r="H2519" s="417" t="s">
        <v>2616</v>
      </c>
      <c r="I2519" s="417" t="s">
        <v>1392</v>
      </c>
      <c r="J2519" s="417" t="s">
        <v>4364</v>
      </c>
      <c r="K2519" s="417" t="s">
        <v>7452</v>
      </c>
      <c r="L2519" s="417"/>
      <c r="M2519" s="417" t="s">
        <v>28840</v>
      </c>
    </row>
    <row r="2520" spans="1:13" x14ac:dyDescent="0.25">
      <c r="A2520" s="417" t="s">
        <v>3385</v>
      </c>
      <c r="B2520" s="417" t="s">
        <v>2623</v>
      </c>
      <c r="C2520" s="417" t="s">
        <v>7453</v>
      </c>
      <c r="D2520" s="417" t="s">
        <v>989</v>
      </c>
      <c r="E2520" s="423">
        <v>833.2758730163755</v>
      </c>
      <c r="F2520" s="423">
        <v>145.77923657596509</v>
      </c>
      <c r="G2520" s="422">
        <v>892223.59730377409</v>
      </c>
      <c r="H2520" s="417" t="s">
        <v>2616</v>
      </c>
      <c r="I2520" s="417" t="s">
        <v>1392</v>
      </c>
      <c r="J2520" s="417" t="s">
        <v>4364</v>
      </c>
      <c r="K2520" s="417" t="s">
        <v>7454</v>
      </c>
      <c r="L2520" s="417"/>
      <c r="M2520" s="417" t="s">
        <v>28840</v>
      </c>
    </row>
    <row r="2521" spans="1:13" x14ac:dyDescent="0.25">
      <c r="A2521" s="417" t="s">
        <v>3385</v>
      </c>
      <c r="B2521" s="417" t="s">
        <v>2623</v>
      </c>
      <c r="C2521" s="417" t="s">
        <v>7455</v>
      </c>
      <c r="D2521" s="417" t="s">
        <v>989</v>
      </c>
      <c r="E2521" s="423">
        <v>181.8580776638434</v>
      </c>
      <c r="F2521" s="423">
        <v>26.882720146763798</v>
      </c>
      <c r="G2521" s="422">
        <v>194979.84260640189</v>
      </c>
      <c r="H2521" s="417" t="s">
        <v>2616</v>
      </c>
      <c r="I2521" s="417" t="s">
        <v>1392</v>
      </c>
      <c r="J2521" s="417" t="s">
        <v>4364</v>
      </c>
      <c r="K2521" s="417" t="s">
        <v>7456</v>
      </c>
      <c r="L2521" s="417"/>
      <c r="M2521" s="417" t="s">
        <v>28840</v>
      </c>
    </row>
    <row r="2522" spans="1:13" x14ac:dyDescent="0.25">
      <c r="A2522" s="417" t="s">
        <v>3385</v>
      </c>
      <c r="B2522" s="417" t="s">
        <v>2623</v>
      </c>
      <c r="C2522" s="417" t="s">
        <v>7457</v>
      </c>
      <c r="D2522" s="417" t="s">
        <v>989</v>
      </c>
      <c r="E2522" s="423">
        <v>186.18743929398991</v>
      </c>
      <c r="F2522" s="423">
        <v>26.901461076624098</v>
      </c>
      <c r="G2522" s="422">
        <v>199844.73152845059</v>
      </c>
      <c r="H2522" s="417" t="s">
        <v>2616</v>
      </c>
      <c r="I2522" s="417" t="s">
        <v>1392</v>
      </c>
      <c r="J2522" s="417" t="s">
        <v>4364</v>
      </c>
      <c r="K2522" s="417" t="s">
        <v>7458</v>
      </c>
      <c r="L2522" s="417"/>
      <c r="M2522" s="417" t="s">
        <v>28840</v>
      </c>
    </row>
    <row r="2523" spans="1:13" x14ac:dyDescent="0.25">
      <c r="A2523" s="417" t="s">
        <v>3385</v>
      </c>
      <c r="B2523" s="417" t="s">
        <v>2623</v>
      </c>
      <c r="C2523" s="417" t="s">
        <v>7459</v>
      </c>
      <c r="D2523" s="417" t="s">
        <v>83</v>
      </c>
      <c r="E2523" s="423">
        <v>0.1013161775585204</v>
      </c>
      <c r="F2523" s="423">
        <v>1.4941763709049359E-2</v>
      </c>
      <c r="G2523" s="422">
        <v>108.7200134336473</v>
      </c>
      <c r="H2523" s="417" t="s">
        <v>2616</v>
      </c>
      <c r="I2523" s="417" t="s">
        <v>1392</v>
      </c>
      <c r="J2523" s="417" t="s">
        <v>4364</v>
      </c>
      <c r="K2523" s="417" t="s">
        <v>7460</v>
      </c>
      <c r="L2523" s="417"/>
      <c r="M2523" s="417" t="s">
        <v>28840</v>
      </c>
    </row>
    <row r="2524" spans="1:13" x14ac:dyDescent="0.25">
      <c r="A2524" s="417" t="s">
        <v>3385</v>
      </c>
      <c r="B2524" s="417" t="s">
        <v>2623</v>
      </c>
      <c r="C2524" s="417" t="s">
        <v>7461</v>
      </c>
      <c r="D2524" s="417" t="s">
        <v>989</v>
      </c>
      <c r="E2524" s="423">
        <v>179.06027419052049</v>
      </c>
      <c r="F2524" s="423">
        <v>26.90398033566672</v>
      </c>
      <c r="G2524" s="422">
        <v>192262.0460981146</v>
      </c>
      <c r="H2524" s="417" t="s">
        <v>2616</v>
      </c>
      <c r="I2524" s="417" t="s">
        <v>1392</v>
      </c>
      <c r="J2524" s="417" t="s">
        <v>4364</v>
      </c>
      <c r="K2524" s="417" t="s">
        <v>7462</v>
      </c>
      <c r="L2524" s="417"/>
      <c r="M2524" s="417" t="s">
        <v>28840</v>
      </c>
    </row>
    <row r="2525" spans="1:13" x14ac:dyDescent="0.25">
      <c r="A2525" s="417" t="s">
        <v>3385</v>
      </c>
      <c r="B2525" s="417" t="s">
        <v>2623</v>
      </c>
      <c r="C2525" s="417" t="s">
        <v>7463</v>
      </c>
      <c r="D2525" s="417" t="s">
        <v>989</v>
      </c>
      <c r="E2525" s="423">
        <v>286.52279569417601</v>
      </c>
      <c r="F2525" s="423">
        <v>45.374877638406403</v>
      </c>
      <c r="G2525" s="422">
        <v>306890.27467055892</v>
      </c>
      <c r="H2525" s="417" t="s">
        <v>2616</v>
      </c>
      <c r="I2525" s="417" t="s">
        <v>1392</v>
      </c>
      <c r="J2525" s="417" t="s">
        <v>4364</v>
      </c>
      <c r="K2525" s="417" t="s">
        <v>7464</v>
      </c>
      <c r="L2525" s="417"/>
      <c r="M2525" s="417" t="s">
        <v>28840</v>
      </c>
    </row>
    <row r="2526" spans="1:13" x14ac:dyDescent="0.25">
      <c r="A2526" s="417" t="s">
        <v>3385</v>
      </c>
      <c r="B2526" s="417" t="s">
        <v>2623</v>
      </c>
      <c r="C2526" s="417" t="s">
        <v>7465</v>
      </c>
      <c r="D2526" s="417" t="s">
        <v>989</v>
      </c>
      <c r="E2526" s="423">
        <v>298.1854332948576</v>
      </c>
      <c r="F2526" s="423">
        <v>45.434071237841998</v>
      </c>
      <c r="G2526" s="422">
        <v>320106.43350294267</v>
      </c>
      <c r="H2526" s="417" t="s">
        <v>2616</v>
      </c>
      <c r="I2526" s="417" t="s">
        <v>1392</v>
      </c>
      <c r="J2526" s="417" t="s">
        <v>4364</v>
      </c>
      <c r="K2526" s="417" t="s">
        <v>7466</v>
      </c>
      <c r="L2526" s="417"/>
      <c r="M2526" s="417" t="s">
        <v>28840</v>
      </c>
    </row>
    <row r="2527" spans="1:13" x14ac:dyDescent="0.25">
      <c r="A2527" s="417" t="s">
        <v>3385</v>
      </c>
      <c r="B2527" s="417" t="s">
        <v>2623</v>
      </c>
      <c r="C2527" s="417" t="s">
        <v>7467</v>
      </c>
      <c r="D2527" s="417" t="s">
        <v>989</v>
      </c>
      <c r="E2527" s="423">
        <v>282.96716992025148</v>
      </c>
      <c r="F2527" s="423">
        <v>45.416656326797188</v>
      </c>
      <c r="G2527" s="422">
        <v>303624.90992260107</v>
      </c>
      <c r="H2527" s="417" t="s">
        <v>2616</v>
      </c>
      <c r="I2527" s="417" t="s">
        <v>1392</v>
      </c>
      <c r="J2527" s="417" t="s">
        <v>4364</v>
      </c>
      <c r="K2527" s="417" t="s">
        <v>7468</v>
      </c>
      <c r="L2527" s="417"/>
      <c r="M2527" s="417" t="s">
        <v>28840</v>
      </c>
    </row>
    <row r="2528" spans="1:13" x14ac:dyDescent="0.25">
      <c r="A2528" s="417" t="s">
        <v>3385</v>
      </c>
      <c r="B2528" s="417" t="s">
        <v>2623</v>
      </c>
      <c r="C2528" s="417" t="s">
        <v>7469</v>
      </c>
      <c r="D2528" s="417" t="s">
        <v>989</v>
      </c>
      <c r="E2528" s="423">
        <v>495.98636208361529</v>
      </c>
      <c r="F2528" s="423">
        <v>82.591767574489126</v>
      </c>
      <c r="G2528" s="422">
        <v>530574.737594996</v>
      </c>
      <c r="H2528" s="417" t="s">
        <v>2616</v>
      </c>
      <c r="I2528" s="417" t="s">
        <v>1392</v>
      </c>
      <c r="J2528" s="417" t="s">
        <v>4364</v>
      </c>
      <c r="K2528" s="417" t="s">
        <v>7470</v>
      </c>
      <c r="L2528" s="417"/>
      <c r="M2528" s="417" t="s">
        <v>28840</v>
      </c>
    </row>
    <row r="2529" spans="1:13" x14ac:dyDescent="0.25">
      <c r="A2529" s="417" t="s">
        <v>3385</v>
      </c>
      <c r="B2529" s="417" t="s">
        <v>2623</v>
      </c>
      <c r="C2529" s="417" t="s">
        <v>7471</v>
      </c>
      <c r="D2529" s="417" t="s">
        <v>989</v>
      </c>
      <c r="E2529" s="423">
        <v>523.77625344264459</v>
      </c>
      <c r="F2529" s="423">
        <v>82.712857923967206</v>
      </c>
      <c r="G2529" s="422">
        <v>561810.36863268167</v>
      </c>
      <c r="H2529" s="417" t="s">
        <v>2616</v>
      </c>
      <c r="I2529" s="417" t="s">
        <v>1392</v>
      </c>
      <c r="J2529" s="417" t="s">
        <v>4364</v>
      </c>
      <c r="K2529" s="417" t="s">
        <v>7472</v>
      </c>
      <c r="L2529" s="417"/>
      <c r="M2529" s="417" t="s">
        <v>28840</v>
      </c>
    </row>
    <row r="2530" spans="1:13" x14ac:dyDescent="0.25">
      <c r="A2530" s="417" t="s">
        <v>3385</v>
      </c>
      <c r="B2530" s="417" t="s">
        <v>2623</v>
      </c>
      <c r="C2530" s="417" t="s">
        <v>7473</v>
      </c>
      <c r="D2530" s="417" t="s">
        <v>83</v>
      </c>
      <c r="E2530" s="423">
        <v>7.5159549675308482E-2</v>
      </c>
      <c r="F2530" s="423">
        <v>1.233524441922234E-2</v>
      </c>
      <c r="G2530" s="422">
        <v>80.503580352622194</v>
      </c>
      <c r="H2530" s="417" t="s">
        <v>2616</v>
      </c>
      <c r="I2530" s="417" t="s">
        <v>1392</v>
      </c>
      <c r="J2530" s="417" t="s">
        <v>4364</v>
      </c>
      <c r="K2530" s="417" t="s">
        <v>7474</v>
      </c>
      <c r="L2530" s="417"/>
      <c r="M2530" s="417" t="s">
        <v>28840</v>
      </c>
    </row>
    <row r="2531" spans="1:13" x14ac:dyDescent="0.25">
      <c r="A2531" s="417" t="s">
        <v>3385</v>
      </c>
      <c r="B2531" s="417" t="s">
        <v>2623</v>
      </c>
      <c r="C2531" s="417" t="s">
        <v>7475</v>
      </c>
      <c r="D2531" s="417" t="s">
        <v>989</v>
      </c>
      <c r="E2531" s="423">
        <v>490.91519431950002</v>
      </c>
      <c r="F2531" s="423">
        <v>82.634842143567269</v>
      </c>
      <c r="G2531" s="422">
        <v>525707.04590914212</v>
      </c>
      <c r="H2531" s="417" t="s">
        <v>2616</v>
      </c>
      <c r="I2531" s="417" t="s">
        <v>1392</v>
      </c>
      <c r="J2531" s="417" t="s">
        <v>4364</v>
      </c>
      <c r="K2531" s="417" t="s">
        <v>7476</v>
      </c>
      <c r="L2531" s="417"/>
      <c r="M2531" s="417" t="s">
        <v>28840</v>
      </c>
    </row>
    <row r="2532" spans="1:13" x14ac:dyDescent="0.25">
      <c r="A2532" s="417" t="s">
        <v>3385</v>
      </c>
      <c r="B2532" s="417" t="s">
        <v>2623</v>
      </c>
      <c r="C2532" s="417" t="s">
        <v>7477</v>
      </c>
      <c r="D2532" s="417" t="s">
        <v>989</v>
      </c>
      <c r="E2532" s="423">
        <v>359.26442548322899</v>
      </c>
      <c r="F2532" s="423">
        <v>72.647250677396045</v>
      </c>
      <c r="G2532" s="422">
        <v>381845.04701985262</v>
      </c>
      <c r="H2532" s="417" t="s">
        <v>2616</v>
      </c>
      <c r="I2532" s="417" t="s">
        <v>1392</v>
      </c>
      <c r="J2532" s="417" t="s">
        <v>4364</v>
      </c>
      <c r="K2532" s="417" t="s">
        <v>7478</v>
      </c>
      <c r="L2532" s="417"/>
      <c r="M2532" s="417" t="s">
        <v>28840</v>
      </c>
    </row>
    <row r="2533" spans="1:13" x14ac:dyDescent="0.25">
      <c r="A2533" s="417" t="s">
        <v>3385</v>
      </c>
      <c r="B2533" s="417" t="s">
        <v>2623</v>
      </c>
      <c r="C2533" s="417" t="s">
        <v>7479</v>
      </c>
      <c r="D2533" s="417" t="s">
        <v>83</v>
      </c>
      <c r="E2533" s="423">
        <v>4.0478018642816638E-2</v>
      </c>
      <c r="F2533" s="423">
        <v>7.437638830752622E-3</v>
      </c>
      <c r="G2533" s="422">
        <v>43.089354269901939</v>
      </c>
      <c r="H2533" s="417" t="s">
        <v>2616</v>
      </c>
      <c r="I2533" s="417" t="s">
        <v>1392</v>
      </c>
      <c r="J2533" s="417" t="s">
        <v>4364</v>
      </c>
      <c r="K2533" s="417" t="s">
        <v>7480</v>
      </c>
      <c r="L2533" s="417"/>
      <c r="M2533" s="417" t="s">
        <v>28840</v>
      </c>
    </row>
    <row r="2534" spans="1:13" x14ac:dyDescent="0.25">
      <c r="A2534" s="417" t="s">
        <v>3385</v>
      </c>
      <c r="B2534" s="417" t="s">
        <v>2623</v>
      </c>
      <c r="C2534" s="417" t="s">
        <v>7481</v>
      </c>
      <c r="D2534" s="417" t="s">
        <v>989</v>
      </c>
      <c r="E2534" s="423">
        <v>72.862101680770351</v>
      </c>
      <c r="F2534" s="423">
        <v>13.3876670844628</v>
      </c>
      <c r="G2534" s="422">
        <v>77562.609772400479</v>
      </c>
      <c r="H2534" s="417" t="s">
        <v>2616</v>
      </c>
      <c r="I2534" s="417" t="s">
        <v>1392</v>
      </c>
      <c r="J2534" s="417" t="s">
        <v>4364</v>
      </c>
      <c r="K2534" s="417" t="s">
        <v>7482</v>
      </c>
      <c r="L2534" s="417"/>
      <c r="M2534" s="417" t="s">
        <v>28840</v>
      </c>
    </row>
    <row r="2535" spans="1:13" x14ac:dyDescent="0.25">
      <c r="A2535" s="417" t="s">
        <v>3385</v>
      </c>
      <c r="B2535" s="417" t="s">
        <v>2623</v>
      </c>
      <c r="C2535" s="417" t="s">
        <v>7483</v>
      </c>
      <c r="D2535" s="417" t="s">
        <v>989</v>
      </c>
      <c r="E2535" s="423">
        <v>117.1833540199478</v>
      </c>
      <c r="F2535" s="423">
        <v>22.609563315861799</v>
      </c>
      <c r="G2535" s="422">
        <v>124665.07246071741</v>
      </c>
      <c r="H2535" s="417" t="s">
        <v>2616</v>
      </c>
      <c r="I2535" s="417" t="s">
        <v>1392</v>
      </c>
      <c r="J2535" s="417" t="s">
        <v>4364</v>
      </c>
      <c r="K2535" s="417" t="s">
        <v>7484</v>
      </c>
      <c r="L2535" s="417"/>
      <c r="M2535" s="417" t="s">
        <v>28840</v>
      </c>
    </row>
    <row r="2536" spans="1:13" x14ac:dyDescent="0.25">
      <c r="A2536" s="417" t="s">
        <v>3385</v>
      </c>
      <c r="B2536" s="417" t="s">
        <v>2623</v>
      </c>
      <c r="C2536" s="417" t="s">
        <v>7485</v>
      </c>
      <c r="D2536" s="417" t="s">
        <v>83</v>
      </c>
      <c r="E2536" s="423">
        <v>3.1091136582493521E-2</v>
      </c>
      <c r="F2536" s="423">
        <v>6.1455799758864411E-3</v>
      </c>
      <c r="G2536" s="422">
        <v>33.053006590548307</v>
      </c>
      <c r="H2536" s="417" t="s">
        <v>2616</v>
      </c>
      <c r="I2536" s="417" t="s">
        <v>1392</v>
      </c>
      <c r="J2536" s="417" t="s">
        <v>4364</v>
      </c>
      <c r="K2536" s="417" t="s">
        <v>7486</v>
      </c>
      <c r="L2536" s="417"/>
      <c r="M2536" s="417" t="s">
        <v>28840</v>
      </c>
    </row>
    <row r="2537" spans="1:13" x14ac:dyDescent="0.25">
      <c r="A2537" s="417" t="s">
        <v>3385</v>
      </c>
      <c r="B2537" s="417" t="s">
        <v>2623</v>
      </c>
      <c r="C2537" s="417" t="s">
        <v>7487</v>
      </c>
      <c r="D2537" s="417" t="s">
        <v>989</v>
      </c>
      <c r="E2537" s="423">
        <v>208.31084342110779</v>
      </c>
      <c r="F2537" s="423">
        <v>41.175559229797287</v>
      </c>
      <c r="G2537" s="422">
        <v>221455.34611925911</v>
      </c>
      <c r="H2537" s="417" t="s">
        <v>2616</v>
      </c>
      <c r="I2537" s="417" t="s">
        <v>1392</v>
      </c>
      <c r="J2537" s="417" t="s">
        <v>4364</v>
      </c>
      <c r="K2537" s="417" t="s">
        <v>7488</v>
      </c>
      <c r="L2537" s="417"/>
      <c r="M2537" s="417" t="s">
        <v>28840</v>
      </c>
    </row>
    <row r="2538" spans="1:13" x14ac:dyDescent="0.25">
      <c r="A2538" s="417" t="s">
        <v>3385</v>
      </c>
      <c r="B2538" s="417" t="s">
        <v>2623</v>
      </c>
      <c r="C2538" s="417" t="s">
        <v>7489</v>
      </c>
      <c r="D2538" s="417" t="s">
        <v>989</v>
      </c>
      <c r="E2538" s="423">
        <v>8.1261780823939258</v>
      </c>
      <c r="F2538" s="423">
        <v>7.3201149873604477E-3</v>
      </c>
      <c r="G2538" s="422">
        <v>8760.5351603082672</v>
      </c>
      <c r="H2538" s="417" t="s">
        <v>2616</v>
      </c>
      <c r="I2538" s="417" t="s">
        <v>1392</v>
      </c>
      <c r="J2538" s="417" t="s">
        <v>4364</v>
      </c>
      <c r="K2538" s="417" t="s">
        <v>7490</v>
      </c>
      <c r="L2538" s="417"/>
      <c r="M2538" s="417" t="s">
        <v>28840</v>
      </c>
    </row>
    <row r="2539" spans="1:13" x14ac:dyDescent="0.25">
      <c r="A2539" s="417" t="s">
        <v>3385</v>
      </c>
      <c r="B2539" s="417" t="s">
        <v>2623</v>
      </c>
      <c r="C2539" s="417" t="s">
        <v>7491</v>
      </c>
      <c r="D2539" s="417" t="s">
        <v>88</v>
      </c>
      <c r="E2539" s="423">
        <v>0.30107016792573771</v>
      </c>
      <c r="F2539" s="423">
        <v>1.8686512107691879E-2</v>
      </c>
      <c r="G2539" s="422">
        <v>618.89321602326038</v>
      </c>
      <c r="H2539" s="417" t="s">
        <v>2616</v>
      </c>
      <c r="I2539" s="417" t="s">
        <v>1392</v>
      </c>
      <c r="J2539" s="417" t="s">
        <v>6015</v>
      </c>
      <c r="K2539" s="417" t="s">
        <v>7492</v>
      </c>
      <c r="L2539" s="417"/>
      <c r="M2539" s="417" t="s">
        <v>28840</v>
      </c>
    </row>
    <row r="2540" spans="1:13" x14ac:dyDescent="0.25">
      <c r="A2540" s="417" t="s">
        <v>3385</v>
      </c>
      <c r="B2540" s="417" t="s">
        <v>2623</v>
      </c>
      <c r="C2540" s="417" t="s">
        <v>7493</v>
      </c>
      <c r="D2540" s="417" t="s">
        <v>88</v>
      </c>
      <c r="E2540" s="423">
        <v>0.1165245176764716</v>
      </c>
      <c r="F2540" s="423">
        <v>1.8695003105449479E-3</v>
      </c>
      <c r="G2540" s="422">
        <v>143969.2735919985</v>
      </c>
      <c r="H2540" s="417" t="s">
        <v>2616</v>
      </c>
      <c r="I2540" s="417" t="s">
        <v>1392</v>
      </c>
      <c r="J2540" s="417" t="s">
        <v>6304</v>
      </c>
      <c r="K2540" s="417" t="s">
        <v>7494</v>
      </c>
      <c r="L2540" s="417"/>
      <c r="M2540" s="417" t="s">
        <v>28840</v>
      </c>
    </row>
    <row r="2541" spans="1:13" x14ac:dyDescent="0.25">
      <c r="A2541" s="417" t="s">
        <v>3385</v>
      </c>
      <c r="B2541" s="417" t="s">
        <v>2623</v>
      </c>
      <c r="C2541" s="417" t="s">
        <v>7495</v>
      </c>
      <c r="D2541" s="417" t="s">
        <v>88</v>
      </c>
      <c r="E2541" s="423">
        <v>2.2327617238611648</v>
      </c>
      <c r="F2541" s="423">
        <v>1.106936024663476E-2</v>
      </c>
      <c r="G2541" s="422">
        <v>2409.4656063011771</v>
      </c>
      <c r="H2541" s="417" t="s">
        <v>2616</v>
      </c>
      <c r="I2541" s="417" t="s">
        <v>1392</v>
      </c>
      <c r="J2541" s="417" t="s">
        <v>5990</v>
      </c>
      <c r="K2541" s="417" t="s">
        <v>7496</v>
      </c>
      <c r="L2541" s="417"/>
      <c r="M2541" s="417" t="s">
        <v>28840</v>
      </c>
    </row>
    <row r="2542" spans="1:13" x14ac:dyDescent="0.25">
      <c r="A2542" s="417" t="s">
        <v>3385</v>
      </c>
      <c r="B2542" s="417" t="s">
        <v>2623</v>
      </c>
      <c r="C2542" s="417" t="s">
        <v>7497</v>
      </c>
      <c r="D2542" s="417" t="s">
        <v>88</v>
      </c>
      <c r="E2542" s="423">
        <v>0.2412713580718743</v>
      </c>
      <c r="F2542" s="423">
        <v>1.4003052678794929</v>
      </c>
      <c r="G2542" s="422">
        <v>383.88589202741252</v>
      </c>
      <c r="H2542" s="417" t="s">
        <v>2616</v>
      </c>
      <c r="I2542" s="417" t="s">
        <v>1392</v>
      </c>
      <c r="J2542" s="417" t="s">
        <v>4364</v>
      </c>
      <c r="K2542" s="417" t="s">
        <v>7498</v>
      </c>
      <c r="L2542" s="417"/>
      <c r="M2542" s="417" t="s">
        <v>28840</v>
      </c>
    </row>
    <row r="2543" spans="1:13" x14ac:dyDescent="0.25">
      <c r="A2543" s="417" t="s">
        <v>3385</v>
      </c>
      <c r="B2543" s="417" t="s">
        <v>2623</v>
      </c>
      <c r="C2543" s="417" t="s">
        <v>7499</v>
      </c>
      <c r="D2543" s="417" t="s">
        <v>88</v>
      </c>
      <c r="E2543" s="423">
        <v>8.1058394312527315E-2</v>
      </c>
      <c r="F2543" s="423">
        <v>1.655326748014398E-2</v>
      </c>
      <c r="G2543" s="422">
        <v>1066.798234475373</v>
      </c>
      <c r="H2543" s="417" t="s">
        <v>2616</v>
      </c>
      <c r="I2543" s="417" t="s">
        <v>1392</v>
      </c>
      <c r="J2543" s="417" t="s">
        <v>4364</v>
      </c>
      <c r="K2543" s="417" t="s">
        <v>7500</v>
      </c>
      <c r="L2543" s="417"/>
      <c r="M2543" s="417" t="s">
        <v>28840</v>
      </c>
    </row>
    <row r="2544" spans="1:13" x14ac:dyDescent="0.25">
      <c r="A2544" s="417" t="s">
        <v>3385</v>
      </c>
      <c r="B2544" s="417" t="s">
        <v>2623</v>
      </c>
      <c r="C2544" s="417" t="s">
        <v>7501</v>
      </c>
      <c r="D2544" s="417" t="s">
        <v>88</v>
      </c>
      <c r="E2544" s="423">
        <v>0.14129422362375441</v>
      </c>
      <c r="F2544" s="423">
        <v>1.390602791574411</v>
      </c>
      <c r="G2544" s="422">
        <v>199.34106326769481</v>
      </c>
      <c r="H2544" s="417" t="s">
        <v>2616</v>
      </c>
      <c r="I2544" s="417" t="s">
        <v>1392</v>
      </c>
      <c r="J2544" s="417" t="s">
        <v>4364</v>
      </c>
      <c r="K2544" s="417" t="s">
        <v>7502</v>
      </c>
      <c r="L2544" s="417"/>
      <c r="M2544" s="417" t="s">
        <v>28840</v>
      </c>
    </row>
    <row r="2545" spans="1:13" x14ac:dyDescent="0.25">
      <c r="A2545" s="417" t="s">
        <v>3385</v>
      </c>
      <c r="B2545" s="417" t="s">
        <v>2623</v>
      </c>
      <c r="C2545" s="417" t="s">
        <v>7503</v>
      </c>
      <c r="D2545" s="417" t="s">
        <v>88</v>
      </c>
      <c r="E2545" s="423">
        <v>0.13593991026395069</v>
      </c>
      <c r="F2545" s="423">
        <v>1.3902311103662051</v>
      </c>
      <c r="G2545" s="422">
        <v>189.32716959619819</v>
      </c>
      <c r="H2545" s="417" t="s">
        <v>2616</v>
      </c>
      <c r="I2545" s="417" t="s">
        <v>1392</v>
      </c>
      <c r="J2545" s="417" t="s">
        <v>4364</v>
      </c>
      <c r="K2545" s="417" t="s">
        <v>7504</v>
      </c>
      <c r="L2545" s="417"/>
      <c r="M2545" s="417" t="s">
        <v>28840</v>
      </c>
    </row>
    <row r="2546" spans="1:13" x14ac:dyDescent="0.25">
      <c r="A2546" s="417" t="s">
        <v>3385</v>
      </c>
      <c r="B2546" s="417" t="s">
        <v>2623</v>
      </c>
      <c r="C2546" s="417" t="s">
        <v>7505</v>
      </c>
      <c r="D2546" s="417" t="s">
        <v>88</v>
      </c>
      <c r="E2546" s="423">
        <v>1.311754729565558E-3</v>
      </c>
      <c r="F2546" s="423">
        <v>6.1397144498135471E-5</v>
      </c>
      <c r="G2546" s="422">
        <v>4667.2340789135023</v>
      </c>
      <c r="H2546" s="417" t="s">
        <v>2616</v>
      </c>
      <c r="I2546" s="417" t="s">
        <v>1392</v>
      </c>
      <c r="J2546" s="417" t="s">
        <v>6007</v>
      </c>
      <c r="K2546" s="417" t="s">
        <v>7506</v>
      </c>
      <c r="L2546" s="417"/>
      <c r="M2546" s="417" t="s">
        <v>28840</v>
      </c>
    </row>
    <row r="2547" spans="1:13" x14ac:dyDescent="0.25">
      <c r="A2547" s="417" t="s">
        <v>3385</v>
      </c>
      <c r="B2547" s="417" t="s">
        <v>2623</v>
      </c>
      <c r="C2547" s="417" t="s">
        <v>7507</v>
      </c>
      <c r="D2547" s="417" t="s">
        <v>88</v>
      </c>
      <c r="E2547" s="423">
        <v>2.0035666544785089E-2</v>
      </c>
      <c r="F2547" s="423">
        <v>9.7287696757361976E-4</v>
      </c>
      <c r="G2547" s="422">
        <v>101.176108102556</v>
      </c>
      <c r="H2547" s="417" t="s">
        <v>2616</v>
      </c>
      <c r="I2547" s="417" t="s">
        <v>1392</v>
      </c>
      <c r="J2547" s="417" t="s">
        <v>5990</v>
      </c>
      <c r="K2547" s="417" t="s">
        <v>7508</v>
      </c>
      <c r="L2547" s="417"/>
      <c r="M2547" s="417" t="s">
        <v>28840</v>
      </c>
    </row>
    <row r="2548" spans="1:13" x14ac:dyDescent="0.25">
      <c r="A2548" s="417" t="s">
        <v>3385</v>
      </c>
      <c r="B2548" s="417" t="s">
        <v>2623</v>
      </c>
      <c r="C2548" s="417" t="s">
        <v>7509</v>
      </c>
      <c r="D2548" s="417" t="s">
        <v>88</v>
      </c>
      <c r="E2548" s="423">
        <v>1.9845335898273021E-2</v>
      </c>
      <c r="F2548" s="423">
        <v>2.144920651048363E-3</v>
      </c>
      <c r="G2548" s="422">
        <v>78.037421821564152</v>
      </c>
      <c r="H2548" s="417" t="s">
        <v>2616</v>
      </c>
      <c r="I2548" s="417" t="s">
        <v>1392</v>
      </c>
      <c r="J2548" s="417" t="s">
        <v>5995</v>
      </c>
      <c r="K2548" s="417" t="s">
        <v>7510</v>
      </c>
      <c r="L2548" s="417"/>
      <c r="M2548" s="417" t="s">
        <v>28840</v>
      </c>
    </row>
    <row r="2549" spans="1:13" x14ac:dyDescent="0.25">
      <c r="A2549" s="417" t="s">
        <v>3385</v>
      </c>
      <c r="B2549" s="417" t="s">
        <v>2623</v>
      </c>
      <c r="C2549" s="417" t="s">
        <v>7511</v>
      </c>
      <c r="D2549" s="417" t="s">
        <v>88</v>
      </c>
      <c r="E2549" s="423">
        <v>0.27378928569326078</v>
      </c>
      <c r="F2549" s="423">
        <v>1.382951165399525</v>
      </c>
      <c r="G2549" s="422">
        <v>418.3808852580454</v>
      </c>
      <c r="H2549" s="417" t="s">
        <v>2616</v>
      </c>
      <c r="I2549" s="417" t="s">
        <v>1392</v>
      </c>
      <c r="J2549" s="417" t="s">
        <v>4364</v>
      </c>
      <c r="K2549" s="417" t="s">
        <v>7512</v>
      </c>
      <c r="L2549" s="417"/>
      <c r="M2549" s="417" t="s">
        <v>28840</v>
      </c>
    </row>
    <row r="2550" spans="1:13" x14ac:dyDescent="0.25">
      <c r="A2550" s="417" t="s">
        <v>3385</v>
      </c>
      <c r="B2550" s="417" t="s">
        <v>2623</v>
      </c>
      <c r="C2550" s="417" t="s">
        <v>7513</v>
      </c>
      <c r="D2550" s="417" t="s">
        <v>88</v>
      </c>
      <c r="E2550" s="423">
        <v>8.1621702733301854E-2</v>
      </c>
      <c r="F2550" s="423">
        <v>1.635969684961576E-2</v>
      </c>
      <c r="G2550" s="422">
        <v>1078.018163807963</v>
      </c>
      <c r="H2550" s="417" t="s">
        <v>2616</v>
      </c>
      <c r="I2550" s="417" t="s">
        <v>1392</v>
      </c>
      <c r="J2550" s="417" t="s">
        <v>4364</v>
      </c>
      <c r="K2550" s="417" t="s">
        <v>7514</v>
      </c>
      <c r="L2550" s="417"/>
      <c r="M2550" s="417" t="s">
        <v>28840</v>
      </c>
    </row>
    <row r="2551" spans="1:13" x14ac:dyDescent="0.25">
      <c r="A2551" s="417" t="s">
        <v>3385</v>
      </c>
      <c r="B2551" s="417" t="s">
        <v>2623</v>
      </c>
      <c r="C2551" s="417" t="s">
        <v>7515</v>
      </c>
      <c r="D2551" s="417" t="s">
        <v>88</v>
      </c>
      <c r="E2551" s="423">
        <v>0.17381215169134859</v>
      </c>
      <c r="F2551" s="423">
        <v>1.3732486892220039</v>
      </c>
      <c r="G2551" s="422">
        <v>233.83605777089329</v>
      </c>
      <c r="H2551" s="417" t="s">
        <v>2616</v>
      </c>
      <c r="I2551" s="417" t="s">
        <v>1392</v>
      </c>
      <c r="J2551" s="417" t="s">
        <v>4364</v>
      </c>
      <c r="K2551" s="417" t="s">
        <v>7516</v>
      </c>
      <c r="L2551" s="417"/>
      <c r="M2551" s="417" t="s">
        <v>28840</v>
      </c>
    </row>
    <row r="2552" spans="1:13" x14ac:dyDescent="0.25">
      <c r="A2552" s="417" t="s">
        <v>3385</v>
      </c>
      <c r="B2552" s="417" t="s">
        <v>2623</v>
      </c>
      <c r="C2552" s="417" t="s">
        <v>7517</v>
      </c>
      <c r="D2552" s="417" t="s">
        <v>88</v>
      </c>
      <c r="E2552" s="423">
        <v>4.4253600545890157E-2</v>
      </c>
      <c r="F2552" s="423">
        <v>0.217364295812672</v>
      </c>
      <c r="G2552" s="422">
        <v>68.557039745276057</v>
      </c>
      <c r="H2552" s="417" t="s">
        <v>2616</v>
      </c>
      <c r="I2552" s="417" t="s">
        <v>1392</v>
      </c>
      <c r="J2552" s="417" t="s">
        <v>4364</v>
      </c>
      <c r="K2552" s="417" t="s">
        <v>7518</v>
      </c>
      <c r="L2552" s="417"/>
      <c r="M2552" s="417" t="s">
        <v>28840</v>
      </c>
    </row>
    <row r="2553" spans="1:13" x14ac:dyDescent="0.25">
      <c r="A2553" s="417" t="s">
        <v>3385</v>
      </c>
      <c r="B2553" s="417" t="s">
        <v>2623</v>
      </c>
      <c r="C2553" s="417" t="s">
        <v>7519</v>
      </c>
      <c r="D2553" s="417" t="s">
        <v>88</v>
      </c>
      <c r="E2553" s="423">
        <v>8.0421396759798574E-3</v>
      </c>
      <c r="F2553" s="423">
        <v>0.62720797293814801</v>
      </c>
      <c r="G2553" s="422">
        <v>24.331049637974392</v>
      </c>
      <c r="H2553" s="417" t="s">
        <v>2616</v>
      </c>
      <c r="I2553" s="417" t="s">
        <v>1392</v>
      </c>
      <c r="J2553" s="417" t="s">
        <v>4364</v>
      </c>
      <c r="K2553" s="417" t="s">
        <v>7520</v>
      </c>
      <c r="L2553" s="417"/>
      <c r="M2553" s="417" t="s">
        <v>28840</v>
      </c>
    </row>
    <row r="2554" spans="1:13" x14ac:dyDescent="0.25">
      <c r="A2554" s="417" t="s">
        <v>3385</v>
      </c>
      <c r="B2554" s="417" t="s">
        <v>2623</v>
      </c>
      <c r="C2554" s="417" t="s">
        <v>7521</v>
      </c>
      <c r="D2554" s="417" t="s">
        <v>563</v>
      </c>
      <c r="E2554" s="423">
        <v>0.33874479969083821</v>
      </c>
      <c r="F2554" s="423">
        <v>1.289210623593237</v>
      </c>
      <c r="G2554" s="422">
        <v>491.60629342026238</v>
      </c>
      <c r="H2554" s="417" t="s">
        <v>2616</v>
      </c>
      <c r="I2554" s="417" t="s">
        <v>1392</v>
      </c>
      <c r="J2554" s="417" t="s">
        <v>4364</v>
      </c>
      <c r="K2554" s="417" t="s">
        <v>7522</v>
      </c>
      <c r="L2554" s="417"/>
      <c r="M2554" s="417" t="s">
        <v>28840</v>
      </c>
    </row>
    <row r="2555" spans="1:13" x14ac:dyDescent="0.25">
      <c r="A2555" s="417" t="s">
        <v>3385</v>
      </c>
      <c r="B2555" s="417" t="s">
        <v>2623</v>
      </c>
      <c r="C2555" s="417" t="s">
        <v>7523</v>
      </c>
      <c r="D2555" s="417" t="s">
        <v>563</v>
      </c>
      <c r="E2555" s="423">
        <v>0.43870228151545793</v>
      </c>
      <c r="F2555" s="423">
        <v>1.66963343055108</v>
      </c>
      <c r="G2555" s="422">
        <v>636.67044552601999</v>
      </c>
      <c r="H2555" s="417" t="s">
        <v>2616</v>
      </c>
      <c r="I2555" s="417" t="s">
        <v>1392</v>
      </c>
      <c r="J2555" s="417" t="s">
        <v>4364</v>
      </c>
      <c r="K2555" s="417" t="s">
        <v>7524</v>
      </c>
      <c r="L2555" s="417"/>
      <c r="M2555" s="417" t="s">
        <v>28840</v>
      </c>
    </row>
    <row r="2556" spans="1:13" x14ac:dyDescent="0.25">
      <c r="A2556" s="417" t="s">
        <v>3385</v>
      </c>
      <c r="B2556" s="417" t="s">
        <v>2623</v>
      </c>
      <c r="C2556" s="417" t="s">
        <v>7525</v>
      </c>
      <c r="D2556" s="417" t="s">
        <v>563</v>
      </c>
      <c r="E2556" s="423">
        <v>0.21911167724823799</v>
      </c>
      <c r="F2556" s="423">
        <v>1.2325593452119621</v>
      </c>
      <c r="G2556" s="422">
        <v>353.28702643262869</v>
      </c>
      <c r="H2556" s="417" t="s">
        <v>2616</v>
      </c>
      <c r="I2556" s="417" t="s">
        <v>1392</v>
      </c>
      <c r="J2556" s="417" t="s">
        <v>4364</v>
      </c>
      <c r="K2556" s="417" t="s">
        <v>7526</v>
      </c>
      <c r="L2556" s="417"/>
      <c r="M2556" s="417" t="s">
        <v>28840</v>
      </c>
    </row>
    <row r="2557" spans="1:13" x14ac:dyDescent="0.25">
      <c r="A2557" s="417" t="s">
        <v>3385</v>
      </c>
      <c r="B2557" s="417" t="s">
        <v>2623</v>
      </c>
      <c r="C2557" s="417" t="s">
        <v>7527</v>
      </c>
      <c r="D2557" s="417" t="s">
        <v>88</v>
      </c>
      <c r="E2557" s="423">
        <v>0.59512946632739883</v>
      </c>
      <c r="F2557" s="423">
        <v>1.2128631997859489</v>
      </c>
      <c r="G2557" s="422">
        <v>755.84452631002421</v>
      </c>
      <c r="H2557" s="417" t="s">
        <v>2616</v>
      </c>
      <c r="I2557" s="417" t="s">
        <v>1392</v>
      </c>
      <c r="J2557" s="417" t="s">
        <v>4364</v>
      </c>
      <c r="K2557" s="417" t="s">
        <v>7528</v>
      </c>
      <c r="L2557" s="417"/>
      <c r="M2557" s="417" t="s">
        <v>28840</v>
      </c>
    </row>
    <row r="2558" spans="1:13" x14ac:dyDescent="0.25">
      <c r="A2558" s="417" t="s">
        <v>3385</v>
      </c>
      <c r="B2558" s="417" t="s">
        <v>2623</v>
      </c>
      <c r="C2558" s="417" t="s">
        <v>7529</v>
      </c>
      <c r="D2558" s="417" t="s">
        <v>88</v>
      </c>
      <c r="E2558" s="423">
        <v>8.7142125450443239E-2</v>
      </c>
      <c r="F2558" s="423">
        <v>1.4462704711001631E-2</v>
      </c>
      <c r="G2558" s="422">
        <v>1187.973471904334</v>
      </c>
      <c r="H2558" s="417" t="s">
        <v>2616</v>
      </c>
      <c r="I2558" s="417" t="s">
        <v>1392</v>
      </c>
      <c r="J2558" s="417" t="s">
        <v>4364</v>
      </c>
      <c r="K2558" s="417" t="s">
        <v>7530</v>
      </c>
      <c r="L2558" s="417"/>
      <c r="M2558" s="417" t="s">
        <v>28840</v>
      </c>
    </row>
    <row r="2559" spans="1:13" x14ac:dyDescent="0.25">
      <c r="A2559" s="417" t="s">
        <v>3385</v>
      </c>
      <c r="B2559" s="417" t="s">
        <v>2623</v>
      </c>
      <c r="C2559" s="417" t="s">
        <v>7531</v>
      </c>
      <c r="D2559" s="417" t="s">
        <v>88</v>
      </c>
      <c r="E2559" s="423">
        <v>0.495152328878814</v>
      </c>
      <c r="F2559" s="423">
        <v>1.203160722870829</v>
      </c>
      <c r="G2559" s="422">
        <v>571.29968995754689</v>
      </c>
      <c r="H2559" s="417" t="s">
        <v>2616</v>
      </c>
      <c r="I2559" s="417" t="s">
        <v>1392</v>
      </c>
      <c r="J2559" s="417" t="s">
        <v>4364</v>
      </c>
      <c r="K2559" s="417" t="s">
        <v>7532</v>
      </c>
      <c r="L2559" s="417"/>
      <c r="M2559" s="417" t="s">
        <v>28840</v>
      </c>
    </row>
    <row r="2560" spans="1:13" x14ac:dyDescent="0.25">
      <c r="A2560" s="417" t="s">
        <v>3385</v>
      </c>
      <c r="B2560" s="417" t="s">
        <v>2623</v>
      </c>
      <c r="C2560" s="417" t="s">
        <v>7533</v>
      </c>
      <c r="D2560" s="417" t="s">
        <v>88</v>
      </c>
      <c r="E2560" s="423">
        <v>0.50141478328806921</v>
      </c>
      <c r="F2560" s="423">
        <v>1.261472449389988</v>
      </c>
      <c r="G2560" s="422">
        <v>659.84584936719648</v>
      </c>
      <c r="H2560" s="417" t="s">
        <v>2616</v>
      </c>
      <c r="I2560" s="417" t="s">
        <v>1392</v>
      </c>
      <c r="J2560" s="417" t="s">
        <v>4364</v>
      </c>
      <c r="K2560" s="417" t="s">
        <v>7534</v>
      </c>
      <c r="L2560" s="417"/>
      <c r="M2560" s="417" t="s">
        <v>28840</v>
      </c>
    </row>
    <row r="2561" spans="1:13" x14ac:dyDescent="0.25">
      <c r="A2561" s="417" t="s">
        <v>3385</v>
      </c>
      <c r="B2561" s="417" t="s">
        <v>2623</v>
      </c>
      <c r="C2561" s="417" t="s">
        <v>7535</v>
      </c>
      <c r="D2561" s="417" t="s">
        <v>88</v>
      </c>
      <c r="E2561" s="423">
        <v>8.5564861828372946E-2</v>
      </c>
      <c r="F2561" s="423">
        <v>1.500470246699776E-2</v>
      </c>
      <c r="G2561" s="422">
        <v>1156.557669613248</v>
      </c>
      <c r="H2561" s="417" t="s">
        <v>2616</v>
      </c>
      <c r="I2561" s="417" t="s">
        <v>1392</v>
      </c>
      <c r="J2561" s="417" t="s">
        <v>4364</v>
      </c>
      <c r="K2561" s="417" t="s">
        <v>7536</v>
      </c>
      <c r="L2561" s="417"/>
      <c r="M2561" s="417" t="s">
        <v>28840</v>
      </c>
    </row>
    <row r="2562" spans="1:13" x14ac:dyDescent="0.25">
      <c r="A2562" s="417" t="s">
        <v>3385</v>
      </c>
      <c r="B2562" s="417" t="s">
        <v>2623</v>
      </c>
      <c r="C2562" s="417" t="s">
        <v>7537</v>
      </c>
      <c r="D2562" s="417" t="s">
        <v>88</v>
      </c>
      <c r="E2562" s="423">
        <v>0.40143764633576279</v>
      </c>
      <c r="F2562" s="423">
        <v>1.2517699722208291</v>
      </c>
      <c r="G2562" s="422">
        <v>475.30101339176531</v>
      </c>
      <c r="H2562" s="417" t="s">
        <v>2616</v>
      </c>
      <c r="I2562" s="417" t="s">
        <v>1392</v>
      </c>
      <c r="J2562" s="417" t="s">
        <v>4364</v>
      </c>
      <c r="K2562" s="417" t="s">
        <v>7538</v>
      </c>
      <c r="L2562" s="417"/>
      <c r="M2562" s="417" t="s">
        <v>28840</v>
      </c>
    </row>
    <row r="2563" spans="1:13" x14ac:dyDescent="0.25">
      <c r="A2563" s="417" t="s">
        <v>3385</v>
      </c>
      <c r="B2563" s="417" t="s">
        <v>2623</v>
      </c>
      <c r="C2563" s="417" t="s">
        <v>7539</v>
      </c>
      <c r="D2563" s="417" t="s">
        <v>88</v>
      </c>
      <c r="E2563" s="423">
        <v>9.4913373826167963E-2</v>
      </c>
      <c r="F2563" s="423">
        <v>0.19055274136836789</v>
      </c>
      <c r="G2563" s="422">
        <v>122.07117432530239</v>
      </c>
      <c r="H2563" s="417" t="s">
        <v>2616</v>
      </c>
      <c r="I2563" s="417" t="s">
        <v>1392</v>
      </c>
      <c r="J2563" s="417" t="s">
        <v>4364</v>
      </c>
      <c r="K2563" s="417" t="s">
        <v>7540</v>
      </c>
      <c r="L2563" s="417"/>
      <c r="M2563" s="417" t="s">
        <v>28840</v>
      </c>
    </row>
    <row r="2564" spans="1:13" x14ac:dyDescent="0.25">
      <c r="A2564" s="417" t="s">
        <v>3385</v>
      </c>
      <c r="B2564" s="417" t="s">
        <v>2623</v>
      </c>
      <c r="C2564" s="417" t="s">
        <v>7541</v>
      </c>
      <c r="D2564" s="417" t="s">
        <v>88</v>
      </c>
      <c r="E2564" s="423">
        <v>8.013920810267848E-2</v>
      </c>
      <c r="F2564" s="423">
        <v>0.1982151850766328</v>
      </c>
      <c r="G2564" s="422">
        <v>106.84753563704859</v>
      </c>
      <c r="H2564" s="417" t="s">
        <v>2616</v>
      </c>
      <c r="I2564" s="417" t="s">
        <v>1392</v>
      </c>
      <c r="J2564" s="417" t="s">
        <v>4364</v>
      </c>
      <c r="K2564" s="417" t="s">
        <v>7542</v>
      </c>
      <c r="L2564" s="417"/>
      <c r="M2564" s="417" t="s">
        <v>28840</v>
      </c>
    </row>
    <row r="2565" spans="1:13" x14ac:dyDescent="0.25">
      <c r="A2565" s="417" t="s">
        <v>3385</v>
      </c>
      <c r="B2565" s="417" t="s">
        <v>2623</v>
      </c>
      <c r="C2565" s="417" t="s">
        <v>7543</v>
      </c>
      <c r="D2565" s="417" t="s">
        <v>88</v>
      </c>
      <c r="E2565" s="423">
        <v>1.7742394782617799E-2</v>
      </c>
      <c r="F2565" s="423">
        <v>1.458117530642</v>
      </c>
      <c r="G2565" s="422">
        <v>673.48620160021801</v>
      </c>
      <c r="H2565" s="417" t="s">
        <v>2616</v>
      </c>
      <c r="I2565" s="417" t="s">
        <v>1392</v>
      </c>
      <c r="J2565" s="417" t="s">
        <v>5990</v>
      </c>
      <c r="K2565" s="417" t="s">
        <v>7544</v>
      </c>
      <c r="L2565" s="417"/>
      <c r="M2565" s="417" t="s">
        <v>28840</v>
      </c>
    </row>
    <row r="2566" spans="1:13" x14ac:dyDescent="0.25">
      <c r="A2566" s="417" t="s">
        <v>3385</v>
      </c>
      <c r="B2566" s="417" t="s">
        <v>2623</v>
      </c>
      <c r="C2566" s="417" t="s">
        <v>7545</v>
      </c>
      <c r="D2566" s="417" t="s">
        <v>88</v>
      </c>
      <c r="E2566" s="423">
        <v>1.7037857268323891E-2</v>
      </c>
      <c r="F2566" s="423">
        <v>1.4633702512846021</v>
      </c>
      <c r="G2566" s="422">
        <v>53.542349828064062</v>
      </c>
      <c r="H2566" s="417" t="s">
        <v>2616</v>
      </c>
      <c r="I2566" s="417" t="s">
        <v>1392</v>
      </c>
      <c r="J2566" s="417" t="s">
        <v>5990</v>
      </c>
      <c r="K2566" s="417" t="s">
        <v>7546</v>
      </c>
      <c r="L2566" s="417"/>
      <c r="M2566" s="417" t="s">
        <v>28840</v>
      </c>
    </row>
    <row r="2567" spans="1:13" x14ac:dyDescent="0.25">
      <c r="A2567" s="417" t="s">
        <v>3385</v>
      </c>
      <c r="B2567" s="417" t="s">
        <v>2623</v>
      </c>
      <c r="C2567" s="417" t="s">
        <v>7547</v>
      </c>
      <c r="D2567" s="417" t="s">
        <v>88</v>
      </c>
      <c r="E2567" s="423">
        <v>7.5531360798340413E-2</v>
      </c>
      <c r="F2567" s="423">
        <v>1.6169596474965318E-2</v>
      </c>
      <c r="G2567" s="422">
        <v>1056.4613109950781</v>
      </c>
      <c r="H2567" s="417" t="s">
        <v>2616</v>
      </c>
      <c r="I2567" s="417" t="s">
        <v>1392</v>
      </c>
      <c r="J2567" s="417" t="s">
        <v>5995</v>
      </c>
      <c r="K2567" s="417" t="s">
        <v>7548</v>
      </c>
      <c r="L2567" s="417"/>
      <c r="M2567" s="417" t="s">
        <v>28840</v>
      </c>
    </row>
    <row r="2568" spans="1:13" x14ac:dyDescent="0.25">
      <c r="A2568" s="417" t="s">
        <v>3385</v>
      </c>
      <c r="B2568" s="417" t="s">
        <v>2623</v>
      </c>
      <c r="C2568" s="417" t="s">
        <v>7549</v>
      </c>
      <c r="D2568" s="417" t="s">
        <v>563</v>
      </c>
      <c r="E2568" s="423">
        <v>0.27254266188635218</v>
      </c>
      <c r="F2568" s="423">
        <v>1.1337551761542899E-2</v>
      </c>
      <c r="G2568" s="422">
        <v>919.75395524359647</v>
      </c>
      <c r="H2568" s="417" t="s">
        <v>2616</v>
      </c>
      <c r="I2568" s="417" t="s">
        <v>1392</v>
      </c>
      <c r="J2568" s="417" t="s">
        <v>4364</v>
      </c>
      <c r="K2568" s="417" t="s">
        <v>7550</v>
      </c>
      <c r="L2568" s="417"/>
      <c r="M2568" s="417" t="s">
        <v>28840</v>
      </c>
    </row>
    <row r="2569" spans="1:13" x14ac:dyDescent="0.25">
      <c r="A2569" s="417" t="s">
        <v>3385</v>
      </c>
      <c r="B2569" s="417" t="s">
        <v>2623</v>
      </c>
      <c r="C2569" s="417" t="s">
        <v>7551</v>
      </c>
      <c r="D2569" s="417" t="s">
        <v>88</v>
      </c>
      <c r="E2569" s="423">
        <v>1.0999152421673161E-3</v>
      </c>
      <c r="F2569" s="423">
        <v>6.6289031197425111E-5</v>
      </c>
      <c r="G2569" s="422">
        <v>392.20000344291913</v>
      </c>
      <c r="H2569" s="417" t="s">
        <v>2616</v>
      </c>
      <c r="I2569" s="417" t="s">
        <v>1392</v>
      </c>
      <c r="J2569" s="417" t="s">
        <v>6311</v>
      </c>
      <c r="K2569" s="417" t="s">
        <v>7552</v>
      </c>
      <c r="L2569" s="417"/>
      <c r="M2569" s="417" t="s">
        <v>28840</v>
      </c>
    </row>
    <row r="2570" spans="1:13" x14ac:dyDescent="0.25">
      <c r="A2570" s="417" t="s">
        <v>3385</v>
      </c>
      <c r="B2570" s="417" t="s">
        <v>2623</v>
      </c>
      <c r="C2570" s="417" t="s">
        <v>7553</v>
      </c>
      <c r="D2570" s="417" t="s">
        <v>88</v>
      </c>
      <c r="E2570" s="423">
        <v>0.15940485860079379</v>
      </c>
      <c r="F2570" s="423">
        <v>9.7976626678617246E-3</v>
      </c>
      <c r="G2570" s="422">
        <v>1835.561898194095</v>
      </c>
      <c r="H2570" s="417" t="s">
        <v>2616</v>
      </c>
      <c r="I2570" s="417" t="s">
        <v>1392</v>
      </c>
      <c r="J2570" s="417" t="s">
        <v>5990</v>
      </c>
      <c r="K2570" s="417" t="s">
        <v>7554</v>
      </c>
      <c r="L2570" s="417"/>
      <c r="M2570" s="417" t="s">
        <v>28840</v>
      </c>
    </row>
    <row r="2571" spans="1:13" x14ac:dyDescent="0.25">
      <c r="A2571" s="417" t="s">
        <v>3385</v>
      </c>
      <c r="B2571" s="417" t="s">
        <v>2437</v>
      </c>
      <c r="C2571" s="417" t="s">
        <v>7555</v>
      </c>
      <c r="D2571" s="417" t="s">
        <v>3936</v>
      </c>
      <c r="E2571" s="423">
        <v>26989.198094919451</v>
      </c>
      <c r="F2571" s="423">
        <v>1898.691970792278</v>
      </c>
      <c r="G2571" s="422">
        <v>145638455.38783729</v>
      </c>
      <c r="H2571" s="417" t="s">
        <v>2616</v>
      </c>
      <c r="I2571" s="417" t="s">
        <v>1392</v>
      </c>
      <c r="J2571" s="417" t="s">
        <v>7556</v>
      </c>
      <c r="K2571" s="417" t="s">
        <v>7557</v>
      </c>
      <c r="L2571" s="417"/>
      <c r="M2571" s="417" t="s">
        <v>28840</v>
      </c>
    </row>
    <row r="2572" spans="1:13" x14ac:dyDescent="0.25">
      <c r="A2572" s="417" t="s">
        <v>3385</v>
      </c>
      <c r="B2572" s="417" t="s">
        <v>2437</v>
      </c>
      <c r="C2572" s="417" t="s">
        <v>7558</v>
      </c>
      <c r="D2572" s="417" t="s">
        <v>989</v>
      </c>
      <c r="E2572" s="423">
        <v>538.07117320773023</v>
      </c>
      <c r="F2572" s="423">
        <v>32.590356966369818</v>
      </c>
      <c r="G2572" s="422">
        <v>1023186.875640661</v>
      </c>
      <c r="H2572" s="417" t="s">
        <v>2616</v>
      </c>
      <c r="I2572" s="417" t="s">
        <v>1392</v>
      </c>
      <c r="J2572" s="417" t="s">
        <v>4167</v>
      </c>
      <c r="K2572" s="417" t="s">
        <v>7559</v>
      </c>
      <c r="L2572" s="417"/>
      <c r="M2572" s="417" t="s">
        <v>28840</v>
      </c>
    </row>
    <row r="2573" spans="1:13" x14ac:dyDescent="0.25">
      <c r="A2573" s="417" t="s">
        <v>3385</v>
      </c>
      <c r="B2573" s="417" t="s">
        <v>3405</v>
      </c>
      <c r="C2573" s="417" t="s">
        <v>7560</v>
      </c>
      <c r="D2573" s="417" t="s">
        <v>73</v>
      </c>
      <c r="E2573" s="423">
        <v>1.63882044946983E-2</v>
      </c>
      <c r="F2573" s="423">
        <v>2.9547547211433999E-2</v>
      </c>
      <c r="G2573" s="422">
        <v>23.2822210086212</v>
      </c>
      <c r="H2573" s="417" t="s">
        <v>2616</v>
      </c>
      <c r="I2573" s="417" t="s">
        <v>1392</v>
      </c>
      <c r="J2573" s="417" t="s">
        <v>7561</v>
      </c>
      <c r="K2573" s="417" t="s">
        <v>7562</v>
      </c>
      <c r="L2573" s="417"/>
      <c r="M2573" s="417" t="s">
        <v>28840</v>
      </c>
    </row>
    <row r="2574" spans="1:13" x14ac:dyDescent="0.25">
      <c r="A2574" s="417" t="s">
        <v>3385</v>
      </c>
      <c r="B2574" s="417" t="s">
        <v>3405</v>
      </c>
      <c r="C2574" s="417" t="s">
        <v>7563</v>
      </c>
      <c r="D2574" s="417" t="s">
        <v>73</v>
      </c>
      <c r="E2574" s="423">
        <v>3.050252859185152E-2</v>
      </c>
      <c r="F2574" s="423">
        <v>5.6041304282292113E-2</v>
      </c>
      <c r="G2574" s="422">
        <v>41.688531468503072</v>
      </c>
      <c r="H2574" s="417" t="s">
        <v>2616</v>
      </c>
      <c r="I2574" s="417" t="s">
        <v>1392</v>
      </c>
      <c r="J2574" s="417" t="s">
        <v>7561</v>
      </c>
      <c r="K2574" s="417" t="s">
        <v>7564</v>
      </c>
      <c r="L2574" s="417"/>
      <c r="M2574" s="417" t="s">
        <v>28840</v>
      </c>
    </row>
    <row r="2575" spans="1:13" x14ac:dyDescent="0.25">
      <c r="A2575" s="417" t="s">
        <v>3385</v>
      </c>
      <c r="B2575" s="417" t="s">
        <v>3405</v>
      </c>
      <c r="C2575" s="417" t="s">
        <v>7565</v>
      </c>
      <c r="D2575" s="417" t="s">
        <v>73</v>
      </c>
      <c r="E2575" s="423">
        <v>4.514226834388229E-2</v>
      </c>
      <c r="F2575" s="423">
        <v>8.86539255401365E-2</v>
      </c>
      <c r="G2575" s="422">
        <v>60.249751753020362</v>
      </c>
      <c r="H2575" s="417" t="s">
        <v>2616</v>
      </c>
      <c r="I2575" s="417" t="s">
        <v>1392</v>
      </c>
      <c r="J2575" s="417" t="s">
        <v>7561</v>
      </c>
      <c r="K2575" s="417" t="s">
        <v>7566</v>
      </c>
      <c r="L2575" s="417"/>
      <c r="M2575" s="417" t="s">
        <v>28840</v>
      </c>
    </row>
    <row r="2576" spans="1:13" x14ac:dyDescent="0.25">
      <c r="A2576" s="417" t="s">
        <v>3385</v>
      </c>
      <c r="B2576" s="417" t="s">
        <v>3405</v>
      </c>
      <c r="C2576" s="417" t="s">
        <v>7567</v>
      </c>
      <c r="D2576" s="417" t="s">
        <v>73</v>
      </c>
      <c r="E2576" s="423">
        <v>1.389844395429727E-2</v>
      </c>
      <c r="F2576" s="423">
        <v>2.5121440590747282E-3</v>
      </c>
      <c r="G2576" s="422">
        <v>57.812179586140637</v>
      </c>
      <c r="H2576" s="417" t="s">
        <v>2616</v>
      </c>
      <c r="I2576" s="417" t="s">
        <v>1392</v>
      </c>
      <c r="J2576" s="417" t="s">
        <v>7568</v>
      </c>
      <c r="K2576" s="417" t="s">
        <v>7569</v>
      </c>
      <c r="L2576" s="417"/>
      <c r="M2576" s="417" t="s">
        <v>28840</v>
      </c>
    </row>
    <row r="2577" spans="1:13" x14ac:dyDescent="0.25">
      <c r="A2577" s="417" t="s">
        <v>3385</v>
      </c>
      <c r="B2577" s="417" t="s">
        <v>3405</v>
      </c>
      <c r="C2577" s="417" t="s">
        <v>7570</v>
      </c>
      <c r="D2577" s="417" t="s">
        <v>73</v>
      </c>
      <c r="E2577" s="423">
        <v>3.6240036333516953E-2</v>
      </c>
      <c r="F2577" s="423">
        <v>9.6962584625995697E-4</v>
      </c>
      <c r="G2577" s="422">
        <v>50.27842181224802</v>
      </c>
      <c r="H2577" s="417" t="s">
        <v>2616</v>
      </c>
      <c r="I2577" s="417" t="s">
        <v>1392</v>
      </c>
      <c r="J2577" s="417" t="s">
        <v>7561</v>
      </c>
      <c r="K2577" s="417" t="s">
        <v>7571</v>
      </c>
      <c r="L2577" s="417"/>
      <c r="M2577" s="417" t="s">
        <v>28840</v>
      </c>
    </row>
    <row r="2578" spans="1:13" x14ac:dyDescent="0.25">
      <c r="A2578" s="417" t="s">
        <v>3385</v>
      </c>
      <c r="B2578" s="417" t="s">
        <v>3405</v>
      </c>
      <c r="C2578" s="417" t="s">
        <v>7572</v>
      </c>
      <c r="D2578" s="417" t="s">
        <v>73</v>
      </c>
      <c r="E2578" s="423">
        <v>8.1845883138292622E-2</v>
      </c>
      <c r="F2578" s="423">
        <v>2.0476150455821071E-3</v>
      </c>
      <c r="G2578" s="422">
        <v>111.17447708364941</v>
      </c>
      <c r="H2578" s="417" t="s">
        <v>2616</v>
      </c>
      <c r="I2578" s="417" t="s">
        <v>1392</v>
      </c>
      <c r="J2578" s="417" t="s">
        <v>7561</v>
      </c>
      <c r="K2578" s="417" t="s">
        <v>7573</v>
      </c>
      <c r="L2578" s="417"/>
      <c r="M2578" s="417" t="s">
        <v>28840</v>
      </c>
    </row>
    <row r="2579" spans="1:13" x14ac:dyDescent="0.25">
      <c r="A2579" s="417" t="s">
        <v>3385</v>
      </c>
      <c r="B2579" s="417" t="s">
        <v>3405</v>
      </c>
      <c r="C2579" s="417" t="s">
        <v>7574</v>
      </c>
      <c r="D2579" s="417" t="s">
        <v>73</v>
      </c>
      <c r="E2579" s="423">
        <v>1.2769571804051281E-2</v>
      </c>
      <c r="F2579" s="423">
        <v>2.5228069551659019E-3</v>
      </c>
      <c r="G2579" s="422">
        <v>55.523526027530757</v>
      </c>
      <c r="H2579" s="417" t="s">
        <v>2616</v>
      </c>
      <c r="I2579" s="417" t="s">
        <v>1392</v>
      </c>
      <c r="J2579" s="417" t="s">
        <v>7568</v>
      </c>
      <c r="K2579" s="417" t="s">
        <v>7575</v>
      </c>
      <c r="L2579" s="417"/>
      <c r="M2579" s="417" t="s">
        <v>28840</v>
      </c>
    </row>
    <row r="2580" spans="1:13" x14ac:dyDescent="0.25">
      <c r="A2580" s="417" t="s">
        <v>3385</v>
      </c>
      <c r="B2580" s="417" t="s">
        <v>3405</v>
      </c>
      <c r="C2580" s="417" t="s">
        <v>7576</v>
      </c>
      <c r="D2580" s="417" t="s">
        <v>73</v>
      </c>
      <c r="E2580" s="423">
        <v>7.3266553405988265E-4</v>
      </c>
      <c r="F2580" s="423">
        <v>1.302432699429505E-4</v>
      </c>
      <c r="G2580" s="422">
        <v>3.491356520101498</v>
      </c>
      <c r="H2580" s="417" t="s">
        <v>2616</v>
      </c>
      <c r="I2580" s="417" t="s">
        <v>1392</v>
      </c>
      <c r="J2580" s="417" t="s">
        <v>7577</v>
      </c>
      <c r="K2580" s="417" t="s">
        <v>7578</v>
      </c>
      <c r="L2580" s="417"/>
      <c r="M2580" s="417" t="s">
        <v>28840</v>
      </c>
    </row>
    <row r="2581" spans="1:13" x14ac:dyDescent="0.25">
      <c r="A2581" s="417" t="s">
        <v>3385</v>
      </c>
      <c r="B2581" s="417" t="s">
        <v>3405</v>
      </c>
      <c r="C2581" s="417" t="s">
        <v>7579</v>
      </c>
      <c r="D2581" s="417" t="s">
        <v>73</v>
      </c>
      <c r="E2581" s="423">
        <v>7.5406239823038541E-4</v>
      </c>
      <c r="F2581" s="423">
        <v>1.3062941507249441E-4</v>
      </c>
      <c r="G2581" s="422">
        <v>4.3332716257345032</v>
      </c>
      <c r="H2581" s="417" t="s">
        <v>2616</v>
      </c>
      <c r="I2581" s="417" t="s">
        <v>1392</v>
      </c>
      <c r="J2581" s="417" t="s">
        <v>7577</v>
      </c>
      <c r="K2581" s="417" t="s">
        <v>7580</v>
      </c>
      <c r="L2581" s="417"/>
      <c r="M2581" s="417" t="s">
        <v>28840</v>
      </c>
    </row>
    <row r="2582" spans="1:13" x14ac:dyDescent="0.25">
      <c r="A2582" s="417" t="s">
        <v>3385</v>
      </c>
      <c r="B2582" s="417" t="s">
        <v>3405</v>
      </c>
      <c r="C2582" s="417" t="s">
        <v>7581</v>
      </c>
      <c r="D2582" s="417" t="s">
        <v>73</v>
      </c>
      <c r="E2582" s="423">
        <v>0.11163178214242241</v>
      </c>
      <c r="F2582" s="423">
        <v>4.4463781581312978E-4</v>
      </c>
      <c r="G2582" s="422">
        <v>139.0486353590257</v>
      </c>
      <c r="H2582" s="417" t="s">
        <v>2616</v>
      </c>
      <c r="I2582" s="417" t="s">
        <v>1392</v>
      </c>
      <c r="J2582" s="417" t="s">
        <v>7561</v>
      </c>
      <c r="K2582" s="417" t="s">
        <v>7582</v>
      </c>
      <c r="L2582" s="417"/>
      <c r="M2582" s="417" t="s">
        <v>28840</v>
      </c>
    </row>
    <row r="2583" spans="1:13" x14ac:dyDescent="0.25">
      <c r="A2583" s="417" t="s">
        <v>3385</v>
      </c>
      <c r="B2583" s="417" t="s">
        <v>3405</v>
      </c>
      <c r="C2583" s="417" t="s">
        <v>7583</v>
      </c>
      <c r="D2583" s="417" t="s">
        <v>73</v>
      </c>
      <c r="E2583" s="423">
        <v>3.1284816734705463E-2</v>
      </c>
      <c r="F2583" s="423">
        <v>2.6376703097617999E-4</v>
      </c>
      <c r="G2583" s="422">
        <v>41.12699610569446</v>
      </c>
      <c r="H2583" s="417" t="s">
        <v>2616</v>
      </c>
      <c r="I2583" s="417" t="s">
        <v>1392</v>
      </c>
      <c r="J2583" s="417" t="s">
        <v>7561</v>
      </c>
      <c r="K2583" s="417" t="s">
        <v>7584</v>
      </c>
      <c r="L2583" s="417"/>
      <c r="M2583" s="417" t="s">
        <v>28840</v>
      </c>
    </row>
    <row r="2584" spans="1:13" x14ac:dyDescent="0.25">
      <c r="A2584" s="417" t="s">
        <v>3385</v>
      </c>
      <c r="B2584" s="417" t="s">
        <v>3405</v>
      </c>
      <c r="C2584" s="417" t="s">
        <v>7585</v>
      </c>
      <c r="D2584" s="417" t="s">
        <v>73</v>
      </c>
      <c r="E2584" s="423">
        <v>5.8815164411947937E-2</v>
      </c>
      <c r="F2584" s="423">
        <v>3.8428690066480962E-4</v>
      </c>
      <c r="G2584" s="422">
        <v>75.604472076757403</v>
      </c>
      <c r="H2584" s="417" t="s">
        <v>2616</v>
      </c>
      <c r="I2584" s="417" t="s">
        <v>1392</v>
      </c>
      <c r="J2584" s="417" t="s">
        <v>7561</v>
      </c>
      <c r="K2584" s="417" t="s">
        <v>7586</v>
      </c>
      <c r="L2584" s="417"/>
      <c r="M2584" s="417" t="s">
        <v>28840</v>
      </c>
    </row>
    <row r="2585" spans="1:13" x14ac:dyDescent="0.25">
      <c r="A2585" s="417" t="s">
        <v>3385</v>
      </c>
      <c r="B2585" s="417" t="s">
        <v>3405</v>
      </c>
      <c r="C2585" s="417" t="s">
        <v>7587</v>
      </c>
      <c r="D2585" s="417" t="s">
        <v>73</v>
      </c>
      <c r="E2585" s="423">
        <v>8.9805523302265822E-2</v>
      </c>
      <c r="F2585" s="423">
        <v>5.217491656146617E-4</v>
      </c>
      <c r="G2585" s="422">
        <v>113.6778817114468</v>
      </c>
      <c r="H2585" s="417" t="s">
        <v>2616</v>
      </c>
      <c r="I2585" s="417" t="s">
        <v>1392</v>
      </c>
      <c r="J2585" s="417" t="s">
        <v>7561</v>
      </c>
      <c r="K2585" s="417" t="s">
        <v>7588</v>
      </c>
      <c r="L2585" s="417"/>
      <c r="M2585" s="417" t="s">
        <v>28840</v>
      </c>
    </row>
    <row r="2586" spans="1:13" x14ac:dyDescent="0.25">
      <c r="A2586" s="417" t="s">
        <v>3385</v>
      </c>
      <c r="B2586" s="417" t="s">
        <v>3405</v>
      </c>
      <c r="C2586" s="417" t="s">
        <v>7589</v>
      </c>
      <c r="D2586" s="417" t="s">
        <v>73</v>
      </c>
      <c r="E2586" s="423">
        <v>1.8907621840435321E-2</v>
      </c>
      <c r="F2586" s="423">
        <v>3.103621297670835E-2</v>
      </c>
      <c r="G2586" s="422">
        <v>35.603523741117087</v>
      </c>
      <c r="H2586" s="417" t="s">
        <v>2616</v>
      </c>
      <c r="I2586" s="417" t="s">
        <v>1392</v>
      </c>
      <c r="J2586" s="417" t="s">
        <v>7561</v>
      </c>
      <c r="K2586" s="417" t="s">
        <v>7590</v>
      </c>
      <c r="L2586" s="417"/>
      <c r="M2586" s="417" t="s">
        <v>28840</v>
      </c>
    </row>
    <row r="2587" spans="1:13" x14ac:dyDescent="0.25">
      <c r="A2587" s="417" t="s">
        <v>3385</v>
      </c>
      <c r="B2587" s="417" t="s">
        <v>3405</v>
      </c>
      <c r="C2587" s="417" t="s">
        <v>7591</v>
      </c>
      <c r="D2587" s="417" t="s">
        <v>73</v>
      </c>
      <c r="E2587" s="423">
        <v>2.6247778640626981E-2</v>
      </c>
      <c r="F2587" s="423">
        <v>8.3712457135265331E-2</v>
      </c>
      <c r="G2587" s="422">
        <v>55.955088215351147</v>
      </c>
      <c r="H2587" s="417" t="s">
        <v>2616</v>
      </c>
      <c r="I2587" s="417" t="s">
        <v>1392</v>
      </c>
      <c r="J2587" s="417" t="s">
        <v>7561</v>
      </c>
      <c r="K2587" s="417" t="s">
        <v>7592</v>
      </c>
      <c r="L2587" s="417"/>
      <c r="M2587" s="417" t="s">
        <v>28840</v>
      </c>
    </row>
    <row r="2588" spans="1:13" x14ac:dyDescent="0.25">
      <c r="A2588" s="417" t="s">
        <v>3385</v>
      </c>
      <c r="B2588" s="417" t="s">
        <v>3405</v>
      </c>
      <c r="C2588" s="417" t="s">
        <v>7593</v>
      </c>
      <c r="D2588" s="417" t="s">
        <v>73</v>
      </c>
      <c r="E2588" s="423">
        <v>7.1622768077049211E-4</v>
      </c>
      <c r="F2588" s="423">
        <v>1.2994662240790371E-4</v>
      </c>
      <c r="G2588" s="422">
        <v>2.8445955773969489</v>
      </c>
      <c r="H2588" s="417" t="s">
        <v>2616</v>
      </c>
      <c r="I2588" s="417" t="s">
        <v>1392</v>
      </c>
      <c r="J2588" s="417" t="s">
        <v>7594</v>
      </c>
      <c r="K2588" s="417" t="s">
        <v>7595</v>
      </c>
      <c r="L2588" s="417"/>
      <c r="M2588" s="417" t="s">
        <v>28840</v>
      </c>
    </row>
    <row r="2589" spans="1:13" x14ac:dyDescent="0.25">
      <c r="A2589" s="417" t="s">
        <v>3385</v>
      </c>
      <c r="B2589" s="417" t="s">
        <v>3405</v>
      </c>
      <c r="C2589" s="417" t="s">
        <v>7596</v>
      </c>
      <c r="D2589" s="417" t="s">
        <v>73</v>
      </c>
      <c r="E2589" s="423">
        <v>3.9926625621947804E-3</v>
      </c>
      <c r="F2589" s="423">
        <v>4.0916208672440238E-2</v>
      </c>
      <c r="G2589" s="422">
        <v>15.54695996227788</v>
      </c>
      <c r="H2589" s="417" t="s">
        <v>2616</v>
      </c>
      <c r="I2589" s="417" t="s">
        <v>1392</v>
      </c>
      <c r="J2589" s="417" t="s">
        <v>7561</v>
      </c>
      <c r="K2589" s="417" t="s">
        <v>7597</v>
      </c>
      <c r="L2589" s="417"/>
      <c r="M2589" s="417" t="s">
        <v>28840</v>
      </c>
    </row>
    <row r="2590" spans="1:13" x14ac:dyDescent="0.25">
      <c r="A2590" s="417" t="s">
        <v>3385</v>
      </c>
      <c r="B2590" s="417" t="s">
        <v>3405</v>
      </c>
      <c r="C2590" s="417" t="s">
        <v>7598</v>
      </c>
      <c r="D2590" s="417" t="s">
        <v>73</v>
      </c>
      <c r="E2590" s="423">
        <v>5.8366862187973576E-3</v>
      </c>
      <c r="F2590" s="423">
        <v>6.3871290835115543E-2</v>
      </c>
      <c r="G2590" s="422">
        <v>22.696029401406079</v>
      </c>
      <c r="H2590" s="417" t="s">
        <v>2616</v>
      </c>
      <c r="I2590" s="417" t="s">
        <v>1392</v>
      </c>
      <c r="J2590" s="417" t="s">
        <v>7561</v>
      </c>
      <c r="K2590" s="417" t="s">
        <v>7599</v>
      </c>
      <c r="L2590" s="417"/>
      <c r="M2590" s="417" t="s">
        <v>28840</v>
      </c>
    </row>
    <row r="2591" spans="1:13" x14ac:dyDescent="0.25">
      <c r="A2591" s="417" t="s">
        <v>3385</v>
      </c>
      <c r="B2591" s="417" t="s">
        <v>3405</v>
      </c>
      <c r="C2591" s="417" t="s">
        <v>7600</v>
      </c>
      <c r="D2591" s="417" t="s">
        <v>73</v>
      </c>
      <c r="E2591" s="423">
        <v>6.2593730514061098E-3</v>
      </c>
      <c r="F2591" s="423">
        <v>0.12067300282491319</v>
      </c>
      <c r="G2591" s="422">
        <v>45.104015813248949</v>
      </c>
      <c r="H2591" s="417" t="s">
        <v>2616</v>
      </c>
      <c r="I2591" s="417" t="s">
        <v>1392</v>
      </c>
      <c r="J2591" s="417" t="s">
        <v>7561</v>
      </c>
      <c r="K2591" s="417" t="s">
        <v>7601</v>
      </c>
      <c r="L2591" s="417"/>
      <c r="M2591" s="417" t="s">
        <v>28840</v>
      </c>
    </row>
    <row r="2592" spans="1:13" x14ac:dyDescent="0.25">
      <c r="A2592" s="417" t="s">
        <v>3385</v>
      </c>
      <c r="B2592" s="417" t="s">
        <v>3405</v>
      </c>
      <c r="C2592" s="417" t="s">
        <v>7602</v>
      </c>
      <c r="D2592" s="417" t="s">
        <v>73</v>
      </c>
      <c r="E2592" s="423">
        <v>5.6405613381001118E-3</v>
      </c>
      <c r="F2592" s="423">
        <v>3.077008717809834E-2</v>
      </c>
      <c r="G2592" s="422">
        <v>10.22685835817294</v>
      </c>
      <c r="H2592" s="417" t="s">
        <v>2616</v>
      </c>
      <c r="I2592" s="417" t="s">
        <v>1392</v>
      </c>
      <c r="J2592" s="417" t="s">
        <v>7603</v>
      </c>
      <c r="K2592" s="417" t="s">
        <v>7604</v>
      </c>
      <c r="L2592" s="417"/>
      <c r="M2592" s="417" t="s">
        <v>28840</v>
      </c>
    </row>
    <row r="2593" spans="1:13" x14ac:dyDescent="0.25">
      <c r="A2593" s="417" t="s">
        <v>3385</v>
      </c>
      <c r="B2593" s="417" t="s">
        <v>3405</v>
      </c>
      <c r="C2593" s="417" t="s">
        <v>7605</v>
      </c>
      <c r="D2593" s="417" t="s">
        <v>73</v>
      </c>
      <c r="E2593" s="423">
        <v>1.0239942078716121E-2</v>
      </c>
      <c r="F2593" s="423">
        <v>2.115882703184063E-3</v>
      </c>
      <c r="G2593" s="422">
        <v>45.157286621220187</v>
      </c>
      <c r="H2593" s="417" t="s">
        <v>2616</v>
      </c>
      <c r="I2593" s="417" t="s">
        <v>1392</v>
      </c>
      <c r="J2593" s="417" t="s">
        <v>7603</v>
      </c>
      <c r="K2593" s="417" t="s">
        <v>7606</v>
      </c>
      <c r="L2593" s="417"/>
      <c r="M2593" s="417" t="s">
        <v>28840</v>
      </c>
    </row>
    <row r="2594" spans="1:13" x14ac:dyDescent="0.25">
      <c r="A2594" s="417" t="s">
        <v>3385</v>
      </c>
      <c r="B2594" s="417" t="s">
        <v>2627</v>
      </c>
      <c r="C2594" s="417" t="s">
        <v>7607</v>
      </c>
      <c r="D2594" s="417" t="s">
        <v>88</v>
      </c>
      <c r="E2594" s="423">
        <v>4.2110820515853531</v>
      </c>
      <c r="F2594" s="423">
        <v>0.2121605457631715</v>
      </c>
      <c r="G2594" s="422">
        <v>13852.033251009099</v>
      </c>
      <c r="H2594" s="417" t="s">
        <v>2616</v>
      </c>
      <c r="I2594" s="417" t="s">
        <v>1392</v>
      </c>
      <c r="J2594" s="417" t="s">
        <v>3387</v>
      </c>
      <c r="K2594" s="417" t="s">
        <v>7608</v>
      </c>
      <c r="L2594" s="417"/>
      <c r="M2594" s="417" t="s">
        <v>28840</v>
      </c>
    </row>
    <row r="2595" spans="1:13" x14ac:dyDescent="0.25">
      <c r="A2595" s="417" t="s">
        <v>3385</v>
      </c>
      <c r="B2595" s="417" t="s">
        <v>2627</v>
      </c>
      <c r="C2595" s="417" t="s">
        <v>7609</v>
      </c>
      <c r="D2595" s="417" t="s">
        <v>88</v>
      </c>
      <c r="E2595" s="423">
        <v>4.4814079270257601</v>
      </c>
      <c r="F2595" s="423">
        <v>0.2302139127772532</v>
      </c>
      <c r="G2595" s="422">
        <v>14050.51336345868</v>
      </c>
      <c r="H2595" s="417" t="s">
        <v>2616</v>
      </c>
      <c r="I2595" s="417" t="s">
        <v>1392</v>
      </c>
      <c r="J2595" s="417" t="s">
        <v>3387</v>
      </c>
      <c r="K2595" s="417" t="s">
        <v>7610</v>
      </c>
      <c r="L2595" s="417"/>
      <c r="M2595" s="417" t="s">
        <v>28840</v>
      </c>
    </row>
    <row r="2596" spans="1:13" x14ac:dyDescent="0.25">
      <c r="A2596" s="417" t="s">
        <v>3385</v>
      </c>
      <c r="B2596" s="417" t="s">
        <v>2627</v>
      </c>
      <c r="C2596" s="417" t="s">
        <v>7611</v>
      </c>
      <c r="D2596" s="417" t="s">
        <v>88</v>
      </c>
      <c r="E2596" s="423">
        <v>8.5589314464996296</v>
      </c>
      <c r="F2596" s="423">
        <v>0.37335664493592258</v>
      </c>
      <c r="G2596" s="422">
        <v>20979.93575734687</v>
      </c>
      <c r="H2596" s="417" t="s">
        <v>2616</v>
      </c>
      <c r="I2596" s="417" t="s">
        <v>1392</v>
      </c>
      <c r="J2596" s="417" t="s">
        <v>3387</v>
      </c>
      <c r="K2596" s="417" t="s">
        <v>7612</v>
      </c>
      <c r="L2596" s="417"/>
      <c r="M2596" s="417" t="s">
        <v>28840</v>
      </c>
    </row>
    <row r="2597" spans="1:13" x14ac:dyDescent="0.25">
      <c r="A2597" s="417" t="s">
        <v>3385</v>
      </c>
      <c r="B2597" s="417" t="s">
        <v>2627</v>
      </c>
      <c r="C2597" s="417" t="s">
        <v>7613</v>
      </c>
      <c r="D2597" s="417" t="s">
        <v>88</v>
      </c>
      <c r="E2597" s="423">
        <v>8.9213090630041876</v>
      </c>
      <c r="F2597" s="423">
        <v>0.39755756926976749</v>
      </c>
      <c r="G2597" s="422">
        <v>21246.002604949041</v>
      </c>
      <c r="H2597" s="417" t="s">
        <v>2616</v>
      </c>
      <c r="I2597" s="417" t="s">
        <v>1392</v>
      </c>
      <c r="J2597" s="417" t="s">
        <v>3387</v>
      </c>
      <c r="K2597" s="417" t="s">
        <v>7614</v>
      </c>
      <c r="L2597" s="417"/>
      <c r="M2597" s="417" t="s">
        <v>28840</v>
      </c>
    </row>
    <row r="2598" spans="1:13" x14ac:dyDescent="0.25">
      <c r="A2598" s="417" t="s">
        <v>3385</v>
      </c>
      <c r="B2598" s="417" t="s">
        <v>2627</v>
      </c>
      <c r="C2598" s="417" t="s">
        <v>7615</v>
      </c>
      <c r="D2598" s="417" t="s">
        <v>989</v>
      </c>
      <c r="E2598" s="423">
        <v>29.54814327506476</v>
      </c>
      <c r="F2598" s="423">
        <v>1.901784468586869</v>
      </c>
      <c r="G2598" s="422">
        <v>89864.172631190711</v>
      </c>
      <c r="H2598" s="417" t="s">
        <v>2616</v>
      </c>
      <c r="I2598" s="417" t="s">
        <v>1392</v>
      </c>
      <c r="J2598" s="417" t="s">
        <v>3699</v>
      </c>
      <c r="K2598" s="417" t="s">
        <v>7616</v>
      </c>
      <c r="L2598" s="417"/>
      <c r="M2598" s="417" t="s">
        <v>28840</v>
      </c>
    </row>
    <row r="2599" spans="1:13" x14ac:dyDescent="0.25">
      <c r="A2599" s="417" t="s">
        <v>3385</v>
      </c>
      <c r="B2599" s="417" t="s">
        <v>2627</v>
      </c>
      <c r="C2599" s="417" t="s">
        <v>7617</v>
      </c>
      <c r="D2599" s="417" t="s">
        <v>88</v>
      </c>
      <c r="E2599" s="423">
        <v>2.088529273857891E-2</v>
      </c>
      <c r="F2599" s="423">
        <v>1.208880633618876E-3</v>
      </c>
      <c r="G2599" s="422">
        <v>44.86192055634919</v>
      </c>
      <c r="H2599" s="417" t="s">
        <v>2616</v>
      </c>
      <c r="I2599" s="417" t="s">
        <v>1392</v>
      </c>
      <c r="J2599" s="417" t="s">
        <v>3860</v>
      </c>
      <c r="K2599" s="417" t="s">
        <v>7618</v>
      </c>
      <c r="L2599" s="417"/>
      <c r="M2599" s="417" t="s">
        <v>28840</v>
      </c>
    </row>
    <row r="2600" spans="1:13" x14ac:dyDescent="0.25">
      <c r="A2600" s="417" t="s">
        <v>3385</v>
      </c>
      <c r="B2600" s="417" t="s">
        <v>2627</v>
      </c>
      <c r="C2600" s="417" t="s">
        <v>7619</v>
      </c>
      <c r="D2600" s="417" t="s">
        <v>563</v>
      </c>
      <c r="E2600" s="423">
        <v>49.217256983681757</v>
      </c>
      <c r="F2600" s="423">
        <v>2.85446497084873</v>
      </c>
      <c r="G2600" s="422">
        <v>93258.84998198229</v>
      </c>
      <c r="H2600" s="417" t="s">
        <v>2616</v>
      </c>
      <c r="I2600" s="417" t="s">
        <v>1392</v>
      </c>
      <c r="J2600" s="417" t="s">
        <v>7620</v>
      </c>
      <c r="K2600" s="417" t="s">
        <v>7621</v>
      </c>
      <c r="L2600" s="417"/>
      <c r="M2600" s="417" t="s">
        <v>28840</v>
      </c>
    </row>
    <row r="2601" spans="1:13" x14ac:dyDescent="0.25">
      <c r="A2601" s="417" t="s">
        <v>3385</v>
      </c>
      <c r="B2601" s="417" t="s">
        <v>2627</v>
      </c>
      <c r="C2601" s="417" t="s">
        <v>7622</v>
      </c>
      <c r="D2601" s="417" t="s">
        <v>563</v>
      </c>
      <c r="E2601" s="423">
        <v>3.5868504524463281</v>
      </c>
      <c r="F2601" s="423">
        <v>5.2183574794451584</v>
      </c>
      <c r="G2601" s="422">
        <v>8363.9862298114549</v>
      </c>
      <c r="H2601" s="417" t="s">
        <v>2616</v>
      </c>
      <c r="I2601" s="417" t="s">
        <v>1392</v>
      </c>
      <c r="J2601" s="417" t="s">
        <v>7620</v>
      </c>
      <c r="K2601" s="417" t="s">
        <v>7623</v>
      </c>
      <c r="L2601" s="417"/>
      <c r="M2601" s="417" t="s">
        <v>28840</v>
      </c>
    </row>
    <row r="2602" spans="1:13" x14ac:dyDescent="0.25">
      <c r="A2602" s="417" t="s">
        <v>3385</v>
      </c>
      <c r="B2602" s="417" t="s">
        <v>2627</v>
      </c>
      <c r="C2602" s="417" t="s">
        <v>7624</v>
      </c>
      <c r="D2602" s="417" t="s">
        <v>563</v>
      </c>
      <c r="E2602" s="423">
        <v>3.82654086053472</v>
      </c>
      <c r="F2602" s="423">
        <v>5.408088366984372</v>
      </c>
      <c r="G2602" s="422">
        <v>8928.0087327287201</v>
      </c>
      <c r="H2602" s="417" t="s">
        <v>2616</v>
      </c>
      <c r="I2602" s="417" t="s">
        <v>1392</v>
      </c>
      <c r="J2602" s="417" t="s">
        <v>7620</v>
      </c>
      <c r="K2602" s="417" t="s">
        <v>7625</v>
      </c>
      <c r="L2602" s="417"/>
      <c r="M2602" s="417" t="s">
        <v>28840</v>
      </c>
    </row>
    <row r="2603" spans="1:13" x14ac:dyDescent="0.25">
      <c r="A2603" s="417" t="s">
        <v>3385</v>
      </c>
      <c r="B2603" s="417" t="s">
        <v>2627</v>
      </c>
      <c r="C2603" s="417" t="s">
        <v>7626</v>
      </c>
      <c r="D2603" s="417" t="s">
        <v>563</v>
      </c>
      <c r="E2603" s="423">
        <v>27.41692888668803</v>
      </c>
      <c r="F2603" s="423">
        <v>19.237198733447201</v>
      </c>
      <c r="G2603" s="422">
        <v>61772.832039112684</v>
      </c>
      <c r="H2603" s="417" t="s">
        <v>2616</v>
      </c>
      <c r="I2603" s="417" t="s">
        <v>1392</v>
      </c>
      <c r="J2603" s="417" t="s">
        <v>7620</v>
      </c>
      <c r="K2603" s="417" t="s">
        <v>7627</v>
      </c>
      <c r="L2603" s="417"/>
      <c r="M2603" s="417" t="s">
        <v>28840</v>
      </c>
    </row>
    <row r="2604" spans="1:13" x14ac:dyDescent="0.25">
      <c r="A2604" s="417" t="s">
        <v>3385</v>
      </c>
      <c r="B2604" s="417" t="s">
        <v>2627</v>
      </c>
      <c r="C2604" s="417" t="s">
        <v>7628</v>
      </c>
      <c r="D2604" s="417" t="s">
        <v>563</v>
      </c>
      <c r="E2604" s="423">
        <v>65.929085033123471</v>
      </c>
      <c r="F2604" s="423">
        <v>16.85981534641418</v>
      </c>
      <c r="G2604" s="422">
        <v>132170.34862464599</v>
      </c>
      <c r="H2604" s="417" t="s">
        <v>2616</v>
      </c>
      <c r="I2604" s="417" t="s">
        <v>1392</v>
      </c>
      <c r="J2604" s="417" t="s">
        <v>7620</v>
      </c>
      <c r="K2604" s="417" t="s">
        <v>7629</v>
      </c>
      <c r="L2604" s="417"/>
      <c r="M2604" s="417" t="s">
        <v>28840</v>
      </c>
    </row>
    <row r="2605" spans="1:13" x14ac:dyDescent="0.25">
      <c r="A2605" s="417" t="s">
        <v>3385</v>
      </c>
      <c r="B2605" s="417" t="s">
        <v>2627</v>
      </c>
      <c r="C2605" s="417" t="s">
        <v>7630</v>
      </c>
      <c r="D2605" s="417" t="s">
        <v>563</v>
      </c>
      <c r="E2605" s="423">
        <v>42.351531742657421</v>
      </c>
      <c r="F2605" s="423">
        <v>18.984915710448799</v>
      </c>
      <c r="G2605" s="422">
        <v>94634.223491679819</v>
      </c>
      <c r="H2605" s="417" t="s">
        <v>2616</v>
      </c>
      <c r="I2605" s="417" t="s">
        <v>1392</v>
      </c>
      <c r="J2605" s="417" t="s">
        <v>7620</v>
      </c>
      <c r="K2605" s="417" t="s">
        <v>7631</v>
      </c>
      <c r="L2605" s="417"/>
      <c r="M2605" s="417" t="s">
        <v>28840</v>
      </c>
    </row>
    <row r="2606" spans="1:13" x14ac:dyDescent="0.25">
      <c r="A2606" s="417" t="s">
        <v>3385</v>
      </c>
      <c r="B2606" s="417" t="s">
        <v>2627</v>
      </c>
      <c r="C2606" s="417" t="s">
        <v>7632</v>
      </c>
      <c r="D2606" s="417" t="s">
        <v>563</v>
      </c>
      <c r="E2606" s="423">
        <v>44.945741481891339</v>
      </c>
      <c r="F2606" s="423">
        <v>14.25604455765756</v>
      </c>
      <c r="G2606" s="422">
        <v>86717.500205684977</v>
      </c>
      <c r="H2606" s="417" t="s">
        <v>2616</v>
      </c>
      <c r="I2606" s="417" t="s">
        <v>1392</v>
      </c>
      <c r="J2606" s="417" t="s">
        <v>7620</v>
      </c>
      <c r="K2606" s="417" t="s">
        <v>7633</v>
      </c>
      <c r="L2606" s="417"/>
      <c r="M2606" s="417" t="s">
        <v>28840</v>
      </c>
    </row>
    <row r="2607" spans="1:13" x14ac:dyDescent="0.25">
      <c r="A2607" s="417" t="s">
        <v>3385</v>
      </c>
      <c r="B2607" s="417" t="s">
        <v>2627</v>
      </c>
      <c r="C2607" s="417" t="s">
        <v>7634</v>
      </c>
      <c r="D2607" s="417" t="s">
        <v>563</v>
      </c>
      <c r="E2607" s="423">
        <v>17.77018934821638</v>
      </c>
      <c r="F2607" s="423">
        <v>13.907020266877019</v>
      </c>
      <c r="G2607" s="422">
        <v>40961.158682830363</v>
      </c>
      <c r="H2607" s="417" t="s">
        <v>2616</v>
      </c>
      <c r="I2607" s="417" t="s">
        <v>1392</v>
      </c>
      <c r="J2607" s="417" t="s">
        <v>7620</v>
      </c>
      <c r="K2607" s="417" t="s">
        <v>7635</v>
      </c>
      <c r="L2607" s="417"/>
      <c r="M2607" s="417" t="s">
        <v>28840</v>
      </c>
    </row>
    <row r="2608" spans="1:13" x14ac:dyDescent="0.25">
      <c r="A2608" s="417" t="s">
        <v>3385</v>
      </c>
      <c r="B2608" s="417" t="s">
        <v>2627</v>
      </c>
      <c r="C2608" s="417" t="s">
        <v>7636</v>
      </c>
      <c r="D2608" s="417" t="s">
        <v>563</v>
      </c>
      <c r="E2608" s="423">
        <v>147.5273533540192</v>
      </c>
      <c r="F2608" s="423">
        <v>8.0063543651199485</v>
      </c>
      <c r="G2608" s="422">
        <v>291309.92827882612</v>
      </c>
      <c r="H2608" s="417" t="s">
        <v>2616</v>
      </c>
      <c r="I2608" s="417" t="s">
        <v>1392</v>
      </c>
      <c r="J2608" s="417" t="s">
        <v>7620</v>
      </c>
      <c r="K2608" s="417" t="s">
        <v>7637</v>
      </c>
      <c r="L2608" s="417"/>
      <c r="M2608" s="417" t="s">
        <v>28840</v>
      </c>
    </row>
    <row r="2609" spans="1:13" x14ac:dyDescent="0.25">
      <c r="A2609" s="417" t="s">
        <v>3385</v>
      </c>
      <c r="B2609" s="417" t="s">
        <v>2627</v>
      </c>
      <c r="C2609" s="417" t="s">
        <v>7638</v>
      </c>
      <c r="D2609" s="417" t="s">
        <v>563</v>
      </c>
      <c r="E2609" s="423">
        <v>152.0022027872628</v>
      </c>
      <c r="F2609" s="423">
        <v>8.1461197634506721</v>
      </c>
      <c r="G2609" s="422">
        <v>305942.36508102057</v>
      </c>
      <c r="H2609" s="417" t="s">
        <v>2616</v>
      </c>
      <c r="I2609" s="417" t="s">
        <v>1392</v>
      </c>
      <c r="J2609" s="417" t="s">
        <v>7620</v>
      </c>
      <c r="K2609" s="417" t="s">
        <v>7639</v>
      </c>
      <c r="L2609" s="417"/>
      <c r="M2609" s="417" t="s">
        <v>28840</v>
      </c>
    </row>
    <row r="2610" spans="1:13" x14ac:dyDescent="0.25">
      <c r="A2610" s="417" t="s">
        <v>3385</v>
      </c>
      <c r="B2610" s="417" t="s">
        <v>2627</v>
      </c>
      <c r="C2610" s="417" t="s">
        <v>7640</v>
      </c>
      <c r="D2610" s="417" t="s">
        <v>563</v>
      </c>
      <c r="E2610" s="423">
        <v>150.1427268520161</v>
      </c>
      <c r="F2610" s="423">
        <v>8.1437328686895718</v>
      </c>
      <c r="G2610" s="422">
        <v>297687.36924522411</v>
      </c>
      <c r="H2610" s="417" t="s">
        <v>2616</v>
      </c>
      <c r="I2610" s="417" t="s">
        <v>1392</v>
      </c>
      <c r="J2610" s="417" t="s">
        <v>7620</v>
      </c>
      <c r="K2610" s="417" t="s">
        <v>7641</v>
      </c>
      <c r="L2610" s="417"/>
      <c r="M2610" s="417" t="s">
        <v>28840</v>
      </c>
    </row>
    <row r="2611" spans="1:13" x14ac:dyDescent="0.25">
      <c r="A2611" s="417" t="s">
        <v>3385</v>
      </c>
      <c r="B2611" s="417" t="s">
        <v>2627</v>
      </c>
      <c r="C2611" s="417" t="s">
        <v>7642</v>
      </c>
      <c r="D2611" s="417" t="s">
        <v>563</v>
      </c>
      <c r="E2611" s="423">
        <v>158.84021585686551</v>
      </c>
      <c r="F2611" s="423">
        <v>8.1818257051990955</v>
      </c>
      <c r="G2611" s="422">
        <v>308125.0827044248</v>
      </c>
      <c r="H2611" s="417" t="s">
        <v>2616</v>
      </c>
      <c r="I2611" s="417" t="s">
        <v>1392</v>
      </c>
      <c r="J2611" s="417" t="s">
        <v>7620</v>
      </c>
      <c r="K2611" s="417" t="s">
        <v>7643</v>
      </c>
      <c r="L2611" s="417"/>
      <c r="M2611" s="417" t="s">
        <v>28840</v>
      </c>
    </row>
    <row r="2612" spans="1:13" x14ac:dyDescent="0.25">
      <c r="A2612" s="417" t="s">
        <v>3385</v>
      </c>
      <c r="B2612" s="417" t="s">
        <v>2627</v>
      </c>
      <c r="C2612" s="417" t="s">
        <v>7644</v>
      </c>
      <c r="D2612" s="417" t="s">
        <v>563</v>
      </c>
      <c r="E2612" s="423">
        <v>80.685230315279</v>
      </c>
      <c r="F2612" s="423">
        <v>22.165072947343599</v>
      </c>
      <c r="G2612" s="422">
        <v>162409.4684321754</v>
      </c>
      <c r="H2612" s="417" t="s">
        <v>2616</v>
      </c>
      <c r="I2612" s="417" t="s">
        <v>1392</v>
      </c>
      <c r="J2612" s="417" t="s">
        <v>7620</v>
      </c>
      <c r="K2612" s="417" t="s">
        <v>7645</v>
      </c>
      <c r="L2612" s="417"/>
      <c r="M2612" s="417" t="s">
        <v>28840</v>
      </c>
    </row>
    <row r="2613" spans="1:13" x14ac:dyDescent="0.25">
      <c r="A2613" s="417" t="s">
        <v>3385</v>
      </c>
      <c r="B2613" s="417" t="s">
        <v>2627</v>
      </c>
      <c r="C2613" s="417" t="s">
        <v>7646</v>
      </c>
      <c r="D2613" s="417" t="s">
        <v>563</v>
      </c>
      <c r="E2613" s="423">
        <v>35.054823792021928</v>
      </c>
      <c r="F2613" s="423">
        <v>24.528965455769839</v>
      </c>
      <c r="G2613" s="422">
        <v>77390.764796760457</v>
      </c>
      <c r="H2613" s="417" t="s">
        <v>2616</v>
      </c>
      <c r="I2613" s="417" t="s">
        <v>1392</v>
      </c>
      <c r="J2613" s="417" t="s">
        <v>7620</v>
      </c>
      <c r="K2613" s="417" t="s">
        <v>7647</v>
      </c>
      <c r="L2613" s="417"/>
      <c r="M2613" s="417" t="s">
        <v>28840</v>
      </c>
    </row>
    <row r="2614" spans="1:13" x14ac:dyDescent="0.25">
      <c r="A2614" s="417" t="s">
        <v>3385</v>
      </c>
      <c r="B2614" s="417" t="s">
        <v>2627</v>
      </c>
      <c r="C2614" s="417" t="s">
        <v>7648</v>
      </c>
      <c r="D2614" s="417" t="s">
        <v>563</v>
      </c>
      <c r="E2614" s="423">
        <v>96.57863626222904</v>
      </c>
      <c r="F2614" s="423">
        <v>17.154283459733399</v>
      </c>
      <c r="G2614" s="422">
        <v>184400.9164731731</v>
      </c>
      <c r="H2614" s="417" t="s">
        <v>2616</v>
      </c>
      <c r="I2614" s="417" t="s">
        <v>1392</v>
      </c>
      <c r="J2614" s="417" t="s">
        <v>7620</v>
      </c>
      <c r="K2614" s="417" t="s">
        <v>7649</v>
      </c>
      <c r="L2614" s="417"/>
      <c r="M2614" s="417" t="s">
        <v>28840</v>
      </c>
    </row>
    <row r="2615" spans="1:13" x14ac:dyDescent="0.25">
      <c r="A2615" s="417" t="s">
        <v>3385</v>
      </c>
      <c r="B2615" s="417" t="s">
        <v>2627</v>
      </c>
      <c r="C2615" s="417" t="s">
        <v>7650</v>
      </c>
      <c r="D2615" s="417" t="s">
        <v>563</v>
      </c>
      <c r="E2615" s="423">
        <v>50.948229732743428</v>
      </c>
      <c r="F2615" s="423">
        <v>19.518175968504131</v>
      </c>
      <c r="G2615" s="422">
        <v>99382.229625876469</v>
      </c>
      <c r="H2615" s="417" t="s">
        <v>2616</v>
      </c>
      <c r="I2615" s="417" t="s">
        <v>1392</v>
      </c>
      <c r="J2615" s="417" t="s">
        <v>7620</v>
      </c>
      <c r="K2615" s="417" t="s">
        <v>7651</v>
      </c>
      <c r="L2615" s="417"/>
      <c r="M2615" s="417" t="s">
        <v>28840</v>
      </c>
    </row>
    <row r="2616" spans="1:13" x14ac:dyDescent="0.25">
      <c r="A2616" s="417" t="s">
        <v>3385</v>
      </c>
      <c r="B2616" s="417" t="s">
        <v>2627</v>
      </c>
      <c r="C2616" s="417" t="s">
        <v>7652</v>
      </c>
      <c r="D2616" s="417" t="s">
        <v>563</v>
      </c>
      <c r="E2616" s="423">
        <v>71.038490785229243</v>
      </c>
      <c r="F2616" s="423">
        <v>16.834894480832471</v>
      </c>
      <c r="G2616" s="422">
        <v>141749.1072409543</v>
      </c>
      <c r="H2616" s="417" t="s">
        <v>2616</v>
      </c>
      <c r="I2616" s="417" t="s">
        <v>1392</v>
      </c>
      <c r="J2616" s="417" t="s">
        <v>7620</v>
      </c>
      <c r="K2616" s="417" t="s">
        <v>7653</v>
      </c>
      <c r="L2616" s="417"/>
      <c r="M2616" s="417" t="s">
        <v>28840</v>
      </c>
    </row>
    <row r="2617" spans="1:13" x14ac:dyDescent="0.25">
      <c r="A2617" s="417" t="s">
        <v>3385</v>
      </c>
      <c r="B2617" s="417" t="s">
        <v>2627</v>
      </c>
      <c r="C2617" s="417" t="s">
        <v>7654</v>
      </c>
      <c r="D2617" s="417" t="s">
        <v>563</v>
      </c>
      <c r="E2617" s="423">
        <v>25.408084247244432</v>
      </c>
      <c r="F2617" s="423">
        <v>19.1987869891496</v>
      </c>
      <c r="G2617" s="422">
        <v>56730.40350083368</v>
      </c>
      <c r="H2617" s="417" t="s">
        <v>2616</v>
      </c>
      <c r="I2617" s="417" t="s">
        <v>1392</v>
      </c>
      <c r="J2617" s="417" t="s">
        <v>7620</v>
      </c>
      <c r="K2617" s="417" t="s">
        <v>7655</v>
      </c>
      <c r="L2617" s="417"/>
      <c r="M2617" s="417" t="s">
        <v>28840</v>
      </c>
    </row>
    <row r="2618" spans="1:13" x14ac:dyDescent="0.25">
      <c r="A2618" s="417" t="s">
        <v>3385</v>
      </c>
      <c r="B2618" s="417" t="s">
        <v>2627</v>
      </c>
      <c r="C2618" s="417" t="s">
        <v>7656</v>
      </c>
      <c r="D2618" s="417" t="s">
        <v>563</v>
      </c>
      <c r="E2618" s="423">
        <v>169.31057745458369</v>
      </c>
      <c r="F2618" s="423">
        <v>6.4094328440793067</v>
      </c>
      <c r="G2618" s="422">
        <v>352740.47603005043</v>
      </c>
      <c r="H2618" s="417" t="s">
        <v>2616</v>
      </c>
      <c r="I2618" s="417" t="s">
        <v>1392</v>
      </c>
      <c r="J2618" s="417" t="s">
        <v>7620</v>
      </c>
      <c r="K2618" s="417" t="s">
        <v>7657</v>
      </c>
      <c r="L2618" s="417"/>
      <c r="M2618" s="417" t="s">
        <v>28840</v>
      </c>
    </row>
    <row r="2619" spans="1:13" x14ac:dyDescent="0.25">
      <c r="A2619" s="417" t="s">
        <v>3385</v>
      </c>
      <c r="B2619" s="417" t="s">
        <v>2627</v>
      </c>
      <c r="C2619" s="417" t="s">
        <v>7658</v>
      </c>
      <c r="D2619" s="417" t="s">
        <v>563</v>
      </c>
      <c r="E2619" s="423">
        <v>174.2115248814745</v>
      </c>
      <c r="F2619" s="423">
        <v>6.541863325821228</v>
      </c>
      <c r="G2619" s="422">
        <v>368871.27347641601</v>
      </c>
      <c r="H2619" s="417" t="s">
        <v>2616</v>
      </c>
      <c r="I2619" s="417" t="s">
        <v>1392</v>
      </c>
      <c r="J2619" s="417" t="s">
        <v>7620</v>
      </c>
      <c r="K2619" s="417" t="s">
        <v>7659</v>
      </c>
      <c r="L2619" s="417"/>
      <c r="M2619" s="417" t="s">
        <v>28840</v>
      </c>
    </row>
    <row r="2620" spans="1:13" x14ac:dyDescent="0.25">
      <c r="A2620" s="417" t="s">
        <v>3385</v>
      </c>
      <c r="B2620" s="417" t="s">
        <v>2627</v>
      </c>
      <c r="C2620" s="417" t="s">
        <v>7660</v>
      </c>
      <c r="D2620" s="417" t="s">
        <v>563</v>
      </c>
      <c r="E2620" s="423">
        <v>171.53843648581699</v>
      </c>
      <c r="F2620" s="423">
        <v>6.5111637215378382</v>
      </c>
      <c r="G2620" s="422">
        <v>358594.87199685408</v>
      </c>
      <c r="H2620" s="417" t="s">
        <v>2616</v>
      </c>
      <c r="I2620" s="417" t="s">
        <v>1392</v>
      </c>
      <c r="J2620" s="417" t="s">
        <v>7620</v>
      </c>
      <c r="K2620" s="417" t="s">
        <v>7661</v>
      </c>
      <c r="L2620" s="417"/>
      <c r="M2620" s="417" t="s">
        <v>28840</v>
      </c>
    </row>
    <row r="2621" spans="1:13" x14ac:dyDescent="0.25">
      <c r="A2621" s="417" t="s">
        <v>3385</v>
      </c>
      <c r="B2621" s="417" t="s">
        <v>2627</v>
      </c>
      <c r="C2621" s="417" t="s">
        <v>7662</v>
      </c>
      <c r="D2621" s="417" t="s">
        <v>563</v>
      </c>
      <c r="E2621" s="423">
        <v>181.57588496210661</v>
      </c>
      <c r="F2621" s="423">
        <v>6.517131965414837</v>
      </c>
      <c r="G2621" s="422">
        <v>369072.35120863072</v>
      </c>
      <c r="H2621" s="417" t="s">
        <v>2616</v>
      </c>
      <c r="I2621" s="417" t="s">
        <v>1392</v>
      </c>
      <c r="J2621" s="417" t="s">
        <v>7620</v>
      </c>
      <c r="K2621" s="417" t="s">
        <v>7663</v>
      </c>
      <c r="L2621" s="417"/>
      <c r="M2621" s="417" t="s">
        <v>28840</v>
      </c>
    </row>
    <row r="2622" spans="1:13" x14ac:dyDescent="0.25">
      <c r="A2622" s="417" t="s">
        <v>3385</v>
      </c>
      <c r="B2622" s="417" t="s">
        <v>2627</v>
      </c>
      <c r="C2622" s="417" t="s">
        <v>7664</v>
      </c>
      <c r="D2622" s="417" t="s">
        <v>563</v>
      </c>
      <c r="E2622" s="423">
        <v>188.9622668964783</v>
      </c>
      <c r="F2622" s="423">
        <v>9.0217732425745663</v>
      </c>
      <c r="G2622" s="422">
        <v>360317.88175189338</v>
      </c>
      <c r="H2622" s="417" t="s">
        <v>2616</v>
      </c>
      <c r="I2622" s="417" t="s">
        <v>1392</v>
      </c>
      <c r="J2622" s="417" t="s">
        <v>7620</v>
      </c>
      <c r="K2622" s="417" t="s">
        <v>7665</v>
      </c>
      <c r="L2622" s="417"/>
      <c r="M2622" s="417" t="s">
        <v>28840</v>
      </c>
    </row>
    <row r="2623" spans="1:13" x14ac:dyDescent="0.25">
      <c r="A2623" s="417" t="s">
        <v>3385</v>
      </c>
      <c r="B2623" s="417" t="s">
        <v>2627</v>
      </c>
      <c r="C2623" s="417" t="s">
        <v>7666</v>
      </c>
      <c r="D2623" s="417" t="s">
        <v>563</v>
      </c>
      <c r="E2623" s="423">
        <v>193.78783113143999</v>
      </c>
      <c r="F2623" s="423">
        <v>9.1667569322564137</v>
      </c>
      <c r="G2623" s="422">
        <v>376506.24891034188</v>
      </c>
      <c r="H2623" s="417" t="s">
        <v>2616</v>
      </c>
      <c r="I2623" s="417" t="s">
        <v>1392</v>
      </c>
      <c r="J2623" s="417" t="s">
        <v>7620</v>
      </c>
      <c r="K2623" s="417" t="s">
        <v>7667</v>
      </c>
      <c r="L2623" s="417"/>
      <c r="M2623" s="417" t="s">
        <v>28840</v>
      </c>
    </row>
    <row r="2624" spans="1:13" x14ac:dyDescent="0.25">
      <c r="A2624" s="417" t="s">
        <v>3385</v>
      </c>
      <c r="B2624" s="417" t="s">
        <v>2627</v>
      </c>
      <c r="C2624" s="417" t="s">
        <v>7668</v>
      </c>
      <c r="D2624" s="417" t="s">
        <v>563</v>
      </c>
      <c r="E2624" s="423">
        <v>192.20571352553509</v>
      </c>
      <c r="F2624" s="423">
        <v>9.1974429595313723</v>
      </c>
      <c r="G2624" s="422">
        <v>368066.16566802352</v>
      </c>
      <c r="H2624" s="417" t="s">
        <v>2616</v>
      </c>
      <c r="I2624" s="417" t="s">
        <v>1392</v>
      </c>
      <c r="J2624" s="417" t="s">
        <v>7620</v>
      </c>
      <c r="K2624" s="417" t="s">
        <v>7669</v>
      </c>
      <c r="L2624" s="417"/>
      <c r="M2624" s="417" t="s">
        <v>28840</v>
      </c>
    </row>
    <row r="2625" spans="1:13" x14ac:dyDescent="0.25">
      <c r="A2625" s="417" t="s">
        <v>3385</v>
      </c>
      <c r="B2625" s="417" t="s">
        <v>2627</v>
      </c>
      <c r="C2625" s="417" t="s">
        <v>7670</v>
      </c>
      <c r="D2625" s="417" t="s">
        <v>563</v>
      </c>
      <c r="E2625" s="423">
        <v>206.94590865146461</v>
      </c>
      <c r="F2625" s="423">
        <v>9.2533453755667878</v>
      </c>
      <c r="G2625" s="422">
        <v>385389.19327565108</v>
      </c>
      <c r="H2625" s="417" t="s">
        <v>2616</v>
      </c>
      <c r="I2625" s="417" t="s">
        <v>1392</v>
      </c>
      <c r="J2625" s="417" t="s">
        <v>7620</v>
      </c>
      <c r="K2625" s="417" t="s">
        <v>7671</v>
      </c>
      <c r="L2625" s="417"/>
      <c r="M2625" s="417" t="s">
        <v>28840</v>
      </c>
    </row>
    <row r="2626" spans="1:13" x14ac:dyDescent="0.25">
      <c r="A2626" s="417" t="s">
        <v>3385</v>
      </c>
      <c r="B2626" s="417" t="s">
        <v>2627</v>
      </c>
      <c r="C2626" s="417" t="s">
        <v>7672</v>
      </c>
      <c r="D2626" s="417" t="s">
        <v>563</v>
      </c>
      <c r="E2626" s="423">
        <v>72.901927665567271</v>
      </c>
      <c r="F2626" s="423">
        <v>22.326736493567729</v>
      </c>
      <c r="G2626" s="422">
        <v>146522.71647469391</v>
      </c>
      <c r="H2626" s="417" t="s">
        <v>2616</v>
      </c>
      <c r="I2626" s="417" t="s">
        <v>1392</v>
      </c>
      <c r="J2626" s="417" t="s">
        <v>7620</v>
      </c>
      <c r="K2626" s="417" t="s">
        <v>7673</v>
      </c>
      <c r="L2626" s="417"/>
      <c r="M2626" s="417" t="s">
        <v>28840</v>
      </c>
    </row>
    <row r="2627" spans="1:13" x14ac:dyDescent="0.25">
      <c r="A2627" s="417" t="s">
        <v>3385</v>
      </c>
      <c r="B2627" s="417" t="s">
        <v>2627</v>
      </c>
      <c r="C2627" s="417" t="s">
        <v>7674</v>
      </c>
      <c r="D2627" s="417" t="s">
        <v>563</v>
      </c>
      <c r="E2627" s="423">
        <v>100.5020443306413</v>
      </c>
      <c r="F2627" s="423">
        <v>25.559175276127931</v>
      </c>
      <c r="G2627" s="422">
        <v>212152.0511539749</v>
      </c>
      <c r="H2627" s="417" t="s">
        <v>2616</v>
      </c>
      <c r="I2627" s="417" t="s">
        <v>1392</v>
      </c>
      <c r="J2627" s="417" t="s">
        <v>7620</v>
      </c>
      <c r="K2627" s="417" t="s">
        <v>7675</v>
      </c>
      <c r="L2627" s="417"/>
      <c r="M2627" s="417" t="s">
        <v>28840</v>
      </c>
    </row>
    <row r="2628" spans="1:13" x14ac:dyDescent="0.25">
      <c r="A2628" s="417" t="s">
        <v>3385</v>
      </c>
      <c r="B2628" s="417" t="s">
        <v>2627</v>
      </c>
      <c r="C2628" s="417" t="s">
        <v>7676</v>
      </c>
      <c r="D2628" s="417" t="s">
        <v>563</v>
      </c>
      <c r="E2628" s="423">
        <v>51.17220240332859</v>
      </c>
      <c r="F2628" s="423">
        <v>24.48638944263222</v>
      </c>
      <c r="G2628" s="422">
        <v>112327.8805057725</v>
      </c>
      <c r="H2628" s="417" t="s">
        <v>2616</v>
      </c>
      <c r="I2628" s="417" t="s">
        <v>1392</v>
      </c>
      <c r="J2628" s="417" t="s">
        <v>7620</v>
      </c>
      <c r="K2628" s="417" t="s">
        <v>7677</v>
      </c>
      <c r="L2628" s="417"/>
      <c r="M2628" s="417" t="s">
        <v>28840</v>
      </c>
    </row>
    <row r="2629" spans="1:13" x14ac:dyDescent="0.25">
      <c r="A2629" s="417" t="s">
        <v>3385</v>
      </c>
      <c r="B2629" s="417" t="s">
        <v>3655</v>
      </c>
      <c r="C2629" s="417" t="s">
        <v>7678</v>
      </c>
      <c r="D2629" s="417" t="s">
        <v>88</v>
      </c>
      <c r="E2629" s="423">
        <v>0.43081041482200572</v>
      </c>
      <c r="F2629" s="423">
        <v>1.3556313977404149E-2</v>
      </c>
      <c r="G2629" s="422">
        <v>680.03836602672834</v>
      </c>
      <c r="H2629" s="417" t="s">
        <v>2616</v>
      </c>
      <c r="I2629" s="417" t="s">
        <v>1392</v>
      </c>
      <c r="J2629" s="417" t="s">
        <v>4549</v>
      </c>
      <c r="K2629" s="417" t="s">
        <v>7679</v>
      </c>
      <c r="L2629" s="417"/>
      <c r="M2629" s="417" t="s">
        <v>28840</v>
      </c>
    </row>
    <row r="2630" spans="1:13" x14ac:dyDescent="0.25">
      <c r="A2630" s="417" t="s">
        <v>3385</v>
      </c>
      <c r="B2630" s="417" t="s">
        <v>3655</v>
      </c>
      <c r="C2630" s="417" t="s">
        <v>7680</v>
      </c>
      <c r="D2630" s="417" t="s">
        <v>83</v>
      </c>
      <c r="E2630" s="423">
        <v>75.880771628947045</v>
      </c>
      <c r="F2630" s="423">
        <v>131.39859518368081</v>
      </c>
      <c r="G2630" s="422">
        <v>193941.85674577829</v>
      </c>
      <c r="H2630" s="417" t="s">
        <v>2616</v>
      </c>
      <c r="I2630" s="417" t="s">
        <v>1392</v>
      </c>
      <c r="J2630" s="417" t="s">
        <v>3657</v>
      </c>
      <c r="K2630" s="417" t="s">
        <v>7681</v>
      </c>
      <c r="L2630" s="417"/>
      <c r="M2630" s="417" t="s">
        <v>28840</v>
      </c>
    </row>
    <row r="2631" spans="1:13" x14ac:dyDescent="0.25">
      <c r="A2631" s="417" t="s">
        <v>3385</v>
      </c>
      <c r="B2631" s="417" t="s">
        <v>3655</v>
      </c>
      <c r="C2631" s="417" t="s">
        <v>7682</v>
      </c>
      <c r="D2631" s="417" t="s">
        <v>83</v>
      </c>
      <c r="E2631" s="423">
        <v>65.389147900386249</v>
      </c>
      <c r="F2631" s="423">
        <v>103.5543057583282</v>
      </c>
      <c r="G2631" s="422">
        <v>176895.5269853652</v>
      </c>
      <c r="H2631" s="417" t="s">
        <v>2616</v>
      </c>
      <c r="I2631" s="417" t="s">
        <v>1392</v>
      </c>
      <c r="J2631" s="417" t="s">
        <v>3657</v>
      </c>
      <c r="K2631" s="417" t="s">
        <v>7683</v>
      </c>
      <c r="L2631" s="417"/>
      <c r="M2631" s="417" t="s">
        <v>28840</v>
      </c>
    </row>
    <row r="2632" spans="1:13" x14ac:dyDescent="0.25">
      <c r="A2632" s="417" t="s">
        <v>3385</v>
      </c>
      <c r="B2632" s="417" t="s">
        <v>3655</v>
      </c>
      <c r="C2632" s="417" t="s">
        <v>7684</v>
      </c>
      <c r="D2632" s="417" t="s">
        <v>88</v>
      </c>
      <c r="E2632" s="423">
        <v>2.9251697726009159E-2</v>
      </c>
      <c r="F2632" s="423">
        <v>2.9230136338331061E-2</v>
      </c>
      <c r="G2632" s="422">
        <v>107.08601063546671</v>
      </c>
      <c r="H2632" s="417" t="s">
        <v>2616</v>
      </c>
      <c r="I2632" s="417" t="s">
        <v>1392</v>
      </c>
      <c r="J2632" s="417" t="s">
        <v>7685</v>
      </c>
      <c r="K2632" s="417" t="s">
        <v>7686</v>
      </c>
      <c r="L2632" s="417"/>
      <c r="M2632" s="417" t="s">
        <v>28840</v>
      </c>
    </row>
    <row r="2633" spans="1:13" x14ac:dyDescent="0.25">
      <c r="A2633" s="417" t="s">
        <v>3385</v>
      </c>
      <c r="B2633" s="417" t="s">
        <v>3655</v>
      </c>
      <c r="C2633" s="417" t="s">
        <v>7687</v>
      </c>
      <c r="D2633" s="417" t="s">
        <v>83</v>
      </c>
      <c r="E2633" s="423">
        <v>49.039526715901943</v>
      </c>
      <c r="F2633" s="423">
        <v>49.709791359882622</v>
      </c>
      <c r="G2633" s="422">
        <v>130491.8750228353</v>
      </c>
      <c r="H2633" s="417" t="s">
        <v>2616</v>
      </c>
      <c r="I2633" s="417" t="s">
        <v>1392</v>
      </c>
      <c r="J2633" s="417" t="s">
        <v>3657</v>
      </c>
      <c r="K2633" s="417" t="s">
        <v>7688</v>
      </c>
      <c r="L2633" s="417"/>
      <c r="M2633" s="417" t="s">
        <v>28840</v>
      </c>
    </row>
    <row r="2634" spans="1:13" x14ac:dyDescent="0.25">
      <c r="A2634" s="417" t="s">
        <v>3385</v>
      </c>
      <c r="B2634" s="417" t="s">
        <v>3655</v>
      </c>
      <c r="C2634" s="417" t="s">
        <v>7689</v>
      </c>
      <c r="D2634" s="417" t="s">
        <v>88</v>
      </c>
      <c r="E2634" s="423">
        <v>1.3489252891498771E-2</v>
      </c>
      <c r="F2634" s="423">
        <v>1.3290860097646989E-2</v>
      </c>
      <c r="G2634" s="422">
        <v>37.002232727338509</v>
      </c>
      <c r="H2634" s="417" t="s">
        <v>2616</v>
      </c>
      <c r="I2634" s="417" t="s">
        <v>1392</v>
      </c>
      <c r="J2634" s="417" t="s">
        <v>7685</v>
      </c>
      <c r="K2634" s="417" t="s">
        <v>7690</v>
      </c>
      <c r="L2634" s="417"/>
      <c r="M2634" s="417" t="s">
        <v>28840</v>
      </c>
    </row>
    <row r="2635" spans="1:13" x14ac:dyDescent="0.25">
      <c r="A2635" s="417" t="s">
        <v>3385</v>
      </c>
      <c r="B2635" s="417" t="s">
        <v>2437</v>
      </c>
      <c r="C2635" s="417" t="s">
        <v>7691</v>
      </c>
      <c r="D2635" s="417" t="s">
        <v>4315</v>
      </c>
      <c r="E2635" s="423">
        <v>1437.5387433801179</v>
      </c>
      <c r="F2635" s="423">
        <v>85.444068523890493</v>
      </c>
      <c r="G2635" s="422">
        <v>2957493.7851012801</v>
      </c>
      <c r="H2635" s="417" t="s">
        <v>2616</v>
      </c>
      <c r="I2635" s="417" t="s">
        <v>1392</v>
      </c>
      <c r="J2635" s="417" t="s">
        <v>4944</v>
      </c>
      <c r="K2635" s="417" t="s">
        <v>7692</v>
      </c>
      <c r="L2635" s="417"/>
      <c r="M2635" s="417" t="s">
        <v>28840</v>
      </c>
    </row>
    <row r="2636" spans="1:13" x14ac:dyDescent="0.25">
      <c r="A2636" s="417" t="s">
        <v>3385</v>
      </c>
      <c r="B2636" s="417" t="s">
        <v>2627</v>
      </c>
      <c r="C2636" s="417" t="s">
        <v>7693</v>
      </c>
      <c r="D2636" s="417" t="s">
        <v>4315</v>
      </c>
      <c r="E2636" s="423">
        <v>1455.083676886833</v>
      </c>
      <c r="F2636" s="423">
        <v>87.53520028116759</v>
      </c>
      <c r="G2636" s="422">
        <v>2989365.9592048372</v>
      </c>
      <c r="H2636" s="417" t="s">
        <v>2616</v>
      </c>
      <c r="I2636" s="417" t="s">
        <v>1392</v>
      </c>
      <c r="J2636" s="417" t="s">
        <v>3676</v>
      </c>
      <c r="K2636" s="417" t="s">
        <v>7694</v>
      </c>
      <c r="L2636" s="417"/>
      <c r="M2636" s="417" t="s">
        <v>28840</v>
      </c>
    </row>
    <row r="2637" spans="1:13" x14ac:dyDescent="0.25">
      <c r="A2637" s="417" t="s">
        <v>3385</v>
      </c>
      <c r="B2637" s="417" t="s">
        <v>2627</v>
      </c>
      <c r="C2637" s="417" t="s">
        <v>7695</v>
      </c>
      <c r="D2637" s="417" t="s">
        <v>563</v>
      </c>
      <c r="E2637" s="423">
        <v>58.352906758508759</v>
      </c>
      <c r="F2637" s="423">
        <v>2.7354341204418451</v>
      </c>
      <c r="G2637" s="422">
        <v>138344.7781268984</v>
      </c>
      <c r="H2637" s="417" t="s">
        <v>2616</v>
      </c>
      <c r="I2637" s="417" t="s">
        <v>1392</v>
      </c>
      <c r="J2637" s="417" t="s">
        <v>3706</v>
      </c>
      <c r="K2637" s="417" t="s">
        <v>7696</v>
      </c>
      <c r="L2637" s="417"/>
      <c r="M2637" s="417" t="s">
        <v>28840</v>
      </c>
    </row>
    <row r="2638" spans="1:13" x14ac:dyDescent="0.25">
      <c r="A2638" s="417" t="s">
        <v>3385</v>
      </c>
      <c r="B2638" s="417" t="s">
        <v>2627</v>
      </c>
      <c r="C2638" s="417" t="s">
        <v>7697</v>
      </c>
      <c r="D2638" s="417" t="s">
        <v>563</v>
      </c>
      <c r="E2638" s="423">
        <v>58.352906759327723</v>
      </c>
      <c r="F2638" s="423">
        <v>2.7354341204370982</v>
      </c>
      <c r="G2638" s="422">
        <v>138344.64518800151</v>
      </c>
      <c r="H2638" s="417" t="s">
        <v>2616</v>
      </c>
      <c r="I2638" s="417" t="s">
        <v>1392</v>
      </c>
      <c r="J2638" s="417" t="s">
        <v>3706</v>
      </c>
      <c r="K2638" s="417" t="s">
        <v>7698</v>
      </c>
      <c r="L2638" s="417"/>
      <c r="M2638" s="417" t="s">
        <v>28840</v>
      </c>
    </row>
    <row r="2639" spans="1:13" x14ac:dyDescent="0.25">
      <c r="A2639" s="417" t="s">
        <v>3385</v>
      </c>
      <c r="B2639" s="417" t="s">
        <v>3655</v>
      </c>
      <c r="C2639" s="417" t="s">
        <v>7699</v>
      </c>
      <c r="D2639" s="417" t="s">
        <v>88</v>
      </c>
      <c r="E2639" s="423">
        <v>8.9718739225936886E-2</v>
      </c>
      <c r="F2639" s="423">
        <v>2.045207456066685E-2</v>
      </c>
      <c r="G2639" s="422">
        <v>427.4550318817594</v>
      </c>
      <c r="H2639" s="417" t="s">
        <v>2616</v>
      </c>
      <c r="I2639" s="417" t="s">
        <v>1392</v>
      </c>
      <c r="J2639" s="417" t="s">
        <v>4479</v>
      </c>
      <c r="K2639" s="417" t="s">
        <v>7700</v>
      </c>
      <c r="L2639" s="417"/>
      <c r="M2639" s="417" t="s">
        <v>28840</v>
      </c>
    </row>
    <row r="2640" spans="1:13" x14ac:dyDescent="0.25">
      <c r="A2640" s="417" t="s">
        <v>3385</v>
      </c>
      <c r="B2640" s="417" t="s">
        <v>2627</v>
      </c>
      <c r="C2640" s="417" t="s">
        <v>7701</v>
      </c>
      <c r="D2640" s="417" t="s">
        <v>83</v>
      </c>
      <c r="E2640" s="423">
        <v>2.254121561823268E-2</v>
      </c>
      <c r="F2640" s="423">
        <v>2.6137724531166663E-4</v>
      </c>
      <c r="G2640" s="422">
        <v>31.719415880331368</v>
      </c>
      <c r="H2640" s="417" t="s">
        <v>2616</v>
      </c>
      <c r="I2640" s="417" t="s">
        <v>1392</v>
      </c>
      <c r="J2640" s="417" t="s">
        <v>7702</v>
      </c>
      <c r="K2640" s="417" t="s">
        <v>7703</v>
      </c>
      <c r="L2640" s="417"/>
      <c r="M2640" s="417" t="s">
        <v>28840</v>
      </c>
    </row>
    <row r="2641" spans="1:13" x14ac:dyDescent="0.25">
      <c r="A2641" s="417" t="s">
        <v>3385</v>
      </c>
      <c r="B2641" s="417" t="s">
        <v>2627</v>
      </c>
      <c r="C2641" s="417" t="s">
        <v>7704</v>
      </c>
      <c r="D2641" s="417" t="s">
        <v>88</v>
      </c>
      <c r="E2641" s="423">
        <v>4.5009074960619957</v>
      </c>
      <c r="F2641" s="423">
        <v>0.1199651230929815</v>
      </c>
      <c r="G2641" s="422">
        <v>8197.6956277041772</v>
      </c>
      <c r="H2641" s="417" t="s">
        <v>2616</v>
      </c>
      <c r="I2641" s="417" t="s">
        <v>1392</v>
      </c>
      <c r="J2641" s="417" t="s">
        <v>3396</v>
      </c>
      <c r="K2641" s="417" t="s">
        <v>7705</v>
      </c>
      <c r="L2641" s="417"/>
      <c r="M2641" s="417" t="s">
        <v>28840</v>
      </c>
    </row>
    <row r="2642" spans="1:13" x14ac:dyDescent="0.25">
      <c r="A2642" s="417" t="s">
        <v>3385</v>
      </c>
      <c r="B2642" s="417" t="s">
        <v>2623</v>
      </c>
      <c r="C2642" s="417" t="s">
        <v>7706</v>
      </c>
      <c r="D2642" s="417" t="s">
        <v>88</v>
      </c>
      <c r="E2642" s="423">
        <v>0</v>
      </c>
      <c r="F2642" s="423">
        <v>0</v>
      </c>
      <c r="G2642" s="422">
        <v>0</v>
      </c>
      <c r="H2642" s="417" t="s">
        <v>2616</v>
      </c>
      <c r="I2642" s="417" t="s">
        <v>1392</v>
      </c>
      <c r="J2642" s="417" t="s">
        <v>7707</v>
      </c>
      <c r="K2642" s="417" t="s">
        <v>7708</v>
      </c>
      <c r="L2642" s="417"/>
      <c r="M2642" s="417" t="s">
        <v>28840</v>
      </c>
    </row>
    <row r="2643" spans="1:13" x14ac:dyDescent="0.25">
      <c r="A2643" s="417" t="s">
        <v>3385</v>
      </c>
      <c r="B2643" s="417" t="s">
        <v>3655</v>
      </c>
      <c r="C2643" s="417" t="s">
        <v>7709</v>
      </c>
      <c r="D2643" s="417" t="s">
        <v>563</v>
      </c>
      <c r="E2643" s="423">
        <v>115.97866397440271</v>
      </c>
      <c r="F2643" s="423">
        <v>7.074171386487893</v>
      </c>
      <c r="G2643" s="422">
        <v>267856.7106752749</v>
      </c>
      <c r="H2643" s="417" t="s">
        <v>2616</v>
      </c>
      <c r="I2643" s="417" t="s">
        <v>1392</v>
      </c>
      <c r="J2643" s="417" t="s">
        <v>3657</v>
      </c>
      <c r="K2643" s="417" t="s">
        <v>7710</v>
      </c>
      <c r="L2643" s="417"/>
      <c r="M2643" s="417" t="s">
        <v>28840</v>
      </c>
    </row>
    <row r="2644" spans="1:13" x14ac:dyDescent="0.25">
      <c r="A2644" s="417" t="s">
        <v>3385</v>
      </c>
      <c r="B2644" s="417" t="s">
        <v>2627</v>
      </c>
      <c r="C2644" s="417" t="s">
        <v>7711</v>
      </c>
      <c r="D2644" s="417" t="s">
        <v>88</v>
      </c>
      <c r="E2644" s="423">
        <v>4.5009074967193392</v>
      </c>
      <c r="F2644" s="423">
        <v>0.11996512322382299</v>
      </c>
      <c r="G2644" s="422">
        <v>8197.6956306517659</v>
      </c>
      <c r="H2644" s="417" t="s">
        <v>2616</v>
      </c>
      <c r="I2644" s="417" t="s">
        <v>1392</v>
      </c>
      <c r="J2644" s="417" t="s">
        <v>3396</v>
      </c>
      <c r="K2644" s="417" t="s">
        <v>7712</v>
      </c>
      <c r="L2644" s="417"/>
      <c r="M2644" s="417" t="s">
        <v>28840</v>
      </c>
    </row>
    <row r="2645" spans="1:13" x14ac:dyDescent="0.25">
      <c r="A2645" s="417" t="s">
        <v>3385</v>
      </c>
      <c r="B2645" s="417" t="s">
        <v>2627</v>
      </c>
      <c r="C2645" s="417" t="s">
        <v>7713</v>
      </c>
      <c r="D2645" s="417" t="s">
        <v>563</v>
      </c>
      <c r="E2645" s="423">
        <v>9.7840182391423092</v>
      </c>
      <c r="F2645" s="423">
        <v>0.32240507173903032</v>
      </c>
      <c r="G2645" s="422">
        <v>17408.86095120927</v>
      </c>
      <c r="H2645" s="417" t="s">
        <v>2616</v>
      </c>
      <c r="I2645" s="417" t="s">
        <v>1392</v>
      </c>
      <c r="J2645" s="417" t="s">
        <v>7714</v>
      </c>
      <c r="K2645" s="417" t="s">
        <v>7715</v>
      </c>
      <c r="L2645" s="417"/>
      <c r="M2645" s="417" t="s">
        <v>28840</v>
      </c>
    </row>
    <row r="2646" spans="1:13" x14ac:dyDescent="0.25">
      <c r="A2646" s="417" t="s">
        <v>3385</v>
      </c>
      <c r="B2646" s="417" t="s">
        <v>2627</v>
      </c>
      <c r="C2646" s="417" t="s">
        <v>7716</v>
      </c>
      <c r="D2646" s="417" t="s">
        <v>563</v>
      </c>
      <c r="E2646" s="423">
        <v>12.67904458863705</v>
      </c>
      <c r="F2646" s="423">
        <v>0.42598588594892028</v>
      </c>
      <c r="G2646" s="422">
        <v>21976.342726914689</v>
      </c>
      <c r="H2646" s="417" t="s">
        <v>2616</v>
      </c>
      <c r="I2646" s="417" t="s">
        <v>1392</v>
      </c>
      <c r="J2646" s="417" t="s">
        <v>7714</v>
      </c>
      <c r="K2646" s="417" t="s">
        <v>7717</v>
      </c>
      <c r="L2646" s="417"/>
      <c r="M2646" s="417" t="s">
        <v>28840</v>
      </c>
    </row>
    <row r="2647" spans="1:13" x14ac:dyDescent="0.25">
      <c r="A2647" s="417" t="s">
        <v>3385</v>
      </c>
      <c r="B2647" s="417" t="s">
        <v>2627</v>
      </c>
      <c r="C2647" s="417" t="s">
        <v>7718</v>
      </c>
      <c r="D2647" s="417" t="s">
        <v>563</v>
      </c>
      <c r="E2647" s="423">
        <v>17.02158411865981</v>
      </c>
      <c r="F2647" s="423">
        <v>0.58135710809014829</v>
      </c>
      <c r="G2647" s="422">
        <v>28827.565380447959</v>
      </c>
      <c r="H2647" s="417" t="s">
        <v>2616</v>
      </c>
      <c r="I2647" s="417" t="s">
        <v>1392</v>
      </c>
      <c r="J2647" s="417" t="s">
        <v>7714</v>
      </c>
      <c r="K2647" s="417" t="s">
        <v>7719</v>
      </c>
      <c r="L2647" s="417"/>
      <c r="M2647" s="417" t="s">
        <v>28840</v>
      </c>
    </row>
    <row r="2648" spans="1:13" x14ac:dyDescent="0.25">
      <c r="A2648" s="417" t="s">
        <v>3385</v>
      </c>
      <c r="B2648" s="417" t="s">
        <v>2627</v>
      </c>
      <c r="C2648" s="417" t="s">
        <v>7720</v>
      </c>
      <c r="D2648" s="417" t="s">
        <v>563</v>
      </c>
      <c r="E2648" s="423">
        <v>20.666321286480109</v>
      </c>
      <c r="F2648" s="423">
        <v>4.0364784384326926</v>
      </c>
      <c r="G2648" s="422">
        <v>81969.930251955011</v>
      </c>
      <c r="H2648" s="417" t="s">
        <v>2616</v>
      </c>
      <c r="I2648" s="417" t="s">
        <v>1392</v>
      </c>
      <c r="J2648" s="417" t="s">
        <v>7721</v>
      </c>
      <c r="K2648" s="417" t="s">
        <v>7722</v>
      </c>
      <c r="L2648" s="417"/>
      <c r="M2648" s="417" t="s">
        <v>28840</v>
      </c>
    </row>
    <row r="2649" spans="1:13" x14ac:dyDescent="0.25">
      <c r="A2649" s="417" t="s">
        <v>3385</v>
      </c>
      <c r="B2649" s="417" t="s">
        <v>2627</v>
      </c>
      <c r="C2649" s="417" t="s">
        <v>7723</v>
      </c>
      <c r="D2649" s="417" t="s">
        <v>563</v>
      </c>
      <c r="E2649" s="423">
        <v>1.440148899960618</v>
      </c>
      <c r="F2649" s="423">
        <v>8.7424826528303724E-3</v>
      </c>
      <c r="G2649" s="422">
        <v>1604.685252295372</v>
      </c>
      <c r="H2649" s="417" t="s">
        <v>2616</v>
      </c>
      <c r="I2649" s="417" t="s">
        <v>1392</v>
      </c>
      <c r="J2649" s="417" t="s">
        <v>7721</v>
      </c>
      <c r="K2649" s="417" t="s">
        <v>7724</v>
      </c>
      <c r="L2649" s="417"/>
      <c r="M2649" s="417" t="s">
        <v>28840</v>
      </c>
    </row>
    <row r="2650" spans="1:13" x14ac:dyDescent="0.25">
      <c r="A2650" s="417" t="s">
        <v>3385</v>
      </c>
      <c r="B2650" s="417" t="s">
        <v>2627</v>
      </c>
      <c r="C2650" s="417" t="s">
        <v>7725</v>
      </c>
      <c r="D2650" s="417" t="s">
        <v>563</v>
      </c>
      <c r="E2650" s="423">
        <v>8.8308942071501573</v>
      </c>
      <c r="F2650" s="423">
        <v>0.72574661590516476</v>
      </c>
      <c r="G2650" s="422">
        <v>34234.476311152612</v>
      </c>
      <c r="H2650" s="417" t="s">
        <v>2616</v>
      </c>
      <c r="I2650" s="417" t="s">
        <v>1392</v>
      </c>
      <c r="J2650" s="417" t="s">
        <v>7721</v>
      </c>
      <c r="K2650" s="417" t="s">
        <v>7726</v>
      </c>
      <c r="L2650" s="417"/>
      <c r="M2650" s="417" t="s">
        <v>28840</v>
      </c>
    </row>
    <row r="2651" spans="1:13" x14ac:dyDescent="0.25">
      <c r="A2651" s="417" t="s">
        <v>3385</v>
      </c>
      <c r="B2651" s="417" t="s">
        <v>2627</v>
      </c>
      <c r="C2651" s="417" t="s">
        <v>7727</v>
      </c>
      <c r="D2651" s="417" t="s">
        <v>563</v>
      </c>
      <c r="E2651" s="423">
        <v>3.3783301664556231</v>
      </c>
      <c r="F2651" s="423">
        <v>1.1170248641481849E-2</v>
      </c>
      <c r="G2651" s="422">
        <v>3568.1840461365791</v>
      </c>
      <c r="H2651" s="417" t="s">
        <v>2616</v>
      </c>
      <c r="I2651" s="417" t="s">
        <v>1392</v>
      </c>
      <c r="J2651" s="417" t="s">
        <v>7721</v>
      </c>
      <c r="K2651" s="417" t="s">
        <v>7728</v>
      </c>
      <c r="L2651" s="417"/>
      <c r="M2651" s="417" t="s">
        <v>28840</v>
      </c>
    </row>
    <row r="2652" spans="1:13" x14ac:dyDescent="0.25">
      <c r="A2652" s="417" t="s">
        <v>3385</v>
      </c>
      <c r="B2652" s="417" t="s">
        <v>2627</v>
      </c>
      <c r="C2652" s="417" t="s">
        <v>7729</v>
      </c>
      <c r="D2652" s="417" t="s">
        <v>563</v>
      </c>
      <c r="E2652" s="423">
        <v>5.7526952172364867</v>
      </c>
      <c r="F2652" s="423">
        <v>0.2136299915866916</v>
      </c>
      <c r="G2652" s="422">
        <v>12103.25901157981</v>
      </c>
      <c r="H2652" s="417" t="s">
        <v>2616</v>
      </c>
      <c r="I2652" s="417" t="s">
        <v>1392</v>
      </c>
      <c r="J2652" s="417" t="s">
        <v>7721</v>
      </c>
      <c r="K2652" s="417" t="s">
        <v>7730</v>
      </c>
      <c r="L2652" s="417"/>
      <c r="M2652" s="417" t="s">
        <v>28840</v>
      </c>
    </row>
    <row r="2653" spans="1:13" x14ac:dyDescent="0.25">
      <c r="A2653" s="417" t="s">
        <v>3385</v>
      </c>
      <c r="B2653" s="417" t="s">
        <v>2627</v>
      </c>
      <c r="C2653" s="417" t="s">
        <v>7731</v>
      </c>
      <c r="D2653" s="417" t="s">
        <v>563</v>
      </c>
      <c r="E2653" s="423">
        <v>2.455800723466572</v>
      </c>
      <c r="F2653" s="423">
        <v>1.983699117395518E-3</v>
      </c>
      <c r="G2653" s="422">
        <v>2576.7882849508451</v>
      </c>
      <c r="H2653" s="417" t="s">
        <v>2616</v>
      </c>
      <c r="I2653" s="417" t="s">
        <v>1392</v>
      </c>
      <c r="J2653" s="417" t="s">
        <v>7721</v>
      </c>
      <c r="K2653" s="417" t="s">
        <v>7732</v>
      </c>
      <c r="L2653" s="417"/>
      <c r="M2653" s="417" t="s">
        <v>28840</v>
      </c>
    </row>
    <row r="2654" spans="1:13" x14ac:dyDescent="0.25">
      <c r="A2654" s="417" t="s">
        <v>3385</v>
      </c>
      <c r="B2654" s="417" t="s">
        <v>2627</v>
      </c>
      <c r="C2654" s="417" t="s">
        <v>7733</v>
      </c>
      <c r="D2654" s="417" t="s">
        <v>563</v>
      </c>
      <c r="E2654" s="423">
        <v>10.311443032394379</v>
      </c>
      <c r="F2654" s="423">
        <v>0.47114913167150718</v>
      </c>
      <c r="G2654" s="422">
        <v>24087.45286213162</v>
      </c>
      <c r="H2654" s="417" t="s">
        <v>2616</v>
      </c>
      <c r="I2654" s="417" t="s">
        <v>1392</v>
      </c>
      <c r="J2654" s="417" t="s">
        <v>7721</v>
      </c>
      <c r="K2654" s="417" t="s">
        <v>7734</v>
      </c>
      <c r="L2654" s="417"/>
      <c r="M2654" s="417" t="s">
        <v>28840</v>
      </c>
    </row>
    <row r="2655" spans="1:13" x14ac:dyDescent="0.25">
      <c r="A2655" s="417" t="s">
        <v>3385</v>
      </c>
      <c r="B2655" s="417" t="s">
        <v>2627</v>
      </c>
      <c r="C2655" s="417" t="s">
        <v>7735</v>
      </c>
      <c r="D2655" s="417" t="s">
        <v>563</v>
      </c>
      <c r="E2655" s="423">
        <v>1.527525103010591</v>
      </c>
      <c r="F2655" s="423">
        <v>2.2337425907365139E-3</v>
      </c>
      <c r="G2655" s="422">
        <v>1648.6827780043241</v>
      </c>
      <c r="H2655" s="417" t="s">
        <v>2616</v>
      </c>
      <c r="I2655" s="417" t="s">
        <v>1392</v>
      </c>
      <c r="J2655" s="417" t="s">
        <v>7721</v>
      </c>
      <c r="K2655" s="417" t="s">
        <v>7736</v>
      </c>
      <c r="L2655" s="417"/>
      <c r="M2655" s="417" t="s">
        <v>28840</v>
      </c>
    </row>
    <row r="2656" spans="1:13" x14ac:dyDescent="0.25">
      <c r="A2656" s="417" t="s">
        <v>3385</v>
      </c>
      <c r="B2656" s="417" t="s">
        <v>2627</v>
      </c>
      <c r="C2656" s="417" t="s">
        <v>7737</v>
      </c>
      <c r="D2656" s="417" t="s">
        <v>989</v>
      </c>
      <c r="E2656" s="423">
        <v>1.2960356894878029</v>
      </c>
      <c r="F2656" s="423">
        <v>4.4226426495511173E-2</v>
      </c>
      <c r="G2656" s="422">
        <v>4391.3990572076546</v>
      </c>
      <c r="H2656" s="417" t="s">
        <v>2616</v>
      </c>
      <c r="I2656" s="417" t="s">
        <v>1392</v>
      </c>
      <c r="J2656" s="417" t="s">
        <v>3667</v>
      </c>
      <c r="K2656" s="417" t="s">
        <v>7738</v>
      </c>
      <c r="L2656" s="417"/>
      <c r="M2656" s="417" t="s">
        <v>28840</v>
      </c>
    </row>
    <row r="2657" spans="1:13" x14ac:dyDescent="0.25">
      <c r="A2657" s="417" t="s">
        <v>3385</v>
      </c>
      <c r="B2657" s="417" t="s">
        <v>2627</v>
      </c>
      <c r="C2657" s="417" t="s">
        <v>7739</v>
      </c>
      <c r="D2657" s="417" t="s">
        <v>989</v>
      </c>
      <c r="E2657" s="423">
        <v>95630961.635455415</v>
      </c>
      <c r="F2657" s="423">
        <v>22830037.684939191</v>
      </c>
      <c r="G2657" s="422">
        <v>229653845113.73831</v>
      </c>
      <c r="H2657" s="417" t="s">
        <v>2616</v>
      </c>
      <c r="I2657" s="417" t="s">
        <v>1392</v>
      </c>
      <c r="J2657" s="417" t="s">
        <v>4297</v>
      </c>
      <c r="K2657" s="417" t="s">
        <v>7740</v>
      </c>
      <c r="L2657" s="417"/>
      <c r="M2657" s="417" t="s">
        <v>28840</v>
      </c>
    </row>
    <row r="2658" spans="1:13" x14ac:dyDescent="0.25">
      <c r="A2658" s="417" t="s">
        <v>3385</v>
      </c>
      <c r="B2658" s="417" t="s">
        <v>2627</v>
      </c>
      <c r="C2658" s="417" t="s">
        <v>7741</v>
      </c>
      <c r="D2658" s="417" t="s">
        <v>88</v>
      </c>
      <c r="E2658" s="423">
        <v>2.1465268679513329E-4</v>
      </c>
      <c r="F2658" s="423">
        <v>1.710831156540422E-5</v>
      </c>
      <c r="G2658" s="422">
        <v>0.70038162780453794</v>
      </c>
      <c r="H2658" s="417" t="s">
        <v>2616</v>
      </c>
      <c r="I2658" s="417" t="s">
        <v>1392</v>
      </c>
      <c r="J2658" s="417" t="s">
        <v>3772</v>
      </c>
      <c r="K2658" s="417" t="s">
        <v>7742</v>
      </c>
      <c r="L2658" s="417"/>
      <c r="M2658" s="417" t="s">
        <v>28840</v>
      </c>
    </row>
    <row r="2659" spans="1:13" x14ac:dyDescent="0.25">
      <c r="A2659" s="417" t="s">
        <v>3385</v>
      </c>
      <c r="B2659" s="417" t="s">
        <v>2627</v>
      </c>
      <c r="C2659" s="417" t="s">
        <v>7743</v>
      </c>
      <c r="D2659" s="417" t="s">
        <v>88</v>
      </c>
      <c r="E2659" s="423">
        <v>2.0032709651373259E-4</v>
      </c>
      <c r="F2659" s="423">
        <v>1.6850825964665938E-5</v>
      </c>
      <c r="G2659" s="422">
        <v>0.6709144607929024</v>
      </c>
      <c r="H2659" s="417" t="s">
        <v>2616</v>
      </c>
      <c r="I2659" s="417" t="s">
        <v>1392</v>
      </c>
      <c r="J2659" s="417" t="s">
        <v>3772</v>
      </c>
      <c r="K2659" s="417" t="s">
        <v>7744</v>
      </c>
      <c r="L2659" s="417"/>
      <c r="M2659" s="417" t="s">
        <v>28840</v>
      </c>
    </row>
    <row r="2660" spans="1:13" x14ac:dyDescent="0.25">
      <c r="A2660" s="417" t="s">
        <v>3385</v>
      </c>
      <c r="B2660" s="417" t="s">
        <v>2627</v>
      </c>
      <c r="C2660" s="417" t="s">
        <v>7745</v>
      </c>
      <c r="D2660" s="417" t="s">
        <v>88</v>
      </c>
      <c r="E2660" s="423">
        <v>2.0592105895496241E-4</v>
      </c>
      <c r="F2660" s="423">
        <v>1.8585121094516659E-5</v>
      </c>
      <c r="G2660" s="422">
        <v>0.59130299094051741</v>
      </c>
      <c r="H2660" s="417" t="s">
        <v>2616</v>
      </c>
      <c r="I2660" s="417" t="s">
        <v>1392</v>
      </c>
      <c r="J2660" s="417" t="s">
        <v>3772</v>
      </c>
      <c r="K2660" s="417" t="s">
        <v>7746</v>
      </c>
      <c r="L2660" s="417"/>
      <c r="M2660" s="417" t="s">
        <v>28840</v>
      </c>
    </row>
    <row r="2661" spans="1:13" x14ac:dyDescent="0.25">
      <c r="A2661" s="417" t="s">
        <v>3385</v>
      </c>
      <c r="B2661" s="417" t="s">
        <v>2627</v>
      </c>
      <c r="C2661" s="417" t="s">
        <v>7747</v>
      </c>
      <c r="D2661" s="417" t="s">
        <v>88</v>
      </c>
      <c r="E2661" s="423">
        <v>2.860295814044195E-3</v>
      </c>
      <c r="F2661" s="423">
        <v>1.5970002419603979E-4</v>
      </c>
      <c r="G2661" s="422">
        <v>6.1233903633065454</v>
      </c>
      <c r="H2661" s="417" t="s">
        <v>2616</v>
      </c>
      <c r="I2661" s="417" t="s">
        <v>1392</v>
      </c>
      <c r="J2661" s="417" t="s">
        <v>3772</v>
      </c>
      <c r="K2661" s="417" t="s">
        <v>7748</v>
      </c>
      <c r="L2661" s="417"/>
      <c r="M2661" s="417" t="s">
        <v>28840</v>
      </c>
    </row>
    <row r="2662" spans="1:13" x14ac:dyDescent="0.25">
      <c r="A2662" s="417" t="s">
        <v>3385</v>
      </c>
      <c r="B2662" s="417" t="s">
        <v>2627</v>
      </c>
      <c r="C2662" s="417" t="s">
        <v>7749</v>
      </c>
      <c r="D2662" s="417" t="s">
        <v>88</v>
      </c>
      <c r="E2662" s="423">
        <v>3.4972530952372591E-3</v>
      </c>
      <c r="F2662" s="423">
        <v>2.0430506830768739E-4</v>
      </c>
      <c r="G2662" s="422">
        <v>8.3571640637882751</v>
      </c>
      <c r="H2662" s="417" t="s">
        <v>2616</v>
      </c>
      <c r="I2662" s="417" t="s">
        <v>1392</v>
      </c>
      <c r="J2662" s="417" t="s">
        <v>3772</v>
      </c>
      <c r="K2662" s="417" t="s">
        <v>7750</v>
      </c>
      <c r="L2662" s="417"/>
      <c r="M2662" s="417" t="s">
        <v>28840</v>
      </c>
    </row>
    <row r="2663" spans="1:13" x14ac:dyDescent="0.25">
      <c r="A2663" s="417" t="s">
        <v>3385</v>
      </c>
      <c r="B2663" s="417" t="s">
        <v>2627</v>
      </c>
      <c r="C2663" s="417" t="s">
        <v>7751</v>
      </c>
      <c r="D2663" s="417" t="s">
        <v>88</v>
      </c>
      <c r="E2663" s="423">
        <v>5.167320054458598E-4</v>
      </c>
      <c r="F2663" s="423">
        <v>3.8316336889488268E-5</v>
      </c>
      <c r="G2663" s="422">
        <v>0.95087785092236365</v>
      </c>
      <c r="H2663" s="417" t="s">
        <v>2616</v>
      </c>
      <c r="I2663" s="417" t="s">
        <v>1392</v>
      </c>
      <c r="J2663" s="417" t="s">
        <v>3772</v>
      </c>
      <c r="K2663" s="417" t="s">
        <v>7752</v>
      </c>
      <c r="L2663" s="417"/>
      <c r="M2663" s="417" t="s">
        <v>28840</v>
      </c>
    </row>
    <row r="2664" spans="1:13" x14ac:dyDescent="0.25">
      <c r="A2664" s="417" t="s">
        <v>3385</v>
      </c>
      <c r="B2664" s="417" t="s">
        <v>2627</v>
      </c>
      <c r="C2664" s="417" t="s">
        <v>7753</v>
      </c>
      <c r="D2664" s="417" t="s">
        <v>88</v>
      </c>
      <c r="E2664" s="423">
        <v>8.1538521037978397E-3</v>
      </c>
      <c r="F2664" s="423">
        <v>3.5641902831556931E-4</v>
      </c>
      <c r="G2664" s="422">
        <v>17.80429260256609</v>
      </c>
      <c r="H2664" s="417" t="s">
        <v>2616</v>
      </c>
      <c r="I2664" s="417" t="s">
        <v>1392</v>
      </c>
      <c r="J2664" s="417" t="s">
        <v>3772</v>
      </c>
      <c r="K2664" s="417" t="s">
        <v>7754</v>
      </c>
      <c r="L2664" s="417"/>
      <c r="M2664" s="417" t="s">
        <v>28840</v>
      </c>
    </row>
    <row r="2665" spans="1:13" x14ac:dyDescent="0.25">
      <c r="A2665" s="417" t="s">
        <v>3385</v>
      </c>
      <c r="B2665" s="417" t="s">
        <v>2627</v>
      </c>
      <c r="C2665" s="417" t="s">
        <v>7755</v>
      </c>
      <c r="D2665" s="417" t="s">
        <v>88</v>
      </c>
      <c r="E2665" s="423">
        <v>1.648946420189487E-4</v>
      </c>
      <c r="F2665" s="423">
        <v>1.4627678764093901E-5</v>
      </c>
      <c r="G2665" s="422">
        <v>0.45847139889793492</v>
      </c>
      <c r="H2665" s="417" t="s">
        <v>2616</v>
      </c>
      <c r="I2665" s="417" t="s">
        <v>1392</v>
      </c>
      <c r="J2665" s="417" t="s">
        <v>3772</v>
      </c>
      <c r="K2665" s="417" t="s">
        <v>7756</v>
      </c>
      <c r="L2665" s="417"/>
      <c r="M2665" s="417" t="s">
        <v>28840</v>
      </c>
    </row>
    <row r="2666" spans="1:13" x14ac:dyDescent="0.25">
      <c r="A2666" s="417" t="s">
        <v>3385</v>
      </c>
      <c r="B2666" s="417" t="s">
        <v>2437</v>
      </c>
      <c r="C2666" s="417" t="s">
        <v>7757</v>
      </c>
      <c r="D2666" s="417" t="s">
        <v>989</v>
      </c>
      <c r="E2666" s="423">
        <v>69.439917177465887</v>
      </c>
      <c r="F2666" s="423">
        <v>5.2980858870095018</v>
      </c>
      <c r="G2666" s="422">
        <v>142941.53904724951</v>
      </c>
      <c r="H2666" s="417" t="s">
        <v>2616</v>
      </c>
      <c r="I2666" s="417" t="s">
        <v>1392</v>
      </c>
      <c r="J2666" s="417" t="s">
        <v>3871</v>
      </c>
      <c r="K2666" s="417" t="s">
        <v>7758</v>
      </c>
      <c r="L2666" s="417"/>
      <c r="M2666" s="417" t="s">
        <v>28840</v>
      </c>
    </row>
    <row r="2667" spans="1:13" x14ac:dyDescent="0.25">
      <c r="A2667" s="417" t="s">
        <v>3385</v>
      </c>
      <c r="B2667" s="417" t="s">
        <v>2437</v>
      </c>
      <c r="C2667" s="417" t="s">
        <v>7759</v>
      </c>
      <c r="D2667" s="417" t="s">
        <v>989</v>
      </c>
      <c r="E2667" s="423">
        <v>106.2585673226134</v>
      </c>
      <c r="F2667" s="423">
        <v>6.3346378383957571</v>
      </c>
      <c r="G2667" s="422">
        <v>246786.64315348471</v>
      </c>
      <c r="H2667" s="417" t="s">
        <v>2616</v>
      </c>
      <c r="I2667" s="417" t="s">
        <v>1392</v>
      </c>
      <c r="J2667" s="417" t="s">
        <v>2638</v>
      </c>
      <c r="K2667" s="417" t="s">
        <v>7760</v>
      </c>
      <c r="L2667" s="417"/>
      <c r="M2667" s="417" t="s">
        <v>28840</v>
      </c>
    </row>
    <row r="2668" spans="1:13" x14ac:dyDescent="0.25">
      <c r="A2668" s="417" t="s">
        <v>3385</v>
      </c>
      <c r="B2668" s="417" t="s">
        <v>2437</v>
      </c>
      <c r="C2668" s="417" t="s">
        <v>7761</v>
      </c>
      <c r="D2668" s="417" t="s">
        <v>989</v>
      </c>
      <c r="E2668" s="423">
        <v>135.11137700401551</v>
      </c>
      <c r="F2668" s="423">
        <v>7.1268525638268923</v>
      </c>
      <c r="G2668" s="422">
        <v>302274.91538548481</v>
      </c>
      <c r="H2668" s="417" t="s">
        <v>2616</v>
      </c>
      <c r="I2668" s="417" t="s">
        <v>1392</v>
      </c>
      <c r="J2668" s="417" t="s">
        <v>2638</v>
      </c>
      <c r="K2668" s="417" t="s">
        <v>7762</v>
      </c>
      <c r="L2668" s="417"/>
      <c r="M2668" s="417" t="s">
        <v>28840</v>
      </c>
    </row>
    <row r="2669" spans="1:13" x14ac:dyDescent="0.25">
      <c r="A2669" s="417" t="s">
        <v>3385</v>
      </c>
      <c r="B2669" s="417" t="s">
        <v>2437</v>
      </c>
      <c r="C2669" s="417" t="s">
        <v>7763</v>
      </c>
      <c r="D2669" s="417" t="s">
        <v>989</v>
      </c>
      <c r="E2669" s="423">
        <v>93.593867866094328</v>
      </c>
      <c r="F2669" s="423">
        <v>13.97245180155865</v>
      </c>
      <c r="G2669" s="422">
        <v>195485.99864912889</v>
      </c>
      <c r="H2669" s="417" t="s">
        <v>2616</v>
      </c>
      <c r="I2669" s="417" t="s">
        <v>1392</v>
      </c>
      <c r="J2669" s="417" t="s">
        <v>3871</v>
      </c>
      <c r="K2669" s="417" t="s">
        <v>7764</v>
      </c>
      <c r="L2669" s="417"/>
      <c r="M2669" s="417" t="s">
        <v>28840</v>
      </c>
    </row>
    <row r="2670" spans="1:13" x14ac:dyDescent="0.25">
      <c r="A2670" s="417" t="s">
        <v>3385</v>
      </c>
      <c r="B2670" s="417" t="s">
        <v>3405</v>
      </c>
      <c r="C2670" s="417" t="s">
        <v>7765</v>
      </c>
      <c r="D2670" s="417" t="s">
        <v>989</v>
      </c>
      <c r="E2670" s="423">
        <v>30713.888069454952</v>
      </c>
      <c r="F2670" s="423">
        <v>769.57917503278406</v>
      </c>
      <c r="G2670" s="422">
        <v>130303683.0177424</v>
      </c>
      <c r="H2670" s="417" t="s">
        <v>2616</v>
      </c>
      <c r="I2670" s="417" t="s">
        <v>1392</v>
      </c>
      <c r="J2670" s="417" t="s">
        <v>3407</v>
      </c>
      <c r="K2670" s="417" t="s">
        <v>7766</v>
      </c>
      <c r="L2670" s="417"/>
      <c r="M2670" s="417" t="s">
        <v>28840</v>
      </c>
    </row>
    <row r="2671" spans="1:13" x14ac:dyDescent="0.25">
      <c r="A2671" s="417" t="s">
        <v>3385</v>
      </c>
      <c r="B2671" s="417" t="s">
        <v>3405</v>
      </c>
      <c r="C2671" s="417" t="s">
        <v>7767</v>
      </c>
      <c r="D2671" s="417" t="s">
        <v>989</v>
      </c>
      <c r="E2671" s="423">
        <v>2388.2018992239182</v>
      </c>
      <c r="F2671" s="423">
        <v>60.316575383241059</v>
      </c>
      <c r="G2671" s="422">
        <v>10207465.41076413</v>
      </c>
      <c r="H2671" s="417" t="s">
        <v>2616</v>
      </c>
      <c r="I2671" s="417" t="s">
        <v>1392</v>
      </c>
      <c r="J2671" s="417" t="s">
        <v>3407</v>
      </c>
      <c r="K2671" s="417" t="s">
        <v>7768</v>
      </c>
      <c r="L2671" s="417"/>
      <c r="M2671" s="417" t="s">
        <v>28840</v>
      </c>
    </row>
    <row r="2672" spans="1:13" x14ac:dyDescent="0.25">
      <c r="A2672" s="417" t="s">
        <v>3385</v>
      </c>
      <c r="B2672" s="417" t="s">
        <v>3405</v>
      </c>
      <c r="C2672" s="417" t="s">
        <v>7769</v>
      </c>
      <c r="D2672" s="417" t="s">
        <v>989</v>
      </c>
      <c r="E2672" s="423">
        <v>2709.4633509577402</v>
      </c>
      <c r="F2672" s="423">
        <v>65.936582871802386</v>
      </c>
      <c r="G2672" s="422">
        <v>11007607.576974791</v>
      </c>
      <c r="H2672" s="417" t="s">
        <v>2616</v>
      </c>
      <c r="I2672" s="417" t="s">
        <v>1392</v>
      </c>
      <c r="J2672" s="417" t="s">
        <v>3407</v>
      </c>
      <c r="K2672" s="417" t="s">
        <v>7770</v>
      </c>
      <c r="L2672" s="417"/>
      <c r="M2672" s="417" t="s">
        <v>28840</v>
      </c>
    </row>
    <row r="2673" spans="1:13" x14ac:dyDescent="0.25">
      <c r="A2673" s="417" t="s">
        <v>3385</v>
      </c>
      <c r="B2673" s="417" t="s">
        <v>3405</v>
      </c>
      <c r="C2673" s="417" t="s">
        <v>7771</v>
      </c>
      <c r="D2673" s="417" t="s">
        <v>989</v>
      </c>
      <c r="E2673" s="423">
        <v>3509.8697918726102</v>
      </c>
      <c r="F2673" s="423">
        <v>83.243608881869946</v>
      </c>
      <c r="G2673" s="422">
        <v>13439374.38015586</v>
      </c>
      <c r="H2673" s="417" t="s">
        <v>2616</v>
      </c>
      <c r="I2673" s="417" t="s">
        <v>1392</v>
      </c>
      <c r="J2673" s="417" t="s">
        <v>3407</v>
      </c>
      <c r="K2673" s="417" t="s">
        <v>7772</v>
      </c>
      <c r="L2673" s="417"/>
      <c r="M2673" s="417" t="s">
        <v>28840</v>
      </c>
    </row>
    <row r="2674" spans="1:13" x14ac:dyDescent="0.25">
      <c r="A2674" s="417" t="s">
        <v>3385</v>
      </c>
      <c r="B2674" s="417" t="s">
        <v>3405</v>
      </c>
      <c r="C2674" s="417" t="s">
        <v>7773</v>
      </c>
      <c r="D2674" s="417" t="s">
        <v>989</v>
      </c>
      <c r="E2674" s="423">
        <v>3551.934953369429</v>
      </c>
      <c r="F2674" s="423">
        <v>84.300654340745368</v>
      </c>
      <c r="G2674" s="422">
        <v>13584016.08890705</v>
      </c>
      <c r="H2674" s="417" t="s">
        <v>2616</v>
      </c>
      <c r="I2674" s="417" t="s">
        <v>1392</v>
      </c>
      <c r="J2674" s="417" t="s">
        <v>3407</v>
      </c>
      <c r="K2674" s="417" t="s">
        <v>7774</v>
      </c>
      <c r="L2674" s="417"/>
      <c r="M2674" s="417" t="s">
        <v>28840</v>
      </c>
    </row>
    <row r="2675" spans="1:13" x14ac:dyDescent="0.25">
      <c r="A2675" s="417" t="s">
        <v>3385</v>
      </c>
      <c r="B2675" s="417" t="s">
        <v>3405</v>
      </c>
      <c r="C2675" s="417" t="s">
        <v>7775</v>
      </c>
      <c r="D2675" s="417" t="s">
        <v>989</v>
      </c>
      <c r="E2675" s="423">
        <v>27266.482891009458</v>
      </c>
      <c r="F2675" s="423">
        <v>1161.1546570466039</v>
      </c>
      <c r="G2675" s="422">
        <v>104903772.7820954</v>
      </c>
      <c r="H2675" s="417" t="s">
        <v>2616</v>
      </c>
      <c r="I2675" s="417" t="s">
        <v>1392</v>
      </c>
      <c r="J2675" s="417" t="s">
        <v>3407</v>
      </c>
      <c r="K2675" s="417" t="s">
        <v>7776</v>
      </c>
      <c r="L2675" s="417"/>
      <c r="M2675" s="417" t="s">
        <v>28840</v>
      </c>
    </row>
    <row r="2676" spans="1:13" x14ac:dyDescent="0.25">
      <c r="A2676" s="417" t="s">
        <v>3385</v>
      </c>
      <c r="B2676" s="417" t="s">
        <v>3405</v>
      </c>
      <c r="C2676" s="417" t="s">
        <v>7777</v>
      </c>
      <c r="D2676" s="417" t="s">
        <v>989</v>
      </c>
      <c r="E2676" s="423">
        <v>5836.6001563596637</v>
      </c>
      <c r="F2676" s="423">
        <v>147.68390017488761</v>
      </c>
      <c r="G2676" s="422">
        <v>24886394.046831001</v>
      </c>
      <c r="H2676" s="417" t="s">
        <v>2616</v>
      </c>
      <c r="I2676" s="417" t="s">
        <v>1392</v>
      </c>
      <c r="J2676" s="417" t="s">
        <v>3407</v>
      </c>
      <c r="K2676" s="417" t="s">
        <v>7778</v>
      </c>
      <c r="L2676" s="417"/>
      <c r="M2676" s="417" t="s">
        <v>28840</v>
      </c>
    </row>
    <row r="2677" spans="1:13" x14ac:dyDescent="0.25">
      <c r="A2677" s="417" t="s">
        <v>3385</v>
      </c>
      <c r="B2677" s="417" t="s">
        <v>3405</v>
      </c>
      <c r="C2677" s="417" t="s">
        <v>7779</v>
      </c>
      <c r="D2677" s="417" t="s">
        <v>989</v>
      </c>
      <c r="E2677" s="423">
        <v>604.04942468101206</v>
      </c>
      <c r="F2677" s="423">
        <v>13.983364760734659</v>
      </c>
      <c r="G2677" s="422">
        <v>2480547.4116837252</v>
      </c>
      <c r="H2677" s="417" t="s">
        <v>2616</v>
      </c>
      <c r="I2677" s="417" t="s">
        <v>1392</v>
      </c>
      <c r="J2677" s="417" t="s">
        <v>3407</v>
      </c>
      <c r="K2677" s="417" t="s">
        <v>7780</v>
      </c>
      <c r="L2677" s="417"/>
      <c r="M2677" s="417" t="s">
        <v>28840</v>
      </c>
    </row>
    <row r="2678" spans="1:13" x14ac:dyDescent="0.25">
      <c r="A2678" s="417" t="s">
        <v>3385</v>
      </c>
      <c r="B2678" s="417" t="s">
        <v>2627</v>
      </c>
      <c r="C2678" s="417" t="s">
        <v>7781</v>
      </c>
      <c r="D2678" s="417" t="s">
        <v>989</v>
      </c>
      <c r="E2678" s="423">
        <v>125.4137741918863</v>
      </c>
      <c r="F2678" s="423">
        <v>3.1360235393646958</v>
      </c>
      <c r="G2678" s="422">
        <v>506078.05529559078</v>
      </c>
      <c r="H2678" s="417" t="s">
        <v>2616</v>
      </c>
      <c r="I2678" s="417" t="s">
        <v>1392</v>
      </c>
      <c r="J2678" s="417" t="s">
        <v>3433</v>
      </c>
      <c r="K2678" s="417" t="s">
        <v>7782</v>
      </c>
      <c r="L2678" s="417"/>
      <c r="M2678" s="417" t="s">
        <v>28840</v>
      </c>
    </row>
    <row r="2679" spans="1:13" x14ac:dyDescent="0.25">
      <c r="A2679" s="417" t="s">
        <v>3385</v>
      </c>
      <c r="B2679" s="417" t="s">
        <v>2437</v>
      </c>
      <c r="C2679" s="417" t="s">
        <v>7783</v>
      </c>
      <c r="D2679" s="417" t="s">
        <v>88</v>
      </c>
      <c r="E2679" s="423">
        <v>2.8563658435292161</v>
      </c>
      <c r="F2679" s="423">
        <v>6.3050387593019758E-2</v>
      </c>
      <c r="G2679" s="422">
        <v>7789.5772454675925</v>
      </c>
      <c r="H2679" s="417" t="s">
        <v>2616</v>
      </c>
      <c r="I2679" s="417" t="s">
        <v>1392</v>
      </c>
      <c r="J2679" s="417" t="s">
        <v>2638</v>
      </c>
      <c r="K2679" s="417" t="s">
        <v>7784</v>
      </c>
      <c r="L2679" s="417"/>
      <c r="M2679" s="417" t="s">
        <v>28840</v>
      </c>
    </row>
    <row r="2680" spans="1:13" x14ac:dyDescent="0.25">
      <c r="A2680" s="417" t="s">
        <v>3385</v>
      </c>
      <c r="B2680" s="417" t="s">
        <v>2437</v>
      </c>
      <c r="C2680" s="417" t="s">
        <v>7785</v>
      </c>
      <c r="D2680" s="417" t="s">
        <v>88</v>
      </c>
      <c r="E2680" s="423">
        <v>6.4680851316406773</v>
      </c>
      <c r="F2680" s="423">
        <v>0.1827837670032719</v>
      </c>
      <c r="G2680" s="422">
        <v>16090.953927323581</v>
      </c>
      <c r="H2680" s="417" t="s">
        <v>2616</v>
      </c>
      <c r="I2680" s="417" t="s">
        <v>1392</v>
      </c>
      <c r="J2680" s="417" t="s">
        <v>4342</v>
      </c>
      <c r="K2680" s="417" t="s">
        <v>7786</v>
      </c>
      <c r="L2680" s="417"/>
      <c r="M2680" s="417" t="s">
        <v>28840</v>
      </c>
    </row>
    <row r="2681" spans="1:13" x14ac:dyDescent="0.25">
      <c r="A2681" s="417" t="s">
        <v>3385</v>
      </c>
      <c r="B2681" s="417" t="s">
        <v>2437</v>
      </c>
      <c r="C2681" s="417" t="s">
        <v>7787</v>
      </c>
      <c r="D2681" s="417" t="s">
        <v>88</v>
      </c>
      <c r="E2681" s="423">
        <v>7.5724085874656453</v>
      </c>
      <c r="F2681" s="423">
        <v>0.25729741164720299</v>
      </c>
      <c r="G2681" s="422">
        <v>19071.150259735208</v>
      </c>
      <c r="H2681" s="417" t="s">
        <v>2616</v>
      </c>
      <c r="I2681" s="417" t="s">
        <v>1392</v>
      </c>
      <c r="J2681" s="417" t="s">
        <v>4342</v>
      </c>
      <c r="K2681" s="417" t="s">
        <v>7788</v>
      </c>
      <c r="L2681" s="417"/>
      <c r="M2681" s="417" t="s">
        <v>28840</v>
      </c>
    </row>
    <row r="2682" spans="1:13" x14ac:dyDescent="0.25">
      <c r="A2682" s="417" t="s">
        <v>3385</v>
      </c>
      <c r="B2682" s="417" t="s">
        <v>3405</v>
      </c>
      <c r="C2682" s="417" t="s">
        <v>7789</v>
      </c>
      <c r="D2682" s="417" t="s">
        <v>989</v>
      </c>
      <c r="E2682" s="423">
        <v>5732.8383574157051</v>
      </c>
      <c r="F2682" s="423">
        <v>289.79707219611112</v>
      </c>
      <c r="G2682" s="422">
        <v>9472556.5238923263</v>
      </c>
      <c r="H2682" s="417" t="s">
        <v>2616</v>
      </c>
      <c r="I2682" s="417" t="s">
        <v>1392</v>
      </c>
      <c r="J2682" s="417" t="s">
        <v>3588</v>
      </c>
      <c r="K2682" s="417" t="s">
        <v>7790</v>
      </c>
      <c r="L2682" s="417"/>
      <c r="M2682" s="417" t="s">
        <v>28840</v>
      </c>
    </row>
    <row r="2683" spans="1:13" x14ac:dyDescent="0.25">
      <c r="A2683" s="417" t="s">
        <v>3385</v>
      </c>
      <c r="B2683" s="417" t="s">
        <v>3405</v>
      </c>
      <c r="C2683" s="417" t="s">
        <v>7791</v>
      </c>
      <c r="D2683" s="417" t="s">
        <v>989</v>
      </c>
      <c r="E2683" s="423">
        <v>364.15380395452729</v>
      </c>
      <c r="F2683" s="423">
        <v>11.958850060110921</v>
      </c>
      <c r="G2683" s="422">
        <v>697780.02670118434</v>
      </c>
      <c r="H2683" s="417" t="s">
        <v>2616</v>
      </c>
      <c r="I2683" s="417" t="s">
        <v>1392</v>
      </c>
      <c r="J2683" s="417" t="s">
        <v>3588</v>
      </c>
      <c r="K2683" s="417" t="s">
        <v>7792</v>
      </c>
      <c r="L2683" s="417"/>
      <c r="M2683" s="417" t="s">
        <v>28840</v>
      </c>
    </row>
    <row r="2684" spans="1:13" x14ac:dyDescent="0.25">
      <c r="A2684" s="417" t="s">
        <v>3385</v>
      </c>
      <c r="B2684" s="417" t="s">
        <v>2437</v>
      </c>
      <c r="C2684" s="417" t="s">
        <v>7793</v>
      </c>
      <c r="D2684" s="417" t="s">
        <v>989</v>
      </c>
      <c r="E2684" s="423">
        <v>465.63419196659379</v>
      </c>
      <c r="F2684" s="423">
        <v>15.764085454441959</v>
      </c>
      <c r="G2684" s="422">
        <v>1232675.459227703</v>
      </c>
      <c r="H2684" s="417" t="s">
        <v>2616</v>
      </c>
      <c r="I2684" s="417" t="s">
        <v>1392</v>
      </c>
      <c r="J2684" s="417" t="s">
        <v>2638</v>
      </c>
      <c r="K2684" s="417" t="s">
        <v>7794</v>
      </c>
      <c r="L2684" s="417"/>
      <c r="M2684" s="417" t="s">
        <v>28840</v>
      </c>
    </row>
    <row r="2685" spans="1:13" x14ac:dyDescent="0.25">
      <c r="A2685" s="417" t="s">
        <v>3385</v>
      </c>
      <c r="B2685" s="417" t="s">
        <v>3405</v>
      </c>
      <c r="C2685" s="417" t="s">
        <v>7795</v>
      </c>
      <c r="D2685" s="417" t="s">
        <v>989</v>
      </c>
      <c r="E2685" s="423">
        <v>379.36936476390707</v>
      </c>
      <c r="F2685" s="423">
        <v>15.41473713331888</v>
      </c>
      <c r="G2685" s="422">
        <v>1127610.6678953881</v>
      </c>
      <c r="H2685" s="417" t="s">
        <v>2616</v>
      </c>
      <c r="I2685" s="417" t="s">
        <v>1392</v>
      </c>
      <c r="J2685" s="417" t="s">
        <v>4326</v>
      </c>
      <c r="K2685" s="417" t="s">
        <v>7796</v>
      </c>
      <c r="L2685" s="417"/>
      <c r="M2685" s="417" t="s">
        <v>28840</v>
      </c>
    </row>
    <row r="2686" spans="1:13" x14ac:dyDescent="0.25">
      <c r="A2686" s="417" t="s">
        <v>3385</v>
      </c>
      <c r="B2686" s="417" t="s">
        <v>3405</v>
      </c>
      <c r="C2686" s="417" t="s">
        <v>7797</v>
      </c>
      <c r="D2686" s="417" t="s">
        <v>88</v>
      </c>
      <c r="E2686" s="423">
        <v>2.3710585298255991</v>
      </c>
      <c r="F2686" s="423">
        <v>9.6342107082014627E-2</v>
      </c>
      <c r="G2686" s="422">
        <v>7047.5666736584099</v>
      </c>
      <c r="H2686" s="417" t="s">
        <v>2616</v>
      </c>
      <c r="I2686" s="417" t="s">
        <v>1392</v>
      </c>
      <c r="J2686" s="417" t="s">
        <v>4326</v>
      </c>
      <c r="K2686" s="417" t="s">
        <v>7798</v>
      </c>
      <c r="L2686" s="417"/>
      <c r="M2686" s="417" t="s">
        <v>28840</v>
      </c>
    </row>
    <row r="2687" spans="1:13" x14ac:dyDescent="0.25">
      <c r="A2687" s="417" t="s">
        <v>3385</v>
      </c>
      <c r="B2687" s="417" t="s">
        <v>2437</v>
      </c>
      <c r="C2687" s="417" t="s">
        <v>7799</v>
      </c>
      <c r="D2687" s="417" t="s">
        <v>989</v>
      </c>
      <c r="E2687" s="423">
        <v>211.51763361968889</v>
      </c>
      <c r="F2687" s="423">
        <v>12.811381704706321</v>
      </c>
      <c r="G2687" s="422">
        <v>402218.28906532569</v>
      </c>
      <c r="H2687" s="417" t="s">
        <v>2616</v>
      </c>
      <c r="I2687" s="417" t="s">
        <v>1392</v>
      </c>
      <c r="J2687" s="417" t="s">
        <v>4167</v>
      </c>
      <c r="K2687" s="417" t="s">
        <v>7800</v>
      </c>
      <c r="L2687" s="417"/>
      <c r="M2687" s="417" t="s">
        <v>28840</v>
      </c>
    </row>
    <row r="2688" spans="1:13" x14ac:dyDescent="0.25">
      <c r="A2688" s="417" t="s">
        <v>3385</v>
      </c>
      <c r="B2688" s="417" t="s">
        <v>3405</v>
      </c>
      <c r="C2688" s="417" t="s">
        <v>7801</v>
      </c>
      <c r="D2688" s="417" t="s">
        <v>224</v>
      </c>
      <c r="E2688" s="423">
        <v>0</v>
      </c>
      <c r="F2688" s="423">
        <v>0</v>
      </c>
      <c r="G2688" s="422">
        <v>0</v>
      </c>
      <c r="H2688" s="417" t="s">
        <v>2616</v>
      </c>
      <c r="I2688" s="417" t="s">
        <v>1392</v>
      </c>
      <c r="J2688" s="417" t="s">
        <v>7802</v>
      </c>
      <c r="K2688" s="417" t="s">
        <v>7803</v>
      </c>
      <c r="L2688" s="417"/>
      <c r="M2688" s="417" t="s">
        <v>28840</v>
      </c>
    </row>
    <row r="2689" spans="1:13" x14ac:dyDescent="0.25">
      <c r="A2689" s="417" t="s">
        <v>3385</v>
      </c>
      <c r="B2689" s="417" t="s">
        <v>3405</v>
      </c>
      <c r="C2689" s="417" t="s">
        <v>7804</v>
      </c>
      <c r="D2689" s="417" t="s">
        <v>224</v>
      </c>
      <c r="E2689" s="423">
        <v>8.7858528655107834E-2</v>
      </c>
      <c r="F2689" s="423">
        <v>6.3944305895116876E-2</v>
      </c>
      <c r="G2689" s="422">
        <v>156.73730004815121</v>
      </c>
      <c r="H2689" s="417" t="s">
        <v>2616</v>
      </c>
      <c r="I2689" s="417" t="s">
        <v>1392</v>
      </c>
      <c r="J2689" s="417" t="s">
        <v>7805</v>
      </c>
      <c r="K2689" s="417" t="s">
        <v>7806</v>
      </c>
      <c r="L2689" s="417"/>
      <c r="M2689" s="417" t="s">
        <v>28840</v>
      </c>
    </row>
    <row r="2690" spans="1:13" x14ac:dyDescent="0.25">
      <c r="A2690" s="417" t="s">
        <v>3385</v>
      </c>
      <c r="B2690" s="417" t="s">
        <v>3405</v>
      </c>
      <c r="C2690" s="417" t="s">
        <v>7807</v>
      </c>
      <c r="D2690" s="417" t="s">
        <v>224</v>
      </c>
      <c r="E2690" s="423">
        <v>0.40917289193242512</v>
      </c>
      <c r="F2690" s="423">
        <v>4.9257111994319452E-2</v>
      </c>
      <c r="G2690" s="422">
        <v>666.78614839435897</v>
      </c>
      <c r="H2690" s="417" t="s">
        <v>2616</v>
      </c>
      <c r="I2690" s="417" t="s">
        <v>1392</v>
      </c>
      <c r="J2690" s="417" t="s">
        <v>7805</v>
      </c>
      <c r="K2690" s="417" t="s">
        <v>7808</v>
      </c>
      <c r="L2690" s="417"/>
      <c r="M2690" s="417" t="s">
        <v>28840</v>
      </c>
    </row>
    <row r="2691" spans="1:13" x14ac:dyDescent="0.25">
      <c r="A2691" s="417" t="s">
        <v>3385</v>
      </c>
      <c r="B2691" s="417" t="s">
        <v>3405</v>
      </c>
      <c r="C2691" s="417" t="s">
        <v>7809</v>
      </c>
      <c r="D2691" s="417" t="s">
        <v>224</v>
      </c>
      <c r="E2691" s="423">
        <v>0.35275062485564362</v>
      </c>
      <c r="F2691" s="423">
        <v>2.5319054243486568E-2</v>
      </c>
      <c r="G2691" s="422">
        <v>534.50282360150266</v>
      </c>
      <c r="H2691" s="417" t="s">
        <v>2616</v>
      </c>
      <c r="I2691" s="417" t="s">
        <v>1392</v>
      </c>
      <c r="J2691" s="417" t="s">
        <v>7805</v>
      </c>
      <c r="K2691" s="417" t="s">
        <v>7810</v>
      </c>
      <c r="L2691" s="417"/>
      <c r="M2691" s="417" t="s">
        <v>28840</v>
      </c>
    </row>
    <row r="2692" spans="1:13" x14ac:dyDescent="0.25">
      <c r="A2692" s="417" t="s">
        <v>3385</v>
      </c>
      <c r="B2692" s="417" t="s">
        <v>3405</v>
      </c>
      <c r="C2692" s="417" t="s">
        <v>7811</v>
      </c>
      <c r="D2692" s="417" t="s">
        <v>224</v>
      </c>
      <c r="E2692" s="423">
        <v>0.22308810269625801</v>
      </c>
      <c r="F2692" s="423">
        <v>3.4629193834274659E-2</v>
      </c>
      <c r="G2692" s="422">
        <v>503.08703053470663</v>
      </c>
      <c r="H2692" s="417" t="s">
        <v>2616</v>
      </c>
      <c r="I2692" s="417" t="s">
        <v>1392</v>
      </c>
      <c r="J2692" s="417" t="s">
        <v>7805</v>
      </c>
      <c r="K2692" s="417" t="s">
        <v>7812</v>
      </c>
      <c r="L2692" s="417"/>
      <c r="M2692" s="417" t="s">
        <v>28840</v>
      </c>
    </row>
    <row r="2693" spans="1:13" x14ac:dyDescent="0.25">
      <c r="A2693" s="417" t="s">
        <v>3385</v>
      </c>
      <c r="B2693" s="417" t="s">
        <v>3405</v>
      </c>
      <c r="C2693" s="417" t="s">
        <v>7813</v>
      </c>
      <c r="D2693" s="417" t="s">
        <v>224</v>
      </c>
      <c r="E2693" s="423">
        <v>0.33212503582352759</v>
      </c>
      <c r="F2693" s="423">
        <v>7.1196545783418306E-3</v>
      </c>
      <c r="G2693" s="422">
        <v>536.87990542860189</v>
      </c>
      <c r="H2693" s="417" t="s">
        <v>2616</v>
      </c>
      <c r="I2693" s="417" t="s">
        <v>1392</v>
      </c>
      <c r="J2693" s="417" t="s">
        <v>7805</v>
      </c>
      <c r="K2693" s="417" t="s">
        <v>7814</v>
      </c>
      <c r="L2693" s="417"/>
      <c r="M2693" s="417" t="s">
        <v>28840</v>
      </c>
    </row>
    <row r="2694" spans="1:13" x14ac:dyDescent="0.25">
      <c r="A2694" s="417" t="s">
        <v>3385</v>
      </c>
      <c r="B2694" s="417" t="s">
        <v>3405</v>
      </c>
      <c r="C2694" s="417" t="s">
        <v>7815</v>
      </c>
      <c r="D2694" s="417" t="s">
        <v>224</v>
      </c>
      <c r="E2694" s="423">
        <v>0.36245795658084701</v>
      </c>
      <c r="F2694" s="423">
        <v>1.572239009327905E-2</v>
      </c>
      <c r="G2694" s="422">
        <v>514.74240119084686</v>
      </c>
      <c r="H2694" s="417" t="s">
        <v>2616</v>
      </c>
      <c r="I2694" s="417" t="s">
        <v>1392</v>
      </c>
      <c r="J2694" s="417" t="s">
        <v>7805</v>
      </c>
      <c r="K2694" s="417" t="s">
        <v>7816</v>
      </c>
      <c r="L2694" s="417"/>
      <c r="M2694" s="417" t="s">
        <v>28840</v>
      </c>
    </row>
    <row r="2695" spans="1:13" x14ac:dyDescent="0.25">
      <c r="A2695" s="417" t="s">
        <v>3385</v>
      </c>
      <c r="B2695" s="417" t="s">
        <v>3405</v>
      </c>
      <c r="C2695" s="417" t="s">
        <v>7817</v>
      </c>
      <c r="D2695" s="417" t="s">
        <v>224</v>
      </c>
      <c r="E2695" s="423">
        <v>0.40501065595652652</v>
      </c>
      <c r="F2695" s="423">
        <v>8.766101423685382E-3</v>
      </c>
      <c r="G2695" s="422">
        <v>614.13391603982677</v>
      </c>
      <c r="H2695" s="417" t="s">
        <v>2616</v>
      </c>
      <c r="I2695" s="417" t="s">
        <v>1392</v>
      </c>
      <c r="J2695" s="417" t="s">
        <v>7805</v>
      </c>
      <c r="K2695" s="417" t="s">
        <v>7818</v>
      </c>
      <c r="L2695" s="417"/>
      <c r="M2695" s="417" t="s">
        <v>28840</v>
      </c>
    </row>
    <row r="2696" spans="1:13" x14ac:dyDescent="0.25">
      <c r="A2696" s="417" t="s">
        <v>3385</v>
      </c>
      <c r="B2696" s="417" t="s">
        <v>3405</v>
      </c>
      <c r="C2696" s="417" t="s">
        <v>7819</v>
      </c>
      <c r="D2696" s="417" t="s">
        <v>224</v>
      </c>
      <c r="E2696" s="423">
        <v>0.25929999491018663</v>
      </c>
      <c r="F2696" s="423">
        <v>4.1777199474524053E-2</v>
      </c>
      <c r="G2696" s="422">
        <v>569.08713936014578</v>
      </c>
      <c r="H2696" s="417" t="s">
        <v>2616</v>
      </c>
      <c r="I2696" s="417" t="s">
        <v>1392</v>
      </c>
      <c r="J2696" s="417" t="s">
        <v>7805</v>
      </c>
      <c r="K2696" s="417" t="s">
        <v>7820</v>
      </c>
      <c r="L2696" s="417"/>
      <c r="M2696" s="417" t="s">
        <v>28840</v>
      </c>
    </row>
    <row r="2697" spans="1:13" x14ac:dyDescent="0.25">
      <c r="A2697" s="417" t="s">
        <v>3385</v>
      </c>
      <c r="B2697" s="417" t="s">
        <v>3405</v>
      </c>
      <c r="C2697" s="417" t="s">
        <v>7821</v>
      </c>
      <c r="D2697" s="417" t="s">
        <v>224</v>
      </c>
      <c r="E2697" s="423">
        <v>0.44665003770874262</v>
      </c>
      <c r="F2697" s="423">
        <v>2.4305136373278559E-3</v>
      </c>
      <c r="G2697" s="422">
        <v>700.81933017646031</v>
      </c>
      <c r="H2697" s="417" t="s">
        <v>2616</v>
      </c>
      <c r="I2697" s="417" t="s">
        <v>1392</v>
      </c>
      <c r="J2697" s="417" t="s">
        <v>7805</v>
      </c>
      <c r="K2697" s="417" t="s">
        <v>7822</v>
      </c>
      <c r="L2697" s="417"/>
      <c r="M2697" s="417" t="s">
        <v>28840</v>
      </c>
    </row>
    <row r="2698" spans="1:13" x14ac:dyDescent="0.25">
      <c r="A2698" s="417" t="s">
        <v>3385</v>
      </c>
      <c r="B2698" s="417" t="s">
        <v>3405</v>
      </c>
      <c r="C2698" s="417" t="s">
        <v>7823</v>
      </c>
      <c r="D2698" s="417" t="s">
        <v>224</v>
      </c>
      <c r="E2698" s="423">
        <v>0.50944613075149114</v>
      </c>
      <c r="F2698" s="423">
        <v>4.544277295783767E-2</v>
      </c>
      <c r="G2698" s="422">
        <v>728.8615766368888</v>
      </c>
      <c r="H2698" s="417" t="s">
        <v>2616</v>
      </c>
      <c r="I2698" s="417" t="s">
        <v>1392</v>
      </c>
      <c r="J2698" s="417" t="s">
        <v>7805</v>
      </c>
      <c r="K2698" s="417" t="s">
        <v>7824</v>
      </c>
      <c r="L2698" s="417"/>
      <c r="M2698" s="417" t="s">
        <v>28840</v>
      </c>
    </row>
    <row r="2699" spans="1:13" x14ac:dyDescent="0.25">
      <c r="A2699" s="417" t="s">
        <v>3385</v>
      </c>
      <c r="B2699" s="417" t="s">
        <v>3405</v>
      </c>
      <c r="C2699" s="417" t="s">
        <v>7825</v>
      </c>
      <c r="D2699" s="417" t="s">
        <v>224</v>
      </c>
      <c r="E2699" s="423">
        <v>0.15424718132591969</v>
      </c>
      <c r="F2699" s="423">
        <v>3.8663476987005341E-2</v>
      </c>
      <c r="G2699" s="422">
        <v>375.49597467074409</v>
      </c>
      <c r="H2699" s="417" t="s">
        <v>2616</v>
      </c>
      <c r="I2699" s="417" t="s">
        <v>1392</v>
      </c>
      <c r="J2699" s="417" t="s">
        <v>7805</v>
      </c>
      <c r="K2699" s="417" t="s">
        <v>7826</v>
      </c>
      <c r="L2699" s="417"/>
      <c r="M2699" s="417" t="s">
        <v>28840</v>
      </c>
    </row>
    <row r="2700" spans="1:13" x14ac:dyDescent="0.25">
      <c r="A2700" s="417" t="s">
        <v>3385</v>
      </c>
      <c r="B2700" s="417" t="s">
        <v>3405</v>
      </c>
      <c r="C2700" s="417" t="s">
        <v>7827</v>
      </c>
      <c r="D2700" s="417" t="s">
        <v>224</v>
      </c>
      <c r="E2700" s="423">
        <v>0.11857217542048749</v>
      </c>
      <c r="F2700" s="423">
        <v>3.1497204140411211E-2</v>
      </c>
      <c r="G2700" s="422">
        <v>248.29373037088769</v>
      </c>
      <c r="H2700" s="417" t="s">
        <v>2616</v>
      </c>
      <c r="I2700" s="417" t="s">
        <v>1392</v>
      </c>
      <c r="J2700" s="417" t="s">
        <v>7805</v>
      </c>
      <c r="K2700" s="417" t="s">
        <v>7828</v>
      </c>
      <c r="L2700" s="417"/>
      <c r="M2700" s="417" t="s">
        <v>28840</v>
      </c>
    </row>
    <row r="2701" spans="1:13" x14ac:dyDescent="0.25">
      <c r="A2701" s="417" t="s">
        <v>3385</v>
      </c>
      <c r="B2701" s="417" t="s">
        <v>3405</v>
      </c>
      <c r="C2701" s="417" t="s">
        <v>7829</v>
      </c>
      <c r="D2701" s="417" t="s">
        <v>224</v>
      </c>
      <c r="E2701" s="423">
        <v>0.1084685821823374</v>
      </c>
      <c r="F2701" s="423">
        <v>8.323179333560933E-2</v>
      </c>
      <c r="G2701" s="422">
        <v>359.44577711633428</v>
      </c>
      <c r="H2701" s="417" t="s">
        <v>2616</v>
      </c>
      <c r="I2701" s="417" t="s">
        <v>1392</v>
      </c>
      <c r="J2701" s="417" t="s">
        <v>7805</v>
      </c>
      <c r="K2701" s="417" t="s">
        <v>7830</v>
      </c>
      <c r="L2701" s="417"/>
      <c r="M2701" s="417" t="s">
        <v>28840</v>
      </c>
    </row>
    <row r="2702" spans="1:13" x14ac:dyDescent="0.25">
      <c r="A2702" s="417" t="s">
        <v>3385</v>
      </c>
      <c r="B2702" s="417" t="s">
        <v>3405</v>
      </c>
      <c r="C2702" s="417" t="s">
        <v>7831</v>
      </c>
      <c r="D2702" s="417" t="s">
        <v>224</v>
      </c>
      <c r="E2702" s="423">
        <v>0.11312611611328691</v>
      </c>
      <c r="F2702" s="423">
        <v>2.310551712697154E-2</v>
      </c>
      <c r="G2702" s="422">
        <v>496.51446737860238</v>
      </c>
      <c r="H2702" s="417" t="s">
        <v>2616</v>
      </c>
      <c r="I2702" s="417" t="s">
        <v>1392</v>
      </c>
      <c r="J2702" s="417" t="s">
        <v>7805</v>
      </c>
      <c r="K2702" s="417" t="s">
        <v>7832</v>
      </c>
      <c r="L2702" s="417"/>
      <c r="M2702" s="417" t="s">
        <v>28840</v>
      </c>
    </row>
    <row r="2703" spans="1:13" x14ac:dyDescent="0.25">
      <c r="A2703" s="417" t="s">
        <v>3385</v>
      </c>
      <c r="B2703" s="417" t="s">
        <v>3405</v>
      </c>
      <c r="C2703" s="417" t="s">
        <v>7833</v>
      </c>
      <c r="D2703" s="417" t="s">
        <v>224</v>
      </c>
      <c r="E2703" s="423">
        <v>0.12726224400249389</v>
      </c>
      <c r="F2703" s="423">
        <v>2.911218730141921E-2</v>
      </c>
      <c r="G2703" s="422">
        <v>311.16331615819558</v>
      </c>
      <c r="H2703" s="417" t="s">
        <v>2616</v>
      </c>
      <c r="I2703" s="417" t="s">
        <v>1392</v>
      </c>
      <c r="J2703" s="417" t="s">
        <v>7805</v>
      </c>
      <c r="K2703" s="417" t="s">
        <v>7834</v>
      </c>
      <c r="L2703" s="417"/>
      <c r="M2703" s="417" t="s">
        <v>28840</v>
      </c>
    </row>
    <row r="2704" spans="1:13" x14ac:dyDescent="0.25">
      <c r="A2704" s="417" t="s">
        <v>3385</v>
      </c>
      <c r="B2704" s="417" t="s">
        <v>3405</v>
      </c>
      <c r="C2704" s="417" t="s">
        <v>7835</v>
      </c>
      <c r="D2704" s="417" t="s">
        <v>224</v>
      </c>
      <c r="E2704" s="423">
        <v>0.21727617467708099</v>
      </c>
      <c r="F2704" s="423">
        <v>3.7131319931212867E-2</v>
      </c>
      <c r="G2704" s="422">
        <v>430.83980907553968</v>
      </c>
      <c r="H2704" s="417" t="s">
        <v>2616</v>
      </c>
      <c r="I2704" s="417" t="s">
        <v>1392</v>
      </c>
      <c r="J2704" s="417" t="s">
        <v>7805</v>
      </c>
      <c r="K2704" s="417" t="s">
        <v>7836</v>
      </c>
      <c r="L2704" s="417"/>
      <c r="M2704" s="417" t="s">
        <v>28840</v>
      </c>
    </row>
    <row r="2705" spans="1:13" x14ac:dyDescent="0.25">
      <c r="A2705" s="417" t="s">
        <v>3385</v>
      </c>
      <c r="B2705" s="417" t="s">
        <v>3405</v>
      </c>
      <c r="C2705" s="417" t="s">
        <v>7837</v>
      </c>
      <c r="D2705" s="417" t="s">
        <v>224</v>
      </c>
      <c r="E2705" s="423">
        <v>0.13322433551347021</v>
      </c>
      <c r="F2705" s="423">
        <v>2.1630318573280419E-2</v>
      </c>
      <c r="G2705" s="422">
        <v>442.28746022900918</v>
      </c>
      <c r="H2705" s="417" t="s">
        <v>2616</v>
      </c>
      <c r="I2705" s="417" t="s">
        <v>1392</v>
      </c>
      <c r="J2705" s="417" t="s">
        <v>7805</v>
      </c>
      <c r="K2705" s="417" t="s">
        <v>7838</v>
      </c>
      <c r="L2705" s="417"/>
      <c r="M2705" s="417" t="s">
        <v>28840</v>
      </c>
    </row>
    <row r="2706" spans="1:13" x14ac:dyDescent="0.25">
      <c r="A2706" s="417" t="s">
        <v>3385</v>
      </c>
      <c r="B2706" s="417" t="s">
        <v>3405</v>
      </c>
      <c r="C2706" s="417" t="s">
        <v>7839</v>
      </c>
      <c r="D2706" s="417" t="s">
        <v>224</v>
      </c>
      <c r="E2706" s="423">
        <v>0.50182139755401689</v>
      </c>
      <c r="F2706" s="423">
        <v>2.3269791375619239E-2</v>
      </c>
      <c r="G2706" s="422">
        <v>786.67617794500416</v>
      </c>
      <c r="H2706" s="417" t="s">
        <v>2616</v>
      </c>
      <c r="I2706" s="417" t="s">
        <v>1392</v>
      </c>
      <c r="J2706" s="417" t="s">
        <v>7805</v>
      </c>
      <c r="K2706" s="417" t="s">
        <v>7840</v>
      </c>
      <c r="L2706" s="417"/>
      <c r="M2706" s="417" t="s">
        <v>28840</v>
      </c>
    </row>
    <row r="2707" spans="1:13" x14ac:dyDescent="0.25">
      <c r="A2707" s="417" t="s">
        <v>3385</v>
      </c>
      <c r="B2707" s="417" t="s">
        <v>3405</v>
      </c>
      <c r="C2707" s="417" t="s">
        <v>7841</v>
      </c>
      <c r="D2707" s="417" t="s">
        <v>224</v>
      </c>
      <c r="E2707" s="423">
        <v>0.45631859417237719</v>
      </c>
      <c r="F2707" s="423">
        <v>2.473846932512351E-2</v>
      </c>
      <c r="G2707" s="422">
        <v>710.57842474015558</v>
      </c>
      <c r="H2707" s="417" t="s">
        <v>2616</v>
      </c>
      <c r="I2707" s="417" t="s">
        <v>1392</v>
      </c>
      <c r="J2707" s="417" t="s">
        <v>7805</v>
      </c>
      <c r="K2707" s="417" t="s">
        <v>7842</v>
      </c>
      <c r="L2707" s="417"/>
      <c r="M2707" s="417" t="s">
        <v>28840</v>
      </c>
    </row>
    <row r="2708" spans="1:13" x14ac:dyDescent="0.25">
      <c r="A2708" s="417" t="s">
        <v>3385</v>
      </c>
      <c r="B2708" s="417" t="s">
        <v>3405</v>
      </c>
      <c r="C2708" s="417" t="s">
        <v>7843</v>
      </c>
      <c r="D2708" s="417" t="s">
        <v>224</v>
      </c>
      <c r="E2708" s="423">
        <v>0.28207957040124021</v>
      </c>
      <c r="F2708" s="423">
        <v>3.4524432855320197E-2</v>
      </c>
      <c r="G2708" s="422">
        <v>608.339089952206</v>
      </c>
      <c r="H2708" s="417" t="s">
        <v>2616</v>
      </c>
      <c r="I2708" s="417" t="s">
        <v>1392</v>
      </c>
      <c r="J2708" s="417" t="s">
        <v>7805</v>
      </c>
      <c r="K2708" s="417" t="s">
        <v>7844</v>
      </c>
      <c r="L2708" s="417"/>
      <c r="M2708" s="417" t="s">
        <v>28840</v>
      </c>
    </row>
    <row r="2709" spans="1:13" x14ac:dyDescent="0.25">
      <c r="A2709" s="417" t="s">
        <v>3385</v>
      </c>
      <c r="B2709" s="417" t="s">
        <v>3405</v>
      </c>
      <c r="C2709" s="417" t="s">
        <v>7845</v>
      </c>
      <c r="D2709" s="417" t="s">
        <v>224</v>
      </c>
      <c r="E2709" s="423">
        <v>0.72996544737980507</v>
      </c>
      <c r="F2709" s="423">
        <v>7.534173759601079E-3</v>
      </c>
      <c r="G2709" s="422">
        <v>898.90188466651898</v>
      </c>
      <c r="H2709" s="417" t="s">
        <v>2616</v>
      </c>
      <c r="I2709" s="417" t="s">
        <v>1392</v>
      </c>
      <c r="J2709" s="417" t="s">
        <v>7805</v>
      </c>
      <c r="K2709" s="417" t="s">
        <v>7846</v>
      </c>
      <c r="L2709" s="417"/>
      <c r="M2709" s="417" t="s">
        <v>28840</v>
      </c>
    </row>
    <row r="2710" spans="1:13" x14ac:dyDescent="0.25">
      <c r="A2710" s="417" t="s">
        <v>3385</v>
      </c>
      <c r="B2710" s="417" t="s">
        <v>3405</v>
      </c>
      <c r="C2710" s="417" t="s">
        <v>7847</v>
      </c>
      <c r="D2710" s="417" t="s">
        <v>224</v>
      </c>
      <c r="E2710" s="423">
        <v>0.18049967203416281</v>
      </c>
      <c r="F2710" s="423">
        <v>6.7167164170535282E-2</v>
      </c>
      <c r="G2710" s="422">
        <v>382.36501570816898</v>
      </c>
      <c r="H2710" s="417" t="s">
        <v>2616</v>
      </c>
      <c r="I2710" s="417" t="s">
        <v>1392</v>
      </c>
      <c r="J2710" s="417" t="s">
        <v>7805</v>
      </c>
      <c r="K2710" s="417" t="s">
        <v>7848</v>
      </c>
      <c r="L2710" s="417"/>
      <c r="M2710" s="417" t="s">
        <v>28840</v>
      </c>
    </row>
    <row r="2711" spans="1:13" x14ac:dyDescent="0.25">
      <c r="A2711" s="417" t="s">
        <v>3385</v>
      </c>
      <c r="B2711" s="417" t="s">
        <v>3405</v>
      </c>
      <c r="C2711" s="417" t="s">
        <v>7849</v>
      </c>
      <c r="D2711" s="417" t="s">
        <v>224</v>
      </c>
      <c r="E2711" s="423">
        <v>0.117021914800855</v>
      </c>
      <c r="F2711" s="423">
        <v>1.9786865426203441E-2</v>
      </c>
      <c r="G2711" s="422">
        <v>457.73826819999772</v>
      </c>
      <c r="H2711" s="417" t="s">
        <v>2616</v>
      </c>
      <c r="I2711" s="417" t="s">
        <v>1392</v>
      </c>
      <c r="J2711" s="417" t="s">
        <v>7805</v>
      </c>
      <c r="K2711" s="417" t="s">
        <v>7850</v>
      </c>
      <c r="L2711" s="417"/>
      <c r="M2711" s="417" t="s">
        <v>28840</v>
      </c>
    </row>
    <row r="2712" spans="1:13" x14ac:dyDescent="0.25">
      <c r="A2712" s="417" t="s">
        <v>3385</v>
      </c>
      <c r="B2712" s="417" t="s">
        <v>3405</v>
      </c>
      <c r="C2712" s="417" t="s">
        <v>7851</v>
      </c>
      <c r="D2712" s="417" t="s">
        <v>224</v>
      </c>
      <c r="E2712" s="423">
        <v>0.44665003770874262</v>
      </c>
      <c r="F2712" s="423">
        <v>2.4305136373278559E-3</v>
      </c>
      <c r="G2712" s="422">
        <v>700.81933017646031</v>
      </c>
      <c r="H2712" s="417" t="s">
        <v>2616</v>
      </c>
      <c r="I2712" s="417" t="s">
        <v>1392</v>
      </c>
      <c r="J2712" s="417" t="s">
        <v>7805</v>
      </c>
      <c r="K2712" s="417" t="s">
        <v>7852</v>
      </c>
      <c r="L2712" s="417"/>
      <c r="M2712" s="417" t="s">
        <v>28840</v>
      </c>
    </row>
    <row r="2713" spans="1:13" x14ac:dyDescent="0.25">
      <c r="A2713" s="417" t="s">
        <v>3385</v>
      </c>
      <c r="B2713" s="417" t="s">
        <v>3405</v>
      </c>
      <c r="C2713" s="417" t="s">
        <v>7853</v>
      </c>
      <c r="D2713" s="417" t="s">
        <v>224</v>
      </c>
      <c r="E2713" s="423">
        <v>0.20849910139349331</v>
      </c>
      <c r="F2713" s="423">
        <v>4.1169142814824547E-2</v>
      </c>
      <c r="G2713" s="422">
        <v>386.13947485593258</v>
      </c>
      <c r="H2713" s="417" t="s">
        <v>2616</v>
      </c>
      <c r="I2713" s="417" t="s">
        <v>1392</v>
      </c>
      <c r="J2713" s="417" t="s">
        <v>7805</v>
      </c>
      <c r="K2713" s="417" t="s">
        <v>7854</v>
      </c>
      <c r="L2713" s="417"/>
      <c r="M2713" s="417" t="s">
        <v>28840</v>
      </c>
    </row>
    <row r="2714" spans="1:13" x14ac:dyDescent="0.25">
      <c r="A2714" s="417" t="s">
        <v>3385</v>
      </c>
      <c r="B2714" s="417" t="s">
        <v>3405</v>
      </c>
      <c r="C2714" s="417" t="s">
        <v>7855</v>
      </c>
      <c r="D2714" s="417" t="s">
        <v>224</v>
      </c>
      <c r="E2714" s="423">
        <v>0.36260305303821588</v>
      </c>
      <c r="F2714" s="423">
        <v>4.927481835990933E-2</v>
      </c>
      <c r="G2714" s="422">
        <v>625.43712856215586</v>
      </c>
      <c r="H2714" s="417" t="s">
        <v>2616</v>
      </c>
      <c r="I2714" s="417" t="s">
        <v>1392</v>
      </c>
      <c r="J2714" s="417" t="s">
        <v>7805</v>
      </c>
      <c r="K2714" s="417" t="s">
        <v>7856</v>
      </c>
      <c r="L2714" s="417"/>
      <c r="M2714" s="417" t="s">
        <v>28840</v>
      </c>
    </row>
    <row r="2715" spans="1:13" x14ac:dyDescent="0.25">
      <c r="A2715" s="417" t="s">
        <v>3385</v>
      </c>
      <c r="B2715" s="417" t="s">
        <v>3405</v>
      </c>
      <c r="C2715" s="417" t="s">
        <v>7857</v>
      </c>
      <c r="D2715" s="417" t="s">
        <v>224</v>
      </c>
      <c r="E2715" s="423">
        <v>0.25695055784469562</v>
      </c>
      <c r="F2715" s="423">
        <v>9.0036601512395092E-2</v>
      </c>
      <c r="G2715" s="422">
        <v>515.33950245279038</v>
      </c>
      <c r="H2715" s="417" t="s">
        <v>2616</v>
      </c>
      <c r="I2715" s="417" t="s">
        <v>1392</v>
      </c>
      <c r="J2715" s="417" t="s">
        <v>7805</v>
      </c>
      <c r="K2715" s="417" t="s">
        <v>7858</v>
      </c>
      <c r="L2715" s="417"/>
      <c r="M2715" s="417" t="s">
        <v>28840</v>
      </c>
    </row>
    <row r="2716" spans="1:13" x14ac:dyDescent="0.25">
      <c r="A2716" s="417" t="s">
        <v>3385</v>
      </c>
      <c r="B2716" s="417" t="s">
        <v>3405</v>
      </c>
      <c r="C2716" s="417" t="s">
        <v>7859</v>
      </c>
      <c r="D2716" s="417" t="s">
        <v>224</v>
      </c>
      <c r="E2716" s="423">
        <v>0.18994480457006729</v>
      </c>
      <c r="F2716" s="423">
        <v>1.482020000476739E-2</v>
      </c>
      <c r="G2716" s="422">
        <v>428.92819067603131</v>
      </c>
      <c r="H2716" s="417" t="s">
        <v>2616</v>
      </c>
      <c r="I2716" s="417" t="s">
        <v>1392</v>
      </c>
      <c r="J2716" s="417" t="s">
        <v>7805</v>
      </c>
      <c r="K2716" s="417" t="s">
        <v>7860</v>
      </c>
      <c r="L2716" s="417"/>
      <c r="M2716" s="417" t="s">
        <v>28840</v>
      </c>
    </row>
    <row r="2717" spans="1:13" x14ac:dyDescent="0.25">
      <c r="A2717" s="417" t="s">
        <v>3385</v>
      </c>
      <c r="B2717" s="417" t="s">
        <v>3405</v>
      </c>
      <c r="C2717" s="417" t="s">
        <v>7861</v>
      </c>
      <c r="D2717" s="417" t="s">
        <v>224</v>
      </c>
      <c r="E2717" s="423">
        <v>0.52081475759939111</v>
      </c>
      <c r="F2717" s="423">
        <v>1.5123549184720159E-2</v>
      </c>
      <c r="G2717" s="422">
        <v>817.52291765379334</v>
      </c>
      <c r="H2717" s="417" t="s">
        <v>2616</v>
      </c>
      <c r="I2717" s="417" t="s">
        <v>1392</v>
      </c>
      <c r="J2717" s="417" t="s">
        <v>7805</v>
      </c>
      <c r="K2717" s="417" t="s">
        <v>7862</v>
      </c>
      <c r="L2717" s="417"/>
      <c r="M2717" s="417" t="s">
        <v>28840</v>
      </c>
    </row>
    <row r="2718" spans="1:13" x14ac:dyDescent="0.25">
      <c r="A2718" s="417" t="s">
        <v>3385</v>
      </c>
      <c r="B2718" s="417" t="s">
        <v>3405</v>
      </c>
      <c r="C2718" s="417" t="s">
        <v>7863</v>
      </c>
      <c r="D2718" s="417" t="s">
        <v>224</v>
      </c>
      <c r="E2718" s="423">
        <v>0.40501065595652652</v>
      </c>
      <c r="F2718" s="423">
        <v>8.766101423685382E-3</v>
      </c>
      <c r="G2718" s="422">
        <v>614.13391603982677</v>
      </c>
      <c r="H2718" s="417" t="s">
        <v>2616</v>
      </c>
      <c r="I2718" s="417" t="s">
        <v>1392</v>
      </c>
      <c r="J2718" s="417" t="s">
        <v>7805</v>
      </c>
      <c r="K2718" s="417" t="s">
        <v>7864</v>
      </c>
      <c r="L2718" s="417"/>
      <c r="M2718" s="417" t="s">
        <v>28840</v>
      </c>
    </row>
    <row r="2719" spans="1:13" x14ac:dyDescent="0.25">
      <c r="A2719" s="417" t="s">
        <v>3385</v>
      </c>
      <c r="B2719" s="417" t="s">
        <v>3405</v>
      </c>
      <c r="C2719" s="417" t="s">
        <v>7865</v>
      </c>
      <c r="D2719" s="417" t="s">
        <v>224</v>
      </c>
      <c r="E2719" s="423">
        <v>0.58909149687149676</v>
      </c>
      <c r="F2719" s="423">
        <v>7.8256201237691739E-2</v>
      </c>
      <c r="G2719" s="422">
        <v>817.54269590522415</v>
      </c>
      <c r="H2719" s="417" t="s">
        <v>2616</v>
      </c>
      <c r="I2719" s="417" t="s">
        <v>1392</v>
      </c>
      <c r="J2719" s="417" t="s">
        <v>7805</v>
      </c>
      <c r="K2719" s="417" t="s">
        <v>7866</v>
      </c>
      <c r="L2719" s="417"/>
      <c r="M2719" s="417" t="s">
        <v>28840</v>
      </c>
    </row>
    <row r="2720" spans="1:13" x14ac:dyDescent="0.25">
      <c r="A2720" s="417" t="s">
        <v>3385</v>
      </c>
      <c r="B2720" s="417" t="s">
        <v>3405</v>
      </c>
      <c r="C2720" s="417" t="s">
        <v>7867</v>
      </c>
      <c r="D2720" s="417" t="s">
        <v>224</v>
      </c>
      <c r="E2720" s="423">
        <v>0.2328990922347936</v>
      </c>
      <c r="F2720" s="423">
        <v>4.6104217911548867E-2</v>
      </c>
      <c r="G2720" s="422">
        <v>431.53696087903558</v>
      </c>
      <c r="H2720" s="417" t="s">
        <v>2616</v>
      </c>
      <c r="I2720" s="417" t="s">
        <v>1392</v>
      </c>
      <c r="J2720" s="417" t="s">
        <v>7805</v>
      </c>
      <c r="K2720" s="417" t="s">
        <v>7868</v>
      </c>
      <c r="L2720" s="417"/>
      <c r="M2720" s="417" t="s">
        <v>28840</v>
      </c>
    </row>
    <row r="2721" spans="1:13" x14ac:dyDescent="0.25">
      <c r="A2721" s="417" t="s">
        <v>3385</v>
      </c>
      <c r="B2721" s="417" t="s">
        <v>3405</v>
      </c>
      <c r="C2721" s="417" t="s">
        <v>7869</v>
      </c>
      <c r="D2721" s="417" t="s">
        <v>224</v>
      </c>
      <c r="E2721" s="423">
        <v>0.1095507900015547</v>
      </c>
      <c r="F2721" s="423">
        <v>5.4692094120146167E-2</v>
      </c>
      <c r="G2721" s="422">
        <v>279.57777171484719</v>
      </c>
      <c r="H2721" s="417" t="s">
        <v>2616</v>
      </c>
      <c r="I2721" s="417" t="s">
        <v>1392</v>
      </c>
      <c r="J2721" s="417" t="s">
        <v>7805</v>
      </c>
      <c r="K2721" s="417" t="s">
        <v>7870</v>
      </c>
      <c r="L2721" s="417"/>
      <c r="M2721" s="417" t="s">
        <v>28840</v>
      </c>
    </row>
    <row r="2722" spans="1:13" x14ac:dyDescent="0.25">
      <c r="A2722" s="417" t="s">
        <v>3385</v>
      </c>
      <c r="B2722" s="417" t="s">
        <v>3405</v>
      </c>
      <c r="C2722" s="417" t="s">
        <v>7871</v>
      </c>
      <c r="D2722" s="417" t="s">
        <v>224</v>
      </c>
      <c r="E2722" s="423">
        <v>0.51497924421375085</v>
      </c>
      <c r="F2722" s="423">
        <v>2.5124033442448131E-3</v>
      </c>
      <c r="G2722" s="422">
        <v>662.29655070913873</v>
      </c>
      <c r="H2722" s="417" t="s">
        <v>2616</v>
      </c>
      <c r="I2722" s="417" t="s">
        <v>1392</v>
      </c>
      <c r="J2722" s="417" t="s">
        <v>7805</v>
      </c>
      <c r="K2722" s="417" t="s">
        <v>7872</v>
      </c>
      <c r="L2722" s="417"/>
      <c r="M2722" s="417" t="s">
        <v>28840</v>
      </c>
    </row>
    <row r="2723" spans="1:13" x14ac:dyDescent="0.25">
      <c r="A2723" s="417" t="s">
        <v>3385</v>
      </c>
      <c r="B2723" s="417" t="s">
        <v>3405</v>
      </c>
      <c r="C2723" s="417" t="s">
        <v>7873</v>
      </c>
      <c r="D2723" s="417" t="s">
        <v>224</v>
      </c>
      <c r="E2723" s="423">
        <v>0.27289997590351761</v>
      </c>
      <c r="F2723" s="423">
        <v>4.8467039700219358E-2</v>
      </c>
      <c r="G2723" s="422">
        <v>488.32865869643541</v>
      </c>
      <c r="H2723" s="417" t="s">
        <v>2616</v>
      </c>
      <c r="I2723" s="417" t="s">
        <v>1392</v>
      </c>
      <c r="J2723" s="417" t="s">
        <v>7805</v>
      </c>
      <c r="K2723" s="417" t="s">
        <v>7874</v>
      </c>
      <c r="L2723" s="417"/>
      <c r="M2723" s="417" t="s">
        <v>28840</v>
      </c>
    </row>
    <row r="2724" spans="1:13" x14ac:dyDescent="0.25">
      <c r="A2724" s="417" t="s">
        <v>3385</v>
      </c>
      <c r="B2724" s="417" t="s">
        <v>3405</v>
      </c>
      <c r="C2724" s="417" t="s">
        <v>7875</v>
      </c>
      <c r="D2724" s="417" t="s">
        <v>224</v>
      </c>
      <c r="E2724" s="423">
        <v>0.16930586556403379</v>
      </c>
      <c r="F2724" s="423">
        <v>1.381048568468359E-2</v>
      </c>
      <c r="G2724" s="422">
        <v>403.85869499644008</v>
      </c>
      <c r="H2724" s="417" t="s">
        <v>2616</v>
      </c>
      <c r="I2724" s="417" t="s">
        <v>1392</v>
      </c>
      <c r="J2724" s="417" t="s">
        <v>7805</v>
      </c>
      <c r="K2724" s="417" t="s">
        <v>7876</v>
      </c>
      <c r="L2724" s="417"/>
      <c r="M2724" s="417" t="s">
        <v>28840</v>
      </c>
    </row>
    <row r="2725" spans="1:13" x14ac:dyDescent="0.25">
      <c r="A2725" s="417" t="s">
        <v>3385</v>
      </c>
      <c r="B2725" s="417" t="s">
        <v>3405</v>
      </c>
      <c r="C2725" s="417" t="s">
        <v>7877</v>
      </c>
      <c r="D2725" s="417" t="s">
        <v>224</v>
      </c>
      <c r="E2725" s="423">
        <v>0.35439058432049098</v>
      </c>
      <c r="F2725" s="423">
        <v>2.5352486851027121E-2</v>
      </c>
      <c r="G2725" s="422">
        <v>708.90378717916371</v>
      </c>
      <c r="H2725" s="417" t="s">
        <v>2616</v>
      </c>
      <c r="I2725" s="417" t="s">
        <v>1392</v>
      </c>
      <c r="J2725" s="417" t="s">
        <v>7805</v>
      </c>
      <c r="K2725" s="417" t="s">
        <v>7878</v>
      </c>
      <c r="L2725" s="417"/>
      <c r="M2725" s="417" t="s">
        <v>28840</v>
      </c>
    </row>
    <row r="2726" spans="1:13" x14ac:dyDescent="0.25">
      <c r="A2726" s="417" t="s">
        <v>3385</v>
      </c>
      <c r="B2726" s="417" t="s">
        <v>3405</v>
      </c>
      <c r="C2726" s="417" t="s">
        <v>7879</v>
      </c>
      <c r="D2726" s="417" t="s">
        <v>224</v>
      </c>
      <c r="E2726" s="423">
        <v>0.37286333377371911</v>
      </c>
      <c r="F2726" s="423">
        <v>2.314718857411175E-2</v>
      </c>
      <c r="G2726" s="422">
        <v>685.60164081640744</v>
      </c>
      <c r="H2726" s="417" t="s">
        <v>2616</v>
      </c>
      <c r="I2726" s="417" t="s">
        <v>1392</v>
      </c>
      <c r="J2726" s="417" t="s">
        <v>7805</v>
      </c>
      <c r="K2726" s="417" t="s">
        <v>7880</v>
      </c>
      <c r="L2726" s="417"/>
      <c r="M2726" s="417" t="s">
        <v>28840</v>
      </c>
    </row>
    <row r="2727" spans="1:13" x14ac:dyDescent="0.25">
      <c r="A2727" s="417" t="s">
        <v>3385</v>
      </c>
      <c r="B2727" s="417" t="s">
        <v>3405</v>
      </c>
      <c r="C2727" s="417" t="s">
        <v>7881</v>
      </c>
      <c r="D2727" s="417" t="s">
        <v>224</v>
      </c>
      <c r="E2727" s="423">
        <v>9.6914371304246502E-2</v>
      </c>
      <c r="F2727" s="423">
        <v>2.6410231254620491E-2</v>
      </c>
      <c r="G2727" s="422">
        <v>166.3740650485087</v>
      </c>
      <c r="H2727" s="417" t="s">
        <v>2616</v>
      </c>
      <c r="I2727" s="417" t="s">
        <v>1392</v>
      </c>
      <c r="J2727" s="417" t="s">
        <v>7805</v>
      </c>
      <c r="K2727" s="417" t="s">
        <v>7882</v>
      </c>
      <c r="L2727" s="417"/>
      <c r="M2727" s="417" t="s">
        <v>28840</v>
      </c>
    </row>
    <row r="2728" spans="1:13" x14ac:dyDescent="0.25">
      <c r="A2728" s="417" t="s">
        <v>3385</v>
      </c>
      <c r="B2728" s="417" t="s">
        <v>3405</v>
      </c>
      <c r="C2728" s="417" t="s">
        <v>7883</v>
      </c>
      <c r="D2728" s="417" t="s">
        <v>224</v>
      </c>
      <c r="E2728" s="423">
        <v>0.26705317772896869</v>
      </c>
      <c r="F2728" s="423">
        <v>3.7072743790465608E-2</v>
      </c>
      <c r="G2728" s="422">
        <v>446.70495660968578</v>
      </c>
      <c r="H2728" s="417" t="s">
        <v>2616</v>
      </c>
      <c r="I2728" s="417" t="s">
        <v>1392</v>
      </c>
      <c r="J2728" s="417" t="s">
        <v>7805</v>
      </c>
      <c r="K2728" s="417" t="s">
        <v>7884</v>
      </c>
      <c r="L2728" s="417"/>
      <c r="M2728" s="417" t="s">
        <v>28840</v>
      </c>
    </row>
    <row r="2729" spans="1:13" x14ac:dyDescent="0.25">
      <c r="A2729" s="417" t="s">
        <v>3385</v>
      </c>
      <c r="B2729" s="417" t="s">
        <v>3405</v>
      </c>
      <c r="C2729" s="417" t="s">
        <v>7885</v>
      </c>
      <c r="D2729" s="417" t="s">
        <v>224</v>
      </c>
      <c r="E2729" s="423">
        <v>0.54442442858487106</v>
      </c>
      <c r="F2729" s="423">
        <v>4.397913555522108E-2</v>
      </c>
      <c r="G2729" s="422">
        <v>824.78982283558469</v>
      </c>
      <c r="H2729" s="417" t="s">
        <v>2616</v>
      </c>
      <c r="I2729" s="417" t="s">
        <v>1392</v>
      </c>
      <c r="J2729" s="417" t="s">
        <v>7805</v>
      </c>
      <c r="K2729" s="417" t="s">
        <v>7886</v>
      </c>
      <c r="L2729" s="417"/>
      <c r="M2729" s="417" t="s">
        <v>28840</v>
      </c>
    </row>
    <row r="2730" spans="1:13" x14ac:dyDescent="0.25">
      <c r="A2730" s="417" t="s">
        <v>3385</v>
      </c>
      <c r="B2730" s="417" t="s">
        <v>3405</v>
      </c>
      <c r="C2730" s="417" t="s">
        <v>7887</v>
      </c>
      <c r="D2730" s="417" t="s">
        <v>224</v>
      </c>
      <c r="E2730" s="423">
        <v>0.72996544737980507</v>
      </c>
      <c r="F2730" s="423">
        <v>7.534173759601079E-3</v>
      </c>
      <c r="G2730" s="422">
        <v>898.90188466651898</v>
      </c>
      <c r="H2730" s="417" t="s">
        <v>2616</v>
      </c>
      <c r="I2730" s="417" t="s">
        <v>1392</v>
      </c>
      <c r="J2730" s="417" t="s">
        <v>7805</v>
      </c>
      <c r="K2730" s="417" t="s">
        <v>7888</v>
      </c>
      <c r="L2730" s="417"/>
      <c r="M2730" s="417" t="s">
        <v>28840</v>
      </c>
    </row>
    <row r="2731" spans="1:13" x14ac:dyDescent="0.25">
      <c r="A2731" s="417" t="s">
        <v>3385</v>
      </c>
      <c r="B2731" s="417" t="s">
        <v>3405</v>
      </c>
      <c r="C2731" s="417" t="s">
        <v>7889</v>
      </c>
      <c r="D2731" s="417" t="s">
        <v>224</v>
      </c>
      <c r="E2731" s="423">
        <v>0.40005966010302713</v>
      </c>
      <c r="F2731" s="423">
        <v>3.040092875218281E-2</v>
      </c>
      <c r="G2731" s="422">
        <v>818.42605003014842</v>
      </c>
      <c r="H2731" s="417" t="s">
        <v>2616</v>
      </c>
      <c r="I2731" s="417" t="s">
        <v>1392</v>
      </c>
      <c r="J2731" s="417" t="s">
        <v>7805</v>
      </c>
      <c r="K2731" s="417" t="s">
        <v>7890</v>
      </c>
      <c r="L2731" s="417"/>
      <c r="M2731" s="417" t="s">
        <v>28840</v>
      </c>
    </row>
    <row r="2732" spans="1:13" x14ac:dyDescent="0.25">
      <c r="A2732" s="417" t="s">
        <v>3385</v>
      </c>
      <c r="B2732" s="417" t="s">
        <v>3405</v>
      </c>
      <c r="C2732" s="417" t="s">
        <v>7891</v>
      </c>
      <c r="D2732" s="417" t="s">
        <v>224</v>
      </c>
      <c r="E2732" s="423">
        <v>0.25729599257933738</v>
      </c>
      <c r="F2732" s="423">
        <v>3.5367041365925923E-2</v>
      </c>
      <c r="G2732" s="422">
        <v>589.30190590319876</v>
      </c>
      <c r="H2732" s="417" t="s">
        <v>2616</v>
      </c>
      <c r="I2732" s="417" t="s">
        <v>1392</v>
      </c>
      <c r="J2732" s="417" t="s">
        <v>7805</v>
      </c>
      <c r="K2732" s="417" t="s">
        <v>7892</v>
      </c>
      <c r="L2732" s="417"/>
      <c r="M2732" s="417" t="s">
        <v>28840</v>
      </c>
    </row>
    <row r="2733" spans="1:13" x14ac:dyDescent="0.25">
      <c r="A2733" s="417" t="s">
        <v>3385</v>
      </c>
      <c r="B2733" s="417" t="s">
        <v>3405</v>
      </c>
      <c r="C2733" s="417" t="s">
        <v>7893</v>
      </c>
      <c r="D2733" s="417" t="s">
        <v>224</v>
      </c>
      <c r="E2733" s="423">
        <v>0.18214430507918861</v>
      </c>
      <c r="F2733" s="423">
        <v>1.103544349455419E-2</v>
      </c>
      <c r="G2733" s="422">
        <v>309.68058754477892</v>
      </c>
      <c r="H2733" s="417" t="s">
        <v>2616</v>
      </c>
      <c r="I2733" s="417" t="s">
        <v>1392</v>
      </c>
      <c r="J2733" s="417" t="s">
        <v>7805</v>
      </c>
      <c r="K2733" s="417" t="s">
        <v>7894</v>
      </c>
      <c r="L2733" s="417"/>
      <c r="M2733" s="417" t="s">
        <v>28840</v>
      </c>
    </row>
    <row r="2734" spans="1:13" x14ac:dyDescent="0.25">
      <c r="A2734" s="417" t="s">
        <v>3385</v>
      </c>
      <c r="B2734" s="417" t="s">
        <v>3405</v>
      </c>
      <c r="C2734" s="417" t="s">
        <v>7895</v>
      </c>
      <c r="D2734" s="417" t="s">
        <v>224</v>
      </c>
      <c r="E2734" s="423">
        <v>0.69787487346933463</v>
      </c>
      <c r="F2734" s="423">
        <v>1.558220748558759E-2</v>
      </c>
      <c r="G2734" s="422">
        <v>919.33209917485306</v>
      </c>
      <c r="H2734" s="417" t="s">
        <v>2616</v>
      </c>
      <c r="I2734" s="417" t="s">
        <v>1392</v>
      </c>
      <c r="J2734" s="417" t="s">
        <v>7805</v>
      </c>
      <c r="K2734" s="417" t="s">
        <v>7896</v>
      </c>
      <c r="L2734" s="417"/>
      <c r="M2734" s="417" t="s">
        <v>28840</v>
      </c>
    </row>
    <row r="2735" spans="1:13" x14ac:dyDescent="0.25">
      <c r="A2735" s="417" t="s">
        <v>3385</v>
      </c>
      <c r="B2735" s="417" t="s">
        <v>3405</v>
      </c>
      <c r="C2735" s="417" t="s">
        <v>7897</v>
      </c>
      <c r="D2735" s="417" t="s">
        <v>224</v>
      </c>
      <c r="E2735" s="423">
        <v>0.37673818390925651</v>
      </c>
      <c r="F2735" s="423">
        <v>1.0556660301289801E-3</v>
      </c>
      <c r="G2735" s="422">
        <v>569.91602531071726</v>
      </c>
      <c r="H2735" s="417" t="s">
        <v>2616</v>
      </c>
      <c r="I2735" s="417" t="s">
        <v>1392</v>
      </c>
      <c r="J2735" s="417" t="s">
        <v>7898</v>
      </c>
      <c r="K2735" s="417" t="s">
        <v>7899</v>
      </c>
      <c r="L2735" s="417"/>
      <c r="M2735" s="417" t="s">
        <v>28840</v>
      </c>
    </row>
    <row r="2736" spans="1:13" x14ac:dyDescent="0.25">
      <c r="A2736" s="417" t="s">
        <v>3385</v>
      </c>
      <c r="B2736" s="417" t="s">
        <v>3405</v>
      </c>
      <c r="C2736" s="417" t="s">
        <v>7900</v>
      </c>
      <c r="D2736" s="417" t="s">
        <v>224</v>
      </c>
      <c r="E2736" s="423">
        <v>0.36245795658084701</v>
      </c>
      <c r="F2736" s="423">
        <v>1.572239009327905E-2</v>
      </c>
      <c r="G2736" s="422">
        <v>514.74240119084686</v>
      </c>
      <c r="H2736" s="417" t="s">
        <v>2616</v>
      </c>
      <c r="I2736" s="417" t="s">
        <v>1392</v>
      </c>
      <c r="J2736" s="417" t="s">
        <v>7898</v>
      </c>
      <c r="K2736" s="417" t="s">
        <v>7901</v>
      </c>
      <c r="L2736" s="417"/>
      <c r="M2736" s="417" t="s">
        <v>28840</v>
      </c>
    </row>
    <row r="2737" spans="1:13" x14ac:dyDescent="0.25">
      <c r="A2737" s="417" t="s">
        <v>3385</v>
      </c>
      <c r="B2737" s="417" t="s">
        <v>3405</v>
      </c>
      <c r="C2737" s="417" t="s">
        <v>7902</v>
      </c>
      <c r="D2737" s="417" t="s">
        <v>224</v>
      </c>
      <c r="E2737" s="423">
        <v>0.18397460565696619</v>
      </c>
      <c r="F2737" s="423">
        <v>4.974687447944575E-2</v>
      </c>
      <c r="G2737" s="422">
        <v>366.34043607816449</v>
      </c>
      <c r="H2737" s="417" t="s">
        <v>2616</v>
      </c>
      <c r="I2737" s="417" t="s">
        <v>1392</v>
      </c>
      <c r="J2737" s="417" t="s">
        <v>7898</v>
      </c>
      <c r="K2737" s="417" t="s">
        <v>7903</v>
      </c>
      <c r="L2737" s="417"/>
      <c r="M2737" s="417" t="s">
        <v>28840</v>
      </c>
    </row>
    <row r="2738" spans="1:13" x14ac:dyDescent="0.25">
      <c r="A2738" s="417" t="s">
        <v>3385</v>
      </c>
      <c r="B2738" s="417" t="s">
        <v>3405</v>
      </c>
      <c r="C2738" s="417" t="s">
        <v>7904</v>
      </c>
      <c r="D2738" s="417" t="s">
        <v>224</v>
      </c>
      <c r="E2738" s="423">
        <v>0.64621658793471493</v>
      </c>
      <c r="F2738" s="423">
        <v>1.0630618391297791E-2</v>
      </c>
      <c r="G2738" s="422">
        <v>803.83888902977014</v>
      </c>
      <c r="H2738" s="417" t="s">
        <v>2616</v>
      </c>
      <c r="I2738" s="417" t="s">
        <v>1392</v>
      </c>
      <c r="J2738" s="417" t="s">
        <v>7898</v>
      </c>
      <c r="K2738" s="417" t="s">
        <v>7905</v>
      </c>
      <c r="L2738" s="417"/>
      <c r="M2738" s="417" t="s">
        <v>28840</v>
      </c>
    </row>
    <row r="2739" spans="1:13" x14ac:dyDescent="0.25">
      <c r="A2739" s="417" t="s">
        <v>3385</v>
      </c>
      <c r="B2739" s="417" t="s">
        <v>3405</v>
      </c>
      <c r="C2739" s="417" t="s">
        <v>7906</v>
      </c>
      <c r="D2739" s="417" t="s">
        <v>224</v>
      </c>
      <c r="E2739" s="423">
        <v>0.80381122077150435</v>
      </c>
      <c r="F2739" s="423">
        <v>1.39825361766494E-2</v>
      </c>
      <c r="G2739" s="422">
        <v>1025.4149367584971</v>
      </c>
      <c r="H2739" s="417" t="s">
        <v>2616</v>
      </c>
      <c r="I2739" s="417" t="s">
        <v>1392</v>
      </c>
      <c r="J2739" s="417" t="s">
        <v>7898</v>
      </c>
      <c r="K2739" s="417" t="s">
        <v>7907</v>
      </c>
      <c r="L2739" s="417"/>
      <c r="M2739" s="417" t="s">
        <v>28840</v>
      </c>
    </row>
    <row r="2740" spans="1:13" x14ac:dyDescent="0.25">
      <c r="A2740" s="417" t="s">
        <v>3385</v>
      </c>
      <c r="B2740" s="417" t="s">
        <v>3405</v>
      </c>
      <c r="C2740" s="417" t="s">
        <v>7908</v>
      </c>
      <c r="D2740" s="417" t="s">
        <v>224</v>
      </c>
      <c r="E2740" s="423">
        <v>0.64050680062049514</v>
      </c>
      <c r="F2740" s="423">
        <v>4.3455444527998807E-3</v>
      </c>
      <c r="G2740" s="422">
        <v>888.04084479375638</v>
      </c>
      <c r="H2740" s="417" t="s">
        <v>2616</v>
      </c>
      <c r="I2740" s="417" t="s">
        <v>1392</v>
      </c>
      <c r="J2740" s="417" t="s">
        <v>7898</v>
      </c>
      <c r="K2740" s="417" t="s">
        <v>7909</v>
      </c>
      <c r="L2740" s="417"/>
      <c r="M2740" s="417" t="s">
        <v>28840</v>
      </c>
    </row>
    <row r="2741" spans="1:13" x14ac:dyDescent="0.25">
      <c r="A2741" s="417" t="s">
        <v>3385</v>
      </c>
      <c r="B2741" s="417" t="s">
        <v>3405</v>
      </c>
      <c r="C2741" s="417" t="s">
        <v>7910</v>
      </c>
      <c r="D2741" s="417" t="s">
        <v>224</v>
      </c>
      <c r="E2741" s="423">
        <v>0.16088362046565879</v>
      </c>
      <c r="F2741" s="423">
        <v>3.0220754060214489E-2</v>
      </c>
      <c r="G2741" s="422">
        <v>436.36374135322791</v>
      </c>
      <c r="H2741" s="417" t="s">
        <v>2616</v>
      </c>
      <c r="I2741" s="417" t="s">
        <v>1392</v>
      </c>
      <c r="J2741" s="417" t="s">
        <v>7898</v>
      </c>
      <c r="K2741" s="417" t="s">
        <v>7911</v>
      </c>
      <c r="L2741" s="417"/>
      <c r="M2741" s="417" t="s">
        <v>28840</v>
      </c>
    </row>
    <row r="2742" spans="1:13" x14ac:dyDescent="0.25">
      <c r="A2742" s="417" t="s">
        <v>3385</v>
      </c>
      <c r="B2742" s="417" t="s">
        <v>3405</v>
      </c>
      <c r="C2742" s="417" t="s">
        <v>7912</v>
      </c>
      <c r="D2742" s="417" t="s">
        <v>224</v>
      </c>
      <c r="E2742" s="423">
        <v>0.40042199491642649</v>
      </c>
      <c r="F2742" s="423">
        <v>3.067745691422644E-2</v>
      </c>
      <c r="G2742" s="422">
        <v>822.37090344039075</v>
      </c>
      <c r="H2742" s="417" t="s">
        <v>2616</v>
      </c>
      <c r="I2742" s="417" t="s">
        <v>1392</v>
      </c>
      <c r="J2742" s="417" t="s">
        <v>7898</v>
      </c>
      <c r="K2742" s="417" t="s">
        <v>7913</v>
      </c>
      <c r="L2742" s="417"/>
      <c r="M2742" s="417" t="s">
        <v>28840</v>
      </c>
    </row>
    <row r="2743" spans="1:13" x14ac:dyDescent="0.25">
      <c r="A2743" s="417" t="s">
        <v>3385</v>
      </c>
      <c r="B2743" s="417" t="s">
        <v>3405</v>
      </c>
      <c r="C2743" s="417" t="s">
        <v>7914</v>
      </c>
      <c r="D2743" s="417" t="s">
        <v>224</v>
      </c>
      <c r="E2743" s="423">
        <v>8.7858528655107834E-2</v>
      </c>
      <c r="F2743" s="423">
        <v>6.3944305895116876E-2</v>
      </c>
      <c r="G2743" s="422">
        <v>156.73730004815121</v>
      </c>
      <c r="H2743" s="417" t="s">
        <v>2616</v>
      </c>
      <c r="I2743" s="417" t="s">
        <v>1392</v>
      </c>
      <c r="J2743" s="417" t="s">
        <v>7898</v>
      </c>
      <c r="K2743" s="417" t="s">
        <v>7915</v>
      </c>
      <c r="L2743" s="417"/>
      <c r="M2743" s="417" t="s">
        <v>28840</v>
      </c>
    </row>
    <row r="2744" spans="1:13" x14ac:dyDescent="0.25">
      <c r="A2744" s="417" t="s">
        <v>3385</v>
      </c>
      <c r="B2744" s="417" t="s">
        <v>3405</v>
      </c>
      <c r="C2744" s="417" t="s">
        <v>7916</v>
      </c>
      <c r="D2744" s="417" t="s">
        <v>224</v>
      </c>
      <c r="E2744" s="423">
        <v>0.1496965098912465</v>
      </c>
      <c r="F2744" s="423">
        <v>1.123478188093186E-2</v>
      </c>
      <c r="G2744" s="422">
        <v>272.37590285482719</v>
      </c>
      <c r="H2744" s="417" t="s">
        <v>2616</v>
      </c>
      <c r="I2744" s="417" t="s">
        <v>1392</v>
      </c>
      <c r="J2744" s="417" t="s">
        <v>7898</v>
      </c>
      <c r="K2744" s="417" t="s">
        <v>7917</v>
      </c>
      <c r="L2744" s="417"/>
      <c r="M2744" s="417" t="s">
        <v>28840</v>
      </c>
    </row>
    <row r="2745" spans="1:13" x14ac:dyDescent="0.25">
      <c r="A2745" s="417" t="s">
        <v>3385</v>
      </c>
      <c r="B2745" s="417" t="s">
        <v>3405</v>
      </c>
      <c r="C2745" s="417" t="s">
        <v>7918</v>
      </c>
      <c r="D2745" s="417" t="s">
        <v>224</v>
      </c>
      <c r="E2745" s="423">
        <v>8.1997970478522184E-2</v>
      </c>
      <c r="F2745" s="423">
        <v>2.0860231230918739E-2</v>
      </c>
      <c r="G2745" s="422">
        <v>383.41576473046752</v>
      </c>
      <c r="H2745" s="417" t="s">
        <v>2616</v>
      </c>
      <c r="I2745" s="417" t="s">
        <v>1392</v>
      </c>
      <c r="J2745" s="417" t="s">
        <v>7898</v>
      </c>
      <c r="K2745" s="417" t="s">
        <v>7919</v>
      </c>
      <c r="L2745" s="417"/>
      <c r="M2745" s="417" t="s">
        <v>28840</v>
      </c>
    </row>
    <row r="2746" spans="1:13" x14ac:dyDescent="0.25">
      <c r="A2746" s="417" t="s">
        <v>3385</v>
      </c>
      <c r="B2746" s="417" t="s">
        <v>3405</v>
      </c>
      <c r="C2746" s="417" t="s">
        <v>7920</v>
      </c>
      <c r="D2746" s="417" t="s">
        <v>224</v>
      </c>
      <c r="E2746" s="423">
        <v>0.30308027681194682</v>
      </c>
      <c r="F2746" s="423">
        <v>4.7530468388827123E-2</v>
      </c>
      <c r="G2746" s="422">
        <v>395.35081848233011</v>
      </c>
      <c r="H2746" s="417" t="s">
        <v>2616</v>
      </c>
      <c r="I2746" s="417" t="s">
        <v>1392</v>
      </c>
      <c r="J2746" s="417" t="s">
        <v>7898</v>
      </c>
      <c r="K2746" s="417" t="s">
        <v>7921</v>
      </c>
      <c r="L2746" s="417"/>
      <c r="M2746" s="417" t="s">
        <v>28840</v>
      </c>
    </row>
    <row r="2747" spans="1:13" x14ac:dyDescent="0.25">
      <c r="A2747" s="417" t="s">
        <v>3385</v>
      </c>
      <c r="B2747" s="417" t="s">
        <v>3405</v>
      </c>
      <c r="C2747" s="417" t="s">
        <v>7922</v>
      </c>
      <c r="D2747" s="417" t="s">
        <v>224</v>
      </c>
      <c r="E2747" s="423">
        <v>0.69787487346933463</v>
      </c>
      <c r="F2747" s="423">
        <v>1.558220748558759E-2</v>
      </c>
      <c r="G2747" s="422">
        <v>919.33209917485306</v>
      </c>
      <c r="H2747" s="417" t="s">
        <v>2616</v>
      </c>
      <c r="I2747" s="417" t="s">
        <v>1392</v>
      </c>
      <c r="J2747" s="417" t="s">
        <v>7898</v>
      </c>
      <c r="K2747" s="417" t="s">
        <v>7923</v>
      </c>
      <c r="L2747" s="417"/>
      <c r="M2747" s="417" t="s">
        <v>28840</v>
      </c>
    </row>
    <row r="2748" spans="1:13" x14ac:dyDescent="0.25">
      <c r="A2748" s="417" t="s">
        <v>3385</v>
      </c>
      <c r="B2748" s="417" t="s">
        <v>3405</v>
      </c>
      <c r="C2748" s="417" t="s">
        <v>7924</v>
      </c>
      <c r="D2748" s="417" t="s">
        <v>224</v>
      </c>
      <c r="E2748" s="423">
        <v>0.27612363987257899</v>
      </c>
      <c r="F2748" s="423">
        <v>2.0519660689254472E-2</v>
      </c>
      <c r="G2748" s="422">
        <v>355.88782355747412</v>
      </c>
      <c r="H2748" s="417" t="s">
        <v>2616</v>
      </c>
      <c r="I2748" s="417" t="s">
        <v>1392</v>
      </c>
      <c r="J2748" s="417" t="s">
        <v>7898</v>
      </c>
      <c r="K2748" s="417" t="s">
        <v>7925</v>
      </c>
      <c r="L2748" s="417"/>
      <c r="M2748" s="417" t="s">
        <v>28840</v>
      </c>
    </row>
    <row r="2749" spans="1:13" x14ac:dyDescent="0.25">
      <c r="A2749" s="417" t="s">
        <v>3385</v>
      </c>
      <c r="B2749" s="417" t="s">
        <v>3405</v>
      </c>
      <c r="C2749" s="417" t="s">
        <v>7926</v>
      </c>
      <c r="D2749" s="417" t="s">
        <v>224</v>
      </c>
      <c r="E2749" s="423">
        <v>0.47872557168815322</v>
      </c>
      <c r="F2749" s="423">
        <v>5.2191156267886771E-2</v>
      </c>
      <c r="G2749" s="422">
        <v>793.93065072217712</v>
      </c>
      <c r="H2749" s="417" t="s">
        <v>2616</v>
      </c>
      <c r="I2749" s="417" t="s">
        <v>1392</v>
      </c>
      <c r="J2749" s="417" t="s">
        <v>7898</v>
      </c>
      <c r="K2749" s="417" t="s">
        <v>7927</v>
      </c>
      <c r="L2749" s="417"/>
      <c r="M2749" s="417" t="s">
        <v>28840</v>
      </c>
    </row>
    <row r="2750" spans="1:13" x14ac:dyDescent="0.25">
      <c r="A2750" s="417" t="s">
        <v>3385</v>
      </c>
      <c r="B2750" s="417" t="s">
        <v>3405</v>
      </c>
      <c r="C2750" s="417" t="s">
        <v>7928</v>
      </c>
      <c r="D2750" s="417" t="s">
        <v>224</v>
      </c>
      <c r="E2750" s="423">
        <v>0.41313285344999379</v>
      </c>
      <c r="F2750" s="423">
        <v>5.6052478142621057E-2</v>
      </c>
      <c r="G2750" s="422">
        <v>636.09811265589235</v>
      </c>
      <c r="H2750" s="417" t="s">
        <v>2616</v>
      </c>
      <c r="I2750" s="417" t="s">
        <v>1392</v>
      </c>
      <c r="J2750" s="417" t="s">
        <v>7898</v>
      </c>
      <c r="K2750" s="417" t="s">
        <v>7929</v>
      </c>
      <c r="L2750" s="417"/>
      <c r="M2750" s="417" t="s">
        <v>28840</v>
      </c>
    </row>
    <row r="2751" spans="1:13" x14ac:dyDescent="0.25">
      <c r="A2751" s="417" t="s">
        <v>3385</v>
      </c>
      <c r="B2751" s="417" t="s">
        <v>3405</v>
      </c>
      <c r="C2751" s="417" t="s">
        <v>7930</v>
      </c>
      <c r="D2751" s="417" t="s">
        <v>224</v>
      </c>
      <c r="E2751" s="423">
        <v>0.1166325704452843</v>
      </c>
      <c r="F2751" s="423">
        <v>9.2274120309565832E-2</v>
      </c>
      <c r="G2751" s="422">
        <v>207.4543693562735</v>
      </c>
      <c r="H2751" s="417" t="s">
        <v>2616</v>
      </c>
      <c r="I2751" s="417" t="s">
        <v>1392</v>
      </c>
      <c r="J2751" s="417" t="s">
        <v>7898</v>
      </c>
      <c r="K2751" s="417" t="s">
        <v>7931</v>
      </c>
      <c r="L2751" s="417"/>
      <c r="M2751" s="417" t="s">
        <v>28840</v>
      </c>
    </row>
    <row r="2752" spans="1:13" x14ac:dyDescent="0.25">
      <c r="A2752" s="417" t="s">
        <v>3385</v>
      </c>
      <c r="B2752" s="417" t="s">
        <v>3405</v>
      </c>
      <c r="C2752" s="417" t="s">
        <v>7932</v>
      </c>
      <c r="D2752" s="417" t="s">
        <v>224</v>
      </c>
      <c r="E2752" s="423">
        <v>0.56168044906856696</v>
      </c>
      <c r="F2752" s="423">
        <v>2.42816490324196E-3</v>
      </c>
      <c r="G2752" s="422">
        <v>705.08934941655832</v>
      </c>
      <c r="H2752" s="417" t="s">
        <v>2616</v>
      </c>
      <c r="I2752" s="417" t="s">
        <v>1392</v>
      </c>
      <c r="J2752" s="417" t="s">
        <v>7898</v>
      </c>
      <c r="K2752" s="417" t="s">
        <v>7933</v>
      </c>
      <c r="L2752" s="417"/>
      <c r="M2752" s="417" t="s">
        <v>28840</v>
      </c>
    </row>
    <row r="2753" spans="1:13" x14ac:dyDescent="0.25">
      <c r="A2753" s="417" t="s">
        <v>3385</v>
      </c>
      <c r="B2753" s="417" t="s">
        <v>3405</v>
      </c>
      <c r="C2753" s="417" t="s">
        <v>7934</v>
      </c>
      <c r="D2753" s="417" t="s">
        <v>224</v>
      </c>
      <c r="E2753" s="423">
        <v>0.25457881713096547</v>
      </c>
      <c r="F2753" s="423">
        <v>0.13571525240930779</v>
      </c>
      <c r="G2753" s="422">
        <v>538.78978060971644</v>
      </c>
      <c r="H2753" s="417" t="s">
        <v>2616</v>
      </c>
      <c r="I2753" s="417" t="s">
        <v>1392</v>
      </c>
      <c r="J2753" s="417" t="s">
        <v>7898</v>
      </c>
      <c r="K2753" s="417" t="s">
        <v>7935</v>
      </c>
      <c r="L2753" s="417"/>
      <c r="M2753" s="417" t="s">
        <v>28840</v>
      </c>
    </row>
    <row r="2754" spans="1:13" x14ac:dyDescent="0.25">
      <c r="A2754" s="417" t="s">
        <v>3385</v>
      </c>
      <c r="B2754" s="417" t="s">
        <v>3405</v>
      </c>
      <c r="C2754" s="417" t="s">
        <v>7936</v>
      </c>
      <c r="D2754" s="417" t="s">
        <v>224</v>
      </c>
      <c r="E2754" s="423">
        <v>0.45463676655333068</v>
      </c>
      <c r="F2754" s="423">
        <v>1.2004263836278681E-3</v>
      </c>
      <c r="G2754" s="422">
        <v>567.59534850279363</v>
      </c>
      <c r="H2754" s="417" t="s">
        <v>2616</v>
      </c>
      <c r="I2754" s="417" t="s">
        <v>1392</v>
      </c>
      <c r="J2754" s="417" t="s">
        <v>7898</v>
      </c>
      <c r="K2754" s="417" t="s">
        <v>7937</v>
      </c>
      <c r="L2754" s="417"/>
      <c r="M2754" s="417" t="s">
        <v>28840</v>
      </c>
    </row>
    <row r="2755" spans="1:13" x14ac:dyDescent="0.25">
      <c r="A2755" s="417" t="s">
        <v>3385</v>
      </c>
      <c r="B2755" s="417" t="s">
        <v>3405</v>
      </c>
      <c r="C2755" s="417" t="s">
        <v>7938</v>
      </c>
      <c r="D2755" s="417" t="s">
        <v>224</v>
      </c>
      <c r="E2755" s="423">
        <v>0.2549942543493896</v>
      </c>
      <c r="F2755" s="423">
        <v>3.2301966486217963E-2</v>
      </c>
      <c r="G2755" s="422">
        <v>515.09998627236098</v>
      </c>
      <c r="H2755" s="417" t="s">
        <v>2616</v>
      </c>
      <c r="I2755" s="417" t="s">
        <v>1392</v>
      </c>
      <c r="J2755" s="417" t="s">
        <v>7898</v>
      </c>
      <c r="K2755" s="417" t="s">
        <v>7939</v>
      </c>
      <c r="L2755" s="417"/>
      <c r="M2755" s="417" t="s">
        <v>28840</v>
      </c>
    </row>
    <row r="2756" spans="1:13" x14ac:dyDescent="0.25">
      <c r="A2756" s="417" t="s">
        <v>3385</v>
      </c>
      <c r="B2756" s="417" t="s">
        <v>3405</v>
      </c>
      <c r="C2756" s="417" t="s">
        <v>7940</v>
      </c>
      <c r="D2756" s="417" t="s">
        <v>224</v>
      </c>
      <c r="E2756" s="423">
        <v>0.18994480457006729</v>
      </c>
      <c r="F2756" s="423">
        <v>1.482020000476739E-2</v>
      </c>
      <c r="G2756" s="422">
        <v>428.92819067603131</v>
      </c>
      <c r="H2756" s="417" t="s">
        <v>2616</v>
      </c>
      <c r="I2756" s="417" t="s">
        <v>1392</v>
      </c>
      <c r="J2756" s="417" t="s">
        <v>7898</v>
      </c>
      <c r="K2756" s="417" t="s">
        <v>7941</v>
      </c>
      <c r="L2756" s="417"/>
      <c r="M2756" s="417" t="s">
        <v>28840</v>
      </c>
    </row>
    <row r="2757" spans="1:13" x14ac:dyDescent="0.25">
      <c r="A2757" s="417" t="s">
        <v>3385</v>
      </c>
      <c r="B2757" s="417" t="s">
        <v>3405</v>
      </c>
      <c r="C2757" s="417" t="s">
        <v>7942</v>
      </c>
      <c r="D2757" s="417" t="s">
        <v>224</v>
      </c>
      <c r="E2757" s="423">
        <v>6.7258659653271474E-3</v>
      </c>
      <c r="F2757" s="423">
        <v>6.4951280140614998E-4</v>
      </c>
      <c r="G2757" s="422">
        <v>28.262936834815019</v>
      </c>
      <c r="H2757" s="417" t="s">
        <v>2616</v>
      </c>
      <c r="I2757" s="417" t="s">
        <v>1392</v>
      </c>
      <c r="J2757" s="417" t="s">
        <v>7898</v>
      </c>
      <c r="K2757" s="417" t="s">
        <v>7943</v>
      </c>
      <c r="L2757" s="417"/>
      <c r="M2757" s="417" t="s">
        <v>28840</v>
      </c>
    </row>
    <row r="2758" spans="1:13" x14ac:dyDescent="0.25">
      <c r="A2758" s="417" t="s">
        <v>3385</v>
      </c>
      <c r="B2758" s="417" t="s">
        <v>3405</v>
      </c>
      <c r="C2758" s="417" t="s">
        <v>7944</v>
      </c>
      <c r="D2758" s="417" t="s">
        <v>224</v>
      </c>
      <c r="E2758" s="423">
        <v>0.1066598406563711</v>
      </c>
      <c r="F2758" s="423">
        <v>8.757301819656628E-2</v>
      </c>
      <c r="G2758" s="422">
        <v>366.80505795175912</v>
      </c>
      <c r="H2758" s="417" t="s">
        <v>2616</v>
      </c>
      <c r="I2758" s="417" t="s">
        <v>1392</v>
      </c>
      <c r="J2758" s="417" t="s">
        <v>7898</v>
      </c>
      <c r="K2758" s="417" t="s">
        <v>7945</v>
      </c>
      <c r="L2758" s="417"/>
      <c r="M2758" s="417" t="s">
        <v>28840</v>
      </c>
    </row>
    <row r="2759" spans="1:13" x14ac:dyDescent="0.25">
      <c r="A2759" s="417" t="s">
        <v>3385</v>
      </c>
      <c r="B2759" s="417" t="s">
        <v>3405</v>
      </c>
      <c r="C2759" s="417" t="s">
        <v>7946</v>
      </c>
      <c r="D2759" s="417" t="s">
        <v>224</v>
      </c>
      <c r="E2759" s="423">
        <v>6.4445400139447759E-2</v>
      </c>
      <c r="F2759" s="423">
        <v>1.363006968700653E-2</v>
      </c>
      <c r="G2759" s="422">
        <v>596.73495009393525</v>
      </c>
      <c r="H2759" s="417" t="s">
        <v>2616</v>
      </c>
      <c r="I2759" s="417" t="s">
        <v>1392</v>
      </c>
      <c r="J2759" s="417" t="s">
        <v>7898</v>
      </c>
      <c r="K2759" s="417" t="s">
        <v>7947</v>
      </c>
      <c r="L2759" s="417"/>
      <c r="M2759" s="417" t="s">
        <v>28840</v>
      </c>
    </row>
    <row r="2760" spans="1:13" x14ac:dyDescent="0.25">
      <c r="A2760" s="417" t="s">
        <v>3385</v>
      </c>
      <c r="B2760" s="417" t="s">
        <v>3405</v>
      </c>
      <c r="C2760" s="417" t="s">
        <v>7948</v>
      </c>
      <c r="D2760" s="417" t="s">
        <v>224</v>
      </c>
      <c r="E2760" s="423">
        <v>0.1839855669351019</v>
      </c>
      <c r="F2760" s="423">
        <v>6.8522760799331325E-2</v>
      </c>
      <c r="G2760" s="422">
        <v>385.55793425642878</v>
      </c>
      <c r="H2760" s="417" t="s">
        <v>2616</v>
      </c>
      <c r="I2760" s="417" t="s">
        <v>1392</v>
      </c>
      <c r="J2760" s="417" t="s">
        <v>7898</v>
      </c>
      <c r="K2760" s="417" t="s">
        <v>7949</v>
      </c>
      <c r="L2760" s="417"/>
      <c r="M2760" s="417" t="s">
        <v>28840</v>
      </c>
    </row>
    <row r="2761" spans="1:13" x14ac:dyDescent="0.25">
      <c r="A2761" s="417" t="s">
        <v>3385</v>
      </c>
      <c r="B2761" s="417" t="s">
        <v>3405</v>
      </c>
      <c r="C2761" s="417" t="s">
        <v>7950</v>
      </c>
      <c r="D2761" s="417" t="s">
        <v>224</v>
      </c>
      <c r="E2761" s="423">
        <v>0.54837947593863534</v>
      </c>
      <c r="F2761" s="423">
        <v>1.797570095590963E-2</v>
      </c>
      <c r="G2761" s="422">
        <v>777.09324245517951</v>
      </c>
      <c r="H2761" s="417" t="s">
        <v>2616</v>
      </c>
      <c r="I2761" s="417" t="s">
        <v>1392</v>
      </c>
      <c r="J2761" s="417" t="s">
        <v>7898</v>
      </c>
      <c r="K2761" s="417" t="s">
        <v>7951</v>
      </c>
      <c r="L2761" s="417"/>
      <c r="M2761" s="417" t="s">
        <v>28840</v>
      </c>
    </row>
    <row r="2762" spans="1:13" x14ac:dyDescent="0.25">
      <c r="A2762" s="417" t="s">
        <v>3385</v>
      </c>
      <c r="B2762" s="417" t="s">
        <v>3405</v>
      </c>
      <c r="C2762" s="417" t="s">
        <v>7952</v>
      </c>
      <c r="D2762" s="417" t="s">
        <v>224</v>
      </c>
      <c r="E2762" s="423">
        <v>0.37116217072502122</v>
      </c>
      <c r="F2762" s="423">
        <v>8.3477391947554686E-3</v>
      </c>
      <c r="G2762" s="422">
        <v>503.82363018947473</v>
      </c>
      <c r="H2762" s="417" t="s">
        <v>2616</v>
      </c>
      <c r="I2762" s="417" t="s">
        <v>1392</v>
      </c>
      <c r="J2762" s="417" t="s">
        <v>7898</v>
      </c>
      <c r="K2762" s="417" t="s">
        <v>7953</v>
      </c>
      <c r="L2762" s="417"/>
      <c r="M2762" s="417" t="s">
        <v>28840</v>
      </c>
    </row>
    <row r="2763" spans="1:13" x14ac:dyDescent="0.25">
      <c r="A2763" s="417" t="s">
        <v>3385</v>
      </c>
      <c r="B2763" s="417" t="s">
        <v>3405</v>
      </c>
      <c r="C2763" s="417" t="s">
        <v>7954</v>
      </c>
      <c r="D2763" s="417" t="s">
        <v>224</v>
      </c>
      <c r="E2763" s="423">
        <v>0.31010127389652309</v>
      </c>
      <c r="F2763" s="423">
        <v>2.7983217167950391E-2</v>
      </c>
      <c r="G2763" s="422">
        <v>449.40881082509378</v>
      </c>
      <c r="H2763" s="417" t="s">
        <v>2616</v>
      </c>
      <c r="I2763" s="417" t="s">
        <v>1392</v>
      </c>
      <c r="J2763" s="417" t="s">
        <v>7898</v>
      </c>
      <c r="K2763" s="417" t="s">
        <v>7955</v>
      </c>
      <c r="L2763" s="417"/>
      <c r="M2763" s="417" t="s">
        <v>28840</v>
      </c>
    </row>
    <row r="2764" spans="1:13" x14ac:dyDescent="0.25">
      <c r="A2764" s="417" t="s">
        <v>3385</v>
      </c>
      <c r="B2764" s="417" t="s">
        <v>3405</v>
      </c>
      <c r="C2764" s="417" t="s">
        <v>7956</v>
      </c>
      <c r="D2764" s="417" t="s">
        <v>224</v>
      </c>
      <c r="E2764" s="423">
        <v>0.23988708044258369</v>
      </c>
      <c r="F2764" s="423">
        <v>3.2556210165956487E-2</v>
      </c>
      <c r="G2764" s="422">
        <v>547.37409837859082</v>
      </c>
      <c r="H2764" s="417" t="s">
        <v>2616</v>
      </c>
      <c r="I2764" s="417" t="s">
        <v>1392</v>
      </c>
      <c r="J2764" s="417" t="s">
        <v>7898</v>
      </c>
      <c r="K2764" s="417" t="s">
        <v>7957</v>
      </c>
      <c r="L2764" s="417"/>
      <c r="M2764" s="417" t="s">
        <v>28840</v>
      </c>
    </row>
    <row r="2765" spans="1:13" x14ac:dyDescent="0.25">
      <c r="A2765" s="417" t="s">
        <v>3385</v>
      </c>
      <c r="B2765" s="417" t="s">
        <v>3405</v>
      </c>
      <c r="C2765" s="417" t="s">
        <v>7958</v>
      </c>
      <c r="D2765" s="417" t="s">
        <v>224</v>
      </c>
      <c r="E2765" s="423">
        <v>0.82333766408157316</v>
      </c>
      <c r="F2765" s="423">
        <v>5.5783864885260152E-2</v>
      </c>
      <c r="G2765" s="422">
        <v>999.44502943902683</v>
      </c>
      <c r="H2765" s="417" t="s">
        <v>2616</v>
      </c>
      <c r="I2765" s="417" t="s">
        <v>1392</v>
      </c>
      <c r="J2765" s="417" t="s">
        <v>7898</v>
      </c>
      <c r="K2765" s="417" t="s">
        <v>7959</v>
      </c>
      <c r="L2765" s="417"/>
      <c r="M2765" s="417" t="s">
        <v>28840</v>
      </c>
    </row>
    <row r="2766" spans="1:13" x14ac:dyDescent="0.25">
      <c r="A2766" s="417" t="s">
        <v>3385</v>
      </c>
      <c r="B2766" s="417" t="s">
        <v>3405</v>
      </c>
      <c r="C2766" s="417" t="s">
        <v>7960</v>
      </c>
      <c r="D2766" s="417" t="s">
        <v>224</v>
      </c>
      <c r="E2766" s="423">
        <v>0.30254595707799181</v>
      </c>
      <c r="F2766" s="423">
        <v>1.9738745759956551E-2</v>
      </c>
      <c r="G2766" s="422">
        <v>412.59539018885812</v>
      </c>
      <c r="H2766" s="417" t="s">
        <v>2616</v>
      </c>
      <c r="I2766" s="417" t="s">
        <v>1392</v>
      </c>
      <c r="J2766" s="417" t="s">
        <v>7898</v>
      </c>
      <c r="K2766" s="417" t="s">
        <v>7961</v>
      </c>
      <c r="L2766" s="417"/>
      <c r="M2766" s="417" t="s">
        <v>28840</v>
      </c>
    </row>
    <row r="2767" spans="1:13" x14ac:dyDescent="0.25">
      <c r="A2767" s="417" t="s">
        <v>3385</v>
      </c>
      <c r="B2767" s="417" t="s">
        <v>3405</v>
      </c>
      <c r="C2767" s="417" t="s">
        <v>7962</v>
      </c>
      <c r="D2767" s="417" t="s">
        <v>224</v>
      </c>
      <c r="E2767" s="423">
        <v>0.5501992809140861</v>
      </c>
      <c r="F2767" s="423">
        <v>1.50154426115271E-3</v>
      </c>
      <c r="G2767" s="422">
        <v>673.12160105045302</v>
      </c>
      <c r="H2767" s="417" t="s">
        <v>2616</v>
      </c>
      <c r="I2767" s="417" t="s">
        <v>1392</v>
      </c>
      <c r="J2767" s="417" t="s">
        <v>7898</v>
      </c>
      <c r="K2767" s="417" t="s">
        <v>7963</v>
      </c>
      <c r="L2767" s="417"/>
      <c r="M2767" s="417" t="s">
        <v>28840</v>
      </c>
    </row>
    <row r="2768" spans="1:13" x14ac:dyDescent="0.25">
      <c r="A2768" s="417" t="s">
        <v>3385</v>
      </c>
      <c r="B2768" s="417" t="s">
        <v>3405</v>
      </c>
      <c r="C2768" s="417" t="s">
        <v>7964</v>
      </c>
      <c r="D2768" s="417" t="s">
        <v>224</v>
      </c>
      <c r="E2768" s="423">
        <v>0.91113575573423067</v>
      </c>
      <c r="F2768" s="423">
        <v>1.9045064256656561E-2</v>
      </c>
      <c r="G2768" s="422">
        <v>1377.6292206291209</v>
      </c>
      <c r="H2768" s="417" t="s">
        <v>2616</v>
      </c>
      <c r="I2768" s="417" t="s">
        <v>1392</v>
      </c>
      <c r="J2768" s="417" t="s">
        <v>7898</v>
      </c>
      <c r="K2768" s="417" t="s">
        <v>7965</v>
      </c>
      <c r="L2768" s="417"/>
      <c r="M2768" s="417" t="s">
        <v>28840</v>
      </c>
    </row>
    <row r="2769" spans="1:13" x14ac:dyDescent="0.25">
      <c r="A2769" s="417" t="s">
        <v>3385</v>
      </c>
      <c r="B2769" s="417" t="s">
        <v>3405</v>
      </c>
      <c r="C2769" s="417" t="s">
        <v>7966</v>
      </c>
      <c r="D2769" s="417" t="s">
        <v>224</v>
      </c>
      <c r="E2769" s="423">
        <v>0.67576264795824381</v>
      </c>
      <c r="F2769" s="423">
        <v>2.2126019938836401E-3</v>
      </c>
      <c r="G2769" s="422">
        <v>893.49507698211039</v>
      </c>
      <c r="H2769" s="417" t="s">
        <v>2616</v>
      </c>
      <c r="I2769" s="417" t="s">
        <v>1392</v>
      </c>
      <c r="J2769" s="417" t="s">
        <v>7898</v>
      </c>
      <c r="K2769" s="417" t="s">
        <v>7967</v>
      </c>
      <c r="L2769" s="417"/>
      <c r="M2769" s="417" t="s">
        <v>28840</v>
      </c>
    </row>
    <row r="2770" spans="1:13" x14ac:dyDescent="0.25">
      <c r="A2770" s="417" t="s">
        <v>3385</v>
      </c>
      <c r="B2770" s="417" t="s">
        <v>3405</v>
      </c>
      <c r="C2770" s="417" t="s">
        <v>7968</v>
      </c>
      <c r="D2770" s="417" t="s">
        <v>224</v>
      </c>
      <c r="E2770" s="423">
        <v>0.51497924421375085</v>
      </c>
      <c r="F2770" s="423">
        <v>2.5124033442448131E-3</v>
      </c>
      <c r="G2770" s="422">
        <v>662.29655070913873</v>
      </c>
      <c r="H2770" s="417" t="s">
        <v>2616</v>
      </c>
      <c r="I2770" s="417" t="s">
        <v>1392</v>
      </c>
      <c r="J2770" s="417" t="s">
        <v>7898</v>
      </c>
      <c r="K2770" s="417" t="s">
        <v>7969</v>
      </c>
      <c r="L2770" s="417"/>
      <c r="M2770" s="417" t="s">
        <v>28840</v>
      </c>
    </row>
    <row r="2771" spans="1:13" x14ac:dyDescent="0.25">
      <c r="A2771" s="417" t="s">
        <v>3385</v>
      </c>
      <c r="B2771" s="417" t="s">
        <v>3405</v>
      </c>
      <c r="C2771" s="417" t="s">
        <v>7970</v>
      </c>
      <c r="D2771" s="417" t="s">
        <v>224</v>
      </c>
      <c r="E2771" s="423">
        <v>2.7268412273439652E-2</v>
      </c>
      <c r="F2771" s="423">
        <v>7.3848821844355579E-6</v>
      </c>
      <c r="G2771" s="422">
        <v>35.287398994221697</v>
      </c>
      <c r="H2771" s="417" t="s">
        <v>2616</v>
      </c>
      <c r="I2771" s="417" t="s">
        <v>1392</v>
      </c>
      <c r="J2771" s="417" t="s">
        <v>7898</v>
      </c>
      <c r="K2771" s="417" t="s">
        <v>7971</v>
      </c>
      <c r="L2771" s="417"/>
      <c r="M2771" s="417" t="s">
        <v>28840</v>
      </c>
    </row>
    <row r="2772" spans="1:13" x14ac:dyDescent="0.25">
      <c r="A2772" s="417" t="s">
        <v>3385</v>
      </c>
      <c r="B2772" s="417" t="s">
        <v>3405</v>
      </c>
      <c r="C2772" s="417" t="s">
        <v>7972</v>
      </c>
      <c r="D2772" s="417" t="s">
        <v>224</v>
      </c>
      <c r="E2772" s="423">
        <v>0.31005129553856781</v>
      </c>
      <c r="F2772" s="423">
        <v>3.5114939171930697E-2</v>
      </c>
      <c r="G2772" s="422">
        <v>445.70311082993447</v>
      </c>
      <c r="H2772" s="417" t="s">
        <v>2616</v>
      </c>
      <c r="I2772" s="417" t="s">
        <v>1392</v>
      </c>
      <c r="J2772" s="417" t="s">
        <v>7898</v>
      </c>
      <c r="K2772" s="417" t="s">
        <v>7973</v>
      </c>
      <c r="L2772" s="417"/>
      <c r="M2772" s="417" t="s">
        <v>28840</v>
      </c>
    </row>
    <row r="2773" spans="1:13" x14ac:dyDescent="0.25">
      <c r="A2773" s="417" t="s">
        <v>3385</v>
      </c>
      <c r="B2773" s="417" t="s">
        <v>3405</v>
      </c>
      <c r="C2773" s="417" t="s">
        <v>7974</v>
      </c>
      <c r="D2773" s="417" t="s">
        <v>224</v>
      </c>
      <c r="E2773" s="423">
        <v>0.54911544061733741</v>
      </c>
      <c r="F2773" s="423">
        <v>3.216995244597487E-2</v>
      </c>
      <c r="G2773" s="422">
        <v>765.5975745915797</v>
      </c>
      <c r="H2773" s="417" t="s">
        <v>2616</v>
      </c>
      <c r="I2773" s="417" t="s">
        <v>1392</v>
      </c>
      <c r="J2773" s="417" t="s">
        <v>7898</v>
      </c>
      <c r="K2773" s="417" t="s">
        <v>7975</v>
      </c>
      <c r="L2773" s="417"/>
      <c r="M2773" s="417" t="s">
        <v>28840</v>
      </c>
    </row>
    <row r="2774" spans="1:13" x14ac:dyDescent="0.25">
      <c r="A2774" s="417" t="s">
        <v>3385</v>
      </c>
      <c r="B2774" s="417" t="s">
        <v>3405</v>
      </c>
      <c r="C2774" s="417" t="s">
        <v>7976</v>
      </c>
      <c r="D2774" s="417" t="s">
        <v>224</v>
      </c>
      <c r="E2774" s="423">
        <v>0.54276384129063682</v>
      </c>
      <c r="F2774" s="423">
        <v>1.433161377771832E-2</v>
      </c>
      <c r="G2774" s="422">
        <v>863.98966437215461</v>
      </c>
      <c r="H2774" s="417" t="s">
        <v>2616</v>
      </c>
      <c r="I2774" s="417" t="s">
        <v>1392</v>
      </c>
      <c r="J2774" s="417" t="s">
        <v>7898</v>
      </c>
      <c r="K2774" s="417" t="s">
        <v>7977</v>
      </c>
      <c r="L2774" s="417"/>
      <c r="M2774" s="417" t="s">
        <v>28840</v>
      </c>
    </row>
    <row r="2775" spans="1:13" x14ac:dyDescent="0.25">
      <c r="A2775" s="417" t="s">
        <v>3385</v>
      </c>
      <c r="B2775" s="417" t="s">
        <v>3405</v>
      </c>
      <c r="C2775" s="417" t="s">
        <v>7978</v>
      </c>
      <c r="D2775" s="417" t="s">
        <v>224</v>
      </c>
      <c r="E2775" s="423">
        <v>0.8184992865675772</v>
      </c>
      <c r="F2775" s="423">
        <v>2.4058666715560061E-3</v>
      </c>
      <c r="G2775" s="422">
        <v>1084.9039885643599</v>
      </c>
      <c r="H2775" s="417" t="s">
        <v>2616</v>
      </c>
      <c r="I2775" s="417" t="s">
        <v>1392</v>
      </c>
      <c r="J2775" s="417" t="s">
        <v>7898</v>
      </c>
      <c r="K2775" s="417" t="s">
        <v>7979</v>
      </c>
      <c r="L2775" s="417"/>
      <c r="M2775" s="417" t="s">
        <v>28840</v>
      </c>
    </row>
    <row r="2776" spans="1:13" x14ac:dyDescent="0.25">
      <c r="A2776" s="417" t="s">
        <v>3385</v>
      </c>
      <c r="B2776" s="417" t="s">
        <v>3405</v>
      </c>
      <c r="C2776" s="417" t="s">
        <v>7980</v>
      </c>
      <c r="D2776" s="417" t="s">
        <v>224</v>
      </c>
      <c r="E2776" s="423">
        <v>0.17841780761479931</v>
      </c>
      <c r="F2776" s="423">
        <v>4.7844407602845453E-2</v>
      </c>
      <c r="G2776" s="422">
        <v>321.64788975895078</v>
      </c>
      <c r="H2776" s="417" t="s">
        <v>2616</v>
      </c>
      <c r="I2776" s="417" t="s">
        <v>1392</v>
      </c>
      <c r="J2776" s="417" t="s">
        <v>7898</v>
      </c>
      <c r="K2776" s="417" t="s">
        <v>7981</v>
      </c>
      <c r="L2776" s="417"/>
      <c r="M2776" s="417" t="s">
        <v>28840</v>
      </c>
    </row>
    <row r="2777" spans="1:13" x14ac:dyDescent="0.25">
      <c r="A2777" s="417" t="s">
        <v>3385</v>
      </c>
      <c r="B2777" s="417" t="s">
        <v>3405</v>
      </c>
      <c r="C2777" s="417" t="s">
        <v>7982</v>
      </c>
      <c r="D2777" s="417" t="s">
        <v>224</v>
      </c>
      <c r="E2777" s="423">
        <v>0.34105908244808208</v>
      </c>
      <c r="F2777" s="423">
        <v>6.2147743029186867E-2</v>
      </c>
      <c r="G2777" s="422">
        <v>587.08705816752786</v>
      </c>
      <c r="H2777" s="417" t="s">
        <v>2616</v>
      </c>
      <c r="I2777" s="417" t="s">
        <v>1392</v>
      </c>
      <c r="J2777" s="417" t="s">
        <v>7898</v>
      </c>
      <c r="K2777" s="417" t="s">
        <v>7983</v>
      </c>
      <c r="L2777" s="417"/>
      <c r="M2777" s="417" t="s">
        <v>28840</v>
      </c>
    </row>
    <row r="2778" spans="1:13" x14ac:dyDescent="0.25">
      <c r="A2778" s="417" t="s">
        <v>3385</v>
      </c>
      <c r="B2778" s="417" t="s">
        <v>3405</v>
      </c>
      <c r="C2778" s="417" t="s">
        <v>7984</v>
      </c>
      <c r="D2778" s="417" t="s">
        <v>224</v>
      </c>
      <c r="E2778" s="423">
        <v>0.18576948520210931</v>
      </c>
      <c r="F2778" s="423">
        <v>9.0578067371032592E-2</v>
      </c>
      <c r="G2778" s="422">
        <v>329.86165780015818</v>
      </c>
      <c r="H2778" s="417" t="s">
        <v>2616</v>
      </c>
      <c r="I2778" s="417" t="s">
        <v>1392</v>
      </c>
      <c r="J2778" s="417" t="s">
        <v>7898</v>
      </c>
      <c r="K2778" s="417" t="s">
        <v>7985</v>
      </c>
      <c r="L2778" s="417"/>
      <c r="M2778" s="417" t="s">
        <v>28840</v>
      </c>
    </row>
    <row r="2779" spans="1:13" x14ac:dyDescent="0.25">
      <c r="A2779" s="417" t="s">
        <v>3385</v>
      </c>
      <c r="B2779" s="417" t="s">
        <v>3405</v>
      </c>
      <c r="C2779" s="417" t="s">
        <v>7986</v>
      </c>
      <c r="D2779" s="417" t="s">
        <v>224</v>
      </c>
      <c r="E2779" s="423">
        <v>0.78456977575976428</v>
      </c>
      <c r="F2779" s="423">
        <v>2.714482414776594E-3</v>
      </c>
      <c r="G2779" s="422">
        <v>938.50010749849696</v>
      </c>
      <c r="H2779" s="417" t="s">
        <v>2616</v>
      </c>
      <c r="I2779" s="417" t="s">
        <v>1392</v>
      </c>
      <c r="J2779" s="417" t="s">
        <v>7898</v>
      </c>
      <c r="K2779" s="417" t="s">
        <v>7987</v>
      </c>
      <c r="L2779" s="417"/>
      <c r="M2779" s="417" t="s">
        <v>28840</v>
      </c>
    </row>
    <row r="2780" spans="1:13" x14ac:dyDescent="0.25">
      <c r="A2780" s="417" t="s">
        <v>3385</v>
      </c>
      <c r="B2780" s="417" t="s">
        <v>3405</v>
      </c>
      <c r="C2780" s="417" t="s">
        <v>7988</v>
      </c>
      <c r="D2780" s="417" t="s">
        <v>224</v>
      </c>
      <c r="E2780" s="423">
        <v>0.58361488634602299</v>
      </c>
      <c r="F2780" s="423">
        <v>1.1671078655319109E-2</v>
      </c>
      <c r="G2780" s="422">
        <v>904.8070738413021</v>
      </c>
      <c r="H2780" s="417" t="s">
        <v>2616</v>
      </c>
      <c r="I2780" s="417" t="s">
        <v>1392</v>
      </c>
      <c r="J2780" s="417" t="s">
        <v>7898</v>
      </c>
      <c r="K2780" s="417" t="s">
        <v>7989</v>
      </c>
      <c r="L2780" s="417"/>
      <c r="M2780" s="417" t="s">
        <v>28840</v>
      </c>
    </row>
    <row r="2781" spans="1:13" x14ac:dyDescent="0.25">
      <c r="A2781" s="417" t="s">
        <v>3385</v>
      </c>
      <c r="B2781" s="417" t="s">
        <v>3405</v>
      </c>
      <c r="C2781" s="417" t="s">
        <v>7990</v>
      </c>
      <c r="D2781" s="417" t="s">
        <v>224</v>
      </c>
      <c r="E2781" s="423">
        <v>0.5140090406491219</v>
      </c>
      <c r="F2781" s="423">
        <v>8.9966782541403938E-3</v>
      </c>
      <c r="G2781" s="422">
        <v>691.21988458766953</v>
      </c>
      <c r="H2781" s="417" t="s">
        <v>2616</v>
      </c>
      <c r="I2781" s="417" t="s">
        <v>1392</v>
      </c>
      <c r="J2781" s="417" t="s">
        <v>7898</v>
      </c>
      <c r="K2781" s="417" t="s">
        <v>7991</v>
      </c>
      <c r="L2781" s="417"/>
      <c r="M2781" s="417" t="s">
        <v>28840</v>
      </c>
    </row>
    <row r="2782" spans="1:13" x14ac:dyDescent="0.25">
      <c r="A2782" s="417" t="s">
        <v>3385</v>
      </c>
      <c r="B2782" s="417" t="s">
        <v>3405</v>
      </c>
      <c r="C2782" s="417" t="s">
        <v>7992</v>
      </c>
      <c r="D2782" s="417" t="s">
        <v>224</v>
      </c>
      <c r="E2782" s="423">
        <v>0.72996544737980507</v>
      </c>
      <c r="F2782" s="423">
        <v>7.534173759601079E-3</v>
      </c>
      <c r="G2782" s="422">
        <v>898.90188466651898</v>
      </c>
      <c r="H2782" s="417" t="s">
        <v>2616</v>
      </c>
      <c r="I2782" s="417" t="s">
        <v>1392</v>
      </c>
      <c r="J2782" s="417" t="s">
        <v>7898</v>
      </c>
      <c r="K2782" s="417" t="s">
        <v>7993</v>
      </c>
      <c r="L2782" s="417"/>
      <c r="M2782" s="417" t="s">
        <v>28840</v>
      </c>
    </row>
    <row r="2783" spans="1:13" x14ac:dyDescent="0.25">
      <c r="A2783" s="417" t="s">
        <v>3385</v>
      </c>
      <c r="B2783" s="417" t="s">
        <v>3405</v>
      </c>
      <c r="C2783" s="417" t="s">
        <v>7994</v>
      </c>
      <c r="D2783" s="417" t="s">
        <v>224</v>
      </c>
      <c r="E2783" s="423">
        <v>0.4384916538338971</v>
      </c>
      <c r="F2783" s="423">
        <v>1.995183680287606E-3</v>
      </c>
      <c r="G2783" s="422">
        <v>554.04623048796282</v>
      </c>
      <c r="H2783" s="417" t="s">
        <v>2616</v>
      </c>
      <c r="I2783" s="417" t="s">
        <v>1392</v>
      </c>
      <c r="J2783" s="417" t="s">
        <v>7898</v>
      </c>
      <c r="K2783" s="417" t="s">
        <v>7995</v>
      </c>
      <c r="L2783" s="417"/>
      <c r="M2783" s="417" t="s">
        <v>28840</v>
      </c>
    </row>
    <row r="2784" spans="1:13" x14ac:dyDescent="0.25">
      <c r="A2784" s="417" t="s">
        <v>3385</v>
      </c>
      <c r="B2784" s="417" t="s">
        <v>3405</v>
      </c>
      <c r="C2784" s="417" t="s">
        <v>7996</v>
      </c>
      <c r="D2784" s="417" t="s">
        <v>224</v>
      </c>
      <c r="E2784" s="423">
        <v>0.2705458710820785</v>
      </c>
      <c r="F2784" s="423">
        <v>4.1413770469005157E-2</v>
      </c>
      <c r="G2784" s="422">
        <v>384.87118671861742</v>
      </c>
      <c r="H2784" s="417" t="s">
        <v>2616</v>
      </c>
      <c r="I2784" s="417" t="s">
        <v>1392</v>
      </c>
      <c r="J2784" s="417" t="s">
        <v>7898</v>
      </c>
      <c r="K2784" s="417" t="s">
        <v>7997</v>
      </c>
      <c r="L2784" s="417"/>
      <c r="M2784" s="417" t="s">
        <v>28840</v>
      </c>
    </row>
    <row r="2785" spans="1:13" x14ac:dyDescent="0.25">
      <c r="A2785" s="417" t="s">
        <v>3385</v>
      </c>
      <c r="B2785" s="417" t="s">
        <v>3405</v>
      </c>
      <c r="C2785" s="417" t="s">
        <v>7998</v>
      </c>
      <c r="D2785" s="417" t="s">
        <v>224</v>
      </c>
      <c r="E2785" s="423">
        <v>4.6542044052331373E-2</v>
      </c>
      <c r="F2785" s="423">
        <v>5.1516575293953449E-3</v>
      </c>
      <c r="G2785" s="422">
        <v>75.146063962718031</v>
      </c>
      <c r="H2785" s="417" t="s">
        <v>2616</v>
      </c>
      <c r="I2785" s="417" t="s">
        <v>1392</v>
      </c>
      <c r="J2785" s="417" t="s">
        <v>7898</v>
      </c>
      <c r="K2785" s="417" t="s">
        <v>7999</v>
      </c>
      <c r="L2785" s="417"/>
      <c r="M2785" s="417" t="s">
        <v>28840</v>
      </c>
    </row>
    <row r="2786" spans="1:13" x14ac:dyDescent="0.25">
      <c r="A2786" s="417" t="s">
        <v>3385</v>
      </c>
      <c r="B2786" s="417" t="s">
        <v>3405</v>
      </c>
      <c r="C2786" s="417" t="s">
        <v>8000</v>
      </c>
      <c r="D2786" s="417" t="s">
        <v>224</v>
      </c>
      <c r="E2786" s="423">
        <v>0.11125534120437031</v>
      </c>
      <c r="F2786" s="423">
        <v>1.233517474875338E-2</v>
      </c>
      <c r="G2786" s="422">
        <v>209.0568372289728</v>
      </c>
      <c r="H2786" s="417" t="s">
        <v>2616</v>
      </c>
      <c r="I2786" s="417" t="s">
        <v>1392</v>
      </c>
      <c r="J2786" s="417" t="s">
        <v>7898</v>
      </c>
      <c r="K2786" s="417" t="s">
        <v>8001</v>
      </c>
      <c r="L2786" s="417"/>
      <c r="M2786" s="417" t="s">
        <v>28840</v>
      </c>
    </row>
    <row r="2787" spans="1:13" x14ac:dyDescent="0.25">
      <c r="A2787" s="417" t="s">
        <v>3385</v>
      </c>
      <c r="B2787" s="417" t="s">
        <v>3405</v>
      </c>
      <c r="C2787" s="417" t="s">
        <v>8002</v>
      </c>
      <c r="D2787" s="417" t="s">
        <v>224</v>
      </c>
      <c r="E2787" s="423">
        <v>0.25609498328946412</v>
      </c>
      <c r="F2787" s="423">
        <v>8.2065381703719104E-3</v>
      </c>
      <c r="G2787" s="422">
        <v>329.70330351977333</v>
      </c>
      <c r="H2787" s="417" t="s">
        <v>2616</v>
      </c>
      <c r="I2787" s="417" t="s">
        <v>1392</v>
      </c>
      <c r="J2787" s="417" t="s">
        <v>7898</v>
      </c>
      <c r="K2787" s="417" t="s">
        <v>8003</v>
      </c>
      <c r="L2787" s="417"/>
      <c r="M2787" s="417" t="s">
        <v>28840</v>
      </c>
    </row>
    <row r="2788" spans="1:13" x14ac:dyDescent="0.25">
      <c r="A2788" s="417" t="s">
        <v>3385</v>
      </c>
      <c r="B2788" s="417" t="s">
        <v>3405</v>
      </c>
      <c r="C2788" s="417" t="s">
        <v>8004</v>
      </c>
      <c r="D2788" s="417" t="s">
        <v>224</v>
      </c>
      <c r="E2788" s="423">
        <v>0.76745548565191568</v>
      </c>
      <c r="F2788" s="423">
        <v>1.0994544940421199E-2</v>
      </c>
      <c r="G2788" s="422">
        <v>927.42535361367868</v>
      </c>
      <c r="H2788" s="417" t="s">
        <v>2616</v>
      </c>
      <c r="I2788" s="417" t="s">
        <v>1392</v>
      </c>
      <c r="J2788" s="417" t="s">
        <v>7898</v>
      </c>
      <c r="K2788" s="417" t="s">
        <v>8005</v>
      </c>
      <c r="L2788" s="417"/>
      <c r="M2788" s="417" t="s">
        <v>28840</v>
      </c>
    </row>
    <row r="2789" spans="1:13" x14ac:dyDescent="0.25">
      <c r="A2789" s="417" t="s">
        <v>3385</v>
      </c>
      <c r="B2789" s="417" t="s">
        <v>3405</v>
      </c>
      <c r="C2789" s="417" t="s">
        <v>8006</v>
      </c>
      <c r="D2789" s="417" t="s">
        <v>224</v>
      </c>
      <c r="E2789" s="423">
        <v>0.5040593053186182</v>
      </c>
      <c r="F2789" s="423">
        <v>1.0816931763788101E-2</v>
      </c>
      <c r="G2789" s="422">
        <v>768.66693289706814</v>
      </c>
      <c r="H2789" s="417" t="s">
        <v>2616</v>
      </c>
      <c r="I2789" s="417" t="s">
        <v>1392</v>
      </c>
      <c r="J2789" s="417" t="s">
        <v>7898</v>
      </c>
      <c r="K2789" s="417" t="s">
        <v>8007</v>
      </c>
      <c r="L2789" s="417"/>
      <c r="M2789" s="417" t="s">
        <v>28840</v>
      </c>
    </row>
    <row r="2790" spans="1:13" x14ac:dyDescent="0.25">
      <c r="A2790" s="417" t="s">
        <v>3385</v>
      </c>
      <c r="B2790" s="417" t="s">
        <v>3405</v>
      </c>
      <c r="C2790" s="417" t="s">
        <v>8008</v>
      </c>
      <c r="D2790" s="417" t="s">
        <v>224</v>
      </c>
      <c r="E2790" s="423">
        <v>0.70145017818045197</v>
      </c>
      <c r="F2790" s="423">
        <v>3.8126602203708539E-2</v>
      </c>
      <c r="G2790" s="422">
        <v>910.06759491970615</v>
      </c>
      <c r="H2790" s="417" t="s">
        <v>2616</v>
      </c>
      <c r="I2790" s="417" t="s">
        <v>1392</v>
      </c>
      <c r="J2790" s="417" t="s">
        <v>7898</v>
      </c>
      <c r="K2790" s="417" t="s">
        <v>8009</v>
      </c>
      <c r="L2790" s="417"/>
      <c r="M2790" s="417" t="s">
        <v>28840</v>
      </c>
    </row>
    <row r="2791" spans="1:13" x14ac:dyDescent="0.25">
      <c r="A2791" s="417" t="s">
        <v>3385</v>
      </c>
      <c r="B2791" s="417" t="s">
        <v>3405</v>
      </c>
      <c r="C2791" s="417" t="s">
        <v>8010</v>
      </c>
      <c r="D2791" s="417" t="s">
        <v>224</v>
      </c>
      <c r="E2791" s="423">
        <v>0.17161642057717061</v>
      </c>
      <c r="F2791" s="423">
        <v>4.4171505521551711E-2</v>
      </c>
      <c r="G2791" s="422">
        <v>288.88870322717491</v>
      </c>
      <c r="H2791" s="417" t="s">
        <v>2616</v>
      </c>
      <c r="I2791" s="417" t="s">
        <v>1392</v>
      </c>
      <c r="J2791" s="417" t="s">
        <v>7898</v>
      </c>
      <c r="K2791" s="417" t="s">
        <v>8011</v>
      </c>
      <c r="L2791" s="417"/>
      <c r="M2791" s="417" t="s">
        <v>28840</v>
      </c>
    </row>
    <row r="2792" spans="1:13" x14ac:dyDescent="0.25">
      <c r="A2792" s="417" t="s">
        <v>3385</v>
      </c>
      <c r="B2792" s="417" t="s">
        <v>3405</v>
      </c>
      <c r="C2792" s="417" t="s">
        <v>8012</v>
      </c>
      <c r="D2792" s="417" t="s">
        <v>224</v>
      </c>
      <c r="E2792" s="423">
        <v>0.49202058644311653</v>
      </c>
      <c r="F2792" s="423">
        <v>1.177257560467631E-3</v>
      </c>
      <c r="G2792" s="422">
        <v>603.94707464357589</v>
      </c>
      <c r="H2792" s="417" t="s">
        <v>2616</v>
      </c>
      <c r="I2792" s="417" t="s">
        <v>1392</v>
      </c>
      <c r="J2792" s="417" t="s">
        <v>7898</v>
      </c>
      <c r="K2792" s="417" t="s">
        <v>8013</v>
      </c>
      <c r="L2792" s="417"/>
      <c r="M2792" s="417" t="s">
        <v>28840</v>
      </c>
    </row>
    <row r="2793" spans="1:13" x14ac:dyDescent="0.25">
      <c r="A2793" s="417" t="s">
        <v>3385</v>
      </c>
      <c r="B2793" s="417" t="s">
        <v>3405</v>
      </c>
      <c r="C2793" s="417" t="s">
        <v>8014</v>
      </c>
      <c r="D2793" s="417" t="s">
        <v>224</v>
      </c>
      <c r="E2793" s="423">
        <v>0.65138534040526408</v>
      </c>
      <c r="F2793" s="423">
        <v>2.7510251540590028E-3</v>
      </c>
      <c r="G2793" s="422">
        <v>795.02893735996668</v>
      </c>
      <c r="H2793" s="417" t="s">
        <v>2616</v>
      </c>
      <c r="I2793" s="417" t="s">
        <v>1392</v>
      </c>
      <c r="J2793" s="417" t="s">
        <v>7898</v>
      </c>
      <c r="K2793" s="417" t="s">
        <v>8015</v>
      </c>
      <c r="L2793" s="417"/>
      <c r="M2793" s="417" t="s">
        <v>28840</v>
      </c>
    </row>
    <row r="2794" spans="1:13" x14ac:dyDescent="0.25">
      <c r="A2794" s="417" t="s">
        <v>3385</v>
      </c>
      <c r="B2794" s="417" t="s">
        <v>3405</v>
      </c>
      <c r="C2794" s="417" t="s">
        <v>8016</v>
      </c>
      <c r="D2794" s="417" t="s">
        <v>224</v>
      </c>
      <c r="E2794" s="423">
        <v>0.69813413010099701</v>
      </c>
      <c r="F2794" s="423">
        <v>1.792389994691343E-2</v>
      </c>
      <c r="G2794" s="422">
        <v>946.31647489345221</v>
      </c>
      <c r="H2794" s="417" t="s">
        <v>2616</v>
      </c>
      <c r="I2794" s="417" t="s">
        <v>1392</v>
      </c>
      <c r="J2794" s="417" t="s">
        <v>7898</v>
      </c>
      <c r="K2794" s="417" t="s">
        <v>8017</v>
      </c>
      <c r="L2794" s="417"/>
      <c r="M2794" s="417" t="s">
        <v>28840</v>
      </c>
    </row>
    <row r="2795" spans="1:13" x14ac:dyDescent="0.25">
      <c r="A2795" s="417" t="s">
        <v>3385</v>
      </c>
      <c r="B2795" s="417" t="s">
        <v>3405</v>
      </c>
      <c r="C2795" s="417" t="s">
        <v>8018</v>
      </c>
      <c r="D2795" s="417" t="s">
        <v>224</v>
      </c>
      <c r="E2795" s="423">
        <v>0.29903014708937498</v>
      </c>
      <c r="F2795" s="423">
        <v>2.7003232270346421E-2</v>
      </c>
      <c r="G2795" s="422">
        <v>553.99393404886439</v>
      </c>
      <c r="H2795" s="417" t="s">
        <v>2616</v>
      </c>
      <c r="I2795" s="417" t="s">
        <v>1392</v>
      </c>
      <c r="J2795" s="417" t="s">
        <v>7898</v>
      </c>
      <c r="K2795" s="417" t="s">
        <v>8019</v>
      </c>
      <c r="L2795" s="417"/>
      <c r="M2795" s="417" t="s">
        <v>28840</v>
      </c>
    </row>
    <row r="2796" spans="1:13" x14ac:dyDescent="0.25">
      <c r="A2796" s="417" t="s">
        <v>3385</v>
      </c>
      <c r="B2796" s="417" t="s">
        <v>3405</v>
      </c>
      <c r="C2796" s="417" t="s">
        <v>8020</v>
      </c>
      <c r="D2796" s="417" t="s">
        <v>224</v>
      </c>
      <c r="E2796" s="423">
        <v>0.25236855529329799</v>
      </c>
      <c r="F2796" s="423">
        <v>3.9549329730852921E-2</v>
      </c>
      <c r="G2796" s="422">
        <v>358.75735865234248</v>
      </c>
      <c r="H2796" s="417" t="s">
        <v>2616</v>
      </c>
      <c r="I2796" s="417" t="s">
        <v>1392</v>
      </c>
      <c r="J2796" s="417" t="s">
        <v>7898</v>
      </c>
      <c r="K2796" s="417" t="s">
        <v>8021</v>
      </c>
      <c r="L2796" s="417"/>
      <c r="M2796" s="417" t="s">
        <v>28840</v>
      </c>
    </row>
    <row r="2797" spans="1:13" x14ac:dyDescent="0.25">
      <c r="A2797" s="417" t="s">
        <v>3385</v>
      </c>
      <c r="B2797" s="417" t="s">
        <v>3405</v>
      </c>
      <c r="C2797" s="417" t="s">
        <v>8022</v>
      </c>
      <c r="D2797" s="417" t="s">
        <v>224</v>
      </c>
      <c r="E2797" s="423">
        <v>0.58019816858996809</v>
      </c>
      <c r="F2797" s="423">
        <v>2.0678979446385301E-3</v>
      </c>
      <c r="G2797" s="422">
        <v>771.46807739535552</v>
      </c>
      <c r="H2797" s="417" t="s">
        <v>2616</v>
      </c>
      <c r="I2797" s="417" t="s">
        <v>1392</v>
      </c>
      <c r="J2797" s="417" t="s">
        <v>7898</v>
      </c>
      <c r="K2797" s="417" t="s">
        <v>8023</v>
      </c>
      <c r="L2797" s="417"/>
      <c r="M2797" s="417" t="s">
        <v>28840</v>
      </c>
    </row>
    <row r="2798" spans="1:13" x14ac:dyDescent="0.25">
      <c r="A2798" s="417" t="s">
        <v>3385</v>
      </c>
      <c r="B2798" s="417" t="s">
        <v>3405</v>
      </c>
      <c r="C2798" s="417" t="s">
        <v>8024</v>
      </c>
      <c r="D2798" s="417" t="s">
        <v>224</v>
      </c>
      <c r="E2798" s="423">
        <v>0.3732882064824814</v>
      </c>
      <c r="F2798" s="423">
        <v>9.0728317201705377E-3</v>
      </c>
      <c r="G2798" s="422">
        <v>571.6709286851476</v>
      </c>
      <c r="H2798" s="417" t="s">
        <v>2616</v>
      </c>
      <c r="I2798" s="417" t="s">
        <v>1392</v>
      </c>
      <c r="J2798" s="417" t="s">
        <v>7898</v>
      </c>
      <c r="K2798" s="417" t="s">
        <v>8025</v>
      </c>
      <c r="L2798" s="417"/>
      <c r="M2798" s="417" t="s">
        <v>28840</v>
      </c>
    </row>
    <row r="2799" spans="1:13" x14ac:dyDescent="0.25">
      <c r="A2799" s="417" t="s">
        <v>3385</v>
      </c>
      <c r="B2799" s="417" t="s">
        <v>3405</v>
      </c>
      <c r="C2799" s="417" t="s">
        <v>8026</v>
      </c>
      <c r="D2799" s="417" t="s">
        <v>224</v>
      </c>
      <c r="E2799" s="423">
        <v>0.28659242087284259</v>
      </c>
      <c r="F2799" s="423">
        <v>7.6935669187385173E-3</v>
      </c>
      <c r="G2799" s="422">
        <v>509.65243847647929</v>
      </c>
      <c r="H2799" s="417" t="s">
        <v>2616</v>
      </c>
      <c r="I2799" s="417" t="s">
        <v>1392</v>
      </c>
      <c r="J2799" s="417" t="s">
        <v>7898</v>
      </c>
      <c r="K2799" s="417" t="s">
        <v>8027</v>
      </c>
      <c r="L2799" s="417"/>
      <c r="M2799" s="417" t="s">
        <v>28840</v>
      </c>
    </row>
    <row r="2800" spans="1:13" x14ac:dyDescent="0.25">
      <c r="A2800" s="417" t="s">
        <v>3385</v>
      </c>
      <c r="B2800" s="417" t="s">
        <v>3405</v>
      </c>
      <c r="C2800" s="417" t="s">
        <v>8028</v>
      </c>
      <c r="D2800" s="417" t="s">
        <v>224</v>
      </c>
      <c r="E2800" s="423">
        <v>0.71942484433228338</v>
      </c>
      <c r="F2800" s="423">
        <v>7.1908268556438969E-3</v>
      </c>
      <c r="G2800" s="422">
        <v>993.02292315683042</v>
      </c>
      <c r="H2800" s="417" t="s">
        <v>2616</v>
      </c>
      <c r="I2800" s="417" t="s">
        <v>1392</v>
      </c>
      <c r="J2800" s="417" t="s">
        <v>7898</v>
      </c>
      <c r="K2800" s="417" t="s">
        <v>8029</v>
      </c>
      <c r="L2800" s="417"/>
      <c r="M2800" s="417" t="s">
        <v>28840</v>
      </c>
    </row>
    <row r="2801" spans="1:13" x14ac:dyDescent="0.25">
      <c r="A2801" s="417" t="s">
        <v>3385</v>
      </c>
      <c r="B2801" s="417" t="s">
        <v>3405</v>
      </c>
      <c r="C2801" s="417" t="s">
        <v>8030</v>
      </c>
      <c r="D2801" s="417" t="s">
        <v>224</v>
      </c>
      <c r="E2801" s="423">
        <v>0.44665003770874262</v>
      </c>
      <c r="F2801" s="423">
        <v>2.4305136373278559E-3</v>
      </c>
      <c r="G2801" s="422">
        <v>700.81933017646031</v>
      </c>
      <c r="H2801" s="417" t="s">
        <v>2616</v>
      </c>
      <c r="I2801" s="417" t="s">
        <v>1392</v>
      </c>
      <c r="J2801" s="417" t="s">
        <v>7898</v>
      </c>
      <c r="K2801" s="417" t="s">
        <v>8031</v>
      </c>
      <c r="L2801" s="417"/>
      <c r="M2801" s="417" t="s">
        <v>28840</v>
      </c>
    </row>
    <row r="2802" spans="1:13" x14ac:dyDescent="0.25">
      <c r="A2802" s="417" t="s">
        <v>3385</v>
      </c>
      <c r="B2802" s="417" t="s">
        <v>3405</v>
      </c>
      <c r="C2802" s="417" t="s">
        <v>8032</v>
      </c>
      <c r="D2802" s="417" t="s">
        <v>224</v>
      </c>
      <c r="E2802" s="423">
        <v>0.68279381649266235</v>
      </c>
      <c r="F2802" s="423">
        <v>2.0073202772641842E-3</v>
      </c>
      <c r="G2802" s="422">
        <v>903.68142167536166</v>
      </c>
      <c r="H2802" s="417" t="s">
        <v>2616</v>
      </c>
      <c r="I2802" s="417" t="s">
        <v>1392</v>
      </c>
      <c r="J2802" s="417" t="s">
        <v>7898</v>
      </c>
      <c r="K2802" s="417" t="s">
        <v>8033</v>
      </c>
      <c r="L2802" s="417"/>
      <c r="M2802" s="417" t="s">
        <v>28840</v>
      </c>
    </row>
    <row r="2803" spans="1:13" x14ac:dyDescent="0.25">
      <c r="A2803" s="417" t="s">
        <v>3385</v>
      </c>
      <c r="B2803" s="417" t="s">
        <v>3405</v>
      </c>
      <c r="C2803" s="417" t="s">
        <v>8034</v>
      </c>
      <c r="D2803" s="417" t="s">
        <v>224</v>
      </c>
      <c r="E2803" s="423">
        <v>3.3461848856322127E-2</v>
      </c>
      <c r="F2803" s="423">
        <v>3.9186282602178123E-2</v>
      </c>
      <c r="G2803" s="422">
        <v>204.46490832903129</v>
      </c>
      <c r="H2803" s="417" t="s">
        <v>2616</v>
      </c>
      <c r="I2803" s="417" t="s">
        <v>1392</v>
      </c>
      <c r="J2803" s="417" t="s">
        <v>7898</v>
      </c>
      <c r="K2803" s="417" t="s">
        <v>8035</v>
      </c>
      <c r="L2803" s="417"/>
      <c r="M2803" s="417" t="s">
        <v>28840</v>
      </c>
    </row>
    <row r="2804" spans="1:13" x14ac:dyDescent="0.25">
      <c r="A2804" s="417" t="s">
        <v>3385</v>
      </c>
      <c r="B2804" s="417" t="s">
        <v>3405</v>
      </c>
      <c r="C2804" s="417" t="s">
        <v>8036</v>
      </c>
      <c r="D2804" s="417" t="s">
        <v>224</v>
      </c>
      <c r="E2804" s="423">
        <v>0.55833453573490999</v>
      </c>
      <c r="F2804" s="423">
        <v>7.8931987859819554E-3</v>
      </c>
      <c r="G2804" s="422">
        <v>760.87675008935491</v>
      </c>
      <c r="H2804" s="417" t="s">
        <v>2616</v>
      </c>
      <c r="I2804" s="417" t="s">
        <v>1392</v>
      </c>
      <c r="J2804" s="417" t="s">
        <v>7898</v>
      </c>
      <c r="K2804" s="417" t="s">
        <v>8037</v>
      </c>
      <c r="L2804" s="417"/>
      <c r="M2804" s="417" t="s">
        <v>28840</v>
      </c>
    </row>
    <row r="2805" spans="1:13" x14ac:dyDescent="0.25">
      <c r="A2805" s="417" t="s">
        <v>3385</v>
      </c>
      <c r="B2805" s="417" t="s">
        <v>3405</v>
      </c>
      <c r="C2805" s="417" t="s">
        <v>8038</v>
      </c>
      <c r="D2805" s="417" t="s">
        <v>224</v>
      </c>
      <c r="E2805" s="423">
        <v>0.247458311161317</v>
      </c>
      <c r="F2805" s="423">
        <v>2.45316248017751E-2</v>
      </c>
      <c r="G2805" s="422">
        <v>457.65634697446802</v>
      </c>
      <c r="H2805" s="417" t="s">
        <v>2616</v>
      </c>
      <c r="I2805" s="417" t="s">
        <v>1392</v>
      </c>
      <c r="J2805" s="417" t="s">
        <v>7898</v>
      </c>
      <c r="K2805" s="417" t="s">
        <v>8039</v>
      </c>
      <c r="L2805" s="417"/>
      <c r="M2805" s="417" t="s">
        <v>28840</v>
      </c>
    </row>
    <row r="2806" spans="1:13" x14ac:dyDescent="0.25">
      <c r="A2806" s="417" t="s">
        <v>3385</v>
      </c>
      <c r="B2806" s="417" t="s">
        <v>3405</v>
      </c>
      <c r="C2806" s="417" t="s">
        <v>8040</v>
      </c>
      <c r="D2806" s="417" t="s">
        <v>224</v>
      </c>
      <c r="E2806" s="423">
        <v>0.2333828089027816</v>
      </c>
      <c r="F2806" s="423">
        <v>4.2574763613489712E-2</v>
      </c>
      <c r="G2806" s="422">
        <v>627.31488677065056</v>
      </c>
      <c r="H2806" s="417" t="s">
        <v>2616</v>
      </c>
      <c r="I2806" s="417" t="s">
        <v>1392</v>
      </c>
      <c r="J2806" s="417" t="s">
        <v>7898</v>
      </c>
      <c r="K2806" s="417" t="s">
        <v>8041</v>
      </c>
      <c r="L2806" s="417"/>
      <c r="M2806" s="417" t="s">
        <v>28840</v>
      </c>
    </row>
    <row r="2807" spans="1:13" x14ac:dyDescent="0.25">
      <c r="A2807" s="417" t="s">
        <v>3385</v>
      </c>
      <c r="B2807" s="417" t="s">
        <v>3405</v>
      </c>
      <c r="C2807" s="417" t="s">
        <v>8042</v>
      </c>
      <c r="D2807" s="417" t="s">
        <v>224</v>
      </c>
      <c r="E2807" s="423">
        <v>0.58909149687149676</v>
      </c>
      <c r="F2807" s="423">
        <v>7.8256201237691739E-2</v>
      </c>
      <c r="G2807" s="422">
        <v>817.54269590522415</v>
      </c>
      <c r="H2807" s="417" t="s">
        <v>2616</v>
      </c>
      <c r="I2807" s="417" t="s">
        <v>1392</v>
      </c>
      <c r="J2807" s="417" t="s">
        <v>7898</v>
      </c>
      <c r="K2807" s="417" t="s">
        <v>8043</v>
      </c>
      <c r="L2807" s="417"/>
      <c r="M2807" s="417" t="s">
        <v>28840</v>
      </c>
    </row>
    <row r="2808" spans="1:13" x14ac:dyDescent="0.25">
      <c r="A2808" s="417" t="s">
        <v>3385</v>
      </c>
      <c r="B2808" s="417" t="s">
        <v>3405</v>
      </c>
      <c r="C2808" s="417" t="s">
        <v>8044</v>
      </c>
      <c r="D2808" s="417" t="s">
        <v>224</v>
      </c>
      <c r="E2808" s="423">
        <v>0.48808506629130938</v>
      </c>
      <c r="F2808" s="423">
        <v>1.255337631452663E-3</v>
      </c>
      <c r="G2808" s="422">
        <v>601.95737745938493</v>
      </c>
      <c r="H2808" s="417" t="s">
        <v>2616</v>
      </c>
      <c r="I2808" s="417" t="s">
        <v>1392</v>
      </c>
      <c r="J2808" s="417" t="s">
        <v>7898</v>
      </c>
      <c r="K2808" s="417" t="s">
        <v>8045</v>
      </c>
      <c r="L2808" s="417"/>
      <c r="M2808" s="417" t="s">
        <v>28840</v>
      </c>
    </row>
    <row r="2809" spans="1:13" x14ac:dyDescent="0.25">
      <c r="A2809" s="417" t="s">
        <v>3385</v>
      </c>
      <c r="B2809" s="417" t="s">
        <v>3405</v>
      </c>
      <c r="C2809" s="417" t="s">
        <v>8046</v>
      </c>
      <c r="D2809" s="417" t="s">
        <v>224</v>
      </c>
      <c r="E2809" s="423">
        <v>0.51762150718854005</v>
      </c>
      <c r="F2809" s="423">
        <v>2.054215400032711E-2</v>
      </c>
      <c r="G2809" s="422">
        <v>647.28262631327789</v>
      </c>
      <c r="H2809" s="417" t="s">
        <v>2616</v>
      </c>
      <c r="I2809" s="417" t="s">
        <v>1392</v>
      </c>
      <c r="J2809" s="417" t="s">
        <v>7898</v>
      </c>
      <c r="K2809" s="417" t="s">
        <v>8047</v>
      </c>
      <c r="L2809" s="417"/>
      <c r="M2809" s="417" t="s">
        <v>28840</v>
      </c>
    </row>
    <row r="2810" spans="1:13" x14ac:dyDescent="0.25">
      <c r="A2810" s="417" t="s">
        <v>3385</v>
      </c>
      <c r="B2810" s="417" t="s">
        <v>3405</v>
      </c>
      <c r="C2810" s="417" t="s">
        <v>8048</v>
      </c>
      <c r="D2810" s="417" t="s">
        <v>224</v>
      </c>
      <c r="E2810" s="423">
        <v>0.65415650496443167</v>
      </c>
      <c r="F2810" s="423">
        <v>3.442406104854601E-3</v>
      </c>
      <c r="G2810" s="422">
        <v>873.6649286545088</v>
      </c>
      <c r="H2810" s="417" t="s">
        <v>2616</v>
      </c>
      <c r="I2810" s="417" t="s">
        <v>1392</v>
      </c>
      <c r="J2810" s="417" t="s">
        <v>7898</v>
      </c>
      <c r="K2810" s="417" t="s">
        <v>8049</v>
      </c>
      <c r="L2810" s="417"/>
      <c r="M2810" s="417" t="s">
        <v>28840</v>
      </c>
    </row>
    <row r="2811" spans="1:13" x14ac:dyDescent="0.25">
      <c r="A2811" s="417" t="s">
        <v>3385</v>
      </c>
      <c r="B2811" s="417" t="s">
        <v>3405</v>
      </c>
      <c r="C2811" s="417" t="s">
        <v>8050</v>
      </c>
      <c r="D2811" s="417" t="s">
        <v>224</v>
      </c>
      <c r="E2811" s="423">
        <v>0.36985899600169531</v>
      </c>
      <c r="F2811" s="423">
        <v>6.3798069586205987E-3</v>
      </c>
      <c r="G2811" s="422">
        <v>460.5427880731138</v>
      </c>
      <c r="H2811" s="417" t="s">
        <v>2616</v>
      </c>
      <c r="I2811" s="417" t="s">
        <v>1392</v>
      </c>
      <c r="J2811" s="417" t="s">
        <v>7898</v>
      </c>
      <c r="K2811" s="417" t="s">
        <v>8051</v>
      </c>
      <c r="L2811" s="417"/>
      <c r="M2811" s="417" t="s">
        <v>28840</v>
      </c>
    </row>
    <row r="2812" spans="1:13" x14ac:dyDescent="0.25">
      <c r="A2812" s="417" t="s">
        <v>3385</v>
      </c>
      <c r="B2812" s="417" t="s">
        <v>3405</v>
      </c>
      <c r="C2812" s="417" t="s">
        <v>8052</v>
      </c>
      <c r="D2812" s="417" t="s">
        <v>224</v>
      </c>
      <c r="E2812" s="423">
        <v>0.29669082438407102</v>
      </c>
      <c r="F2812" s="423">
        <v>1.049793624238874E-2</v>
      </c>
      <c r="G2812" s="422">
        <v>662.45458222063792</v>
      </c>
      <c r="H2812" s="417" t="s">
        <v>2616</v>
      </c>
      <c r="I2812" s="417" t="s">
        <v>1392</v>
      </c>
      <c r="J2812" s="417" t="s">
        <v>7898</v>
      </c>
      <c r="K2812" s="417" t="s">
        <v>8053</v>
      </c>
      <c r="L2812" s="417"/>
      <c r="M2812" s="417" t="s">
        <v>28840</v>
      </c>
    </row>
    <row r="2813" spans="1:13" x14ac:dyDescent="0.25">
      <c r="A2813" s="417" t="s">
        <v>3385</v>
      </c>
      <c r="B2813" s="417" t="s">
        <v>3405</v>
      </c>
      <c r="C2813" s="417" t="s">
        <v>8054</v>
      </c>
      <c r="D2813" s="417" t="s">
        <v>224</v>
      </c>
      <c r="E2813" s="423">
        <v>0.40501065595652652</v>
      </c>
      <c r="F2813" s="423">
        <v>8.766101423685382E-3</v>
      </c>
      <c r="G2813" s="422">
        <v>614.13391603982677</v>
      </c>
      <c r="H2813" s="417" t="s">
        <v>2616</v>
      </c>
      <c r="I2813" s="417" t="s">
        <v>1392</v>
      </c>
      <c r="J2813" s="417" t="s">
        <v>7898</v>
      </c>
      <c r="K2813" s="417" t="s">
        <v>8055</v>
      </c>
      <c r="L2813" s="417"/>
      <c r="M2813" s="417" t="s">
        <v>28840</v>
      </c>
    </row>
    <row r="2814" spans="1:13" x14ac:dyDescent="0.25">
      <c r="A2814" s="417" t="s">
        <v>3385</v>
      </c>
      <c r="B2814" s="417" t="s">
        <v>3405</v>
      </c>
      <c r="C2814" s="417" t="s">
        <v>8056</v>
      </c>
      <c r="D2814" s="417" t="s">
        <v>224</v>
      </c>
      <c r="E2814" s="423">
        <v>0.51404827618414894</v>
      </c>
      <c r="F2814" s="423">
        <v>9.8159732108097208E-3</v>
      </c>
      <c r="G2814" s="422">
        <v>626.54806392195565</v>
      </c>
      <c r="H2814" s="417" t="s">
        <v>2616</v>
      </c>
      <c r="I2814" s="417" t="s">
        <v>1392</v>
      </c>
      <c r="J2814" s="417" t="s">
        <v>7898</v>
      </c>
      <c r="K2814" s="417" t="s">
        <v>8057</v>
      </c>
      <c r="L2814" s="417"/>
      <c r="M2814" s="417" t="s">
        <v>28840</v>
      </c>
    </row>
    <row r="2815" spans="1:13" x14ac:dyDescent="0.25">
      <c r="A2815" s="417" t="s">
        <v>3385</v>
      </c>
      <c r="B2815" s="417" t="s">
        <v>3405</v>
      </c>
      <c r="C2815" s="417" t="s">
        <v>8058</v>
      </c>
      <c r="D2815" s="417" t="s">
        <v>224</v>
      </c>
      <c r="E2815" s="423">
        <v>0.96677232703648108</v>
      </c>
      <c r="F2815" s="423">
        <v>4.6257883367838079E-3</v>
      </c>
      <c r="G2815" s="422">
        <v>1157.6484124243741</v>
      </c>
      <c r="H2815" s="417" t="s">
        <v>2616</v>
      </c>
      <c r="I2815" s="417" t="s">
        <v>1392</v>
      </c>
      <c r="J2815" s="417" t="s">
        <v>7898</v>
      </c>
      <c r="K2815" s="417" t="s">
        <v>8059</v>
      </c>
      <c r="L2815" s="417"/>
      <c r="M2815" s="417" t="s">
        <v>28840</v>
      </c>
    </row>
    <row r="2816" spans="1:13" x14ac:dyDescent="0.25">
      <c r="A2816" s="417" t="s">
        <v>3385</v>
      </c>
      <c r="B2816" s="417" t="s">
        <v>3405</v>
      </c>
      <c r="C2816" s="417" t="s">
        <v>8060</v>
      </c>
      <c r="D2816" s="417" t="s">
        <v>224</v>
      </c>
      <c r="E2816" s="423">
        <v>0.2491957743675853</v>
      </c>
      <c r="F2816" s="423">
        <v>1.0083337227748039E-3</v>
      </c>
      <c r="G2816" s="422">
        <v>438.50907038354768</v>
      </c>
      <c r="H2816" s="417" t="s">
        <v>2616</v>
      </c>
      <c r="I2816" s="417" t="s">
        <v>1392</v>
      </c>
      <c r="J2816" s="417" t="s">
        <v>7898</v>
      </c>
      <c r="K2816" s="417" t="s">
        <v>8061</v>
      </c>
      <c r="L2816" s="417"/>
      <c r="M2816" s="417" t="s">
        <v>28840</v>
      </c>
    </row>
    <row r="2817" spans="1:13" x14ac:dyDescent="0.25">
      <c r="A2817" s="417" t="s">
        <v>3385</v>
      </c>
      <c r="B2817" s="417" t="s">
        <v>3405</v>
      </c>
      <c r="C2817" s="417" t="s">
        <v>8062</v>
      </c>
      <c r="D2817" s="417" t="s">
        <v>224</v>
      </c>
      <c r="E2817" s="423">
        <v>7.6558680539253604E-2</v>
      </c>
      <c r="F2817" s="423">
        <v>7.8345561088586126E-3</v>
      </c>
      <c r="G2817" s="422">
        <v>407.45090333735351</v>
      </c>
      <c r="H2817" s="417" t="s">
        <v>2616</v>
      </c>
      <c r="I2817" s="417" t="s">
        <v>1392</v>
      </c>
      <c r="J2817" s="417" t="s">
        <v>8063</v>
      </c>
      <c r="K2817" s="417" t="s">
        <v>8064</v>
      </c>
      <c r="L2817" s="417"/>
      <c r="M2817" s="417" t="s">
        <v>28840</v>
      </c>
    </row>
    <row r="2818" spans="1:13" x14ac:dyDescent="0.25">
      <c r="A2818" s="417" t="s">
        <v>3385</v>
      </c>
      <c r="B2818" s="417" t="s">
        <v>3405</v>
      </c>
      <c r="C2818" s="417" t="s">
        <v>8065</v>
      </c>
      <c r="D2818" s="417" t="s">
        <v>224</v>
      </c>
      <c r="E2818" s="423">
        <v>0.33188371557295532</v>
      </c>
      <c r="F2818" s="423">
        <v>8.6036755693377265E-2</v>
      </c>
      <c r="G2818" s="422">
        <v>466.36847765929951</v>
      </c>
      <c r="H2818" s="417" t="s">
        <v>2616</v>
      </c>
      <c r="I2818" s="417" t="s">
        <v>1392</v>
      </c>
      <c r="J2818" s="417" t="s">
        <v>7898</v>
      </c>
      <c r="K2818" s="417" t="s">
        <v>8066</v>
      </c>
      <c r="L2818" s="417"/>
      <c r="M2818" s="417" t="s">
        <v>28840</v>
      </c>
    </row>
    <row r="2819" spans="1:13" x14ac:dyDescent="0.25">
      <c r="A2819" s="417" t="s">
        <v>3385</v>
      </c>
      <c r="B2819" s="417" t="s">
        <v>3405</v>
      </c>
      <c r="C2819" s="417" t="s">
        <v>8067</v>
      </c>
      <c r="D2819" s="417" t="s">
        <v>224</v>
      </c>
      <c r="E2819" s="423">
        <v>7.5673360660089761E-3</v>
      </c>
      <c r="F2819" s="423">
        <v>8.4405010073860687E-3</v>
      </c>
      <c r="G2819" s="422">
        <v>69.581708831211913</v>
      </c>
      <c r="H2819" s="417" t="s">
        <v>2616</v>
      </c>
      <c r="I2819" s="417" t="s">
        <v>1392</v>
      </c>
      <c r="J2819" s="417" t="s">
        <v>7898</v>
      </c>
      <c r="K2819" s="417" t="s">
        <v>8068</v>
      </c>
      <c r="L2819" s="417"/>
      <c r="M2819" s="417" t="s">
        <v>28840</v>
      </c>
    </row>
    <row r="2820" spans="1:13" x14ac:dyDescent="0.25">
      <c r="A2820" s="417" t="s">
        <v>3385</v>
      </c>
      <c r="B2820" s="417" t="s">
        <v>3405</v>
      </c>
      <c r="C2820" s="417" t="s">
        <v>8069</v>
      </c>
      <c r="D2820" s="417" t="s">
        <v>224</v>
      </c>
      <c r="E2820" s="423">
        <v>1.653988127685117E-2</v>
      </c>
      <c r="F2820" s="423">
        <v>5.2851877129616733E-2</v>
      </c>
      <c r="G2820" s="422">
        <v>35.359371376710243</v>
      </c>
      <c r="H2820" s="417" t="s">
        <v>2616</v>
      </c>
      <c r="I2820" s="417" t="s">
        <v>1392</v>
      </c>
      <c r="J2820" s="417" t="s">
        <v>7898</v>
      </c>
      <c r="K2820" s="417" t="s">
        <v>8070</v>
      </c>
      <c r="L2820" s="417"/>
      <c r="M2820" s="417" t="s">
        <v>28840</v>
      </c>
    </row>
    <row r="2821" spans="1:13" x14ac:dyDescent="0.25">
      <c r="A2821" s="417" t="s">
        <v>3385</v>
      </c>
      <c r="B2821" s="417" t="s">
        <v>3405</v>
      </c>
      <c r="C2821" s="417" t="s">
        <v>8071</v>
      </c>
      <c r="D2821" s="417" t="s">
        <v>224</v>
      </c>
      <c r="E2821" s="423">
        <v>9.9641090962355502E-2</v>
      </c>
      <c r="F2821" s="423">
        <v>2.3837805787624681E-2</v>
      </c>
      <c r="G2821" s="422">
        <v>152.09891783505631</v>
      </c>
      <c r="H2821" s="417" t="s">
        <v>2616</v>
      </c>
      <c r="I2821" s="417" t="s">
        <v>1392</v>
      </c>
      <c r="J2821" s="417" t="s">
        <v>8072</v>
      </c>
      <c r="K2821" s="417" t="s">
        <v>8073</v>
      </c>
      <c r="L2821" s="417"/>
      <c r="M2821" s="417" t="s">
        <v>28840</v>
      </c>
    </row>
    <row r="2822" spans="1:13" x14ac:dyDescent="0.25">
      <c r="A2822" s="417" t="s">
        <v>3385</v>
      </c>
      <c r="B2822" s="417" t="s">
        <v>3405</v>
      </c>
      <c r="C2822" s="417" t="s">
        <v>8074</v>
      </c>
      <c r="D2822" s="417" t="s">
        <v>224</v>
      </c>
      <c r="E2822" s="423">
        <v>8.7670557147729922E-2</v>
      </c>
      <c r="F2822" s="423">
        <v>2.0645529357575611E-2</v>
      </c>
      <c r="G2822" s="422">
        <v>375.80712254442489</v>
      </c>
      <c r="H2822" s="417" t="s">
        <v>2616</v>
      </c>
      <c r="I2822" s="417" t="s">
        <v>1392</v>
      </c>
      <c r="J2822" s="417" t="s">
        <v>8072</v>
      </c>
      <c r="K2822" s="417" t="s">
        <v>8075</v>
      </c>
      <c r="L2822" s="417"/>
      <c r="M2822" s="417" t="s">
        <v>28840</v>
      </c>
    </row>
    <row r="2823" spans="1:13" x14ac:dyDescent="0.25">
      <c r="A2823" s="417" t="s">
        <v>3385</v>
      </c>
      <c r="B2823" s="417" t="s">
        <v>3405</v>
      </c>
      <c r="C2823" s="417" t="s">
        <v>8076</v>
      </c>
      <c r="D2823" s="417" t="s">
        <v>224</v>
      </c>
      <c r="E2823" s="423">
        <v>0.37479922571279922</v>
      </c>
      <c r="F2823" s="423">
        <v>5.8572654068854153E-2</v>
      </c>
      <c r="G2823" s="422">
        <v>540.48969270333475</v>
      </c>
      <c r="H2823" s="417" t="s">
        <v>2616</v>
      </c>
      <c r="I2823" s="417" t="s">
        <v>1392</v>
      </c>
      <c r="J2823" s="417" t="s">
        <v>8072</v>
      </c>
      <c r="K2823" s="417" t="s">
        <v>8077</v>
      </c>
      <c r="L2823" s="417"/>
      <c r="M2823" s="417" t="s">
        <v>28840</v>
      </c>
    </row>
    <row r="2824" spans="1:13" x14ac:dyDescent="0.25">
      <c r="A2824" s="417" t="s">
        <v>3385</v>
      </c>
      <c r="B2824" s="417" t="s">
        <v>3405</v>
      </c>
      <c r="C2824" s="417" t="s">
        <v>8078</v>
      </c>
      <c r="D2824" s="417" t="s">
        <v>224</v>
      </c>
      <c r="E2824" s="423">
        <v>5.0794941319346608E-2</v>
      </c>
      <c r="F2824" s="423">
        <v>4.7055205235072024E-3</v>
      </c>
      <c r="G2824" s="422">
        <v>640.34636146092339</v>
      </c>
      <c r="H2824" s="417" t="s">
        <v>2616</v>
      </c>
      <c r="I2824" s="417" t="s">
        <v>1392</v>
      </c>
      <c r="J2824" s="417" t="s">
        <v>8072</v>
      </c>
      <c r="K2824" s="417" t="s">
        <v>8079</v>
      </c>
      <c r="L2824" s="417"/>
      <c r="M2824" s="417" t="s">
        <v>28840</v>
      </c>
    </row>
    <row r="2825" spans="1:13" x14ac:dyDescent="0.25">
      <c r="A2825" s="417" t="s">
        <v>3385</v>
      </c>
      <c r="B2825" s="417" t="s">
        <v>3405</v>
      </c>
      <c r="C2825" s="417" t="s">
        <v>8080</v>
      </c>
      <c r="D2825" s="417" t="s">
        <v>224</v>
      </c>
      <c r="E2825" s="423">
        <v>0.45425043604018911</v>
      </c>
      <c r="F2825" s="423">
        <v>1.7721198592788211E-2</v>
      </c>
      <c r="G2825" s="422">
        <v>569.4033398458655</v>
      </c>
      <c r="H2825" s="417" t="s">
        <v>2616</v>
      </c>
      <c r="I2825" s="417" t="s">
        <v>1392</v>
      </c>
      <c r="J2825" s="417" t="s">
        <v>8072</v>
      </c>
      <c r="K2825" s="417" t="s">
        <v>8081</v>
      </c>
      <c r="L2825" s="417"/>
      <c r="M2825" s="417" t="s">
        <v>28840</v>
      </c>
    </row>
    <row r="2826" spans="1:13" x14ac:dyDescent="0.25">
      <c r="A2826" s="417" t="s">
        <v>3385</v>
      </c>
      <c r="B2826" s="417" t="s">
        <v>3405</v>
      </c>
      <c r="C2826" s="417" t="s">
        <v>8082</v>
      </c>
      <c r="D2826" s="417" t="s">
        <v>224</v>
      </c>
      <c r="E2826" s="423">
        <v>4.3329952500430383E-2</v>
      </c>
      <c r="F2826" s="423">
        <v>3.8212735691161639E-2</v>
      </c>
      <c r="G2826" s="422">
        <v>87.305037156011622</v>
      </c>
      <c r="H2826" s="417" t="s">
        <v>2616</v>
      </c>
      <c r="I2826" s="417" t="s">
        <v>1392</v>
      </c>
      <c r="J2826" s="417" t="s">
        <v>8072</v>
      </c>
      <c r="K2826" s="417" t="s">
        <v>8083</v>
      </c>
      <c r="L2826" s="417"/>
      <c r="M2826" s="417" t="s">
        <v>28840</v>
      </c>
    </row>
    <row r="2827" spans="1:13" x14ac:dyDescent="0.25">
      <c r="A2827" s="417" t="s">
        <v>3385</v>
      </c>
      <c r="B2827" s="417" t="s">
        <v>3405</v>
      </c>
      <c r="C2827" s="417" t="s">
        <v>8084</v>
      </c>
      <c r="D2827" s="417" t="s">
        <v>224</v>
      </c>
      <c r="E2827" s="423">
        <v>4.710810557199039E-2</v>
      </c>
      <c r="F2827" s="423">
        <v>1.9071342798037381E-2</v>
      </c>
      <c r="G2827" s="422">
        <v>315.97074566254878</v>
      </c>
      <c r="H2827" s="417" t="s">
        <v>2616</v>
      </c>
      <c r="I2827" s="417" t="s">
        <v>1392</v>
      </c>
      <c r="J2827" s="417" t="s">
        <v>8072</v>
      </c>
      <c r="K2827" s="417" t="s">
        <v>8085</v>
      </c>
      <c r="L2827" s="417"/>
      <c r="M2827" s="417" t="s">
        <v>28840</v>
      </c>
    </row>
    <row r="2828" spans="1:13" x14ac:dyDescent="0.25">
      <c r="A2828" s="417" t="s">
        <v>3385</v>
      </c>
      <c r="B2828" s="417" t="s">
        <v>3405</v>
      </c>
      <c r="C2828" s="417" t="s">
        <v>8086</v>
      </c>
      <c r="D2828" s="417" t="s">
        <v>224</v>
      </c>
      <c r="E2828" s="423">
        <v>0.49023605732190162</v>
      </c>
      <c r="F2828" s="423">
        <v>6.4179378385607597E-2</v>
      </c>
      <c r="G2828" s="422">
        <v>691.62566476694917</v>
      </c>
      <c r="H2828" s="417" t="s">
        <v>2616</v>
      </c>
      <c r="I2828" s="417" t="s">
        <v>1392</v>
      </c>
      <c r="J2828" s="417" t="s">
        <v>8072</v>
      </c>
      <c r="K2828" s="417" t="s">
        <v>8087</v>
      </c>
      <c r="L2828" s="417"/>
      <c r="M2828" s="417" t="s">
        <v>28840</v>
      </c>
    </row>
    <row r="2829" spans="1:13" x14ac:dyDescent="0.25">
      <c r="A2829" s="417" t="s">
        <v>3385</v>
      </c>
      <c r="B2829" s="417" t="s">
        <v>3405</v>
      </c>
      <c r="C2829" s="417" t="s">
        <v>8088</v>
      </c>
      <c r="D2829" s="417" t="s">
        <v>224</v>
      </c>
      <c r="E2829" s="423">
        <v>3.8190354398814151E-2</v>
      </c>
      <c r="F2829" s="423">
        <v>6.3205352205882546E-3</v>
      </c>
      <c r="G2829" s="422">
        <v>673.0229898422042</v>
      </c>
      <c r="H2829" s="417" t="s">
        <v>2616</v>
      </c>
      <c r="I2829" s="417" t="s">
        <v>1392</v>
      </c>
      <c r="J2829" s="417" t="s">
        <v>8072</v>
      </c>
      <c r="K2829" s="417" t="s">
        <v>8089</v>
      </c>
      <c r="L2829" s="417"/>
      <c r="M2829" s="417" t="s">
        <v>28840</v>
      </c>
    </row>
    <row r="2830" spans="1:13" x14ac:dyDescent="0.25">
      <c r="A2830" s="417" t="s">
        <v>3385</v>
      </c>
      <c r="B2830" s="417" t="s">
        <v>3405</v>
      </c>
      <c r="C2830" s="417" t="s">
        <v>8090</v>
      </c>
      <c r="D2830" s="417" t="s">
        <v>224</v>
      </c>
      <c r="E2830" s="423">
        <v>0.60120396032460477</v>
      </c>
      <c r="F2830" s="423">
        <v>1.13903661912405E-2</v>
      </c>
      <c r="G2830" s="422">
        <v>753.08441491995211</v>
      </c>
      <c r="H2830" s="417" t="s">
        <v>2616</v>
      </c>
      <c r="I2830" s="417" t="s">
        <v>1392</v>
      </c>
      <c r="J2830" s="417" t="s">
        <v>8072</v>
      </c>
      <c r="K2830" s="417" t="s">
        <v>8091</v>
      </c>
      <c r="L2830" s="417"/>
      <c r="M2830" s="417" t="s">
        <v>28840</v>
      </c>
    </row>
    <row r="2831" spans="1:13" x14ac:dyDescent="0.25">
      <c r="A2831" s="417" t="s">
        <v>3385</v>
      </c>
      <c r="B2831" s="417" t="s">
        <v>3405</v>
      </c>
      <c r="C2831" s="417" t="s">
        <v>8092</v>
      </c>
      <c r="D2831" s="417" t="s">
        <v>224</v>
      </c>
      <c r="E2831" s="423">
        <v>0.18695215161122669</v>
      </c>
      <c r="F2831" s="423">
        <v>4.0862026217992259E-2</v>
      </c>
      <c r="G2831" s="422">
        <v>257.22985468970808</v>
      </c>
      <c r="H2831" s="417" t="s">
        <v>2616</v>
      </c>
      <c r="I2831" s="417" t="s">
        <v>1392</v>
      </c>
      <c r="J2831" s="417" t="s">
        <v>8072</v>
      </c>
      <c r="K2831" s="417" t="s">
        <v>8093</v>
      </c>
      <c r="L2831" s="417"/>
      <c r="M2831" s="417" t="s">
        <v>28840</v>
      </c>
    </row>
    <row r="2832" spans="1:13" x14ac:dyDescent="0.25">
      <c r="A2832" s="417" t="s">
        <v>3385</v>
      </c>
      <c r="B2832" s="417" t="s">
        <v>3405</v>
      </c>
      <c r="C2832" s="417" t="s">
        <v>8094</v>
      </c>
      <c r="D2832" s="417" t="s">
        <v>224</v>
      </c>
      <c r="E2832" s="423">
        <v>0.1331294864952742</v>
      </c>
      <c r="F2832" s="423">
        <v>2.4238336827478561E-2</v>
      </c>
      <c r="G2832" s="422">
        <v>458.88472488953653</v>
      </c>
      <c r="H2832" s="417" t="s">
        <v>2616</v>
      </c>
      <c r="I2832" s="417" t="s">
        <v>1392</v>
      </c>
      <c r="J2832" s="417" t="s">
        <v>8072</v>
      </c>
      <c r="K2832" s="417" t="s">
        <v>8095</v>
      </c>
      <c r="L2832" s="417"/>
      <c r="M2832" s="417" t="s">
        <v>28840</v>
      </c>
    </row>
    <row r="2833" spans="1:13" x14ac:dyDescent="0.25">
      <c r="A2833" s="417" t="s">
        <v>3385</v>
      </c>
      <c r="B2833" s="417" t="s">
        <v>3405</v>
      </c>
      <c r="C2833" s="417" t="s">
        <v>8096</v>
      </c>
      <c r="D2833" s="417" t="s">
        <v>224</v>
      </c>
      <c r="E2833" s="423">
        <v>0.48877580201790982</v>
      </c>
      <c r="F2833" s="423">
        <v>6.0283140417882117E-2</v>
      </c>
      <c r="G2833" s="422">
        <v>684.02655568026466</v>
      </c>
      <c r="H2833" s="417" t="s">
        <v>2616</v>
      </c>
      <c r="I2833" s="417" t="s">
        <v>1392</v>
      </c>
      <c r="J2833" s="417" t="s">
        <v>8072</v>
      </c>
      <c r="K2833" s="417" t="s">
        <v>8097</v>
      </c>
      <c r="L2833" s="417"/>
      <c r="M2833" s="417" t="s">
        <v>28840</v>
      </c>
    </row>
    <row r="2834" spans="1:13" x14ac:dyDescent="0.25">
      <c r="A2834" s="417" t="s">
        <v>3385</v>
      </c>
      <c r="B2834" s="417" t="s">
        <v>3405</v>
      </c>
      <c r="C2834" s="417" t="s">
        <v>8098</v>
      </c>
      <c r="D2834" s="417" t="s">
        <v>224</v>
      </c>
      <c r="E2834" s="423">
        <v>6.5267893483756084E-2</v>
      </c>
      <c r="F2834" s="423">
        <v>4.9530425934260526E-3</v>
      </c>
      <c r="G2834" s="422">
        <v>686.53079156025819</v>
      </c>
      <c r="H2834" s="417" t="s">
        <v>2616</v>
      </c>
      <c r="I2834" s="417" t="s">
        <v>1392</v>
      </c>
      <c r="J2834" s="417" t="s">
        <v>8072</v>
      </c>
      <c r="K2834" s="417" t="s">
        <v>8099</v>
      </c>
      <c r="L2834" s="417"/>
      <c r="M2834" s="417" t="s">
        <v>28840</v>
      </c>
    </row>
    <row r="2835" spans="1:13" x14ac:dyDescent="0.25">
      <c r="A2835" s="417" t="s">
        <v>3385</v>
      </c>
      <c r="B2835" s="417" t="s">
        <v>3405</v>
      </c>
      <c r="C2835" s="417" t="s">
        <v>8100</v>
      </c>
      <c r="D2835" s="417" t="s">
        <v>224</v>
      </c>
      <c r="E2835" s="423">
        <v>0.68812631893358722</v>
      </c>
      <c r="F2835" s="423">
        <v>1.23716479376206E-2</v>
      </c>
      <c r="G2835" s="422">
        <v>857.69750027047985</v>
      </c>
      <c r="H2835" s="417" t="s">
        <v>2616</v>
      </c>
      <c r="I2835" s="417" t="s">
        <v>1392</v>
      </c>
      <c r="J2835" s="417" t="s">
        <v>8072</v>
      </c>
      <c r="K2835" s="417" t="s">
        <v>8101</v>
      </c>
      <c r="L2835" s="417"/>
      <c r="M2835" s="417" t="s">
        <v>28840</v>
      </c>
    </row>
    <row r="2836" spans="1:13" x14ac:dyDescent="0.25">
      <c r="A2836" s="417" t="s">
        <v>3385</v>
      </c>
      <c r="B2836" s="417" t="s">
        <v>3405</v>
      </c>
      <c r="C2836" s="417" t="s">
        <v>8102</v>
      </c>
      <c r="D2836" s="417" t="s">
        <v>224</v>
      </c>
      <c r="E2836" s="423">
        <v>5.3475867323094839E-2</v>
      </c>
      <c r="F2836" s="423">
        <v>1.4782144456327541E-2</v>
      </c>
      <c r="G2836" s="422">
        <v>662.58988615261637</v>
      </c>
      <c r="H2836" s="417" t="s">
        <v>2616</v>
      </c>
      <c r="I2836" s="417" t="s">
        <v>1392</v>
      </c>
      <c r="J2836" s="417" t="s">
        <v>7898</v>
      </c>
      <c r="K2836" s="417" t="s">
        <v>8103</v>
      </c>
      <c r="L2836" s="417"/>
      <c r="M2836" s="417" t="s">
        <v>28840</v>
      </c>
    </row>
    <row r="2837" spans="1:13" x14ac:dyDescent="0.25">
      <c r="A2837" s="417" t="s">
        <v>3385</v>
      </c>
      <c r="B2837" s="417" t="s">
        <v>3405</v>
      </c>
      <c r="C2837" s="417" t="s">
        <v>8104</v>
      </c>
      <c r="D2837" s="417" t="s">
        <v>224</v>
      </c>
      <c r="E2837" s="423">
        <v>0.5079001873581821</v>
      </c>
      <c r="F2837" s="423">
        <v>1.41242347819903E-3</v>
      </c>
      <c r="G2837" s="422">
        <v>785.56183380588573</v>
      </c>
      <c r="H2837" s="417" t="s">
        <v>2616</v>
      </c>
      <c r="I2837" s="417" t="s">
        <v>1392</v>
      </c>
      <c r="J2837" s="417" t="s">
        <v>7898</v>
      </c>
      <c r="K2837" s="417" t="s">
        <v>8105</v>
      </c>
      <c r="L2837" s="417"/>
      <c r="M2837" s="417" t="s">
        <v>28840</v>
      </c>
    </row>
    <row r="2838" spans="1:13" x14ac:dyDescent="0.25">
      <c r="A2838" s="417" t="s">
        <v>3385</v>
      </c>
      <c r="B2838" s="417" t="s">
        <v>3405</v>
      </c>
      <c r="C2838" s="417" t="s">
        <v>8106</v>
      </c>
      <c r="D2838" s="417" t="s">
        <v>224</v>
      </c>
      <c r="E2838" s="423">
        <v>5.2036284641497179E-3</v>
      </c>
      <c r="F2838" s="423">
        <v>1.181414994574804E-3</v>
      </c>
      <c r="G2838" s="422">
        <v>43.6868514677871</v>
      </c>
      <c r="H2838" s="417" t="s">
        <v>2616</v>
      </c>
      <c r="I2838" s="417" t="s">
        <v>1392</v>
      </c>
      <c r="J2838" s="417" t="s">
        <v>7898</v>
      </c>
      <c r="K2838" s="417" t="s">
        <v>8107</v>
      </c>
      <c r="L2838" s="417"/>
      <c r="M2838" s="417" t="s">
        <v>28840</v>
      </c>
    </row>
    <row r="2839" spans="1:13" x14ac:dyDescent="0.25">
      <c r="A2839" s="417" t="s">
        <v>3385</v>
      </c>
      <c r="B2839" s="417" t="s">
        <v>3405</v>
      </c>
      <c r="C2839" s="417" t="s">
        <v>8108</v>
      </c>
      <c r="D2839" s="417" t="s">
        <v>224</v>
      </c>
      <c r="E2839" s="423">
        <v>5.4874818475509422E-2</v>
      </c>
      <c r="F2839" s="423">
        <v>2.066729684225194E-2</v>
      </c>
      <c r="G2839" s="422">
        <v>336.10661331930248</v>
      </c>
      <c r="H2839" s="417" t="s">
        <v>2616</v>
      </c>
      <c r="I2839" s="417" t="s">
        <v>1392</v>
      </c>
      <c r="J2839" s="417" t="s">
        <v>7898</v>
      </c>
      <c r="K2839" s="417" t="s">
        <v>8109</v>
      </c>
      <c r="L2839" s="417"/>
      <c r="M2839" s="417" t="s">
        <v>28840</v>
      </c>
    </row>
    <row r="2840" spans="1:13" x14ac:dyDescent="0.25">
      <c r="A2840" s="417" t="s">
        <v>3385</v>
      </c>
      <c r="B2840" s="417" t="s">
        <v>3405</v>
      </c>
      <c r="C2840" s="417" t="s">
        <v>8110</v>
      </c>
      <c r="D2840" s="417" t="s">
        <v>224</v>
      </c>
      <c r="E2840" s="423">
        <v>5.9679556936671936E-3</v>
      </c>
      <c r="F2840" s="423">
        <v>8.4266131445877839E-3</v>
      </c>
      <c r="G2840" s="422">
        <v>22.534446120755131</v>
      </c>
      <c r="H2840" s="417" t="s">
        <v>2616</v>
      </c>
      <c r="I2840" s="417" t="s">
        <v>1392</v>
      </c>
      <c r="J2840" s="417" t="s">
        <v>7898</v>
      </c>
      <c r="K2840" s="417" t="s">
        <v>8111</v>
      </c>
      <c r="L2840" s="417"/>
      <c r="M2840" s="417" t="s">
        <v>28840</v>
      </c>
    </row>
    <row r="2841" spans="1:13" x14ac:dyDescent="0.25">
      <c r="A2841" s="417" t="s">
        <v>3385</v>
      </c>
      <c r="B2841" s="417" t="s">
        <v>3405</v>
      </c>
      <c r="C2841" s="417" t="s">
        <v>8112</v>
      </c>
      <c r="D2841" s="417" t="s">
        <v>224</v>
      </c>
      <c r="E2841" s="423">
        <v>0.12759460806104289</v>
      </c>
      <c r="F2841" s="423">
        <v>2.4381447253458789E-2</v>
      </c>
      <c r="G2841" s="422">
        <v>464.02786369218478</v>
      </c>
      <c r="H2841" s="417" t="s">
        <v>2616</v>
      </c>
      <c r="I2841" s="417" t="s">
        <v>1392</v>
      </c>
      <c r="J2841" s="417" t="s">
        <v>7898</v>
      </c>
      <c r="K2841" s="417" t="s">
        <v>8113</v>
      </c>
      <c r="L2841" s="417"/>
      <c r="M2841" s="417" t="s">
        <v>28840</v>
      </c>
    </row>
    <row r="2842" spans="1:13" x14ac:dyDescent="0.25">
      <c r="A2842" s="417" t="s">
        <v>3385</v>
      </c>
      <c r="B2842" s="417" t="s">
        <v>3405</v>
      </c>
      <c r="C2842" s="417" t="s">
        <v>8114</v>
      </c>
      <c r="D2842" s="417" t="s">
        <v>224</v>
      </c>
      <c r="E2842" s="423">
        <v>1.4355434669821501E-2</v>
      </c>
      <c r="F2842" s="423">
        <v>4.1990299570122562E-4</v>
      </c>
      <c r="G2842" s="422">
        <v>44.598660794827467</v>
      </c>
      <c r="H2842" s="417" t="s">
        <v>2616</v>
      </c>
      <c r="I2842" s="417" t="s">
        <v>1392</v>
      </c>
      <c r="J2842" s="417" t="s">
        <v>8115</v>
      </c>
      <c r="K2842" s="417" t="s">
        <v>8116</v>
      </c>
      <c r="L2842" s="417"/>
      <c r="M2842" s="417" t="s">
        <v>28840</v>
      </c>
    </row>
    <row r="2843" spans="1:13" x14ac:dyDescent="0.25">
      <c r="A2843" s="417" t="s">
        <v>3385</v>
      </c>
      <c r="B2843" s="417" t="s">
        <v>3405</v>
      </c>
      <c r="C2843" s="417" t="s">
        <v>8117</v>
      </c>
      <c r="D2843" s="417" t="s">
        <v>224</v>
      </c>
      <c r="E2843" s="423">
        <v>1.476781533031493E-2</v>
      </c>
      <c r="F2843" s="423">
        <v>4.9583871383066978E-4</v>
      </c>
      <c r="G2843" s="422">
        <v>42.566376591328194</v>
      </c>
      <c r="H2843" s="417" t="s">
        <v>2616</v>
      </c>
      <c r="I2843" s="417" t="s">
        <v>1392</v>
      </c>
      <c r="J2843" s="417" t="s">
        <v>8115</v>
      </c>
      <c r="K2843" s="417" t="s">
        <v>8118</v>
      </c>
      <c r="L2843" s="417"/>
      <c r="M2843" s="417" t="s">
        <v>28840</v>
      </c>
    </row>
    <row r="2844" spans="1:13" x14ac:dyDescent="0.25">
      <c r="A2844" s="417" t="s">
        <v>3385</v>
      </c>
      <c r="B2844" s="417" t="s">
        <v>3405</v>
      </c>
      <c r="C2844" s="417" t="s">
        <v>8119</v>
      </c>
      <c r="D2844" s="417" t="s">
        <v>224</v>
      </c>
      <c r="E2844" s="423">
        <v>9.8328804927402917E-3</v>
      </c>
      <c r="F2844" s="423">
        <v>3.5598161454681448E-4</v>
      </c>
      <c r="G2844" s="422">
        <v>31.44373734659921</v>
      </c>
      <c r="H2844" s="417" t="s">
        <v>2616</v>
      </c>
      <c r="I2844" s="417" t="s">
        <v>1392</v>
      </c>
      <c r="J2844" s="417" t="s">
        <v>8115</v>
      </c>
      <c r="K2844" s="417" t="s">
        <v>8120</v>
      </c>
      <c r="L2844" s="417"/>
      <c r="M2844" s="417" t="s">
        <v>28840</v>
      </c>
    </row>
    <row r="2845" spans="1:13" x14ac:dyDescent="0.25">
      <c r="A2845" s="417" t="s">
        <v>3385</v>
      </c>
      <c r="B2845" s="417" t="s">
        <v>3405</v>
      </c>
      <c r="C2845" s="417" t="s">
        <v>8121</v>
      </c>
      <c r="D2845" s="417" t="s">
        <v>224</v>
      </c>
      <c r="E2845" s="423">
        <v>1.1670266744864219E-2</v>
      </c>
      <c r="F2845" s="423">
        <v>4.1772949390596841E-4</v>
      </c>
      <c r="G2845" s="422">
        <v>35.230511931752297</v>
      </c>
      <c r="H2845" s="417" t="s">
        <v>2616</v>
      </c>
      <c r="I2845" s="417" t="s">
        <v>1392</v>
      </c>
      <c r="J2845" s="417" t="s">
        <v>8115</v>
      </c>
      <c r="K2845" s="417" t="s">
        <v>8122</v>
      </c>
      <c r="L2845" s="417"/>
      <c r="M2845" s="417" t="s">
        <v>28840</v>
      </c>
    </row>
    <row r="2846" spans="1:13" x14ac:dyDescent="0.25">
      <c r="A2846" s="417" t="s">
        <v>3385</v>
      </c>
      <c r="B2846" s="417" t="s">
        <v>3405</v>
      </c>
      <c r="C2846" s="417" t="s">
        <v>8123</v>
      </c>
      <c r="D2846" s="417" t="s">
        <v>224</v>
      </c>
      <c r="E2846" s="423">
        <v>2.108934923125047E-2</v>
      </c>
      <c r="F2846" s="423">
        <v>5.2820940876325553E-4</v>
      </c>
      <c r="G2846" s="422">
        <v>59.332850137044169</v>
      </c>
      <c r="H2846" s="417" t="s">
        <v>2616</v>
      </c>
      <c r="I2846" s="417" t="s">
        <v>1392</v>
      </c>
      <c r="J2846" s="417" t="s">
        <v>8115</v>
      </c>
      <c r="K2846" s="417" t="s">
        <v>8124</v>
      </c>
      <c r="L2846" s="417"/>
      <c r="M2846" s="417" t="s">
        <v>28840</v>
      </c>
    </row>
    <row r="2847" spans="1:13" x14ac:dyDescent="0.25">
      <c r="A2847" s="417" t="s">
        <v>3385</v>
      </c>
      <c r="B2847" s="417" t="s">
        <v>3405</v>
      </c>
      <c r="C2847" s="417" t="s">
        <v>8125</v>
      </c>
      <c r="D2847" s="417" t="s">
        <v>224</v>
      </c>
      <c r="E2847" s="423">
        <v>1.2645131728127999E-2</v>
      </c>
      <c r="F2847" s="423">
        <v>4.4703145794699252E-4</v>
      </c>
      <c r="G2847" s="422">
        <v>36.19875022097596</v>
      </c>
      <c r="H2847" s="417" t="s">
        <v>2616</v>
      </c>
      <c r="I2847" s="417" t="s">
        <v>1392</v>
      </c>
      <c r="J2847" s="417" t="s">
        <v>8115</v>
      </c>
      <c r="K2847" s="417" t="s">
        <v>8126</v>
      </c>
      <c r="L2847" s="417"/>
      <c r="M2847" s="417" t="s">
        <v>28840</v>
      </c>
    </row>
    <row r="2848" spans="1:13" x14ac:dyDescent="0.25">
      <c r="A2848" s="417" t="s">
        <v>3385</v>
      </c>
      <c r="B2848" s="417" t="s">
        <v>3405</v>
      </c>
      <c r="C2848" s="417" t="s">
        <v>8127</v>
      </c>
      <c r="D2848" s="417" t="s">
        <v>224</v>
      </c>
      <c r="E2848" s="423">
        <v>1.7505788868130388E-2</v>
      </c>
      <c r="F2848" s="423">
        <v>4.9864495541324734E-4</v>
      </c>
      <c r="G2848" s="422">
        <v>52.491568291878018</v>
      </c>
      <c r="H2848" s="417" t="s">
        <v>2616</v>
      </c>
      <c r="I2848" s="417" t="s">
        <v>1392</v>
      </c>
      <c r="J2848" s="417" t="s">
        <v>8115</v>
      </c>
      <c r="K2848" s="417" t="s">
        <v>8128</v>
      </c>
      <c r="L2848" s="417"/>
      <c r="M2848" s="417" t="s">
        <v>28840</v>
      </c>
    </row>
    <row r="2849" spans="1:13" x14ac:dyDescent="0.25">
      <c r="A2849" s="417" t="s">
        <v>3385</v>
      </c>
      <c r="B2849" s="417" t="s">
        <v>3405</v>
      </c>
      <c r="C2849" s="417" t="s">
        <v>8129</v>
      </c>
      <c r="D2849" s="417" t="s">
        <v>224</v>
      </c>
      <c r="E2849" s="423">
        <v>0.42511427855275319</v>
      </c>
      <c r="F2849" s="423">
        <v>0.77483878764526648</v>
      </c>
      <c r="G2849" s="422">
        <v>577.98689164307279</v>
      </c>
      <c r="H2849" s="417" t="s">
        <v>2616</v>
      </c>
      <c r="I2849" s="417" t="s">
        <v>1392</v>
      </c>
      <c r="J2849" s="417" t="s">
        <v>8130</v>
      </c>
      <c r="K2849" s="417" t="s">
        <v>8131</v>
      </c>
      <c r="L2849" s="417"/>
      <c r="M2849" s="417" t="s">
        <v>28840</v>
      </c>
    </row>
    <row r="2850" spans="1:13" x14ac:dyDescent="0.25">
      <c r="A2850" s="417" t="s">
        <v>3385</v>
      </c>
      <c r="B2850" s="417" t="s">
        <v>3405</v>
      </c>
      <c r="C2850" s="417" t="s">
        <v>8132</v>
      </c>
      <c r="D2850" s="417" t="s">
        <v>224</v>
      </c>
      <c r="E2850" s="423">
        <v>0.28722667377540578</v>
      </c>
      <c r="F2850" s="423">
        <v>0.52351656681119263</v>
      </c>
      <c r="G2850" s="422">
        <v>390.51441302000649</v>
      </c>
      <c r="H2850" s="417" t="s">
        <v>2616</v>
      </c>
      <c r="I2850" s="417" t="s">
        <v>1392</v>
      </c>
      <c r="J2850" s="417" t="s">
        <v>8130</v>
      </c>
      <c r="K2850" s="417" t="s">
        <v>8133</v>
      </c>
      <c r="L2850" s="417"/>
      <c r="M2850" s="417" t="s">
        <v>28840</v>
      </c>
    </row>
    <row r="2851" spans="1:13" x14ac:dyDescent="0.25">
      <c r="A2851" s="417" t="s">
        <v>3385</v>
      </c>
      <c r="B2851" s="417" t="s">
        <v>3405</v>
      </c>
      <c r="C2851" s="417" t="s">
        <v>8134</v>
      </c>
      <c r="D2851" s="417" t="s">
        <v>224</v>
      </c>
      <c r="E2851" s="423">
        <v>0.91149856884626135</v>
      </c>
      <c r="F2851" s="423">
        <v>2.159225930935265E-2</v>
      </c>
      <c r="G2851" s="422">
        <v>1238.7501967391249</v>
      </c>
      <c r="H2851" s="417" t="s">
        <v>2616</v>
      </c>
      <c r="I2851" s="417" t="s">
        <v>1392</v>
      </c>
      <c r="J2851" s="417" t="s">
        <v>8135</v>
      </c>
      <c r="K2851" s="417" t="s">
        <v>8136</v>
      </c>
      <c r="L2851" s="417"/>
      <c r="M2851" s="417" t="s">
        <v>28840</v>
      </c>
    </row>
    <row r="2852" spans="1:13" x14ac:dyDescent="0.25">
      <c r="A2852" s="417" t="s">
        <v>3385</v>
      </c>
      <c r="B2852" s="417" t="s">
        <v>3405</v>
      </c>
      <c r="C2852" s="417" t="s">
        <v>8137</v>
      </c>
      <c r="D2852" s="417" t="s">
        <v>224</v>
      </c>
      <c r="E2852" s="423">
        <v>0.57973118618931174</v>
      </c>
      <c r="F2852" s="423">
        <v>1.373310560185261E-2</v>
      </c>
      <c r="G2852" s="422">
        <v>787.86971862214773</v>
      </c>
      <c r="H2852" s="417" t="s">
        <v>2616</v>
      </c>
      <c r="I2852" s="417" t="s">
        <v>1392</v>
      </c>
      <c r="J2852" s="417" t="s">
        <v>8135</v>
      </c>
      <c r="K2852" s="417" t="s">
        <v>8138</v>
      </c>
      <c r="L2852" s="417"/>
      <c r="M2852" s="417" t="s">
        <v>28840</v>
      </c>
    </row>
    <row r="2853" spans="1:13" x14ac:dyDescent="0.25">
      <c r="A2853" s="417" t="s">
        <v>3385</v>
      </c>
      <c r="B2853" s="417" t="s">
        <v>3405</v>
      </c>
      <c r="C2853" s="417" t="s">
        <v>8139</v>
      </c>
      <c r="D2853" s="417" t="s">
        <v>224</v>
      </c>
      <c r="E2853" s="423">
        <v>0.81729165946285087</v>
      </c>
      <c r="F2853" s="423">
        <v>3.8959690003034469E-3</v>
      </c>
      <c r="G2853" s="422">
        <v>1049.6108415492961</v>
      </c>
      <c r="H2853" s="417" t="s">
        <v>2616</v>
      </c>
      <c r="I2853" s="417" t="s">
        <v>1392</v>
      </c>
      <c r="J2853" s="417" t="s">
        <v>8140</v>
      </c>
      <c r="K2853" s="417" t="s">
        <v>8141</v>
      </c>
      <c r="L2853" s="417"/>
      <c r="M2853" s="417" t="s">
        <v>28840</v>
      </c>
    </row>
    <row r="2854" spans="1:13" x14ac:dyDescent="0.25">
      <c r="A2854" s="417" t="s">
        <v>3385</v>
      </c>
      <c r="B2854" s="417" t="s">
        <v>3405</v>
      </c>
      <c r="C2854" s="417" t="s">
        <v>8142</v>
      </c>
      <c r="D2854" s="417" t="s">
        <v>224</v>
      </c>
      <c r="E2854" s="423">
        <v>0.55219967118429958</v>
      </c>
      <c r="F2854" s="423">
        <v>2.6322950922905422E-3</v>
      </c>
      <c r="G2854" s="422">
        <v>709.16514935382804</v>
      </c>
      <c r="H2854" s="417" t="s">
        <v>2616</v>
      </c>
      <c r="I2854" s="417" t="s">
        <v>1392</v>
      </c>
      <c r="J2854" s="417" t="s">
        <v>8140</v>
      </c>
      <c r="K2854" s="417" t="s">
        <v>8143</v>
      </c>
      <c r="L2854" s="417"/>
      <c r="M2854" s="417" t="s">
        <v>28840</v>
      </c>
    </row>
    <row r="2855" spans="1:13" x14ac:dyDescent="0.25">
      <c r="A2855" s="417" t="s">
        <v>3385</v>
      </c>
      <c r="B2855" s="417" t="s">
        <v>3405</v>
      </c>
      <c r="C2855" s="417" t="s">
        <v>8144</v>
      </c>
      <c r="D2855" s="417" t="s">
        <v>224</v>
      </c>
      <c r="E2855" s="423">
        <v>1.0381381185967831</v>
      </c>
      <c r="F2855" s="423">
        <v>4.626415301789517E-3</v>
      </c>
      <c r="G2855" s="422">
        <v>1296.2245012752851</v>
      </c>
      <c r="H2855" s="417" t="s">
        <v>2616</v>
      </c>
      <c r="I2855" s="417" t="s">
        <v>1392</v>
      </c>
      <c r="J2855" s="417" t="s">
        <v>8140</v>
      </c>
      <c r="K2855" s="417" t="s">
        <v>8145</v>
      </c>
      <c r="L2855" s="417"/>
      <c r="M2855" s="417" t="s">
        <v>28840</v>
      </c>
    </row>
    <row r="2856" spans="1:13" x14ac:dyDescent="0.25">
      <c r="A2856" s="417" t="s">
        <v>3385</v>
      </c>
      <c r="B2856" s="417" t="s">
        <v>3405</v>
      </c>
      <c r="C2856" s="417" t="s">
        <v>8146</v>
      </c>
      <c r="D2856" s="417" t="s">
        <v>224</v>
      </c>
      <c r="E2856" s="423">
        <v>0.37420021603372933</v>
      </c>
      <c r="F2856" s="423">
        <v>1.682158115182404E-3</v>
      </c>
      <c r="G2856" s="422">
        <v>467.72875027711052</v>
      </c>
      <c r="H2856" s="417" t="s">
        <v>2616</v>
      </c>
      <c r="I2856" s="417" t="s">
        <v>1392</v>
      </c>
      <c r="J2856" s="417" t="s">
        <v>8140</v>
      </c>
      <c r="K2856" s="417" t="s">
        <v>8147</v>
      </c>
      <c r="L2856" s="417"/>
      <c r="M2856" s="417" t="s">
        <v>28840</v>
      </c>
    </row>
    <row r="2857" spans="1:13" x14ac:dyDescent="0.25">
      <c r="A2857" s="417" t="s">
        <v>3385</v>
      </c>
      <c r="B2857" s="417" t="s">
        <v>3405</v>
      </c>
      <c r="C2857" s="417" t="s">
        <v>8148</v>
      </c>
      <c r="D2857" s="417" t="s">
        <v>224</v>
      </c>
      <c r="E2857" s="423">
        <v>0.78916266780011024</v>
      </c>
      <c r="F2857" s="423">
        <v>3.522319131608405E-3</v>
      </c>
      <c r="G2857" s="422">
        <v>985.53987206996464</v>
      </c>
      <c r="H2857" s="417" t="s">
        <v>2616</v>
      </c>
      <c r="I2857" s="417" t="s">
        <v>1392</v>
      </c>
      <c r="J2857" s="417" t="s">
        <v>8140</v>
      </c>
      <c r="K2857" s="417" t="s">
        <v>8149</v>
      </c>
      <c r="L2857" s="417"/>
      <c r="M2857" s="417" t="s">
        <v>28840</v>
      </c>
    </row>
    <row r="2858" spans="1:13" x14ac:dyDescent="0.25">
      <c r="A2858" s="417" t="s">
        <v>3385</v>
      </c>
      <c r="B2858" s="417" t="s">
        <v>3405</v>
      </c>
      <c r="C2858" s="417" t="s">
        <v>8150</v>
      </c>
      <c r="D2858" s="417" t="s">
        <v>224</v>
      </c>
      <c r="E2858" s="423">
        <v>7.370398730216336E-4</v>
      </c>
      <c r="F2858" s="423">
        <v>2.6013885485850239E-5</v>
      </c>
      <c r="G2858" s="422">
        <v>1.701805580102228</v>
      </c>
      <c r="H2858" s="417" t="s">
        <v>2616</v>
      </c>
      <c r="I2858" s="417" t="s">
        <v>1392</v>
      </c>
      <c r="J2858" s="417" t="s">
        <v>8140</v>
      </c>
      <c r="K2858" s="417" t="s">
        <v>8151</v>
      </c>
      <c r="L2858" s="417"/>
      <c r="M2858" s="417" t="s">
        <v>28840</v>
      </c>
    </row>
    <row r="2859" spans="1:13" x14ac:dyDescent="0.25">
      <c r="A2859" s="417" t="s">
        <v>3385</v>
      </c>
      <c r="B2859" s="417" t="s">
        <v>3405</v>
      </c>
      <c r="C2859" s="417" t="s">
        <v>8152</v>
      </c>
      <c r="D2859" s="417" t="s">
        <v>224</v>
      </c>
      <c r="E2859" s="423">
        <v>0.67504218562335838</v>
      </c>
      <c r="F2859" s="423">
        <v>3.01627353553787E-3</v>
      </c>
      <c r="G2859" s="422">
        <v>843.13594017359571</v>
      </c>
      <c r="H2859" s="417" t="s">
        <v>2616</v>
      </c>
      <c r="I2859" s="417" t="s">
        <v>1392</v>
      </c>
      <c r="J2859" s="417" t="s">
        <v>8140</v>
      </c>
      <c r="K2859" s="417" t="s">
        <v>8153</v>
      </c>
      <c r="L2859" s="417"/>
      <c r="M2859" s="417" t="s">
        <v>28840</v>
      </c>
    </row>
    <row r="2860" spans="1:13" x14ac:dyDescent="0.25">
      <c r="A2860" s="417" t="s">
        <v>3385</v>
      </c>
      <c r="B2860" s="417" t="s">
        <v>3405</v>
      </c>
      <c r="C2860" s="417" t="s">
        <v>8154</v>
      </c>
      <c r="D2860" s="417" t="s">
        <v>224</v>
      </c>
      <c r="E2860" s="423">
        <v>0.63856759236411575</v>
      </c>
      <c r="F2860" s="423">
        <v>2.1192055003307771E-3</v>
      </c>
      <c r="G2860" s="422">
        <v>802.26501601644395</v>
      </c>
      <c r="H2860" s="417" t="s">
        <v>2616</v>
      </c>
      <c r="I2860" s="417" t="s">
        <v>1392</v>
      </c>
      <c r="J2860" s="417" t="s">
        <v>8140</v>
      </c>
      <c r="K2860" s="417" t="s">
        <v>8155</v>
      </c>
      <c r="L2860" s="417"/>
      <c r="M2860" s="417" t="s">
        <v>28840</v>
      </c>
    </row>
    <row r="2861" spans="1:13" x14ac:dyDescent="0.25">
      <c r="A2861" s="417" t="s">
        <v>3385</v>
      </c>
      <c r="B2861" s="417" t="s">
        <v>3405</v>
      </c>
      <c r="C2861" s="417" t="s">
        <v>8156</v>
      </c>
      <c r="D2861" s="417" t="s">
        <v>224</v>
      </c>
      <c r="E2861" s="423">
        <v>0.29916819836248493</v>
      </c>
      <c r="F2861" s="423">
        <v>0.56156352581360258</v>
      </c>
      <c r="G2861" s="422">
        <v>390.14143672190329</v>
      </c>
      <c r="H2861" s="417" t="s">
        <v>2616</v>
      </c>
      <c r="I2861" s="417" t="s">
        <v>1392</v>
      </c>
      <c r="J2861" s="417" t="s">
        <v>8130</v>
      </c>
      <c r="K2861" s="417" t="s">
        <v>8157</v>
      </c>
      <c r="L2861" s="417"/>
      <c r="M2861" s="417" t="s">
        <v>28840</v>
      </c>
    </row>
    <row r="2862" spans="1:13" x14ac:dyDescent="0.25">
      <c r="A2862" s="417" t="s">
        <v>3385</v>
      </c>
      <c r="B2862" s="417" t="s">
        <v>3405</v>
      </c>
      <c r="C2862" s="417" t="s">
        <v>8158</v>
      </c>
      <c r="D2862" s="417" t="s">
        <v>224</v>
      </c>
      <c r="E2862" s="423">
        <v>0.24578582045200101</v>
      </c>
      <c r="F2862" s="423">
        <v>0.46136037481372039</v>
      </c>
      <c r="G2862" s="422">
        <v>320.52615756688721</v>
      </c>
      <c r="H2862" s="417" t="s">
        <v>2616</v>
      </c>
      <c r="I2862" s="417" t="s">
        <v>1392</v>
      </c>
      <c r="J2862" s="417" t="s">
        <v>8130</v>
      </c>
      <c r="K2862" s="417" t="s">
        <v>8159</v>
      </c>
      <c r="L2862" s="417"/>
      <c r="M2862" s="417" t="s">
        <v>28840</v>
      </c>
    </row>
    <row r="2863" spans="1:13" x14ac:dyDescent="0.25">
      <c r="A2863" s="417" t="s">
        <v>3385</v>
      </c>
      <c r="B2863" s="417" t="s">
        <v>3405</v>
      </c>
      <c r="C2863" s="417" t="s">
        <v>8160</v>
      </c>
      <c r="D2863" s="417" t="s">
        <v>224</v>
      </c>
      <c r="E2863" s="423">
        <v>0.67811959785391296</v>
      </c>
      <c r="F2863" s="423">
        <v>1.6028769413990479E-2</v>
      </c>
      <c r="G2863" s="422">
        <v>905.47180609577458</v>
      </c>
      <c r="H2863" s="417" t="s">
        <v>2616</v>
      </c>
      <c r="I2863" s="417" t="s">
        <v>1392</v>
      </c>
      <c r="J2863" s="417" t="s">
        <v>8135</v>
      </c>
      <c r="K2863" s="417" t="s">
        <v>8161</v>
      </c>
      <c r="L2863" s="417"/>
      <c r="M2863" s="417" t="s">
        <v>28840</v>
      </c>
    </row>
    <row r="2864" spans="1:13" x14ac:dyDescent="0.25">
      <c r="A2864" s="417" t="s">
        <v>3385</v>
      </c>
      <c r="B2864" s="417" t="s">
        <v>3405</v>
      </c>
      <c r="C2864" s="417" t="s">
        <v>8162</v>
      </c>
      <c r="D2864" s="417" t="s">
        <v>224</v>
      </c>
      <c r="E2864" s="423">
        <v>0.53920211753531422</v>
      </c>
      <c r="F2864" s="423">
        <v>1.2745165361420041E-2</v>
      </c>
      <c r="G2864" s="422">
        <v>719.97965662915453</v>
      </c>
      <c r="H2864" s="417" t="s">
        <v>2616</v>
      </c>
      <c r="I2864" s="417" t="s">
        <v>1392</v>
      </c>
      <c r="J2864" s="417" t="s">
        <v>8135</v>
      </c>
      <c r="K2864" s="417" t="s">
        <v>8163</v>
      </c>
      <c r="L2864" s="417"/>
      <c r="M2864" s="417" t="s">
        <v>28840</v>
      </c>
    </row>
    <row r="2865" spans="1:13" x14ac:dyDescent="0.25">
      <c r="A2865" s="417" t="s">
        <v>3385</v>
      </c>
      <c r="B2865" s="417" t="s">
        <v>3405</v>
      </c>
      <c r="C2865" s="417" t="s">
        <v>8164</v>
      </c>
      <c r="D2865" s="417" t="s">
        <v>224</v>
      </c>
      <c r="E2865" s="423">
        <v>0.58353517286565959</v>
      </c>
      <c r="F2865" s="423">
        <v>2.5545475758946179E-3</v>
      </c>
      <c r="G2865" s="422">
        <v>730.78699004445991</v>
      </c>
      <c r="H2865" s="417" t="s">
        <v>2616</v>
      </c>
      <c r="I2865" s="417" t="s">
        <v>1392</v>
      </c>
      <c r="J2865" s="417" t="s">
        <v>8140</v>
      </c>
      <c r="K2865" s="417" t="s">
        <v>8165</v>
      </c>
      <c r="L2865" s="417"/>
      <c r="M2865" s="417" t="s">
        <v>28840</v>
      </c>
    </row>
    <row r="2866" spans="1:13" x14ac:dyDescent="0.25">
      <c r="A2866" s="417" t="s">
        <v>3385</v>
      </c>
      <c r="B2866" s="417" t="s">
        <v>3405</v>
      </c>
      <c r="C2866" s="417" t="s">
        <v>8166</v>
      </c>
      <c r="D2866" s="417" t="s">
        <v>224</v>
      </c>
      <c r="E2866" s="423">
        <v>0.4794114890285508</v>
      </c>
      <c r="F2866" s="423">
        <v>2.0987243183093599E-3</v>
      </c>
      <c r="G2866" s="422">
        <v>600.3882807175911</v>
      </c>
      <c r="H2866" s="417" t="s">
        <v>2616</v>
      </c>
      <c r="I2866" s="417" t="s">
        <v>1392</v>
      </c>
      <c r="J2866" s="417" t="s">
        <v>8140</v>
      </c>
      <c r="K2866" s="417" t="s">
        <v>8167</v>
      </c>
      <c r="L2866" s="417"/>
      <c r="M2866" s="417" t="s">
        <v>28840</v>
      </c>
    </row>
    <row r="2867" spans="1:13" x14ac:dyDescent="0.25">
      <c r="A2867" s="417" t="s">
        <v>3385</v>
      </c>
      <c r="B2867" s="417" t="s">
        <v>3405</v>
      </c>
      <c r="C2867" s="417" t="s">
        <v>8168</v>
      </c>
      <c r="D2867" s="417" t="s">
        <v>224</v>
      </c>
      <c r="E2867" s="423">
        <v>6.2609586189345826E-2</v>
      </c>
      <c r="F2867" s="423">
        <v>0.77938707975077037</v>
      </c>
      <c r="G2867" s="422">
        <v>242.7302260823779</v>
      </c>
      <c r="H2867" s="417" t="s">
        <v>2616</v>
      </c>
      <c r="I2867" s="417" t="s">
        <v>1392</v>
      </c>
      <c r="J2867" s="417" t="s">
        <v>8169</v>
      </c>
      <c r="K2867" s="417" t="s">
        <v>8170</v>
      </c>
      <c r="L2867" s="417"/>
      <c r="M2867" s="417" t="s">
        <v>28840</v>
      </c>
    </row>
    <row r="2868" spans="1:13" x14ac:dyDescent="0.25">
      <c r="A2868" s="417" t="s">
        <v>3385</v>
      </c>
      <c r="B2868" s="417" t="s">
        <v>3405</v>
      </c>
      <c r="C2868" s="417" t="s">
        <v>8171</v>
      </c>
      <c r="D2868" s="417" t="s">
        <v>224</v>
      </c>
      <c r="E2868" s="423">
        <v>5.4946920931422477E-2</v>
      </c>
      <c r="F2868" s="423">
        <v>0.68399940758847433</v>
      </c>
      <c r="G2868" s="422">
        <v>213.02294642839129</v>
      </c>
      <c r="H2868" s="417" t="s">
        <v>2616</v>
      </c>
      <c r="I2868" s="417" t="s">
        <v>1392</v>
      </c>
      <c r="J2868" s="417" t="s">
        <v>8169</v>
      </c>
      <c r="K2868" s="417" t="s">
        <v>8172</v>
      </c>
      <c r="L2868" s="417"/>
      <c r="M2868" s="417" t="s">
        <v>28840</v>
      </c>
    </row>
    <row r="2869" spans="1:13" x14ac:dyDescent="0.25">
      <c r="A2869" s="417" t="s">
        <v>3385</v>
      </c>
      <c r="B2869" s="417" t="s">
        <v>3405</v>
      </c>
      <c r="C2869" s="417" t="s">
        <v>8173</v>
      </c>
      <c r="D2869" s="417" t="s">
        <v>224</v>
      </c>
      <c r="E2869" s="423">
        <v>0.31826792059178582</v>
      </c>
      <c r="F2869" s="423">
        <v>0.5946670469997094</v>
      </c>
      <c r="G2869" s="422">
        <v>419.78194231988061</v>
      </c>
      <c r="H2869" s="417" t="s">
        <v>2616</v>
      </c>
      <c r="I2869" s="417" t="s">
        <v>1392</v>
      </c>
      <c r="J2869" s="417" t="s">
        <v>8130</v>
      </c>
      <c r="K2869" s="417" t="s">
        <v>8174</v>
      </c>
      <c r="L2869" s="417"/>
      <c r="M2869" s="417" t="s">
        <v>28840</v>
      </c>
    </row>
    <row r="2870" spans="1:13" x14ac:dyDescent="0.25">
      <c r="A2870" s="417" t="s">
        <v>3385</v>
      </c>
      <c r="B2870" s="417" t="s">
        <v>3405</v>
      </c>
      <c r="C2870" s="417" t="s">
        <v>8175</v>
      </c>
      <c r="D2870" s="417" t="s">
        <v>224</v>
      </c>
      <c r="E2870" s="423">
        <v>0.25698064912874857</v>
      </c>
      <c r="F2870" s="423">
        <v>0.48015497081490832</v>
      </c>
      <c r="G2870" s="422">
        <v>338.94661978449318</v>
      </c>
      <c r="H2870" s="417" t="s">
        <v>2616</v>
      </c>
      <c r="I2870" s="417" t="s">
        <v>1392</v>
      </c>
      <c r="J2870" s="417" t="s">
        <v>8130</v>
      </c>
      <c r="K2870" s="417" t="s">
        <v>8176</v>
      </c>
      <c r="L2870" s="417"/>
      <c r="M2870" s="417" t="s">
        <v>28840</v>
      </c>
    </row>
    <row r="2871" spans="1:13" x14ac:dyDescent="0.25">
      <c r="A2871" s="417" t="s">
        <v>3385</v>
      </c>
      <c r="B2871" s="417" t="s">
        <v>3405</v>
      </c>
      <c r="C2871" s="417" t="s">
        <v>8177</v>
      </c>
      <c r="D2871" s="417" t="s">
        <v>224</v>
      </c>
      <c r="E2871" s="423">
        <v>0.75278059738671432</v>
      </c>
      <c r="F2871" s="423">
        <v>1.780048260041733E-2</v>
      </c>
      <c r="G2871" s="422">
        <v>1005.68205379008</v>
      </c>
      <c r="H2871" s="417" t="s">
        <v>2616</v>
      </c>
      <c r="I2871" s="417" t="s">
        <v>1392</v>
      </c>
      <c r="J2871" s="417" t="s">
        <v>8135</v>
      </c>
      <c r="K2871" s="417" t="s">
        <v>8178</v>
      </c>
      <c r="L2871" s="417"/>
      <c r="M2871" s="417" t="s">
        <v>28840</v>
      </c>
    </row>
    <row r="2872" spans="1:13" x14ac:dyDescent="0.25">
      <c r="A2872" s="417" t="s">
        <v>3385</v>
      </c>
      <c r="B2872" s="417" t="s">
        <v>3405</v>
      </c>
      <c r="C2872" s="417" t="s">
        <v>8179</v>
      </c>
      <c r="D2872" s="417" t="s">
        <v>224</v>
      </c>
      <c r="E2872" s="423">
        <v>0.59686572366053914</v>
      </c>
      <c r="F2872" s="423">
        <v>1.4113671028728569E-2</v>
      </c>
      <c r="G2872" s="422">
        <v>797.38658165561492</v>
      </c>
      <c r="H2872" s="417" t="s">
        <v>2616</v>
      </c>
      <c r="I2872" s="417" t="s">
        <v>1392</v>
      </c>
      <c r="J2872" s="417" t="s">
        <v>8135</v>
      </c>
      <c r="K2872" s="417" t="s">
        <v>8180</v>
      </c>
      <c r="L2872" s="417"/>
      <c r="M2872" s="417" t="s">
        <v>28840</v>
      </c>
    </row>
    <row r="2873" spans="1:13" x14ac:dyDescent="0.25">
      <c r="A2873" s="417" t="s">
        <v>3385</v>
      </c>
      <c r="B2873" s="417" t="s">
        <v>3405</v>
      </c>
      <c r="C2873" s="417" t="s">
        <v>8181</v>
      </c>
      <c r="D2873" s="417" t="s">
        <v>224</v>
      </c>
      <c r="E2873" s="423">
        <v>0.61937342437281606</v>
      </c>
      <c r="F2873" s="423">
        <v>2.7534447154281042E-3</v>
      </c>
      <c r="G2873" s="422">
        <v>780.47871198393148</v>
      </c>
      <c r="H2873" s="417" t="s">
        <v>2616</v>
      </c>
      <c r="I2873" s="417" t="s">
        <v>1392</v>
      </c>
      <c r="J2873" s="417" t="s">
        <v>8140</v>
      </c>
      <c r="K2873" s="417" t="s">
        <v>8182</v>
      </c>
      <c r="L2873" s="417"/>
      <c r="M2873" s="417" t="s">
        <v>28840</v>
      </c>
    </row>
    <row r="2874" spans="1:13" x14ac:dyDescent="0.25">
      <c r="A2874" s="417" t="s">
        <v>3385</v>
      </c>
      <c r="B2874" s="417" t="s">
        <v>3405</v>
      </c>
      <c r="C2874" s="417" t="s">
        <v>8183</v>
      </c>
      <c r="D2874" s="417" t="s">
        <v>224</v>
      </c>
      <c r="E2874" s="423">
        <v>0.50010376396344902</v>
      </c>
      <c r="F2874" s="423">
        <v>2.2232275544083841E-3</v>
      </c>
      <c r="G2874" s="422">
        <v>630.18580751491902</v>
      </c>
      <c r="H2874" s="417" t="s">
        <v>2616</v>
      </c>
      <c r="I2874" s="417" t="s">
        <v>1392</v>
      </c>
      <c r="J2874" s="417" t="s">
        <v>8140</v>
      </c>
      <c r="K2874" s="417" t="s">
        <v>8184</v>
      </c>
      <c r="L2874" s="417"/>
      <c r="M2874" s="417" t="s">
        <v>28840</v>
      </c>
    </row>
    <row r="2875" spans="1:13" x14ac:dyDescent="0.25">
      <c r="A2875" s="417" t="s">
        <v>3385</v>
      </c>
      <c r="B2875" s="417" t="s">
        <v>3405</v>
      </c>
      <c r="C2875" s="417" t="s">
        <v>8185</v>
      </c>
      <c r="D2875" s="417" t="s">
        <v>224</v>
      </c>
      <c r="E2875" s="423">
        <v>9.7895199732639798E-2</v>
      </c>
      <c r="F2875" s="423">
        <v>0.87796074442277117</v>
      </c>
      <c r="G2875" s="422">
        <v>330.12034130754819</v>
      </c>
      <c r="H2875" s="417" t="s">
        <v>2616</v>
      </c>
      <c r="I2875" s="417" t="s">
        <v>1392</v>
      </c>
      <c r="J2875" s="417" t="s">
        <v>8169</v>
      </c>
      <c r="K2875" s="417" t="s">
        <v>8186</v>
      </c>
      <c r="L2875" s="417"/>
      <c r="M2875" s="417" t="s">
        <v>28840</v>
      </c>
    </row>
    <row r="2876" spans="1:13" x14ac:dyDescent="0.25">
      <c r="A2876" s="417" t="s">
        <v>3385</v>
      </c>
      <c r="B2876" s="417" t="s">
        <v>3405</v>
      </c>
      <c r="C2876" s="417" t="s">
        <v>8187</v>
      </c>
      <c r="D2876" s="417" t="s">
        <v>224</v>
      </c>
      <c r="E2876" s="423">
        <v>8.2071188781104476E-2</v>
      </c>
      <c r="F2876" s="423">
        <v>0.73604510153201363</v>
      </c>
      <c r="G2876" s="422">
        <v>276.75891100797099</v>
      </c>
      <c r="H2876" s="417" t="s">
        <v>2616</v>
      </c>
      <c r="I2876" s="417" t="s">
        <v>1392</v>
      </c>
      <c r="J2876" s="417" t="s">
        <v>8169</v>
      </c>
      <c r="K2876" s="417" t="s">
        <v>8188</v>
      </c>
      <c r="L2876" s="417"/>
      <c r="M2876" s="417" t="s">
        <v>28840</v>
      </c>
    </row>
    <row r="2877" spans="1:13" x14ac:dyDescent="0.25">
      <c r="A2877" s="417" t="s">
        <v>3385</v>
      </c>
      <c r="B2877" s="417" t="s">
        <v>3405</v>
      </c>
      <c r="C2877" s="417" t="s">
        <v>8189</v>
      </c>
      <c r="D2877" s="417" t="s">
        <v>224</v>
      </c>
      <c r="E2877" s="423">
        <v>6.9729880798318558E-2</v>
      </c>
      <c r="F2877" s="423">
        <v>0.85444532401010531</v>
      </c>
      <c r="G2877" s="422">
        <v>267.21302298373467</v>
      </c>
      <c r="H2877" s="417" t="s">
        <v>2616</v>
      </c>
      <c r="I2877" s="417" t="s">
        <v>1392</v>
      </c>
      <c r="J2877" s="417" t="s">
        <v>8169</v>
      </c>
      <c r="K2877" s="417" t="s">
        <v>8190</v>
      </c>
      <c r="L2877" s="417"/>
      <c r="M2877" s="417" t="s">
        <v>28840</v>
      </c>
    </row>
    <row r="2878" spans="1:13" x14ac:dyDescent="0.25">
      <c r="A2878" s="417" t="s">
        <v>3385</v>
      </c>
      <c r="B2878" s="417" t="s">
        <v>3405</v>
      </c>
      <c r="C2878" s="417" t="s">
        <v>8191</v>
      </c>
      <c r="D2878" s="417" t="s">
        <v>224</v>
      </c>
      <c r="E2878" s="423">
        <v>5.8458578838381819E-2</v>
      </c>
      <c r="F2878" s="423">
        <v>0.7163307692538553</v>
      </c>
      <c r="G2878" s="422">
        <v>224.0200812351286</v>
      </c>
      <c r="H2878" s="417" t="s">
        <v>2616</v>
      </c>
      <c r="I2878" s="417" t="s">
        <v>1392</v>
      </c>
      <c r="J2878" s="417" t="s">
        <v>8169</v>
      </c>
      <c r="K2878" s="417" t="s">
        <v>8192</v>
      </c>
      <c r="L2878" s="417"/>
      <c r="M2878" s="417" t="s">
        <v>28840</v>
      </c>
    </row>
    <row r="2879" spans="1:13" x14ac:dyDescent="0.25">
      <c r="A2879" s="417" t="s">
        <v>3385</v>
      </c>
      <c r="B2879" s="417" t="s">
        <v>3405</v>
      </c>
      <c r="C2879" s="417" t="s">
        <v>8193</v>
      </c>
      <c r="D2879" s="417" t="s">
        <v>224</v>
      </c>
      <c r="E2879" s="423">
        <v>0.37101084598882011</v>
      </c>
      <c r="F2879" s="423">
        <v>0.68938546455822025</v>
      </c>
      <c r="G2879" s="422">
        <v>499.61589783361228</v>
      </c>
      <c r="H2879" s="417" t="s">
        <v>2616</v>
      </c>
      <c r="I2879" s="417" t="s">
        <v>1392</v>
      </c>
      <c r="J2879" s="417" t="s">
        <v>8130</v>
      </c>
      <c r="K2879" s="417" t="s">
        <v>8194</v>
      </c>
      <c r="L2879" s="417"/>
      <c r="M2879" s="417" t="s">
        <v>28840</v>
      </c>
    </row>
    <row r="2880" spans="1:13" x14ac:dyDescent="0.25">
      <c r="A2880" s="417" t="s">
        <v>3385</v>
      </c>
      <c r="B2880" s="417" t="s">
        <v>3405</v>
      </c>
      <c r="C2880" s="417" t="s">
        <v>8195</v>
      </c>
      <c r="D2880" s="417" t="s">
        <v>224</v>
      </c>
      <c r="E2880" s="423">
        <v>0.27273107017854631</v>
      </c>
      <c r="F2880" s="423">
        <v>0.50676910743367209</v>
      </c>
      <c r="G2880" s="422">
        <v>367.26899049614059</v>
      </c>
      <c r="H2880" s="417" t="s">
        <v>2616</v>
      </c>
      <c r="I2880" s="417" t="s">
        <v>1392</v>
      </c>
      <c r="J2880" s="417" t="s">
        <v>8130</v>
      </c>
      <c r="K2880" s="417" t="s">
        <v>8196</v>
      </c>
      <c r="L2880" s="417"/>
      <c r="M2880" s="417" t="s">
        <v>28840</v>
      </c>
    </row>
    <row r="2881" spans="1:13" x14ac:dyDescent="0.25">
      <c r="A2881" s="417" t="s">
        <v>3385</v>
      </c>
      <c r="B2881" s="417" t="s">
        <v>3405</v>
      </c>
      <c r="C2881" s="417" t="s">
        <v>8197</v>
      </c>
      <c r="D2881" s="417" t="s">
        <v>224</v>
      </c>
      <c r="E2881" s="423">
        <v>0.81590784076005618</v>
      </c>
      <c r="F2881" s="423">
        <v>1.9309047666834639E-2</v>
      </c>
      <c r="G2881" s="422">
        <v>1105.541624626693</v>
      </c>
      <c r="H2881" s="417" t="s">
        <v>2616</v>
      </c>
      <c r="I2881" s="417" t="s">
        <v>1392</v>
      </c>
      <c r="J2881" s="417" t="s">
        <v>8135</v>
      </c>
      <c r="K2881" s="417" t="s">
        <v>8198</v>
      </c>
      <c r="L2881" s="417"/>
      <c r="M2881" s="417" t="s">
        <v>28840</v>
      </c>
    </row>
    <row r="2882" spans="1:13" x14ac:dyDescent="0.25">
      <c r="A2882" s="417" t="s">
        <v>3385</v>
      </c>
      <c r="B2882" s="417" t="s">
        <v>3405</v>
      </c>
      <c r="C2882" s="417" t="s">
        <v>8199</v>
      </c>
      <c r="D2882" s="417" t="s">
        <v>224</v>
      </c>
      <c r="E2882" s="423">
        <v>0.55779487269516348</v>
      </c>
      <c r="F2882" s="423">
        <v>1.320061806880132E-2</v>
      </c>
      <c r="G2882" s="422">
        <v>755.80282350696348</v>
      </c>
      <c r="H2882" s="417" t="s">
        <v>2616</v>
      </c>
      <c r="I2882" s="417" t="s">
        <v>1392</v>
      </c>
      <c r="J2882" s="417" t="s">
        <v>8135</v>
      </c>
      <c r="K2882" s="417" t="s">
        <v>8200</v>
      </c>
      <c r="L2882" s="417"/>
      <c r="M2882" s="417" t="s">
        <v>28840</v>
      </c>
    </row>
    <row r="2883" spans="1:13" x14ac:dyDescent="0.25">
      <c r="A2883" s="417" t="s">
        <v>3385</v>
      </c>
      <c r="B2883" s="417" t="s">
        <v>3405</v>
      </c>
      <c r="C2883" s="417" t="s">
        <v>8201</v>
      </c>
      <c r="D2883" s="417" t="s">
        <v>224</v>
      </c>
      <c r="E2883" s="423">
        <v>0.72004103995030766</v>
      </c>
      <c r="F2883" s="423">
        <v>3.261442880599116E-3</v>
      </c>
      <c r="G2883" s="422">
        <v>919.35198059452841</v>
      </c>
      <c r="H2883" s="417" t="s">
        <v>2616</v>
      </c>
      <c r="I2883" s="417" t="s">
        <v>1392</v>
      </c>
      <c r="J2883" s="417" t="s">
        <v>8140</v>
      </c>
      <c r="K2883" s="417" t="s">
        <v>8202</v>
      </c>
      <c r="L2883" s="417"/>
      <c r="M2883" s="417" t="s">
        <v>28840</v>
      </c>
    </row>
    <row r="2884" spans="1:13" x14ac:dyDescent="0.25">
      <c r="A2884" s="417" t="s">
        <v>3385</v>
      </c>
      <c r="B2884" s="417" t="s">
        <v>3405</v>
      </c>
      <c r="C2884" s="417" t="s">
        <v>8203</v>
      </c>
      <c r="D2884" s="417" t="s">
        <v>224</v>
      </c>
      <c r="E2884" s="423">
        <v>0.5293041033773237</v>
      </c>
      <c r="F2884" s="423">
        <v>2.397495426008857E-3</v>
      </c>
      <c r="G2884" s="422">
        <v>675.81811159542588</v>
      </c>
      <c r="H2884" s="417" t="s">
        <v>2616</v>
      </c>
      <c r="I2884" s="417" t="s">
        <v>1392</v>
      </c>
      <c r="J2884" s="417" t="s">
        <v>8140</v>
      </c>
      <c r="K2884" s="417" t="s">
        <v>8204</v>
      </c>
      <c r="L2884" s="417"/>
      <c r="M2884" s="417" t="s">
        <v>28840</v>
      </c>
    </row>
    <row r="2885" spans="1:13" x14ac:dyDescent="0.25">
      <c r="A2885" s="417" t="s">
        <v>3385</v>
      </c>
      <c r="B2885" s="417" t="s">
        <v>3405</v>
      </c>
      <c r="C2885" s="417" t="s">
        <v>8205</v>
      </c>
      <c r="D2885" s="417" t="s">
        <v>224</v>
      </c>
      <c r="E2885" s="423">
        <v>0.1030768531082476</v>
      </c>
      <c r="F2885" s="423">
        <v>0.92273071340697177</v>
      </c>
      <c r="G2885" s="422">
        <v>347.26108798369597</v>
      </c>
      <c r="H2885" s="417" t="s">
        <v>2616</v>
      </c>
      <c r="I2885" s="417" t="s">
        <v>1392</v>
      </c>
      <c r="J2885" s="417" t="s">
        <v>8169</v>
      </c>
      <c r="K2885" s="417" t="s">
        <v>8206</v>
      </c>
      <c r="L2885" s="417"/>
      <c r="M2885" s="417" t="s">
        <v>28840</v>
      </c>
    </row>
    <row r="2886" spans="1:13" x14ac:dyDescent="0.25">
      <c r="A2886" s="417" t="s">
        <v>3385</v>
      </c>
      <c r="B2886" s="417" t="s">
        <v>3405</v>
      </c>
      <c r="C2886" s="417" t="s">
        <v>8207</v>
      </c>
      <c r="D2886" s="417" t="s">
        <v>224</v>
      </c>
      <c r="E2886" s="423">
        <v>8.3059152181992349E-2</v>
      </c>
      <c r="F2886" s="423">
        <v>0.7435348341123198</v>
      </c>
      <c r="G2886" s="422">
        <v>279.82239149980211</v>
      </c>
      <c r="H2886" s="417" t="s">
        <v>2616</v>
      </c>
      <c r="I2886" s="417" t="s">
        <v>1392</v>
      </c>
      <c r="J2886" s="417" t="s">
        <v>8169</v>
      </c>
      <c r="K2886" s="417" t="s">
        <v>8208</v>
      </c>
      <c r="L2886" s="417"/>
      <c r="M2886" s="417" t="s">
        <v>28840</v>
      </c>
    </row>
    <row r="2887" spans="1:13" x14ac:dyDescent="0.25">
      <c r="A2887" s="417" t="s">
        <v>3385</v>
      </c>
      <c r="B2887" s="417" t="s">
        <v>3405</v>
      </c>
      <c r="C2887" s="417" t="s">
        <v>8209</v>
      </c>
      <c r="D2887" s="417" t="s">
        <v>224</v>
      </c>
      <c r="E2887" s="423">
        <v>7.3104231860028387E-2</v>
      </c>
      <c r="F2887" s="423">
        <v>1.850283557783281</v>
      </c>
      <c r="G2887" s="422">
        <v>669.38684044318256</v>
      </c>
      <c r="H2887" s="417" t="s">
        <v>2616</v>
      </c>
      <c r="I2887" s="417" t="s">
        <v>1392</v>
      </c>
      <c r="J2887" s="417" t="s">
        <v>8169</v>
      </c>
      <c r="K2887" s="417" t="s">
        <v>8210</v>
      </c>
      <c r="L2887" s="417"/>
      <c r="M2887" s="417" t="s">
        <v>28840</v>
      </c>
    </row>
    <row r="2888" spans="1:13" x14ac:dyDescent="0.25">
      <c r="A2888" s="417" t="s">
        <v>3385</v>
      </c>
      <c r="B2888" s="417" t="s">
        <v>3405</v>
      </c>
      <c r="C2888" s="417" t="s">
        <v>8211</v>
      </c>
      <c r="D2888" s="417" t="s">
        <v>224</v>
      </c>
      <c r="E2888" s="423">
        <v>0.1531744133027047</v>
      </c>
      <c r="F2888" s="423">
        <v>0.98175999391359414</v>
      </c>
      <c r="G2888" s="422">
        <v>228.11940356008739</v>
      </c>
      <c r="H2888" s="417" t="s">
        <v>2616</v>
      </c>
      <c r="I2888" s="417" t="s">
        <v>1392</v>
      </c>
      <c r="J2888" s="417" t="s">
        <v>8212</v>
      </c>
      <c r="K2888" s="417" t="s">
        <v>8213</v>
      </c>
      <c r="L2888" s="417"/>
      <c r="M2888" s="417" t="s">
        <v>28840</v>
      </c>
    </row>
    <row r="2889" spans="1:13" x14ac:dyDescent="0.25">
      <c r="A2889" s="417" t="s">
        <v>3385</v>
      </c>
      <c r="B2889" s="417" t="s">
        <v>3405</v>
      </c>
      <c r="C2889" s="417" t="s">
        <v>8214</v>
      </c>
      <c r="D2889" s="417" t="s">
        <v>224</v>
      </c>
      <c r="E2889" s="423">
        <v>0.38939737116630169</v>
      </c>
      <c r="F2889" s="423">
        <v>0.91419227948446202</v>
      </c>
      <c r="G2889" s="422">
        <v>581.4617481386482</v>
      </c>
      <c r="H2889" s="417" t="s">
        <v>2616</v>
      </c>
      <c r="I2889" s="417" t="s">
        <v>1392</v>
      </c>
      <c r="J2889" s="417" t="s">
        <v>8212</v>
      </c>
      <c r="K2889" s="417" t="s">
        <v>8215</v>
      </c>
      <c r="L2889" s="417"/>
      <c r="M2889" s="417" t="s">
        <v>28840</v>
      </c>
    </row>
    <row r="2890" spans="1:13" x14ac:dyDescent="0.25">
      <c r="A2890" s="417" t="s">
        <v>3385</v>
      </c>
      <c r="B2890" s="417" t="s">
        <v>3405</v>
      </c>
      <c r="C2890" s="417" t="s">
        <v>8216</v>
      </c>
      <c r="D2890" s="417" t="s">
        <v>224</v>
      </c>
      <c r="E2890" s="423">
        <v>0.16823581096454429</v>
      </c>
      <c r="F2890" s="423">
        <v>0.79485888632866653</v>
      </c>
      <c r="G2890" s="422">
        <v>216.95235387679861</v>
      </c>
      <c r="H2890" s="417" t="s">
        <v>2616</v>
      </c>
      <c r="I2890" s="417" t="s">
        <v>1392</v>
      </c>
      <c r="J2890" s="417" t="s">
        <v>8212</v>
      </c>
      <c r="K2890" s="417" t="s">
        <v>8217</v>
      </c>
      <c r="L2890" s="417"/>
      <c r="M2890" s="417" t="s">
        <v>28840</v>
      </c>
    </row>
    <row r="2891" spans="1:13" x14ac:dyDescent="0.25">
      <c r="A2891" s="417" t="s">
        <v>3385</v>
      </c>
      <c r="B2891" s="417" t="s">
        <v>3405</v>
      </c>
      <c r="C2891" s="417" t="s">
        <v>8218</v>
      </c>
      <c r="D2891" s="417" t="s">
        <v>224</v>
      </c>
      <c r="E2891" s="423">
        <v>0.2427357518242188</v>
      </c>
      <c r="F2891" s="423">
        <v>0.86456178736260259</v>
      </c>
      <c r="G2891" s="422">
        <v>360.15312128994549</v>
      </c>
      <c r="H2891" s="417" t="s">
        <v>2616</v>
      </c>
      <c r="I2891" s="417" t="s">
        <v>1392</v>
      </c>
      <c r="J2891" s="417" t="s">
        <v>8212</v>
      </c>
      <c r="K2891" s="417" t="s">
        <v>8219</v>
      </c>
      <c r="L2891" s="417"/>
      <c r="M2891" s="417" t="s">
        <v>28840</v>
      </c>
    </row>
    <row r="2892" spans="1:13" x14ac:dyDescent="0.25">
      <c r="A2892" s="417" t="s">
        <v>3385</v>
      </c>
      <c r="B2892" s="417" t="s">
        <v>3405</v>
      </c>
      <c r="C2892" s="417" t="s">
        <v>8220</v>
      </c>
      <c r="D2892" s="417" t="s">
        <v>224</v>
      </c>
      <c r="E2892" s="423">
        <v>0.44327933558836818</v>
      </c>
      <c r="F2892" s="423">
        <v>0.77160662694414528</v>
      </c>
      <c r="G2892" s="422">
        <v>652.8846452113097</v>
      </c>
      <c r="H2892" s="417" t="s">
        <v>2616</v>
      </c>
      <c r="I2892" s="417" t="s">
        <v>1392</v>
      </c>
      <c r="J2892" s="417" t="s">
        <v>8212</v>
      </c>
      <c r="K2892" s="417" t="s">
        <v>8221</v>
      </c>
      <c r="L2892" s="417"/>
      <c r="M2892" s="417" t="s">
        <v>28840</v>
      </c>
    </row>
    <row r="2893" spans="1:13" x14ac:dyDescent="0.25">
      <c r="A2893" s="417" t="s">
        <v>3385</v>
      </c>
      <c r="B2893" s="417" t="s">
        <v>3405</v>
      </c>
      <c r="C2893" s="417" t="s">
        <v>8222</v>
      </c>
      <c r="D2893" s="417" t="s">
        <v>224</v>
      </c>
      <c r="E2893" s="423">
        <v>0.31700053798389849</v>
      </c>
      <c r="F2893" s="423">
        <v>1.4177432915955079E-3</v>
      </c>
      <c r="G2893" s="422">
        <v>396.82568630858219</v>
      </c>
      <c r="H2893" s="417" t="s">
        <v>2616</v>
      </c>
      <c r="I2893" s="417" t="s">
        <v>1392</v>
      </c>
      <c r="J2893" s="417" t="s">
        <v>8140</v>
      </c>
      <c r="K2893" s="417" t="s">
        <v>8223</v>
      </c>
      <c r="L2893" s="417"/>
      <c r="M2893" s="417" t="s">
        <v>28840</v>
      </c>
    </row>
    <row r="2894" spans="1:13" x14ac:dyDescent="0.25">
      <c r="A2894" s="417" t="s">
        <v>3385</v>
      </c>
      <c r="B2894" s="417" t="s">
        <v>3405</v>
      </c>
      <c r="C2894" s="417" t="s">
        <v>8224</v>
      </c>
      <c r="D2894" s="417" t="s">
        <v>224</v>
      </c>
      <c r="E2894" s="423">
        <v>1.34763982005436E-3</v>
      </c>
      <c r="F2894" s="423">
        <v>3.817044117118721E-5</v>
      </c>
      <c r="G2894" s="422">
        <v>2.5104026648626672</v>
      </c>
      <c r="H2894" s="417" t="s">
        <v>2616</v>
      </c>
      <c r="I2894" s="417" t="s">
        <v>1392</v>
      </c>
      <c r="J2894" s="417" t="s">
        <v>8140</v>
      </c>
      <c r="K2894" s="417" t="s">
        <v>8225</v>
      </c>
      <c r="L2894" s="417"/>
      <c r="M2894" s="417" t="s">
        <v>28840</v>
      </c>
    </row>
    <row r="2895" spans="1:13" x14ac:dyDescent="0.25">
      <c r="A2895" s="417" t="s">
        <v>3385</v>
      </c>
      <c r="B2895" s="417" t="s">
        <v>3405</v>
      </c>
      <c r="C2895" s="417" t="s">
        <v>8226</v>
      </c>
      <c r="D2895" s="417" t="s">
        <v>224</v>
      </c>
      <c r="E2895" s="423">
        <v>1.7307715138085489E-2</v>
      </c>
      <c r="F2895" s="423">
        <v>6.1690886033826666E-4</v>
      </c>
      <c r="G2895" s="422">
        <v>47.393191738072112</v>
      </c>
      <c r="H2895" s="417" t="s">
        <v>2616</v>
      </c>
      <c r="I2895" s="417" t="s">
        <v>1392</v>
      </c>
      <c r="J2895" s="417" t="s">
        <v>8115</v>
      </c>
      <c r="K2895" s="417" t="s">
        <v>8227</v>
      </c>
      <c r="L2895" s="417"/>
      <c r="M2895" s="417" t="s">
        <v>28840</v>
      </c>
    </row>
    <row r="2896" spans="1:13" x14ac:dyDescent="0.25">
      <c r="A2896" s="417" t="s">
        <v>3385</v>
      </c>
      <c r="B2896" s="417" t="s">
        <v>3405</v>
      </c>
      <c r="C2896" s="417" t="s">
        <v>8228</v>
      </c>
      <c r="D2896" s="417" t="s">
        <v>224</v>
      </c>
      <c r="E2896" s="423">
        <v>1.412315966025314E-2</v>
      </c>
      <c r="F2896" s="423">
        <v>4.6786324985730748E-4</v>
      </c>
      <c r="G2896" s="422">
        <v>41.157819913873048</v>
      </c>
      <c r="H2896" s="417" t="s">
        <v>2616</v>
      </c>
      <c r="I2896" s="417" t="s">
        <v>1392</v>
      </c>
      <c r="J2896" s="417" t="s">
        <v>8115</v>
      </c>
      <c r="K2896" s="417" t="s">
        <v>8229</v>
      </c>
      <c r="L2896" s="417"/>
      <c r="M2896" s="417" t="s">
        <v>28840</v>
      </c>
    </row>
    <row r="2897" spans="1:13" x14ac:dyDescent="0.25">
      <c r="A2897" s="417" t="s">
        <v>3385</v>
      </c>
      <c r="B2897" s="417" t="s">
        <v>3405</v>
      </c>
      <c r="C2897" s="417" t="s">
        <v>8230</v>
      </c>
      <c r="D2897" s="417" t="s">
        <v>224</v>
      </c>
      <c r="E2897" s="423">
        <v>2.67458407645568E-2</v>
      </c>
      <c r="F2897" s="423">
        <v>0.41669460121497193</v>
      </c>
      <c r="G2897" s="422">
        <v>1353.223036463816</v>
      </c>
      <c r="H2897" s="417" t="s">
        <v>2616</v>
      </c>
      <c r="I2897" s="417" t="s">
        <v>1392</v>
      </c>
      <c r="J2897" s="417" t="s">
        <v>8212</v>
      </c>
      <c r="K2897" s="417" t="s">
        <v>8231</v>
      </c>
      <c r="L2897" s="417"/>
      <c r="M2897" s="417" t="s">
        <v>28840</v>
      </c>
    </row>
    <row r="2898" spans="1:13" x14ac:dyDescent="0.25">
      <c r="A2898" s="417" t="s">
        <v>3385</v>
      </c>
      <c r="B2898" s="417" t="s">
        <v>3405</v>
      </c>
      <c r="C2898" s="417" t="s">
        <v>8232</v>
      </c>
      <c r="D2898" s="417" t="s">
        <v>224</v>
      </c>
      <c r="E2898" s="423">
        <v>0.48097174345380839</v>
      </c>
      <c r="F2898" s="423">
        <v>0.76977496865207107</v>
      </c>
      <c r="G2898" s="422">
        <v>970.78631213239191</v>
      </c>
      <c r="H2898" s="417" t="s">
        <v>2616</v>
      </c>
      <c r="I2898" s="417" t="s">
        <v>1392</v>
      </c>
      <c r="J2898" s="417" t="s">
        <v>8212</v>
      </c>
      <c r="K2898" s="417" t="s">
        <v>8233</v>
      </c>
      <c r="L2898" s="417"/>
      <c r="M2898" s="417" t="s">
        <v>28840</v>
      </c>
    </row>
    <row r="2899" spans="1:13" x14ac:dyDescent="0.25">
      <c r="A2899" s="417" t="s">
        <v>3385</v>
      </c>
      <c r="B2899" s="417" t="s">
        <v>3405</v>
      </c>
      <c r="C2899" s="417" t="s">
        <v>8234</v>
      </c>
      <c r="D2899" s="417" t="s">
        <v>224</v>
      </c>
      <c r="E2899" s="423">
        <v>0.4404938762793984</v>
      </c>
      <c r="F2899" s="423">
        <v>0.72150959004316295</v>
      </c>
      <c r="G2899" s="422">
        <v>1377.8331746911999</v>
      </c>
      <c r="H2899" s="417" t="s">
        <v>2616</v>
      </c>
      <c r="I2899" s="417" t="s">
        <v>1392</v>
      </c>
      <c r="J2899" s="417" t="s">
        <v>8212</v>
      </c>
      <c r="K2899" s="417" t="s">
        <v>8235</v>
      </c>
      <c r="L2899" s="417"/>
      <c r="M2899" s="417" t="s">
        <v>28840</v>
      </c>
    </row>
    <row r="2900" spans="1:13" x14ac:dyDescent="0.25">
      <c r="A2900" s="417" t="s">
        <v>3385</v>
      </c>
      <c r="B2900" s="417" t="s">
        <v>3405</v>
      </c>
      <c r="C2900" s="417" t="s">
        <v>8236</v>
      </c>
      <c r="D2900" s="417" t="s">
        <v>224</v>
      </c>
      <c r="E2900" s="423">
        <v>0.4323600329614245</v>
      </c>
      <c r="F2900" s="423">
        <v>2.1198185783999319</v>
      </c>
      <c r="G2900" s="422">
        <v>1912.0554056503281</v>
      </c>
      <c r="H2900" s="417" t="s">
        <v>2616</v>
      </c>
      <c r="I2900" s="417" t="s">
        <v>1392</v>
      </c>
      <c r="J2900" s="417" t="s">
        <v>8212</v>
      </c>
      <c r="K2900" s="417" t="s">
        <v>8237</v>
      </c>
      <c r="L2900" s="417"/>
      <c r="M2900" s="417" t="s">
        <v>28840</v>
      </c>
    </row>
    <row r="2901" spans="1:13" x14ac:dyDescent="0.25">
      <c r="A2901" s="417" t="s">
        <v>3385</v>
      </c>
      <c r="B2901" s="417" t="s">
        <v>3405</v>
      </c>
      <c r="C2901" s="417" t="s">
        <v>8238</v>
      </c>
      <c r="D2901" s="417" t="s">
        <v>224</v>
      </c>
      <c r="E2901" s="423">
        <v>0.24961959407386961</v>
      </c>
      <c r="F2901" s="423">
        <v>1.6708597249273029</v>
      </c>
      <c r="G2901" s="422">
        <v>403.04730629373819</v>
      </c>
      <c r="H2901" s="417" t="s">
        <v>2616</v>
      </c>
      <c r="I2901" s="417" t="s">
        <v>1392</v>
      </c>
      <c r="J2901" s="417" t="s">
        <v>8212</v>
      </c>
      <c r="K2901" s="417" t="s">
        <v>8239</v>
      </c>
      <c r="L2901" s="417"/>
      <c r="M2901" s="417" t="s">
        <v>28840</v>
      </c>
    </row>
    <row r="2902" spans="1:13" x14ac:dyDescent="0.25">
      <c r="A2902" s="417" t="s">
        <v>3385</v>
      </c>
      <c r="B2902" s="417" t="s">
        <v>3405</v>
      </c>
      <c r="C2902" s="417" t="s">
        <v>8240</v>
      </c>
      <c r="D2902" s="417" t="s">
        <v>224</v>
      </c>
      <c r="E2902" s="423">
        <v>0.33982254056443478</v>
      </c>
      <c r="F2902" s="423">
        <v>0.69963366958647344</v>
      </c>
      <c r="G2902" s="422">
        <v>1252.02709656609</v>
      </c>
      <c r="H2902" s="417" t="s">
        <v>2616</v>
      </c>
      <c r="I2902" s="417" t="s">
        <v>1392</v>
      </c>
      <c r="J2902" s="417" t="s">
        <v>8212</v>
      </c>
      <c r="K2902" s="417" t="s">
        <v>8241</v>
      </c>
      <c r="L2902" s="417"/>
      <c r="M2902" s="417" t="s">
        <v>28840</v>
      </c>
    </row>
    <row r="2903" spans="1:13" x14ac:dyDescent="0.25">
      <c r="A2903" s="417" t="s">
        <v>3385</v>
      </c>
      <c r="B2903" s="417" t="s">
        <v>3405</v>
      </c>
      <c r="C2903" s="417" t="s">
        <v>8242</v>
      </c>
      <c r="D2903" s="417" t="s">
        <v>224</v>
      </c>
      <c r="E2903" s="423">
        <v>0.28716772700637638</v>
      </c>
      <c r="F2903" s="423">
        <v>0.68230220832959909</v>
      </c>
      <c r="G2903" s="422">
        <v>747.17577514310801</v>
      </c>
      <c r="H2903" s="417" t="s">
        <v>2616</v>
      </c>
      <c r="I2903" s="417" t="s">
        <v>1392</v>
      </c>
      <c r="J2903" s="417" t="s">
        <v>8212</v>
      </c>
      <c r="K2903" s="417" t="s">
        <v>8243</v>
      </c>
      <c r="L2903" s="417"/>
      <c r="M2903" s="417" t="s">
        <v>28840</v>
      </c>
    </row>
    <row r="2904" spans="1:13" x14ac:dyDescent="0.25">
      <c r="A2904" s="417" t="s">
        <v>3385</v>
      </c>
      <c r="B2904" s="417" t="s">
        <v>3405</v>
      </c>
      <c r="C2904" s="417" t="s">
        <v>8244</v>
      </c>
      <c r="D2904" s="417" t="s">
        <v>224</v>
      </c>
      <c r="E2904" s="423">
        <v>0.34530671477873492</v>
      </c>
      <c r="F2904" s="423">
        <v>0.70056686877342711</v>
      </c>
      <c r="G2904" s="422">
        <v>1059.611339486403</v>
      </c>
      <c r="H2904" s="417" t="s">
        <v>2616</v>
      </c>
      <c r="I2904" s="417" t="s">
        <v>1392</v>
      </c>
      <c r="J2904" s="417" t="s">
        <v>8212</v>
      </c>
      <c r="K2904" s="417" t="s">
        <v>8245</v>
      </c>
      <c r="L2904" s="417"/>
      <c r="M2904" s="417" t="s">
        <v>28840</v>
      </c>
    </row>
    <row r="2905" spans="1:13" x14ac:dyDescent="0.25">
      <c r="A2905" s="417" t="s">
        <v>3385</v>
      </c>
      <c r="B2905" s="417" t="s">
        <v>3405</v>
      </c>
      <c r="C2905" s="417" t="s">
        <v>8246</v>
      </c>
      <c r="D2905" s="417" t="s">
        <v>224</v>
      </c>
      <c r="E2905" s="423">
        <v>6.8157035036224894E-3</v>
      </c>
      <c r="F2905" s="423">
        <v>7.6237949493082107E-3</v>
      </c>
      <c r="G2905" s="422">
        <v>23.445932876919809</v>
      </c>
      <c r="H2905" s="417" t="s">
        <v>2616</v>
      </c>
      <c r="I2905" s="417" t="s">
        <v>1392</v>
      </c>
      <c r="J2905" s="417" t="s">
        <v>7898</v>
      </c>
      <c r="K2905" s="417" t="s">
        <v>8247</v>
      </c>
      <c r="L2905" s="417"/>
      <c r="M2905" s="417" t="s">
        <v>28840</v>
      </c>
    </row>
    <row r="2906" spans="1:13" x14ac:dyDescent="0.25">
      <c r="A2906" s="417" t="s">
        <v>3385</v>
      </c>
      <c r="B2906" s="417" t="s">
        <v>3405</v>
      </c>
      <c r="C2906" s="417" t="s">
        <v>8248</v>
      </c>
      <c r="D2906" s="417" t="s">
        <v>224</v>
      </c>
      <c r="E2906" s="423">
        <v>2.2771604061673431E-2</v>
      </c>
      <c r="F2906" s="423">
        <v>1.2410691893425869E-2</v>
      </c>
      <c r="G2906" s="422">
        <v>221.30869356941469</v>
      </c>
      <c r="H2906" s="417" t="s">
        <v>2616</v>
      </c>
      <c r="I2906" s="417" t="s">
        <v>1392</v>
      </c>
      <c r="J2906" s="417" t="s">
        <v>7898</v>
      </c>
      <c r="K2906" s="417" t="s">
        <v>8249</v>
      </c>
      <c r="L2906" s="417"/>
      <c r="M2906" s="417" t="s">
        <v>28840</v>
      </c>
    </row>
    <row r="2907" spans="1:13" x14ac:dyDescent="0.25">
      <c r="A2907" s="417" t="s">
        <v>3385</v>
      </c>
      <c r="B2907" s="417" t="s">
        <v>3405</v>
      </c>
      <c r="C2907" s="417" t="s">
        <v>8250</v>
      </c>
      <c r="D2907" s="417" t="s">
        <v>224</v>
      </c>
      <c r="E2907" s="423">
        <v>0.61895157024125436</v>
      </c>
      <c r="F2907" s="423">
        <v>2.2611118106139281E-3</v>
      </c>
      <c r="G2907" s="422">
        <v>1059.920533807935</v>
      </c>
      <c r="H2907" s="417" t="s">
        <v>2616</v>
      </c>
      <c r="I2907" s="417" t="s">
        <v>1392</v>
      </c>
      <c r="J2907" s="417" t="s">
        <v>8072</v>
      </c>
      <c r="K2907" s="417" t="s">
        <v>8251</v>
      </c>
      <c r="L2907" s="417"/>
      <c r="M2907" s="417" t="s">
        <v>28840</v>
      </c>
    </row>
    <row r="2908" spans="1:13" x14ac:dyDescent="0.25">
      <c r="A2908" s="417" t="s">
        <v>3385</v>
      </c>
      <c r="B2908" s="417" t="s">
        <v>3405</v>
      </c>
      <c r="C2908" s="417" t="s">
        <v>8252</v>
      </c>
      <c r="D2908" s="417" t="s">
        <v>224</v>
      </c>
      <c r="E2908" s="423">
        <v>0.49476747739206101</v>
      </c>
      <c r="F2908" s="423">
        <v>1.0289675999619571E-3</v>
      </c>
      <c r="G2908" s="422">
        <v>606.07999837726425</v>
      </c>
      <c r="H2908" s="417" t="s">
        <v>2616</v>
      </c>
      <c r="I2908" s="417" t="s">
        <v>1392</v>
      </c>
      <c r="J2908" s="417" t="s">
        <v>8253</v>
      </c>
      <c r="K2908" s="417" t="s">
        <v>8254</v>
      </c>
      <c r="L2908" s="417"/>
      <c r="M2908" s="417" t="s">
        <v>28840</v>
      </c>
    </row>
    <row r="2909" spans="1:13" x14ac:dyDescent="0.25">
      <c r="A2909" s="417" t="s">
        <v>3385</v>
      </c>
      <c r="B2909" s="417" t="s">
        <v>3405</v>
      </c>
      <c r="C2909" s="417" t="s">
        <v>8255</v>
      </c>
      <c r="D2909" s="417" t="s">
        <v>224</v>
      </c>
      <c r="E2909" s="423">
        <v>0.44957189375464118</v>
      </c>
      <c r="F2909" s="423">
        <v>1.9124303542635431E-3</v>
      </c>
      <c r="G2909" s="422">
        <v>561.00604145550506</v>
      </c>
      <c r="H2909" s="417" t="s">
        <v>2616</v>
      </c>
      <c r="I2909" s="417" t="s">
        <v>1392</v>
      </c>
      <c r="J2909" s="417" t="s">
        <v>8253</v>
      </c>
      <c r="K2909" s="417" t="s">
        <v>8256</v>
      </c>
      <c r="L2909" s="417"/>
      <c r="M2909" s="417" t="s">
        <v>28840</v>
      </c>
    </row>
    <row r="2910" spans="1:13" x14ac:dyDescent="0.25">
      <c r="A2910" s="417" t="s">
        <v>3385</v>
      </c>
      <c r="B2910" s="417" t="s">
        <v>3405</v>
      </c>
      <c r="C2910" s="417" t="s">
        <v>8257</v>
      </c>
      <c r="D2910" s="417" t="s">
        <v>224</v>
      </c>
      <c r="E2910" s="423">
        <v>0.61245397656214051</v>
      </c>
      <c r="F2910" s="423">
        <v>8.6903993184036729E-4</v>
      </c>
      <c r="G2910" s="422">
        <v>756.50013932208469</v>
      </c>
      <c r="H2910" s="417" t="s">
        <v>2616</v>
      </c>
      <c r="I2910" s="417" t="s">
        <v>1392</v>
      </c>
      <c r="J2910" s="417" t="s">
        <v>8253</v>
      </c>
      <c r="K2910" s="417" t="s">
        <v>8258</v>
      </c>
      <c r="L2910" s="417"/>
      <c r="M2910" s="417" t="s">
        <v>28840</v>
      </c>
    </row>
    <row r="2911" spans="1:13" x14ac:dyDescent="0.25">
      <c r="A2911" s="417" t="s">
        <v>3385</v>
      </c>
      <c r="B2911" s="417" t="s">
        <v>3405</v>
      </c>
      <c r="C2911" s="417" t="s">
        <v>8259</v>
      </c>
      <c r="D2911" s="417" t="s">
        <v>224</v>
      </c>
      <c r="E2911" s="423">
        <v>0.48673225280524662</v>
      </c>
      <c r="F2911" s="423">
        <v>1.9940566100618202E-3</v>
      </c>
      <c r="G2911" s="422">
        <v>629.71444343984638</v>
      </c>
      <c r="H2911" s="417" t="s">
        <v>2616</v>
      </c>
      <c r="I2911" s="417" t="s">
        <v>1392</v>
      </c>
      <c r="J2911" s="417" t="s">
        <v>8253</v>
      </c>
      <c r="K2911" s="417" t="s">
        <v>8260</v>
      </c>
      <c r="L2911" s="417"/>
      <c r="M2911" s="417" t="s">
        <v>28840</v>
      </c>
    </row>
    <row r="2912" spans="1:13" x14ac:dyDescent="0.25">
      <c r="A2912" s="417" t="s">
        <v>3385</v>
      </c>
      <c r="B2912" s="417" t="s">
        <v>3405</v>
      </c>
      <c r="C2912" s="417" t="s">
        <v>8261</v>
      </c>
      <c r="D2912" s="417" t="s">
        <v>224</v>
      </c>
      <c r="E2912" s="423">
        <v>0.54257542219936095</v>
      </c>
      <c r="F2912" s="423">
        <v>2.1454578457295111E-3</v>
      </c>
      <c r="G2912" s="422">
        <v>759.56208307462464</v>
      </c>
      <c r="H2912" s="417" t="s">
        <v>2616</v>
      </c>
      <c r="I2912" s="417" t="s">
        <v>1392</v>
      </c>
      <c r="J2912" s="417" t="s">
        <v>8253</v>
      </c>
      <c r="K2912" s="417" t="s">
        <v>8262</v>
      </c>
      <c r="L2912" s="417"/>
      <c r="M2912" s="417" t="s">
        <v>28840</v>
      </c>
    </row>
    <row r="2913" spans="1:13" x14ac:dyDescent="0.25">
      <c r="A2913" s="417" t="s">
        <v>3385</v>
      </c>
      <c r="B2913" s="417" t="s">
        <v>3405</v>
      </c>
      <c r="C2913" s="417" t="s">
        <v>8263</v>
      </c>
      <c r="D2913" s="417" t="s">
        <v>224</v>
      </c>
      <c r="E2913" s="423">
        <v>0.45816568502464677</v>
      </c>
      <c r="F2913" s="423">
        <v>3.7238889737515322E-4</v>
      </c>
      <c r="G2913" s="422">
        <v>576.84843311337681</v>
      </c>
      <c r="H2913" s="417" t="s">
        <v>2616</v>
      </c>
      <c r="I2913" s="417" t="s">
        <v>1392</v>
      </c>
      <c r="J2913" s="417" t="s">
        <v>8253</v>
      </c>
      <c r="K2913" s="417" t="s">
        <v>8264</v>
      </c>
      <c r="L2913" s="417"/>
      <c r="M2913" s="417" t="s">
        <v>28840</v>
      </c>
    </row>
    <row r="2914" spans="1:13" x14ac:dyDescent="0.25">
      <c r="A2914" s="417" t="s">
        <v>3385</v>
      </c>
      <c r="B2914" s="417" t="s">
        <v>3405</v>
      </c>
      <c r="C2914" s="417" t="s">
        <v>8265</v>
      </c>
      <c r="D2914" s="417" t="s">
        <v>224</v>
      </c>
      <c r="E2914" s="423">
        <v>0.47866093452254999</v>
      </c>
      <c r="F2914" s="423">
        <v>1.519973508386129E-3</v>
      </c>
      <c r="G2914" s="422">
        <v>592.69119820036053</v>
      </c>
      <c r="H2914" s="417" t="s">
        <v>2616</v>
      </c>
      <c r="I2914" s="417" t="s">
        <v>1392</v>
      </c>
      <c r="J2914" s="417" t="s">
        <v>8253</v>
      </c>
      <c r="K2914" s="417" t="s">
        <v>8266</v>
      </c>
      <c r="L2914" s="417"/>
      <c r="M2914" s="417" t="s">
        <v>28840</v>
      </c>
    </row>
    <row r="2915" spans="1:13" x14ac:dyDescent="0.25">
      <c r="A2915" s="417" t="s">
        <v>3385</v>
      </c>
      <c r="B2915" s="417" t="s">
        <v>3405</v>
      </c>
      <c r="C2915" s="417" t="s">
        <v>8267</v>
      </c>
      <c r="D2915" s="417" t="s">
        <v>224</v>
      </c>
      <c r="E2915" s="423">
        <v>0.42035892754979232</v>
      </c>
      <c r="F2915" s="423">
        <v>3.6725090852294211E-4</v>
      </c>
      <c r="G2915" s="422">
        <v>510.33662091964197</v>
      </c>
      <c r="H2915" s="417" t="s">
        <v>2616</v>
      </c>
      <c r="I2915" s="417" t="s">
        <v>1392</v>
      </c>
      <c r="J2915" s="417" t="s">
        <v>8253</v>
      </c>
      <c r="K2915" s="417" t="s">
        <v>8268</v>
      </c>
      <c r="L2915" s="417"/>
      <c r="M2915" s="417" t="s">
        <v>28840</v>
      </c>
    </row>
    <row r="2916" spans="1:13" x14ac:dyDescent="0.25">
      <c r="A2916" s="417" t="s">
        <v>3385</v>
      </c>
      <c r="B2916" s="417" t="s">
        <v>3405</v>
      </c>
      <c r="C2916" s="417" t="s">
        <v>8269</v>
      </c>
      <c r="D2916" s="417" t="s">
        <v>224</v>
      </c>
      <c r="E2916" s="423">
        <v>0.53900422550302396</v>
      </c>
      <c r="F2916" s="423">
        <v>1.858939106497422E-3</v>
      </c>
      <c r="G2916" s="422">
        <v>673.88463664075073</v>
      </c>
      <c r="H2916" s="417" t="s">
        <v>2616</v>
      </c>
      <c r="I2916" s="417" t="s">
        <v>1392</v>
      </c>
      <c r="J2916" s="417" t="s">
        <v>8253</v>
      </c>
      <c r="K2916" s="417" t="s">
        <v>8270</v>
      </c>
      <c r="L2916" s="417"/>
      <c r="M2916" s="417" t="s">
        <v>28840</v>
      </c>
    </row>
    <row r="2917" spans="1:13" x14ac:dyDescent="0.25">
      <c r="A2917" s="417" t="s">
        <v>3385</v>
      </c>
      <c r="B2917" s="417" t="s">
        <v>3405</v>
      </c>
      <c r="C2917" s="417" t="s">
        <v>8271</v>
      </c>
      <c r="D2917" s="417" t="s">
        <v>224</v>
      </c>
      <c r="E2917" s="423">
        <v>0.50074636532330918</v>
      </c>
      <c r="F2917" s="423">
        <v>1.598764268988837E-3</v>
      </c>
      <c r="G2917" s="422">
        <v>622.33271739976567</v>
      </c>
      <c r="H2917" s="417" t="s">
        <v>2616</v>
      </c>
      <c r="I2917" s="417" t="s">
        <v>1392</v>
      </c>
      <c r="J2917" s="417" t="s">
        <v>8253</v>
      </c>
      <c r="K2917" s="417" t="s">
        <v>8272</v>
      </c>
      <c r="L2917" s="417"/>
      <c r="M2917" s="417" t="s">
        <v>28840</v>
      </c>
    </row>
    <row r="2918" spans="1:13" x14ac:dyDescent="0.25">
      <c r="A2918" s="417" t="s">
        <v>3385</v>
      </c>
      <c r="B2918" s="417" t="s">
        <v>3405</v>
      </c>
      <c r="C2918" s="417" t="s">
        <v>8273</v>
      </c>
      <c r="D2918" s="417" t="s">
        <v>224</v>
      </c>
      <c r="E2918" s="423">
        <v>0.56588089323987412</v>
      </c>
      <c r="F2918" s="423">
        <v>2.3892254446905301E-3</v>
      </c>
      <c r="G2918" s="422">
        <v>709.16423441476445</v>
      </c>
      <c r="H2918" s="417" t="s">
        <v>2616</v>
      </c>
      <c r="I2918" s="417" t="s">
        <v>1392</v>
      </c>
      <c r="J2918" s="417" t="s">
        <v>8253</v>
      </c>
      <c r="K2918" s="417" t="s">
        <v>8274</v>
      </c>
      <c r="L2918" s="417"/>
      <c r="M2918" s="417" t="s">
        <v>28840</v>
      </c>
    </row>
    <row r="2919" spans="1:13" x14ac:dyDescent="0.25">
      <c r="A2919" s="417" t="s">
        <v>3385</v>
      </c>
      <c r="B2919" s="417" t="s">
        <v>3405</v>
      </c>
      <c r="C2919" s="417" t="s">
        <v>8275</v>
      </c>
      <c r="D2919" s="417" t="s">
        <v>224</v>
      </c>
      <c r="E2919" s="423">
        <v>0.55547818241590097</v>
      </c>
      <c r="F2919" s="423">
        <v>3.415797531214842E-3</v>
      </c>
      <c r="G2919" s="422">
        <v>710.07407611855604</v>
      </c>
      <c r="H2919" s="417" t="s">
        <v>2616</v>
      </c>
      <c r="I2919" s="417" t="s">
        <v>1392</v>
      </c>
      <c r="J2919" s="417" t="s">
        <v>8253</v>
      </c>
      <c r="K2919" s="417" t="s">
        <v>8276</v>
      </c>
      <c r="L2919" s="417"/>
      <c r="M2919" s="417" t="s">
        <v>28840</v>
      </c>
    </row>
    <row r="2920" spans="1:13" x14ac:dyDescent="0.25">
      <c r="A2920" s="417" t="s">
        <v>3385</v>
      </c>
      <c r="B2920" s="417" t="s">
        <v>3405</v>
      </c>
      <c r="C2920" s="417" t="s">
        <v>8277</v>
      </c>
      <c r="D2920" s="417" t="s">
        <v>224</v>
      </c>
      <c r="E2920" s="423">
        <v>0.47325906429211628</v>
      </c>
      <c r="F2920" s="423">
        <v>2.01433150784066E-3</v>
      </c>
      <c r="G2920" s="422">
        <v>593.30068982710475</v>
      </c>
      <c r="H2920" s="417" t="s">
        <v>2616</v>
      </c>
      <c r="I2920" s="417" t="s">
        <v>1392</v>
      </c>
      <c r="J2920" s="417" t="s">
        <v>8253</v>
      </c>
      <c r="K2920" s="417" t="s">
        <v>8278</v>
      </c>
      <c r="L2920" s="417"/>
      <c r="M2920" s="417" t="s">
        <v>28840</v>
      </c>
    </row>
    <row r="2921" spans="1:13" x14ac:dyDescent="0.25">
      <c r="A2921" s="417" t="s">
        <v>3385</v>
      </c>
      <c r="B2921" s="417" t="s">
        <v>3405</v>
      </c>
      <c r="C2921" s="417" t="s">
        <v>8279</v>
      </c>
      <c r="D2921" s="417" t="s">
        <v>224</v>
      </c>
      <c r="E2921" s="423">
        <v>0.45283831064301527</v>
      </c>
      <c r="F2921" s="423">
        <v>1.2568407458811051E-3</v>
      </c>
      <c r="G2921" s="422">
        <v>584.17590525453556</v>
      </c>
      <c r="H2921" s="417" t="s">
        <v>2616</v>
      </c>
      <c r="I2921" s="417" t="s">
        <v>1392</v>
      </c>
      <c r="J2921" s="417" t="s">
        <v>8253</v>
      </c>
      <c r="K2921" s="417" t="s">
        <v>8280</v>
      </c>
      <c r="L2921" s="417"/>
      <c r="M2921" s="417" t="s">
        <v>28840</v>
      </c>
    </row>
    <row r="2922" spans="1:13" x14ac:dyDescent="0.25">
      <c r="A2922" s="417" t="s">
        <v>3385</v>
      </c>
      <c r="B2922" s="417" t="s">
        <v>3405</v>
      </c>
      <c r="C2922" s="417" t="s">
        <v>8281</v>
      </c>
      <c r="D2922" s="417" t="s">
        <v>224</v>
      </c>
      <c r="E2922" s="423">
        <v>0.55248704620138323</v>
      </c>
      <c r="F2922" s="423">
        <v>2.148627509324744E-3</v>
      </c>
      <c r="G2922" s="422">
        <v>689.52589253684448</v>
      </c>
      <c r="H2922" s="417" t="s">
        <v>2616</v>
      </c>
      <c r="I2922" s="417" t="s">
        <v>1392</v>
      </c>
      <c r="J2922" s="417" t="s">
        <v>8253</v>
      </c>
      <c r="K2922" s="417" t="s">
        <v>8282</v>
      </c>
      <c r="L2922" s="417"/>
      <c r="M2922" s="417" t="s">
        <v>28840</v>
      </c>
    </row>
    <row r="2923" spans="1:13" x14ac:dyDescent="0.25">
      <c r="A2923" s="417" t="s">
        <v>3385</v>
      </c>
      <c r="B2923" s="417" t="s">
        <v>3405</v>
      </c>
      <c r="C2923" s="417" t="s">
        <v>8283</v>
      </c>
      <c r="D2923" s="417" t="s">
        <v>224</v>
      </c>
      <c r="E2923" s="423">
        <v>0.64289359245505162</v>
      </c>
      <c r="F2923" s="423">
        <v>4.519959383634151E-3</v>
      </c>
      <c r="G2923" s="422">
        <v>834.46809124643619</v>
      </c>
      <c r="H2923" s="417" t="s">
        <v>2616</v>
      </c>
      <c r="I2923" s="417" t="s">
        <v>1392</v>
      </c>
      <c r="J2923" s="417" t="s">
        <v>8253</v>
      </c>
      <c r="K2923" s="417" t="s">
        <v>8284</v>
      </c>
      <c r="L2923" s="417"/>
      <c r="M2923" s="417" t="s">
        <v>28840</v>
      </c>
    </row>
    <row r="2924" spans="1:13" x14ac:dyDescent="0.25">
      <c r="A2924" s="417" t="s">
        <v>3385</v>
      </c>
      <c r="B2924" s="417" t="s">
        <v>3405</v>
      </c>
      <c r="C2924" s="417" t="s">
        <v>8285</v>
      </c>
      <c r="D2924" s="417" t="s">
        <v>224</v>
      </c>
      <c r="E2924" s="423">
        <v>0.55689020845781323</v>
      </c>
      <c r="F2924" s="423">
        <v>8.7166385936027289E-4</v>
      </c>
      <c r="G2924" s="422">
        <v>683.57500819370307</v>
      </c>
      <c r="H2924" s="417" t="s">
        <v>2616</v>
      </c>
      <c r="I2924" s="417" t="s">
        <v>1392</v>
      </c>
      <c r="J2924" s="417" t="s">
        <v>8253</v>
      </c>
      <c r="K2924" s="417" t="s">
        <v>8286</v>
      </c>
      <c r="L2924" s="417"/>
      <c r="M2924" s="417" t="s">
        <v>28840</v>
      </c>
    </row>
    <row r="2925" spans="1:13" x14ac:dyDescent="0.25">
      <c r="A2925" s="417" t="s">
        <v>3385</v>
      </c>
      <c r="B2925" s="417" t="s">
        <v>3405</v>
      </c>
      <c r="C2925" s="417" t="s">
        <v>8287</v>
      </c>
      <c r="D2925" s="417" t="s">
        <v>224</v>
      </c>
      <c r="E2925" s="423">
        <v>0.46501712931908612</v>
      </c>
      <c r="F2925" s="423">
        <v>1.306695821241732E-3</v>
      </c>
      <c r="G2925" s="422">
        <v>572.73383805969388</v>
      </c>
      <c r="H2925" s="417" t="s">
        <v>2616</v>
      </c>
      <c r="I2925" s="417" t="s">
        <v>1392</v>
      </c>
      <c r="J2925" s="417" t="s">
        <v>8253</v>
      </c>
      <c r="K2925" s="417" t="s">
        <v>8288</v>
      </c>
      <c r="L2925" s="417"/>
      <c r="M2925" s="417" t="s">
        <v>28840</v>
      </c>
    </row>
    <row r="2926" spans="1:13" x14ac:dyDescent="0.25">
      <c r="A2926" s="417" t="s">
        <v>3385</v>
      </c>
      <c r="B2926" s="417" t="s">
        <v>3405</v>
      </c>
      <c r="C2926" s="417" t="s">
        <v>8289</v>
      </c>
      <c r="D2926" s="417" t="s">
        <v>224</v>
      </c>
      <c r="E2926" s="423">
        <v>0.71841076880052279</v>
      </c>
      <c r="F2926" s="423">
        <v>3.722638630173772E-3</v>
      </c>
      <c r="G2926" s="422">
        <v>976.25619351297451</v>
      </c>
      <c r="H2926" s="417" t="s">
        <v>2616</v>
      </c>
      <c r="I2926" s="417" t="s">
        <v>1392</v>
      </c>
      <c r="J2926" s="417" t="s">
        <v>8253</v>
      </c>
      <c r="K2926" s="417" t="s">
        <v>8290</v>
      </c>
      <c r="L2926" s="417"/>
      <c r="M2926" s="417" t="s">
        <v>28840</v>
      </c>
    </row>
    <row r="2927" spans="1:13" x14ac:dyDescent="0.25">
      <c r="A2927" s="417" t="s">
        <v>3385</v>
      </c>
      <c r="B2927" s="417" t="s">
        <v>3405</v>
      </c>
      <c r="C2927" s="417" t="s">
        <v>8291</v>
      </c>
      <c r="D2927" s="417" t="s">
        <v>224</v>
      </c>
      <c r="E2927" s="423">
        <v>0.49209286255541101</v>
      </c>
      <c r="F2927" s="423">
        <v>1.1773112180410729E-3</v>
      </c>
      <c r="G2927" s="422">
        <v>604.0312738558008</v>
      </c>
      <c r="H2927" s="417" t="s">
        <v>2616</v>
      </c>
      <c r="I2927" s="417" t="s">
        <v>1392</v>
      </c>
      <c r="J2927" s="417" t="s">
        <v>8253</v>
      </c>
      <c r="K2927" s="417" t="s">
        <v>8292</v>
      </c>
      <c r="L2927" s="417"/>
      <c r="M2927" s="417" t="s">
        <v>28840</v>
      </c>
    </row>
    <row r="2928" spans="1:13" x14ac:dyDescent="0.25">
      <c r="A2928" s="417" t="s">
        <v>3385</v>
      </c>
      <c r="B2928" s="417" t="s">
        <v>3405</v>
      </c>
      <c r="C2928" s="417" t="s">
        <v>8293</v>
      </c>
      <c r="D2928" s="417" t="s">
        <v>224</v>
      </c>
      <c r="E2928" s="423">
        <v>0.5811640069154046</v>
      </c>
      <c r="F2928" s="423">
        <v>4.0904890012291749E-3</v>
      </c>
      <c r="G2928" s="422">
        <v>788.90213665059423</v>
      </c>
      <c r="H2928" s="417" t="s">
        <v>2616</v>
      </c>
      <c r="I2928" s="417" t="s">
        <v>1392</v>
      </c>
      <c r="J2928" s="417" t="s">
        <v>8253</v>
      </c>
      <c r="K2928" s="417" t="s">
        <v>8294</v>
      </c>
      <c r="L2928" s="417"/>
      <c r="M2928" s="417" t="s">
        <v>28840</v>
      </c>
    </row>
    <row r="2929" spans="1:13" x14ac:dyDescent="0.25">
      <c r="A2929" s="417" t="s">
        <v>3385</v>
      </c>
      <c r="B2929" s="417" t="s">
        <v>3405</v>
      </c>
      <c r="C2929" s="417" t="s">
        <v>8295</v>
      </c>
      <c r="D2929" s="417" t="s">
        <v>224</v>
      </c>
      <c r="E2929" s="423">
        <v>0.47375630315763578</v>
      </c>
      <c r="F2929" s="423">
        <v>1.9734068914091531E-3</v>
      </c>
      <c r="G2929" s="422">
        <v>592.57318073185024</v>
      </c>
      <c r="H2929" s="417" t="s">
        <v>2616</v>
      </c>
      <c r="I2929" s="417" t="s">
        <v>1392</v>
      </c>
      <c r="J2929" s="417" t="s">
        <v>8253</v>
      </c>
      <c r="K2929" s="417" t="s">
        <v>8296</v>
      </c>
      <c r="L2929" s="417"/>
      <c r="M2929" s="417" t="s">
        <v>28840</v>
      </c>
    </row>
    <row r="2930" spans="1:13" x14ac:dyDescent="0.25">
      <c r="A2930" s="417" t="s">
        <v>3385</v>
      </c>
      <c r="B2930" s="417" t="s">
        <v>3405</v>
      </c>
      <c r="C2930" s="417" t="s">
        <v>8297</v>
      </c>
      <c r="D2930" s="417" t="s">
        <v>224</v>
      </c>
      <c r="E2930" s="423">
        <v>0.45992581852524739</v>
      </c>
      <c r="F2930" s="423">
        <v>8.9744866287509229E-4</v>
      </c>
      <c r="G2930" s="422">
        <v>545.85149615107537</v>
      </c>
      <c r="H2930" s="417" t="s">
        <v>2616</v>
      </c>
      <c r="I2930" s="417" t="s">
        <v>1392</v>
      </c>
      <c r="J2930" s="417" t="s">
        <v>8253</v>
      </c>
      <c r="K2930" s="417" t="s">
        <v>8298</v>
      </c>
      <c r="L2930" s="417"/>
      <c r="M2930" s="417" t="s">
        <v>28840</v>
      </c>
    </row>
    <row r="2931" spans="1:13" x14ac:dyDescent="0.25">
      <c r="A2931" s="417" t="s">
        <v>3385</v>
      </c>
      <c r="B2931" s="417" t="s">
        <v>3405</v>
      </c>
      <c r="C2931" s="417" t="s">
        <v>8299</v>
      </c>
      <c r="D2931" s="417" t="s">
        <v>224</v>
      </c>
      <c r="E2931" s="423">
        <v>0.5861799647815733</v>
      </c>
      <c r="F2931" s="423">
        <v>1.1438071194231009E-3</v>
      </c>
      <c r="G2931" s="422">
        <v>669.66418303487615</v>
      </c>
      <c r="H2931" s="417" t="s">
        <v>2616</v>
      </c>
      <c r="I2931" s="417" t="s">
        <v>1392</v>
      </c>
      <c r="J2931" s="417" t="s">
        <v>8253</v>
      </c>
      <c r="K2931" s="417" t="s">
        <v>8300</v>
      </c>
      <c r="L2931" s="417"/>
      <c r="M2931" s="417" t="s">
        <v>28840</v>
      </c>
    </row>
    <row r="2932" spans="1:13" x14ac:dyDescent="0.25">
      <c r="A2932" s="417" t="s">
        <v>3385</v>
      </c>
      <c r="B2932" s="417" t="s">
        <v>3405</v>
      </c>
      <c r="C2932" s="417" t="s">
        <v>8301</v>
      </c>
      <c r="D2932" s="417" t="s">
        <v>224</v>
      </c>
      <c r="E2932" s="423">
        <v>0.48815477024305348</v>
      </c>
      <c r="F2932" s="423">
        <v>1.6835674924258271E-3</v>
      </c>
      <c r="G2932" s="422">
        <v>608.64945851525192</v>
      </c>
      <c r="H2932" s="417" t="s">
        <v>2616</v>
      </c>
      <c r="I2932" s="417" t="s">
        <v>1392</v>
      </c>
      <c r="J2932" s="417" t="s">
        <v>8253</v>
      </c>
      <c r="K2932" s="417" t="s">
        <v>8302</v>
      </c>
      <c r="L2932" s="417"/>
      <c r="M2932" s="417" t="s">
        <v>28840</v>
      </c>
    </row>
    <row r="2933" spans="1:13" x14ac:dyDescent="0.25">
      <c r="A2933" s="417" t="s">
        <v>3385</v>
      </c>
      <c r="B2933" s="417" t="s">
        <v>3405</v>
      </c>
      <c r="C2933" s="417" t="s">
        <v>8303</v>
      </c>
      <c r="D2933" s="417" t="s">
        <v>224</v>
      </c>
      <c r="E2933" s="423">
        <v>0.52084370579936445</v>
      </c>
      <c r="F2933" s="423">
        <v>1.7963063875423889E-3</v>
      </c>
      <c r="G2933" s="422">
        <v>676.10060418936791</v>
      </c>
      <c r="H2933" s="417" t="s">
        <v>2616</v>
      </c>
      <c r="I2933" s="417" t="s">
        <v>1392</v>
      </c>
      <c r="J2933" s="417" t="s">
        <v>8253</v>
      </c>
      <c r="K2933" s="417" t="s">
        <v>8304</v>
      </c>
      <c r="L2933" s="417"/>
      <c r="M2933" s="417" t="s">
        <v>28840</v>
      </c>
    </row>
    <row r="2934" spans="1:13" x14ac:dyDescent="0.25">
      <c r="A2934" s="417" t="s">
        <v>3385</v>
      </c>
      <c r="B2934" s="417" t="s">
        <v>3405</v>
      </c>
      <c r="C2934" s="417" t="s">
        <v>8305</v>
      </c>
      <c r="D2934" s="417" t="s">
        <v>224</v>
      </c>
      <c r="E2934" s="423">
        <v>0.56596735977396073</v>
      </c>
      <c r="F2934" s="423">
        <v>1.377016315142168E-3</v>
      </c>
      <c r="G2934" s="422">
        <v>741.31892441393859</v>
      </c>
      <c r="H2934" s="417" t="s">
        <v>2616</v>
      </c>
      <c r="I2934" s="417" t="s">
        <v>1392</v>
      </c>
      <c r="J2934" s="417" t="s">
        <v>8253</v>
      </c>
      <c r="K2934" s="417" t="s">
        <v>8306</v>
      </c>
      <c r="L2934" s="417"/>
      <c r="M2934" s="417" t="s">
        <v>28840</v>
      </c>
    </row>
    <row r="2935" spans="1:13" x14ac:dyDescent="0.25">
      <c r="A2935" s="417" t="s">
        <v>3385</v>
      </c>
      <c r="B2935" s="417" t="s">
        <v>3405</v>
      </c>
      <c r="C2935" s="417" t="s">
        <v>8307</v>
      </c>
      <c r="D2935" s="417" t="s">
        <v>224</v>
      </c>
      <c r="E2935" s="423">
        <v>0.44732462030836578</v>
      </c>
      <c r="F2935" s="423">
        <v>1.943600025433643E-3</v>
      </c>
      <c r="G2935" s="422">
        <v>558.74857475873068</v>
      </c>
      <c r="H2935" s="417" t="s">
        <v>2616</v>
      </c>
      <c r="I2935" s="417" t="s">
        <v>1392</v>
      </c>
      <c r="J2935" s="417" t="s">
        <v>8253</v>
      </c>
      <c r="K2935" s="417" t="s">
        <v>8308</v>
      </c>
      <c r="L2935" s="417"/>
      <c r="M2935" s="417" t="s">
        <v>28840</v>
      </c>
    </row>
    <row r="2936" spans="1:13" x14ac:dyDescent="0.25">
      <c r="A2936" s="417" t="s">
        <v>3385</v>
      </c>
      <c r="B2936" s="417" t="s">
        <v>3405</v>
      </c>
      <c r="C2936" s="417" t="s">
        <v>8309</v>
      </c>
      <c r="D2936" s="417" t="s">
        <v>224</v>
      </c>
      <c r="E2936" s="423">
        <v>0.4662843591794259</v>
      </c>
      <c r="F2936" s="423">
        <v>1.543123288441247E-3</v>
      </c>
      <c r="G2936" s="422">
        <v>604.02353782273303</v>
      </c>
      <c r="H2936" s="417" t="s">
        <v>2616</v>
      </c>
      <c r="I2936" s="417" t="s">
        <v>1392</v>
      </c>
      <c r="J2936" s="417" t="s">
        <v>8253</v>
      </c>
      <c r="K2936" s="417" t="s">
        <v>8310</v>
      </c>
      <c r="L2936" s="417"/>
      <c r="M2936" s="417" t="s">
        <v>28840</v>
      </c>
    </row>
    <row r="2937" spans="1:13" x14ac:dyDescent="0.25">
      <c r="A2937" s="417" t="s">
        <v>3385</v>
      </c>
      <c r="B2937" s="417" t="s">
        <v>3405</v>
      </c>
      <c r="C2937" s="417" t="s">
        <v>8311</v>
      </c>
      <c r="D2937" s="417" t="s">
        <v>224</v>
      </c>
      <c r="E2937" s="423">
        <v>0.48894934951644498</v>
      </c>
      <c r="F2937" s="423">
        <v>1.68630786944188E-3</v>
      </c>
      <c r="G2937" s="422">
        <v>606.701599093852</v>
      </c>
      <c r="H2937" s="417" t="s">
        <v>2616</v>
      </c>
      <c r="I2937" s="417" t="s">
        <v>1392</v>
      </c>
      <c r="J2937" s="417" t="s">
        <v>8253</v>
      </c>
      <c r="K2937" s="417" t="s">
        <v>8312</v>
      </c>
      <c r="L2937" s="417"/>
      <c r="M2937" s="417" t="s">
        <v>28840</v>
      </c>
    </row>
    <row r="2938" spans="1:13" x14ac:dyDescent="0.25">
      <c r="A2938" s="417" t="s">
        <v>3385</v>
      </c>
      <c r="B2938" s="417" t="s">
        <v>3405</v>
      </c>
      <c r="C2938" s="417" t="s">
        <v>8313</v>
      </c>
      <c r="D2938" s="417" t="s">
        <v>224</v>
      </c>
      <c r="E2938" s="423">
        <v>0.61001365566177557</v>
      </c>
      <c r="F2938" s="423">
        <v>1.190313561888046E-3</v>
      </c>
      <c r="G2938" s="422">
        <v>733.56182888571834</v>
      </c>
      <c r="H2938" s="417" t="s">
        <v>2616</v>
      </c>
      <c r="I2938" s="417" t="s">
        <v>1392</v>
      </c>
      <c r="J2938" s="417" t="s">
        <v>8253</v>
      </c>
      <c r="K2938" s="417" t="s">
        <v>8314</v>
      </c>
      <c r="L2938" s="417"/>
      <c r="M2938" s="417" t="s">
        <v>28840</v>
      </c>
    </row>
    <row r="2939" spans="1:13" x14ac:dyDescent="0.25">
      <c r="A2939" s="417" t="s">
        <v>3385</v>
      </c>
      <c r="B2939" s="417" t="s">
        <v>3405</v>
      </c>
      <c r="C2939" s="417" t="s">
        <v>8315</v>
      </c>
      <c r="D2939" s="417" t="s">
        <v>224</v>
      </c>
      <c r="E2939" s="423">
        <v>0.57738072648072414</v>
      </c>
      <c r="F2939" s="423">
        <v>5.0125013481536348E-4</v>
      </c>
      <c r="G2939" s="422">
        <v>706.70145361751145</v>
      </c>
      <c r="H2939" s="417" t="s">
        <v>2616</v>
      </c>
      <c r="I2939" s="417" t="s">
        <v>1392</v>
      </c>
      <c r="J2939" s="417" t="s">
        <v>8253</v>
      </c>
      <c r="K2939" s="417" t="s">
        <v>8316</v>
      </c>
      <c r="L2939" s="417"/>
      <c r="M2939" s="417" t="s">
        <v>28840</v>
      </c>
    </row>
    <row r="2940" spans="1:13" x14ac:dyDescent="0.25">
      <c r="A2940" s="417" t="s">
        <v>3385</v>
      </c>
      <c r="B2940" s="417" t="s">
        <v>3405</v>
      </c>
      <c r="C2940" s="417" t="s">
        <v>8317</v>
      </c>
      <c r="D2940" s="417" t="s">
        <v>224</v>
      </c>
      <c r="E2940" s="423">
        <v>0.67743348478539622</v>
      </c>
      <c r="F2940" s="423">
        <v>8.4239109499965675E-4</v>
      </c>
      <c r="G2940" s="422">
        <v>857.46454076124508</v>
      </c>
      <c r="H2940" s="417" t="s">
        <v>2616</v>
      </c>
      <c r="I2940" s="417" t="s">
        <v>1392</v>
      </c>
      <c r="J2940" s="417" t="s">
        <v>8253</v>
      </c>
      <c r="K2940" s="417" t="s">
        <v>8318</v>
      </c>
      <c r="L2940" s="417"/>
      <c r="M2940" s="417" t="s">
        <v>28840</v>
      </c>
    </row>
    <row r="2941" spans="1:13" x14ac:dyDescent="0.25">
      <c r="A2941" s="417" t="s">
        <v>3385</v>
      </c>
      <c r="B2941" s="417" t="s">
        <v>3405</v>
      </c>
      <c r="C2941" s="417" t="s">
        <v>8319</v>
      </c>
      <c r="D2941" s="417" t="s">
        <v>224</v>
      </c>
      <c r="E2941" s="423">
        <v>0.48184727057580778</v>
      </c>
      <c r="F2941" s="423">
        <v>8.4555026273457285E-4</v>
      </c>
      <c r="G2941" s="422">
        <v>586.24199237770779</v>
      </c>
      <c r="H2941" s="417" t="s">
        <v>2616</v>
      </c>
      <c r="I2941" s="417" t="s">
        <v>1392</v>
      </c>
      <c r="J2941" s="417" t="s">
        <v>8253</v>
      </c>
      <c r="K2941" s="417" t="s">
        <v>8320</v>
      </c>
      <c r="L2941" s="417"/>
      <c r="M2941" s="417" t="s">
        <v>28840</v>
      </c>
    </row>
    <row r="2942" spans="1:13" x14ac:dyDescent="0.25">
      <c r="A2942" s="417" t="s">
        <v>3385</v>
      </c>
      <c r="B2942" s="417" t="s">
        <v>3405</v>
      </c>
      <c r="C2942" s="417" t="s">
        <v>8321</v>
      </c>
      <c r="D2942" s="417" t="s">
        <v>224</v>
      </c>
      <c r="E2942" s="423">
        <v>0.5154612162193013</v>
      </c>
      <c r="F2942" s="423">
        <v>1.777743044964569E-3</v>
      </c>
      <c r="G2942" s="422">
        <v>640.04228021784979</v>
      </c>
      <c r="H2942" s="417" t="s">
        <v>2616</v>
      </c>
      <c r="I2942" s="417" t="s">
        <v>1392</v>
      </c>
      <c r="J2942" s="417" t="s">
        <v>8253</v>
      </c>
      <c r="K2942" s="417" t="s">
        <v>8322</v>
      </c>
      <c r="L2942" s="417"/>
      <c r="M2942" s="417" t="s">
        <v>28840</v>
      </c>
    </row>
    <row r="2943" spans="1:13" x14ac:dyDescent="0.25">
      <c r="A2943" s="417" t="s">
        <v>3385</v>
      </c>
      <c r="B2943" s="417" t="s">
        <v>3405</v>
      </c>
      <c r="C2943" s="417" t="s">
        <v>8323</v>
      </c>
      <c r="D2943" s="417" t="s">
        <v>224</v>
      </c>
      <c r="E2943" s="423">
        <v>0.62770635874053826</v>
      </c>
      <c r="F2943" s="423">
        <v>8.0819967037015024E-4</v>
      </c>
      <c r="G2943" s="422">
        <v>795.55247632718044</v>
      </c>
      <c r="H2943" s="417" t="s">
        <v>2616</v>
      </c>
      <c r="I2943" s="417" t="s">
        <v>1392</v>
      </c>
      <c r="J2943" s="417" t="s">
        <v>8253</v>
      </c>
      <c r="K2943" s="417" t="s">
        <v>8324</v>
      </c>
      <c r="L2943" s="417"/>
      <c r="M2943" s="417" t="s">
        <v>28840</v>
      </c>
    </row>
    <row r="2944" spans="1:13" x14ac:dyDescent="0.25">
      <c r="A2944" s="417" t="s">
        <v>3385</v>
      </c>
      <c r="B2944" s="417" t="s">
        <v>3405</v>
      </c>
      <c r="C2944" s="417" t="s">
        <v>8325</v>
      </c>
      <c r="D2944" s="417" t="s">
        <v>224</v>
      </c>
      <c r="E2944" s="423">
        <v>0.67146992119243853</v>
      </c>
      <c r="F2944" s="423">
        <v>4.7261020283369693E-3</v>
      </c>
      <c r="G2944" s="422">
        <v>914.67629932722548</v>
      </c>
      <c r="H2944" s="417" t="s">
        <v>2616</v>
      </c>
      <c r="I2944" s="417" t="s">
        <v>1392</v>
      </c>
      <c r="J2944" s="417" t="s">
        <v>8253</v>
      </c>
      <c r="K2944" s="417" t="s">
        <v>8326</v>
      </c>
      <c r="L2944" s="417"/>
      <c r="M2944" s="417" t="s">
        <v>28840</v>
      </c>
    </row>
    <row r="2945" spans="1:13" x14ac:dyDescent="0.25">
      <c r="A2945" s="417" t="s">
        <v>3385</v>
      </c>
      <c r="B2945" s="417" t="s">
        <v>3405</v>
      </c>
      <c r="C2945" s="417" t="s">
        <v>8327</v>
      </c>
      <c r="D2945" s="417" t="s">
        <v>224</v>
      </c>
      <c r="E2945" s="423">
        <v>0.52689807248030263</v>
      </c>
      <c r="F2945" s="423">
        <v>1.0124923816526661E-3</v>
      </c>
      <c r="G2945" s="422">
        <v>659.48662828701447</v>
      </c>
      <c r="H2945" s="417" t="s">
        <v>2616</v>
      </c>
      <c r="I2945" s="417" t="s">
        <v>1392</v>
      </c>
      <c r="J2945" s="417" t="s">
        <v>8253</v>
      </c>
      <c r="K2945" s="417" t="s">
        <v>8328</v>
      </c>
      <c r="L2945" s="417"/>
      <c r="M2945" s="417" t="s">
        <v>28840</v>
      </c>
    </row>
    <row r="2946" spans="1:13" x14ac:dyDescent="0.25">
      <c r="A2946" s="417" t="s">
        <v>3385</v>
      </c>
      <c r="B2946" s="417" t="s">
        <v>3405</v>
      </c>
      <c r="C2946" s="417" t="s">
        <v>8329</v>
      </c>
      <c r="D2946" s="417" t="s">
        <v>224</v>
      </c>
      <c r="E2946" s="423">
        <v>3.1251689415481509</v>
      </c>
      <c r="F2946" s="423">
        <v>4.2956389523428314E-3</v>
      </c>
      <c r="G2946" s="422">
        <v>9797.8015984719877</v>
      </c>
      <c r="H2946" s="417" t="s">
        <v>2616</v>
      </c>
      <c r="I2946" s="417" t="s">
        <v>1392</v>
      </c>
      <c r="J2946" s="417" t="s">
        <v>8330</v>
      </c>
      <c r="K2946" s="417" t="s">
        <v>8331</v>
      </c>
      <c r="L2946" s="417"/>
      <c r="M2946" s="417" t="s">
        <v>28840</v>
      </c>
    </row>
    <row r="2947" spans="1:13" x14ac:dyDescent="0.25">
      <c r="A2947" s="417" t="s">
        <v>3385</v>
      </c>
      <c r="B2947" s="417" t="s">
        <v>3405</v>
      </c>
      <c r="C2947" s="417" t="s">
        <v>8332</v>
      </c>
      <c r="D2947" s="417" t="s">
        <v>224</v>
      </c>
      <c r="E2947" s="423">
        <v>0.84991120287227906</v>
      </c>
      <c r="F2947" s="423">
        <v>2.9816338411175502E-3</v>
      </c>
      <c r="G2947" s="422">
        <v>997.96285417217337</v>
      </c>
      <c r="H2947" s="417" t="s">
        <v>2616</v>
      </c>
      <c r="I2947" s="417" t="s">
        <v>1392</v>
      </c>
      <c r="J2947" s="417" t="s">
        <v>8330</v>
      </c>
      <c r="K2947" s="417" t="s">
        <v>8333</v>
      </c>
      <c r="L2947" s="417"/>
      <c r="M2947" s="417" t="s">
        <v>28840</v>
      </c>
    </row>
    <row r="2948" spans="1:13" x14ac:dyDescent="0.25">
      <c r="A2948" s="417" t="s">
        <v>3385</v>
      </c>
      <c r="B2948" s="417" t="s">
        <v>3405</v>
      </c>
      <c r="C2948" s="417" t="s">
        <v>8334</v>
      </c>
      <c r="D2948" s="417" t="s">
        <v>224</v>
      </c>
      <c r="E2948" s="423">
        <v>1.0675020924825041</v>
      </c>
      <c r="F2948" s="423">
        <v>5.4172695913353728E-3</v>
      </c>
      <c r="G2948" s="422">
        <v>1314.035280501027</v>
      </c>
      <c r="H2948" s="417" t="s">
        <v>2616</v>
      </c>
      <c r="I2948" s="417" t="s">
        <v>1392</v>
      </c>
      <c r="J2948" s="417" t="s">
        <v>8330</v>
      </c>
      <c r="K2948" s="417" t="s">
        <v>8335</v>
      </c>
      <c r="L2948" s="417"/>
      <c r="M2948" s="417" t="s">
        <v>28840</v>
      </c>
    </row>
    <row r="2949" spans="1:13" x14ac:dyDescent="0.25">
      <c r="A2949" s="417" t="s">
        <v>3385</v>
      </c>
      <c r="B2949" s="417" t="s">
        <v>3405</v>
      </c>
      <c r="C2949" s="417" t="s">
        <v>8336</v>
      </c>
      <c r="D2949" s="417" t="s">
        <v>224</v>
      </c>
      <c r="E2949" s="423">
        <v>1.109801421416003</v>
      </c>
      <c r="F2949" s="423">
        <v>3.3510740227234788E-3</v>
      </c>
      <c r="G2949" s="422">
        <v>1374.6367817792261</v>
      </c>
      <c r="H2949" s="417" t="s">
        <v>2616</v>
      </c>
      <c r="I2949" s="417" t="s">
        <v>1392</v>
      </c>
      <c r="J2949" s="417" t="s">
        <v>8330</v>
      </c>
      <c r="K2949" s="417" t="s">
        <v>8337</v>
      </c>
      <c r="L2949" s="417"/>
      <c r="M2949" s="417" t="s">
        <v>28840</v>
      </c>
    </row>
    <row r="2950" spans="1:13" x14ac:dyDescent="0.25">
      <c r="A2950" s="417" t="s">
        <v>3385</v>
      </c>
      <c r="B2950" s="417" t="s">
        <v>3405</v>
      </c>
      <c r="C2950" s="417" t="s">
        <v>8338</v>
      </c>
      <c r="D2950" s="417" t="s">
        <v>224</v>
      </c>
      <c r="E2950" s="423">
        <v>1.104860839206468</v>
      </c>
      <c r="F2950" s="423">
        <v>1.9440981371459159E-3</v>
      </c>
      <c r="G2950" s="422">
        <v>1302.4200043339731</v>
      </c>
      <c r="H2950" s="417" t="s">
        <v>2616</v>
      </c>
      <c r="I2950" s="417" t="s">
        <v>1392</v>
      </c>
      <c r="J2950" s="417" t="s">
        <v>8330</v>
      </c>
      <c r="K2950" s="417" t="s">
        <v>8339</v>
      </c>
      <c r="L2950" s="417"/>
      <c r="M2950" s="417" t="s">
        <v>28840</v>
      </c>
    </row>
    <row r="2951" spans="1:13" x14ac:dyDescent="0.25">
      <c r="A2951" s="417" t="s">
        <v>3385</v>
      </c>
      <c r="B2951" s="417" t="s">
        <v>3405</v>
      </c>
      <c r="C2951" s="417" t="s">
        <v>8340</v>
      </c>
      <c r="D2951" s="417" t="s">
        <v>224</v>
      </c>
      <c r="E2951" s="423">
        <v>1.3085237657703701</v>
      </c>
      <c r="F2951" s="423">
        <v>3.8065204420192371E-3</v>
      </c>
      <c r="G2951" s="422">
        <v>1579.4522666911939</v>
      </c>
      <c r="H2951" s="417" t="s">
        <v>2616</v>
      </c>
      <c r="I2951" s="417" t="s">
        <v>1392</v>
      </c>
      <c r="J2951" s="417" t="s">
        <v>8330</v>
      </c>
      <c r="K2951" s="417" t="s">
        <v>8341</v>
      </c>
      <c r="L2951" s="417"/>
      <c r="M2951" s="417" t="s">
        <v>28840</v>
      </c>
    </row>
    <row r="2952" spans="1:13" x14ac:dyDescent="0.25">
      <c r="A2952" s="417" t="s">
        <v>3385</v>
      </c>
      <c r="B2952" s="417" t="s">
        <v>3405</v>
      </c>
      <c r="C2952" s="417" t="s">
        <v>8342</v>
      </c>
      <c r="D2952" s="417" t="s">
        <v>224</v>
      </c>
      <c r="E2952" s="423">
        <v>1.0246814496801619</v>
      </c>
      <c r="F2952" s="423">
        <v>4.6029376820514436E-3</v>
      </c>
      <c r="G2952" s="422">
        <v>1225.517774635935</v>
      </c>
      <c r="H2952" s="417" t="s">
        <v>2616</v>
      </c>
      <c r="I2952" s="417" t="s">
        <v>1392</v>
      </c>
      <c r="J2952" s="417" t="s">
        <v>8330</v>
      </c>
      <c r="K2952" s="417" t="s">
        <v>8343</v>
      </c>
      <c r="L2952" s="417"/>
      <c r="M2952" s="417" t="s">
        <v>28840</v>
      </c>
    </row>
    <row r="2953" spans="1:13" x14ac:dyDescent="0.25">
      <c r="A2953" s="417" t="s">
        <v>3385</v>
      </c>
      <c r="B2953" s="417" t="s">
        <v>3405</v>
      </c>
      <c r="C2953" s="417" t="s">
        <v>8344</v>
      </c>
      <c r="D2953" s="417" t="s">
        <v>224</v>
      </c>
      <c r="E2953" s="423">
        <v>1.0728170397228689</v>
      </c>
      <c r="F2953" s="423">
        <v>3.9230158393269198E-3</v>
      </c>
      <c r="G2953" s="422">
        <v>1301.566698960311</v>
      </c>
      <c r="H2953" s="417" t="s">
        <v>2616</v>
      </c>
      <c r="I2953" s="417" t="s">
        <v>1392</v>
      </c>
      <c r="J2953" s="417" t="s">
        <v>8330</v>
      </c>
      <c r="K2953" s="417" t="s">
        <v>8345</v>
      </c>
      <c r="L2953" s="417"/>
      <c r="M2953" s="417" t="s">
        <v>28840</v>
      </c>
    </row>
    <row r="2954" spans="1:13" x14ac:dyDescent="0.25">
      <c r="A2954" s="417" t="s">
        <v>3385</v>
      </c>
      <c r="B2954" s="417" t="s">
        <v>3405</v>
      </c>
      <c r="C2954" s="417" t="s">
        <v>8346</v>
      </c>
      <c r="D2954" s="417" t="s">
        <v>224</v>
      </c>
      <c r="E2954" s="423">
        <v>1.241737223293278</v>
      </c>
      <c r="F2954" s="423">
        <v>2.4327319527353659E-3</v>
      </c>
      <c r="G2954" s="422">
        <v>1539.3901136368379</v>
      </c>
      <c r="H2954" s="417" t="s">
        <v>2616</v>
      </c>
      <c r="I2954" s="417" t="s">
        <v>1392</v>
      </c>
      <c r="J2954" s="417" t="s">
        <v>8330</v>
      </c>
      <c r="K2954" s="417" t="s">
        <v>8347</v>
      </c>
      <c r="L2954" s="417"/>
      <c r="M2954" s="417" t="s">
        <v>28840</v>
      </c>
    </row>
    <row r="2955" spans="1:13" x14ac:dyDescent="0.25">
      <c r="A2955" s="417" t="s">
        <v>3385</v>
      </c>
      <c r="B2955" s="417" t="s">
        <v>3405</v>
      </c>
      <c r="C2955" s="417" t="s">
        <v>8348</v>
      </c>
      <c r="D2955" s="417" t="s">
        <v>224</v>
      </c>
      <c r="E2955" s="423">
        <v>1.1413660174107041</v>
      </c>
      <c r="F2955" s="423">
        <v>5.2028973631555366E-3</v>
      </c>
      <c r="G2955" s="422">
        <v>1409.410938659807</v>
      </c>
      <c r="H2955" s="417" t="s">
        <v>2616</v>
      </c>
      <c r="I2955" s="417" t="s">
        <v>1392</v>
      </c>
      <c r="J2955" s="417" t="s">
        <v>8330</v>
      </c>
      <c r="K2955" s="417" t="s">
        <v>8349</v>
      </c>
      <c r="L2955" s="417"/>
      <c r="M2955" s="417" t="s">
        <v>28840</v>
      </c>
    </row>
    <row r="2956" spans="1:13" x14ac:dyDescent="0.25">
      <c r="A2956" s="417" t="s">
        <v>3385</v>
      </c>
      <c r="B2956" s="417" t="s">
        <v>3405</v>
      </c>
      <c r="C2956" s="417" t="s">
        <v>8350</v>
      </c>
      <c r="D2956" s="417" t="s">
        <v>224</v>
      </c>
      <c r="E2956" s="423">
        <v>1.233146013293859</v>
      </c>
      <c r="F2956" s="423">
        <v>5.0103590556754909E-3</v>
      </c>
      <c r="G2956" s="422">
        <v>1545.0659833660491</v>
      </c>
      <c r="H2956" s="417" t="s">
        <v>2616</v>
      </c>
      <c r="I2956" s="417" t="s">
        <v>1392</v>
      </c>
      <c r="J2956" s="417" t="s">
        <v>8330</v>
      </c>
      <c r="K2956" s="417" t="s">
        <v>8351</v>
      </c>
      <c r="L2956" s="417"/>
      <c r="M2956" s="417" t="s">
        <v>28840</v>
      </c>
    </row>
    <row r="2957" spans="1:13" x14ac:dyDescent="0.25">
      <c r="A2957" s="417" t="s">
        <v>3385</v>
      </c>
      <c r="B2957" s="417" t="s">
        <v>3405</v>
      </c>
      <c r="C2957" s="417" t="s">
        <v>8352</v>
      </c>
      <c r="D2957" s="417" t="s">
        <v>224</v>
      </c>
      <c r="E2957" s="423">
        <v>0.99482985560514614</v>
      </c>
      <c r="F2957" s="423">
        <v>1.506173816816396E-3</v>
      </c>
      <c r="G2957" s="422">
        <v>1239.4053178242191</v>
      </c>
      <c r="H2957" s="417" t="s">
        <v>2616</v>
      </c>
      <c r="I2957" s="417" t="s">
        <v>1392</v>
      </c>
      <c r="J2957" s="417" t="s">
        <v>8330</v>
      </c>
      <c r="K2957" s="417" t="s">
        <v>8353</v>
      </c>
      <c r="L2957" s="417"/>
      <c r="M2957" s="417" t="s">
        <v>28840</v>
      </c>
    </row>
    <row r="2958" spans="1:13" x14ac:dyDescent="0.25">
      <c r="A2958" s="417" t="s">
        <v>3385</v>
      </c>
      <c r="B2958" s="417" t="s">
        <v>3405</v>
      </c>
      <c r="C2958" s="417" t="s">
        <v>8354</v>
      </c>
      <c r="D2958" s="417" t="s">
        <v>224</v>
      </c>
      <c r="E2958" s="423">
        <v>1.0809241009473289</v>
      </c>
      <c r="F2958" s="423">
        <v>3.127120355731212E-3</v>
      </c>
      <c r="G2958" s="422">
        <v>1295.275601572414</v>
      </c>
      <c r="H2958" s="417" t="s">
        <v>2616</v>
      </c>
      <c r="I2958" s="417" t="s">
        <v>1392</v>
      </c>
      <c r="J2958" s="417" t="s">
        <v>8330</v>
      </c>
      <c r="K2958" s="417" t="s">
        <v>8355</v>
      </c>
      <c r="L2958" s="417"/>
      <c r="M2958" s="417" t="s">
        <v>28840</v>
      </c>
    </row>
    <row r="2959" spans="1:13" x14ac:dyDescent="0.25">
      <c r="A2959" s="417" t="s">
        <v>3385</v>
      </c>
      <c r="B2959" s="417" t="s">
        <v>3405</v>
      </c>
      <c r="C2959" s="417" t="s">
        <v>8356</v>
      </c>
      <c r="D2959" s="417" t="s">
        <v>224</v>
      </c>
      <c r="E2959" s="423">
        <v>1.2344267271001861</v>
      </c>
      <c r="F2959" s="423">
        <v>7.8617664271067745E-3</v>
      </c>
      <c r="G2959" s="422">
        <v>1846.4482236494091</v>
      </c>
      <c r="H2959" s="417" t="s">
        <v>2616</v>
      </c>
      <c r="I2959" s="417" t="s">
        <v>1392</v>
      </c>
      <c r="J2959" s="417" t="s">
        <v>8330</v>
      </c>
      <c r="K2959" s="417" t="s">
        <v>8357</v>
      </c>
      <c r="L2959" s="417"/>
      <c r="M2959" s="417" t="s">
        <v>28840</v>
      </c>
    </row>
    <row r="2960" spans="1:13" x14ac:dyDescent="0.25">
      <c r="A2960" s="417" t="s">
        <v>3385</v>
      </c>
      <c r="B2960" s="417" t="s">
        <v>3405</v>
      </c>
      <c r="C2960" s="417" t="s">
        <v>8358</v>
      </c>
      <c r="D2960" s="417" t="s">
        <v>224</v>
      </c>
      <c r="E2960" s="423">
        <v>1.114627295485197</v>
      </c>
      <c r="F2960" s="423">
        <v>3.2847370306002938E-3</v>
      </c>
      <c r="G2960" s="422">
        <v>1304.9516768162721</v>
      </c>
      <c r="H2960" s="417" t="s">
        <v>2616</v>
      </c>
      <c r="I2960" s="417" t="s">
        <v>1392</v>
      </c>
      <c r="J2960" s="417" t="s">
        <v>8330</v>
      </c>
      <c r="K2960" s="417" t="s">
        <v>8359</v>
      </c>
      <c r="L2960" s="417"/>
      <c r="M2960" s="417" t="s">
        <v>28840</v>
      </c>
    </row>
    <row r="2961" spans="1:13" x14ac:dyDescent="0.25">
      <c r="A2961" s="417" t="s">
        <v>3385</v>
      </c>
      <c r="B2961" s="417" t="s">
        <v>3405</v>
      </c>
      <c r="C2961" s="417" t="s">
        <v>8360</v>
      </c>
      <c r="D2961" s="417" t="s">
        <v>224</v>
      </c>
      <c r="E2961" s="423">
        <v>1.4698222172652411</v>
      </c>
      <c r="F2961" s="423">
        <v>2.8619069727004081E-3</v>
      </c>
      <c r="G2961" s="422">
        <v>1876.708435986551</v>
      </c>
      <c r="H2961" s="417" t="s">
        <v>2616</v>
      </c>
      <c r="I2961" s="417" t="s">
        <v>1392</v>
      </c>
      <c r="J2961" s="417" t="s">
        <v>8330</v>
      </c>
      <c r="K2961" s="417" t="s">
        <v>8361</v>
      </c>
      <c r="L2961" s="417"/>
      <c r="M2961" s="417" t="s">
        <v>28840</v>
      </c>
    </row>
    <row r="2962" spans="1:13" x14ac:dyDescent="0.25">
      <c r="A2962" s="417" t="s">
        <v>3385</v>
      </c>
      <c r="B2962" s="417" t="s">
        <v>3405</v>
      </c>
      <c r="C2962" s="417" t="s">
        <v>8362</v>
      </c>
      <c r="D2962" s="417" t="s">
        <v>224</v>
      </c>
      <c r="E2962" s="423">
        <v>0.95034004688717344</v>
      </c>
      <c r="F2962" s="423">
        <v>4.3262024545314042E-3</v>
      </c>
      <c r="G2962" s="422">
        <v>1137.9351624015139</v>
      </c>
      <c r="H2962" s="417" t="s">
        <v>2616</v>
      </c>
      <c r="I2962" s="417" t="s">
        <v>1392</v>
      </c>
      <c r="J2962" s="417" t="s">
        <v>8330</v>
      </c>
      <c r="K2962" s="417" t="s">
        <v>8363</v>
      </c>
      <c r="L2962" s="417"/>
      <c r="M2962" s="417" t="s">
        <v>28840</v>
      </c>
    </row>
    <row r="2963" spans="1:13" x14ac:dyDescent="0.25">
      <c r="A2963" s="417" t="s">
        <v>3385</v>
      </c>
      <c r="B2963" s="417" t="s">
        <v>3405</v>
      </c>
      <c r="C2963" s="417" t="s">
        <v>8364</v>
      </c>
      <c r="D2963" s="417" t="s">
        <v>224</v>
      </c>
      <c r="E2963" s="423">
        <v>0.96768567938779437</v>
      </c>
      <c r="F2963" s="423">
        <v>4.4542275344912974E-3</v>
      </c>
      <c r="G2963" s="422">
        <v>1179.032582523392</v>
      </c>
      <c r="H2963" s="417" t="s">
        <v>2616</v>
      </c>
      <c r="I2963" s="417" t="s">
        <v>1392</v>
      </c>
      <c r="J2963" s="417" t="s">
        <v>8330</v>
      </c>
      <c r="K2963" s="417" t="s">
        <v>8365</v>
      </c>
      <c r="L2963" s="417"/>
      <c r="M2963" s="417" t="s">
        <v>28840</v>
      </c>
    </row>
    <row r="2964" spans="1:13" x14ac:dyDescent="0.25">
      <c r="A2964" s="417" t="s">
        <v>3385</v>
      </c>
      <c r="B2964" s="417" t="s">
        <v>3405</v>
      </c>
      <c r="C2964" s="417" t="s">
        <v>8366</v>
      </c>
      <c r="D2964" s="417" t="s">
        <v>224</v>
      </c>
      <c r="E2964" s="423">
        <v>1.1388962681951229</v>
      </c>
      <c r="F2964" s="423">
        <v>1.7547086146729009E-3</v>
      </c>
      <c r="G2964" s="422">
        <v>1424.807347197697</v>
      </c>
      <c r="H2964" s="417" t="s">
        <v>2616</v>
      </c>
      <c r="I2964" s="417" t="s">
        <v>1392</v>
      </c>
      <c r="J2964" s="417" t="s">
        <v>8330</v>
      </c>
      <c r="K2964" s="417" t="s">
        <v>8367</v>
      </c>
      <c r="L2964" s="417"/>
      <c r="M2964" s="417" t="s">
        <v>28840</v>
      </c>
    </row>
    <row r="2965" spans="1:13" x14ac:dyDescent="0.25">
      <c r="A2965" s="417" t="s">
        <v>3385</v>
      </c>
      <c r="B2965" s="417" t="s">
        <v>3405</v>
      </c>
      <c r="C2965" s="417" t="s">
        <v>8368</v>
      </c>
      <c r="D2965" s="417" t="s">
        <v>224</v>
      </c>
      <c r="E2965" s="423">
        <v>1.104780358867651</v>
      </c>
      <c r="F2965" s="423">
        <v>3.3200966182211039E-3</v>
      </c>
      <c r="G2965" s="422">
        <v>1370.0396221629351</v>
      </c>
      <c r="H2965" s="417" t="s">
        <v>2616</v>
      </c>
      <c r="I2965" s="417" t="s">
        <v>1392</v>
      </c>
      <c r="J2965" s="417" t="s">
        <v>8330</v>
      </c>
      <c r="K2965" s="417" t="s">
        <v>8369</v>
      </c>
      <c r="L2965" s="417"/>
      <c r="M2965" s="417" t="s">
        <v>28840</v>
      </c>
    </row>
    <row r="2966" spans="1:13" x14ac:dyDescent="0.25">
      <c r="A2966" s="417" t="s">
        <v>3385</v>
      </c>
      <c r="B2966" s="417" t="s">
        <v>3405</v>
      </c>
      <c r="C2966" s="417" t="s">
        <v>8370</v>
      </c>
      <c r="D2966" s="417" t="s">
        <v>224</v>
      </c>
      <c r="E2966" s="423">
        <v>1.107154995488697</v>
      </c>
      <c r="F2966" s="423">
        <v>2.4569181867563771E-3</v>
      </c>
      <c r="G2966" s="422">
        <v>1270.186197043595</v>
      </c>
      <c r="H2966" s="417" t="s">
        <v>2616</v>
      </c>
      <c r="I2966" s="417" t="s">
        <v>1392</v>
      </c>
      <c r="J2966" s="417" t="s">
        <v>8330</v>
      </c>
      <c r="K2966" s="417" t="s">
        <v>8371</v>
      </c>
      <c r="L2966" s="417"/>
      <c r="M2966" s="417" t="s">
        <v>28840</v>
      </c>
    </row>
    <row r="2967" spans="1:13" x14ac:dyDescent="0.25">
      <c r="A2967" s="417" t="s">
        <v>3385</v>
      </c>
      <c r="B2967" s="417" t="s">
        <v>3405</v>
      </c>
      <c r="C2967" s="417" t="s">
        <v>8372</v>
      </c>
      <c r="D2967" s="417" t="s">
        <v>224</v>
      </c>
      <c r="E2967" s="423">
        <v>1.122975623208565</v>
      </c>
      <c r="F2967" s="423">
        <v>1.656361981463846E-3</v>
      </c>
      <c r="G2967" s="422">
        <v>1441.573003316538</v>
      </c>
      <c r="H2967" s="417" t="s">
        <v>2616</v>
      </c>
      <c r="I2967" s="417" t="s">
        <v>1392</v>
      </c>
      <c r="J2967" s="417" t="s">
        <v>8330</v>
      </c>
      <c r="K2967" s="417" t="s">
        <v>8373</v>
      </c>
      <c r="L2967" s="417"/>
      <c r="M2967" s="417" t="s">
        <v>28840</v>
      </c>
    </row>
    <row r="2968" spans="1:13" x14ac:dyDescent="0.25">
      <c r="A2968" s="417" t="s">
        <v>3385</v>
      </c>
      <c r="B2968" s="417" t="s">
        <v>3405</v>
      </c>
      <c r="C2968" s="417" t="s">
        <v>8374</v>
      </c>
      <c r="D2968" s="417" t="s">
        <v>224</v>
      </c>
      <c r="E2968" s="423">
        <v>1.1160492128495221</v>
      </c>
      <c r="F2968" s="423">
        <v>2.7708416152799789E-3</v>
      </c>
      <c r="G2968" s="422">
        <v>1494.4949123954441</v>
      </c>
      <c r="H2968" s="417" t="s">
        <v>2616</v>
      </c>
      <c r="I2968" s="417" t="s">
        <v>1392</v>
      </c>
      <c r="J2968" s="417" t="s">
        <v>8330</v>
      </c>
      <c r="K2968" s="417" t="s">
        <v>8375</v>
      </c>
      <c r="L2968" s="417"/>
      <c r="M2968" s="417" t="s">
        <v>28840</v>
      </c>
    </row>
    <row r="2969" spans="1:13" x14ac:dyDescent="0.25">
      <c r="A2969" s="417" t="s">
        <v>3385</v>
      </c>
      <c r="B2969" s="417" t="s">
        <v>3405</v>
      </c>
      <c r="C2969" s="417" t="s">
        <v>8376</v>
      </c>
      <c r="D2969" s="417" t="s">
        <v>224</v>
      </c>
      <c r="E2969" s="423">
        <v>1.1536735009169119</v>
      </c>
      <c r="F2969" s="423">
        <v>1.9267687783785629E-3</v>
      </c>
      <c r="G2969" s="422">
        <v>1465.7316294892289</v>
      </c>
      <c r="H2969" s="417" t="s">
        <v>2616</v>
      </c>
      <c r="I2969" s="417" t="s">
        <v>1392</v>
      </c>
      <c r="J2969" s="417" t="s">
        <v>8330</v>
      </c>
      <c r="K2969" s="417" t="s">
        <v>8377</v>
      </c>
      <c r="L2969" s="417"/>
      <c r="M2969" s="417" t="s">
        <v>28840</v>
      </c>
    </row>
    <row r="2970" spans="1:13" x14ac:dyDescent="0.25">
      <c r="A2970" s="417" t="s">
        <v>3385</v>
      </c>
      <c r="B2970" s="417" t="s">
        <v>3405</v>
      </c>
      <c r="C2970" s="417" t="s">
        <v>8378</v>
      </c>
      <c r="D2970" s="417" t="s">
        <v>224</v>
      </c>
      <c r="E2970" s="423">
        <v>1.0694367468655299</v>
      </c>
      <c r="F2970" s="423">
        <v>4.9329436916301494E-3</v>
      </c>
      <c r="G2970" s="422">
        <v>1283.2938065235489</v>
      </c>
      <c r="H2970" s="417" t="s">
        <v>2616</v>
      </c>
      <c r="I2970" s="417" t="s">
        <v>1392</v>
      </c>
      <c r="J2970" s="417" t="s">
        <v>8330</v>
      </c>
      <c r="K2970" s="417" t="s">
        <v>8379</v>
      </c>
      <c r="L2970" s="417"/>
      <c r="M2970" s="417" t="s">
        <v>28840</v>
      </c>
    </row>
    <row r="2971" spans="1:13" x14ac:dyDescent="0.25">
      <c r="A2971" s="417" t="s">
        <v>3385</v>
      </c>
      <c r="B2971" s="417" t="s">
        <v>3405</v>
      </c>
      <c r="C2971" s="417" t="s">
        <v>8380</v>
      </c>
      <c r="D2971" s="417" t="s">
        <v>224</v>
      </c>
      <c r="E2971" s="423">
        <v>1.4139525614761781</v>
      </c>
      <c r="F2971" s="423">
        <v>2.365412172734436E-3</v>
      </c>
      <c r="G2971" s="422">
        <v>1761.5376790438361</v>
      </c>
      <c r="H2971" s="417" t="s">
        <v>2616</v>
      </c>
      <c r="I2971" s="417" t="s">
        <v>1392</v>
      </c>
      <c r="J2971" s="417" t="s">
        <v>8330</v>
      </c>
      <c r="K2971" s="417" t="s">
        <v>8381</v>
      </c>
      <c r="L2971" s="417"/>
      <c r="M2971" s="417" t="s">
        <v>28840</v>
      </c>
    </row>
    <row r="2972" spans="1:13" x14ac:dyDescent="0.25">
      <c r="A2972" s="417" t="s">
        <v>3385</v>
      </c>
      <c r="B2972" s="417" t="s">
        <v>3405</v>
      </c>
      <c r="C2972" s="417" t="s">
        <v>8382</v>
      </c>
      <c r="D2972" s="417" t="s">
        <v>224</v>
      </c>
      <c r="E2972" s="423">
        <v>1.049141357999267</v>
      </c>
      <c r="F2972" s="423">
        <v>4.2888716834562114E-3</v>
      </c>
      <c r="G2972" s="422">
        <v>1254.8011681157341</v>
      </c>
      <c r="H2972" s="417" t="s">
        <v>2616</v>
      </c>
      <c r="I2972" s="417" t="s">
        <v>1392</v>
      </c>
      <c r="J2972" s="417" t="s">
        <v>8330</v>
      </c>
      <c r="K2972" s="417" t="s">
        <v>8383</v>
      </c>
      <c r="L2972" s="417"/>
      <c r="M2972" s="417" t="s">
        <v>28840</v>
      </c>
    </row>
    <row r="2973" spans="1:13" x14ac:dyDescent="0.25">
      <c r="A2973" s="417" t="s">
        <v>3385</v>
      </c>
      <c r="B2973" s="417" t="s">
        <v>3405</v>
      </c>
      <c r="C2973" s="417" t="s">
        <v>8384</v>
      </c>
      <c r="D2973" s="417" t="s">
        <v>224</v>
      </c>
      <c r="E2973" s="423">
        <v>1.0650045010545881</v>
      </c>
      <c r="F2973" s="423">
        <v>2.0426488787414609E-3</v>
      </c>
      <c r="G2973" s="422">
        <v>1293.8768459397891</v>
      </c>
      <c r="H2973" s="417" t="s">
        <v>2616</v>
      </c>
      <c r="I2973" s="417" t="s">
        <v>1392</v>
      </c>
      <c r="J2973" s="417" t="s">
        <v>8330</v>
      </c>
      <c r="K2973" s="417" t="s">
        <v>8385</v>
      </c>
      <c r="L2973" s="417"/>
      <c r="M2973" s="417" t="s">
        <v>28840</v>
      </c>
    </row>
    <row r="2974" spans="1:13" x14ac:dyDescent="0.25">
      <c r="A2974" s="417" t="s">
        <v>3385</v>
      </c>
      <c r="B2974" s="417" t="s">
        <v>3405</v>
      </c>
      <c r="C2974" s="417" t="s">
        <v>8386</v>
      </c>
      <c r="D2974" s="417" t="s">
        <v>224</v>
      </c>
      <c r="E2974" s="423">
        <v>1.2380108186062799</v>
      </c>
      <c r="F2974" s="423">
        <v>2.4187223258242082E-3</v>
      </c>
      <c r="G2974" s="422">
        <v>1552.568406318346</v>
      </c>
      <c r="H2974" s="417" t="s">
        <v>2616</v>
      </c>
      <c r="I2974" s="417" t="s">
        <v>1392</v>
      </c>
      <c r="J2974" s="417" t="s">
        <v>8330</v>
      </c>
      <c r="K2974" s="417" t="s">
        <v>8387</v>
      </c>
      <c r="L2974" s="417"/>
      <c r="M2974" s="417" t="s">
        <v>28840</v>
      </c>
    </row>
    <row r="2975" spans="1:13" x14ac:dyDescent="0.25">
      <c r="A2975" s="417" t="s">
        <v>3385</v>
      </c>
      <c r="B2975" s="417" t="s">
        <v>3405</v>
      </c>
      <c r="C2975" s="417" t="s">
        <v>8388</v>
      </c>
      <c r="D2975" s="417" t="s">
        <v>73</v>
      </c>
      <c r="E2975" s="423">
        <v>1.319883793403261</v>
      </c>
      <c r="F2975" s="423">
        <v>8.3707821300488591E-3</v>
      </c>
      <c r="G2975" s="422">
        <v>3077.3716276006512</v>
      </c>
      <c r="H2975" s="417" t="s">
        <v>2616</v>
      </c>
      <c r="I2975" s="417" t="s">
        <v>1392</v>
      </c>
      <c r="J2975" s="417" t="s">
        <v>8330</v>
      </c>
      <c r="K2975" s="417" t="s">
        <v>8389</v>
      </c>
      <c r="L2975" s="417"/>
      <c r="M2975" s="417" t="s">
        <v>28840</v>
      </c>
    </row>
    <row r="2976" spans="1:13" x14ac:dyDescent="0.25">
      <c r="A2976" s="417" t="s">
        <v>3385</v>
      </c>
      <c r="B2976" s="417" t="s">
        <v>3405</v>
      </c>
      <c r="C2976" s="417" t="s">
        <v>8390</v>
      </c>
      <c r="D2976" s="417" t="s">
        <v>224</v>
      </c>
      <c r="E2976" s="423">
        <v>0.26161542312664787</v>
      </c>
      <c r="F2976" s="423">
        <v>1.071837521104677E-3</v>
      </c>
      <c r="G2976" s="422">
        <v>459.86449351895709</v>
      </c>
      <c r="H2976" s="417" t="s">
        <v>2616</v>
      </c>
      <c r="I2976" s="417" t="s">
        <v>1392</v>
      </c>
      <c r="J2976" s="417" t="s">
        <v>7898</v>
      </c>
      <c r="K2976" s="417" t="s">
        <v>8391</v>
      </c>
      <c r="L2976" s="417"/>
      <c r="M2976" s="417" t="s">
        <v>28840</v>
      </c>
    </row>
    <row r="2977" spans="1:13" x14ac:dyDescent="0.25">
      <c r="A2977" s="417" t="s">
        <v>3385</v>
      </c>
      <c r="B2977" s="417" t="s">
        <v>3405</v>
      </c>
      <c r="C2977" s="417" t="s">
        <v>8392</v>
      </c>
      <c r="D2977" s="417" t="s">
        <v>224</v>
      </c>
      <c r="E2977" s="423">
        <v>0.38668513499733143</v>
      </c>
      <c r="F2977" s="423">
        <v>1.09983744850579E-3</v>
      </c>
      <c r="G2977" s="422">
        <v>585.06944951754065</v>
      </c>
      <c r="H2977" s="417" t="s">
        <v>2616</v>
      </c>
      <c r="I2977" s="417" t="s">
        <v>1392</v>
      </c>
      <c r="J2977" s="417" t="s">
        <v>7898</v>
      </c>
      <c r="K2977" s="417" t="s">
        <v>8393</v>
      </c>
      <c r="L2977" s="417"/>
      <c r="M2977" s="417" t="s">
        <v>28840</v>
      </c>
    </row>
    <row r="2978" spans="1:13" x14ac:dyDescent="0.25">
      <c r="A2978" s="417" t="s">
        <v>3385</v>
      </c>
      <c r="B2978" s="417" t="s">
        <v>3405</v>
      </c>
      <c r="C2978" s="417" t="s">
        <v>8394</v>
      </c>
      <c r="D2978" s="417" t="s">
        <v>224</v>
      </c>
      <c r="E2978" s="423">
        <v>0.37981683179491099</v>
      </c>
      <c r="F2978" s="423">
        <v>1.639218613088991E-2</v>
      </c>
      <c r="G2978" s="422">
        <v>539.72762591073501</v>
      </c>
      <c r="H2978" s="417" t="s">
        <v>2616</v>
      </c>
      <c r="I2978" s="417" t="s">
        <v>1392</v>
      </c>
      <c r="J2978" s="417" t="s">
        <v>7898</v>
      </c>
      <c r="K2978" s="417" t="s">
        <v>8395</v>
      </c>
      <c r="L2978" s="417"/>
      <c r="M2978" s="417" t="s">
        <v>28840</v>
      </c>
    </row>
    <row r="2979" spans="1:13" x14ac:dyDescent="0.25">
      <c r="A2979" s="417" t="s">
        <v>3385</v>
      </c>
      <c r="B2979" s="417" t="s">
        <v>3405</v>
      </c>
      <c r="C2979" s="417" t="s">
        <v>8396</v>
      </c>
      <c r="D2979" s="417" t="s">
        <v>224</v>
      </c>
      <c r="E2979" s="423">
        <v>0.1899402047519102</v>
      </c>
      <c r="F2979" s="423">
        <v>5.0720174184325402E-2</v>
      </c>
      <c r="G2979" s="422">
        <v>377.15233242084332</v>
      </c>
      <c r="H2979" s="417" t="s">
        <v>2616</v>
      </c>
      <c r="I2979" s="417" t="s">
        <v>1392</v>
      </c>
      <c r="J2979" s="417" t="s">
        <v>7898</v>
      </c>
      <c r="K2979" s="417" t="s">
        <v>8397</v>
      </c>
      <c r="L2979" s="417"/>
      <c r="M2979" s="417" t="s">
        <v>28840</v>
      </c>
    </row>
    <row r="2980" spans="1:13" x14ac:dyDescent="0.25">
      <c r="A2980" s="417" t="s">
        <v>3385</v>
      </c>
      <c r="B2980" s="417" t="s">
        <v>3405</v>
      </c>
      <c r="C2980" s="417" t="s">
        <v>8398</v>
      </c>
      <c r="D2980" s="417" t="s">
        <v>224</v>
      </c>
      <c r="E2980" s="423">
        <v>0.66124748951086321</v>
      </c>
      <c r="F2980" s="423">
        <v>1.0860721676579839E-2</v>
      </c>
      <c r="G2980" s="422">
        <v>823.30126778145166</v>
      </c>
      <c r="H2980" s="417" t="s">
        <v>2616</v>
      </c>
      <c r="I2980" s="417" t="s">
        <v>1392</v>
      </c>
      <c r="J2980" s="417" t="s">
        <v>7898</v>
      </c>
      <c r="K2980" s="417" t="s">
        <v>8399</v>
      </c>
      <c r="L2980" s="417"/>
      <c r="M2980" s="417" t="s">
        <v>28840</v>
      </c>
    </row>
    <row r="2981" spans="1:13" x14ac:dyDescent="0.25">
      <c r="A2981" s="417" t="s">
        <v>3385</v>
      </c>
      <c r="B2981" s="417" t="s">
        <v>3405</v>
      </c>
      <c r="C2981" s="417" t="s">
        <v>8400</v>
      </c>
      <c r="D2981" s="417" t="s">
        <v>224</v>
      </c>
      <c r="E2981" s="423">
        <v>0.83937507869062156</v>
      </c>
      <c r="F2981" s="423">
        <v>1.458170056701749E-2</v>
      </c>
      <c r="G2981" s="422">
        <v>1071.470737460171</v>
      </c>
      <c r="H2981" s="417" t="s">
        <v>2616</v>
      </c>
      <c r="I2981" s="417" t="s">
        <v>1392</v>
      </c>
      <c r="J2981" s="417" t="s">
        <v>7898</v>
      </c>
      <c r="K2981" s="417" t="s">
        <v>8401</v>
      </c>
      <c r="L2981" s="417"/>
      <c r="M2981" s="417" t="s">
        <v>28840</v>
      </c>
    </row>
    <row r="2982" spans="1:13" x14ac:dyDescent="0.25">
      <c r="A2982" s="417" t="s">
        <v>3385</v>
      </c>
      <c r="B2982" s="417" t="s">
        <v>3405</v>
      </c>
      <c r="C2982" s="417" t="s">
        <v>8402</v>
      </c>
      <c r="D2982" s="417" t="s">
        <v>224</v>
      </c>
      <c r="E2982" s="423">
        <v>0.66101292453506766</v>
      </c>
      <c r="F2982" s="423">
        <v>4.4912050215753637E-3</v>
      </c>
      <c r="G2982" s="422">
        <v>916.88758454080994</v>
      </c>
      <c r="H2982" s="417" t="s">
        <v>2616</v>
      </c>
      <c r="I2982" s="417" t="s">
        <v>1392</v>
      </c>
      <c r="J2982" s="417" t="s">
        <v>7898</v>
      </c>
      <c r="K2982" s="417" t="s">
        <v>8403</v>
      </c>
      <c r="L2982" s="417"/>
      <c r="M2982" s="417" t="s">
        <v>28840</v>
      </c>
    </row>
    <row r="2983" spans="1:13" x14ac:dyDescent="0.25">
      <c r="A2983" s="417" t="s">
        <v>3385</v>
      </c>
      <c r="B2983" s="417" t="s">
        <v>3405</v>
      </c>
      <c r="C2983" s="417" t="s">
        <v>8404</v>
      </c>
      <c r="D2983" s="417" t="s">
        <v>224</v>
      </c>
      <c r="E2983" s="423">
        <v>0.1661741253207083</v>
      </c>
      <c r="F2983" s="423">
        <v>3.0777149344249629E-2</v>
      </c>
      <c r="G2983" s="422">
        <v>447.87814999858631</v>
      </c>
      <c r="H2983" s="417" t="s">
        <v>2616</v>
      </c>
      <c r="I2983" s="417" t="s">
        <v>1392</v>
      </c>
      <c r="J2983" s="417" t="s">
        <v>7898</v>
      </c>
      <c r="K2983" s="417" t="s">
        <v>8405</v>
      </c>
      <c r="L2983" s="417"/>
      <c r="M2983" s="417" t="s">
        <v>28840</v>
      </c>
    </row>
    <row r="2984" spans="1:13" x14ac:dyDescent="0.25">
      <c r="A2984" s="417" t="s">
        <v>3385</v>
      </c>
      <c r="B2984" s="417" t="s">
        <v>3405</v>
      </c>
      <c r="C2984" s="417" t="s">
        <v>8406</v>
      </c>
      <c r="D2984" s="417" t="s">
        <v>224</v>
      </c>
      <c r="E2984" s="423">
        <v>0.41461443324436159</v>
      </c>
      <c r="F2984" s="423">
        <v>3.1600109911030287E-2</v>
      </c>
      <c r="G2984" s="422">
        <v>850.298387808607</v>
      </c>
      <c r="H2984" s="417" t="s">
        <v>2616</v>
      </c>
      <c r="I2984" s="417" t="s">
        <v>1392</v>
      </c>
      <c r="J2984" s="417" t="s">
        <v>7898</v>
      </c>
      <c r="K2984" s="417" t="s">
        <v>8407</v>
      </c>
      <c r="L2984" s="417"/>
      <c r="M2984" s="417" t="s">
        <v>28840</v>
      </c>
    </row>
    <row r="2985" spans="1:13" x14ac:dyDescent="0.25">
      <c r="A2985" s="417" t="s">
        <v>3385</v>
      </c>
      <c r="B2985" s="417" t="s">
        <v>3405</v>
      </c>
      <c r="C2985" s="417" t="s">
        <v>8408</v>
      </c>
      <c r="D2985" s="417" t="s">
        <v>224</v>
      </c>
      <c r="E2985" s="423">
        <v>9.3914295120080718E-2</v>
      </c>
      <c r="F2985" s="423">
        <v>6.6590465855670716E-2</v>
      </c>
      <c r="G2985" s="422">
        <v>166.98170973691231</v>
      </c>
      <c r="H2985" s="417" t="s">
        <v>2616</v>
      </c>
      <c r="I2985" s="417" t="s">
        <v>1392</v>
      </c>
      <c r="J2985" s="417" t="s">
        <v>7898</v>
      </c>
      <c r="K2985" s="417" t="s">
        <v>8409</v>
      </c>
      <c r="L2985" s="417"/>
      <c r="M2985" s="417" t="s">
        <v>28840</v>
      </c>
    </row>
    <row r="2986" spans="1:13" x14ac:dyDescent="0.25">
      <c r="A2986" s="417" t="s">
        <v>3385</v>
      </c>
      <c r="B2986" s="417" t="s">
        <v>3405</v>
      </c>
      <c r="C2986" s="417" t="s">
        <v>8410</v>
      </c>
      <c r="D2986" s="417" t="s">
        <v>224</v>
      </c>
      <c r="E2986" s="423">
        <v>0.15546878945340051</v>
      </c>
      <c r="F2986" s="423">
        <v>1.1507154394587989E-2</v>
      </c>
      <c r="G2986" s="422">
        <v>282.23261309268219</v>
      </c>
      <c r="H2986" s="417" t="s">
        <v>2616</v>
      </c>
      <c r="I2986" s="417" t="s">
        <v>1392</v>
      </c>
      <c r="J2986" s="417" t="s">
        <v>7898</v>
      </c>
      <c r="K2986" s="417" t="s">
        <v>8411</v>
      </c>
      <c r="L2986" s="417"/>
      <c r="M2986" s="417" t="s">
        <v>28840</v>
      </c>
    </row>
    <row r="2987" spans="1:13" x14ac:dyDescent="0.25">
      <c r="A2987" s="417" t="s">
        <v>3385</v>
      </c>
      <c r="B2987" s="417" t="s">
        <v>3405</v>
      </c>
      <c r="C2987" s="417" t="s">
        <v>8412</v>
      </c>
      <c r="D2987" s="417" t="s">
        <v>224</v>
      </c>
      <c r="E2987" s="423">
        <v>8.6745681405774586E-2</v>
      </c>
      <c r="F2987" s="423">
        <v>2.1467485184159391E-2</v>
      </c>
      <c r="G2987" s="422">
        <v>397.96636013986659</v>
      </c>
      <c r="H2987" s="417" t="s">
        <v>2616</v>
      </c>
      <c r="I2987" s="417" t="s">
        <v>1392</v>
      </c>
      <c r="J2987" s="417" t="s">
        <v>7898</v>
      </c>
      <c r="K2987" s="417" t="s">
        <v>8413</v>
      </c>
      <c r="L2987" s="417"/>
      <c r="M2987" s="417" t="s">
        <v>28840</v>
      </c>
    </row>
    <row r="2988" spans="1:13" x14ac:dyDescent="0.25">
      <c r="A2988" s="417" t="s">
        <v>3385</v>
      </c>
      <c r="B2988" s="417" t="s">
        <v>3405</v>
      </c>
      <c r="C2988" s="417" t="s">
        <v>8414</v>
      </c>
      <c r="D2988" s="417" t="s">
        <v>224</v>
      </c>
      <c r="E2988" s="423">
        <v>0.31181536167639312</v>
      </c>
      <c r="F2988" s="423">
        <v>4.8539010181933663E-2</v>
      </c>
      <c r="G2988" s="422">
        <v>407.36203917232768</v>
      </c>
      <c r="H2988" s="417" t="s">
        <v>2616</v>
      </c>
      <c r="I2988" s="417" t="s">
        <v>1392</v>
      </c>
      <c r="J2988" s="417" t="s">
        <v>7898</v>
      </c>
      <c r="K2988" s="417" t="s">
        <v>8415</v>
      </c>
      <c r="L2988" s="417"/>
      <c r="M2988" s="417" t="s">
        <v>28840</v>
      </c>
    </row>
    <row r="2989" spans="1:13" x14ac:dyDescent="0.25">
      <c r="A2989" s="417" t="s">
        <v>3385</v>
      </c>
      <c r="B2989" s="417" t="s">
        <v>3405</v>
      </c>
      <c r="C2989" s="417" t="s">
        <v>8416</v>
      </c>
      <c r="D2989" s="417" t="s">
        <v>224</v>
      </c>
      <c r="E2989" s="423">
        <v>0.70987179046883409</v>
      </c>
      <c r="F2989" s="423">
        <v>1.5818501681938921E-2</v>
      </c>
      <c r="G2989" s="422">
        <v>935.72121304559801</v>
      </c>
      <c r="H2989" s="417" t="s">
        <v>2616</v>
      </c>
      <c r="I2989" s="417" t="s">
        <v>1392</v>
      </c>
      <c r="J2989" s="417" t="s">
        <v>7898</v>
      </c>
      <c r="K2989" s="417" t="s">
        <v>8417</v>
      </c>
      <c r="L2989" s="417"/>
      <c r="M2989" s="417" t="s">
        <v>28840</v>
      </c>
    </row>
    <row r="2990" spans="1:13" x14ac:dyDescent="0.25">
      <c r="A2990" s="417" t="s">
        <v>3385</v>
      </c>
      <c r="B2990" s="417" t="s">
        <v>3405</v>
      </c>
      <c r="C2990" s="417" t="s">
        <v>8418</v>
      </c>
      <c r="D2990" s="417" t="s">
        <v>224</v>
      </c>
      <c r="E2990" s="423">
        <v>0.28725752725998799</v>
      </c>
      <c r="F2990" s="423">
        <v>2.1188024471162491E-2</v>
      </c>
      <c r="G2990" s="422">
        <v>370.89295409575959</v>
      </c>
      <c r="H2990" s="417" t="s">
        <v>2616</v>
      </c>
      <c r="I2990" s="417" t="s">
        <v>1392</v>
      </c>
      <c r="J2990" s="417" t="s">
        <v>7898</v>
      </c>
      <c r="K2990" s="417" t="s">
        <v>8419</v>
      </c>
      <c r="L2990" s="417"/>
      <c r="M2990" s="417" t="s">
        <v>28840</v>
      </c>
    </row>
    <row r="2991" spans="1:13" x14ac:dyDescent="0.25">
      <c r="A2991" s="417" t="s">
        <v>3385</v>
      </c>
      <c r="B2991" s="417" t="s">
        <v>3405</v>
      </c>
      <c r="C2991" s="417" t="s">
        <v>8420</v>
      </c>
      <c r="D2991" s="417" t="s">
        <v>224</v>
      </c>
      <c r="E2991" s="423">
        <v>0.49171783718089379</v>
      </c>
      <c r="F2991" s="423">
        <v>5.336345643040466E-2</v>
      </c>
      <c r="G2991" s="422">
        <v>815.22625618396137</v>
      </c>
      <c r="H2991" s="417" t="s">
        <v>2616</v>
      </c>
      <c r="I2991" s="417" t="s">
        <v>1392</v>
      </c>
      <c r="J2991" s="417" t="s">
        <v>7898</v>
      </c>
      <c r="K2991" s="417" t="s">
        <v>8421</v>
      </c>
      <c r="L2991" s="417"/>
      <c r="M2991" s="417" t="s">
        <v>28840</v>
      </c>
    </row>
    <row r="2992" spans="1:13" x14ac:dyDescent="0.25">
      <c r="A2992" s="417" t="s">
        <v>3385</v>
      </c>
      <c r="B2992" s="417" t="s">
        <v>3405</v>
      </c>
      <c r="C2992" s="417" t="s">
        <v>8422</v>
      </c>
      <c r="D2992" s="417" t="s">
        <v>224</v>
      </c>
      <c r="E2992" s="423">
        <v>0.42423121833330868</v>
      </c>
      <c r="F2992" s="423">
        <v>5.7248783057967857E-2</v>
      </c>
      <c r="G2992" s="422">
        <v>653.22620829933976</v>
      </c>
      <c r="H2992" s="417" t="s">
        <v>2616</v>
      </c>
      <c r="I2992" s="417" t="s">
        <v>1392</v>
      </c>
      <c r="J2992" s="417" t="s">
        <v>7898</v>
      </c>
      <c r="K2992" s="417" t="s">
        <v>8423</v>
      </c>
      <c r="L2992" s="417"/>
      <c r="M2992" s="417" t="s">
        <v>28840</v>
      </c>
    </row>
    <row r="2993" spans="1:13" x14ac:dyDescent="0.25">
      <c r="A2993" s="417" t="s">
        <v>3385</v>
      </c>
      <c r="B2993" s="417" t="s">
        <v>3405</v>
      </c>
      <c r="C2993" s="417" t="s">
        <v>8424</v>
      </c>
      <c r="D2993" s="417" t="s">
        <v>224</v>
      </c>
      <c r="E2993" s="423">
        <v>0.121477432094583</v>
      </c>
      <c r="F2993" s="423">
        <v>9.4190552917694251E-2</v>
      </c>
      <c r="G2993" s="422">
        <v>215.52593691981721</v>
      </c>
      <c r="H2993" s="417" t="s">
        <v>2616</v>
      </c>
      <c r="I2993" s="417" t="s">
        <v>1392</v>
      </c>
      <c r="J2993" s="417" t="s">
        <v>7898</v>
      </c>
      <c r="K2993" s="417" t="s">
        <v>8425</v>
      </c>
      <c r="L2993" s="417"/>
      <c r="M2993" s="417" t="s">
        <v>28840</v>
      </c>
    </row>
    <row r="2994" spans="1:13" x14ac:dyDescent="0.25">
      <c r="A2994" s="417" t="s">
        <v>3385</v>
      </c>
      <c r="B2994" s="417" t="s">
        <v>3405</v>
      </c>
      <c r="C2994" s="417" t="s">
        <v>8426</v>
      </c>
      <c r="D2994" s="417" t="s">
        <v>224</v>
      </c>
      <c r="E2994" s="423">
        <v>0.58754001448370397</v>
      </c>
      <c r="F2994" s="423">
        <v>2.5525284139891538E-3</v>
      </c>
      <c r="G2994" s="422">
        <v>738.28865260040857</v>
      </c>
      <c r="H2994" s="417" t="s">
        <v>2616</v>
      </c>
      <c r="I2994" s="417" t="s">
        <v>1392</v>
      </c>
      <c r="J2994" s="417" t="s">
        <v>7898</v>
      </c>
      <c r="K2994" s="417" t="s">
        <v>8427</v>
      </c>
      <c r="L2994" s="417"/>
      <c r="M2994" s="417" t="s">
        <v>28840</v>
      </c>
    </row>
    <row r="2995" spans="1:13" x14ac:dyDescent="0.25">
      <c r="A2995" s="417" t="s">
        <v>3385</v>
      </c>
      <c r="B2995" s="417" t="s">
        <v>3405</v>
      </c>
      <c r="C2995" s="417" t="s">
        <v>8428</v>
      </c>
      <c r="D2995" s="417" t="s">
        <v>224</v>
      </c>
      <c r="E2995" s="423">
        <v>0.27026703455165102</v>
      </c>
      <c r="F2995" s="423">
        <v>0.1427947099272209</v>
      </c>
      <c r="G2995" s="422">
        <v>570.61831423064575</v>
      </c>
      <c r="H2995" s="417" t="s">
        <v>2616</v>
      </c>
      <c r="I2995" s="417" t="s">
        <v>1392</v>
      </c>
      <c r="J2995" s="417" t="s">
        <v>7898</v>
      </c>
      <c r="K2995" s="417" t="s">
        <v>8429</v>
      </c>
      <c r="L2995" s="417"/>
      <c r="M2995" s="417" t="s">
        <v>28840</v>
      </c>
    </row>
    <row r="2996" spans="1:13" x14ac:dyDescent="0.25">
      <c r="A2996" s="417" t="s">
        <v>3385</v>
      </c>
      <c r="B2996" s="417" t="s">
        <v>3405</v>
      </c>
      <c r="C2996" s="417" t="s">
        <v>8430</v>
      </c>
      <c r="D2996" s="417" t="s">
        <v>224</v>
      </c>
      <c r="E2996" s="423">
        <v>0.4757027412499924</v>
      </c>
      <c r="F2996" s="423">
        <v>1.272745831246154E-3</v>
      </c>
      <c r="G2996" s="422">
        <v>594.64942029855604</v>
      </c>
      <c r="H2996" s="417" t="s">
        <v>2616</v>
      </c>
      <c r="I2996" s="417" t="s">
        <v>1392</v>
      </c>
      <c r="J2996" s="417" t="s">
        <v>7898</v>
      </c>
      <c r="K2996" s="417" t="s">
        <v>8431</v>
      </c>
      <c r="L2996" s="417"/>
      <c r="M2996" s="417" t="s">
        <v>28840</v>
      </c>
    </row>
    <row r="2997" spans="1:13" x14ac:dyDescent="0.25">
      <c r="A2997" s="417" t="s">
        <v>3385</v>
      </c>
      <c r="B2997" s="417" t="s">
        <v>3405</v>
      </c>
      <c r="C2997" s="417" t="s">
        <v>8432</v>
      </c>
      <c r="D2997" s="417" t="s">
        <v>224</v>
      </c>
      <c r="E2997" s="423">
        <v>0.26611314973879102</v>
      </c>
      <c r="F2997" s="423">
        <v>3.3423058371687103E-2</v>
      </c>
      <c r="G2997" s="422">
        <v>536.42293723385069</v>
      </c>
      <c r="H2997" s="417" t="s">
        <v>2616</v>
      </c>
      <c r="I2997" s="417" t="s">
        <v>1392</v>
      </c>
      <c r="J2997" s="417" t="s">
        <v>7898</v>
      </c>
      <c r="K2997" s="417" t="s">
        <v>8433</v>
      </c>
      <c r="L2997" s="417"/>
      <c r="M2997" s="417" t="s">
        <v>28840</v>
      </c>
    </row>
    <row r="2998" spans="1:13" x14ac:dyDescent="0.25">
      <c r="A2998" s="417" t="s">
        <v>3385</v>
      </c>
      <c r="B2998" s="417" t="s">
        <v>3405</v>
      </c>
      <c r="C2998" s="417" t="s">
        <v>8434</v>
      </c>
      <c r="D2998" s="417" t="s">
        <v>224</v>
      </c>
      <c r="E2998" s="423">
        <v>0.20026350954497821</v>
      </c>
      <c r="F2998" s="423">
        <v>1.545717425667279E-2</v>
      </c>
      <c r="G2998" s="422">
        <v>450.50804190380632</v>
      </c>
      <c r="H2998" s="417" t="s">
        <v>2616</v>
      </c>
      <c r="I2998" s="417" t="s">
        <v>1392</v>
      </c>
      <c r="J2998" s="417" t="s">
        <v>7898</v>
      </c>
      <c r="K2998" s="417" t="s">
        <v>8435</v>
      </c>
      <c r="L2998" s="417"/>
      <c r="M2998" s="417" t="s">
        <v>28840</v>
      </c>
    </row>
    <row r="2999" spans="1:13" x14ac:dyDescent="0.25">
      <c r="A2999" s="417" t="s">
        <v>3385</v>
      </c>
      <c r="B2999" s="417" t="s">
        <v>3405</v>
      </c>
      <c r="C2999" s="417" t="s">
        <v>8436</v>
      </c>
      <c r="D2999" s="417" t="s">
        <v>224</v>
      </c>
      <c r="E2999" s="423">
        <v>9.4853421008254495E-3</v>
      </c>
      <c r="F2999" s="423">
        <v>7.0239361132651301E-4</v>
      </c>
      <c r="G2999" s="422">
        <v>33.370815387449618</v>
      </c>
      <c r="H2999" s="417" t="s">
        <v>2616</v>
      </c>
      <c r="I2999" s="417" t="s">
        <v>1392</v>
      </c>
      <c r="J2999" s="417" t="s">
        <v>7898</v>
      </c>
      <c r="K2999" s="417" t="s">
        <v>8437</v>
      </c>
      <c r="L2999" s="417"/>
      <c r="M2999" s="417" t="s">
        <v>28840</v>
      </c>
    </row>
    <row r="3000" spans="1:13" x14ac:dyDescent="0.25">
      <c r="A3000" s="417" t="s">
        <v>3385</v>
      </c>
      <c r="B3000" s="417" t="s">
        <v>3405</v>
      </c>
      <c r="C3000" s="417" t="s">
        <v>8438</v>
      </c>
      <c r="D3000" s="417" t="s">
        <v>224</v>
      </c>
      <c r="E3000" s="423">
        <v>0.11069672505687581</v>
      </c>
      <c r="F3000" s="423">
        <v>8.8897606646934177E-2</v>
      </c>
      <c r="G3000" s="422">
        <v>376.07118955855248</v>
      </c>
      <c r="H3000" s="417" t="s">
        <v>2616</v>
      </c>
      <c r="I3000" s="417" t="s">
        <v>1392</v>
      </c>
      <c r="J3000" s="417" t="s">
        <v>7898</v>
      </c>
      <c r="K3000" s="417" t="s">
        <v>8439</v>
      </c>
      <c r="L3000" s="417"/>
      <c r="M3000" s="417" t="s">
        <v>28840</v>
      </c>
    </row>
    <row r="3001" spans="1:13" x14ac:dyDescent="0.25">
      <c r="A3001" s="417" t="s">
        <v>3385</v>
      </c>
      <c r="B3001" s="417" t="s">
        <v>3405</v>
      </c>
      <c r="C3001" s="417" t="s">
        <v>8440</v>
      </c>
      <c r="D3001" s="417" t="s">
        <v>224</v>
      </c>
      <c r="E3001" s="423">
        <v>6.9036207110134334E-2</v>
      </c>
      <c r="F3001" s="423">
        <v>1.4105631917349089E-2</v>
      </c>
      <c r="G3001" s="422">
        <v>620.35606939138461</v>
      </c>
      <c r="H3001" s="417" t="s">
        <v>2616</v>
      </c>
      <c r="I3001" s="417" t="s">
        <v>1392</v>
      </c>
      <c r="J3001" s="417" t="s">
        <v>7898</v>
      </c>
      <c r="K3001" s="417" t="s">
        <v>8441</v>
      </c>
      <c r="L3001" s="417"/>
      <c r="M3001" s="417" t="s">
        <v>28840</v>
      </c>
    </row>
    <row r="3002" spans="1:13" x14ac:dyDescent="0.25">
      <c r="A3002" s="417" t="s">
        <v>3385</v>
      </c>
      <c r="B3002" s="417" t="s">
        <v>3405</v>
      </c>
      <c r="C3002" s="417" t="s">
        <v>8442</v>
      </c>
      <c r="D3002" s="417" t="s">
        <v>224</v>
      </c>
      <c r="E3002" s="423">
        <v>0.19293716136586039</v>
      </c>
      <c r="F3002" s="423">
        <v>7.0966678883809559E-2</v>
      </c>
      <c r="G3002" s="422">
        <v>402.99384806726272</v>
      </c>
      <c r="H3002" s="417" t="s">
        <v>2616</v>
      </c>
      <c r="I3002" s="417" t="s">
        <v>1392</v>
      </c>
      <c r="J3002" s="417" t="s">
        <v>7898</v>
      </c>
      <c r="K3002" s="417" t="s">
        <v>8443</v>
      </c>
      <c r="L3002" s="417"/>
      <c r="M3002" s="417" t="s">
        <v>28840</v>
      </c>
    </row>
    <row r="3003" spans="1:13" x14ac:dyDescent="0.25">
      <c r="A3003" s="417" t="s">
        <v>3385</v>
      </c>
      <c r="B3003" s="417" t="s">
        <v>3405</v>
      </c>
      <c r="C3003" s="417" t="s">
        <v>8444</v>
      </c>
      <c r="D3003" s="417" t="s">
        <v>224</v>
      </c>
      <c r="E3003" s="423">
        <v>0.56597242512629775</v>
      </c>
      <c r="F3003" s="423">
        <v>1.8495192746933859E-2</v>
      </c>
      <c r="G3003" s="422">
        <v>802.36437718688035</v>
      </c>
      <c r="H3003" s="417" t="s">
        <v>2616</v>
      </c>
      <c r="I3003" s="417" t="s">
        <v>1392</v>
      </c>
      <c r="J3003" s="417" t="s">
        <v>7898</v>
      </c>
      <c r="K3003" s="417" t="s">
        <v>8445</v>
      </c>
      <c r="L3003" s="417"/>
      <c r="M3003" s="417" t="s">
        <v>28840</v>
      </c>
    </row>
    <row r="3004" spans="1:13" x14ac:dyDescent="0.25">
      <c r="A3004" s="417" t="s">
        <v>3385</v>
      </c>
      <c r="B3004" s="417" t="s">
        <v>3405</v>
      </c>
      <c r="C3004" s="417" t="s">
        <v>8446</v>
      </c>
      <c r="D3004" s="417" t="s">
        <v>224</v>
      </c>
      <c r="E3004" s="423">
        <v>0.38968686949493231</v>
      </c>
      <c r="F3004" s="423">
        <v>8.7324019325876485E-3</v>
      </c>
      <c r="G3004" s="422">
        <v>529.45637046706395</v>
      </c>
      <c r="H3004" s="417" t="s">
        <v>2616</v>
      </c>
      <c r="I3004" s="417" t="s">
        <v>1392</v>
      </c>
      <c r="J3004" s="417" t="s">
        <v>7898</v>
      </c>
      <c r="K3004" s="417" t="s">
        <v>8447</v>
      </c>
      <c r="L3004" s="417"/>
      <c r="M3004" s="417" t="s">
        <v>28840</v>
      </c>
    </row>
    <row r="3005" spans="1:13" x14ac:dyDescent="0.25">
      <c r="A3005" s="417" t="s">
        <v>3385</v>
      </c>
      <c r="B3005" s="417" t="s">
        <v>3405</v>
      </c>
      <c r="C3005" s="417" t="s">
        <v>8448</v>
      </c>
      <c r="D3005" s="417" t="s">
        <v>224</v>
      </c>
      <c r="E3005" s="423">
        <v>0.32418520736150352</v>
      </c>
      <c r="F3005" s="423">
        <v>2.9056057703377179E-2</v>
      </c>
      <c r="G3005" s="422">
        <v>470.08151081484868</v>
      </c>
      <c r="H3005" s="417" t="s">
        <v>2616</v>
      </c>
      <c r="I3005" s="417" t="s">
        <v>1392</v>
      </c>
      <c r="J3005" s="417" t="s">
        <v>7898</v>
      </c>
      <c r="K3005" s="417" t="s">
        <v>8449</v>
      </c>
      <c r="L3005" s="417"/>
      <c r="M3005" s="417" t="s">
        <v>28840</v>
      </c>
    </row>
    <row r="3006" spans="1:13" x14ac:dyDescent="0.25">
      <c r="A3006" s="417" t="s">
        <v>3385</v>
      </c>
      <c r="B3006" s="417" t="s">
        <v>3405</v>
      </c>
      <c r="C3006" s="417" t="s">
        <v>8450</v>
      </c>
      <c r="D3006" s="417" t="s">
        <v>224</v>
      </c>
      <c r="E3006" s="423">
        <v>0.24853201663653571</v>
      </c>
      <c r="F3006" s="423">
        <v>3.3419879979309022E-2</v>
      </c>
      <c r="G3006" s="422">
        <v>565.32061774670956</v>
      </c>
      <c r="H3006" s="417" t="s">
        <v>2616</v>
      </c>
      <c r="I3006" s="417" t="s">
        <v>1392</v>
      </c>
      <c r="J3006" s="417" t="s">
        <v>7898</v>
      </c>
      <c r="K3006" s="417" t="s">
        <v>8451</v>
      </c>
      <c r="L3006" s="417"/>
      <c r="M3006" s="417" t="s">
        <v>28840</v>
      </c>
    </row>
    <row r="3007" spans="1:13" x14ac:dyDescent="0.25">
      <c r="A3007" s="417" t="s">
        <v>3385</v>
      </c>
      <c r="B3007" s="417" t="s">
        <v>3405</v>
      </c>
      <c r="C3007" s="417" t="s">
        <v>8452</v>
      </c>
      <c r="D3007" s="417" t="s">
        <v>224</v>
      </c>
      <c r="E3007" s="423">
        <v>0.84912778426798297</v>
      </c>
      <c r="F3007" s="423">
        <v>5.7388282904930303E-2</v>
      </c>
      <c r="G3007" s="422">
        <v>1031.590325841194</v>
      </c>
      <c r="H3007" s="417" t="s">
        <v>2616</v>
      </c>
      <c r="I3007" s="417" t="s">
        <v>1392</v>
      </c>
      <c r="J3007" s="417" t="s">
        <v>7898</v>
      </c>
      <c r="K3007" s="417" t="s">
        <v>8453</v>
      </c>
      <c r="L3007" s="417"/>
      <c r="M3007" s="417" t="s">
        <v>28840</v>
      </c>
    </row>
    <row r="3008" spans="1:13" x14ac:dyDescent="0.25">
      <c r="A3008" s="417" t="s">
        <v>3385</v>
      </c>
      <c r="B3008" s="417" t="s">
        <v>3405</v>
      </c>
      <c r="C3008" s="417" t="s">
        <v>8454</v>
      </c>
      <c r="D3008" s="417" t="s">
        <v>224</v>
      </c>
      <c r="E3008" s="423">
        <v>0.31393752615831338</v>
      </c>
      <c r="F3008" s="423">
        <v>2.0345164769915949E-2</v>
      </c>
      <c r="G3008" s="422">
        <v>428.60198762624452</v>
      </c>
      <c r="H3008" s="417" t="s">
        <v>2616</v>
      </c>
      <c r="I3008" s="417" t="s">
        <v>1392</v>
      </c>
      <c r="J3008" s="417" t="s">
        <v>7898</v>
      </c>
      <c r="K3008" s="417" t="s">
        <v>8455</v>
      </c>
      <c r="L3008" s="417"/>
      <c r="M3008" s="417" t="s">
        <v>28840</v>
      </c>
    </row>
    <row r="3009" spans="1:13" x14ac:dyDescent="0.25">
      <c r="A3009" s="417" t="s">
        <v>3385</v>
      </c>
      <c r="B3009" s="417" t="s">
        <v>3405</v>
      </c>
      <c r="C3009" s="417" t="s">
        <v>8456</v>
      </c>
      <c r="D3009" s="417" t="s">
        <v>224</v>
      </c>
      <c r="E3009" s="423">
        <v>0.56443616411589903</v>
      </c>
      <c r="F3009" s="423">
        <v>1.5568772290133061E-3</v>
      </c>
      <c r="G3009" s="422">
        <v>691.3546771396235</v>
      </c>
      <c r="H3009" s="417" t="s">
        <v>2616</v>
      </c>
      <c r="I3009" s="417" t="s">
        <v>1392</v>
      </c>
      <c r="J3009" s="417" t="s">
        <v>7898</v>
      </c>
      <c r="K3009" s="417" t="s">
        <v>8457</v>
      </c>
      <c r="L3009" s="417"/>
      <c r="M3009" s="417" t="s">
        <v>28840</v>
      </c>
    </row>
    <row r="3010" spans="1:13" x14ac:dyDescent="0.25">
      <c r="A3010" s="417" t="s">
        <v>3385</v>
      </c>
      <c r="B3010" s="417" t="s">
        <v>3405</v>
      </c>
      <c r="C3010" s="417" t="s">
        <v>8458</v>
      </c>
      <c r="D3010" s="417" t="s">
        <v>224</v>
      </c>
      <c r="E3010" s="423">
        <v>0.95075420475779016</v>
      </c>
      <c r="F3010" s="423">
        <v>1.9845112213034029E-2</v>
      </c>
      <c r="G3010" s="422">
        <v>1437.639899292084</v>
      </c>
      <c r="H3010" s="417" t="s">
        <v>2616</v>
      </c>
      <c r="I3010" s="417" t="s">
        <v>1392</v>
      </c>
      <c r="J3010" s="417" t="s">
        <v>7898</v>
      </c>
      <c r="K3010" s="417" t="s">
        <v>8459</v>
      </c>
      <c r="L3010" s="417"/>
      <c r="M3010" s="417" t="s">
        <v>28840</v>
      </c>
    </row>
    <row r="3011" spans="1:13" x14ac:dyDescent="0.25">
      <c r="A3011" s="417" t="s">
        <v>3385</v>
      </c>
      <c r="B3011" s="417" t="s">
        <v>3405</v>
      </c>
      <c r="C3011" s="417" t="s">
        <v>8460</v>
      </c>
      <c r="D3011" s="417" t="s">
        <v>224</v>
      </c>
      <c r="E3011" s="423">
        <v>0.70563875624756689</v>
      </c>
      <c r="F3011" s="423">
        <v>2.325565890614013E-3</v>
      </c>
      <c r="G3011" s="422">
        <v>933.57060305186212</v>
      </c>
      <c r="H3011" s="417" t="s">
        <v>2616</v>
      </c>
      <c r="I3011" s="417" t="s">
        <v>1392</v>
      </c>
      <c r="J3011" s="417" t="s">
        <v>7898</v>
      </c>
      <c r="K3011" s="417" t="s">
        <v>8461</v>
      </c>
      <c r="L3011" s="417"/>
      <c r="M3011" s="417" t="s">
        <v>28840</v>
      </c>
    </row>
    <row r="3012" spans="1:13" x14ac:dyDescent="0.25">
      <c r="A3012" s="417" t="s">
        <v>3385</v>
      </c>
      <c r="B3012" s="417" t="s">
        <v>3405</v>
      </c>
      <c r="C3012" s="417" t="s">
        <v>8462</v>
      </c>
      <c r="D3012" s="417" t="s">
        <v>224</v>
      </c>
      <c r="E3012" s="423">
        <v>0.53869174479281801</v>
      </c>
      <c r="F3012" s="423">
        <v>2.6392974376014101E-3</v>
      </c>
      <c r="G3012" s="422">
        <v>693.45422480808213</v>
      </c>
      <c r="H3012" s="417" t="s">
        <v>2616</v>
      </c>
      <c r="I3012" s="417" t="s">
        <v>1392</v>
      </c>
      <c r="J3012" s="417" t="s">
        <v>7898</v>
      </c>
      <c r="K3012" s="417" t="s">
        <v>8463</v>
      </c>
      <c r="L3012" s="417"/>
      <c r="M3012" s="417" t="s">
        <v>28840</v>
      </c>
    </row>
    <row r="3013" spans="1:13" x14ac:dyDescent="0.25">
      <c r="A3013" s="417" t="s">
        <v>3385</v>
      </c>
      <c r="B3013" s="417" t="s">
        <v>3405</v>
      </c>
      <c r="C3013" s="417" t="s">
        <v>8464</v>
      </c>
      <c r="D3013" s="417" t="s">
        <v>224</v>
      </c>
      <c r="E3013" s="423">
        <v>3.0026028330803829E-2</v>
      </c>
      <c r="F3013" s="423">
        <v>3.063813298873118E-5</v>
      </c>
      <c r="G3013" s="422">
        <v>39.498185444634572</v>
      </c>
      <c r="H3013" s="417" t="s">
        <v>2616</v>
      </c>
      <c r="I3013" s="417" t="s">
        <v>1392</v>
      </c>
      <c r="J3013" s="417" t="s">
        <v>7898</v>
      </c>
      <c r="K3013" s="417" t="s">
        <v>8465</v>
      </c>
      <c r="L3013" s="417"/>
      <c r="M3013" s="417" t="s">
        <v>28840</v>
      </c>
    </row>
    <row r="3014" spans="1:13" x14ac:dyDescent="0.25">
      <c r="A3014" s="417" t="s">
        <v>3385</v>
      </c>
      <c r="B3014" s="417" t="s">
        <v>3405</v>
      </c>
      <c r="C3014" s="417" t="s">
        <v>8466</v>
      </c>
      <c r="D3014" s="417" t="s">
        <v>224</v>
      </c>
      <c r="E3014" s="423">
        <v>0.32030186939449451</v>
      </c>
      <c r="F3014" s="423">
        <v>3.6021359654655007E-2</v>
      </c>
      <c r="G3014" s="422">
        <v>460.72899179734782</v>
      </c>
      <c r="H3014" s="417" t="s">
        <v>2616</v>
      </c>
      <c r="I3014" s="417" t="s">
        <v>1392</v>
      </c>
      <c r="J3014" s="417" t="s">
        <v>7898</v>
      </c>
      <c r="K3014" s="417" t="s">
        <v>8467</v>
      </c>
      <c r="L3014" s="417"/>
      <c r="M3014" s="417" t="s">
        <v>28840</v>
      </c>
    </row>
    <row r="3015" spans="1:13" x14ac:dyDescent="0.25">
      <c r="A3015" s="417" t="s">
        <v>3385</v>
      </c>
      <c r="B3015" s="417" t="s">
        <v>3405</v>
      </c>
      <c r="C3015" s="417" t="s">
        <v>8468</v>
      </c>
      <c r="D3015" s="417" t="s">
        <v>224</v>
      </c>
      <c r="E3015" s="423">
        <v>0.5622500004090567</v>
      </c>
      <c r="F3015" s="423">
        <v>3.2818971797683859E-2</v>
      </c>
      <c r="G3015" s="422">
        <v>784.30691900642773</v>
      </c>
      <c r="H3015" s="417" t="s">
        <v>2616</v>
      </c>
      <c r="I3015" s="417" t="s">
        <v>1392</v>
      </c>
      <c r="J3015" s="417" t="s">
        <v>7898</v>
      </c>
      <c r="K3015" s="417" t="s">
        <v>8469</v>
      </c>
      <c r="L3015" s="417"/>
      <c r="M3015" s="417" t="s">
        <v>28840</v>
      </c>
    </row>
    <row r="3016" spans="1:13" x14ac:dyDescent="0.25">
      <c r="A3016" s="417" t="s">
        <v>3385</v>
      </c>
      <c r="B3016" s="417" t="s">
        <v>3405</v>
      </c>
      <c r="C3016" s="417" t="s">
        <v>8470</v>
      </c>
      <c r="D3016" s="417" t="s">
        <v>224</v>
      </c>
      <c r="E3016" s="423">
        <v>0.55255164863564687</v>
      </c>
      <c r="F3016" s="423">
        <v>1.4548490158717609E-2</v>
      </c>
      <c r="G3016" s="422">
        <v>879.48239890301738</v>
      </c>
      <c r="H3016" s="417" t="s">
        <v>2616</v>
      </c>
      <c r="I3016" s="417" t="s">
        <v>1392</v>
      </c>
      <c r="J3016" s="417" t="s">
        <v>7898</v>
      </c>
      <c r="K3016" s="417" t="s">
        <v>8471</v>
      </c>
      <c r="L3016" s="417"/>
      <c r="M3016" s="417" t="s">
        <v>28840</v>
      </c>
    </row>
    <row r="3017" spans="1:13" x14ac:dyDescent="0.25">
      <c r="A3017" s="417" t="s">
        <v>3385</v>
      </c>
      <c r="B3017" s="417" t="s">
        <v>3405</v>
      </c>
      <c r="C3017" s="417" t="s">
        <v>8472</v>
      </c>
      <c r="D3017" s="417" t="s">
        <v>224</v>
      </c>
      <c r="E3017" s="423">
        <v>0.84894938563204558</v>
      </c>
      <c r="F3017" s="423">
        <v>2.5113343466789131E-3</v>
      </c>
      <c r="G3017" s="422">
        <v>1125.83019557591</v>
      </c>
      <c r="H3017" s="417" t="s">
        <v>2616</v>
      </c>
      <c r="I3017" s="417" t="s">
        <v>1392</v>
      </c>
      <c r="J3017" s="417" t="s">
        <v>7898</v>
      </c>
      <c r="K3017" s="417" t="s">
        <v>8473</v>
      </c>
      <c r="L3017" s="417"/>
      <c r="M3017" s="417" t="s">
        <v>28840</v>
      </c>
    </row>
    <row r="3018" spans="1:13" x14ac:dyDescent="0.25">
      <c r="A3018" s="417" t="s">
        <v>3385</v>
      </c>
      <c r="B3018" s="417" t="s">
        <v>3405</v>
      </c>
      <c r="C3018" s="417" t="s">
        <v>8474</v>
      </c>
      <c r="D3018" s="417" t="s">
        <v>224</v>
      </c>
      <c r="E3018" s="423">
        <v>0.18609129597939139</v>
      </c>
      <c r="F3018" s="423">
        <v>4.9267817952044053E-2</v>
      </c>
      <c r="G3018" s="422">
        <v>334.87646846585801</v>
      </c>
      <c r="H3018" s="417" t="s">
        <v>2616</v>
      </c>
      <c r="I3018" s="417" t="s">
        <v>1392</v>
      </c>
      <c r="J3018" s="417" t="s">
        <v>7898</v>
      </c>
      <c r="K3018" s="417" t="s">
        <v>8475</v>
      </c>
      <c r="L3018" s="417"/>
      <c r="M3018" s="417" t="s">
        <v>28840</v>
      </c>
    </row>
    <row r="3019" spans="1:13" x14ac:dyDescent="0.25">
      <c r="A3019" s="417" t="s">
        <v>3385</v>
      </c>
      <c r="B3019" s="417" t="s">
        <v>3405</v>
      </c>
      <c r="C3019" s="417" t="s">
        <v>8476</v>
      </c>
      <c r="D3019" s="417" t="s">
        <v>224</v>
      </c>
      <c r="E3019" s="423">
        <v>0.34668853032931018</v>
      </c>
      <c r="F3019" s="423">
        <v>6.2749940883140787E-2</v>
      </c>
      <c r="G3019" s="422">
        <v>596.37197879895939</v>
      </c>
      <c r="H3019" s="417" t="s">
        <v>2616</v>
      </c>
      <c r="I3019" s="417" t="s">
        <v>1392</v>
      </c>
      <c r="J3019" s="417" t="s">
        <v>7898</v>
      </c>
      <c r="K3019" s="417" t="s">
        <v>8477</v>
      </c>
      <c r="L3019" s="417"/>
      <c r="M3019" s="417" t="s">
        <v>28840</v>
      </c>
    </row>
    <row r="3020" spans="1:13" x14ac:dyDescent="0.25">
      <c r="A3020" s="417" t="s">
        <v>3385</v>
      </c>
      <c r="B3020" s="417" t="s">
        <v>3405</v>
      </c>
      <c r="C3020" s="417" t="s">
        <v>8478</v>
      </c>
      <c r="D3020" s="417" t="s">
        <v>224</v>
      </c>
      <c r="E3020" s="423">
        <v>0.19220319434300009</v>
      </c>
      <c r="F3020" s="423">
        <v>9.2542741002087245E-2</v>
      </c>
      <c r="G3020" s="422">
        <v>340.74716490185563</v>
      </c>
      <c r="H3020" s="417" t="s">
        <v>2616</v>
      </c>
      <c r="I3020" s="417" t="s">
        <v>1392</v>
      </c>
      <c r="J3020" s="417" t="s">
        <v>7898</v>
      </c>
      <c r="K3020" s="417" t="s">
        <v>8479</v>
      </c>
      <c r="L3020" s="417"/>
      <c r="M3020" s="417" t="s">
        <v>28840</v>
      </c>
    </row>
    <row r="3021" spans="1:13" x14ac:dyDescent="0.25">
      <c r="A3021" s="417" t="s">
        <v>3385</v>
      </c>
      <c r="B3021" s="417" t="s">
        <v>3405</v>
      </c>
      <c r="C3021" s="417" t="s">
        <v>8480</v>
      </c>
      <c r="D3021" s="417" t="s">
        <v>224</v>
      </c>
      <c r="E3021" s="423">
        <v>0.81921206649056977</v>
      </c>
      <c r="F3021" s="423">
        <v>2.8490264863605332E-3</v>
      </c>
      <c r="G3021" s="422">
        <v>980.82131833426058</v>
      </c>
      <c r="H3021" s="417" t="s">
        <v>2616</v>
      </c>
      <c r="I3021" s="417" t="s">
        <v>1392</v>
      </c>
      <c r="J3021" s="417" t="s">
        <v>7898</v>
      </c>
      <c r="K3021" s="417" t="s">
        <v>8481</v>
      </c>
      <c r="L3021" s="417"/>
      <c r="M3021" s="417" t="s">
        <v>28840</v>
      </c>
    </row>
    <row r="3022" spans="1:13" x14ac:dyDescent="0.25">
      <c r="A3022" s="417" t="s">
        <v>3385</v>
      </c>
      <c r="B3022" s="417" t="s">
        <v>3405</v>
      </c>
      <c r="C3022" s="417" t="s">
        <v>8482</v>
      </c>
      <c r="D3022" s="417" t="s">
        <v>224</v>
      </c>
      <c r="E3022" s="423">
        <v>0.62236725056637299</v>
      </c>
      <c r="F3022" s="423">
        <v>1.2420185093799109E-2</v>
      </c>
      <c r="G3022" s="422">
        <v>964.90067356712439</v>
      </c>
      <c r="H3022" s="417" t="s">
        <v>2616</v>
      </c>
      <c r="I3022" s="417" t="s">
        <v>1392</v>
      </c>
      <c r="J3022" s="417" t="s">
        <v>7898</v>
      </c>
      <c r="K3022" s="417" t="s">
        <v>8483</v>
      </c>
      <c r="L3022" s="417"/>
      <c r="M3022" s="417" t="s">
        <v>28840</v>
      </c>
    </row>
    <row r="3023" spans="1:13" x14ac:dyDescent="0.25">
      <c r="A3023" s="417" t="s">
        <v>3385</v>
      </c>
      <c r="B3023" s="417" t="s">
        <v>3405</v>
      </c>
      <c r="C3023" s="417" t="s">
        <v>8484</v>
      </c>
      <c r="D3023" s="417" t="s">
        <v>224</v>
      </c>
      <c r="E3023" s="423">
        <v>0.53751890795449619</v>
      </c>
      <c r="F3023" s="423">
        <v>9.3884268733870988E-3</v>
      </c>
      <c r="G3023" s="422">
        <v>723.35301199034723</v>
      </c>
      <c r="H3023" s="417" t="s">
        <v>2616</v>
      </c>
      <c r="I3023" s="417" t="s">
        <v>1392</v>
      </c>
      <c r="J3023" s="417" t="s">
        <v>7898</v>
      </c>
      <c r="K3023" s="417" t="s">
        <v>8485</v>
      </c>
      <c r="L3023" s="417"/>
      <c r="M3023" s="417" t="s">
        <v>28840</v>
      </c>
    </row>
    <row r="3024" spans="1:13" x14ac:dyDescent="0.25">
      <c r="A3024" s="417" t="s">
        <v>3385</v>
      </c>
      <c r="B3024" s="417" t="s">
        <v>3405</v>
      </c>
      <c r="C3024" s="417" t="s">
        <v>8486</v>
      </c>
      <c r="D3024" s="417" t="s">
        <v>224</v>
      </c>
      <c r="E3024" s="423">
        <v>0.75360395743411213</v>
      </c>
      <c r="F3024" s="423">
        <v>7.7760178536648E-3</v>
      </c>
      <c r="G3024" s="422">
        <v>928.80688878639239</v>
      </c>
      <c r="H3024" s="417" t="s">
        <v>2616</v>
      </c>
      <c r="I3024" s="417" t="s">
        <v>1392</v>
      </c>
      <c r="J3024" s="417" t="s">
        <v>7898</v>
      </c>
      <c r="K3024" s="417" t="s">
        <v>8487</v>
      </c>
      <c r="L3024" s="417"/>
      <c r="M3024" s="417" t="s">
        <v>28840</v>
      </c>
    </row>
    <row r="3025" spans="1:13" x14ac:dyDescent="0.25">
      <c r="A3025" s="417" t="s">
        <v>3385</v>
      </c>
      <c r="B3025" s="417" t="s">
        <v>3405</v>
      </c>
      <c r="C3025" s="417" t="s">
        <v>8488</v>
      </c>
      <c r="D3025" s="417" t="s">
        <v>224</v>
      </c>
      <c r="E3025" s="423">
        <v>0.45988735732422642</v>
      </c>
      <c r="F3025" s="423">
        <v>2.1045511027341672E-3</v>
      </c>
      <c r="G3025" s="422">
        <v>581.79741155072986</v>
      </c>
      <c r="H3025" s="417" t="s">
        <v>2616</v>
      </c>
      <c r="I3025" s="417" t="s">
        <v>1392</v>
      </c>
      <c r="J3025" s="417" t="s">
        <v>7898</v>
      </c>
      <c r="K3025" s="417" t="s">
        <v>8489</v>
      </c>
      <c r="L3025" s="417"/>
      <c r="M3025" s="417" t="s">
        <v>28840</v>
      </c>
    </row>
    <row r="3026" spans="1:13" x14ac:dyDescent="0.25">
      <c r="A3026" s="417" t="s">
        <v>3385</v>
      </c>
      <c r="B3026" s="417" t="s">
        <v>3405</v>
      </c>
      <c r="C3026" s="417" t="s">
        <v>8490</v>
      </c>
      <c r="D3026" s="417" t="s">
        <v>224</v>
      </c>
      <c r="E3026" s="423">
        <v>0.27767869593866013</v>
      </c>
      <c r="F3026" s="423">
        <v>4.2153485388920102E-2</v>
      </c>
      <c r="G3026" s="422">
        <v>395.34532016553362</v>
      </c>
      <c r="H3026" s="417" t="s">
        <v>2616</v>
      </c>
      <c r="I3026" s="417" t="s">
        <v>1392</v>
      </c>
      <c r="J3026" s="417" t="s">
        <v>7898</v>
      </c>
      <c r="K3026" s="417" t="s">
        <v>8491</v>
      </c>
      <c r="L3026" s="417"/>
      <c r="M3026" s="417" t="s">
        <v>28840</v>
      </c>
    </row>
    <row r="3027" spans="1:13" x14ac:dyDescent="0.25">
      <c r="A3027" s="417" t="s">
        <v>3385</v>
      </c>
      <c r="B3027" s="417" t="s">
        <v>3405</v>
      </c>
      <c r="C3027" s="417" t="s">
        <v>8492</v>
      </c>
      <c r="D3027" s="417" t="s">
        <v>224</v>
      </c>
      <c r="E3027" s="423">
        <v>4.9970745504026463E-2</v>
      </c>
      <c r="F3027" s="423">
        <v>5.2829575100807134E-3</v>
      </c>
      <c r="G3027" s="422">
        <v>80.538385422706668</v>
      </c>
      <c r="H3027" s="417" t="s">
        <v>2616</v>
      </c>
      <c r="I3027" s="417" t="s">
        <v>1392</v>
      </c>
      <c r="J3027" s="417" t="s">
        <v>7898</v>
      </c>
      <c r="K3027" s="417" t="s">
        <v>8493</v>
      </c>
      <c r="L3027" s="417"/>
      <c r="M3027" s="417" t="s">
        <v>28840</v>
      </c>
    </row>
    <row r="3028" spans="1:13" x14ac:dyDescent="0.25">
      <c r="A3028" s="417" t="s">
        <v>3385</v>
      </c>
      <c r="B3028" s="417" t="s">
        <v>3405</v>
      </c>
      <c r="C3028" s="417" t="s">
        <v>8494</v>
      </c>
      <c r="D3028" s="417" t="s">
        <v>224</v>
      </c>
      <c r="E3028" s="423">
        <v>0.1169220880484491</v>
      </c>
      <c r="F3028" s="423">
        <v>1.271479291544454E-2</v>
      </c>
      <c r="G3028" s="422">
        <v>218.91298191261461</v>
      </c>
      <c r="H3028" s="417" t="s">
        <v>2616</v>
      </c>
      <c r="I3028" s="417" t="s">
        <v>1392</v>
      </c>
      <c r="J3028" s="417" t="s">
        <v>7898</v>
      </c>
      <c r="K3028" s="417" t="s">
        <v>8495</v>
      </c>
      <c r="L3028" s="417"/>
      <c r="M3028" s="417" t="s">
        <v>28840</v>
      </c>
    </row>
    <row r="3029" spans="1:13" x14ac:dyDescent="0.25">
      <c r="A3029" s="417" t="s">
        <v>3385</v>
      </c>
      <c r="B3029" s="417" t="s">
        <v>3405</v>
      </c>
      <c r="C3029" s="417" t="s">
        <v>8496</v>
      </c>
      <c r="D3029" s="417" t="s">
        <v>224</v>
      </c>
      <c r="E3029" s="423">
        <v>0.26893983364912721</v>
      </c>
      <c r="F3029" s="423">
        <v>8.5627522967010577E-3</v>
      </c>
      <c r="G3029" s="422">
        <v>346.89862264344362</v>
      </c>
      <c r="H3029" s="417" t="s">
        <v>2616</v>
      </c>
      <c r="I3029" s="417" t="s">
        <v>1392</v>
      </c>
      <c r="J3029" s="417" t="s">
        <v>7898</v>
      </c>
      <c r="K3029" s="417" t="s">
        <v>8497</v>
      </c>
      <c r="L3029" s="417"/>
      <c r="M3029" s="417" t="s">
        <v>28840</v>
      </c>
    </row>
    <row r="3030" spans="1:13" x14ac:dyDescent="0.25">
      <c r="A3030" s="417" t="s">
        <v>3385</v>
      </c>
      <c r="B3030" s="417" t="s">
        <v>3405</v>
      </c>
      <c r="C3030" s="417" t="s">
        <v>8498</v>
      </c>
      <c r="D3030" s="417" t="s">
        <v>224</v>
      </c>
      <c r="E3030" s="423">
        <v>0.80075174213495859</v>
      </c>
      <c r="F3030" s="423">
        <v>1.145959192384733E-2</v>
      </c>
      <c r="G3030" s="422">
        <v>968.51412562813755</v>
      </c>
      <c r="H3030" s="417" t="s">
        <v>2616</v>
      </c>
      <c r="I3030" s="417" t="s">
        <v>1392</v>
      </c>
      <c r="J3030" s="417" t="s">
        <v>7898</v>
      </c>
      <c r="K3030" s="417" t="s">
        <v>8499</v>
      </c>
      <c r="L3030" s="417"/>
      <c r="M3030" s="417" t="s">
        <v>28840</v>
      </c>
    </row>
    <row r="3031" spans="1:13" x14ac:dyDescent="0.25">
      <c r="A3031" s="417" t="s">
        <v>3385</v>
      </c>
      <c r="B3031" s="417" t="s">
        <v>3405</v>
      </c>
      <c r="C3031" s="417" t="s">
        <v>8500</v>
      </c>
      <c r="D3031" s="417" t="s">
        <v>224</v>
      </c>
      <c r="E3031" s="423">
        <v>0.52696722324075695</v>
      </c>
      <c r="F3031" s="423">
        <v>1.1279082672902899E-2</v>
      </c>
      <c r="G3031" s="422">
        <v>803.67659126607271</v>
      </c>
      <c r="H3031" s="417" t="s">
        <v>2616</v>
      </c>
      <c r="I3031" s="417" t="s">
        <v>1392</v>
      </c>
      <c r="J3031" s="417" t="s">
        <v>7898</v>
      </c>
      <c r="K3031" s="417" t="s">
        <v>8501</v>
      </c>
      <c r="L3031" s="417"/>
      <c r="M3031" s="417" t="s">
        <v>28840</v>
      </c>
    </row>
    <row r="3032" spans="1:13" x14ac:dyDescent="0.25">
      <c r="A3032" s="417" t="s">
        <v>3385</v>
      </c>
      <c r="B3032" s="417" t="s">
        <v>3405</v>
      </c>
      <c r="C3032" s="417" t="s">
        <v>8502</v>
      </c>
      <c r="D3032" s="417" t="s">
        <v>224</v>
      </c>
      <c r="E3032" s="423">
        <v>0.71947012155142143</v>
      </c>
      <c r="F3032" s="423">
        <v>3.8995962034691772E-2</v>
      </c>
      <c r="G3032" s="422">
        <v>934.08087728034616</v>
      </c>
      <c r="H3032" s="417" t="s">
        <v>2616</v>
      </c>
      <c r="I3032" s="417" t="s">
        <v>1392</v>
      </c>
      <c r="J3032" s="417" t="s">
        <v>7898</v>
      </c>
      <c r="K3032" s="417" t="s">
        <v>8503</v>
      </c>
      <c r="L3032" s="417"/>
      <c r="M3032" s="417" t="s">
        <v>28840</v>
      </c>
    </row>
    <row r="3033" spans="1:13" x14ac:dyDescent="0.25">
      <c r="A3033" s="417" t="s">
        <v>3385</v>
      </c>
      <c r="B3033" s="417" t="s">
        <v>3405</v>
      </c>
      <c r="C3033" s="417" t="s">
        <v>8504</v>
      </c>
      <c r="D3033" s="417" t="s">
        <v>224</v>
      </c>
      <c r="E3033" s="423">
        <v>0.18039683679958621</v>
      </c>
      <c r="F3033" s="423">
        <v>4.5823562781425443E-2</v>
      </c>
      <c r="G3033" s="422">
        <v>303.35694301937178</v>
      </c>
      <c r="H3033" s="417" t="s">
        <v>2616</v>
      </c>
      <c r="I3033" s="417" t="s">
        <v>1392</v>
      </c>
      <c r="J3033" s="417" t="s">
        <v>7898</v>
      </c>
      <c r="K3033" s="417" t="s">
        <v>8505</v>
      </c>
      <c r="L3033" s="417"/>
      <c r="M3033" s="417" t="s">
        <v>28840</v>
      </c>
    </row>
    <row r="3034" spans="1:13" x14ac:dyDescent="0.25">
      <c r="A3034" s="417" t="s">
        <v>3385</v>
      </c>
      <c r="B3034" s="417" t="s">
        <v>3405</v>
      </c>
      <c r="C3034" s="417" t="s">
        <v>8506</v>
      </c>
      <c r="D3034" s="417" t="s">
        <v>224</v>
      </c>
      <c r="E3034" s="423">
        <v>0.50611408578211292</v>
      </c>
      <c r="F3034" s="423">
        <v>1.2282831060358411E-3</v>
      </c>
      <c r="G3034" s="422">
        <v>622.05210639895961</v>
      </c>
      <c r="H3034" s="417" t="s">
        <v>2616</v>
      </c>
      <c r="I3034" s="417" t="s">
        <v>1392</v>
      </c>
      <c r="J3034" s="417" t="s">
        <v>7898</v>
      </c>
      <c r="K3034" s="417" t="s">
        <v>8507</v>
      </c>
      <c r="L3034" s="417"/>
      <c r="M3034" s="417" t="s">
        <v>28840</v>
      </c>
    </row>
    <row r="3035" spans="1:13" x14ac:dyDescent="0.25">
      <c r="A3035" s="417" t="s">
        <v>3385</v>
      </c>
      <c r="B3035" s="417" t="s">
        <v>3405</v>
      </c>
      <c r="C3035" s="417" t="s">
        <v>8508</v>
      </c>
      <c r="D3035" s="417" t="s">
        <v>224</v>
      </c>
      <c r="E3035" s="423">
        <v>0.68124962502071273</v>
      </c>
      <c r="F3035" s="423">
        <v>2.8899679233356759E-3</v>
      </c>
      <c r="G3035" s="422">
        <v>832.3014653112474</v>
      </c>
      <c r="H3035" s="417" t="s">
        <v>2616</v>
      </c>
      <c r="I3035" s="417" t="s">
        <v>1392</v>
      </c>
      <c r="J3035" s="417" t="s">
        <v>7898</v>
      </c>
      <c r="K3035" s="417" t="s">
        <v>8509</v>
      </c>
      <c r="L3035" s="417"/>
      <c r="M3035" s="417" t="s">
        <v>28840</v>
      </c>
    </row>
    <row r="3036" spans="1:13" x14ac:dyDescent="0.25">
      <c r="A3036" s="417" t="s">
        <v>3385</v>
      </c>
      <c r="B3036" s="417" t="s">
        <v>3405</v>
      </c>
      <c r="C3036" s="417" t="s">
        <v>8510</v>
      </c>
      <c r="D3036" s="417" t="s">
        <v>224</v>
      </c>
      <c r="E3036" s="423">
        <v>0.71610781711571747</v>
      </c>
      <c r="F3036" s="423">
        <v>1.8345578947173601E-2</v>
      </c>
      <c r="G3036" s="422">
        <v>971.1713324230393</v>
      </c>
      <c r="H3036" s="417" t="s">
        <v>2616</v>
      </c>
      <c r="I3036" s="417" t="s">
        <v>1392</v>
      </c>
      <c r="J3036" s="417" t="s">
        <v>7898</v>
      </c>
      <c r="K3036" s="417" t="s">
        <v>8511</v>
      </c>
      <c r="L3036" s="417"/>
      <c r="M3036" s="417" t="s">
        <v>28840</v>
      </c>
    </row>
    <row r="3037" spans="1:13" x14ac:dyDescent="0.25">
      <c r="A3037" s="417" t="s">
        <v>3385</v>
      </c>
      <c r="B3037" s="417" t="s">
        <v>3405</v>
      </c>
      <c r="C3037" s="417" t="s">
        <v>8512</v>
      </c>
      <c r="D3037" s="417" t="s">
        <v>224</v>
      </c>
      <c r="E3037" s="423">
        <v>0.31198008006512162</v>
      </c>
      <c r="F3037" s="423">
        <v>2.7974410971614891E-2</v>
      </c>
      <c r="G3037" s="422">
        <v>577.25817744975427</v>
      </c>
      <c r="H3037" s="417" t="s">
        <v>2616</v>
      </c>
      <c r="I3037" s="417" t="s">
        <v>1392</v>
      </c>
      <c r="J3037" s="417" t="s">
        <v>7898</v>
      </c>
      <c r="K3037" s="417" t="s">
        <v>8513</v>
      </c>
      <c r="L3037" s="417"/>
      <c r="M3037" s="417" t="s">
        <v>28840</v>
      </c>
    </row>
    <row r="3038" spans="1:13" x14ac:dyDescent="0.25">
      <c r="A3038" s="417" t="s">
        <v>3385</v>
      </c>
      <c r="B3038" s="417" t="s">
        <v>3405</v>
      </c>
      <c r="C3038" s="417" t="s">
        <v>8514</v>
      </c>
      <c r="D3038" s="417" t="s">
        <v>224</v>
      </c>
      <c r="E3038" s="423">
        <v>0.26506217621821532</v>
      </c>
      <c r="F3038" s="423">
        <v>4.1177519740931007E-2</v>
      </c>
      <c r="G3038" s="422">
        <v>377.1317687000614</v>
      </c>
      <c r="H3038" s="417" t="s">
        <v>2616</v>
      </c>
      <c r="I3038" s="417" t="s">
        <v>1392</v>
      </c>
      <c r="J3038" s="417" t="s">
        <v>7898</v>
      </c>
      <c r="K3038" s="417" t="s">
        <v>8515</v>
      </c>
      <c r="L3038" s="417"/>
      <c r="M3038" s="417" t="s">
        <v>28840</v>
      </c>
    </row>
    <row r="3039" spans="1:13" x14ac:dyDescent="0.25">
      <c r="A3039" s="417" t="s">
        <v>3385</v>
      </c>
      <c r="B3039" s="417" t="s">
        <v>3405</v>
      </c>
      <c r="C3039" s="417" t="s">
        <v>8516</v>
      </c>
      <c r="D3039" s="417" t="s">
        <v>224</v>
      </c>
      <c r="E3039" s="423">
        <v>0.60619601014808699</v>
      </c>
      <c r="F3039" s="423">
        <v>2.174989216553418E-3</v>
      </c>
      <c r="G3039" s="422">
        <v>806.59141515765873</v>
      </c>
      <c r="H3039" s="417" t="s">
        <v>2616</v>
      </c>
      <c r="I3039" s="417" t="s">
        <v>1392</v>
      </c>
      <c r="J3039" s="417" t="s">
        <v>7898</v>
      </c>
      <c r="K3039" s="417" t="s">
        <v>8517</v>
      </c>
      <c r="L3039" s="417"/>
      <c r="M3039" s="417" t="s">
        <v>28840</v>
      </c>
    </row>
    <row r="3040" spans="1:13" x14ac:dyDescent="0.25">
      <c r="A3040" s="417" t="s">
        <v>3385</v>
      </c>
      <c r="B3040" s="417" t="s">
        <v>3405</v>
      </c>
      <c r="C3040" s="417" t="s">
        <v>8518</v>
      </c>
      <c r="D3040" s="417" t="s">
        <v>224</v>
      </c>
      <c r="E3040" s="423">
        <v>0.38373090805188992</v>
      </c>
      <c r="F3040" s="423">
        <v>9.2902219460640253E-3</v>
      </c>
      <c r="G3040" s="422">
        <v>587.72360035907161</v>
      </c>
      <c r="H3040" s="417" t="s">
        <v>2616</v>
      </c>
      <c r="I3040" s="417" t="s">
        <v>1392</v>
      </c>
      <c r="J3040" s="417" t="s">
        <v>7898</v>
      </c>
      <c r="K3040" s="417" t="s">
        <v>8519</v>
      </c>
      <c r="L3040" s="417"/>
      <c r="M3040" s="417" t="s">
        <v>28840</v>
      </c>
    </row>
    <row r="3041" spans="1:13" x14ac:dyDescent="0.25">
      <c r="A3041" s="417" t="s">
        <v>3385</v>
      </c>
      <c r="B3041" s="417" t="s">
        <v>3405</v>
      </c>
      <c r="C3041" s="417" t="s">
        <v>8520</v>
      </c>
      <c r="D3041" s="417" t="s">
        <v>224</v>
      </c>
      <c r="E3041" s="423">
        <v>0.30221886440173562</v>
      </c>
      <c r="F3041" s="423">
        <v>8.0704098383162122E-3</v>
      </c>
      <c r="G3041" s="422">
        <v>536.89617119509808</v>
      </c>
      <c r="H3041" s="417" t="s">
        <v>2616</v>
      </c>
      <c r="I3041" s="417" t="s">
        <v>1392</v>
      </c>
      <c r="J3041" s="417" t="s">
        <v>7898</v>
      </c>
      <c r="K3041" s="417" t="s">
        <v>8521</v>
      </c>
      <c r="L3041" s="417"/>
      <c r="M3041" s="417" t="s">
        <v>28840</v>
      </c>
    </row>
    <row r="3042" spans="1:13" x14ac:dyDescent="0.25">
      <c r="A3042" s="417" t="s">
        <v>3385</v>
      </c>
      <c r="B3042" s="417" t="s">
        <v>3405</v>
      </c>
      <c r="C3042" s="417" t="s">
        <v>8522</v>
      </c>
      <c r="D3042" s="417" t="s">
        <v>224</v>
      </c>
      <c r="E3042" s="423">
        <v>0.75734124867158714</v>
      </c>
      <c r="F3042" s="423">
        <v>7.5684745889374183E-3</v>
      </c>
      <c r="G3042" s="422">
        <v>1045.789792909168</v>
      </c>
      <c r="H3042" s="417" t="s">
        <v>2616</v>
      </c>
      <c r="I3042" s="417" t="s">
        <v>1392</v>
      </c>
      <c r="J3042" s="417" t="s">
        <v>7898</v>
      </c>
      <c r="K3042" s="417" t="s">
        <v>8523</v>
      </c>
      <c r="L3042" s="417"/>
      <c r="M3042" s="417" t="s">
        <v>28840</v>
      </c>
    </row>
    <row r="3043" spans="1:13" x14ac:dyDescent="0.25">
      <c r="A3043" s="417" t="s">
        <v>3385</v>
      </c>
      <c r="B3043" s="417" t="s">
        <v>3405</v>
      </c>
      <c r="C3043" s="417" t="s">
        <v>8524</v>
      </c>
      <c r="D3043" s="417" t="s">
        <v>224</v>
      </c>
      <c r="E3043" s="423">
        <v>0.46538666939294038</v>
      </c>
      <c r="F3043" s="423">
        <v>2.5423003430464042E-3</v>
      </c>
      <c r="G3043" s="422">
        <v>730.18619025577789</v>
      </c>
      <c r="H3043" s="417" t="s">
        <v>2616</v>
      </c>
      <c r="I3043" s="417" t="s">
        <v>1392</v>
      </c>
      <c r="J3043" s="417" t="s">
        <v>7898</v>
      </c>
      <c r="K3043" s="417" t="s">
        <v>8525</v>
      </c>
      <c r="L3043" s="417"/>
      <c r="M3043" s="417" t="s">
        <v>28840</v>
      </c>
    </row>
    <row r="3044" spans="1:13" x14ac:dyDescent="0.25">
      <c r="A3044" s="417" t="s">
        <v>3385</v>
      </c>
      <c r="B3044" s="417" t="s">
        <v>3405</v>
      </c>
      <c r="C3044" s="417" t="s">
        <v>8526</v>
      </c>
      <c r="D3044" s="417" t="s">
        <v>224</v>
      </c>
      <c r="E3044" s="423">
        <v>0.71137186218022119</v>
      </c>
      <c r="F3044" s="423">
        <v>2.1072982723145898E-3</v>
      </c>
      <c r="G3044" s="422">
        <v>942.07469027322372</v>
      </c>
      <c r="H3044" s="417" t="s">
        <v>2616</v>
      </c>
      <c r="I3044" s="417" t="s">
        <v>1392</v>
      </c>
      <c r="J3044" s="417" t="s">
        <v>7898</v>
      </c>
      <c r="K3044" s="417" t="s">
        <v>8527</v>
      </c>
      <c r="L3044" s="417"/>
      <c r="M3044" s="417" t="s">
        <v>28840</v>
      </c>
    </row>
    <row r="3045" spans="1:13" x14ac:dyDescent="0.25">
      <c r="A3045" s="417" t="s">
        <v>3385</v>
      </c>
      <c r="B3045" s="417" t="s">
        <v>3405</v>
      </c>
      <c r="C3045" s="417" t="s">
        <v>8528</v>
      </c>
      <c r="D3045" s="417" t="s">
        <v>224</v>
      </c>
      <c r="E3045" s="423">
        <v>3.6961844919128531E-2</v>
      </c>
      <c r="F3045" s="423">
        <v>4.0436946843565143E-2</v>
      </c>
      <c r="G3045" s="422">
        <v>214.68474563459341</v>
      </c>
      <c r="H3045" s="417" t="s">
        <v>2616</v>
      </c>
      <c r="I3045" s="417" t="s">
        <v>1392</v>
      </c>
      <c r="J3045" s="417" t="s">
        <v>7898</v>
      </c>
      <c r="K3045" s="417" t="s">
        <v>8529</v>
      </c>
      <c r="L3045" s="417"/>
      <c r="M3045" s="417" t="s">
        <v>28840</v>
      </c>
    </row>
    <row r="3046" spans="1:13" x14ac:dyDescent="0.25">
      <c r="A3046" s="417" t="s">
        <v>3385</v>
      </c>
      <c r="B3046" s="417" t="s">
        <v>3405</v>
      </c>
      <c r="C3046" s="417" t="s">
        <v>8530</v>
      </c>
      <c r="D3046" s="417" t="s">
        <v>224</v>
      </c>
      <c r="E3046" s="423">
        <v>0.56239305389884986</v>
      </c>
      <c r="F3046" s="423">
        <v>7.9390831653490257E-3</v>
      </c>
      <c r="G3046" s="422">
        <v>766.88135934175489</v>
      </c>
      <c r="H3046" s="417" t="s">
        <v>2616</v>
      </c>
      <c r="I3046" s="417" t="s">
        <v>1392</v>
      </c>
      <c r="J3046" s="417" t="s">
        <v>7898</v>
      </c>
      <c r="K3046" s="417" t="s">
        <v>8531</v>
      </c>
      <c r="L3046" s="417"/>
      <c r="M3046" s="417" t="s">
        <v>28840</v>
      </c>
    </row>
    <row r="3047" spans="1:13" x14ac:dyDescent="0.25">
      <c r="A3047" s="417" t="s">
        <v>3385</v>
      </c>
      <c r="B3047" s="417" t="s">
        <v>3405</v>
      </c>
      <c r="C3047" s="417" t="s">
        <v>8532</v>
      </c>
      <c r="D3047" s="417" t="s">
        <v>224</v>
      </c>
      <c r="E3047" s="423">
        <v>0.25604412889271372</v>
      </c>
      <c r="F3047" s="423">
        <v>2.516288585690744E-2</v>
      </c>
      <c r="G3047" s="422">
        <v>472.81579967223013</v>
      </c>
      <c r="H3047" s="417" t="s">
        <v>2616</v>
      </c>
      <c r="I3047" s="417" t="s">
        <v>1392</v>
      </c>
      <c r="J3047" s="417" t="s">
        <v>7898</v>
      </c>
      <c r="K3047" s="417" t="s">
        <v>8533</v>
      </c>
      <c r="L3047" s="417"/>
      <c r="M3047" s="417" t="s">
        <v>28840</v>
      </c>
    </row>
    <row r="3048" spans="1:13" x14ac:dyDescent="0.25">
      <c r="A3048" s="417" t="s">
        <v>3385</v>
      </c>
      <c r="B3048" s="417" t="s">
        <v>3405</v>
      </c>
      <c r="C3048" s="417" t="s">
        <v>8534</v>
      </c>
      <c r="D3048" s="417" t="s">
        <v>224</v>
      </c>
      <c r="E3048" s="423">
        <v>0.24085389480776029</v>
      </c>
      <c r="F3048" s="423">
        <v>4.351357120459988E-2</v>
      </c>
      <c r="G3048" s="422">
        <v>644.62134470088245</v>
      </c>
      <c r="H3048" s="417" t="s">
        <v>2616</v>
      </c>
      <c r="I3048" s="417" t="s">
        <v>1392</v>
      </c>
      <c r="J3048" s="417" t="s">
        <v>7898</v>
      </c>
      <c r="K3048" s="417" t="s">
        <v>8535</v>
      </c>
      <c r="L3048" s="417"/>
      <c r="M3048" s="417" t="s">
        <v>28840</v>
      </c>
    </row>
    <row r="3049" spans="1:13" x14ac:dyDescent="0.25">
      <c r="A3049" s="417" t="s">
        <v>3385</v>
      </c>
      <c r="B3049" s="417" t="s">
        <v>3405</v>
      </c>
      <c r="C3049" s="417" t="s">
        <v>8536</v>
      </c>
      <c r="D3049" s="417" t="s">
        <v>224</v>
      </c>
      <c r="E3049" s="423">
        <v>0.60693156047572117</v>
      </c>
      <c r="F3049" s="423">
        <v>8.0323579906882686E-2</v>
      </c>
      <c r="G3049" s="422">
        <v>842.71360336947146</v>
      </c>
      <c r="H3049" s="417" t="s">
        <v>2616</v>
      </c>
      <c r="I3049" s="417" t="s">
        <v>1392</v>
      </c>
      <c r="J3049" s="417" t="s">
        <v>7898</v>
      </c>
      <c r="K3049" s="417" t="s">
        <v>8537</v>
      </c>
      <c r="L3049" s="417"/>
      <c r="M3049" s="417" t="s">
        <v>28840</v>
      </c>
    </row>
    <row r="3050" spans="1:13" x14ac:dyDescent="0.25">
      <c r="A3050" s="417" t="s">
        <v>3385</v>
      </c>
      <c r="B3050" s="417" t="s">
        <v>3405</v>
      </c>
      <c r="C3050" s="417" t="s">
        <v>8538</v>
      </c>
      <c r="D3050" s="417" t="s">
        <v>224</v>
      </c>
      <c r="E3050" s="423">
        <v>0.51041639256427795</v>
      </c>
      <c r="F3050" s="423">
        <v>1.3296375288556371E-3</v>
      </c>
      <c r="G3050" s="422">
        <v>630.28991983592391</v>
      </c>
      <c r="H3050" s="417" t="s">
        <v>2616</v>
      </c>
      <c r="I3050" s="417" t="s">
        <v>1392</v>
      </c>
      <c r="J3050" s="417" t="s">
        <v>7898</v>
      </c>
      <c r="K3050" s="417" t="s">
        <v>8539</v>
      </c>
      <c r="L3050" s="417"/>
      <c r="M3050" s="417" t="s">
        <v>28840</v>
      </c>
    </row>
    <row r="3051" spans="1:13" x14ac:dyDescent="0.25">
      <c r="A3051" s="417" t="s">
        <v>3385</v>
      </c>
      <c r="B3051" s="417" t="s">
        <v>3405</v>
      </c>
      <c r="C3051" s="417" t="s">
        <v>8540</v>
      </c>
      <c r="D3051" s="417" t="s">
        <v>224</v>
      </c>
      <c r="E3051" s="423">
        <v>0.53991535754719178</v>
      </c>
      <c r="F3051" s="423">
        <v>2.1352768704755588E-2</v>
      </c>
      <c r="G3051" s="422">
        <v>675.91003060615105</v>
      </c>
      <c r="H3051" s="417" t="s">
        <v>2616</v>
      </c>
      <c r="I3051" s="417" t="s">
        <v>1392</v>
      </c>
      <c r="J3051" s="417" t="s">
        <v>7898</v>
      </c>
      <c r="K3051" s="417" t="s">
        <v>8541</v>
      </c>
      <c r="L3051" s="417"/>
      <c r="M3051" s="417" t="s">
        <v>28840</v>
      </c>
    </row>
    <row r="3052" spans="1:13" x14ac:dyDescent="0.25">
      <c r="A3052" s="417" t="s">
        <v>3385</v>
      </c>
      <c r="B3052" s="417" t="s">
        <v>3405</v>
      </c>
      <c r="C3052" s="417" t="s">
        <v>8542</v>
      </c>
      <c r="D3052" s="417" t="s">
        <v>224</v>
      </c>
      <c r="E3052" s="423">
        <v>0.66528122354473895</v>
      </c>
      <c r="F3052" s="423">
        <v>3.5112164345881209E-3</v>
      </c>
      <c r="G3052" s="422">
        <v>889.06316359533139</v>
      </c>
      <c r="H3052" s="417" t="s">
        <v>2616</v>
      </c>
      <c r="I3052" s="417" t="s">
        <v>1392</v>
      </c>
      <c r="J3052" s="417" t="s">
        <v>7898</v>
      </c>
      <c r="K3052" s="417" t="s">
        <v>8543</v>
      </c>
      <c r="L3052" s="417"/>
      <c r="M3052" s="417" t="s">
        <v>28840</v>
      </c>
    </row>
    <row r="3053" spans="1:13" x14ac:dyDescent="0.25">
      <c r="A3053" s="417" t="s">
        <v>3385</v>
      </c>
      <c r="B3053" s="417" t="s">
        <v>3405</v>
      </c>
      <c r="C3053" s="417" t="s">
        <v>8544</v>
      </c>
      <c r="D3053" s="417" t="s">
        <v>224</v>
      </c>
      <c r="E3053" s="423">
        <v>0.38732070005946823</v>
      </c>
      <c r="F3053" s="423">
        <v>6.6618873270217214E-3</v>
      </c>
      <c r="G3053" s="422">
        <v>483.0479298751402</v>
      </c>
      <c r="H3053" s="417" t="s">
        <v>2616</v>
      </c>
      <c r="I3053" s="417" t="s">
        <v>1392</v>
      </c>
      <c r="J3053" s="417" t="s">
        <v>7898</v>
      </c>
      <c r="K3053" s="417" t="s">
        <v>8545</v>
      </c>
      <c r="L3053" s="417"/>
      <c r="M3053" s="417" t="s">
        <v>28840</v>
      </c>
    </row>
    <row r="3054" spans="1:13" x14ac:dyDescent="0.25">
      <c r="A3054" s="417" t="s">
        <v>3385</v>
      </c>
      <c r="B3054" s="417" t="s">
        <v>3405</v>
      </c>
      <c r="C3054" s="417" t="s">
        <v>8546</v>
      </c>
      <c r="D3054" s="417" t="s">
        <v>224</v>
      </c>
      <c r="E3054" s="423">
        <v>0.3117932923556308</v>
      </c>
      <c r="F3054" s="423">
        <v>1.096873151616823E-2</v>
      </c>
      <c r="G3054" s="422">
        <v>694.51616140368174</v>
      </c>
      <c r="H3054" s="417" t="s">
        <v>2616</v>
      </c>
      <c r="I3054" s="417" t="s">
        <v>1392</v>
      </c>
      <c r="J3054" s="417" t="s">
        <v>7898</v>
      </c>
      <c r="K3054" s="417" t="s">
        <v>8547</v>
      </c>
      <c r="L3054" s="417"/>
      <c r="M3054" s="417" t="s">
        <v>28840</v>
      </c>
    </row>
    <row r="3055" spans="1:13" x14ac:dyDescent="0.25">
      <c r="A3055" s="417" t="s">
        <v>3385</v>
      </c>
      <c r="B3055" s="417" t="s">
        <v>3405</v>
      </c>
      <c r="C3055" s="417" t="s">
        <v>8548</v>
      </c>
      <c r="D3055" s="417" t="s">
        <v>224</v>
      </c>
      <c r="E3055" s="423">
        <v>0.41596424662655551</v>
      </c>
      <c r="F3055" s="423">
        <v>8.9732852968858086E-3</v>
      </c>
      <c r="G3055" s="422">
        <v>630.84055581118207</v>
      </c>
      <c r="H3055" s="417" t="s">
        <v>2616</v>
      </c>
      <c r="I3055" s="417" t="s">
        <v>1392</v>
      </c>
      <c r="J3055" s="417" t="s">
        <v>7898</v>
      </c>
      <c r="K3055" s="417" t="s">
        <v>8549</v>
      </c>
      <c r="L3055" s="417"/>
      <c r="M3055" s="417" t="s">
        <v>28840</v>
      </c>
    </row>
    <row r="3056" spans="1:13" x14ac:dyDescent="0.25">
      <c r="A3056" s="417" t="s">
        <v>3385</v>
      </c>
      <c r="B3056" s="417" t="s">
        <v>3405</v>
      </c>
      <c r="C3056" s="417" t="s">
        <v>8550</v>
      </c>
      <c r="D3056" s="417" t="s">
        <v>224</v>
      </c>
      <c r="E3056" s="423">
        <v>0.53000001632750793</v>
      </c>
      <c r="F3056" s="423">
        <v>1.009693048075579E-2</v>
      </c>
      <c r="G3056" s="422">
        <v>646.81751304974944</v>
      </c>
      <c r="H3056" s="417" t="s">
        <v>2616</v>
      </c>
      <c r="I3056" s="417" t="s">
        <v>1392</v>
      </c>
      <c r="J3056" s="417" t="s">
        <v>7898</v>
      </c>
      <c r="K3056" s="417" t="s">
        <v>8551</v>
      </c>
      <c r="L3056" s="417"/>
      <c r="M3056" s="417" t="s">
        <v>28840</v>
      </c>
    </row>
    <row r="3057" spans="1:13" x14ac:dyDescent="0.25">
      <c r="A3057" s="417" t="s">
        <v>3385</v>
      </c>
      <c r="B3057" s="417" t="s">
        <v>3405</v>
      </c>
      <c r="C3057" s="417" t="s">
        <v>8552</v>
      </c>
      <c r="D3057" s="417" t="s">
        <v>224</v>
      </c>
      <c r="E3057" s="423">
        <v>1.011004717896272</v>
      </c>
      <c r="F3057" s="423">
        <v>4.8488694332378748E-3</v>
      </c>
      <c r="G3057" s="422">
        <v>1211.493053901457</v>
      </c>
      <c r="H3057" s="417" t="s">
        <v>2616</v>
      </c>
      <c r="I3057" s="417" t="s">
        <v>1392</v>
      </c>
      <c r="J3057" s="417" t="s">
        <v>7898</v>
      </c>
      <c r="K3057" s="417" t="s">
        <v>8553</v>
      </c>
      <c r="L3057" s="417"/>
      <c r="M3057" s="417" t="s">
        <v>28840</v>
      </c>
    </row>
    <row r="3058" spans="1:13" x14ac:dyDescent="0.25">
      <c r="A3058" s="417" t="s">
        <v>3385</v>
      </c>
      <c r="B3058" s="417" t="s">
        <v>3405</v>
      </c>
      <c r="C3058" s="417" t="s">
        <v>8554</v>
      </c>
      <c r="D3058" s="417" t="s">
        <v>224</v>
      </c>
      <c r="E3058" s="423">
        <v>9.4583446264197134E-3</v>
      </c>
      <c r="F3058" s="423">
        <v>7.8604312594922031E-3</v>
      </c>
      <c r="G3058" s="422">
        <v>27.917442259904188</v>
      </c>
      <c r="H3058" s="417" t="s">
        <v>2616</v>
      </c>
      <c r="I3058" s="417" t="s">
        <v>1392</v>
      </c>
      <c r="J3058" s="417" t="s">
        <v>7898</v>
      </c>
      <c r="K3058" s="417" t="s">
        <v>8555</v>
      </c>
      <c r="L3058" s="417"/>
      <c r="M3058" s="417" t="s">
        <v>28840</v>
      </c>
    </row>
    <row r="3059" spans="1:13" x14ac:dyDescent="0.25">
      <c r="A3059" s="417" t="s">
        <v>3385</v>
      </c>
      <c r="B3059" s="417" t="s">
        <v>3405</v>
      </c>
      <c r="C3059" s="417" t="s">
        <v>8556</v>
      </c>
      <c r="D3059" s="417" t="s">
        <v>224</v>
      </c>
      <c r="E3059" s="423">
        <v>0.33122256294961289</v>
      </c>
      <c r="F3059" s="423">
        <v>0.61431422960187831</v>
      </c>
      <c r="G3059" s="422">
        <v>437.44976893516258</v>
      </c>
      <c r="H3059" s="417" t="s">
        <v>2616</v>
      </c>
      <c r="I3059" s="417" t="s">
        <v>1392</v>
      </c>
      <c r="J3059" s="417" t="s">
        <v>8063</v>
      </c>
      <c r="K3059" s="417" t="s">
        <v>8557</v>
      </c>
      <c r="L3059" s="417"/>
      <c r="M3059" s="417" t="s">
        <v>28840</v>
      </c>
    </row>
    <row r="3060" spans="1:13" x14ac:dyDescent="0.25">
      <c r="A3060" s="417" t="s">
        <v>3385</v>
      </c>
      <c r="B3060" s="417" t="s">
        <v>3405</v>
      </c>
      <c r="C3060" s="417" t="s">
        <v>8558</v>
      </c>
      <c r="D3060" s="417" t="s">
        <v>224</v>
      </c>
      <c r="E3060" s="423">
        <v>2.5861010319695541E-2</v>
      </c>
      <c r="F3060" s="423">
        <v>1.2781361344617661E-2</v>
      </c>
      <c r="G3060" s="422">
        <v>231.32036212086001</v>
      </c>
      <c r="H3060" s="417" t="s">
        <v>2616</v>
      </c>
      <c r="I3060" s="417" t="s">
        <v>1392</v>
      </c>
      <c r="J3060" s="417" t="s">
        <v>7898</v>
      </c>
      <c r="K3060" s="417" t="s">
        <v>8559</v>
      </c>
      <c r="L3060" s="417"/>
      <c r="M3060" s="417" t="s">
        <v>28840</v>
      </c>
    </row>
    <row r="3061" spans="1:13" x14ac:dyDescent="0.25">
      <c r="A3061" s="417" t="s">
        <v>3385</v>
      </c>
      <c r="B3061" s="417" t="s">
        <v>3405</v>
      </c>
      <c r="C3061" s="417" t="s">
        <v>8560</v>
      </c>
      <c r="D3061" s="417" t="s">
        <v>224</v>
      </c>
      <c r="E3061" s="423">
        <v>8.1536921237110579E-2</v>
      </c>
      <c r="F3061" s="423">
        <v>8.1162677003724822E-3</v>
      </c>
      <c r="G3061" s="422">
        <v>424.71181162866048</v>
      </c>
      <c r="H3061" s="417" t="s">
        <v>2616</v>
      </c>
      <c r="I3061" s="417" t="s">
        <v>1392</v>
      </c>
      <c r="J3061" s="417" t="s">
        <v>8063</v>
      </c>
      <c r="K3061" s="417" t="s">
        <v>8561</v>
      </c>
      <c r="L3061" s="417"/>
      <c r="M3061" s="417" t="s">
        <v>28840</v>
      </c>
    </row>
    <row r="3062" spans="1:13" x14ac:dyDescent="0.25">
      <c r="A3062" s="417" t="s">
        <v>3385</v>
      </c>
      <c r="B3062" s="417" t="s">
        <v>3405</v>
      </c>
      <c r="C3062" s="417" t="s">
        <v>8562</v>
      </c>
      <c r="D3062" s="417" t="s">
        <v>224</v>
      </c>
      <c r="E3062" s="423">
        <v>0.3436282607539628</v>
      </c>
      <c r="F3062" s="423">
        <v>8.8468954863120355E-2</v>
      </c>
      <c r="G3062" s="422">
        <v>483.24181746296409</v>
      </c>
      <c r="H3062" s="417" t="s">
        <v>2616</v>
      </c>
      <c r="I3062" s="417" t="s">
        <v>1392</v>
      </c>
      <c r="J3062" s="417" t="s">
        <v>7898</v>
      </c>
      <c r="K3062" s="417" t="s">
        <v>8563</v>
      </c>
      <c r="L3062" s="417"/>
      <c r="M3062" s="417" t="s">
        <v>28840</v>
      </c>
    </row>
    <row r="3063" spans="1:13" x14ac:dyDescent="0.25">
      <c r="A3063" s="417" t="s">
        <v>3385</v>
      </c>
      <c r="B3063" s="417" t="s">
        <v>3405</v>
      </c>
      <c r="C3063" s="417" t="s">
        <v>8564</v>
      </c>
      <c r="D3063" s="417" t="s">
        <v>224</v>
      </c>
      <c r="E3063" s="423">
        <v>1.024908209434755E-2</v>
      </c>
      <c r="F3063" s="423">
        <v>8.7417854812233547E-3</v>
      </c>
      <c r="G3063" s="422">
        <v>75.64806884204809</v>
      </c>
      <c r="H3063" s="417" t="s">
        <v>2616</v>
      </c>
      <c r="I3063" s="417" t="s">
        <v>1392</v>
      </c>
      <c r="J3063" s="417" t="s">
        <v>7898</v>
      </c>
      <c r="K3063" s="417" t="s">
        <v>8565</v>
      </c>
      <c r="L3063" s="417"/>
      <c r="M3063" s="417" t="s">
        <v>28840</v>
      </c>
    </row>
    <row r="3064" spans="1:13" x14ac:dyDescent="0.25">
      <c r="A3064" s="417" t="s">
        <v>3385</v>
      </c>
      <c r="B3064" s="417" t="s">
        <v>3405</v>
      </c>
      <c r="C3064" s="417" t="s">
        <v>8566</v>
      </c>
      <c r="D3064" s="417" t="s">
        <v>224</v>
      </c>
      <c r="E3064" s="423">
        <v>0.1924975689900657</v>
      </c>
      <c r="F3064" s="423">
        <v>5.1411691509415179E-2</v>
      </c>
      <c r="G3064" s="422">
        <v>382.24469397501389</v>
      </c>
      <c r="H3064" s="417" t="s">
        <v>2616</v>
      </c>
      <c r="I3064" s="417" t="s">
        <v>1392</v>
      </c>
      <c r="J3064" s="417" t="s">
        <v>8063</v>
      </c>
      <c r="K3064" s="417" t="s">
        <v>8567</v>
      </c>
      <c r="L3064" s="417"/>
      <c r="M3064" s="417" t="s">
        <v>28840</v>
      </c>
    </row>
    <row r="3065" spans="1:13" x14ac:dyDescent="0.25">
      <c r="A3065" s="417" t="s">
        <v>3385</v>
      </c>
      <c r="B3065" s="417" t="s">
        <v>3405</v>
      </c>
      <c r="C3065" s="417" t="s">
        <v>8568</v>
      </c>
      <c r="D3065" s="417" t="s">
        <v>224</v>
      </c>
      <c r="E3065" s="423">
        <v>0.81081703792978677</v>
      </c>
      <c r="F3065" s="423">
        <v>2.029231308338697E-2</v>
      </c>
      <c r="G3065" s="422">
        <v>1157.5180189613161</v>
      </c>
      <c r="H3065" s="417" t="s">
        <v>2616</v>
      </c>
      <c r="I3065" s="417" t="s">
        <v>1392</v>
      </c>
      <c r="J3065" s="417" t="s">
        <v>8063</v>
      </c>
      <c r="K3065" s="417" t="s">
        <v>8569</v>
      </c>
      <c r="L3065" s="417"/>
      <c r="M3065" s="417" t="s">
        <v>28840</v>
      </c>
    </row>
    <row r="3066" spans="1:13" x14ac:dyDescent="0.25">
      <c r="A3066" s="417" t="s">
        <v>3385</v>
      </c>
      <c r="B3066" s="417" t="s">
        <v>3405</v>
      </c>
      <c r="C3066" s="417" t="s">
        <v>8570</v>
      </c>
      <c r="D3066" s="417" t="s">
        <v>224</v>
      </c>
      <c r="E3066" s="423">
        <v>0.42921803941122078</v>
      </c>
      <c r="F3066" s="423">
        <v>5.7925380016080559E-2</v>
      </c>
      <c r="G3066" s="422">
        <v>660.90437431849011</v>
      </c>
      <c r="H3066" s="417" t="s">
        <v>2616</v>
      </c>
      <c r="I3066" s="417" t="s">
        <v>1392</v>
      </c>
      <c r="J3066" s="417" t="s">
        <v>8063</v>
      </c>
      <c r="K3066" s="417" t="s">
        <v>8571</v>
      </c>
      <c r="L3066" s="417"/>
      <c r="M3066" s="417" t="s">
        <v>28840</v>
      </c>
    </row>
    <row r="3067" spans="1:13" x14ac:dyDescent="0.25">
      <c r="A3067" s="417" t="s">
        <v>3385</v>
      </c>
      <c r="B3067" s="417" t="s">
        <v>3405</v>
      </c>
      <c r="C3067" s="417" t="s">
        <v>8572</v>
      </c>
      <c r="D3067" s="417" t="s">
        <v>224</v>
      </c>
      <c r="E3067" s="423">
        <v>0.26930104249574982</v>
      </c>
      <c r="F3067" s="423">
        <v>3.3823193757915739E-2</v>
      </c>
      <c r="G3067" s="422">
        <v>533.24472854518012</v>
      </c>
      <c r="H3067" s="417" t="s">
        <v>2616</v>
      </c>
      <c r="I3067" s="417" t="s">
        <v>1392</v>
      </c>
      <c r="J3067" s="417" t="s">
        <v>8063</v>
      </c>
      <c r="K3067" s="417" t="s">
        <v>8573</v>
      </c>
      <c r="L3067" s="417"/>
      <c r="M3067" s="417" t="s">
        <v>28840</v>
      </c>
    </row>
    <row r="3068" spans="1:13" x14ac:dyDescent="0.25">
      <c r="A3068" s="417" t="s">
        <v>3385</v>
      </c>
      <c r="B3068" s="417" t="s">
        <v>3405</v>
      </c>
      <c r="C3068" s="417" t="s">
        <v>8574</v>
      </c>
      <c r="D3068" s="417" t="s">
        <v>224</v>
      </c>
      <c r="E3068" s="423">
        <v>6.9023899989079013E-2</v>
      </c>
      <c r="F3068" s="423">
        <v>1.410303206514953E-2</v>
      </c>
      <c r="G3068" s="422">
        <v>620.2422270846987</v>
      </c>
      <c r="H3068" s="417" t="s">
        <v>2616</v>
      </c>
      <c r="I3068" s="417" t="s">
        <v>1392</v>
      </c>
      <c r="J3068" s="417" t="s">
        <v>8063</v>
      </c>
      <c r="K3068" s="417" t="s">
        <v>8575</v>
      </c>
      <c r="L3068" s="417"/>
      <c r="M3068" s="417" t="s">
        <v>28840</v>
      </c>
    </row>
    <row r="3069" spans="1:13" x14ac:dyDescent="0.25">
      <c r="A3069" s="417" t="s">
        <v>3385</v>
      </c>
      <c r="B3069" s="417" t="s">
        <v>3405</v>
      </c>
      <c r="C3069" s="417" t="s">
        <v>8576</v>
      </c>
      <c r="D3069" s="417" t="s">
        <v>224</v>
      </c>
      <c r="E3069" s="423">
        <v>0.32273479017715812</v>
      </c>
      <c r="F3069" s="423">
        <v>3.6296902323055463E-2</v>
      </c>
      <c r="G3069" s="422">
        <v>464.22633744422052</v>
      </c>
      <c r="H3069" s="417" t="s">
        <v>2616</v>
      </c>
      <c r="I3069" s="417" t="s">
        <v>1392</v>
      </c>
      <c r="J3069" s="417" t="s">
        <v>8063</v>
      </c>
      <c r="K3069" s="417" t="s">
        <v>8577</v>
      </c>
      <c r="L3069" s="417"/>
      <c r="M3069" s="417" t="s">
        <v>28840</v>
      </c>
    </row>
    <row r="3070" spans="1:13" x14ac:dyDescent="0.25">
      <c r="A3070" s="417" t="s">
        <v>3385</v>
      </c>
      <c r="B3070" s="417" t="s">
        <v>3405</v>
      </c>
      <c r="C3070" s="417" t="s">
        <v>8578</v>
      </c>
      <c r="D3070" s="417" t="s">
        <v>224</v>
      </c>
      <c r="E3070" s="423">
        <v>1.9454799569301701E-2</v>
      </c>
      <c r="F3070" s="423">
        <v>5.4354899771897523E-2</v>
      </c>
      <c r="G3070" s="422">
        <v>40.1644574136293</v>
      </c>
      <c r="H3070" s="417" t="s">
        <v>2616</v>
      </c>
      <c r="I3070" s="417" t="s">
        <v>1392</v>
      </c>
      <c r="J3070" s="417" t="s">
        <v>7898</v>
      </c>
      <c r="K3070" s="417" t="s">
        <v>8579</v>
      </c>
      <c r="L3070" s="417"/>
      <c r="M3070" s="417" t="s">
        <v>28840</v>
      </c>
    </row>
    <row r="3071" spans="1:13" x14ac:dyDescent="0.25">
      <c r="A3071" s="417" t="s">
        <v>3385</v>
      </c>
      <c r="B3071" s="417" t="s">
        <v>3405</v>
      </c>
      <c r="C3071" s="417" t="s">
        <v>8580</v>
      </c>
      <c r="D3071" s="417" t="s">
        <v>224</v>
      </c>
      <c r="E3071" s="423">
        <v>0.104185355189994</v>
      </c>
      <c r="F3071" s="423">
        <v>2.4361569794957291E-2</v>
      </c>
      <c r="G3071" s="422">
        <v>159.1080180929298</v>
      </c>
      <c r="H3071" s="417" t="s">
        <v>2616</v>
      </c>
      <c r="I3071" s="417" t="s">
        <v>1392</v>
      </c>
      <c r="J3071" s="417" t="s">
        <v>8072</v>
      </c>
      <c r="K3071" s="417" t="s">
        <v>8581</v>
      </c>
      <c r="L3071" s="417"/>
      <c r="M3071" s="417" t="s">
        <v>28840</v>
      </c>
    </row>
    <row r="3072" spans="1:13" x14ac:dyDescent="0.25">
      <c r="A3072" s="417" t="s">
        <v>3385</v>
      </c>
      <c r="B3072" s="417" t="s">
        <v>3405</v>
      </c>
      <c r="C3072" s="417" t="s">
        <v>8582</v>
      </c>
      <c r="D3072" s="417" t="s">
        <v>224</v>
      </c>
      <c r="E3072" s="423">
        <v>9.2577135087697271E-2</v>
      </c>
      <c r="F3072" s="423">
        <v>2.1246774314382169E-2</v>
      </c>
      <c r="G3072" s="422">
        <v>390.14474611914898</v>
      </c>
      <c r="H3072" s="417" t="s">
        <v>2616</v>
      </c>
      <c r="I3072" s="417" t="s">
        <v>1392</v>
      </c>
      <c r="J3072" s="417" t="s">
        <v>8072</v>
      </c>
      <c r="K3072" s="417" t="s">
        <v>8583</v>
      </c>
      <c r="L3072" s="417"/>
      <c r="M3072" s="417" t="s">
        <v>28840</v>
      </c>
    </row>
    <row r="3073" spans="1:13" x14ac:dyDescent="0.25">
      <c r="A3073" s="417" t="s">
        <v>3385</v>
      </c>
      <c r="B3073" s="417" t="s">
        <v>3405</v>
      </c>
      <c r="C3073" s="417" t="s">
        <v>8584</v>
      </c>
      <c r="D3073" s="417" t="s">
        <v>224</v>
      </c>
      <c r="E3073" s="423">
        <v>0.38512180863459827</v>
      </c>
      <c r="F3073" s="423">
        <v>5.9825849657939821E-2</v>
      </c>
      <c r="G3073" s="422">
        <v>555.65499445111027</v>
      </c>
      <c r="H3073" s="417" t="s">
        <v>2616</v>
      </c>
      <c r="I3073" s="417" t="s">
        <v>1392</v>
      </c>
      <c r="J3073" s="417" t="s">
        <v>8072</v>
      </c>
      <c r="K3073" s="417" t="s">
        <v>8585</v>
      </c>
      <c r="L3073" s="417"/>
      <c r="M3073" s="417" t="s">
        <v>28840</v>
      </c>
    </row>
    <row r="3074" spans="1:13" x14ac:dyDescent="0.25">
      <c r="A3074" s="417" t="s">
        <v>3385</v>
      </c>
      <c r="B3074" s="417" t="s">
        <v>3405</v>
      </c>
      <c r="C3074" s="417" t="s">
        <v>8586</v>
      </c>
      <c r="D3074" s="417" t="s">
        <v>224</v>
      </c>
      <c r="E3074" s="423">
        <v>5.459788866666896E-2</v>
      </c>
      <c r="F3074" s="423">
        <v>4.8538574810428978E-3</v>
      </c>
      <c r="G3074" s="422">
        <v>661.19459892767463</v>
      </c>
      <c r="H3074" s="417" t="s">
        <v>2616</v>
      </c>
      <c r="I3074" s="417" t="s">
        <v>1392</v>
      </c>
      <c r="J3074" s="417" t="s">
        <v>8072</v>
      </c>
      <c r="K3074" s="417" t="s">
        <v>8587</v>
      </c>
      <c r="L3074" s="417"/>
      <c r="M3074" s="417" t="s">
        <v>28840</v>
      </c>
    </row>
    <row r="3075" spans="1:13" x14ac:dyDescent="0.25">
      <c r="A3075" s="417" t="s">
        <v>3385</v>
      </c>
      <c r="B3075" s="417" t="s">
        <v>3405</v>
      </c>
      <c r="C3075" s="417" t="s">
        <v>8588</v>
      </c>
      <c r="D3075" s="417" t="s">
        <v>224</v>
      </c>
      <c r="E3075" s="423">
        <v>0.46760424812616858</v>
      </c>
      <c r="F3075" s="423">
        <v>1.8169677407910301E-2</v>
      </c>
      <c r="G3075" s="422">
        <v>586.88404350448639</v>
      </c>
      <c r="H3075" s="417" t="s">
        <v>2616</v>
      </c>
      <c r="I3075" s="417" t="s">
        <v>1392</v>
      </c>
      <c r="J3075" s="417" t="s">
        <v>8072</v>
      </c>
      <c r="K3075" s="417" t="s">
        <v>8589</v>
      </c>
      <c r="L3075" s="417"/>
      <c r="M3075" s="417" t="s">
        <v>28840</v>
      </c>
    </row>
    <row r="3076" spans="1:13" x14ac:dyDescent="0.25">
      <c r="A3076" s="417" t="s">
        <v>3385</v>
      </c>
      <c r="B3076" s="417" t="s">
        <v>3405</v>
      </c>
      <c r="C3076" s="417" t="s">
        <v>8590</v>
      </c>
      <c r="D3076" s="417" t="s">
        <v>224</v>
      </c>
      <c r="E3076" s="423">
        <v>4.6691683311402173E-2</v>
      </c>
      <c r="F3076" s="423">
        <v>3.9038373245239233E-2</v>
      </c>
      <c r="G3076" s="422">
        <v>92.95346709309257</v>
      </c>
      <c r="H3076" s="417" t="s">
        <v>2616</v>
      </c>
      <c r="I3076" s="417" t="s">
        <v>1392</v>
      </c>
      <c r="J3076" s="417" t="s">
        <v>8072</v>
      </c>
      <c r="K3076" s="417" t="s">
        <v>8591</v>
      </c>
      <c r="L3076" s="417"/>
      <c r="M3076" s="417" t="s">
        <v>28840</v>
      </c>
    </row>
    <row r="3077" spans="1:13" x14ac:dyDescent="0.25">
      <c r="A3077" s="417" t="s">
        <v>3385</v>
      </c>
      <c r="B3077" s="417" t="s">
        <v>3405</v>
      </c>
      <c r="C3077" s="417" t="s">
        <v>8592</v>
      </c>
      <c r="D3077" s="417" t="s">
        <v>224</v>
      </c>
      <c r="E3077" s="423">
        <v>5.0878925687367627E-2</v>
      </c>
      <c r="F3077" s="423">
        <v>1.9628509043703009E-2</v>
      </c>
      <c r="G3077" s="422">
        <v>328.63292851616183</v>
      </c>
      <c r="H3077" s="417" t="s">
        <v>2616</v>
      </c>
      <c r="I3077" s="417" t="s">
        <v>1392</v>
      </c>
      <c r="J3077" s="417" t="s">
        <v>8072</v>
      </c>
      <c r="K3077" s="417" t="s">
        <v>8593</v>
      </c>
      <c r="L3077" s="417"/>
      <c r="M3077" s="417" t="s">
        <v>28840</v>
      </c>
    </row>
    <row r="3078" spans="1:13" x14ac:dyDescent="0.25">
      <c r="A3078" s="417" t="s">
        <v>3385</v>
      </c>
      <c r="B3078" s="417" t="s">
        <v>3405</v>
      </c>
      <c r="C3078" s="417" t="s">
        <v>8594</v>
      </c>
      <c r="D3078" s="417" t="s">
        <v>224</v>
      </c>
      <c r="E3078" s="423">
        <v>0.50298281449227666</v>
      </c>
      <c r="F3078" s="423">
        <v>6.5550315274650009E-2</v>
      </c>
      <c r="G3078" s="422">
        <v>709.9648238216887</v>
      </c>
      <c r="H3078" s="417" t="s">
        <v>2616</v>
      </c>
      <c r="I3078" s="417" t="s">
        <v>1392</v>
      </c>
      <c r="J3078" s="417" t="s">
        <v>8072</v>
      </c>
      <c r="K3078" s="417" t="s">
        <v>8595</v>
      </c>
      <c r="L3078" s="417"/>
      <c r="M3078" s="417" t="s">
        <v>28840</v>
      </c>
    </row>
    <row r="3079" spans="1:13" x14ac:dyDescent="0.25">
      <c r="A3079" s="417" t="s">
        <v>3385</v>
      </c>
      <c r="B3079" s="417" t="s">
        <v>3405</v>
      </c>
      <c r="C3079" s="417" t="s">
        <v>8596</v>
      </c>
      <c r="D3079" s="417" t="s">
        <v>224</v>
      </c>
      <c r="E3079" s="423">
        <v>4.1658020168844241E-2</v>
      </c>
      <c r="F3079" s="423">
        <v>6.5118316645928504E-3</v>
      </c>
      <c r="G3079" s="422">
        <v>694.74042681560888</v>
      </c>
      <c r="H3079" s="417" t="s">
        <v>2616</v>
      </c>
      <c r="I3079" s="417" t="s">
        <v>1392</v>
      </c>
      <c r="J3079" s="417" t="s">
        <v>8072</v>
      </c>
      <c r="K3079" s="417" t="s">
        <v>8597</v>
      </c>
      <c r="L3079" s="417"/>
      <c r="M3079" s="417" t="s">
        <v>28840</v>
      </c>
    </row>
    <row r="3080" spans="1:13" x14ac:dyDescent="0.25">
      <c r="A3080" s="417" t="s">
        <v>3385</v>
      </c>
      <c r="B3080" s="417" t="s">
        <v>3405</v>
      </c>
      <c r="C3080" s="417" t="s">
        <v>8598</v>
      </c>
      <c r="D3080" s="417" t="s">
        <v>224</v>
      </c>
      <c r="E3080" s="423">
        <v>0.61808465719894323</v>
      </c>
      <c r="F3080" s="423">
        <v>1.1686905055396969E-2</v>
      </c>
      <c r="G3080" s="422">
        <v>774.97346482586931</v>
      </c>
      <c r="H3080" s="417" t="s">
        <v>2616</v>
      </c>
      <c r="I3080" s="417" t="s">
        <v>1392</v>
      </c>
      <c r="J3080" s="417" t="s">
        <v>8072</v>
      </c>
      <c r="K3080" s="417" t="s">
        <v>8599</v>
      </c>
      <c r="L3080" s="417"/>
      <c r="M3080" s="417" t="s">
        <v>28840</v>
      </c>
    </row>
    <row r="3081" spans="1:13" x14ac:dyDescent="0.25">
      <c r="A3081" s="417" t="s">
        <v>3385</v>
      </c>
      <c r="B3081" s="417" t="s">
        <v>3405</v>
      </c>
      <c r="C3081" s="417" t="s">
        <v>8600</v>
      </c>
      <c r="D3081" s="417" t="s">
        <v>224</v>
      </c>
      <c r="E3081" s="423">
        <v>0.19332994838527851</v>
      </c>
      <c r="F3081" s="423">
        <v>4.1743298847192828E-2</v>
      </c>
      <c r="G3081" s="422">
        <v>266.44670542567519</v>
      </c>
      <c r="H3081" s="417" t="s">
        <v>2616</v>
      </c>
      <c r="I3081" s="417" t="s">
        <v>1392</v>
      </c>
      <c r="J3081" s="417" t="s">
        <v>8072</v>
      </c>
      <c r="K3081" s="417" t="s">
        <v>8601</v>
      </c>
      <c r="L3081" s="417"/>
      <c r="M3081" s="417" t="s">
        <v>28840</v>
      </c>
    </row>
    <row r="3082" spans="1:13" x14ac:dyDescent="0.25">
      <c r="A3082" s="417" t="s">
        <v>3385</v>
      </c>
      <c r="B3082" s="417" t="s">
        <v>3405</v>
      </c>
      <c r="C3082" s="417" t="s">
        <v>8602</v>
      </c>
      <c r="D3082" s="417" t="s">
        <v>224</v>
      </c>
      <c r="E3082" s="423">
        <v>0.1393089135745729</v>
      </c>
      <c r="F3082" s="423">
        <v>2.4940180491648069E-2</v>
      </c>
      <c r="G3082" s="422">
        <v>475.54852311117003</v>
      </c>
      <c r="H3082" s="417" t="s">
        <v>2616</v>
      </c>
      <c r="I3082" s="417" t="s">
        <v>1392</v>
      </c>
      <c r="J3082" s="417" t="s">
        <v>8072</v>
      </c>
      <c r="K3082" s="417" t="s">
        <v>8603</v>
      </c>
      <c r="L3082" s="417"/>
      <c r="M3082" s="417" t="s">
        <v>28840</v>
      </c>
    </row>
    <row r="3083" spans="1:13" x14ac:dyDescent="0.25">
      <c r="A3083" s="417" t="s">
        <v>3385</v>
      </c>
      <c r="B3083" s="417" t="s">
        <v>3405</v>
      </c>
      <c r="C3083" s="417" t="s">
        <v>8604</v>
      </c>
      <c r="D3083" s="417" t="s">
        <v>224</v>
      </c>
      <c r="E3083" s="423">
        <v>0.50149189499414737</v>
      </c>
      <c r="F3083" s="423">
        <v>6.157225634699659E-2</v>
      </c>
      <c r="G3083" s="422">
        <v>702.20613594177792</v>
      </c>
      <c r="H3083" s="417" t="s">
        <v>2616</v>
      </c>
      <c r="I3083" s="417" t="s">
        <v>1392</v>
      </c>
      <c r="J3083" s="417" t="s">
        <v>8072</v>
      </c>
      <c r="K3083" s="417" t="s">
        <v>8605</v>
      </c>
      <c r="L3083" s="417"/>
      <c r="M3083" s="417" t="s">
        <v>28840</v>
      </c>
    </row>
    <row r="3084" spans="1:13" x14ac:dyDescent="0.25">
      <c r="A3084" s="417" t="s">
        <v>3385</v>
      </c>
      <c r="B3084" s="417" t="s">
        <v>3405</v>
      </c>
      <c r="C3084" s="417" t="s">
        <v>8606</v>
      </c>
      <c r="D3084" s="417" t="s">
        <v>224</v>
      </c>
      <c r="E3084" s="423">
        <v>6.9455822089625058E-2</v>
      </c>
      <c r="F3084" s="423">
        <v>5.1079637858810166E-3</v>
      </c>
      <c r="G3084" s="422">
        <v>708.60753670877239</v>
      </c>
      <c r="H3084" s="417" t="s">
        <v>2616</v>
      </c>
      <c r="I3084" s="417" t="s">
        <v>1392</v>
      </c>
      <c r="J3084" s="417" t="s">
        <v>8072</v>
      </c>
      <c r="K3084" s="417" t="s">
        <v>8607</v>
      </c>
      <c r="L3084" s="417"/>
      <c r="M3084" s="417" t="s">
        <v>28840</v>
      </c>
    </row>
    <row r="3085" spans="1:13" x14ac:dyDescent="0.25">
      <c r="A3085" s="417" t="s">
        <v>3385</v>
      </c>
      <c r="B3085" s="417" t="s">
        <v>3405</v>
      </c>
      <c r="C3085" s="417" t="s">
        <v>8608</v>
      </c>
      <c r="D3085" s="417" t="s">
        <v>224</v>
      </c>
      <c r="E3085" s="423">
        <v>0.70709315251933424</v>
      </c>
      <c r="F3085" s="423">
        <v>1.269173764065939E-2</v>
      </c>
      <c r="G3085" s="422">
        <v>882.09726477167305</v>
      </c>
      <c r="H3085" s="417" t="s">
        <v>2616</v>
      </c>
      <c r="I3085" s="417" t="s">
        <v>1392</v>
      </c>
      <c r="J3085" s="417" t="s">
        <v>8072</v>
      </c>
      <c r="K3085" s="417" t="s">
        <v>8609</v>
      </c>
      <c r="L3085" s="417"/>
      <c r="M3085" s="417" t="s">
        <v>28840</v>
      </c>
    </row>
    <row r="3086" spans="1:13" x14ac:dyDescent="0.25">
      <c r="A3086" s="417" t="s">
        <v>3385</v>
      </c>
      <c r="B3086" s="417" t="s">
        <v>3405</v>
      </c>
      <c r="C3086" s="417" t="s">
        <v>8610</v>
      </c>
      <c r="D3086" s="417" t="s">
        <v>224</v>
      </c>
      <c r="E3086" s="423">
        <v>5.0706560369334068E-2</v>
      </c>
      <c r="F3086" s="423">
        <v>2.4582086435232229E-3</v>
      </c>
      <c r="G3086" s="422">
        <v>139.93497255979301</v>
      </c>
      <c r="H3086" s="417" t="s">
        <v>2616</v>
      </c>
      <c r="I3086" s="417" t="s">
        <v>1392</v>
      </c>
      <c r="J3086" s="417" t="s">
        <v>8063</v>
      </c>
      <c r="K3086" s="417" t="s">
        <v>8611</v>
      </c>
      <c r="L3086" s="417"/>
      <c r="M3086" s="417" t="s">
        <v>28840</v>
      </c>
    </row>
    <row r="3087" spans="1:13" x14ac:dyDescent="0.25">
      <c r="A3087" s="417" t="s">
        <v>3385</v>
      </c>
      <c r="B3087" s="417" t="s">
        <v>3405</v>
      </c>
      <c r="C3087" s="417" t="s">
        <v>8612</v>
      </c>
      <c r="D3087" s="417" t="s">
        <v>224</v>
      </c>
      <c r="E3087" s="423">
        <v>3.4941653878865123E-2</v>
      </c>
      <c r="F3087" s="423">
        <v>1.6004683632224331E-3</v>
      </c>
      <c r="G3087" s="422">
        <v>86.034305456489236</v>
      </c>
      <c r="H3087" s="417" t="s">
        <v>2616</v>
      </c>
      <c r="I3087" s="417" t="s">
        <v>1392</v>
      </c>
      <c r="J3087" s="417" t="s">
        <v>8063</v>
      </c>
      <c r="K3087" s="417" t="s">
        <v>8613</v>
      </c>
      <c r="L3087" s="417"/>
      <c r="M3087" s="417" t="s">
        <v>28840</v>
      </c>
    </row>
    <row r="3088" spans="1:13" x14ac:dyDescent="0.25">
      <c r="A3088" s="417" t="s">
        <v>3385</v>
      </c>
      <c r="B3088" s="417" t="s">
        <v>3405</v>
      </c>
      <c r="C3088" s="417" t="s">
        <v>8614</v>
      </c>
      <c r="D3088" s="417" t="s">
        <v>224</v>
      </c>
      <c r="E3088" s="423">
        <v>3.055977340109383E-2</v>
      </c>
      <c r="F3088" s="423">
        <v>1.495572583515122E-3</v>
      </c>
      <c r="G3088" s="422">
        <v>76.823418011058209</v>
      </c>
      <c r="H3088" s="417" t="s">
        <v>2616</v>
      </c>
      <c r="I3088" s="417" t="s">
        <v>1392</v>
      </c>
      <c r="J3088" s="417" t="s">
        <v>8063</v>
      </c>
      <c r="K3088" s="417" t="s">
        <v>8615</v>
      </c>
      <c r="L3088" s="417"/>
      <c r="M3088" s="417" t="s">
        <v>28840</v>
      </c>
    </row>
    <row r="3089" spans="1:13" x14ac:dyDescent="0.25">
      <c r="A3089" s="417" t="s">
        <v>3385</v>
      </c>
      <c r="B3089" s="417" t="s">
        <v>3405</v>
      </c>
      <c r="C3089" s="417" t="s">
        <v>8616</v>
      </c>
      <c r="D3089" s="417" t="s">
        <v>224</v>
      </c>
      <c r="E3089" s="423">
        <v>0.38668778475361892</v>
      </c>
      <c r="F3089" s="423">
        <v>1.099846305216177E-3</v>
      </c>
      <c r="G3089" s="422">
        <v>585.0734631459427</v>
      </c>
      <c r="H3089" s="417" t="s">
        <v>2616</v>
      </c>
      <c r="I3089" s="417" t="s">
        <v>1392</v>
      </c>
      <c r="J3089" s="417" t="s">
        <v>8072</v>
      </c>
      <c r="K3089" s="417" t="s">
        <v>8617</v>
      </c>
      <c r="L3089" s="417"/>
      <c r="M3089" s="417" t="s">
        <v>28840</v>
      </c>
    </row>
    <row r="3090" spans="1:13" x14ac:dyDescent="0.25">
      <c r="A3090" s="417" t="s">
        <v>3385</v>
      </c>
      <c r="B3090" s="417" t="s">
        <v>3405</v>
      </c>
      <c r="C3090" s="417" t="s">
        <v>8618</v>
      </c>
      <c r="D3090" s="417" t="s">
        <v>224</v>
      </c>
      <c r="E3090" s="423">
        <v>0.38400901449194458</v>
      </c>
      <c r="F3090" s="423">
        <v>1.56127492198706E-2</v>
      </c>
      <c r="G3090" s="422">
        <v>545.17013138005325</v>
      </c>
      <c r="H3090" s="417" t="s">
        <v>2616</v>
      </c>
      <c r="I3090" s="417" t="s">
        <v>1392</v>
      </c>
      <c r="J3090" s="417" t="s">
        <v>8072</v>
      </c>
      <c r="K3090" s="417" t="s">
        <v>8619</v>
      </c>
      <c r="L3090" s="417"/>
      <c r="M3090" s="417" t="s">
        <v>28840</v>
      </c>
    </row>
    <row r="3091" spans="1:13" x14ac:dyDescent="0.25">
      <c r="A3091" s="417" t="s">
        <v>3385</v>
      </c>
      <c r="B3091" s="417" t="s">
        <v>3405</v>
      </c>
      <c r="C3091" s="417" t="s">
        <v>8620</v>
      </c>
      <c r="D3091" s="417" t="s">
        <v>224</v>
      </c>
      <c r="E3091" s="423">
        <v>0.11258792711108311</v>
      </c>
      <c r="F3091" s="423">
        <v>4.9451050937442183E-2</v>
      </c>
      <c r="G3091" s="422">
        <v>273.95690638533341</v>
      </c>
      <c r="H3091" s="417" t="s">
        <v>2616</v>
      </c>
      <c r="I3091" s="417" t="s">
        <v>1392</v>
      </c>
      <c r="J3091" s="417" t="s">
        <v>8072</v>
      </c>
      <c r="K3091" s="417" t="s">
        <v>8621</v>
      </c>
      <c r="L3091" s="417"/>
      <c r="M3091" s="417" t="s">
        <v>28840</v>
      </c>
    </row>
    <row r="3092" spans="1:13" x14ac:dyDescent="0.25">
      <c r="A3092" s="417" t="s">
        <v>3385</v>
      </c>
      <c r="B3092" s="417" t="s">
        <v>3405</v>
      </c>
      <c r="C3092" s="417" t="s">
        <v>8622</v>
      </c>
      <c r="D3092" s="417" t="s">
        <v>224</v>
      </c>
      <c r="E3092" s="423">
        <v>0.66124748950155454</v>
      </c>
      <c r="F3092" s="423">
        <v>1.0860721672556081E-2</v>
      </c>
      <c r="G3092" s="422">
        <v>823.30126773273901</v>
      </c>
      <c r="H3092" s="417" t="s">
        <v>2616</v>
      </c>
      <c r="I3092" s="417" t="s">
        <v>1392</v>
      </c>
      <c r="J3092" s="417" t="s">
        <v>8072</v>
      </c>
      <c r="K3092" s="417" t="s">
        <v>8623</v>
      </c>
      <c r="L3092" s="417"/>
      <c r="M3092" s="417" t="s">
        <v>28840</v>
      </c>
    </row>
    <row r="3093" spans="1:13" x14ac:dyDescent="0.25">
      <c r="A3093" s="417" t="s">
        <v>3385</v>
      </c>
      <c r="B3093" s="417" t="s">
        <v>3405</v>
      </c>
      <c r="C3093" s="417" t="s">
        <v>8624</v>
      </c>
      <c r="D3093" s="417" t="s">
        <v>224</v>
      </c>
      <c r="E3093" s="423">
        <v>0.8904482980387074</v>
      </c>
      <c r="F3093" s="423">
        <v>1.520390306531123E-2</v>
      </c>
      <c r="G3093" s="422">
        <v>1123.4490314437569</v>
      </c>
      <c r="H3093" s="417" t="s">
        <v>2616</v>
      </c>
      <c r="I3093" s="417" t="s">
        <v>1392</v>
      </c>
      <c r="J3093" s="417" t="s">
        <v>8072</v>
      </c>
      <c r="K3093" s="417" t="s">
        <v>8625</v>
      </c>
      <c r="L3093" s="417"/>
      <c r="M3093" s="417" t="s">
        <v>28840</v>
      </c>
    </row>
    <row r="3094" spans="1:13" x14ac:dyDescent="0.25">
      <c r="A3094" s="417" t="s">
        <v>3385</v>
      </c>
      <c r="B3094" s="417" t="s">
        <v>3405</v>
      </c>
      <c r="C3094" s="417" t="s">
        <v>8626</v>
      </c>
      <c r="D3094" s="417" t="s">
        <v>224</v>
      </c>
      <c r="E3094" s="423">
        <v>0.66245650103472331</v>
      </c>
      <c r="F3094" s="423">
        <v>4.5009986859459094E-3</v>
      </c>
      <c r="G3094" s="422">
        <v>918.88905268796873</v>
      </c>
      <c r="H3094" s="417" t="s">
        <v>2616</v>
      </c>
      <c r="I3094" s="417" t="s">
        <v>1392</v>
      </c>
      <c r="J3094" s="417" t="s">
        <v>8072</v>
      </c>
      <c r="K3094" s="417" t="s">
        <v>8627</v>
      </c>
      <c r="L3094" s="417"/>
      <c r="M3094" s="417" t="s">
        <v>28840</v>
      </c>
    </row>
    <row r="3095" spans="1:13" x14ac:dyDescent="0.25">
      <c r="A3095" s="417" t="s">
        <v>3385</v>
      </c>
      <c r="B3095" s="417" t="s">
        <v>3405</v>
      </c>
      <c r="C3095" s="417" t="s">
        <v>8628</v>
      </c>
      <c r="D3095" s="417" t="s">
        <v>224</v>
      </c>
      <c r="E3095" s="423">
        <v>0.14498182864892131</v>
      </c>
      <c r="F3095" s="423">
        <v>2.9256310546862601E-2</v>
      </c>
      <c r="G3095" s="422">
        <v>424.28543511398891</v>
      </c>
      <c r="H3095" s="417" t="s">
        <v>2616</v>
      </c>
      <c r="I3095" s="417" t="s">
        <v>1392</v>
      </c>
      <c r="J3095" s="417" t="s">
        <v>8072</v>
      </c>
      <c r="K3095" s="417" t="s">
        <v>8629</v>
      </c>
      <c r="L3095" s="417"/>
      <c r="M3095" s="417" t="s">
        <v>28840</v>
      </c>
    </row>
    <row r="3096" spans="1:13" x14ac:dyDescent="0.25">
      <c r="A3096" s="417" t="s">
        <v>3385</v>
      </c>
      <c r="B3096" s="417" t="s">
        <v>3405</v>
      </c>
      <c r="C3096" s="417" t="s">
        <v>8630</v>
      </c>
      <c r="D3096" s="417" t="s">
        <v>224</v>
      </c>
      <c r="E3096" s="423">
        <v>0.40606791720325242</v>
      </c>
      <c r="F3096" s="423">
        <v>3.3859736866771517E-2</v>
      </c>
      <c r="G3096" s="422">
        <v>861.36623056272981</v>
      </c>
      <c r="H3096" s="417" t="s">
        <v>2616</v>
      </c>
      <c r="I3096" s="417" t="s">
        <v>1392</v>
      </c>
      <c r="J3096" s="417" t="s">
        <v>8072</v>
      </c>
      <c r="K3096" s="417" t="s">
        <v>8631</v>
      </c>
      <c r="L3096" s="417"/>
      <c r="M3096" s="417" t="s">
        <v>28840</v>
      </c>
    </row>
    <row r="3097" spans="1:13" x14ac:dyDescent="0.25">
      <c r="A3097" s="417" t="s">
        <v>3385</v>
      </c>
      <c r="B3097" s="417" t="s">
        <v>3405</v>
      </c>
      <c r="C3097" s="417" t="s">
        <v>8632</v>
      </c>
      <c r="D3097" s="417" t="s">
        <v>224</v>
      </c>
      <c r="E3097" s="423">
        <v>9.256251395328649E-2</v>
      </c>
      <c r="F3097" s="423">
        <v>6.679314933846274E-2</v>
      </c>
      <c r="G3097" s="422">
        <v>165.20089834423229</v>
      </c>
      <c r="H3097" s="417" t="s">
        <v>2616</v>
      </c>
      <c r="I3097" s="417" t="s">
        <v>1392</v>
      </c>
      <c r="J3097" s="417" t="s">
        <v>8072</v>
      </c>
      <c r="K3097" s="417" t="s">
        <v>8633</v>
      </c>
      <c r="L3097" s="417"/>
      <c r="M3097" s="417" t="s">
        <v>28840</v>
      </c>
    </row>
    <row r="3098" spans="1:13" x14ac:dyDescent="0.25">
      <c r="A3098" s="417" t="s">
        <v>3385</v>
      </c>
      <c r="B3098" s="417" t="s">
        <v>3405</v>
      </c>
      <c r="C3098" s="417" t="s">
        <v>8634</v>
      </c>
      <c r="D3098" s="417" t="s">
        <v>224</v>
      </c>
      <c r="E3098" s="423">
        <v>0.1460889848500084</v>
      </c>
      <c r="F3098" s="423">
        <v>1.158462119275578E-2</v>
      </c>
      <c r="G3098" s="422">
        <v>269.60191351498253</v>
      </c>
      <c r="H3098" s="417" t="s">
        <v>2616</v>
      </c>
      <c r="I3098" s="417" t="s">
        <v>1392</v>
      </c>
      <c r="J3098" s="417" t="s">
        <v>8072</v>
      </c>
      <c r="K3098" s="417" t="s">
        <v>8635</v>
      </c>
      <c r="L3098" s="417"/>
      <c r="M3098" s="417" t="s">
        <v>28840</v>
      </c>
    </row>
    <row r="3099" spans="1:13" x14ac:dyDescent="0.25">
      <c r="A3099" s="417" t="s">
        <v>3385</v>
      </c>
      <c r="B3099" s="417" t="s">
        <v>3405</v>
      </c>
      <c r="C3099" s="417" t="s">
        <v>8636</v>
      </c>
      <c r="D3099" s="417" t="s">
        <v>224</v>
      </c>
      <c r="E3099" s="423">
        <v>2.4392276871582439E-2</v>
      </c>
      <c r="F3099" s="423">
        <v>1.320850431675466E-2</v>
      </c>
      <c r="G3099" s="422">
        <v>246.5678779327645</v>
      </c>
      <c r="H3099" s="417" t="s">
        <v>2616</v>
      </c>
      <c r="I3099" s="417" t="s">
        <v>1392</v>
      </c>
      <c r="J3099" s="417" t="s">
        <v>8072</v>
      </c>
      <c r="K3099" s="417" t="s">
        <v>8637</v>
      </c>
      <c r="L3099" s="417"/>
      <c r="M3099" s="417" t="s">
        <v>28840</v>
      </c>
    </row>
    <row r="3100" spans="1:13" x14ac:dyDescent="0.25">
      <c r="A3100" s="417" t="s">
        <v>3385</v>
      </c>
      <c r="B3100" s="417" t="s">
        <v>3405</v>
      </c>
      <c r="C3100" s="417" t="s">
        <v>8638</v>
      </c>
      <c r="D3100" s="417" t="s">
        <v>224</v>
      </c>
      <c r="E3100" s="423">
        <v>0.31181536167639312</v>
      </c>
      <c r="F3100" s="423">
        <v>4.8539010181933663E-2</v>
      </c>
      <c r="G3100" s="422">
        <v>407.36203917232768</v>
      </c>
      <c r="H3100" s="417" t="s">
        <v>2616</v>
      </c>
      <c r="I3100" s="417" t="s">
        <v>1392</v>
      </c>
      <c r="J3100" s="417" t="s">
        <v>8072</v>
      </c>
      <c r="K3100" s="417" t="s">
        <v>8639</v>
      </c>
      <c r="L3100" s="417"/>
      <c r="M3100" s="417" t="s">
        <v>28840</v>
      </c>
    </row>
    <row r="3101" spans="1:13" x14ac:dyDescent="0.25">
      <c r="A3101" s="417" t="s">
        <v>3385</v>
      </c>
      <c r="B3101" s="417" t="s">
        <v>3405</v>
      </c>
      <c r="C3101" s="417" t="s">
        <v>8640</v>
      </c>
      <c r="D3101" s="417" t="s">
        <v>224</v>
      </c>
      <c r="E3101" s="423">
        <v>0.70998633535740008</v>
      </c>
      <c r="F3101" s="423">
        <v>1.5824929894726121E-2</v>
      </c>
      <c r="G3101" s="422">
        <v>935.81440688185864</v>
      </c>
      <c r="H3101" s="417" t="s">
        <v>2616</v>
      </c>
      <c r="I3101" s="417" t="s">
        <v>1392</v>
      </c>
      <c r="J3101" s="417" t="s">
        <v>8072</v>
      </c>
      <c r="K3101" s="417" t="s">
        <v>8641</v>
      </c>
      <c r="L3101" s="417"/>
      <c r="M3101" s="417" t="s">
        <v>28840</v>
      </c>
    </row>
    <row r="3102" spans="1:13" x14ac:dyDescent="0.25">
      <c r="A3102" s="417" t="s">
        <v>3385</v>
      </c>
      <c r="B3102" s="417" t="s">
        <v>3405</v>
      </c>
      <c r="C3102" s="417" t="s">
        <v>8642</v>
      </c>
      <c r="D3102" s="417" t="s">
        <v>224</v>
      </c>
      <c r="E3102" s="423">
        <v>0.28722540064861579</v>
      </c>
      <c r="F3102" s="423">
        <v>2.1185637001302191E-2</v>
      </c>
      <c r="G3102" s="422">
        <v>370.85154700827468</v>
      </c>
      <c r="H3102" s="417" t="s">
        <v>2616</v>
      </c>
      <c r="I3102" s="417" t="s">
        <v>1392</v>
      </c>
      <c r="J3102" s="417" t="s">
        <v>8072</v>
      </c>
      <c r="K3102" s="417" t="s">
        <v>8643</v>
      </c>
      <c r="L3102" s="417"/>
      <c r="M3102" s="417" t="s">
        <v>28840</v>
      </c>
    </row>
    <row r="3103" spans="1:13" x14ac:dyDescent="0.25">
      <c r="A3103" s="417" t="s">
        <v>3385</v>
      </c>
      <c r="B3103" s="417" t="s">
        <v>3405</v>
      </c>
      <c r="C3103" s="417" t="s">
        <v>8644</v>
      </c>
      <c r="D3103" s="417" t="s">
        <v>224</v>
      </c>
      <c r="E3103" s="423">
        <v>0.49017831827992853</v>
      </c>
      <c r="F3103" s="423">
        <v>5.4079987517223267E-2</v>
      </c>
      <c r="G3103" s="422">
        <v>831.24175500231604</v>
      </c>
      <c r="H3103" s="417" t="s">
        <v>2616</v>
      </c>
      <c r="I3103" s="417" t="s">
        <v>1392</v>
      </c>
      <c r="J3103" s="417" t="s">
        <v>8072</v>
      </c>
      <c r="K3103" s="417" t="s">
        <v>8645</v>
      </c>
      <c r="L3103" s="417"/>
      <c r="M3103" s="417" t="s">
        <v>28840</v>
      </c>
    </row>
    <row r="3104" spans="1:13" x14ac:dyDescent="0.25">
      <c r="A3104" s="417" t="s">
        <v>3385</v>
      </c>
      <c r="B3104" s="417" t="s">
        <v>3405</v>
      </c>
      <c r="C3104" s="417" t="s">
        <v>8646</v>
      </c>
      <c r="D3104" s="417" t="s">
        <v>224</v>
      </c>
      <c r="E3104" s="423">
        <v>0.45879864896481448</v>
      </c>
      <c r="F3104" s="423">
        <v>5.9701342661118748E-2</v>
      </c>
      <c r="G3104" s="422">
        <v>687.59133826981849</v>
      </c>
      <c r="H3104" s="417" t="s">
        <v>2616</v>
      </c>
      <c r="I3104" s="417" t="s">
        <v>1392</v>
      </c>
      <c r="J3104" s="417" t="s">
        <v>8072</v>
      </c>
      <c r="K3104" s="417" t="s">
        <v>8647</v>
      </c>
      <c r="L3104" s="417"/>
      <c r="M3104" s="417" t="s">
        <v>28840</v>
      </c>
    </row>
    <row r="3105" spans="1:13" x14ac:dyDescent="0.25">
      <c r="A3105" s="417" t="s">
        <v>3385</v>
      </c>
      <c r="B3105" s="417" t="s">
        <v>3405</v>
      </c>
      <c r="C3105" s="417" t="s">
        <v>8648</v>
      </c>
      <c r="D3105" s="417" t="s">
        <v>224</v>
      </c>
      <c r="E3105" s="423">
        <v>0.1191183065225719</v>
      </c>
      <c r="F3105" s="423">
        <v>0.13062093401025679</v>
      </c>
      <c r="G3105" s="422">
        <v>189.67647081206121</v>
      </c>
      <c r="H3105" s="417" t="s">
        <v>2616</v>
      </c>
      <c r="I3105" s="417" t="s">
        <v>1392</v>
      </c>
      <c r="J3105" s="417" t="s">
        <v>8072</v>
      </c>
      <c r="K3105" s="417" t="s">
        <v>8649</v>
      </c>
      <c r="L3105" s="417"/>
      <c r="M3105" s="417" t="s">
        <v>28840</v>
      </c>
    </row>
    <row r="3106" spans="1:13" x14ac:dyDescent="0.25">
      <c r="A3106" s="417" t="s">
        <v>3385</v>
      </c>
      <c r="B3106" s="417" t="s">
        <v>3405</v>
      </c>
      <c r="C3106" s="417" t="s">
        <v>8650</v>
      </c>
      <c r="D3106" s="417" t="s">
        <v>224</v>
      </c>
      <c r="E3106" s="423">
        <v>0.58692679440864148</v>
      </c>
      <c r="F3106" s="423">
        <v>2.5498772554708249E-3</v>
      </c>
      <c r="G3106" s="422">
        <v>737.51886500807393</v>
      </c>
      <c r="H3106" s="417" t="s">
        <v>2616</v>
      </c>
      <c r="I3106" s="417" t="s">
        <v>1392</v>
      </c>
      <c r="J3106" s="417" t="s">
        <v>8072</v>
      </c>
      <c r="K3106" s="417" t="s">
        <v>8651</v>
      </c>
      <c r="L3106" s="417"/>
      <c r="M3106" s="417" t="s">
        <v>28840</v>
      </c>
    </row>
    <row r="3107" spans="1:13" x14ac:dyDescent="0.25">
      <c r="A3107" s="417" t="s">
        <v>3385</v>
      </c>
      <c r="B3107" s="417" t="s">
        <v>3405</v>
      </c>
      <c r="C3107" s="417" t="s">
        <v>8652</v>
      </c>
      <c r="D3107" s="417" t="s">
        <v>224</v>
      </c>
      <c r="E3107" s="423">
        <v>0.44326521611607428</v>
      </c>
      <c r="F3107" s="423">
        <v>0.20191421544803109</v>
      </c>
      <c r="G3107" s="422">
        <v>780.41586040380116</v>
      </c>
      <c r="H3107" s="417" t="s">
        <v>2616</v>
      </c>
      <c r="I3107" s="417" t="s">
        <v>1392</v>
      </c>
      <c r="J3107" s="417" t="s">
        <v>8072</v>
      </c>
      <c r="K3107" s="417" t="s">
        <v>8653</v>
      </c>
      <c r="L3107" s="417"/>
      <c r="M3107" s="417" t="s">
        <v>28840</v>
      </c>
    </row>
    <row r="3108" spans="1:13" x14ac:dyDescent="0.25">
      <c r="A3108" s="417" t="s">
        <v>3385</v>
      </c>
      <c r="B3108" s="417" t="s">
        <v>3405</v>
      </c>
      <c r="C3108" s="417" t="s">
        <v>8654</v>
      </c>
      <c r="D3108" s="417" t="s">
        <v>224</v>
      </c>
      <c r="E3108" s="423">
        <v>0.47553898424803182</v>
      </c>
      <c r="F3108" s="423">
        <v>1.2723134558730251E-3</v>
      </c>
      <c r="G3108" s="422">
        <v>594.44497647799039</v>
      </c>
      <c r="H3108" s="417" t="s">
        <v>2616</v>
      </c>
      <c r="I3108" s="417" t="s">
        <v>1392</v>
      </c>
      <c r="J3108" s="417" t="s">
        <v>8072</v>
      </c>
      <c r="K3108" s="417" t="s">
        <v>8655</v>
      </c>
      <c r="L3108" s="417"/>
      <c r="M3108" s="417" t="s">
        <v>28840</v>
      </c>
    </row>
    <row r="3109" spans="1:13" x14ac:dyDescent="0.25">
      <c r="A3109" s="417" t="s">
        <v>3385</v>
      </c>
      <c r="B3109" s="417" t="s">
        <v>3405</v>
      </c>
      <c r="C3109" s="417" t="s">
        <v>8656</v>
      </c>
      <c r="D3109" s="417" t="s">
        <v>224</v>
      </c>
      <c r="E3109" s="423">
        <v>0.26805685463592599</v>
      </c>
      <c r="F3109" s="423">
        <v>3.3665598858873352E-2</v>
      </c>
      <c r="G3109" s="422">
        <v>530.77626045292857</v>
      </c>
      <c r="H3109" s="417" t="s">
        <v>2616</v>
      </c>
      <c r="I3109" s="417" t="s">
        <v>1392</v>
      </c>
      <c r="J3109" s="417" t="s">
        <v>8072</v>
      </c>
      <c r="K3109" s="417" t="s">
        <v>8657</v>
      </c>
      <c r="L3109" s="417"/>
      <c r="M3109" s="417" t="s">
        <v>28840</v>
      </c>
    </row>
    <row r="3110" spans="1:13" x14ac:dyDescent="0.25">
      <c r="A3110" s="417" t="s">
        <v>3385</v>
      </c>
      <c r="B3110" s="417" t="s">
        <v>3405</v>
      </c>
      <c r="C3110" s="417" t="s">
        <v>8658</v>
      </c>
      <c r="D3110" s="417" t="s">
        <v>224</v>
      </c>
      <c r="E3110" s="423">
        <v>0.2015450492664865</v>
      </c>
      <c r="F3110" s="423">
        <v>1.5004244851510031E-2</v>
      </c>
      <c r="G3110" s="422">
        <v>444.54144303881952</v>
      </c>
      <c r="H3110" s="417" t="s">
        <v>2616</v>
      </c>
      <c r="I3110" s="417" t="s">
        <v>1392</v>
      </c>
      <c r="J3110" s="417" t="s">
        <v>8072</v>
      </c>
      <c r="K3110" s="417" t="s">
        <v>8659</v>
      </c>
      <c r="L3110" s="417"/>
      <c r="M3110" s="417" t="s">
        <v>28840</v>
      </c>
    </row>
    <row r="3111" spans="1:13" x14ac:dyDescent="0.25">
      <c r="A3111" s="417" t="s">
        <v>3385</v>
      </c>
      <c r="B3111" s="417" t="s">
        <v>3405</v>
      </c>
      <c r="C3111" s="417" t="s">
        <v>8660</v>
      </c>
      <c r="D3111" s="417" t="s">
        <v>224</v>
      </c>
      <c r="E3111" s="423">
        <v>9.4506379979659542E-3</v>
      </c>
      <c r="F3111" s="423">
        <v>6.9904226789778792E-4</v>
      </c>
      <c r="G3111" s="422">
        <v>33.224984726644429</v>
      </c>
      <c r="H3111" s="417" t="s">
        <v>2616</v>
      </c>
      <c r="I3111" s="417" t="s">
        <v>1392</v>
      </c>
      <c r="J3111" s="417" t="s">
        <v>8072</v>
      </c>
      <c r="K3111" s="417" t="s">
        <v>8661</v>
      </c>
      <c r="L3111" s="417"/>
      <c r="M3111" s="417" t="s">
        <v>28840</v>
      </c>
    </row>
    <row r="3112" spans="1:13" x14ac:dyDescent="0.25">
      <c r="A3112" s="417" t="s">
        <v>3385</v>
      </c>
      <c r="B3112" s="417" t="s">
        <v>3405</v>
      </c>
      <c r="C3112" s="417" t="s">
        <v>8662</v>
      </c>
      <c r="D3112" s="417" t="s">
        <v>224</v>
      </c>
      <c r="E3112" s="423">
        <v>0.10632518068920831</v>
      </c>
      <c r="F3112" s="423">
        <v>9.7699478382028207E-2</v>
      </c>
      <c r="G3112" s="422">
        <v>383.9336777447333</v>
      </c>
      <c r="H3112" s="417" t="s">
        <v>2616</v>
      </c>
      <c r="I3112" s="417" t="s">
        <v>1392</v>
      </c>
      <c r="J3112" s="417" t="s">
        <v>8072</v>
      </c>
      <c r="K3112" s="417" t="s">
        <v>8663</v>
      </c>
      <c r="L3112" s="417"/>
      <c r="M3112" s="417" t="s">
        <v>28840</v>
      </c>
    </row>
    <row r="3113" spans="1:13" x14ac:dyDescent="0.25">
      <c r="A3113" s="417" t="s">
        <v>3385</v>
      </c>
      <c r="B3113" s="417" t="s">
        <v>3405</v>
      </c>
      <c r="C3113" s="417" t="s">
        <v>8664</v>
      </c>
      <c r="D3113" s="417" t="s">
        <v>224</v>
      </c>
      <c r="E3113" s="423">
        <v>5.9011862992700628E-2</v>
      </c>
      <c r="F3113" s="423">
        <v>1.275627505828607E-2</v>
      </c>
      <c r="G3113" s="422">
        <v>627.02672184226344</v>
      </c>
      <c r="H3113" s="417" t="s">
        <v>2616</v>
      </c>
      <c r="I3113" s="417" t="s">
        <v>1392</v>
      </c>
      <c r="J3113" s="417" t="s">
        <v>8072</v>
      </c>
      <c r="K3113" s="417" t="s">
        <v>8665</v>
      </c>
      <c r="L3113" s="417"/>
      <c r="M3113" s="417" t="s">
        <v>28840</v>
      </c>
    </row>
    <row r="3114" spans="1:13" x14ac:dyDescent="0.25">
      <c r="A3114" s="417" t="s">
        <v>3385</v>
      </c>
      <c r="B3114" s="417" t="s">
        <v>3405</v>
      </c>
      <c r="C3114" s="417" t="s">
        <v>8666</v>
      </c>
      <c r="D3114" s="417" t="s">
        <v>224</v>
      </c>
      <c r="E3114" s="423">
        <v>0.1606809649417989</v>
      </c>
      <c r="F3114" s="423">
        <v>1.0141812443884619</v>
      </c>
      <c r="G3114" s="422">
        <v>239.46235816467191</v>
      </c>
      <c r="H3114" s="417" t="s">
        <v>2616</v>
      </c>
      <c r="I3114" s="417" t="s">
        <v>1392</v>
      </c>
      <c r="J3114" s="417" t="s">
        <v>8063</v>
      </c>
      <c r="K3114" s="417" t="s">
        <v>8667</v>
      </c>
      <c r="L3114" s="417"/>
      <c r="M3114" s="417" t="s">
        <v>28840</v>
      </c>
    </row>
    <row r="3115" spans="1:13" x14ac:dyDescent="0.25">
      <c r="A3115" s="417" t="s">
        <v>3385</v>
      </c>
      <c r="B3115" s="417" t="s">
        <v>3405</v>
      </c>
      <c r="C3115" s="417" t="s">
        <v>8668</v>
      </c>
      <c r="D3115" s="417" t="s">
        <v>224</v>
      </c>
      <c r="E3115" s="423">
        <v>0.78007418078989532</v>
      </c>
      <c r="F3115" s="423">
        <v>1.8411071262225329E-2</v>
      </c>
      <c r="G3115" s="422">
        <v>1042.684636711296</v>
      </c>
      <c r="H3115" s="417" t="s">
        <v>2616</v>
      </c>
      <c r="I3115" s="417" t="s">
        <v>1392</v>
      </c>
      <c r="J3115" s="417" t="s">
        <v>8063</v>
      </c>
      <c r="K3115" s="417" t="s">
        <v>8669</v>
      </c>
      <c r="L3115" s="417"/>
      <c r="M3115" s="417" t="s">
        <v>28840</v>
      </c>
    </row>
    <row r="3116" spans="1:13" x14ac:dyDescent="0.25">
      <c r="A3116" s="417" t="s">
        <v>3385</v>
      </c>
      <c r="B3116" s="417" t="s">
        <v>3405</v>
      </c>
      <c r="C3116" s="417" t="s">
        <v>8670</v>
      </c>
      <c r="D3116" s="417" t="s">
        <v>224</v>
      </c>
      <c r="E3116" s="423">
        <v>0.64226454911695197</v>
      </c>
      <c r="F3116" s="423">
        <v>2.8674784881321611E-3</v>
      </c>
      <c r="G3116" s="422">
        <v>810.0495333039197</v>
      </c>
      <c r="H3116" s="417" t="s">
        <v>2616</v>
      </c>
      <c r="I3116" s="417" t="s">
        <v>1392</v>
      </c>
      <c r="J3116" s="417" t="s">
        <v>8063</v>
      </c>
      <c r="K3116" s="417" t="s">
        <v>8671</v>
      </c>
      <c r="L3116" s="417"/>
      <c r="M3116" s="417" t="s">
        <v>28840</v>
      </c>
    </row>
    <row r="3117" spans="1:13" x14ac:dyDescent="0.25">
      <c r="A3117" s="417" t="s">
        <v>3385</v>
      </c>
      <c r="B3117" s="417" t="s">
        <v>3405</v>
      </c>
      <c r="C3117" s="417" t="s">
        <v>8672</v>
      </c>
      <c r="D3117" s="417" t="s">
        <v>224</v>
      </c>
      <c r="E3117" s="423">
        <v>6.7127505586872485E-2</v>
      </c>
      <c r="F3117" s="423">
        <v>0.80513002427506819</v>
      </c>
      <c r="G3117" s="422">
        <v>254.5553525843398</v>
      </c>
      <c r="H3117" s="417" t="s">
        <v>2616</v>
      </c>
      <c r="I3117" s="417" t="s">
        <v>1392</v>
      </c>
      <c r="J3117" s="417" t="s">
        <v>8063</v>
      </c>
      <c r="K3117" s="417" t="s">
        <v>8673</v>
      </c>
      <c r="L3117" s="417"/>
      <c r="M3117" s="417" t="s">
        <v>28840</v>
      </c>
    </row>
    <row r="3118" spans="1:13" x14ac:dyDescent="0.25">
      <c r="A3118" s="417" t="s">
        <v>3385</v>
      </c>
      <c r="B3118" s="417" t="s">
        <v>3405</v>
      </c>
      <c r="C3118" s="417" t="s">
        <v>8674</v>
      </c>
      <c r="D3118" s="417" t="s">
        <v>224</v>
      </c>
      <c r="E3118" s="423">
        <v>6.7127503674425951E-2</v>
      </c>
      <c r="F3118" s="423">
        <v>0.80513002395790667</v>
      </c>
      <c r="G3118" s="422">
        <v>254.55534819717479</v>
      </c>
      <c r="H3118" s="417" t="s">
        <v>2616</v>
      </c>
      <c r="I3118" s="417" t="s">
        <v>1392</v>
      </c>
      <c r="J3118" s="417" t="s">
        <v>8063</v>
      </c>
      <c r="K3118" s="417" t="s">
        <v>8675</v>
      </c>
      <c r="L3118" s="417"/>
      <c r="M3118" s="417" t="s">
        <v>28840</v>
      </c>
    </row>
    <row r="3119" spans="1:13" x14ac:dyDescent="0.25">
      <c r="A3119" s="417" t="s">
        <v>3385</v>
      </c>
      <c r="B3119" s="417" t="s">
        <v>3405</v>
      </c>
      <c r="C3119" s="417" t="s">
        <v>8676</v>
      </c>
      <c r="D3119" s="417" t="s">
        <v>224</v>
      </c>
      <c r="E3119" s="423">
        <v>1.060947739269384</v>
      </c>
      <c r="F3119" s="423">
        <v>4.7780047111774283E-3</v>
      </c>
      <c r="G3119" s="422">
        <v>1269.7748850252419</v>
      </c>
      <c r="H3119" s="417" t="s">
        <v>2616</v>
      </c>
      <c r="I3119" s="417" t="s">
        <v>1392</v>
      </c>
      <c r="J3119" s="417" t="s">
        <v>8063</v>
      </c>
      <c r="K3119" s="417" t="s">
        <v>8677</v>
      </c>
      <c r="L3119" s="417"/>
      <c r="M3119" s="417" t="s">
        <v>28840</v>
      </c>
    </row>
    <row r="3120" spans="1:13" x14ac:dyDescent="0.25">
      <c r="A3120" s="417" t="s">
        <v>3385</v>
      </c>
      <c r="B3120" s="417" t="s">
        <v>3405</v>
      </c>
      <c r="C3120" s="417" t="s">
        <v>8678</v>
      </c>
      <c r="D3120" s="417" t="s">
        <v>224</v>
      </c>
      <c r="E3120" s="423">
        <v>1.11067180374625</v>
      </c>
      <c r="F3120" s="423">
        <v>4.0756454389411119E-3</v>
      </c>
      <c r="G3120" s="422">
        <v>1348.3334237951731</v>
      </c>
      <c r="H3120" s="417" t="s">
        <v>2616</v>
      </c>
      <c r="I3120" s="417" t="s">
        <v>1392</v>
      </c>
      <c r="J3120" s="417" t="s">
        <v>8063</v>
      </c>
      <c r="K3120" s="417" t="s">
        <v>8679</v>
      </c>
      <c r="L3120" s="417"/>
      <c r="M3120" s="417" t="s">
        <v>28840</v>
      </c>
    </row>
    <row r="3121" spans="1:13" x14ac:dyDescent="0.25">
      <c r="A3121" s="417" t="s">
        <v>3385</v>
      </c>
      <c r="B3121" s="417" t="s">
        <v>3405</v>
      </c>
      <c r="C3121" s="417" t="s">
        <v>8680</v>
      </c>
      <c r="D3121" s="417" t="s">
        <v>224</v>
      </c>
      <c r="E3121" s="423">
        <v>8.4382385171730429E-3</v>
      </c>
      <c r="F3121" s="423">
        <v>1.9454503378517671E-4</v>
      </c>
      <c r="G3121" s="422">
        <v>28.593256420660119</v>
      </c>
      <c r="H3121" s="417" t="s">
        <v>2616</v>
      </c>
      <c r="I3121" s="417" t="s">
        <v>1392</v>
      </c>
      <c r="J3121" s="417" t="s">
        <v>8063</v>
      </c>
      <c r="K3121" s="417" t="s">
        <v>8681</v>
      </c>
      <c r="L3121" s="417"/>
      <c r="M3121" s="417" t="s">
        <v>28840</v>
      </c>
    </row>
    <row r="3122" spans="1:13" x14ac:dyDescent="0.25">
      <c r="A3122" s="417" t="s">
        <v>3385</v>
      </c>
      <c r="B3122" s="417" t="s">
        <v>3405</v>
      </c>
      <c r="C3122" s="417" t="s">
        <v>8682</v>
      </c>
      <c r="D3122" s="417" t="s">
        <v>224</v>
      </c>
      <c r="E3122" s="423">
        <v>7.1838702188547912E-3</v>
      </c>
      <c r="F3122" s="423">
        <v>2.17137349339478E-4</v>
      </c>
      <c r="G3122" s="422">
        <v>23.485130222725839</v>
      </c>
      <c r="H3122" s="417" t="s">
        <v>2616</v>
      </c>
      <c r="I3122" s="417" t="s">
        <v>1392</v>
      </c>
      <c r="J3122" s="417" t="s">
        <v>8063</v>
      </c>
      <c r="K3122" s="417" t="s">
        <v>8683</v>
      </c>
      <c r="L3122" s="417"/>
      <c r="M3122" s="417" t="s">
        <v>28840</v>
      </c>
    </row>
    <row r="3123" spans="1:13" x14ac:dyDescent="0.25">
      <c r="A3123" s="417" t="s">
        <v>3385</v>
      </c>
      <c r="B3123" s="417" t="s">
        <v>3405</v>
      </c>
      <c r="C3123" s="417" t="s">
        <v>8684</v>
      </c>
      <c r="D3123" s="417" t="s">
        <v>224</v>
      </c>
      <c r="E3123" s="423">
        <v>0.1279500829556956</v>
      </c>
      <c r="F3123" s="423">
        <v>3.08202279575156E-2</v>
      </c>
      <c r="G3123" s="422">
        <v>576.32462869408232</v>
      </c>
      <c r="H3123" s="417" t="s">
        <v>2616</v>
      </c>
      <c r="I3123" s="417" t="s">
        <v>1392</v>
      </c>
      <c r="J3123" s="417" t="s">
        <v>8063</v>
      </c>
      <c r="K3123" s="417" t="s">
        <v>8685</v>
      </c>
      <c r="L3123" s="417"/>
      <c r="M3123" s="417" t="s">
        <v>28840</v>
      </c>
    </row>
    <row r="3124" spans="1:13" x14ac:dyDescent="0.25">
      <c r="A3124" s="417" t="s">
        <v>3385</v>
      </c>
      <c r="B3124" s="417" t="s">
        <v>3405</v>
      </c>
      <c r="C3124" s="417" t="s">
        <v>8686</v>
      </c>
      <c r="D3124" s="417" t="s">
        <v>224</v>
      </c>
      <c r="E3124" s="423">
        <v>1.9293673757997631E-2</v>
      </c>
      <c r="F3124" s="423">
        <v>2.564579011562627E-4</v>
      </c>
      <c r="G3124" s="422">
        <v>61.638261080397157</v>
      </c>
      <c r="H3124" s="417" t="s">
        <v>2616</v>
      </c>
      <c r="I3124" s="417" t="s">
        <v>1392</v>
      </c>
      <c r="J3124" s="417" t="s">
        <v>8063</v>
      </c>
      <c r="K3124" s="417" t="s">
        <v>8687</v>
      </c>
      <c r="L3124" s="417"/>
      <c r="M3124" s="417" t="s">
        <v>28840</v>
      </c>
    </row>
    <row r="3125" spans="1:13" x14ac:dyDescent="0.25">
      <c r="A3125" s="417" t="s">
        <v>3385</v>
      </c>
      <c r="B3125" s="417" t="s">
        <v>3405</v>
      </c>
      <c r="C3125" s="417" t="s">
        <v>8688</v>
      </c>
      <c r="D3125" s="417" t="s">
        <v>224</v>
      </c>
      <c r="E3125" s="423">
        <v>7.7552708465574126E-3</v>
      </c>
      <c r="F3125" s="423">
        <v>2.4274001954813939E-4</v>
      </c>
      <c r="G3125" s="422">
        <v>24.48269290280685</v>
      </c>
      <c r="H3125" s="417" t="s">
        <v>2616</v>
      </c>
      <c r="I3125" s="417" t="s">
        <v>1392</v>
      </c>
      <c r="J3125" s="417" t="s">
        <v>8063</v>
      </c>
      <c r="K3125" s="417" t="s">
        <v>8689</v>
      </c>
      <c r="L3125" s="417"/>
      <c r="M3125" s="417" t="s">
        <v>28840</v>
      </c>
    </row>
    <row r="3126" spans="1:13" x14ac:dyDescent="0.25">
      <c r="A3126" s="417" t="s">
        <v>3385</v>
      </c>
      <c r="B3126" s="417" t="s">
        <v>3405</v>
      </c>
      <c r="C3126" s="417" t="s">
        <v>8690</v>
      </c>
      <c r="D3126" s="417" t="s">
        <v>224</v>
      </c>
      <c r="E3126" s="423">
        <v>6.3704462460655274E-3</v>
      </c>
      <c r="F3126" s="423">
        <v>1.8274842856391449E-4</v>
      </c>
      <c r="G3126" s="422">
        <v>22.298543792296989</v>
      </c>
      <c r="H3126" s="417" t="s">
        <v>2616</v>
      </c>
      <c r="I3126" s="417" t="s">
        <v>1392</v>
      </c>
      <c r="J3126" s="417" t="s">
        <v>8063</v>
      </c>
      <c r="K3126" s="417" t="s">
        <v>8691</v>
      </c>
      <c r="L3126" s="417"/>
      <c r="M3126" s="417" t="s">
        <v>28840</v>
      </c>
    </row>
    <row r="3127" spans="1:13" x14ac:dyDescent="0.25">
      <c r="A3127" s="417" t="s">
        <v>3385</v>
      </c>
      <c r="B3127" s="417" t="s">
        <v>3405</v>
      </c>
      <c r="C3127" s="417" t="s">
        <v>8692</v>
      </c>
      <c r="D3127" s="417" t="s">
        <v>224</v>
      </c>
      <c r="E3127" s="423">
        <v>6.2708061210017541E-3</v>
      </c>
      <c r="F3127" s="423">
        <v>1.748858489436693E-4</v>
      </c>
      <c r="G3127" s="422">
        <v>21.71825544562704</v>
      </c>
      <c r="H3127" s="417" t="s">
        <v>2616</v>
      </c>
      <c r="I3127" s="417" t="s">
        <v>1392</v>
      </c>
      <c r="J3127" s="417" t="s">
        <v>8063</v>
      </c>
      <c r="K3127" s="417" t="s">
        <v>8693</v>
      </c>
      <c r="L3127" s="417"/>
      <c r="M3127" s="417" t="s">
        <v>28840</v>
      </c>
    </row>
    <row r="3128" spans="1:13" x14ac:dyDescent="0.25">
      <c r="A3128" s="417" t="s">
        <v>3385</v>
      </c>
      <c r="B3128" s="417" t="s">
        <v>3405</v>
      </c>
      <c r="C3128" s="417" t="s">
        <v>8694</v>
      </c>
      <c r="D3128" s="417" t="s">
        <v>224</v>
      </c>
      <c r="E3128" s="423">
        <v>1.094594915319836</v>
      </c>
      <c r="F3128" s="423">
        <v>1.029022436841243E-3</v>
      </c>
      <c r="G3128" s="422">
        <v>1277.555956710461</v>
      </c>
      <c r="H3128" s="417" t="s">
        <v>2616</v>
      </c>
      <c r="I3128" s="417" t="s">
        <v>1392</v>
      </c>
      <c r="J3128" s="417" t="s">
        <v>8063</v>
      </c>
      <c r="K3128" s="417" t="s">
        <v>8695</v>
      </c>
      <c r="L3128" s="417"/>
      <c r="M3128" s="417" t="s">
        <v>28840</v>
      </c>
    </row>
    <row r="3129" spans="1:13" x14ac:dyDescent="0.25">
      <c r="A3129" s="417" t="s">
        <v>3385</v>
      </c>
      <c r="B3129" s="417" t="s">
        <v>3405</v>
      </c>
      <c r="C3129" s="417" t="s">
        <v>8696</v>
      </c>
      <c r="D3129" s="417" t="s">
        <v>224</v>
      </c>
      <c r="E3129" s="423">
        <v>0.54443086494741089</v>
      </c>
      <c r="F3129" s="423">
        <v>1.7442083320308179E-3</v>
      </c>
      <c r="G3129" s="422">
        <v>674.90847762712133</v>
      </c>
      <c r="H3129" s="417" t="s">
        <v>2616</v>
      </c>
      <c r="I3129" s="417" t="s">
        <v>1392</v>
      </c>
      <c r="J3129" s="417" t="s">
        <v>8063</v>
      </c>
      <c r="K3129" s="417" t="s">
        <v>8697</v>
      </c>
      <c r="L3129" s="417"/>
      <c r="M3129" s="417" t="s">
        <v>28840</v>
      </c>
    </row>
    <row r="3130" spans="1:13" x14ac:dyDescent="0.25">
      <c r="A3130" s="417" t="s">
        <v>3385</v>
      </c>
      <c r="B3130" s="417" t="s">
        <v>3405</v>
      </c>
      <c r="C3130" s="417" t="s">
        <v>8698</v>
      </c>
      <c r="D3130" s="417" t="s">
        <v>224</v>
      </c>
      <c r="E3130" s="423">
        <v>0.48461737707170988</v>
      </c>
      <c r="F3130" s="423">
        <v>2.0114579173878861E-3</v>
      </c>
      <c r="G3130" s="422">
        <v>607.78169836317988</v>
      </c>
      <c r="H3130" s="417" t="s">
        <v>2616</v>
      </c>
      <c r="I3130" s="417" t="s">
        <v>1392</v>
      </c>
      <c r="J3130" s="417" t="s">
        <v>8063</v>
      </c>
      <c r="K3130" s="417" t="s">
        <v>8699</v>
      </c>
      <c r="L3130" s="417"/>
      <c r="M3130" s="417" t="s">
        <v>28840</v>
      </c>
    </row>
    <row r="3131" spans="1:13" x14ac:dyDescent="0.25">
      <c r="A3131" s="417" t="s">
        <v>3385</v>
      </c>
      <c r="B3131" s="417" t="s">
        <v>3405</v>
      </c>
      <c r="C3131" s="417" t="s">
        <v>8700</v>
      </c>
      <c r="D3131" s="417" t="s">
        <v>224</v>
      </c>
      <c r="E3131" s="423">
        <v>0.51972279743952732</v>
      </c>
      <c r="F3131" s="423">
        <v>1.674693595597724E-3</v>
      </c>
      <c r="G3131" s="422">
        <v>646.68472168768835</v>
      </c>
      <c r="H3131" s="417" t="s">
        <v>2616</v>
      </c>
      <c r="I3131" s="417" t="s">
        <v>1392</v>
      </c>
      <c r="J3131" s="417" t="s">
        <v>8063</v>
      </c>
      <c r="K3131" s="417" t="s">
        <v>8701</v>
      </c>
      <c r="L3131" s="417"/>
      <c r="M3131" s="417" t="s">
        <v>28840</v>
      </c>
    </row>
    <row r="3132" spans="1:13" x14ac:dyDescent="0.25">
      <c r="A3132" s="417" t="s">
        <v>3385</v>
      </c>
      <c r="B3132" s="417" t="s">
        <v>3405</v>
      </c>
      <c r="C3132" s="417" t="s">
        <v>8702</v>
      </c>
      <c r="D3132" s="417" t="s">
        <v>224</v>
      </c>
      <c r="E3132" s="423">
        <v>1.8433704484391071E-2</v>
      </c>
      <c r="F3132" s="423">
        <v>2.9478373021777851E-4</v>
      </c>
      <c r="G3132" s="422">
        <v>596.80803499036267</v>
      </c>
      <c r="H3132" s="417" t="s">
        <v>2616</v>
      </c>
      <c r="I3132" s="417" t="s">
        <v>1392</v>
      </c>
      <c r="J3132" s="417" t="s">
        <v>8063</v>
      </c>
      <c r="K3132" s="417" t="s">
        <v>8703</v>
      </c>
      <c r="L3132" s="417"/>
      <c r="M3132" s="417" t="s">
        <v>28840</v>
      </c>
    </row>
    <row r="3133" spans="1:13" x14ac:dyDescent="0.25">
      <c r="A3133" s="417" t="s">
        <v>3385</v>
      </c>
      <c r="B3133" s="417" t="s">
        <v>3405</v>
      </c>
      <c r="C3133" s="417" t="s">
        <v>8704</v>
      </c>
      <c r="D3133" s="417" t="s">
        <v>224</v>
      </c>
      <c r="E3133" s="423">
        <v>9.2679878330147979E-3</v>
      </c>
      <c r="F3133" s="423">
        <v>3.4078378137616981E-4</v>
      </c>
      <c r="G3133" s="422">
        <v>864.01349739888099</v>
      </c>
      <c r="H3133" s="417" t="s">
        <v>2616</v>
      </c>
      <c r="I3133" s="417" t="s">
        <v>1392</v>
      </c>
      <c r="J3133" s="417" t="s">
        <v>8063</v>
      </c>
      <c r="K3133" s="417" t="s">
        <v>8705</v>
      </c>
      <c r="L3133" s="417"/>
      <c r="M3133" s="417" t="s">
        <v>28840</v>
      </c>
    </row>
    <row r="3134" spans="1:13" x14ac:dyDescent="0.25">
      <c r="A3134" s="417" t="s">
        <v>3385</v>
      </c>
      <c r="B3134" s="417" t="s">
        <v>3405</v>
      </c>
      <c r="C3134" s="417" t="s">
        <v>8706</v>
      </c>
      <c r="D3134" s="417" t="s">
        <v>224</v>
      </c>
      <c r="E3134" s="423">
        <v>1.6735704253107921E-2</v>
      </c>
      <c r="F3134" s="423">
        <v>2.809537656611886E-4</v>
      </c>
      <c r="G3134" s="422">
        <v>565.83648462791177</v>
      </c>
      <c r="H3134" s="417" t="s">
        <v>2616</v>
      </c>
      <c r="I3134" s="417" t="s">
        <v>1392</v>
      </c>
      <c r="J3134" s="417" t="s">
        <v>8063</v>
      </c>
      <c r="K3134" s="417" t="s">
        <v>8707</v>
      </c>
      <c r="L3134" s="417"/>
      <c r="M3134" s="417" t="s">
        <v>28840</v>
      </c>
    </row>
    <row r="3135" spans="1:13" x14ac:dyDescent="0.25">
      <c r="A3135" s="417" t="s">
        <v>3385</v>
      </c>
      <c r="B3135" s="417" t="s">
        <v>3405</v>
      </c>
      <c r="C3135" s="417" t="s">
        <v>8708</v>
      </c>
      <c r="D3135" s="417" t="s">
        <v>224</v>
      </c>
      <c r="E3135" s="423">
        <v>9.2679878330147996E-3</v>
      </c>
      <c r="F3135" s="423">
        <v>3.4078378137616981E-4</v>
      </c>
      <c r="G3135" s="422">
        <v>864.01349739888099</v>
      </c>
      <c r="H3135" s="417" t="s">
        <v>2616</v>
      </c>
      <c r="I3135" s="417" t="s">
        <v>1392</v>
      </c>
      <c r="J3135" s="417" t="s">
        <v>8063</v>
      </c>
      <c r="K3135" s="417" t="s">
        <v>8709</v>
      </c>
      <c r="L3135" s="417"/>
      <c r="M3135" s="417" t="s">
        <v>28840</v>
      </c>
    </row>
    <row r="3136" spans="1:13" x14ac:dyDescent="0.25">
      <c r="A3136" s="417" t="s">
        <v>3385</v>
      </c>
      <c r="B3136" s="417" t="s">
        <v>3405</v>
      </c>
      <c r="C3136" s="417" t="s">
        <v>8710</v>
      </c>
      <c r="D3136" s="417" t="s">
        <v>224</v>
      </c>
      <c r="E3136" s="423">
        <v>1.7538155129266549E-2</v>
      </c>
      <c r="F3136" s="423">
        <v>2.8749538555341642E-4</v>
      </c>
      <c r="G3136" s="422">
        <v>580.47895251146133</v>
      </c>
      <c r="H3136" s="417" t="s">
        <v>2616</v>
      </c>
      <c r="I3136" s="417" t="s">
        <v>1392</v>
      </c>
      <c r="J3136" s="417" t="s">
        <v>8063</v>
      </c>
      <c r="K3136" s="417" t="s">
        <v>8711</v>
      </c>
      <c r="L3136" s="417"/>
      <c r="M3136" s="417" t="s">
        <v>28840</v>
      </c>
    </row>
    <row r="3137" spans="1:13" x14ac:dyDescent="0.25">
      <c r="A3137" s="417" t="s">
        <v>3385</v>
      </c>
      <c r="B3137" s="417" t="s">
        <v>3405</v>
      </c>
      <c r="C3137" s="417" t="s">
        <v>8712</v>
      </c>
      <c r="D3137" s="417" t="s">
        <v>224</v>
      </c>
      <c r="E3137" s="423">
        <v>0.99678728859910626</v>
      </c>
      <c r="F3137" s="423">
        <v>3.3064634819648712E-3</v>
      </c>
      <c r="G3137" s="422">
        <v>1396.1974057602099</v>
      </c>
      <c r="H3137" s="417" t="s">
        <v>2616</v>
      </c>
      <c r="I3137" s="417" t="s">
        <v>1392</v>
      </c>
      <c r="J3137" s="417" t="s">
        <v>8063</v>
      </c>
      <c r="K3137" s="417" t="s">
        <v>8713</v>
      </c>
      <c r="L3137" s="417"/>
      <c r="M3137" s="417" t="s">
        <v>28840</v>
      </c>
    </row>
    <row r="3138" spans="1:13" x14ac:dyDescent="0.25">
      <c r="A3138" s="417" t="s">
        <v>3385</v>
      </c>
      <c r="B3138" s="417" t="s">
        <v>3405</v>
      </c>
      <c r="C3138" s="417" t="s">
        <v>8714</v>
      </c>
      <c r="D3138" s="417" t="s">
        <v>224</v>
      </c>
      <c r="E3138" s="423">
        <v>1.0032335011066551</v>
      </c>
      <c r="F3138" s="423">
        <v>3.3525231465938712E-3</v>
      </c>
      <c r="G3138" s="422">
        <v>1407.9009220874329</v>
      </c>
      <c r="H3138" s="417" t="s">
        <v>2616</v>
      </c>
      <c r="I3138" s="417" t="s">
        <v>1392</v>
      </c>
      <c r="J3138" s="417" t="s">
        <v>8063</v>
      </c>
      <c r="K3138" s="417" t="s">
        <v>8715</v>
      </c>
      <c r="L3138" s="417"/>
      <c r="M3138" s="417" t="s">
        <v>28840</v>
      </c>
    </row>
    <row r="3139" spans="1:13" x14ac:dyDescent="0.25">
      <c r="A3139" s="417" t="s">
        <v>3385</v>
      </c>
      <c r="B3139" s="417" t="s">
        <v>3405</v>
      </c>
      <c r="C3139" s="417" t="s">
        <v>8716</v>
      </c>
      <c r="D3139" s="417" t="s">
        <v>224</v>
      </c>
      <c r="E3139" s="423">
        <v>3.4811375476246402E-2</v>
      </c>
      <c r="F3139" s="423">
        <v>1.634034723495199E-3</v>
      </c>
      <c r="G3139" s="422">
        <v>88.460322661415731</v>
      </c>
      <c r="H3139" s="417" t="s">
        <v>2616</v>
      </c>
      <c r="I3139" s="417" t="s">
        <v>1392</v>
      </c>
      <c r="J3139" s="417" t="s">
        <v>8063</v>
      </c>
      <c r="K3139" s="417" t="s">
        <v>8717</v>
      </c>
      <c r="L3139" s="417"/>
      <c r="M3139" s="417" t="s">
        <v>28840</v>
      </c>
    </row>
    <row r="3140" spans="1:13" x14ac:dyDescent="0.25">
      <c r="A3140" s="417" t="s">
        <v>3385</v>
      </c>
      <c r="B3140" s="417" t="s">
        <v>3405</v>
      </c>
      <c r="C3140" s="417" t="s">
        <v>8718</v>
      </c>
      <c r="D3140" s="417" t="s">
        <v>224</v>
      </c>
      <c r="E3140" s="423">
        <v>3.4811375476246402E-2</v>
      </c>
      <c r="F3140" s="423">
        <v>1.634034723495199E-3</v>
      </c>
      <c r="G3140" s="422">
        <v>88.460322661415731</v>
      </c>
      <c r="H3140" s="417" t="s">
        <v>2616</v>
      </c>
      <c r="I3140" s="417" t="s">
        <v>1392</v>
      </c>
      <c r="J3140" s="417" t="s">
        <v>8063</v>
      </c>
      <c r="K3140" s="417" t="s">
        <v>8719</v>
      </c>
      <c r="L3140" s="417"/>
      <c r="M3140" s="417" t="s">
        <v>28840</v>
      </c>
    </row>
    <row r="3141" spans="1:13" x14ac:dyDescent="0.25">
      <c r="A3141" s="417" t="s">
        <v>3385</v>
      </c>
      <c r="B3141" s="417" t="s">
        <v>3405</v>
      </c>
      <c r="C3141" s="417" t="s">
        <v>8720</v>
      </c>
      <c r="D3141" s="417" t="s">
        <v>224</v>
      </c>
      <c r="E3141" s="423">
        <v>3.2905719238579482E-2</v>
      </c>
      <c r="F3141" s="423">
        <v>1.552778920566298E-3</v>
      </c>
      <c r="G3141" s="422">
        <v>81.88323516540666</v>
      </c>
      <c r="H3141" s="417" t="s">
        <v>2616</v>
      </c>
      <c r="I3141" s="417" t="s">
        <v>1392</v>
      </c>
      <c r="J3141" s="417" t="s">
        <v>8063</v>
      </c>
      <c r="K3141" s="417" t="s">
        <v>8721</v>
      </c>
      <c r="L3141" s="417"/>
      <c r="M3141" s="417" t="s">
        <v>28840</v>
      </c>
    </row>
    <row r="3142" spans="1:13" x14ac:dyDescent="0.25">
      <c r="A3142" s="417" t="s">
        <v>3385</v>
      </c>
      <c r="B3142" s="417" t="s">
        <v>3405</v>
      </c>
      <c r="C3142" s="417" t="s">
        <v>8722</v>
      </c>
      <c r="D3142" s="417" t="s">
        <v>224</v>
      </c>
      <c r="E3142" s="423">
        <v>7.4382123578407853E-3</v>
      </c>
      <c r="F3142" s="423">
        <v>2.329998321804015E-4</v>
      </c>
      <c r="G3142" s="422">
        <v>24.50522055685834</v>
      </c>
      <c r="H3142" s="417" t="s">
        <v>2616</v>
      </c>
      <c r="I3142" s="417" t="s">
        <v>1392</v>
      </c>
      <c r="J3142" s="417" t="s">
        <v>8063</v>
      </c>
      <c r="K3142" s="417" t="s">
        <v>8723</v>
      </c>
      <c r="L3142" s="417"/>
      <c r="M3142" s="417" t="s">
        <v>28840</v>
      </c>
    </row>
    <row r="3143" spans="1:13" x14ac:dyDescent="0.25">
      <c r="A3143" s="417" t="s">
        <v>3385</v>
      </c>
      <c r="B3143" s="417" t="s">
        <v>3405</v>
      </c>
      <c r="C3143" s="417" t="s">
        <v>8724</v>
      </c>
      <c r="D3143" s="417" t="s">
        <v>224</v>
      </c>
      <c r="E3143" s="423">
        <v>2.4518017956384449E-3</v>
      </c>
      <c r="F3143" s="423">
        <v>2.3170094536499221E-5</v>
      </c>
      <c r="G3143" s="422">
        <v>3.815024019174464</v>
      </c>
      <c r="H3143" s="417" t="s">
        <v>2616</v>
      </c>
      <c r="I3143" s="417" t="s">
        <v>1392</v>
      </c>
      <c r="J3143" s="417" t="s">
        <v>8063</v>
      </c>
      <c r="K3143" s="417" t="s">
        <v>8725</v>
      </c>
      <c r="L3143" s="417"/>
      <c r="M3143" s="417" t="s">
        <v>28840</v>
      </c>
    </row>
    <row r="3144" spans="1:13" x14ac:dyDescent="0.25">
      <c r="A3144" s="417" t="s">
        <v>3385</v>
      </c>
      <c r="B3144" s="417" t="s">
        <v>3405</v>
      </c>
      <c r="C3144" s="417" t="s">
        <v>8726</v>
      </c>
      <c r="D3144" s="417" t="s">
        <v>224</v>
      </c>
      <c r="E3144" s="423">
        <v>1.7041027205745869E-2</v>
      </c>
      <c r="F3144" s="423">
        <v>5.0647308235103117E-4</v>
      </c>
      <c r="G3144" s="422">
        <v>46.331055442485059</v>
      </c>
      <c r="H3144" s="417" t="s">
        <v>2616</v>
      </c>
      <c r="I3144" s="417" t="s">
        <v>1392</v>
      </c>
      <c r="J3144" s="417" t="s">
        <v>8063</v>
      </c>
      <c r="K3144" s="417" t="s">
        <v>8727</v>
      </c>
      <c r="L3144" s="417"/>
      <c r="M3144" s="417" t="s">
        <v>28840</v>
      </c>
    </row>
    <row r="3145" spans="1:13" x14ac:dyDescent="0.25">
      <c r="A3145" s="417" t="s">
        <v>3385</v>
      </c>
      <c r="B3145" s="417" t="s">
        <v>3405</v>
      </c>
      <c r="C3145" s="417" t="s">
        <v>8728</v>
      </c>
      <c r="D3145" s="417" t="s">
        <v>224</v>
      </c>
      <c r="E3145" s="423">
        <v>2.0330541978319641E-2</v>
      </c>
      <c r="F3145" s="423">
        <v>6.6042674827419216E-4</v>
      </c>
      <c r="G3145" s="422">
        <v>52.771902575744313</v>
      </c>
      <c r="H3145" s="417" t="s">
        <v>2616</v>
      </c>
      <c r="I3145" s="417" t="s">
        <v>1392</v>
      </c>
      <c r="J3145" s="417" t="s">
        <v>8063</v>
      </c>
      <c r="K3145" s="417" t="s">
        <v>8729</v>
      </c>
      <c r="L3145" s="417"/>
      <c r="M3145" s="417" t="s">
        <v>28840</v>
      </c>
    </row>
    <row r="3146" spans="1:13" x14ac:dyDescent="0.25">
      <c r="A3146" s="417" t="s">
        <v>3385</v>
      </c>
      <c r="B3146" s="417" t="s">
        <v>3405</v>
      </c>
      <c r="C3146" s="417" t="s">
        <v>8730</v>
      </c>
      <c r="D3146" s="417" t="s">
        <v>224</v>
      </c>
      <c r="E3146" s="423">
        <v>0.20001675450184059</v>
      </c>
      <c r="F3146" s="423">
        <v>7.7182061940193059E-2</v>
      </c>
      <c r="G3146" s="422">
        <v>396.97378521002628</v>
      </c>
      <c r="H3146" s="417" t="s">
        <v>2616</v>
      </c>
      <c r="I3146" s="417" t="s">
        <v>1392</v>
      </c>
      <c r="J3146" s="417" t="s">
        <v>8072</v>
      </c>
      <c r="K3146" s="417" t="s">
        <v>8731</v>
      </c>
      <c r="L3146" s="417"/>
      <c r="M3146" s="417" t="s">
        <v>28840</v>
      </c>
    </row>
    <row r="3147" spans="1:13" x14ac:dyDescent="0.25">
      <c r="A3147" s="417" t="s">
        <v>3385</v>
      </c>
      <c r="B3147" s="417" t="s">
        <v>3405</v>
      </c>
      <c r="C3147" s="417" t="s">
        <v>8732</v>
      </c>
      <c r="D3147" s="417" t="s">
        <v>224</v>
      </c>
      <c r="E3147" s="423">
        <v>0.56662100170373719</v>
      </c>
      <c r="F3147" s="423">
        <v>1.8603625592563969E-2</v>
      </c>
      <c r="G3147" s="422">
        <v>802.21499314141397</v>
      </c>
      <c r="H3147" s="417" t="s">
        <v>2616</v>
      </c>
      <c r="I3147" s="417" t="s">
        <v>1392</v>
      </c>
      <c r="J3147" s="417" t="s">
        <v>8072</v>
      </c>
      <c r="K3147" s="417" t="s">
        <v>8733</v>
      </c>
      <c r="L3147" s="417"/>
      <c r="M3147" s="417" t="s">
        <v>28840</v>
      </c>
    </row>
    <row r="3148" spans="1:13" x14ac:dyDescent="0.25">
      <c r="A3148" s="417" t="s">
        <v>3385</v>
      </c>
      <c r="B3148" s="417" t="s">
        <v>3405</v>
      </c>
      <c r="C3148" s="417" t="s">
        <v>8734</v>
      </c>
      <c r="D3148" s="417" t="s">
        <v>224</v>
      </c>
      <c r="E3148" s="423">
        <v>0.36077275700449762</v>
      </c>
      <c r="F3148" s="423">
        <v>5.6231240101588488E-3</v>
      </c>
      <c r="G3148" s="422">
        <v>468.60967296066161</v>
      </c>
      <c r="H3148" s="417" t="s">
        <v>2616</v>
      </c>
      <c r="I3148" s="417" t="s">
        <v>1392</v>
      </c>
      <c r="J3148" s="417" t="s">
        <v>8072</v>
      </c>
      <c r="K3148" s="417" t="s">
        <v>8735</v>
      </c>
      <c r="L3148" s="417"/>
      <c r="M3148" s="417" t="s">
        <v>28840</v>
      </c>
    </row>
    <row r="3149" spans="1:13" x14ac:dyDescent="0.25">
      <c r="A3149" s="417" t="s">
        <v>3385</v>
      </c>
      <c r="B3149" s="417" t="s">
        <v>3405</v>
      </c>
      <c r="C3149" s="417" t="s">
        <v>8736</v>
      </c>
      <c r="D3149" s="417" t="s">
        <v>224</v>
      </c>
      <c r="E3149" s="423">
        <v>0.2247804680884069</v>
      </c>
      <c r="F3149" s="423">
        <v>3.1512977665464653E-2</v>
      </c>
      <c r="G3149" s="422">
        <v>295.78800140771938</v>
      </c>
      <c r="H3149" s="417" t="s">
        <v>2616</v>
      </c>
      <c r="I3149" s="417" t="s">
        <v>1392</v>
      </c>
      <c r="J3149" s="417" t="s">
        <v>8072</v>
      </c>
      <c r="K3149" s="417" t="s">
        <v>8737</v>
      </c>
      <c r="L3149" s="417"/>
      <c r="M3149" s="417" t="s">
        <v>28840</v>
      </c>
    </row>
    <row r="3150" spans="1:13" x14ac:dyDescent="0.25">
      <c r="A3150" s="417" t="s">
        <v>3385</v>
      </c>
      <c r="B3150" s="417" t="s">
        <v>3405</v>
      </c>
      <c r="C3150" s="417" t="s">
        <v>8738</v>
      </c>
      <c r="D3150" s="417" t="s">
        <v>224</v>
      </c>
      <c r="E3150" s="423">
        <v>0.21779642618109021</v>
      </c>
      <c r="F3150" s="423">
        <v>3.1798306872903491E-2</v>
      </c>
      <c r="G3150" s="422">
        <v>522.13970231065366</v>
      </c>
      <c r="H3150" s="417" t="s">
        <v>2616</v>
      </c>
      <c r="I3150" s="417" t="s">
        <v>1392</v>
      </c>
      <c r="J3150" s="417" t="s">
        <v>8072</v>
      </c>
      <c r="K3150" s="417" t="s">
        <v>8739</v>
      </c>
      <c r="L3150" s="417"/>
      <c r="M3150" s="417" t="s">
        <v>28840</v>
      </c>
    </row>
    <row r="3151" spans="1:13" x14ac:dyDescent="0.25">
      <c r="A3151" s="417" t="s">
        <v>3385</v>
      </c>
      <c r="B3151" s="417" t="s">
        <v>3405</v>
      </c>
      <c r="C3151" s="417" t="s">
        <v>8740</v>
      </c>
      <c r="D3151" s="417" t="s">
        <v>224</v>
      </c>
      <c r="E3151" s="423">
        <v>0.84934559376633889</v>
      </c>
      <c r="F3151" s="423">
        <v>5.7474880022085152E-2</v>
      </c>
      <c r="G3151" s="422">
        <v>1031.83278792036</v>
      </c>
      <c r="H3151" s="417" t="s">
        <v>2616</v>
      </c>
      <c r="I3151" s="417" t="s">
        <v>1392</v>
      </c>
      <c r="J3151" s="417" t="s">
        <v>8072</v>
      </c>
      <c r="K3151" s="417" t="s">
        <v>8741</v>
      </c>
      <c r="L3151" s="417"/>
      <c r="M3151" s="417" t="s">
        <v>28840</v>
      </c>
    </row>
    <row r="3152" spans="1:13" x14ac:dyDescent="0.25">
      <c r="A3152" s="417" t="s">
        <v>3385</v>
      </c>
      <c r="B3152" s="417" t="s">
        <v>3405</v>
      </c>
      <c r="C3152" s="417" t="s">
        <v>8742</v>
      </c>
      <c r="D3152" s="417" t="s">
        <v>224</v>
      </c>
      <c r="E3152" s="423">
        <v>0.32923086039906219</v>
      </c>
      <c r="F3152" s="423">
        <v>1.422876406489787E-2</v>
      </c>
      <c r="G3152" s="422">
        <v>431.54816322818601</v>
      </c>
      <c r="H3152" s="417" t="s">
        <v>2616</v>
      </c>
      <c r="I3152" s="417" t="s">
        <v>1392</v>
      </c>
      <c r="J3152" s="417" t="s">
        <v>8072</v>
      </c>
      <c r="K3152" s="417" t="s">
        <v>8743</v>
      </c>
      <c r="L3152" s="417"/>
      <c r="M3152" s="417" t="s">
        <v>28840</v>
      </c>
    </row>
    <row r="3153" spans="1:13" x14ac:dyDescent="0.25">
      <c r="A3153" s="417" t="s">
        <v>3385</v>
      </c>
      <c r="B3153" s="417" t="s">
        <v>3405</v>
      </c>
      <c r="C3153" s="417" t="s">
        <v>8744</v>
      </c>
      <c r="D3153" s="417" t="s">
        <v>224</v>
      </c>
      <c r="E3153" s="423">
        <v>0.56328082220467535</v>
      </c>
      <c r="F3153" s="423">
        <v>1.553724160900716E-3</v>
      </c>
      <c r="G3153" s="422">
        <v>689.94121509054457</v>
      </c>
      <c r="H3153" s="417" t="s">
        <v>2616</v>
      </c>
      <c r="I3153" s="417" t="s">
        <v>1392</v>
      </c>
      <c r="J3153" s="417" t="s">
        <v>8072</v>
      </c>
      <c r="K3153" s="417" t="s">
        <v>8745</v>
      </c>
      <c r="L3153" s="417"/>
      <c r="M3153" s="417" t="s">
        <v>28840</v>
      </c>
    </row>
    <row r="3154" spans="1:13" x14ac:dyDescent="0.25">
      <c r="A3154" s="417" t="s">
        <v>3385</v>
      </c>
      <c r="B3154" s="417" t="s">
        <v>3405</v>
      </c>
      <c r="C3154" s="417" t="s">
        <v>8746</v>
      </c>
      <c r="D3154" s="417" t="s">
        <v>224</v>
      </c>
      <c r="E3154" s="423">
        <v>0.95056394664658128</v>
      </c>
      <c r="F3154" s="423">
        <v>1.9841135341329131E-2</v>
      </c>
      <c r="G3154" s="422">
        <v>1437.3522307454459</v>
      </c>
      <c r="H3154" s="417" t="s">
        <v>2616</v>
      </c>
      <c r="I3154" s="417" t="s">
        <v>1392</v>
      </c>
      <c r="J3154" s="417" t="s">
        <v>8072</v>
      </c>
      <c r="K3154" s="417" t="s">
        <v>8747</v>
      </c>
      <c r="L3154" s="417"/>
      <c r="M3154" s="417" t="s">
        <v>28840</v>
      </c>
    </row>
    <row r="3155" spans="1:13" x14ac:dyDescent="0.25">
      <c r="A3155" s="417" t="s">
        <v>3385</v>
      </c>
      <c r="B3155" s="417" t="s">
        <v>3405</v>
      </c>
      <c r="C3155" s="417" t="s">
        <v>8748</v>
      </c>
      <c r="D3155" s="417" t="s">
        <v>224</v>
      </c>
      <c r="E3155" s="423">
        <v>0.70563875624756689</v>
      </c>
      <c r="F3155" s="423">
        <v>2.325565890614013E-3</v>
      </c>
      <c r="G3155" s="422">
        <v>933.57060305194659</v>
      </c>
      <c r="H3155" s="417" t="s">
        <v>2616</v>
      </c>
      <c r="I3155" s="417" t="s">
        <v>1392</v>
      </c>
      <c r="J3155" s="417" t="s">
        <v>8072</v>
      </c>
      <c r="K3155" s="417" t="s">
        <v>8749</v>
      </c>
      <c r="L3155" s="417"/>
      <c r="M3155" s="417" t="s">
        <v>28840</v>
      </c>
    </row>
    <row r="3156" spans="1:13" x14ac:dyDescent="0.25">
      <c r="A3156" s="417" t="s">
        <v>3385</v>
      </c>
      <c r="B3156" s="417" t="s">
        <v>3405</v>
      </c>
      <c r="C3156" s="417" t="s">
        <v>8750</v>
      </c>
      <c r="D3156" s="417" t="s">
        <v>224</v>
      </c>
      <c r="E3156" s="423">
        <v>0.53833033020835064</v>
      </c>
      <c r="F3156" s="423">
        <v>2.63753428134593E-3</v>
      </c>
      <c r="G3156" s="422">
        <v>692.98942141238706</v>
      </c>
      <c r="H3156" s="417" t="s">
        <v>2616</v>
      </c>
      <c r="I3156" s="417" t="s">
        <v>1392</v>
      </c>
      <c r="J3156" s="417" t="s">
        <v>8072</v>
      </c>
      <c r="K3156" s="417" t="s">
        <v>8751</v>
      </c>
      <c r="L3156" s="417"/>
      <c r="M3156" s="417" t="s">
        <v>28840</v>
      </c>
    </row>
    <row r="3157" spans="1:13" x14ac:dyDescent="0.25">
      <c r="A3157" s="417" t="s">
        <v>3385</v>
      </c>
      <c r="B3157" s="417" t="s">
        <v>3405</v>
      </c>
      <c r="C3157" s="417" t="s">
        <v>8752</v>
      </c>
      <c r="D3157" s="417" t="s">
        <v>224</v>
      </c>
      <c r="E3157" s="423">
        <v>3.0026028330803829E-2</v>
      </c>
      <c r="F3157" s="423">
        <v>3.063813298873118E-5</v>
      </c>
      <c r="G3157" s="422">
        <v>39.498185444634572</v>
      </c>
      <c r="H3157" s="417" t="s">
        <v>2616</v>
      </c>
      <c r="I3157" s="417" t="s">
        <v>1392</v>
      </c>
      <c r="J3157" s="417" t="s">
        <v>8072</v>
      </c>
      <c r="K3157" s="417" t="s">
        <v>8753</v>
      </c>
      <c r="L3157" s="417"/>
      <c r="M3157" s="417" t="s">
        <v>28840</v>
      </c>
    </row>
    <row r="3158" spans="1:13" x14ac:dyDescent="0.25">
      <c r="A3158" s="417" t="s">
        <v>3385</v>
      </c>
      <c r="B3158" s="417" t="s">
        <v>3405</v>
      </c>
      <c r="C3158" s="417" t="s">
        <v>8754</v>
      </c>
      <c r="D3158" s="417" t="s">
        <v>224</v>
      </c>
      <c r="E3158" s="423">
        <v>0.35441016414249082</v>
      </c>
      <c r="F3158" s="423">
        <v>3.8627727319070368E-2</v>
      </c>
      <c r="G3158" s="422">
        <v>450.60491917507039</v>
      </c>
      <c r="H3158" s="417" t="s">
        <v>2616</v>
      </c>
      <c r="I3158" s="417" t="s">
        <v>1392</v>
      </c>
      <c r="J3158" s="417" t="s">
        <v>8072</v>
      </c>
      <c r="K3158" s="417" t="s">
        <v>8755</v>
      </c>
      <c r="L3158" s="417"/>
      <c r="M3158" s="417" t="s">
        <v>28840</v>
      </c>
    </row>
    <row r="3159" spans="1:13" x14ac:dyDescent="0.25">
      <c r="A3159" s="417" t="s">
        <v>3385</v>
      </c>
      <c r="B3159" s="417" t="s">
        <v>3405</v>
      </c>
      <c r="C3159" s="417" t="s">
        <v>8756</v>
      </c>
      <c r="D3159" s="417" t="s">
        <v>224</v>
      </c>
      <c r="E3159" s="423">
        <v>0.56225000038630146</v>
      </c>
      <c r="F3159" s="423">
        <v>3.2818971793829879E-2</v>
      </c>
      <c r="G3159" s="422">
        <v>784.30691897650354</v>
      </c>
      <c r="H3159" s="417" t="s">
        <v>2616</v>
      </c>
      <c r="I3159" s="417" t="s">
        <v>1392</v>
      </c>
      <c r="J3159" s="417" t="s">
        <v>8072</v>
      </c>
      <c r="K3159" s="417" t="s">
        <v>8757</v>
      </c>
      <c r="L3159" s="417"/>
      <c r="M3159" s="417" t="s">
        <v>28840</v>
      </c>
    </row>
    <row r="3160" spans="1:13" x14ac:dyDescent="0.25">
      <c r="A3160" s="417" t="s">
        <v>3385</v>
      </c>
      <c r="B3160" s="417" t="s">
        <v>3405</v>
      </c>
      <c r="C3160" s="417" t="s">
        <v>8758</v>
      </c>
      <c r="D3160" s="417" t="s">
        <v>224</v>
      </c>
      <c r="E3160" s="423">
        <v>0.55255164862966188</v>
      </c>
      <c r="F3160" s="423">
        <v>1.454849012984886E-2</v>
      </c>
      <c r="G3160" s="422">
        <v>879.4823987495115</v>
      </c>
      <c r="H3160" s="417" t="s">
        <v>2616</v>
      </c>
      <c r="I3160" s="417" t="s">
        <v>1392</v>
      </c>
      <c r="J3160" s="417" t="s">
        <v>8072</v>
      </c>
      <c r="K3160" s="417" t="s">
        <v>8759</v>
      </c>
      <c r="L3160" s="417"/>
      <c r="M3160" s="417" t="s">
        <v>28840</v>
      </c>
    </row>
    <row r="3161" spans="1:13" x14ac:dyDescent="0.25">
      <c r="A3161" s="417" t="s">
        <v>3385</v>
      </c>
      <c r="B3161" s="417" t="s">
        <v>3405</v>
      </c>
      <c r="C3161" s="417" t="s">
        <v>8760</v>
      </c>
      <c r="D3161" s="417" t="s">
        <v>224</v>
      </c>
      <c r="E3161" s="423">
        <v>0.85323291353051889</v>
      </c>
      <c r="F3161" s="423">
        <v>2.5122029198828251E-3</v>
      </c>
      <c r="G3161" s="422">
        <v>1130.366869885557</v>
      </c>
      <c r="H3161" s="417" t="s">
        <v>2616</v>
      </c>
      <c r="I3161" s="417" t="s">
        <v>1392</v>
      </c>
      <c r="J3161" s="417" t="s">
        <v>8072</v>
      </c>
      <c r="K3161" s="417" t="s">
        <v>8761</v>
      </c>
      <c r="L3161" s="417"/>
      <c r="M3161" s="417" t="s">
        <v>28840</v>
      </c>
    </row>
    <row r="3162" spans="1:13" x14ac:dyDescent="0.25">
      <c r="A3162" s="417" t="s">
        <v>3385</v>
      </c>
      <c r="B3162" s="417" t="s">
        <v>3405</v>
      </c>
      <c r="C3162" s="417" t="s">
        <v>8762</v>
      </c>
      <c r="D3162" s="417" t="s">
        <v>224</v>
      </c>
      <c r="E3162" s="423">
        <v>0.12893029260215119</v>
      </c>
      <c r="F3162" s="423">
        <v>6.3065110950213582E-2</v>
      </c>
      <c r="G3162" s="422">
        <v>212.59625129241749</v>
      </c>
      <c r="H3162" s="417" t="s">
        <v>2616</v>
      </c>
      <c r="I3162" s="417" t="s">
        <v>1392</v>
      </c>
      <c r="J3162" s="417" t="s">
        <v>8072</v>
      </c>
      <c r="K3162" s="417" t="s">
        <v>8763</v>
      </c>
      <c r="L3162" s="417"/>
      <c r="M3162" s="417" t="s">
        <v>28840</v>
      </c>
    </row>
    <row r="3163" spans="1:13" x14ac:dyDescent="0.25">
      <c r="A3163" s="417" t="s">
        <v>3385</v>
      </c>
      <c r="B3163" s="417" t="s">
        <v>3405</v>
      </c>
      <c r="C3163" s="417" t="s">
        <v>8764</v>
      </c>
      <c r="D3163" s="417" t="s">
        <v>224</v>
      </c>
      <c r="E3163" s="423">
        <v>0.28149033126149531</v>
      </c>
      <c r="F3163" s="423">
        <v>0.1038946282261867</v>
      </c>
      <c r="G3163" s="422">
        <v>482.51489650088331</v>
      </c>
      <c r="H3163" s="417" t="s">
        <v>2616</v>
      </c>
      <c r="I3163" s="417" t="s">
        <v>1392</v>
      </c>
      <c r="J3163" s="417" t="s">
        <v>8072</v>
      </c>
      <c r="K3163" s="417" t="s">
        <v>8765</v>
      </c>
      <c r="L3163" s="417"/>
      <c r="M3163" s="417" t="s">
        <v>28840</v>
      </c>
    </row>
    <row r="3164" spans="1:13" x14ac:dyDescent="0.25">
      <c r="A3164" s="417" t="s">
        <v>3385</v>
      </c>
      <c r="B3164" s="417" t="s">
        <v>3405</v>
      </c>
      <c r="C3164" s="417" t="s">
        <v>8766</v>
      </c>
      <c r="D3164" s="417" t="s">
        <v>224</v>
      </c>
      <c r="E3164" s="423">
        <v>0.1261849355726089</v>
      </c>
      <c r="F3164" s="423">
        <v>8.372158127505562E-2</v>
      </c>
      <c r="G3164" s="422">
        <v>180.63111239308219</v>
      </c>
      <c r="H3164" s="417" t="s">
        <v>2616</v>
      </c>
      <c r="I3164" s="417" t="s">
        <v>1392</v>
      </c>
      <c r="J3164" s="417" t="s">
        <v>8072</v>
      </c>
      <c r="K3164" s="417" t="s">
        <v>8767</v>
      </c>
      <c r="L3164" s="417"/>
      <c r="M3164" s="417" t="s">
        <v>28840</v>
      </c>
    </row>
    <row r="3165" spans="1:13" x14ac:dyDescent="0.25">
      <c r="A3165" s="417" t="s">
        <v>3385</v>
      </c>
      <c r="B3165" s="417" t="s">
        <v>3405</v>
      </c>
      <c r="C3165" s="417" t="s">
        <v>8768</v>
      </c>
      <c r="D3165" s="417" t="s">
        <v>224</v>
      </c>
      <c r="E3165" s="423">
        <v>0.84975973821154405</v>
      </c>
      <c r="F3165" s="423">
        <v>2.2187712578093039E-3</v>
      </c>
      <c r="G3165" s="422">
        <v>1006.88066009439</v>
      </c>
      <c r="H3165" s="417" t="s">
        <v>2616</v>
      </c>
      <c r="I3165" s="417" t="s">
        <v>1392</v>
      </c>
      <c r="J3165" s="417" t="s">
        <v>8072</v>
      </c>
      <c r="K3165" s="417" t="s">
        <v>8769</v>
      </c>
      <c r="L3165" s="417"/>
      <c r="M3165" s="417" t="s">
        <v>28840</v>
      </c>
    </row>
    <row r="3166" spans="1:13" x14ac:dyDescent="0.25">
      <c r="A3166" s="417" t="s">
        <v>3385</v>
      </c>
      <c r="B3166" s="417" t="s">
        <v>3405</v>
      </c>
      <c r="C3166" s="417" t="s">
        <v>8770</v>
      </c>
      <c r="D3166" s="417" t="s">
        <v>224</v>
      </c>
      <c r="E3166" s="423">
        <v>0.69870925011142559</v>
      </c>
      <c r="F3166" s="423">
        <v>8.3554432717409394E-3</v>
      </c>
      <c r="G3166" s="422">
        <v>1073.336767347213</v>
      </c>
      <c r="H3166" s="417" t="s">
        <v>2616</v>
      </c>
      <c r="I3166" s="417" t="s">
        <v>1392</v>
      </c>
      <c r="J3166" s="417" t="s">
        <v>8072</v>
      </c>
      <c r="K3166" s="417" t="s">
        <v>8771</v>
      </c>
      <c r="L3166" s="417"/>
      <c r="M3166" s="417" t="s">
        <v>28840</v>
      </c>
    </row>
    <row r="3167" spans="1:13" x14ac:dyDescent="0.25">
      <c r="A3167" s="417" t="s">
        <v>3385</v>
      </c>
      <c r="B3167" s="417" t="s">
        <v>3405</v>
      </c>
      <c r="C3167" s="417" t="s">
        <v>8772</v>
      </c>
      <c r="D3167" s="417" t="s">
        <v>224</v>
      </c>
      <c r="E3167" s="423">
        <v>0.53821830318469555</v>
      </c>
      <c r="F3167" s="423">
        <v>9.3868569982566864E-3</v>
      </c>
      <c r="G3167" s="422">
        <v>723.7213023418841</v>
      </c>
      <c r="H3167" s="417" t="s">
        <v>2616</v>
      </c>
      <c r="I3167" s="417" t="s">
        <v>1392</v>
      </c>
      <c r="J3167" s="417" t="s">
        <v>8072</v>
      </c>
      <c r="K3167" s="417" t="s">
        <v>8773</v>
      </c>
      <c r="L3167" s="417"/>
      <c r="M3167" s="417" t="s">
        <v>28840</v>
      </c>
    </row>
    <row r="3168" spans="1:13" x14ac:dyDescent="0.25">
      <c r="A3168" s="417" t="s">
        <v>3385</v>
      </c>
      <c r="B3168" s="417" t="s">
        <v>3405</v>
      </c>
      <c r="C3168" s="417" t="s">
        <v>8774</v>
      </c>
      <c r="D3168" s="417" t="s">
        <v>224</v>
      </c>
      <c r="E3168" s="423">
        <v>0.75348168408479232</v>
      </c>
      <c r="F3168" s="423">
        <v>7.7637100253072234E-3</v>
      </c>
      <c r="G3168" s="422">
        <v>928.64222000494544</v>
      </c>
      <c r="H3168" s="417" t="s">
        <v>2616</v>
      </c>
      <c r="I3168" s="417" t="s">
        <v>1392</v>
      </c>
      <c r="J3168" s="417" t="s">
        <v>8072</v>
      </c>
      <c r="K3168" s="417" t="s">
        <v>8775</v>
      </c>
      <c r="L3168" s="417"/>
      <c r="M3168" s="417" t="s">
        <v>28840</v>
      </c>
    </row>
    <row r="3169" spans="1:13" x14ac:dyDescent="0.25">
      <c r="A3169" s="417" t="s">
        <v>3385</v>
      </c>
      <c r="B3169" s="417" t="s">
        <v>3405</v>
      </c>
      <c r="C3169" s="417" t="s">
        <v>8776</v>
      </c>
      <c r="D3169" s="417" t="s">
        <v>224</v>
      </c>
      <c r="E3169" s="423">
        <v>0.45873865859815321</v>
      </c>
      <c r="F3169" s="423">
        <v>2.0993242239660329E-3</v>
      </c>
      <c r="G3169" s="422">
        <v>580.34599802555056</v>
      </c>
      <c r="H3169" s="417" t="s">
        <v>2616</v>
      </c>
      <c r="I3169" s="417" t="s">
        <v>1392</v>
      </c>
      <c r="J3169" s="417" t="s">
        <v>8072</v>
      </c>
      <c r="K3169" s="417" t="s">
        <v>8777</v>
      </c>
      <c r="L3169" s="417"/>
      <c r="M3169" s="417" t="s">
        <v>28840</v>
      </c>
    </row>
    <row r="3170" spans="1:13" x14ac:dyDescent="0.25">
      <c r="A3170" s="417" t="s">
        <v>3385</v>
      </c>
      <c r="B3170" s="417" t="s">
        <v>3405</v>
      </c>
      <c r="C3170" s="417" t="s">
        <v>8778</v>
      </c>
      <c r="D3170" s="417" t="s">
        <v>224</v>
      </c>
      <c r="E3170" s="423">
        <v>0.28147431454757488</v>
      </c>
      <c r="F3170" s="423">
        <v>4.0392778985214137E-2</v>
      </c>
      <c r="G3170" s="422">
        <v>382.88069570362842</v>
      </c>
      <c r="H3170" s="417" t="s">
        <v>2616</v>
      </c>
      <c r="I3170" s="417" t="s">
        <v>1392</v>
      </c>
      <c r="J3170" s="417" t="s">
        <v>8072</v>
      </c>
      <c r="K3170" s="417" t="s">
        <v>8779</v>
      </c>
      <c r="L3170" s="417"/>
      <c r="M3170" s="417" t="s">
        <v>28840</v>
      </c>
    </row>
    <row r="3171" spans="1:13" x14ac:dyDescent="0.25">
      <c r="A3171" s="417" t="s">
        <v>3385</v>
      </c>
      <c r="B3171" s="417" t="s">
        <v>3405</v>
      </c>
      <c r="C3171" s="417" t="s">
        <v>8780</v>
      </c>
      <c r="D3171" s="417" t="s">
        <v>224</v>
      </c>
      <c r="E3171" s="423">
        <v>4.3439246969804737E-2</v>
      </c>
      <c r="F3171" s="423">
        <v>3.310860804337936E-4</v>
      </c>
      <c r="G3171" s="422">
        <v>59.802247491897738</v>
      </c>
      <c r="H3171" s="417" t="s">
        <v>2616</v>
      </c>
      <c r="I3171" s="417" t="s">
        <v>1392</v>
      </c>
      <c r="J3171" s="417" t="s">
        <v>8072</v>
      </c>
      <c r="K3171" s="417" t="s">
        <v>8781</v>
      </c>
      <c r="L3171" s="417"/>
      <c r="M3171" s="417" t="s">
        <v>28840</v>
      </c>
    </row>
    <row r="3172" spans="1:13" x14ac:dyDescent="0.25">
      <c r="A3172" s="417" t="s">
        <v>3385</v>
      </c>
      <c r="B3172" s="417" t="s">
        <v>3405</v>
      </c>
      <c r="C3172" s="417" t="s">
        <v>8782</v>
      </c>
      <c r="D3172" s="417" t="s">
        <v>224</v>
      </c>
      <c r="E3172" s="423">
        <v>5.8821076074802178E-2</v>
      </c>
      <c r="F3172" s="423">
        <v>4.5541106353133742E-2</v>
      </c>
      <c r="G3172" s="422">
        <v>191.62980333668651</v>
      </c>
      <c r="H3172" s="417" t="s">
        <v>2616</v>
      </c>
      <c r="I3172" s="417" t="s">
        <v>1392</v>
      </c>
      <c r="J3172" s="417" t="s">
        <v>8072</v>
      </c>
      <c r="K3172" s="417" t="s">
        <v>8783</v>
      </c>
      <c r="L3172" s="417"/>
      <c r="M3172" s="417" t="s">
        <v>28840</v>
      </c>
    </row>
    <row r="3173" spans="1:13" x14ac:dyDescent="0.25">
      <c r="A3173" s="417" t="s">
        <v>3385</v>
      </c>
      <c r="B3173" s="417" t="s">
        <v>3405</v>
      </c>
      <c r="C3173" s="417" t="s">
        <v>8784</v>
      </c>
      <c r="D3173" s="417" t="s">
        <v>224</v>
      </c>
      <c r="E3173" s="423">
        <v>0.11692208803679741</v>
      </c>
      <c r="F3173" s="423">
        <v>1.271479290616336E-2</v>
      </c>
      <c r="G3173" s="422">
        <v>218.91298183763459</v>
      </c>
      <c r="H3173" s="417" t="s">
        <v>2616</v>
      </c>
      <c r="I3173" s="417" t="s">
        <v>1392</v>
      </c>
      <c r="J3173" s="417" t="s">
        <v>8072</v>
      </c>
      <c r="K3173" s="417" t="s">
        <v>8785</v>
      </c>
      <c r="L3173" s="417"/>
      <c r="M3173" s="417" t="s">
        <v>28840</v>
      </c>
    </row>
    <row r="3174" spans="1:13" x14ac:dyDescent="0.25">
      <c r="A3174" s="417" t="s">
        <v>3385</v>
      </c>
      <c r="B3174" s="417" t="s">
        <v>3405</v>
      </c>
      <c r="C3174" s="417" t="s">
        <v>8786</v>
      </c>
      <c r="D3174" s="417" t="s">
        <v>224</v>
      </c>
      <c r="E3174" s="423">
        <v>0.26893983365342639</v>
      </c>
      <c r="F3174" s="423">
        <v>8.5627522972544813E-3</v>
      </c>
      <c r="G3174" s="422">
        <v>346.89862265633047</v>
      </c>
      <c r="H3174" s="417" t="s">
        <v>2616</v>
      </c>
      <c r="I3174" s="417" t="s">
        <v>1392</v>
      </c>
      <c r="J3174" s="417" t="s">
        <v>8072</v>
      </c>
      <c r="K3174" s="417" t="s">
        <v>8787</v>
      </c>
      <c r="L3174" s="417"/>
      <c r="M3174" s="417" t="s">
        <v>28840</v>
      </c>
    </row>
    <row r="3175" spans="1:13" x14ac:dyDescent="0.25">
      <c r="A3175" s="417" t="s">
        <v>3385</v>
      </c>
      <c r="B3175" s="417" t="s">
        <v>3405</v>
      </c>
      <c r="C3175" s="417" t="s">
        <v>8788</v>
      </c>
      <c r="D3175" s="417" t="s">
        <v>224</v>
      </c>
      <c r="E3175" s="423">
        <v>0.80075174189714182</v>
      </c>
      <c r="F3175" s="423">
        <v>1.145959190989001E-2</v>
      </c>
      <c r="G3175" s="422">
        <v>968.51412512999877</v>
      </c>
      <c r="H3175" s="417" t="s">
        <v>2616</v>
      </c>
      <c r="I3175" s="417" t="s">
        <v>1392</v>
      </c>
      <c r="J3175" s="417" t="s">
        <v>8072</v>
      </c>
      <c r="K3175" s="417" t="s">
        <v>8789</v>
      </c>
      <c r="L3175" s="417"/>
      <c r="M3175" s="417" t="s">
        <v>28840</v>
      </c>
    </row>
    <row r="3176" spans="1:13" x14ac:dyDescent="0.25">
      <c r="A3176" s="417" t="s">
        <v>3385</v>
      </c>
      <c r="B3176" s="417" t="s">
        <v>3405</v>
      </c>
      <c r="C3176" s="417" t="s">
        <v>8790</v>
      </c>
      <c r="D3176" s="417" t="s">
        <v>224</v>
      </c>
      <c r="E3176" s="423">
        <v>0.52692293599184081</v>
      </c>
      <c r="F3176" s="423">
        <v>1.131276148515897E-2</v>
      </c>
      <c r="G3176" s="422">
        <v>804.10797089759967</v>
      </c>
      <c r="H3176" s="417" t="s">
        <v>2616</v>
      </c>
      <c r="I3176" s="417" t="s">
        <v>1392</v>
      </c>
      <c r="J3176" s="417" t="s">
        <v>8072</v>
      </c>
      <c r="K3176" s="417" t="s">
        <v>8791</v>
      </c>
      <c r="L3176" s="417"/>
      <c r="M3176" s="417" t="s">
        <v>28840</v>
      </c>
    </row>
    <row r="3177" spans="1:13" x14ac:dyDescent="0.25">
      <c r="A3177" s="417" t="s">
        <v>3385</v>
      </c>
      <c r="B3177" s="417" t="s">
        <v>3405</v>
      </c>
      <c r="C3177" s="417" t="s">
        <v>8792</v>
      </c>
      <c r="D3177" s="417" t="s">
        <v>224</v>
      </c>
      <c r="E3177" s="423">
        <v>0.7610740285126365</v>
      </c>
      <c r="F3177" s="423">
        <v>3.8082044094219857E-2</v>
      </c>
      <c r="G3177" s="422">
        <v>975.01654855202173</v>
      </c>
      <c r="H3177" s="417" t="s">
        <v>2616</v>
      </c>
      <c r="I3177" s="417" t="s">
        <v>1392</v>
      </c>
      <c r="J3177" s="417" t="s">
        <v>8072</v>
      </c>
      <c r="K3177" s="417" t="s">
        <v>8793</v>
      </c>
      <c r="L3177" s="417"/>
      <c r="M3177" s="417" t="s">
        <v>28840</v>
      </c>
    </row>
    <row r="3178" spans="1:13" x14ac:dyDescent="0.25">
      <c r="A3178" s="417" t="s">
        <v>3385</v>
      </c>
      <c r="B3178" s="417" t="s">
        <v>3405</v>
      </c>
      <c r="C3178" s="417" t="s">
        <v>8794</v>
      </c>
      <c r="D3178" s="417" t="s">
        <v>224</v>
      </c>
      <c r="E3178" s="423">
        <v>0.1797738609261241</v>
      </c>
      <c r="F3178" s="423">
        <v>5.4717071655587729E-2</v>
      </c>
      <c r="G3178" s="422">
        <v>265.73748062785688</v>
      </c>
      <c r="H3178" s="417" t="s">
        <v>2616</v>
      </c>
      <c r="I3178" s="417" t="s">
        <v>1392</v>
      </c>
      <c r="J3178" s="417" t="s">
        <v>8072</v>
      </c>
      <c r="K3178" s="417" t="s">
        <v>8795</v>
      </c>
      <c r="L3178" s="417"/>
      <c r="M3178" s="417" t="s">
        <v>28840</v>
      </c>
    </row>
    <row r="3179" spans="1:13" x14ac:dyDescent="0.25">
      <c r="A3179" s="417" t="s">
        <v>3385</v>
      </c>
      <c r="B3179" s="417" t="s">
        <v>3405</v>
      </c>
      <c r="C3179" s="417" t="s">
        <v>8796</v>
      </c>
      <c r="D3179" s="417" t="s">
        <v>224</v>
      </c>
      <c r="E3179" s="423">
        <v>0.50611408578211292</v>
      </c>
      <c r="F3179" s="423">
        <v>1.2282831060358411E-3</v>
      </c>
      <c r="G3179" s="422">
        <v>622.05210639895961</v>
      </c>
      <c r="H3179" s="417" t="s">
        <v>2616</v>
      </c>
      <c r="I3179" s="417" t="s">
        <v>1392</v>
      </c>
      <c r="J3179" s="417" t="s">
        <v>8072</v>
      </c>
      <c r="K3179" s="417" t="s">
        <v>8797</v>
      </c>
      <c r="L3179" s="417"/>
      <c r="M3179" s="417" t="s">
        <v>28840</v>
      </c>
    </row>
    <row r="3180" spans="1:13" x14ac:dyDescent="0.25">
      <c r="A3180" s="417" t="s">
        <v>3385</v>
      </c>
      <c r="B3180" s="417" t="s">
        <v>3405</v>
      </c>
      <c r="C3180" s="417" t="s">
        <v>8798</v>
      </c>
      <c r="D3180" s="417" t="s">
        <v>224</v>
      </c>
      <c r="E3180" s="423">
        <v>0.68213587947088217</v>
      </c>
      <c r="F3180" s="423">
        <v>2.8406427522767218E-3</v>
      </c>
      <c r="G3180" s="422">
        <v>832.59678375936892</v>
      </c>
      <c r="H3180" s="417" t="s">
        <v>2616</v>
      </c>
      <c r="I3180" s="417" t="s">
        <v>1392</v>
      </c>
      <c r="J3180" s="417" t="s">
        <v>8072</v>
      </c>
      <c r="K3180" s="417" t="s">
        <v>8799</v>
      </c>
      <c r="L3180" s="417"/>
      <c r="M3180" s="417" t="s">
        <v>28840</v>
      </c>
    </row>
    <row r="3181" spans="1:13" x14ac:dyDescent="0.25">
      <c r="A3181" s="417" t="s">
        <v>3385</v>
      </c>
      <c r="B3181" s="417" t="s">
        <v>3405</v>
      </c>
      <c r="C3181" s="417" t="s">
        <v>8800</v>
      </c>
      <c r="D3181" s="417" t="s">
        <v>224</v>
      </c>
      <c r="E3181" s="423">
        <v>0.71626159577166526</v>
      </c>
      <c r="F3181" s="423">
        <v>1.8351028677367449E-2</v>
      </c>
      <c r="G3181" s="422">
        <v>971.28404413161479</v>
      </c>
      <c r="H3181" s="417" t="s">
        <v>2616</v>
      </c>
      <c r="I3181" s="417" t="s">
        <v>1392</v>
      </c>
      <c r="J3181" s="417" t="s">
        <v>8072</v>
      </c>
      <c r="K3181" s="417" t="s">
        <v>8801</v>
      </c>
      <c r="L3181" s="417"/>
      <c r="M3181" s="417" t="s">
        <v>28840</v>
      </c>
    </row>
    <row r="3182" spans="1:13" x14ac:dyDescent="0.25">
      <c r="A3182" s="417" t="s">
        <v>3385</v>
      </c>
      <c r="B3182" s="417" t="s">
        <v>3405</v>
      </c>
      <c r="C3182" s="417" t="s">
        <v>8802</v>
      </c>
      <c r="D3182" s="417" t="s">
        <v>224</v>
      </c>
      <c r="E3182" s="423">
        <v>0.3132793267870212</v>
      </c>
      <c r="F3182" s="423">
        <v>2.852208312771172E-2</v>
      </c>
      <c r="G3182" s="422">
        <v>572.41586971028539</v>
      </c>
      <c r="H3182" s="417" t="s">
        <v>2616</v>
      </c>
      <c r="I3182" s="417" t="s">
        <v>1392</v>
      </c>
      <c r="J3182" s="417" t="s">
        <v>8072</v>
      </c>
      <c r="K3182" s="417" t="s">
        <v>8803</v>
      </c>
      <c r="L3182" s="417"/>
      <c r="M3182" s="417" t="s">
        <v>28840</v>
      </c>
    </row>
    <row r="3183" spans="1:13" x14ac:dyDescent="0.25">
      <c r="A3183" s="417" t="s">
        <v>3385</v>
      </c>
      <c r="B3183" s="417" t="s">
        <v>3405</v>
      </c>
      <c r="C3183" s="417" t="s">
        <v>8804</v>
      </c>
      <c r="D3183" s="417" t="s">
        <v>224</v>
      </c>
      <c r="E3183" s="423">
        <v>0.26509221054688292</v>
      </c>
      <c r="F3183" s="423">
        <v>4.1211509862379543E-2</v>
      </c>
      <c r="G3183" s="422">
        <v>377.03913770296839</v>
      </c>
      <c r="H3183" s="417" t="s">
        <v>2616</v>
      </c>
      <c r="I3183" s="417" t="s">
        <v>1392</v>
      </c>
      <c r="J3183" s="417" t="s">
        <v>8072</v>
      </c>
      <c r="K3183" s="417" t="s">
        <v>8805</v>
      </c>
      <c r="L3183" s="417"/>
      <c r="M3183" s="417" t="s">
        <v>28840</v>
      </c>
    </row>
    <row r="3184" spans="1:13" x14ac:dyDescent="0.25">
      <c r="A3184" s="417" t="s">
        <v>3385</v>
      </c>
      <c r="B3184" s="417" t="s">
        <v>3405</v>
      </c>
      <c r="C3184" s="417" t="s">
        <v>8806</v>
      </c>
      <c r="D3184" s="417" t="s">
        <v>224</v>
      </c>
      <c r="E3184" s="423">
        <v>0.6061960089476317</v>
      </c>
      <c r="F3184" s="423">
        <v>2.174989031502911E-3</v>
      </c>
      <c r="G3184" s="422">
        <v>806.59141290386719</v>
      </c>
      <c r="H3184" s="417" t="s">
        <v>2616</v>
      </c>
      <c r="I3184" s="417" t="s">
        <v>1392</v>
      </c>
      <c r="J3184" s="417" t="s">
        <v>8072</v>
      </c>
      <c r="K3184" s="417" t="s">
        <v>8807</v>
      </c>
      <c r="L3184" s="417"/>
      <c r="M3184" s="417" t="s">
        <v>28840</v>
      </c>
    </row>
    <row r="3185" spans="1:13" x14ac:dyDescent="0.25">
      <c r="A3185" s="417" t="s">
        <v>3385</v>
      </c>
      <c r="B3185" s="417" t="s">
        <v>3405</v>
      </c>
      <c r="C3185" s="417" t="s">
        <v>8808</v>
      </c>
      <c r="D3185" s="417" t="s">
        <v>224</v>
      </c>
      <c r="E3185" s="423">
        <v>0.38427627744901882</v>
      </c>
      <c r="F3185" s="423">
        <v>9.280052183083717E-3</v>
      </c>
      <c r="G3185" s="422">
        <v>588.48082008602944</v>
      </c>
      <c r="H3185" s="417" t="s">
        <v>2616</v>
      </c>
      <c r="I3185" s="417" t="s">
        <v>1392</v>
      </c>
      <c r="J3185" s="417" t="s">
        <v>8072</v>
      </c>
      <c r="K3185" s="417" t="s">
        <v>8809</v>
      </c>
      <c r="L3185" s="417"/>
      <c r="M3185" s="417" t="s">
        <v>28840</v>
      </c>
    </row>
    <row r="3186" spans="1:13" x14ac:dyDescent="0.25">
      <c r="A3186" s="417" t="s">
        <v>3385</v>
      </c>
      <c r="B3186" s="417" t="s">
        <v>3405</v>
      </c>
      <c r="C3186" s="417" t="s">
        <v>8810</v>
      </c>
      <c r="D3186" s="417" t="s">
        <v>224</v>
      </c>
      <c r="E3186" s="423">
        <v>0.28670812796930001</v>
      </c>
      <c r="F3186" s="423">
        <v>4.3810077335582013E-3</v>
      </c>
      <c r="G3186" s="422">
        <v>493.27394307718117</v>
      </c>
      <c r="H3186" s="417" t="s">
        <v>2616</v>
      </c>
      <c r="I3186" s="417" t="s">
        <v>1392</v>
      </c>
      <c r="J3186" s="417" t="s">
        <v>8072</v>
      </c>
      <c r="K3186" s="417" t="s">
        <v>8811</v>
      </c>
      <c r="L3186" s="417"/>
      <c r="M3186" s="417" t="s">
        <v>28840</v>
      </c>
    </row>
    <row r="3187" spans="1:13" x14ac:dyDescent="0.25">
      <c r="A3187" s="417" t="s">
        <v>3385</v>
      </c>
      <c r="B3187" s="417" t="s">
        <v>3405</v>
      </c>
      <c r="C3187" s="417" t="s">
        <v>8812</v>
      </c>
      <c r="D3187" s="417" t="s">
        <v>224</v>
      </c>
      <c r="E3187" s="423">
        <v>0.7958339613797899</v>
      </c>
      <c r="F3187" s="423">
        <v>5.541393813714145E-3</v>
      </c>
      <c r="G3187" s="422">
        <v>1077.8837619962719</v>
      </c>
      <c r="H3187" s="417" t="s">
        <v>2616</v>
      </c>
      <c r="I3187" s="417" t="s">
        <v>1392</v>
      </c>
      <c r="J3187" s="417" t="s">
        <v>8072</v>
      </c>
      <c r="K3187" s="417" t="s">
        <v>8813</v>
      </c>
      <c r="L3187" s="417"/>
      <c r="M3187" s="417" t="s">
        <v>28840</v>
      </c>
    </row>
    <row r="3188" spans="1:13" x14ac:dyDescent="0.25">
      <c r="A3188" s="417" t="s">
        <v>3385</v>
      </c>
      <c r="B3188" s="417" t="s">
        <v>3405</v>
      </c>
      <c r="C3188" s="417" t="s">
        <v>8814</v>
      </c>
      <c r="D3188" s="417" t="s">
        <v>224</v>
      </c>
      <c r="E3188" s="423">
        <v>0.46451253847850382</v>
      </c>
      <c r="F3188" s="423">
        <v>2.54077505974076E-3</v>
      </c>
      <c r="G3188" s="422">
        <v>729.1291810900326</v>
      </c>
      <c r="H3188" s="417" t="s">
        <v>2616</v>
      </c>
      <c r="I3188" s="417" t="s">
        <v>1392</v>
      </c>
      <c r="J3188" s="417" t="s">
        <v>8072</v>
      </c>
      <c r="K3188" s="417" t="s">
        <v>8815</v>
      </c>
      <c r="L3188" s="417"/>
      <c r="M3188" s="417" t="s">
        <v>28840</v>
      </c>
    </row>
    <row r="3189" spans="1:13" x14ac:dyDescent="0.25">
      <c r="A3189" s="417" t="s">
        <v>3385</v>
      </c>
      <c r="B3189" s="417" t="s">
        <v>3405</v>
      </c>
      <c r="C3189" s="417" t="s">
        <v>8816</v>
      </c>
      <c r="D3189" s="417" t="s">
        <v>224</v>
      </c>
      <c r="E3189" s="423">
        <v>0.71136885783689263</v>
      </c>
      <c r="F3189" s="423">
        <v>2.1072894673828178E-3</v>
      </c>
      <c r="G3189" s="422">
        <v>942.07071428891982</v>
      </c>
      <c r="H3189" s="417" t="s">
        <v>2616</v>
      </c>
      <c r="I3189" s="417" t="s">
        <v>1392</v>
      </c>
      <c r="J3189" s="417" t="s">
        <v>8072</v>
      </c>
      <c r="K3189" s="417" t="s">
        <v>8817</v>
      </c>
      <c r="L3189" s="417"/>
      <c r="M3189" s="417" t="s">
        <v>28840</v>
      </c>
    </row>
    <row r="3190" spans="1:13" x14ac:dyDescent="0.25">
      <c r="A3190" s="417" t="s">
        <v>3385</v>
      </c>
      <c r="B3190" s="417" t="s">
        <v>3405</v>
      </c>
      <c r="C3190" s="417" t="s">
        <v>8818</v>
      </c>
      <c r="D3190" s="417" t="s">
        <v>224</v>
      </c>
      <c r="E3190" s="423">
        <v>3.3200622717339839E-2</v>
      </c>
      <c r="F3190" s="423">
        <v>4.1189663168276179E-2</v>
      </c>
      <c r="G3190" s="422">
        <v>216.57376300037711</v>
      </c>
      <c r="H3190" s="417" t="s">
        <v>2616</v>
      </c>
      <c r="I3190" s="417" t="s">
        <v>1392</v>
      </c>
      <c r="J3190" s="417" t="s">
        <v>8072</v>
      </c>
      <c r="K3190" s="417" t="s">
        <v>8819</v>
      </c>
      <c r="L3190" s="417"/>
      <c r="M3190" s="417" t="s">
        <v>28840</v>
      </c>
    </row>
    <row r="3191" spans="1:13" x14ac:dyDescent="0.25">
      <c r="A3191" s="417" t="s">
        <v>3385</v>
      </c>
      <c r="B3191" s="417" t="s">
        <v>3405</v>
      </c>
      <c r="C3191" s="417" t="s">
        <v>8820</v>
      </c>
      <c r="D3191" s="417" t="s">
        <v>224</v>
      </c>
      <c r="E3191" s="423">
        <v>0.56239305421408359</v>
      </c>
      <c r="F3191" s="423">
        <v>7.9390831609938654E-3</v>
      </c>
      <c r="G3191" s="422">
        <v>766.88135981979769</v>
      </c>
      <c r="H3191" s="417" t="s">
        <v>2616</v>
      </c>
      <c r="I3191" s="417" t="s">
        <v>1392</v>
      </c>
      <c r="J3191" s="417" t="s">
        <v>8072</v>
      </c>
      <c r="K3191" s="417" t="s">
        <v>8821</v>
      </c>
      <c r="L3191" s="417"/>
      <c r="M3191" s="417" t="s">
        <v>28840</v>
      </c>
    </row>
    <row r="3192" spans="1:13" x14ac:dyDescent="0.25">
      <c r="A3192" s="417" t="s">
        <v>3385</v>
      </c>
      <c r="B3192" s="417" t="s">
        <v>3405</v>
      </c>
      <c r="C3192" s="417" t="s">
        <v>8822</v>
      </c>
      <c r="D3192" s="417" t="s">
        <v>224</v>
      </c>
      <c r="E3192" s="423">
        <v>0.23976101981552209</v>
      </c>
      <c r="F3192" s="423">
        <v>1.6410516428985979E-2</v>
      </c>
      <c r="G3192" s="422">
        <v>476.95472863565038</v>
      </c>
      <c r="H3192" s="417" t="s">
        <v>2616</v>
      </c>
      <c r="I3192" s="417" t="s">
        <v>1392</v>
      </c>
      <c r="J3192" s="417" t="s">
        <v>8072</v>
      </c>
      <c r="K3192" s="417" t="s">
        <v>8823</v>
      </c>
      <c r="L3192" s="417"/>
      <c r="M3192" s="417" t="s">
        <v>28840</v>
      </c>
    </row>
    <row r="3193" spans="1:13" x14ac:dyDescent="0.25">
      <c r="A3193" s="417" t="s">
        <v>3385</v>
      </c>
      <c r="B3193" s="417" t="s">
        <v>3405</v>
      </c>
      <c r="C3193" s="417" t="s">
        <v>8824</v>
      </c>
      <c r="D3193" s="417" t="s">
        <v>224</v>
      </c>
      <c r="E3193" s="423">
        <v>0.1307849870770468</v>
      </c>
      <c r="F3193" s="423">
        <v>4.2859481382206528E-2</v>
      </c>
      <c r="G3193" s="422">
        <v>575.75058884820908</v>
      </c>
      <c r="H3193" s="417" t="s">
        <v>2616</v>
      </c>
      <c r="I3193" s="417" t="s">
        <v>1392</v>
      </c>
      <c r="J3193" s="417" t="s">
        <v>8072</v>
      </c>
      <c r="K3193" s="417" t="s">
        <v>8825</v>
      </c>
      <c r="L3193" s="417"/>
      <c r="M3193" s="417" t="s">
        <v>28840</v>
      </c>
    </row>
    <row r="3194" spans="1:13" x14ac:dyDescent="0.25">
      <c r="A3194" s="417" t="s">
        <v>3385</v>
      </c>
      <c r="B3194" s="417" t="s">
        <v>3405</v>
      </c>
      <c r="C3194" s="417" t="s">
        <v>8826</v>
      </c>
      <c r="D3194" s="417" t="s">
        <v>224</v>
      </c>
      <c r="E3194" s="423">
        <v>0.60977913269408768</v>
      </c>
      <c r="F3194" s="423">
        <v>8.0702301342109942E-2</v>
      </c>
      <c r="G3194" s="422">
        <v>846.66603862866657</v>
      </c>
      <c r="H3194" s="417" t="s">
        <v>2616</v>
      </c>
      <c r="I3194" s="417" t="s">
        <v>1392</v>
      </c>
      <c r="J3194" s="417" t="s">
        <v>8072</v>
      </c>
      <c r="K3194" s="417" t="s">
        <v>8827</v>
      </c>
      <c r="L3194" s="417"/>
      <c r="M3194" s="417" t="s">
        <v>28840</v>
      </c>
    </row>
    <row r="3195" spans="1:13" x14ac:dyDescent="0.25">
      <c r="A3195" s="417" t="s">
        <v>3385</v>
      </c>
      <c r="B3195" s="417" t="s">
        <v>3405</v>
      </c>
      <c r="C3195" s="417" t="s">
        <v>8828</v>
      </c>
      <c r="D3195" s="417" t="s">
        <v>224</v>
      </c>
      <c r="E3195" s="423">
        <v>0.50422233346248169</v>
      </c>
      <c r="F3195" s="423">
        <v>1.2318859777419339E-3</v>
      </c>
      <c r="G3195" s="422">
        <v>621.62199762343607</v>
      </c>
      <c r="H3195" s="417" t="s">
        <v>2616</v>
      </c>
      <c r="I3195" s="417" t="s">
        <v>1392</v>
      </c>
      <c r="J3195" s="417" t="s">
        <v>8072</v>
      </c>
      <c r="K3195" s="417" t="s">
        <v>8829</v>
      </c>
      <c r="L3195" s="417"/>
      <c r="M3195" s="417" t="s">
        <v>28840</v>
      </c>
    </row>
    <row r="3196" spans="1:13" x14ac:dyDescent="0.25">
      <c r="A3196" s="417" t="s">
        <v>3385</v>
      </c>
      <c r="B3196" s="417" t="s">
        <v>3405</v>
      </c>
      <c r="C3196" s="417" t="s">
        <v>8830</v>
      </c>
      <c r="D3196" s="417" t="s">
        <v>224</v>
      </c>
      <c r="E3196" s="423">
        <v>0.54107580119462106</v>
      </c>
      <c r="F3196" s="423">
        <v>2.1288022520643279E-2</v>
      </c>
      <c r="G3196" s="422">
        <v>674.93410948261453</v>
      </c>
      <c r="H3196" s="417" t="s">
        <v>2616</v>
      </c>
      <c r="I3196" s="417" t="s">
        <v>1392</v>
      </c>
      <c r="J3196" s="417" t="s">
        <v>8072</v>
      </c>
      <c r="K3196" s="417" t="s">
        <v>8831</v>
      </c>
      <c r="L3196" s="417"/>
      <c r="M3196" s="417" t="s">
        <v>28840</v>
      </c>
    </row>
    <row r="3197" spans="1:13" x14ac:dyDescent="0.25">
      <c r="A3197" s="417" t="s">
        <v>3385</v>
      </c>
      <c r="B3197" s="417" t="s">
        <v>3405</v>
      </c>
      <c r="C3197" s="417" t="s">
        <v>8832</v>
      </c>
      <c r="D3197" s="417" t="s">
        <v>224</v>
      </c>
      <c r="E3197" s="423">
        <v>0.66528122325304262</v>
      </c>
      <c r="F3197" s="423">
        <v>3.511216437082674E-3</v>
      </c>
      <c r="G3197" s="422">
        <v>889.06316278492454</v>
      </c>
      <c r="H3197" s="417" t="s">
        <v>2616</v>
      </c>
      <c r="I3197" s="417" t="s">
        <v>1392</v>
      </c>
      <c r="J3197" s="417" t="s">
        <v>8072</v>
      </c>
      <c r="K3197" s="417" t="s">
        <v>8833</v>
      </c>
      <c r="L3197" s="417"/>
      <c r="M3197" s="417" t="s">
        <v>28840</v>
      </c>
    </row>
    <row r="3198" spans="1:13" x14ac:dyDescent="0.25">
      <c r="A3198" s="417" t="s">
        <v>3385</v>
      </c>
      <c r="B3198" s="417" t="s">
        <v>3405</v>
      </c>
      <c r="C3198" s="417" t="s">
        <v>8834</v>
      </c>
      <c r="D3198" s="417" t="s">
        <v>224</v>
      </c>
      <c r="E3198" s="423">
        <v>0.38732070040225242</v>
      </c>
      <c r="F3198" s="423">
        <v>6.6618873567645372E-3</v>
      </c>
      <c r="G3198" s="422">
        <v>483.04793043682201</v>
      </c>
      <c r="H3198" s="417" t="s">
        <v>2616</v>
      </c>
      <c r="I3198" s="417" t="s">
        <v>1392</v>
      </c>
      <c r="J3198" s="417" t="s">
        <v>8072</v>
      </c>
      <c r="K3198" s="417" t="s">
        <v>8835</v>
      </c>
      <c r="L3198" s="417"/>
      <c r="M3198" s="417" t="s">
        <v>28840</v>
      </c>
    </row>
    <row r="3199" spans="1:13" x14ac:dyDescent="0.25">
      <c r="A3199" s="417" t="s">
        <v>3385</v>
      </c>
      <c r="B3199" s="417" t="s">
        <v>3405</v>
      </c>
      <c r="C3199" s="417" t="s">
        <v>8836</v>
      </c>
      <c r="D3199" s="417" t="s">
        <v>224</v>
      </c>
      <c r="E3199" s="423">
        <v>0.31267017783131651</v>
      </c>
      <c r="F3199" s="423">
        <v>1.0008405841654281E-2</v>
      </c>
      <c r="G3199" s="422">
        <v>695.91517688631404</v>
      </c>
      <c r="H3199" s="417" t="s">
        <v>2616</v>
      </c>
      <c r="I3199" s="417" t="s">
        <v>1392</v>
      </c>
      <c r="J3199" s="417" t="s">
        <v>8072</v>
      </c>
      <c r="K3199" s="417" t="s">
        <v>8837</v>
      </c>
      <c r="L3199" s="417"/>
      <c r="M3199" s="417" t="s">
        <v>28840</v>
      </c>
    </row>
    <row r="3200" spans="1:13" x14ac:dyDescent="0.25">
      <c r="A3200" s="417" t="s">
        <v>3385</v>
      </c>
      <c r="B3200" s="417" t="s">
        <v>3405</v>
      </c>
      <c r="C3200" s="417" t="s">
        <v>8838</v>
      </c>
      <c r="D3200" s="417" t="s">
        <v>224</v>
      </c>
      <c r="E3200" s="423">
        <v>0.41806782341402138</v>
      </c>
      <c r="F3200" s="423">
        <v>8.9531037931257496E-3</v>
      </c>
      <c r="G3200" s="422">
        <v>633.72005644736396</v>
      </c>
      <c r="H3200" s="417" t="s">
        <v>2616</v>
      </c>
      <c r="I3200" s="417" t="s">
        <v>1392</v>
      </c>
      <c r="J3200" s="417" t="s">
        <v>8072</v>
      </c>
      <c r="K3200" s="417" t="s">
        <v>8839</v>
      </c>
      <c r="L3200" s="417"/>
      <c r="M3200" s="417" t="s">
        <v>28840</v>
      </c>
    </row>
    <row r="3201" spans="1:13" x14ac:dyDescent="0.25">
      <c r="A3201" s="417" t="s">
        <v>3385</v>
      </c>
      <c r="B3201" s="417" t="s">
        <v>3405</v>
      </c>
      <c r="C3201" s="417" t="s">
        <v>8840</v>
      </c>
      <c r="D3201" s="417" t="s">
        <v>224</v>
      </c>
      <c r="E3201" s="423">
        <v>0.5299479073503508</v>
      </c>
      <c r="F3201" s="423">
        <v>1.0094244959786589E-2</v>
      </c>
      <c r="G3201" s="422">
        <v>646.70250112890415</v>
      </c>
      <c r="H3201" s="417" t="s">
        <v>2616</v>
      </c>
      <c r="I3201" s="417" t="s">
        <v>1392</v>
      </c>
      <c r="J3201" s="417" t="s">
        <v>8072</v>
      </c>
      <c r="K3201" s="417" t="s">
        <v>8841</v>
      </c>
      <c r="L3201" s="417"/>
      <c r="M3201" s="417" t="s">
        <v>28840</v>
      </c>
    </row>
    <row r="3202" spans="1:13" x14ac:dyDescent="0.25">
      <c r="A3202" s="417" t="s">
        <v>3385</v>
      </c>
      <c r="B3202" s="417" t="s">
        <v>3405</v>
      </c>
      <c r="C3202" s="417" t="s">
        <v>8842</v>
      </c>
      <c r="D3202" s="417" t="s">
        <v>224</v>
      </c>
      <c r="E3202" s="423">
        <v>1.008458401553862</v>
      </c>
      <c r="F3202" s="423">
        <v>4.836685872272619E-3</v>
      </c>
      <c r="G3202" s="422">
        <v>1208.4440016881199</v>
      </c>
      <c r="H3202" s="417" t="s">
        <v>2616</v>
      </c>
      <c r="I3202" s="417" t="s">
        <v>1392</v>
      </c>
      <c r="J3202" s="417" t="s">
        <v>8072</v>
      </c>
      <c r="K3202" s="417" t="s">
        <v>8843</v>
      </c>
      <c r="L3202" s="417"/>
      <c r="M3202" s="417" t="s">
        <v>28840</v>
      </c>
    </row>
    <row r="3203" spans="1:13" x14ac:dyDescent="0.25">
      <c r="A3203" s="417" t="s">
        <v>3385</v>
      </c>
      <c r="B3203" s="417" t="s">
        <v>3405</v>
      </c>
      <c r="C3203" s="417" t="s">
        <v>8844</v>
      </c>
      <c r="D3203" s="417" t="s">
        <v>224</v>
      </c>
      <c r="E3203" s="423">
        <v>2.7288617371345029E-2</v>
      </c>
      <c r="F3203" s="423">
        <v>1.143420488243123E-3</v>
      </c>
      <c r="G3203" s="422">
        <v>81.995947726003834</v>
      </c>
      <c r="H3203" s="417" t="s">
        <v>2616</v>
      </c>
      <c r="I3203" s="417" t="s">
        <v>1392</v>
      </c>
      <c r="J3203" s="417" t="s">
        <v>8063</v>
      </c>
      <c r="K3203" s="417" t="s">
        <v>8845</v>
      </c>
      <c r="L3203" s="417"/>
      <c r="M3203" s="417" t="s">
        <v>28840</v>
      </c>
    </row>
    <row r="3204" spans="1:13" x14ac:dyDescent="0.25">
      <c r="A3204" s="417" t="s">
        <v>3385</v>
      </c>
      <c r="B3204" s="417" t="s">
        <v>3405</v>
      </c>
      <c r="C3204" s="417" t="s">
        <v>8846</v>
      </c>
      <c r="D3204" s="417" t="s">
        <v>224</v>
      </c>
      <c r="E3204" s="423">
        <v>3.4955588778311258E-2</v>
      </c>
      <c r="F3204" s="423">
        <v>2.043948894122545E-3</v>
      </c>
      <c r="G3204" s="422">
        <v>98.685982525007262</v>
      </c>
      <c r="H3204" s="417" t="s">
        <v>2616</v>
      </c>
      <c r="I3204" s="417" t="s">
        <v>1392</v>
      </c>
      <c r="J3204" s="417" t="s">
        <v>8063</v>
      </c>
      <c r="K3204" s="417" t="s">
        <v>8847</v>
      </c>
      <c r="L3204" s="417"/>
      <c r="M3204" s="417" t="s">
        <v>28840</v>
      </c>
    </row>
    <row r="3205" spans="1:13" x14ac:dyDescent="0.25">
      <c r="A3205" s="417" t="s">
        <v>3385</v>
      </c>
      <c r="B3205" s="417" t="s">
        <v>3405</v>
      </c>
      <c r="C3205" s="417" t="s">
        <v>8848</v>
      </c>
      <c r="D3205" s="417" t="s">
        <v>224</v>
      </c>
      <c r="E3205" s="423">
        <v>3.7597202632540919E-2</v>
      </c>
      <c r="F3205" s="423">
        <v>1.8094136456647089E-3</v>
      </c>
      <c r="G3205" s="422">
        <v>105.56965131957629</v>
      </c>
      <c r="H3205" s="417" t="s">
        <v>2616</v>
      </c>
      <c r="I3205" s="417" t="s">
        <v>1392</v>
      </c>
      <c r="J3205" s="417" t="s">
        <v>8063</v>
      </c>
      <c r="K3205" s="417" t="s">
        <v>8849</v>
      </c>
      <c r="L3205" s="417"/>
      <c r="M3205" s="417" t="s">
        <v>28840</v>
      </c>
    </row>
    <row r="3206" spans="1:13" x14ac:dyDescent="0.25">
      <c r="A3206" s="417" t="s">
        <v>3385</v>
      </c>
      <c r="B3206" s="417" t="s">
        <v>3405</v>
      </c>
      <c r="C3206" s="417" t="s">
        <v>8850</v>
      </c>
      <c r="D3206" s="417" t="s">
        <v>224</v>
      </c>
      <c r="E3206" s="423">
        <v>3.7301645141201857E-2</v>
      </c>
      <c r="F3206" s="423">
        <v>1.805297229757167E-3</v>
      </c>
      <c r="G3206" s="422">
        <v>103.219342044423</v>
      </c>
      <c r="H3206" s="417" t="s">
        <v>2616</v>
      </c>
      <c r="I3206" s="417" t="s">
        <v>1392</v>
      </c>
      <c r="J3206" s="417" t="s">
        <v>8063</v>
      </c>
      <c r="K3206" s="417" t="s">
        <v>8851</v>
      </c>
      <c r="L3206" s="417"/>
      <c r="M3206" s="417" t="s">
        <v>28840</v>
      </c>
    </row>
    <row r="3207" spans="1:13" x14ac:dyDescent="0.25">
      <c r="A3207" s="417" t="s">
        <v>3385</v>
      </c>
      <c r="B3207" s="417" t="s">
        <v>3405</v>
      </c>
      <c r="C3207" s="417" t="s">
        <v>8852</v>
      </c>
      <c r="D3207" s="417" t="s">
        <v>224</v>
      </c>
      <c r="E3207" s="423">
        <v>5.2433444375331151E-2</v>
      </c>
      <c r="F3207" s="423">
        <v>2.5125308702219598E-3</v>
      </c>
      <c r="G3207" s="422">
        <v>144.45004254649359</v>
      </c>
      <c r="H3207" s="417" t="s">
        <v>2616</v>
      </c>
      <c r="I3207" s="417" t="s">
        <v>1392</v>
      </c>
      <c r="J3207" s="417" t="s">
        <v>8063</v>
      </c>
      <c r="K3207" s="417" t="s">
        <v>8853</v>
      </c>
      <c r="L3207" s="417"/>
      <c r="M3207" s="417" t="s">
        <v>28840</v>
      </c>
    </row>
    <row r="3208" spans="1:13" x14ac:dyDescent="0.25">
      <c r="A3208" s="417" t="s">
        <v>3385</v>
      </c>
      <c r="B3208" s="417" t="s">
        <v>3405</v>
      </c>
      <c r="C3208" s="417" t="s">
        <v>8854</v>
      </c>
      <c r="D3208" s="417" t="s">
        <v>224</v>
      </c>
      <c r="E3208" s="423">
        <v>4.4955261981376247E-2</v>
      </c>
      <c r="F3208" s="423">
        <v>2.0918124821091579E-3</v>
      </c>
      <c r="G3208" s="422">
        <v>144.08438658884711</v>
      </c>
      <c r="H3208" s="417" t="s">
        <v>2616</v>
      </c>
      <c r="I3208" s="417" t="s">
        <v>1392</v>
      </c>
      <c r="J3208" s="417" t="s">
        <v>8063</v>
      </c>
      <c r="K3208" s="417" t="s">
        <v>8855</v>
      </c>
      <c r="L3208" s="417"/>
      <c r="M3208" s="417" t="s">
        <v>28840</v>
      </c>
    </row>
    <row r="3209" spans="1:13" x14ac:dyDescent="0.25">
      <c r="A3209" s="417" t="s">
        <v>3385</v>
      </c>
      <c r="B3209" s="417" t="s">
        <v>3405</v>
      </c>
      <c r="C3209" s="417" t="s">
        <v>8856</v>
      </c>
      <c r="D3209" s="417" t="s">
        <v>224</v>
      </c>
      <c r="E3209" s="423">
        <v>6.0874575555564067E-2</v>
      </c>
      <c r="F3209" s="423">
        <v>2.0869281029008628E-3</v>
      </c>
      <c r="G3209" s="422">
        <v>137.85134647953021</v>
      </c>
      <c r="H3209" s="417" t="s">
        <v>2616</v>
      </c>
      <c r="I3209" s="417" t="s">
        <v>1392</v>
      </c>
      <c r="J3209" s="417" t="s">
        <v>8063</v>
      </c>
      <c r="K3209" s="417" t="s">
        <v>8857</v>
      </c>
      <c r="L3209" s="417"/>
      <c r="M3209" s="417" t="s">
        <v>28840</v>
      </c>
    </row>
    <row r="3210" spans="1:13" x14ac:dyDescent="0.25">
      <c r="A3210" s="417" t="s">
        <v>3385</v>
      </c>
      <c r="B3210" s="417" t="s">
        <v>3405</v>
      </c>
      <c r="C3210" s="417" t="s">
        <v>8858</v>
      </c>
      <c r="D3210" s="417" t="s">
        <v>224</v>
      </c>
      <c r="E3210" s="423">
        <v>2.7453299027374291E-2</v>
      </c>
      <c r="F3210" s="423">
        <v>1.1407855019379769E-3</v>
      </c>
      <c r="G3210" s="422">
        <v>81.422306955284967</v>
      </c>
      <c r="H3210" s="417" t="s">
        <v>2616</v>
      </c>
      <c r="I3210" s="417" t="s">
        <v>1392</v>
      </c>
      <c r="J3210" s="417" t="s">
        <v>8063</v>
      </c>
      <c r="K3210" s="417" t="s">
        <v>8859</v>
      </c>
      <c r="L3210" s="417"/>
      <c r="M3210" s="417" t="s">
        <v>28840</v>
      </c>
    </row>
    <row r="3211" spans="1:13" x14ac:dyDescent="0.25">
      <c r="A3211" s="417" t="s">
        <v>3385</v>
      </c>
      <c r="B3211" s="417" t="s">
        <v>3405</v>
      </c>
      <c r="C3211" s="417" t="s">
        <v>8860</v>
      </c>
      <c r="D3211" s="417" t="s">
        <v>224</v>
      </c>
      <c r="E3211" s="423">
        <v>5.7424993043039212E-2</v>
      </c>
      <c r="F3211" s="423">
        <v>1.521921454308848E-2</v>
      </c>
      <c r="G3211" s="422">
        <v>684.95742627282186</v>
      </c>
      <c r="H3211" s="417" t="s">
        <v>2616</v>
      </c>
      <c r="I3211" s="417" t="s">
        <v>1392</v>
      </c>
      <c r="J3211" s="417" t="s">
        <v>7898</v>
      </c>
      <c r="K3211" s="417" t="s">
        <v>8861</v>
      </c>
      <c r="L3211" s="417"/>
      <c r="M3211" s="417" t="s">
        <v>28840</v>
      </c>
    </row>
    <row r="3212" spans="1:13" x14ac:dyDescent="0.25">
      <c r="A3212" s="417" t="s">
        <v>3385</v>
      </c>
      <c r="B3212" s="417" t="s">
        <v>3405</v>
      </c>
      <c r="C3212" s="417" t="s">
        <v>8862</v>
      </c>
      <c r="D3212" s="417" t="s">
        <v>224</v>
      </c>
      <c r="E3212" s="423">
        <v>0.52457319466537411</v>
      </c>
      <c r="F3212" s="423">
        <v>1.475141470639954E-3</v>
      </c>
      <c r="G3212" s="422">
        <v>811.37258967938374</v>
      </c>
      <c r="H3212" s="417" t="s">
        <v>2616</v>
      </c>
      <c r="I3212" s="417" t="s">
        <v>1392</v>
      </c>
      <c r="J3212" s="417" t="s">
        <v>7898</v>
      </c>
      <c r="K3212" s="417" t="s">
        <v>8863</v>
      </c>
      <c r="L3212" s="417"/>
      <c r="M3212" s="417" t="s">
        <v>28840</v>
      </c>
    </row>
    <row r="3213" spans="1:13" x14ac:dyDescent="0.25">
      <c r="A3213" s="417" t="s">
        <v>3385</v>
      </c>
      <c r="B3213" s="417" t="s">
        <v>3405</v>
      </c>
      <c r="C3213" s="417" t="s">
        <v>8864</v>
      </c>
      <c r="D3213" s="417" t="s">
        <v>224</v>
      </c>
      <c r="E3213" s="423">
        <v>3.8197789106614748E-2</v>
      </c>
      <c r="F3213" s="423">
        <v>3.0651706825032789E-2</v>
      </c>
      <c r="G3213" s="422">
        <v>657.6516263544205</v>
      </c>
      <c r="H3213" s="417" t="s">
        <v>2616</v>
      </c>
      <c r="I3213" s="417" t="s">
        <v>1392</v>
      </c>
      <c r="J3213" s="417" t="s">
        <v>7898</v>
      </c>
      <c r="K3213" s="417" t="s">
        <v>8865</v>
      </c>
      <c r="L3213" s="417"/>
      <c r="M3213" s="417" t="s">
        <v>28840</v>
      </c>
    </row>
    <row r="3214" spans="1:13" x14ac:dyDescent="0.25">
      <c r="A3214" s="417" t="s">
        <v>3385</v>
      </c>
      <c r="B3214" s="417" t="s">
        <v>3405</v>
      </c>
      <c r="C3214" s="417" t="s">
        <v>8866</v>
      </c>
      <c r="D3214" s="417" t="s">
        <v>224</v>
      </c>
      <c r="E3214" s="423">
        <v>7.8011321780782497E-3</v>
      </c>
      <c r="F3214" s="423">
        <v>1.237665002258621E-3</v>
      </c>
      <c r="G3214" s="422">
        <v>48.725108536082168</v>
      </c>
      <c r="H3214" s="417" t="s">
        <v>2616</v>
      </c>
      <c r="I3214" s="417" t="s">
        <v>1392</v>
      </c>
      <c r="J3214" s="417" t="s">
        <v>7898</v>
      </c>
      <c r="K3214" s="417" t="s">
        <v>8867</v>
      </c>
      <c r="L3214" s="417"/>
      <c r="M3214" s="417" t="s">
        <v>28840</v>
      </c>
    </row>
    <row r="3215" spans="1:13" x14ac:dyDescent="0.25">
      <c r="A3215" s="417" t="s">
        <v>3385</v>
      </c>
      <c r="B3215" s="417" t="s">
        <v>3405</v>
      </c>
      <c r="C3215" s="417" t="s">
        <v>8868</v>
      </c>
      <c r="D3215" s="417" t="s">
        <v>224</v>
      </c>
      <c r="E3215" s="423">
        <v>2.1163445307815242E-2</v>
      </c>
      <c r="F3215" s="423">
        <v>1.1435051306600261E-2</v>
      </c>
      <c r="G3215" s="422">
        <v>172.74589969849649</v>
      </c>
      <c r="H3215" s="417" t="s">
        <v>2616</v>
      </c>
      <c r="I3215" s="417" t="s">
        <v>1392</v>
      </c>
      <c r="J3215" s="417" t="s">
        <v>7898</v>
      </c>
      <c r="K3215" s="417" t="s">
        <v>8869</v>
      </c>
      <c r="L3215" s="417"/>
      <c r="M3215" s="417" t="s">
        <v>28840</v>
      </c>
    </row>
    <row r="3216" spans="1:13" x14ac:dyDescent="0.25">
      <c r="A3216" s="417" t="s">
        <v>3385</v>
      </c>
      <c r="B3216" s="417" t="s">
        <v>3405</v>
      </c>
      <c r="C3216" s="417" t="s">
        <v>8870</v>
      </c>
      <c r="D3216" s="417" t="s">
        <v>224</v>
      </c>
      <c r="E3216" s="423">
        <v>8.5969237500799385E-3</v>
      </c>
      <c r="F3216" s="423">
        <v>8.7274398524774689E-3</v>
      </c>
      <c r="G3216" s="422">
        <v>27.04825137438737</v>
      </c>
      <c r="H3216" s="417" t="s">
        <v>2616</v>
      </c>
      <c r="I3216" s="417" t="s">
        <v>1392</v>
      </c>
      <c r="J3216" s="417" t="s">
        <v>7898</v>
      </c>
      <c r="K3216" s="417" t="s">
        <v>8871</v>
      </c>
      <c r="L3216" s="417"/>
      <c r="M3216" s="417" t="s">
        <v>28840</v>
      </c>
    </row>
    <row r="3217" spans="1:13" x14ac:dyDescent="0.25">
      <c r="A3217" s="417" t="s">
        <v>3385</v>
      </c>
      <c r="B3217" s="417" t="s">
        <v>3405</v>
      </c>
      <c r="C3217" s="417" t="s">
        <v>8872</v>
      </c>
      <c r="D3217" s="417" t="s">
        <v>224</v>
      </c>
      <c r="E3217" s="423">
        <v>3.7597202632540919E-2</v>
      </c>
      <c r="F3217" s="423">
        <v>1.8094136456647089E-3</v>
      </c>
      <c r="G3217" s="422">
        <v>105.56965131957629</v>
      </c>
      <c r="H3217" s="417" t="s">
        <v>2616</v>
      </c>
      <c r="I3217" s="417" t="s">
        <v>1392</v>
      </c>
      <c r="J3217" s="417" t="s">
        <v>8063</v>
      </c>
      <c r="K3217" s="417" t="s">
        <v>8873</v>
      </c>
      <c r="L3217" s="417"/>
      <c r="M3217" s="417" t="s">
        <v>28840</v>
      </c>
    </row>
    <row r="3218" spans="1:13" x14ac:dyDescent="0.25">
      <c r="A3218" s="417" t="s">
        <v>3385</v>
      </c>
      <c r="B3218" s="417" t="s">
        <v>3405</v>
      </c>
      <c r="C3218" s="417" t="s">
        <v>8874</v>
      </c>
      <c r="D3218" s="417" t="s">
        <v>224</v>
      </c>
      <c r="E3218" s="423">
        <v>4.1726317389095772E-3</v>
      </c>
      <c r="F3218" s="423">
        <v>1.7231916958060931E-4</v>
      </c>
      <c r="G3218" s="422">
        <v>18.878044337467859</v>
      </c>
      <c r="H3218" s="417" t="s">
        <v>2616</v>
      </c>
      <c r="I3218" s="417" t="s">
        <v>1392</v>
      </c>
      <c r="J3218" s="417" t="s">
        <v>8875</v>
      </c>
      <c r="K3218" s="417" t="s">
        <v>8876</v>
      </c>
      <c r="L3218" s="417"/>
      <c r="M3218" s="417" t="s">
        <v>28840</v>
      </c>
    </row>
    <row r="3219" spans="1:13" x14ac:dyDescent="0.25">
      <c r="A3219" s="417" t="s">
        <v>3385</v>
      </c>
      <c r="B3219" s="417" t="s">
        <v>3405</v>
      </c>
      <c r="C3219" s="417" t="s">
        <v>8877</v>
      </c>
      <c r="D3219" s="417" t="s">
        <v>224</v>
      </c>
      <c r="E3219" s="423">
        <v>8.1720949463625018E-3</v>
      </c>
      <c r="F3219" s="423">
        <v>1.7945464611438241E-4</v>
      </c>
      <c r="G3219" s="422">
        <v>31.222091794700852</v>
      </c>
      <c r="H3219" s="417" t="s">
        <v>2616</v>
      </c>
      <c r="I3219" s="417" t="s">
        <v>1392</v>
      </c>
      <c r="J3219" s="417" t="s">
        <v>8875</v>
      </c>
      <c r="K3219" s="417" t="s">
        <v>8878</v>
      </c>
      <c r="L3219" s="417"/>
      <c r="M3219" s="417" t="s">
        <v>28840</v>
      </c>
    </row>
    <row r="3220" spans="1:13" x14ac:dyDescent="0.25">
      <c r="A3220" s="417" t="s">
        <v>3385</v>
      </c>
      <c r="B3220" s="417" t="s">
        <v>3405</v>
      </c>
      <c r="C3220" s="417" t="s">
        <v>8879</v>
      </c>
      <c r="D3220" s="417" t="s">
        <v>224</v>
      </c>
      <c r="E3220" s="423">
        <v>3.793460261811613E-3</v>
      </c>
      <c r="F3220" s="423">
        <v>1.5448047824463801E-4</v>
      </c>
      <c r="G3220" s="422">
        <v>17.893049150318021</v>
      </c>
      <c r="H3220" s="417" t="s">
        <v>2616</v>
      </c>
      <c r="I3220" s="417" t="s">
        <v>1392</v>
      </c>
      <c r="J3220" s="417" t="s">
        <v>8875</v>
      </c>
      <c r="K3220" s="417" t="s">
        <v>8880</v>
      </c>
      <c r="L3220" s="417"/>
      <c r="M3220" s="417" t="s">
        <v>28840</v>
      </c>
    </row>
    <row r="3221" spans="1:13" x14ac:dyDescent="0.25">
      <c r="A3221" s="417" t="s">
        <v>3385</v>
      </c>
      <c r="B3221" s="417" t="s">
        <v>3405</v>
      </c>
      <c r="C3221" s="417" t="s">
        <v>8881</v>
      </c>
      <c r="D3221" s="417" t="s">
        <v>224</v>
      </c>
      <c r="E3221" s="423">
        <v>4.6141088471111777E-3</v>
      </c>
      <c r="F3221" s="423">
        <v>1.8921074153147859E-4</v>
      </c>
      <c r="G3221" s="422">
        <v>19.093501940583369</v>
      </c>
      <c r="H3221" s="417" t="s">
        <v>2616</v>
      </c>
      <c r="I3221" s="417" t="s">
        <v>1392</v>
      </c>
      <c r="J3221" s="417" t="s">
        <v>8875</v>
      </c>
      <c r="K3221" s="417" t="s">
        <v>8882</v>
      </c>
      <c r="L3221" s="417"/>
      <c r="M3221" s="417" t="s">
        <v>28840</v>
      </c>
    </row>
    <row r="3222" spans="1:13" x14ac:dyDescent="0.25">
      <c r="A3222" s="417" t="s">
        <v>3385</v>
      </c>
      <c r="B3222" s="417" t="s">
        <v>3405</v>
      </c>
      <c r="C3222" s="417" t="s">
        <v>8883</v>
      </c>
      <c r="D3222" s="417" t="s">
        <v>224</v>
      </c>
      <c r="E3222" s="423">
        <v>5.9202256799753342E-3</v>
      </c>
      <c r="F3222" s="423">
        <v>1.6661078835205191E-4</v>
      </c>
      <c r="G3222" s="422">
        <v>24.36715557803878</v>
      </c>
      <c r="H3222" s="417" t="s">
        <v>2616</v>
      </c>
      <c r="I3222" s="417" t="s">
        <v>1392</v>
      </c>
      <c r="J3222" s="417" t="s">
        <v>8875</v>
      </c>
      <c r="K3222" s="417" t="s">
        <v>8884</v>
      </c>
      <c r="L3222" s="417"/>
      <c r="M3222" s="417" t="s">
        <v>28840</v>
      </c>
    </row>
    <row r="3223" spans="1:13" x14ac:dyDescent="0.25">
      <c r="A3223" s="417" t="s">
        <v>3385</v>
      </c>
      <c r="B3223" s="417" t="s">
        <v>3405</v>
      </c>
      <c r="C3223" s="417" t="s">
        <v>8885</v>
      </c>
      <c r="D3223" s="417" t="s">
        <v>224</v>
      </c>
      <c r="E3223" s="423">
        <v>6.9210564650397776E-3</v>
      </c>
      <c r="F3223" s="423">
        <v>1.7231916957957379E-4</v>
      </c>
      <c r="G3223" s="422">
        <v>27.413793898096891</v>
      </c>
      <c r="H3223" s="417" t="s">
        <v>2616</v>
      </c>
      <c r="I3223" s="417" t="s">
        <v>1392</v>
      </c>
      <c r="J3223" s="417" t="s">
        <v>8875</v>
      </c>
      <c r="K3223" s="417" t="s">
        <v>8886</v>
      </c>
      <c r="L3223" s="417"/>
      <c r="M3223" s="417" t="s">
        <v>28840</v>
      </c>
    </row>
    <row r="3224" spans="1:13" x14ac:dyDescent="0.25">
      <c r="A3224" s="417" t="s">
        <v>3385</v>
      </c>
      <c r="B3224" s="417" t="s">
        <v>3405</v>
      </c>
      <c r="C3224" s="417" t="s">
        <v>8887</v>
      </c>
      <c r="D3224" s="417" t="s">
        <v>224</v>
      </c>
      <c r="E3224" s="423">
        <v>5.7951218318847949E-3</v>
      </c>
      <c r="F3224" s="423">
        <v>1.6589724069863461E-4</v>
      </c>
      <c r="G3224" s="422">
        <v>23.98632579003171</v>
      </c>
      <c r="H3224" s="417" t="s">
        <v>2616</v>
      </c>
      <c r="I3224" s="417" t="s">
        <v>1392</v>
      </c>
      <c r="J3224" s="417" t="s">
        <v>8875</v>
      </c>
      <c r="K3224" s="417" t="s">
        <v>8888</v>
      </c>
      <c r="L3224" s="417"/>
      <c r="M3224" s="417" t="s">
        <v>28840</v>
      </c>
    </row>
    <row r="3225" spans="1:13" x14ac:dyDescent="0.25">
      <c r="A3225" s="417" t="s">
        <v>3385</v>
      </c>
      <c r="B3225" s="417" t="s">
        <v>3405</v>
      </c>
      <c r="C3225" s="417" t="s">
        <v>8889</v>
      </c>
      <c r="D3225" s="417" t="s">
        <v>224</v>
      </c>
      <c r="E3225" s="423">
        <v>3.793460261811613E-3</v>
      </c>
      <c r="F3225" s="423">
        <v>1.5448047824463801E-4</v>
      </c>
      <c r="G3225" s="422">
        <v>17.893049150318021</v>
      </c>
      <c r="H3225" s="417" t="s">
        <v>2616</v>
      </c>
      <c r="I3225" s="417" t="s">
        <v>1392</v>
      </c>
      <c r="J3225" s="417" t="s">
        <v>8875</v>
      </c>
      <c r="K3225" s="417" t="s">
        <v>8890</v>
      </c>
      <c r="L3225" s="417"/>
      <c r="M3225" s="417" t="s">
        <v>28840</v>
      </c>
    </row>
    <row r="3226" spans="1:13" x14ac:dyDescent="0.25">
      <c r="A3226" s="417" t="s">
        <v>3385</v>
      </c>
      <c r="B3226" s="417" t="s">
        <v>3405</v>
      </c>
      <c r="C3226" s="417" t="s">
        <v>8891</v>
      </c>
      <c r="D3226" s="417" t="s">
        <v>224</v>
      </c>
      <c r="E3226" s="423">
        <v>8.0469910981598326E-3</v>
      </c>
      <c r="F3226" s="423">
        <v>1.7874109846078361E-4</v>
      </c>
      <c r="G3226" s="422">
        <v>30.841262004687291</v>
      </c>
      <c r="H3226" s="417" t="s">
        <v>2616</v>
      </c>
      <c r="I3226" s="417" t="s">
        <v>1392</v>
      </c>
      <c r="J3226" s="417" t="s">
        <v>8875</v>
      </c>
      <c r="K3226" s="417" t="s">
        <v>8892</v>
      </c>
      <c r="L3226" s="417"/>
      <c r="M3226" s="417" t="s">
        <v>28840</v>
      </c>
    </row>
    <row r="3227" spans="1:13" x14ac:dyDescent="0.25">
      <c r="A3227" s="417" t="s">
        <v>3385</v>
      </c>
      <c r="B3227" s="417" t="s">
        <v>3405</v>
      </c>
      <c r="C3227" s="417" t="s">
        <v>8893</v>
      </c>
      <c r="D3227" s="417" t="s">
        <v>224</v>
      </c>
      <c r="E3227" s="423">
        <v>2.9962352927104429E-2</v>
      </c>
      <c r="F3227" s="423">
        <v>4.2419601839928488E-5</v>
      </c>
      <c r="G3227" s="422">
        <v>42.003823032759691</v>
      </c>
      <c r="H3227" s="417" t="s">
        <v>2616</v>
      </c>
      <c r="I3227" s="417" t="s">
        <v>1392</v>
      </c>
      <c r="J3227" s="417" t="s">
        <v>8875</v>
      </c>
      <c r="K3227" s="417" t="s">
        <v>8894</v>
      </c>
      <c r="L3227" s="417"/>
      <c r="M3227" s="417" t="s">
        <v>28840</v>
      </c>
    </row>
    <row r="3228" spans="1:13" x14ac:dyDescent="0.25">
      <c r="A3228" s="417" t="s">
        <v>3385</v>
      </c>
      <c r="B3228" s="417" t="s">
        <v>3405</v>
      </c>
      <c r="C3228" s="417" t="s">
        <v>8895</v>
      </c>
      <c r="D3228" s="417" t="s">
        <v>224</v>
      </c>
      <c r="E3228" s="423">
        <v>4.05129686620648E-3</v>
      </c>
      <c r="F3228" s="423">
        <v>1.666107883527712E-4</v>
      </c>
      <c r="G3228" s="422">
        <v>18.56284587689985</v>
      </c>
      <c r="H3228" s="417" t="s">
        <v>2616</v>
      </c>
      <c r="I3228" s="417" t="s">
        <v>1392</v>
      </c>
      <c r="J3228" s="417" t="s">
        <v>8875</v>
      </c>
      <c r="K3228" s="417" t="s">
        <v>8896</v>
      </c>
      <c r="L3228" s="417"/>
      <c r="M3228" s="417" t="s">
        <v>28840</v>
      </c>
    </row>
    <row r="3229" spans="1:13" x14ac:dyDescent="0.25">
      <c r="A3229" s="417" t="s">
        <v>3385</v>
      </c>
      <c r="B3229" s="417" t="s">
        <v>3405</v>
      </c>
      <c r="C3229" s="417" t="s">
        <v>8897</v>
      </c>
      <c r="D3229" s="417" t="s">
        <v>224</v>
      </c>
      <c r="E3229" s="423">
        <v>3.793460261811613E-3</v>
      </c>
      <c r="F3229" s="423">
        <v>1.5448047824463801E-4</v>
      </c>
      <c r="G3229" s="422">
        <v>17.893049150318021</v>
      </c>
      <c r="H3229" s="417" t="s">
        <v>2616</v>
      </c>
      <c r="I3229" s="417" t="s">
        <v>1392</v>
      </c>
      <c r="J3229" s="417" t="s">
        <v>8875</v>
      </c>
      <c r="K3229" s="417" t="s">
        <v>8898</v>
      </c>
      <c r="L3229" s="417"/>
      <c r="M3229" s="417" t="s">
        <v>28840</v>
      </c>
    </row>
    <row r="3230" spans="1:13" x14ac:dyDescent="0.25">
      <c r="A3230" s="417" t="s">
        <v>3385</v>
      </c>
      <c r="B3230" s="417" t="s">
        <v>3405</v>
      </c>
      <c r="C3230" s="417" t="s">
        <v>8899</v>
      </c>
      <c r="D3230" s="417" t="s">
        <v>224</v>
      </c>
      <c r="E3230" s="423">
        <v>1.6303845074878288E-2</v>
      </c>
      <c r="F3230" s="423">
        <v>2.258352435855999E-4</v>
      </c>
      <c r="G3230" s="422">
        <v>55.976028133354703</v>
      </c>
      <c r="H3230" s="417" t="s">
        <v>2616</v>
      </c>
      <c r="I3230" s="417" t="s">
        <v>1392</v>
      </c>
      <c r="J3230" s="417" t="s">
        <v>8875</v>
      </c>
      <c r="K3230" s="417" t="s">
        <v>8900</v>
      </c>
      <c r="L3230" s="417"/>
      <c r="M3230" s="417" t="s">
        <v>28840</v>
      </c>
    </row>
    <row r="3231" spans="1:13" x14ac:dyDescent="0.25">
      <c r="A3231" s="417" t="s">
        <v>3385</v>
      </c>
      <c r="B3231" s="417" t="s">
        <v>3405</v>
      </c>
      <c r="C3231" s="417" t="s">
        <v>8901</v>
      </c>
      <c r="D3231" s="417" t="s">
        <v>224</v>
      </c>
      <c r="E3231" s="423">
        <v>1.6053637378661639E-2</v>
      </c>
      <c r="F3231" s="423">
        <v>2.2440814827869501E-4</v>
      </c>
      <c r="G3231" s="422">
        <v>55.214368556028319</v>
      </c>
      <c r="H3231" s="417" t="s">
        <v>2616</v>
      </c>
      <c r="I3231" s="417" t="s">
        <v>1392</v>
      </c>
      <c r="J3231" s="417" t="s">
        <v>8875</v>
      </c>
      <c r="K3231" s="417" t="s">
        <v>8902</v>
      </c>
      <c r="L3231" s="417"/>
      <c r="M3231" s="417" t="s">
        <v>28840</v>
      </c>
    </row>
    <row r="3232" spans="1:13" x14ac:dyDescent="0.25">
      <c r="A3232" s="417" t="s">
        <v>3385</v>
      </c>
      <c r="B3232" s="417" t="s">
        <v>3405</v>
      </c>
      <c r="C3232" s="417" t="s">
        <v>8903</v>
      </c>
      <c r="D3232" s="417" t="s">
        <v>224</v>
      </c>
      <c r="E3232" s="423">
        <v>3.793460261811613E-3</v>
      </c>
      <c r="F3232" s="423">
        <v>1.5448047824463801E-4</v>
      </c>
      <c r="G3232" s="422">
        <v>17.893049150318021</v>
      </c>
      <c r="H3232" s="417" t="s">
        <v>2616</v>
      </c>
      <c r="I3232" s="417" t="s">
        <v>1392</v>
      </c>
      <c r="J3232" s="417" t="s">
        <v>8875</v>
      </c>
      <c r="K3232" s="417" t="s">
        <v>8904</v>
      </c>
      <c r="L3232" s="417"/>
      <c r="M3232" s="417" t="s">
        <v>28840</v>
      </c>
    </row>
    <row r="3233" spans="1:13" x14ac:dyDescent="0.25">
      <c r="A3233" s="417" t="s">
        <v>3385</v>
      </c>
      <c r="B3233" s="417" t="s">
        <v>3405</v>
      </c>
      <c r="C3233" s="417" t="s">
        <v>8905</v>
      </c>
      <c r="D3233" s="417" t="s">
        <v>224</v>
      </c>
      <c r="E3233" s="423">
        <v>3.793460261811613E-3</v>
      </c>
      <c r="F3233" s="423">
        <v>1.5448047824463801E-4</v>
      </c>
      <c r="G3233" s="422">
        <v>17.893049150318021</v>
      </c>
      <c r="H3233" s="417" t="s">
        <v>2616</v>
      </c>
      <c r="I3233" s="417" t="s">
        <v>1392</v>
      </c>
      <c r="J3233" s="417" t="s">
        <v>8875</v>
      </c>
      <c r="K3233" s="417" t="s">
        <v>8906</v>
      </c>
      <c r="L3233" s="417"/>
      <c r="M3233" s="417" t="s">
        <v>28840</v>
      </c>
    </row>
    <row r="3234" spans="1:13" x14ac:dyDescent="0.25">
      <c r="A3234" s="417" t="s">
        <v>3385</v>
      </c>
      <c r="B3234" s="417" t="s">
        <v>3405</v>
      </c>
      <c r="C3234" s="417" t="s">
        <v>8907</v>
      </c>
      <c r="D3234" s="417" t="s">
        <v>224</v>
      </c>
      <c r="E3234" s="423">
        <v>4.7641392432710861E-3</v>
      </c>
      <c r="F3234" s="423">
        <v>2.0014752806658329E-4</v>
      </c>
      <c r="G3234" s="422">
        <v>20.414636825472879</v>
      </c>
      <c r="H3234" s="417" t="s">
        <v>2616</v>
      </c>
      <c r="I3234" s="417" t="s">
        <v>1392</v>
      </c>
      <c r="J3234" s="417" t="s">
        <v>8875</v>
      </c>
      <c r="K3234" s="417" t="s">
        <v>8908</v>
      </c>
      <c r="L3234" s="417"/>
      <c r="M3234" s="417" t="s">
        <v>28840</v>
      </c>
    </row>
    <row r="3235" spans="1:13" x14ac:dyDescent="0.25">
      <c r="A3235" s="417" t="s">
        <v>3385</v>
      </c>
      <c r="B3235" s="417" t="s">
        <v>3405</v>
      </c>
      <c r="C3235" s="417" t="s">
        <v>8909</v>
      </c>
      <c r="D3235" s="417" t="s">
        <v>224</v>
      </c>
      <c r="E3235" s="423">
        <v>3.793460261811613E-3</v>
      </c>
      <c r="F3235" s="423">
        <v>1.5448047824463801E-4</v>
      </c>
      <c r="G3235" s="422">
        <v>17.893049150318021</v>
      </c>
      <c r="H3235" s="417" t="s">
        <v>2616</v>
      </c>
      <c r="I3235" s="417" t="s">
        <v>1392</v>
      </c>
      <c r="J3235" s="417" t="s">
        <v>8875</v>
      </c>
      <c r="K3235" s="417" t="s">
        <v>8910</v>
      </c>
      <c r="L3235" s="417"/>
      <c r="M3235" s="417" t="s">
        <v>28840</v>
      </c>
    </row>
    <row r="3236" spans="1:13" x14ac:dyDescent="0.25">
      <c r="A3236" s="417" t="s">
        <v>3385</v>
      </c>
      <c r="B3236" s="417" t="s">
        <v>3405</v>
      </c>
      <c r="C3236" s="417" t="s">
        <v>8911</v>
      </c>
      <c r="D3236" s="417" t="s">
        <v>224</v>
      </c>
      <c r="E3236" s="423">
        <v>1.4051975808525231E-2</v>
      </c>
      <c r="F3236" s="423">
        <v>2.1299138582525211E-4</v>
      </c>
      <c r="G3236" s="422">
        <v>49.121091916580951</v>
      </c>
      <c r="H3236" s="417" t="s">
        <v>2616</v>
      </c>
      <c r="I3236" s="417" t="s">
        <v>1392</v>
      </c>
      <c r="J3236" s="417" t="s">
        <v>8875</v>
      </c>
      <c r="K3236" s="417" t="s">
        <v>8912</v>
      </c>
      <c r="L3236" s="417"/>
      <c r="M3236" s="417" t="s">
        <v>28840</v>
      </c>
    </row>
    <row r="3237" spans="1:13" x14ac:dyDescent="0.25">
      <c r="A3237" s="417" t="s">
        <v>3385</v>
      </c>
      <c r="B3237" s="417" t="s">
        <v>3405</v>
      </c>
      <c r="C3237" s="417" t="s">
        <v>8913</v>
      </c>
      <c r="D3237" s="417" t="s">
        <v>224</v>
      </c>
      <c r="E3237" s="423">
        <v>3.793460261811613E-3</v>
      </c>
      <c r="F3237" s="423">
        <v>1.5448047824463801E-4</v>
      </c>
      <c r="G3237" s="422">
        <v>17.893049150318021</v>
      </c>
      <c r="H3237" s="417" t="s">
        <v>2616</v>
      </c>
      <c r="I3237" s="417" t="s">
        <v>1392</v>
      </c>
      <c r="J3237" s="417" t="s">
        <v>8875</v>
      </c>
      <c r="K3237" s="417" t="s">
        <v>8914</v>
      </c>
      <c r="L3237" s="417"/>
      <c r="M3237" s="417" t="s">
        <v>28840</v>
      </c>
    </row>
    <row r="3238" spans="1:13" x14ac:dyDescent="0.25">
      <c r="A3238" s="417" t="s">
        <v>3385</v>
      </c>
      <c r="B3238" s="417" t="s">
        <v>3405</v>
      </c>
      <c r="C3238" s="417" t="s">
        <v>8915</v>
      </c>
      <c r="D3238" s="417" t="s">
        <v>224</v>
      </c>
      <c r="E3238" s="423">
        <v>5.3101461702627422E-3</v>
      </c>
      <c r="F3238" s="423">
        <v>2.2583524358893949E-4</v>
      </c>
      <c r="G3238" s="422">
        <v>21.833029896391661</v>
      </c>
      <c r="H3238" s="417" t="s">
        <v>2616</v>
      </c>
      <c r="I3238" s="417" t="s">
        <v>1392</v>
      </c>
      <c r="J3238" s="417" t="s">
        <v>8875</v>
      </c>
      <c r="K3238" s="417" t="s">
        <v>8916</v>
      </c>
      <c r="L3238" s="417"/>
      <c r="M3238" s="417" t="s">
        <v>28840</v>
      </c>
    </row>
    <row r="3239" spans="1:13" x14ac:dyDescent="0.25">
      <c r="A3239" s="417" t="s">
        <v>3385</v>
      </c>
      <c r="B3239" s="417" t="s">
        <v>3405</v>
      </c>
      <c r="C3239" s="417" t="s">
        <v>8917</v>
      </c>
      <c r="D3239" s="417" t="s">
        <v>224</v>
      </c>
      <c r="E3239" s="423">
        <v>3.793460261811613E-3</v>
      </c>
      <c r="F3239" s="423">
        <v>1.5448047824463801E-4</v>
      </c>
      <c r="G3239" s="422">
        <v>17.893049150318021</v>
      </c>
      <c r="H3239" s="417" t="s">
        <v>2616</v>
      </c>
      <c r="I3239" s="417" t="s">
        <v>1392</v>
      </c>
      <c r="J3239" s="417" t="s">
        <v>8875</v>
      </c>
      <c r="K3239" s="417" t="s">
        <v>8918</v>
      </c>
      <c r="L3239" s="417"/>
      <c r="M3239" s="417" t="s">
        <v>28840</v>
      </c>
    </row>
    <row r="3240" spans="1:13" x14ac:dyDescent="0.25">
      <c r="A3240" s="417" t="s">
        <v>3385</v>
      </c>
      <c r="B3240" s="417" t="s">
        <v>3405</v>
      </c>
      <c r="C3240" s="417" t="s">
        <v>8919</v>
      </c>
      <c r="D3240" s="417" t="s">
        <v>224</v>
      </c>
      <c r="E3240" s="423">
        <v>8.0469910981598326E-3</v>
      </c>
      <c r="F3240" s="423">
        <v>1.7874109846078361E-4</v>
      </c>
      <c r="G3240" s="422">
        <v>30.841262004687291</v>
      </c>
      <c r="H3240" s="417" t="s">
        <v>2616</v>
      </c>
      <c r="I3240" s="417" t="s">
        <v>1392</v>
      </c>
      <c r="J3240" s="417" t="s">
        <v>8875</v>
      </c>
      <c r="K3240" s="417" t="s">
        <v>8920</v>
      </c>
      <c r="L3240" s="417"/>
      <c r="M3240" s="417" t="s">
        <v>28840</v>
      </c>
    </row>
    <row r="3241" spans="1:13" x14ac:dyDescent="0.25">
      <c r="A3241" s="417" t="s">
        <v>3385</v>
      </c>
      <c r="B3241" s="417" t="s">
        <v>3405</v>
      </c>
      <c r="C3241" s="417" t="s">
        <v>8921</v>
      </c>
      <c r="D3241" s="417" t="s">
        <v>224</v>
      </c>
      <c r="E3241" s="423">
        <v>6.2955372244372218E-3</v>
      </c>
      <c r="F3241" s="423">
        <v>1.6875143131315939E-4</v>
      </c>
      <c r="G3241" s="422">
        <v>25.509644947508431</v>
      </c>
      <c r="H3241" s="417" t="s">
        <v>2616</v>
      </c>
      <c r="I3241" s="417" t="s">
        <v>1392</v>
      </c>
      <c r="J3241" s="417" t="s">
        <v>8875</v>
      </c>
      <c r="K3241" s="417" t="s">
        <v>8922</v>
      </c>
      <c r="L3241" s="417"/>
      <c r="M3241" s="417" t="s">
        <v>28840</v>
      </c>
    </row>
    <row r="3242" spans="1:13" x14ac:dyDescent="0.25">
      <c r="A3242" s="417" t="s">
        <v>3385</v>
      </c>
      <c r="B3242" s="417" t="s">
        <v>3405</v>
      </c>
      <c r="C3242" s="417" t="s">
        <v>8923</v>
      </c>
      <c r="D3242" s="417" t="s">
        <v>224</v>
      </c>
      <c r="E3242" s="423">
        <v>3.793460261811613E-3</v>
      </c>
      <c r="F3242" s="423">
        <v>1.5448047824463801E-4</v>
      </c>
      <c r="G3242" s="422">
        <v>17.893049150318021</v>
      </c>
      <c r="H3242" s="417" t="s">
        <v>2616</v>
      </c>
      <c r="I3242" s="417" t="s">
        <v>1392</v>
      </c>
      <c r="J3242" s="417" t="s">
        <v>8875</v>
      </c>
      <c r="K3242" s="417" t="s">
        <v>8924</v>
      </c>
      <c r="L3242" s="417"/>
      <c r="M3242" s="417" t="s">
        <v>28840</v>
      </c>
    </row>
    <row r="3243" spans="1:13" x14ac:dyDescent="0.25">
      <c r="A3243" s="417" t="s">
        <v>3385</v>
      </c>
      <c r="B3243" s="417" t="s">
        <v>3405</v>
      </c>
      <c r="C3243" s="417" t="s">
        <v>8925</v>
      </c>
      <c r="D3243" s="417" t="s">
        <v>224</v>
      </c>
      <c r="E3243" s="423">
        <v>6.9210564650397776E-3</v>
      </c>
      <c r="F3243" s="423">
        <v>1.7231916957957379E-4</v>
      </c>
      <c r="G3243" s="422">
        <v>27.413793898096891</v>
      </c>
      <c r="H3243" s="417" t="s">
        <v>2616</v>
      </c>
      <c r="I3243" s="417" t="s">
        <v>1392</v>
      </c>
      <c r="J3243" s="417" t="s">
        <v>8875</v>
      </c>
      <c r="K3243" s="417" t="s">
        <v>8926</v>
      </c>
      <c r="L3243" s="417"/>
      <c r="M3243" s="417" t="s">
        <v>28840</v>
      </c>
    </row>
    <row r="3244" spans="1:13" x14ac:dyDescent="0.25">
      <c r="A3244" s="417" t="s">
        <v>3385</v>
      </c>
      <c r="B3244" s="417" t="s">
        <v>3405</v>
      </c>
      <c r="C3244" s="417" t="s">
        <v>8927</v>
      </c>
      <c r="D3244" s="417" t="s">
        <v>224</v>
      </c>
      <c r="E3244" s="423">
        <v>0.13536577631516869</v>
      </c>
      <c r="F3244" s="423">
        <v>3.066451719963011E-2</v>
      </c>
      <c r="G3244" s="422">
        <v>209.03846948323641</v>
      </c>
      <c r="H3244" s="417" t="s">
        <v>2616</v>
      </c>
      <c r="I3244" s="417" t="s">
        <v>1392</v>
      </c>
      <c r="J3244" s="417" t="s">
        <v>8928</v>
      </c>
      <c r="K3244" s="417" t="s">
        <v>8929</v>
      </c>
      <c r="L3244" s="417"/>
      <c r="M3244" s="417" t="s">
        <v>28840</v>
      </c>
    </row>
    <row r="3245" spans="1:13" x14ac:dyDescent="0.25">
      <c r="A3245" s="417" t="s">
        <v>3385</v>
      </c>
      <c r="B3245" s="417" t="s">
        <v>3405</v>
      </c>
      <c r="C3245" s="417" t="s">
        <v>8930</v>
      </c>
      <c r="D3245" s="417" t="s">
        <v>224</v>
      </c>
      <c r="E3245" s="423">
        <v>0.12085550079664879</v>
      </c>
      <c r="F3245" s="423">
        <v>2.6771022802177139E-2</v>
      </c>
      <c r="G3245" s="422">
        <v>497.83437884959022</v>
      </c>
      <c r="H3245" s="417" t="s">
        <v>2616</v>
      </c>
      <c r="I3245" s="417" t="s">
        <v>1392</v>
      </c>
      <c r="J3245" s="417" t="s">
        <v>8928</v>
      </c>
      <c r="K3245" s="417" t="s">
        <v>8931</v>
      </c>
      <c r="L3245" s="417"/>
      <c r="M3245" s="417" t="s">
        <v>28840</v>
      </c>
    </row>
    <row r="3246" spans="1:13" x14ac:dyDescent="0.25">
      <c r="A3246" s="417" t="s">
        <v>3385</v>
      </c>
      <c r="B3246" s="417" t="s">
        <v>3405</v>
      </c>
      <c r="C3246" s="417" t="s">
        <v>8932</v>
      </c>
      <c r="D3246" s="417" t="s">
        <v>224</v>
      </c>
      <c r="E3246" s="423">
        <v>0.48653634443422261</v>
      </c>
      <c r="F3246" s="423">
        <v>7.4994867096647516E-2</v>
      </c>
      <c r="G3246" s="422">
        <v>704.72219218900239</v>
      </c>
      <c r="H3246" s="417" t="s">
        <v>2616</v>
      </c>
      <c r="I3246" s="417" t="s">
        <v>1392</v>
      </c>
      <c r="J3246" s="417" t="s">
        <v>8928</v>
      </c>
      <c r="K3246" s="417" t="s">
        <v>8933</v>
      </c>
      <c r="L3246" s="417"/>
      <c r="M3246" s="417" t="s">
        <v>28840</v>
      </c>
    </row>
    <row r="3247" spans="1:13" x14ac:dyDescent="0.25">
      <c r="A3247" s="417" t="s">
        <v>3385</v>
      </c>
      <c r="B3247" s="417" t="s">
        <v>3405</v>
      </c>
      <c r="C3247" s="417" t="s">
        <v>8934</v>
      </c>
      <c r="D3247" s="417" t="s">
        <v>224</v>
      </c>
      <c r="E3247" s="423">
        <v>7.3381442373119554E-2</v>
      </c>
      <c r="F3247" s="423">
        <v>6.2798766808100041E-3</v>
      </c>
      <c r="G3247" s="422">
        <v>836.64669349524547</v>
      </c>
      <c r="H3247" s="417" t="s">
        <v>2616</v>
      </c>
      <c r="I3247" s="417" t="s">
        <v>1392</v>
      </c>
      <c r="J3247" s="417" t="s">
        <v>8928</v>
      </c>
      <c r="K3247" s="417" t="s">
        <v>8935</v>
      </c>
      <c r="L3247" s="417"/>
      <c r="M3247" s="417" t="s">
        <v>28840</v>
      </c>
    </row>
    <row r="3248" spans="1:13" x14ac:dyDescent="0.25">
      <c r="A3248" s="417" t="s">
        <v>3385</v>
      </c>
      <c r="B3248" s="417" t="s">
        <v>3405</v>
      </c>
      <c r="C3248" s="417" t="s">
        <v>8936</v>
      </c>
      <c r="D3248" s="417" t="s">
        <v>224</v>
      </c>
      <c r="E3248" s="423">
        <v>0.58963939191843351</v>
      </c>
      <c r="F3248" s="423">
        <v>2.2924651709448129E-2</v>
      </c>
      <c r="G3248" s="422">
        <v>743.7584996504753</v>
      </c>
      <c r="H3248" s="417" t="s">
        <v>2616</v>
      </c>
      <c r="I3248" s="417" t="s">
        <v>1392</v>
      </c>
      <c r="J3248" s="417" t="s">
        <v>8928</v>
      </c>
      <c r="K3248" s="417" t="s">
        <v>8937</v>
      </c>
      <c r="L3248" s="417"/>
      <c r="M3248" s="417" t="s">
        <v>28840</v>
      </c>
    </row>
    <row r="3249" spans="1:13" x14ac:dyDescent="0.25">
      <c r="A3249" s="417" t="s">
        <v>3385</v>
      </c>
      <c r="B3249" s="417" t="s">
        <v>3405</v>
      </c>
      <c r="C3249" s="417" t="s">
        <v>8938</v>
      </c>
      <c r="D3249" s="417" t="s">
        <v>224</v>
      </c>
      <c r="E3249" s="423">
        <v>6.3498685752517769E-2</v>
      </c>
      <c r="F3249" s="423">
        <v>4.9010521446847873E-2</v>
      </c>
      <c r="G3249" s="422">
        <v>126.3452790575346</v>
      </c>
      <c r="H3249" s="417" t="s">
        <v>2616</v>
      </c>
      <c r="I3249" s="417" t="s">
        <v>1392</v>
      </c>
      <c r="J3249" s="417" t="s">
        <v>8928</v>
      </c>
      <c r="K3249" s="417" t="s">
        <v>8939</v>
      </c>
      <c r="L3249" s="417"/>
      <c r="M3249" s="417" t="s">
        <v>28840</v>
      </c>
    </row>
    <row r="3250" spans="1:13" x14ac:dyDescent="0.25">
      <c r="A3250" s="417" t="s">
        <v>3385</v>
      </c>
      <c r="B3250" s="417" t="s">
        <v>3405</v>
      </c>
      <c r="C3250" s="417" t="s">
        <v>8940</v>
      </c>
      <c r="D3250" s="417" t="s">
        <v>224</v>
      </c>
      <c r="E3250" s="423">
        <v>6.8732748063377008E-2</v>
      </c>
      <c r="F3250" s="423">
        <v>2.4748193339129299E-2</v>
      </c>
      <c r="G3250" s="422">
        <v>420.94462877271388</v>
      </c>
      <c r="H3250" s="417" t="s">
        <v>2616</v>
      </c>
      <c r="I3250" s="417" t="s">
        <v>1392</v>
      </c>
      <c r="J3250" s="417" t="s">
        <v>8928</v>
      </c>
      <c r="K3250" s="417" t="s">
        <v>8941</v>
      </c>
      <c r="L3250" s="417"/>
      <c r="M3250" s="417" t="s">
        <v>28840</v>
      </c>
    </row>
    <row r="3251" spans="1:13" x14ac:dyDescent="0.25">
      <c r="A3251" s="417" t="s">
        <v>3385</v>
      </c>
      <c r="B3251" s="417" t="s">
        <v>3405</v>
      </c>
      <c r="C3251" s="417" t="s">
        <v>8942</v>
      </c>
      <c r="D3251" s="417" t="s">
        <v>224</v>
      </c>
      <c r="E3251" s="423">
        <v>0.63386260361520541</v>
      </c>
      <c r="F3251" s="423">
        <v>8.2150449263343722E-2</v>
      </c>
      <c r="G3251" s="422">
        <v>897.60948302071677</v>
      </c>
      <c r="H3251" s="417" t="s">
        <v>2616</v>
      </c>
      <c r="I3251" s="417" t="s">
        <v>1392</v>
      </c>
      <c r="J3251" s="417" t="s">
        <v>8928</v>
      </c>
      <c r="K3251" s="417" t="s">
        <v>8943</v>
      </c>
      <c r="L3251" s="417"/>
      <c r="M3251" s="417" t="s">
        <v>28840</v>
      </c>
    </row>
    <row r="3252" spans="1:13" x14ac:dyDescent="0.25">
      <c r="A3252" s="417" t="s">
        <v>3385</v>
      </c>
      <c r="B3252" s="417" t="s">
        <v>3405</v>
      </c>
      <c r="C3252" s="417" t="s">
        <v>8944</v>
      </c>
      <c r="D3252" s="417" t="s">
        <v>224</v>
      </c>
      <c r="E3252" s="423">
        <v>5.7206606814538812E-2</v>
      </c>
      <c r="F3252" s="423">
        <v>8.352344402461187E-3</v>
      </c>
      <c r="G3252" s="422">
        <v>878.57897831874368</v>
      </c>
      <c r="H3252" s="417" t="s">
        <v>2616</v>
      </c>
      <c r="I3252" s="417" t="s">
        <v>1392</v>
      </c>
      <c r="J3252" s="417" t="s">
        <v>8928</v>
      </c>
      <c r="K3252" s="417" t="s">
        <v>8945</v>
      </c>
      <c r="L3252" s="417"/>
      <c r="M3252" s="417" t="s">
        <v>28840</v>
      </c>
    </row>
    <row r="3253" spans="1:13" x14ac:dyDescent="0.25">
      <c r="A3253" s="417" t="s">
        <v>3385</v>
      </c>
      <c r="B3253" s="417" t="s">
        <v>3405</v>
      </c>
      <c r="C3253" s="417" t="s">
        <v>8946</v>
      </c>
      <c r="D3253" s="417" t="s">
        <v>224</v>
      </c>
      <c r="E3253" s="423">
        <v>0.77773990320273134</v>
      </c>
      <c r="F3253" s="423">
        <v>1.482118625987947E-2</v>
      </c>
      <c r="G3253" s="422">
        <v>978.87027656785597</v>
      </c>
      <c r="H3253" s="417" t="s">
        <v>2616</v>
      </c>
      <c r="I3253" s="417" t="s">
        <v>1392</v>
      </c>
      <c r="J3253" s="417" t="s">
        <v>8928</v>
      </c>
      <c r="K3253" s="417" t="s">
        <v>8947</v>
      </c>
      <c r="L3253" s="417"/>
      <c r="M3253" s="417" t="s">
        <v>28840</v>
      </c>
    </row>
    <row r="3254" spans="1:13" x14ac:dyDescent="0.25">
      <c r="A3254" s="417" t="s">
        <v>3385</v>
      </c>
      <c r="B3254" s="417" t="s">
        <v>3405</v>
      </c>
      <c r="C3254" s="417" t="s">
        <v>8948</v>
      </c>
      <c r="D3254" s="417" t="s">
        <v>224</v>
      </c>
      <c r="E3254" s="423">
        <v>0.2467965171600269</v>
      </c>
      <c r="F3254" s="423">
        <v>5.2391678495029313E-2</v>
      </c>
      <c r="G3254" s="422">
        <v>343.21182712786242</v>
      </c>
      <c r="H3254" s="417" t="s">
        <v>2616</v>
      </c>
      <c r="I3254" s="417" t="s">
        <v>1392</v>
      </c>
      <c r="J3254" s="417" t="s">
        <v>8928</v>
      </c>
      <c r="K3254" s="417" t="s">
        <v>8949</v>
      </c>
      <c r="L3254" s="417"/>
      <c r="M3254" s="417" t="s">
        <v>28840</v>
      </c>
    </row>
    <row r="3255" spans="1:13" x14ac:dyDescent="0.25">
      <c r="A3255" s="417" t="s">
        <v>3385</v>
      </c>
      <c r="B3255" s="417" t="s">
        <v>3405</v>
      </c>
      <c r="C3255" s="417" t="s">
        <v>8950</v>
      </c>
      <c r="D3255" s="417" t="s">
        <v>224</v>
      </c>
      <c r="E3255" s="423">
        <v>0.1792702271896213</v>
      </c>
      <c r="F3255" s="423">
        <v>3.1387781280365297E-2</v>
      </c>
      <c r="G3255" s="422">
        <v>604.58911061016397</v>
      </c>
      <c r="H3255" s="417" t="s">
        <v>2616</v>
      </c>
      <c r="I3255" s="417" t="s">
        <v>1392</v>
      </c>
      <c r="J3255" s="417" t="s">
        <v>8928</v>
      </c>
      <c r="K3255" s="417" t="s">
        <v>8951</v>
      </c>
      <c r="L3255" s="417"/>
      <c r="M3255" s="417" t="s">
        <v>28840</v>
      </c>
    </row>
    <row r="3256" spans="1:13" x14ac:dyDescent="0.25">
      <c r="A3256" s="417" t="s">
        <v>3385</v>
      </c>
      <c r="B3256" s="417" t="s">
        <v>3405</v>
      </c>
      <c r="C3256" s="417" t="s">
        <v>8952</v>
      </c>
      <c r="D3256" s="417" t="s">
        <v>224</v>
      </c>
      <c r="E3256" s="423">
        <v>0.63199895062736777</v>
      </c>
      <c r="F3256" s="423">
        <v>7.717787543191032E-2</v>
      </c>
      <c r="G3256" s="422">
        <v>887.91111583719362</v>
      </c>
      <c r="H3256" s="417" t="s">
        <v>2616</v>
      </c>
      <c r="I3256" s="417" t="s">
        <v>1392</v>
      </c>
      <c r="J3256" s="417" t="s">
        <v>8928</v>
      </c>
      <c r="K3256" s="417" t="s">
        <v>8953</v>
      </c>
      <c r="L3256" s="417"/>
      <c r="M3256" s="417" t="s">
        <v>28840</v>
      </c>
    </row>
    <row r="3257" spans="1:13" x14ac:dyDescent="0.25">
      <c r="A3257" s="417" t="s">
        <v>3385</v>
      </c>
      <c r="B3257" s="417" t="s">
        <v>3405</v>
      </c>
      <c r="C3257" s="417" t="s">
        <v>8954</v>
      </c>
      <c r="D3257" s="417" t="s">
        <v>224</v>
      </c>
      <c r="E3257" s="423">
        <v>9.1953858972637317E-2</v>
      </c>
      <c r="F3257" s="423">
        <v>6.5975095904915234E-3</v>
      </c>
      <c r="G3257" s="422">
        <v>895.9128653698981</v>
      </c>
      <c r="H3257" s="417" t="s">
        <v>2616</v>
      </c>
      <c r="I3257" s="417" t="s">
        <v>1392</v>
      </c>
      <c r="J3257" s="417" t="s">
        <v>8928</v>
      </c>
      <c r="K3257" s="417" t="s">
        <v>8955</v>
      </c>
      <c r="L3257" s="417"/>
      <c r="M3257" s="417" t="s">
        <v>28840</v>
      </c>
    </row>
    <row r="3258" spans="1:13" x14ac:dyDescent="0.25">
      <c r="A3258" s="417" t="s">
        <v>3385</v>
      </c>
      <c r="B3258" s="417" t="s">
        <v>3405</v>
      </c>
      <c r="C3258" s="417" t="s">
        <v>8956</v>
      </c>
      <c r="D3258" s="417" t="s">
        <v>224</v>
      </c>
      <c r="E3258" s="423">
        <v>0.88900052219499548</v>
      </c>
      <c r="F3258" s="423">
        <v>1.6077226896095521E-2</v>
      </c>
      <c r="G3258" s="422">
        <v>1112.7750256300419</v>
      </c>
      <c r="H3258" s="417" t="s">
        <v>2616</v>
      </c>
      <c r="I3258" s="417" t="s">
        <v>1392</v>
      </c>
      <c r="J3258" s="417" t="s">
        <v>8928</v>
      </c>
      <c r="K3258" s="417" t="s">
        <v>8957</v>
      </c>
      <c r="L3258" s="417"/>
      <c r="M3258" s="417" t="s">
        <v>28840</v>
      </c>
    </row>
    <row r="3259" spans="1:13" x14ac:dyDescent="0.25">
      <c r="A3259" s="417" t="s">
        <v>3385</v>
      </c>
      <c r="B3259" s="417" t="s">
        <v>3405</v>
      </c>
      <c r="C3259" s="417" t="s">
        <v>8958</v>
      </c>
      <c r="D3259" s="417" t="s">
        <v>224</v>
      </c>
      <c r="E3259" s="423">
        <v>0.48266727443865759</v>
      </c>
      <c r="F3259" s="423">
        <v>2.0932222862541969E-2</v>
      </c>
      <c r="G3259" s="422">
        <v>689.89477098655743</v>
      </c>
      <c r="H3259" s="417" t="s">
        <v>2616</v>
      </c>
      <c r="I3259" s="417" t="s">
        <v>1392</v>
      </c>
      <c r="J3259" s="417" t="s">
        <v>8959</v>
      </c>
      <c r="K3259" s="417" t="s">
        <v>8960</v>
      </c>
      <c r="L3259" s="417"/>
      <c r="M3259" s="417" t="s">
        <v>28840</v>
      </c>
    </row>
    <row r="3260" spans="1:13" x14ac:dyDescent="0.25">
      <c r="A3260" s="417" t="s">
        <v>3385</v>
      </c>
      <c r="B3260" s="417" t="s">
        <v>3405</v>
      </c>
      <c r="C3260" s="417" t="s">
        <v>8961</v>
      </c>
      <c r="D3260" s="417" t="s">
        <v>224</v>
      </c>
      <c r="E3260" s="423">
        <v>0.27152139982657658</v>
      </c>
      <c r="F3260" s="423">
        <v>7.2209562590985918E-2</v>
      </c>
      <c r="G3260" s="422">
        <v>540.39875757056177</v>
      </c>
      <c r="H3260" s="417" t="s">
        <v>2616</v>
      </c>
      <c r="I3260" s="417" t="s">
        <v>1392</v>
      </c>
      <c r="J3260" s="417" t="s">
        <v>8959</v>
      </c>
      <c r="K3260" s="417" t="s">
        <v>8962</v>
      </c>
      <c r="L3260" s="417"/>
      <c r="M3260" s="417" t="s">
        <v>28840</v>
      </c>
    </row>
    <row r="3261" spans="1:13" x14ac:dyDescent="0.25">
      <c r="A3261" s="417" t="s">
        <v>3385</v>
      </c>
      <c r="B3261" s="417" t="s">
        <v>3405</v>
      </c>
      <c r="C3261" s="417" t="s">
        <v>8963</v>
      </c>
      <c r="D3261" s="417" t="s">
        <v>224</v>
      </c>
      <c r="E3261" s="423">
        <v>0.91002138624363116</v>
      </c>
      <c r="F3261" s="423">
        <v>1.492798048815795E-2</v>
      </c>
      <c r="G3261" s="422">
        <v>1173.2062118838619</v>
      </c>
      <c r="H3261" s="417" t="s">
        <v>2616</v>
      </c>
      <c r="I3261" s="417" t="s">
        <v>1392</v>
      </c>
      <c r="J3261" s="417" t="s">
        <v>8959</v>
      </c>
      <c r="K3261" s="417" t="s">
        <v>8964</v>
      </c>
      <c r="L3261" s="417"/>
      <c r="M3261" s="417" t="s">
        <v>28840</v>
      </c>
    </row>
    <row r="3262" spans="1:13" x14ac:dyDescent="0.25">
      <c r="A3262" s="417" t="s">
        <v>3385</v>
      </c>
      <c r="B3262" s="417" t="s">
        <v>3405</v>
      </c>
      <c r="C3262" s="417" t="s">
        <v>8965</v>
      </c>
      <c r="D3262" s="417" t="s">
        <v>224</v>
      </c>
      <c r="E3262" s="423">
        <v>1.283914141387539</v>
      </c>
      <c r="F3262" s="423">
        <v>2.2276295110684109E-2</v>
      </c>
      <c r="G3262" s="422">
        <v>1639.251386654184</v>
      </c>
      <c r="H3262" s="417" t="s">
        <v>2616</v>
      </c>
      <c r="I3262" s="417" t="s">
        <v>1392</v>
      </c>
      <c r="J3262" s="417" t="s">
        <v>8959</v>
      </c>
      <c r="K3262" s="417" t="s">
        <v>8966</v>
      </c>
      <c r="L3262" s="417"/>
      <c r="M3262" s="417" t="s">
        <v>28840</v>
      </c>
    </row>
    <row r="3263" spans="1:13" x14ac:dyDescent="0.25">
      <c r="A3263" s="417" t="s">
        <v>3385</v>
      </c>
      <c r="B3263" s="417" t="s">
        <v>3405</v>
      </c>
      <c r="C3263" s="417" t="s">
        <v>8967</v>
      </c>
      <c r="D3263" s="417" t="s">
        <v>224</v>
      </c>
      <c r="E3263" s="423">
        <v>0.23027907709285619</v>
      </c>
      <c r="F3263" s="423">
        <v>4.0419440412674611E-2</v>
      </c>
      <c r="G3263" s="422">
        <v>602.66084180983898</v>
      </c>
      <c r="H3263" s="417" t="s">
        <v>2616</v>
      </c>
      <c r="I3263" s="417" t="s">
        <v>1392</v>
      </c>
      <c r="J3263" s="417" t="s">
        <v>8959</v>
      </c>
      <c r="K3263" s="417" t="s">
        <v>8968</v>
      </c>
      <c r="L3263" s="417"/>
      <c r="M3263" s="417" t="s">
        <v>28840</v>
      </c>
    </row>
    <row r="3264" spans="1:13" x14ac:dyDescent="0.25">
      <c r="A3264" s="417" t="s">
        <v>3385</v>
      </c>
      <c r="B3264" s="417" t="s">
        <v>3405</v>
      </c>
      <c r="C3264" s="417" t="s">
        <v>8969</v>
      </c>
      <c r="D3264" s="417" t="s">
        <v>224</v>
      </c>
      <c r="E3264" s="423">
        <v>0.78132797254573094</v>
      </c>
      <c r="F3264" s="423">
        <v>5.9678745058160752E-2</v>
      </c>
      <c r="G3264" s="422">
        <v>1605.7338357747919</v>
      </c>
      <c r="H3264" s="417" t="s">
        <v>2616</v>
      </c>
      <c r="I3264" s="417" t="s">
        <v>1392</v>
      </c>
      <c r="J3264" s="417" t="s">
        <v>8959</v>
      </c>
      <c r="K3264" s="417" t="s">
        <v>8970</v>
      </c>
      <c r="L3264" s="417"/>
      <c r="M3264" s="417" t="s">
        <v>28840</v>
      </c>
    </row>
    <row r="3265" spans="1:13" x14ac:dyDescent="0.25">
      <c r="A3265" s="417" t="s">
        <v>3385</v>
      </c>
      <c r="B3265" s="417" t="s">
        <v>3405</v>
      </c>
      <c r="C3265" s="417" t="s">
        <v>8971</v>
      </c>
      <c r="D3265" s="417" t="s">
        <v>224</v>
      </c>
      <c r="E3265" s="423">
        <v>0.29803267619685719</v>
      </c>
      <c r="F3265" s="423">
        <v>2.136969488052276E-2</v>
      </c>
      <c r="G3265" s="422">
        <v>537.85847680042866</v>
      </c>
      <c r="H3265" s="417" t="s">
        <v>2616</v>
      </c>
      <c r="I3265" s="417" t="s">
        <v>1392</v>
      </c>
      <c r="J3265" s="417" t="s">
        <v>8959</v>
      </c>
      <c r="K3265" s="417" t="s">
        <v>8972</v>
      </c>
      <c r="L3265" s="417"/>
      <c r="M3265" s="417" t="s">
        <v>28840</v>
      </c>
    </row>
    <row r="3266" spans="1:13" x14ac:dyDescent="0.25">
      <c r="A3266" s="417" t="s">
        <v>3385</v>
      </c>
      <c r="B3266" s="417" t="s">
        <v>3405</v>
      </c>
      <c r="C3266" s="417" t="s">
        <v>8973</v>
      </c>
      <c r="D3266" s="417" t="s">
        <v>224</v>
      </c>
      <c r="E3266" s="423">
        <v>0.1214891760262449</v>
      </c>
      <c r="F3266" s="423">
        <v>2.981322271889935E-2</v>
      </c>
      <c r="G3266" s="422">
        <v>554.22041472233138</v>
      </c>
      <c r="H3266" s="417" t="s">
        <v>2616</v>
      </c>
      <c r="I3266" s="417" t="s">
        <v>1392</v>
      </c>
      <c r="J3266" s="417" t="s">
        <v>8959</v>
      </c>
      <c r="K3266" s="417" t="s">
        <v>8974</v>
      </c>
      <c r="L3266" s="417"/>
      <c r="M3266" s="417" t="s">
        <v>28840</v>
      </c>
    </row>
    <row r="3267" spans="1:13" x14ac:dyDescent="0.25">
      <c r="A3267" s="417" t="s">
        <v>3385</v>
      </c>
      <c r="B3267" s="417" t="s">
        <v>3405</v>
      </c>
      <c r="C3267" s="417" t="s">
        <v>8975</v>
      </c>
      <c r="D3267" s="417" t="s">
        <v>224</v>
      </c>
      <c r="E3267" s="423">
        <v>0.95441997400092771</v>
      </c>
      <c r="F3267" s="423">
        <v>2.141763742353775E-2</v>
      </c>
      <c r="G3267" s="422">
        <v>1262.2706846320029</v>
      </c>
      <c r="H3267" s="417" t="s">
        <v>2616</v>
      </c>
      <c r="I3267" s="417" t="s">
        <v>1392</v>
      </c>
      <c r="J3267" s="417" t="s">
        <v>8959</v>
      </c>
      <c r="K3267" s="417" t="s">
        <v>8976</v>
      </c>
      <c r="L3267" s="417"/>
      <c r="M3267" s="417" t="s">
        <v>28840</v>
      </c>
    </row>
    <row r="3268" spans="1:13" x14ac:dyDescent="0.25">
      <c r="A3268" s="417" t="s">
        <v>3385</v>
      </c>
      <c r="B3268" s="417" t="s">
        <v>3405</v>
      </c>
      <c r="C3268" s="417" t="s">
        <v>8977</v>
      </c>
      <c r="D3268" s="417" t="s">
        <v>224</v>
      </c>
      <c r="E3268" s="423">
        <v>1.1117534724134619</v>
      </c>
      <c r="F3268" s="423">
        <v>4.3442942206652806E-3</v>
      </c>
      <c r="G3268" s="422">
        <v>1461.4447213904421</v>
      </c>
      <c r="H3268" s="417" t="s">
        <v>2616</v>
      </c>
      <c r="I3268" s="417" t="s">
        <v>1392</v>
      </c>
      <c r="J3268" s="417" t="s">
        <v>8959</v>
      </c>
      <c r="K3268" s="417" t="s">
        <v>8978</v>
      </c>
      <c r="L3268" s="417"/>
      <c r="M3268" s="417" t="s">
        <v>28840</v>
      </c>
    </row>
    <row r="3269" spans="1:13" x14ac:dyDescent="0.25">
      <c r="A3269" s="417" t="s">
        <v>3385</v>
      </c>
      <c r="B3269" s="417" t="s">
        <v>3405</v>
      </c>
      <c r="C3269" s="417" t="s">
        <v>8979</v>
      </c>
      <c r="D3269" s="417" t="s">
        <v>224</v>
      </c>
      <c r="E3269" s="423">
        <v>0.63673218707666612</v>
      </c>
      <c r="F3269" s="423">
        <v>6.7865573916680105E-2</v>
      </c>
      <c r="G3269" s="422">
        <v>1051.4811541820709</v>
      </c>
      <c r="H3269" s="417" t="s">
        <v>2616</v>
      </c>
      <c r="I3269" s="417" t="s">
        <v>1392</v>
      </c>
      <c r="J3269" s="417" t="s">
        <v>8959</v>
      </c>
      <c r="K3269" s="417" t="s">
        <v>8980</v>
      </c>
      <c r="L3269" s="417"/>
      <c r="M3269" s="417" t="s">
        <v>28840</v>
      </c>
    </row>
    <row r="3270" spans="1:13" x14ac:dyDescent="0.25">
      <c r="A3270" s="417" t="s">
        <v>3385</v>
      </c>
      <c r="B3270" s="417" t="s">
        <v>3405</v>
      </c>
      <c r="C3270" s="417" t="s">
        <v>8981</v>
      </c>
      <c r="D3270" s="417" t="s">
        <v>224</v>
      </c>
      <c r="E3270" s="423">
        <v>0.64550518087285436</v>
      </c>
      <c r="F3270" s="423">
        <v>8.5593759455233426E-2</v>
      </c>
      <c r="G3270" s="422">
        <v>991.02445380526729</v>
      </c>
      <c r="H3270" s="417" t="s">
        <v>2616</v>
      </c>
      <c r="I3270" s="417" t="s">
        <v>1392</v>
      </c>
      <c r="J3270" s="417" t="s">
        <v>8959</v>
      </c>
      <c r="K3270" s="417" t="s">
        <v>8982</v>
      </c>
      <c r="L3270" s="417"/>
      <c r="M3270" s="417" t="s">
        <v>28840</v>
      </c>
    </row>
    <row r="3271" spans="1:13" x14ac:dyDescent="0.25">
      <c r="A3271" s="417" t="s">
        <v>3385</v>
      </c>
      <c r="B3271" s="417" t="s">
        <v>3405</v>
      </c>
      <c r="C3271" s="417" t="s">
        <v>8983</v>
      </c>
      <c r="D3271" s="417" t="s">
        <v>224</v>
      </c>
      <c r="E3271" s="423">
        <v>0.17978804438288101</v>
      </c>
      <c r="F3271" s="423">
        <v>0.13469755660795349</v>
      </c>
      <c r="G3271" s="422">
        <v>314.34883604159592</v>
      </c>
      <c r="H3271" s="417" t="s">
        <v>2616</v>
      </c>
      <c r="I3271" s="417" t="s">
        <v>1392</v>
      </c>
      <c r="J3271" s="417" t="s">
        <v>8959</v>
      </c>
      <c r="K3271" s="417" t="s">
        <v>8984</v>
      </c>
      <c r="L3271" s="417"/>
      <c r="M3271" s="417" t="s">
        <v>28840</v>
      </c>
    </row>
    <row r="3272" spans="1:13" x14ac:dyDescent="0.25">
      <c r="A3272" s="417" t="s">
        <v>3385</v>
      </c>
      <c r="B3272" s="417" t="s">
        <v>3405</v>
      </c>
      <c r="C3272" s="417" t="s">
        <v>8985</v>
      </c>
      <c r="D3272" s="417" t="s">
        <v>224</v>
      </c>
      <c r="E3272" s="423">
        <v>0.27386899951487009</v>
      </c>
      <c r="F3272" s="423">
        <v>2.032202632197757E-2</v>
      </c>
      <c r="G3272" s="422">
        <v>648.12365440486872</v>
      </c>
      <c r="H3272" s="417" t="s">
        <v>2616</v>
      </c>
      <c r="I3272" s="417" t="s">
        <v>1392</v>
      </c>
      <c r="J3272" s="417" t="s">
        <v>8959</v>
      </c>
      <c r="K3272" s="417" t="s">
        <v>8986</v>
      </c>
      <c r="L3272" s="417"/>
      <c r="M3272" s="417" t="s">
        <v>28840</v>
      </c>
    </row>
    <row r="3273" spans="1:13" x14ac:dyDescent="0.25">
      <c r="A3273" s="417" t="s">
        <v>3385</v>
      </c>
      <c r="B3273" s="417" t="s">
        <v>3405</v>
      </c>
      <c r="C3273" s="417" t="s">
        <v>8987</v>
      </c>
      <c r="D3273" s="417" t="s">
        <v>224</v>
      </c>
      <c r="E3273" s="423">
        <v>0.16437163376464539</v>
      </c>
      <c r="F3273" s="423">
        <v>0.12712864347697711</v>
      </c>
      <c r="G3273" s="422">
        <v>543.92854837919833</v>
      </c>
      <c r="H3273" s="417" t="s">
        <v>2616</v>
      </c>
      <c r="I3273" s="417" t="s">
        <v>1392</v>
      </c>
      <c r="J3273" s="417" t="s">
        <v>8959</v>
      </c>
      <c r="K3273" s="417" t="s">
        <v>8988</v>
      </c>
      <c r="L3273" s="417"/>
      <c r="M3273" s="417" t="s">
        <v>28840</v>
      </c>
    </row>
    <row r="3274" spans="1:13" x14ac:dyDescent="0.25">
      <c r="A3274" s="417" t="s">
        <v>3385</v>
      </c>
      <c r="B3274" s="417" t="s">
        <v>3405</v>
      </c>
      <c r="C3274" s="417" t="s">
        <v>8989</v>
      </c>
      <c r="D3274" s="417" t="s">
        <v>224</v>
      </c>
      <c r="E3274" s="423">
        <v>9.2762554345459963E-2</v>
      </c>
      <c r="F3274" s="423">
        <v>1.8721839909613781E-2</v>
      </c>
      <c r="G3274" s="422">
        <v>820.35554331637775</v>
      </c>
      <c r="H3274" s="417" t="s">
        <v>2616</v>
      </c>
      <c r="I3274" s="417" t="s">
        <v>1392</v>
      </c>
      <c r="J3274" s="417" t="s">
        <v>8959</v>
      </c>
      <c r="K3274" s="417" t="s">
        <v>8990</v>
      </c>
      <c r="L3274" s="417"/>
      <c r="M3274" s="417" t="s">
        <v>28840</v>
      </c>
    </row>
    <row r="3275" spans="1:13" x14ac:dyDescent="0.25">
      <c r="A3275" s="417" t="s">
        <v>3385</v>
      </c>
      <c r="B3275" s="417" t="s">
        <v>3405</v>
      </c>
      <c r="C3275" s="417" t="s">
        <v>8991</v>
      </c>
      <c r="D3275" s="417" t="s">
        <v>224</v>
      </c>
      <c r="E3275" s="423">
        <v>0.25916479381162411</v>
      </c>
      <c r="F3275" s="423">
        <v>9.0675879475708016E-2</v>
      </c>
      <c r="G3275" s="422">
        <v>531.35850202221923</v>
      </c>
      <c r="H3275" s="417" t="s">
        <v>2616</v>
      </c>
      <c r="I3275" s="417" t="s">
        <v>1392</v>
      </c>
      <c r="J3275" s="417" t="s">
        <v>8959</v>
      </c>
      <c r="K3275" s="417" t="s">
        <v>8992</v>
      </c>
      <c r="L3275" s="417"/>
      <c r="M3275" s="417" t="s">
        <v>28840</v>
      </c>
    </row>
    <row r="3276" spans="1:13" x14ac:dyDescent="0.25">
      <c r="A3276" s="417" t="s">
        <v>3385</v>
      </c>
      <c r="B3276" s="417" t="s">
        <v>3405</v>
      </c>
      <c r="C3276" s="417" t="s">
        <v>8993</v>
      </c>
      <c r="D3276" s="417" t="s">
        <v>224</v>
      </c>
      <c r="E3276" s="423">
        <v>0.54892156300316786</v>
      </c>
      <c r="F3276" s="423">
        <v>1.2204841773099761E-2</v>
      </c>
      <c r="G3276" s="422">
        <v>784.48394538799471</v>
      </c>
      <c r="H3276" s="417" t="s">
        <v>2616</v>
      </c>
      <c r="I3276" s="417" t="s">
        <v>1392</v>
      </c>
      <c r="J3276" s="417" t="s">
        <v>8959</v>
      </c>
      <c r="K3276" s="417" t="s">
        <v>8994</v>
      </c>
      <c r="L3276" s="417"/>
      <c r="M3276" s="417" t="s">
        <v>28840</v>
      </c>
    </row>
    <row r="3277" spans="1:13" x14ac:dyDescent="0.25">
      <c r="A3277" s="417" t="s">
        <v>3385</v>
      </c>
      <c r="B3277" s="417" t="s">
        <v>3405</v>
      </c>
      <c r="C3277" s="417" t="s">
        <v>8995</v>
      </c>
      <c r="D3277" s="417" t="s">
        <v>224</v>
      </c>
      <c r="E3277" s="423">
        <v>0.45168603391818851</v>
      </c>
      <c r="F3277" s="423">
        <v>3.9514272403325758E-2</v>
      </c>
      <c r="G3277" s="422">
        <v>653.36699978945092</v>
      </c>
      <c r="H3277" s="417" t="s">
        <v>2616</v>
      </c>
      <c r="I3277" s="417" t="s">
        <v>1392</v>
      </c>
      <c r="J3277" s="417" t="s">
        <v>8959</v>
      </c>
      <c r="K3277" s="417" t="s">
        <v>8996</v>
      </c>
      <c r="L3277" s="417"/>
      <c r="M3277" s="417" t="s">
        <v>28840</v>
      </c>
    </row>
    <row r="3278" spans="1:13" x14ac:dyDescent="0.25">
      <c r="A3278" s="417" t="s">
        <v>3385</v>
      </c>
      <c r="B3278" s="417" t="s">
        <v>3405</v>
      </c>
      <c r="C3278" s="417" t="s">
        <v>8997</v>
      </c>
      <c r="D3278" s="417" t="s">
        <v>224</v>
      </c>
      <c r="E3278" s="423">
        <v>0.36147609967763822</v>
      </c>
      <c r="F3278" s="423">
        <v>4.7795493351338647E-2</v>
      </c>
      <c r="G3278" s="422">
        <v>814.55522410121432</v>
      </c>
      <c r="H3278" s="417" t="s">
        <v>2616</v>
      </c>
      <c r="I3278" s="417" t="s">
        <v>1392</v>
      </c>
      <c r="J3278" s="417" t="s">
        <v>8959</v>
      </c>
      <c r="K3278" s="417" t="s">
        <v>8998</v>
      </c>
      <c r="L3278" s="417"/>
      <c r="M3278" s="417" t="s">
        <v>28840</v>
      </c>
    </row>
    <row r="3279" spans="1:13" x14ac:dyDescent="0.25">
      <c r="A3279" s="417" t="s">
        <v>3385</v>
      </c>
      <c r="B3279" s="417" t="s">
        <v>3405</v>
      </c>
      <c r="C3279" s="417" t="s">
        <v>8999</v>
      </c>
      <c r="D3279" s="417" t="s">
        <v>224</v>
      </c>
      <c r="E3279" s="423">
        <v>0.52942178830325715</v>
      </c>
      <c r="F3279" s="423">
        <v>3.3702748122074772E-2</v>
      </c>
      <c r="G3279" s="422">
        <v>721.70881020440697</v>
      </c>
      <c r="H3279" s="417" t="s">
        <v>2616</v>
      </c>
      <c r="I3279" s="417" t="s">
        <v>1392</v>
      </c>
      <c r="J3279" s="417" t="s">
        <v>8959</v>
      </c>
      <c r="K3279" s="417" t="s">
        <v>9000</v>
      </c>
      <c r="L3279" s="417"/>
      <c r="M3279" s="417" t="s">
        <v>28840</v>
      </c>
    </row>
    <row r="3280" spans="1:13" x14ac:dyDescent="0.25">
      <c r="A3280" s="417" t="s">
        <v>3385</v>
      </c>
      <c r="B3280" s="417" t="s">
        <v>3405</v>
      </c>
      <c r="C3280" s="417" t="s">
        <v>9001</v>
      </c>
      <c r="D3280" s="417" t="s">
        <v>224</v>
      </c>
      <c r="E3280" s="423">
        <v>0.80724005389589493</v>
      </c>
      <c r="F3280" s="423">
        <v>2.231400487279646E-3</v>
      </c>
      <c r="G3280" s="422">
        <v>988.80472886299799</v>
      </c>
      <c r="H3280" s="417" t="s">
        <v>2616</v>
      </c>
      <c r="I3280" s="417" t="s">
        <v>1392</v>
      </c>
      <c r="J3280" s="417" t="s">
        <v>8959</v>
      </c>
      <c r="K3280" s="417" t="s">
        <v>9002</v>
      </c>
      <c r="L3280" s="417"/>
      <c r="M3280" s="417" t="s">
        <v>28840</v>
      </c>
    </row>
    <row r="3281" spans="1:13" x14ac:dyDescent="0.25">
      <c r="A3281" s="417" t="s">
        <v>3385</v>
      </c>
      <c r="B3281" s="417" t="s">
        <v>3405</v>
      </c>
      <c r="C3281" s="417" t="s">
        <v>9003</v>
      </c>
      <c r="D3281" s="417" t="s">
        <v>224</v>
      </c>
      <c r="E3281" s="423">
        <v>1.204746601136105</v>
      </c>
      <c r="F3281" s="423">
        <v>2.503222552772455E-2</v>
      </c>
      <c r="G3281" s="422">
        <v>1835.7969024960289</v>
      </c>
      <c r="H3281" s="417" t="s">
        <v>2616</v>
      </c>
      <c r="I3281" s="417" t="s">
        <v>1392</v>
      </c>
      <c r="J3281" s="417" t="s">
        <v>8959</v>
      </c>
      <c r="K3281" s="417" t="s">
        <v>9004</v>
      </c>
      <c r="L3281" s="417"/>
      <c r="M3281" s="417" t="s">
        <v>28840</v>
      </c>
    </row>
    <row r="3282" spans="1:13" x14ac:dyDescent="0.25">
      <c r="A3282" s="417" t="s">
        <v>3385</v>
      </c>
      <c r="B3282" s="417" t="s">
        <v>3405</v>
      </c>
      <c r="C3282" s="417" t="s">
        <v>9005</v>
      </c>
      <c r="D3282" s="417" t="s">
        <v>224</v>
      </c>
      <c r="E3282" s="423">
        <v>0.43814175461026339</v>
      </c>
      <c r="F3282" s="423">
        <v>4.924629039661306E-2</v>
      </c>
      <c r="G3282" s="422">
        <v>634.1893323607602</v>
      </c>
      <c r="H3282" s="417" t="s">
        <v>2616</v>
      </c>
      <c r="I3282" s="417" t="s">
        <v>1392</v>
      </c>
      <c r="J3282" s="417" t="s">
        <v>8959</v>
      </c>
      <c r="K3282" s="417" t="s">
        <v>9006</v>
      </c>
      <c r="L3282" s="417"/>
      <c r="M3282" s="417" t="s">
        <v>28840</v>
      </c>
    </row>
    <row r="3283" spans="1:13" x14ac:dyDescent="0.25">
      <c r="A3283" s="417" t="s">
        <v>3385</v>
      </c>
      <c r="B3283" s="417" t="s">
        <v>3405</v>
      </c>
      <c r="C3283" s="417" t="s">
        <v>9007</v>
      </c>
      <c r="D3283" s="417" t="s">
        <v>224</v>
      </c>
      <c r="E3283" s="423">
        <v>0.82240531203792422</v>
      </c>
      <c r="F3283" s="423">
        <v>4.745132544091122E-2</v>
      </c>
      <c r="G3283" s="422">
        <v>1145.7442680320901</v>
      </c>
      <c r="H3283" s="417" t="s">
        <v>2616</v>
      </c>
      <c r="I3283" s="417" t="s">
        <v>1392</v>
      </c>
      <c r="J3283" s="417" t="s">
        <v>8959</v>
      </c>
      <c r="K3283" s="417" t="s">
        <v>9008</v>
      </c>
      <c r="L3283" s="417"/>
      <c r="M3283" s="417" t="s">
        <v>28840</v>
      </c>
    </row>
    <row r="3284" spans="1:13" x14ac:dyDescent="0.25">
      <c r="A3284" s="417" t="s">
        <v>3385</v>
      </c>
      <c r="B3284" s="417" t="s">
        <v>3405</v>
      </c>
      <c r="C3284" s="417" t="s">
        <v>9009</v>
      </c>
      <c r="D3284" s="417" t="s">
        <v>224</v>
      </c>
      <c r="E3284" s="423">
        <v>0.72352513012124509</v>
      </c>
      <c r="F3284" s="423">
        <v>1.889992792500543E-2</v>
      </c>
      <c r="G3284" s="422">
        <v>1147.8005602239641</v>
      </c>
      <c r="H3284" s="417" t="s">
        <v>2616</v>
      </c>
      <c r="I3284" s="417" t="s">
        <v>1392</v>
      </c>
      <c r="J3284" s="417" t="s">
        <v>8959</v>
      </c>
      <c r="K3284" s="417" t="s">
        <v>9010</v>
      </c>
      <c r="L3284" s="417"/>
      <c r="M3284" s="417" t="s">
        <v>28840</v>
      </c>
    </row>
    <row r="3285" spans="1:13" x14ac:dyDescent="0.25">
      <c r="A3285" s="417" t="s">
        <v>3385</v>
      </c>
      <c r="B3285" s="417" t="s">
        <v>3405</v>
      </c>
      <c r="C3285" s="417" t="s">
        <v>9011</v>
      </c>
      <c r="D3285" s="417" t="s">
        <v>224</v>
      </c>
      <c r="E3285" s="423">
        <v>0.25027779642901837</v>
      </c>
      <c r="F3285" s="423">
        <v>6.5916206928069515E-2</v>
      </c>
      <c r="G3285" s="422">
        <v>453.60158340964188</v>
      </c>
      <c r="H3285" s="417" t="s">
        <v>2616</v>
      </c>
      <c r="I3285" s="417" t="s">
        <v>1392</v>
      </c>
      <c r="J3285" s="417" t="s">
        <v>8959</v>
      </c>
      <c r="K3285" s="417" t="s">
        <v>9012</v>
      </c>
      <c r="L3285" s="417"/>
      <c r="M3285" s="417" t="s">
        <v>28840</v>
      </c>
    </row>
    <row r="3286" spans="1:13" x14ac:dyDescent="0.25">
      <c r="A3286" s="417" t="s">
        <v>3385</v>
      </c>
      <c r="B3286" s="417" t="s">
        <v>3405</v>
      </c>
      <c r="C3286" s="417" t="s">
        <v>9013</v>
      </c>
      <c r="D3286" s="417" t="s">
        <v>224</v>
      </c>
      <c r="E3286" s="423">
        <v>0.47946207753132591</v>
      </c>
      <c r="F3286" s="423">
        <v>8.4622470082100096E-2</v>
      </c>
      <c r="G3286" s="422">
        <v>819.2112497928174</v>
      </c>
      <c r="H3286" s="417" t="s">
        <v>2616</v>
      </c>
      <c r="I3286" s="417" t="s">
        <v>1392</v>
      </c>
      <c r="J3286" s="417" t="s">
        <v>8959</v>
      </c>
      <c r="K3286" s="417" t="s">
        <v>9014</v>
      </c>
      <c r="L3286" s="417"/>
      <c r="M3286" s="417" t="s">
        <v>28840</v>
      </c>
    </row>
    <row r="3287" spans="1:13" x14ac:dyDescent="0.25">
      <c r="A3287" s="417" t="s">
        <v>3385</v>
      </c>
      <c r="B3287" s="417" t="s">
        <v>3405</v>
      </c>
      <c r="C3287" s="417" t="s">
        <v>9015</v>
      </c>
      <c r="D3287" s="417" t="s">
        <v>224</v>
      </c>
      <c r="E3287" s="423">
        <v>1.0935084248206699</v>
      </c>
      <c r="F3287" s="423">
        <v>3.9908223154953744E-3</v>
      </c>
      <c r="G3287" s="422">
        <v>1313.678678503275</v>
      </c>
      <c r="H3287" s="417" t="s">
        <v>2616</v>
      </c>
      <c r="I3287" s="417" t="s">
        <v>1392</v>
      </c>
      <c r="J3287" s="417" t="s">
        <v>8959</v>
      </c>
      <c r="K3287" s="417" t="s">
        <v>9016</v>
      </c>
      <c r="L3287" s="417"/>
      <c r="M3287" s="417" t="s">
        <v>28840</v>
      </c>
    </row>
    <row r="3288" spans="1:13" x14ac:dyDescent="0.25">
      <c r="A3288" s="417" t="s">
        <v>3385</v>
      </c>
      <c r="B3288" s="417" t="s">
        <v>3405</v>
      </c>
      <c r="C3288" s="417" t="s">
        <v>9017</v>
      </c>
      <c r="D3288" s="417" t="s">
        <v>224</v>
      </c>
      <c r="E3288" s="423">
        <v>0.79426290677874534</v>
      </c>
      <c r="F3288" s="423">
        <v>1.575106633624599E-2</v>
      </c>
      <c r="G3288" s="422">
        <v>1255.122865076529</v>
      </c>
      <c r="H3288" s="417" t="s">
        <v>2616</v>
      </c>
      <c r="I3288" s="417" t="s">
        <v>1392</v>
      </c>
      <c r="J3288" s="417" t="s">
        <v>8959</v>
      </c>
      <c r="K3288" s="417" t="s">
        <v>9018</v>
      </c>
      <c r="L3288" s="417"/>
      <c r="M3288" s="417" t="s">
        <v>28840</v>
      </c>
    </row>
    <row r="3289" spans="1:13" x14ac:dyDescent="0.25">
      <c r="A3289" s="417" t="s">
        <v>3385</v>
      </c>
      <c r="B3289" s="417" t="s">
        <v>3405</v>
      </c>
      <c r="C3289" s="417" t="s">
        <v>9019</v>
      </c>
      <c r="D3289" s="417" t="s">
        <v>224</v>
      </c>
      <c r="E3289" s="423">
        <v>0.95830879218800646</v>
      </c>
      <c r="F3289" s="423">
        <v>9.945857562781794E-3</v>
      </c>
      <c r="G3289" s="422">
        <v>1182.830639654002</v>
      </c>
      <c r="H3289" s="417" t="s">
        <v>2616</v>
      </c>
      <c r="I3289" s="417" t="s">
        <v>1392</v>
      </c>
      <c r="J3289" s="417" t="s">
        <v>8959</v>
      </c>
      <c r="K3289" s="417" t="s">
        <v>9020</v>
      </c>
      <c r="L3289" s="417"/>
      <c r="M3289" s="417" t="s">
        <v>28840</v>
      </c>
    </row>
    <row r="3290" spans="1:13" x14ac:dyDescent="0.25">
      <c r="A3290" s="417" t="s">
        <v>3385</v>
      </c>
      <c r="B3290" s="417" t="s">
        <v>3405</v>
      </c>
      <c r="C3290" s="417" t="s">
        <v>9021</v>
      </c>
      <c r="D3290" s="417" t="s">
        <v>224</v>
      </c>
      <c r="E3290" s="423">
        <v>0.40315585028100293</v>
      </c>
      <c r="F3290" s="423">
        <v>6.0284549963579917E-2</v>
      </c>
      <c r="G3290" s="422">
        <v>571.49055112029885</v>
      </c>
      <c r="H3290" s="417" t="s">
        <v>2616</v>
      </c>
      <c r="I3290" s="417" t="s">
        <v>1392</v>
      </c>
      <c r="J3290" s="417" t="s">
        <v>8959</v>
      </c>
      <c r="K3290" s="417" t="s">
        <v>9022</v>
      </c>
      <c r="L3290" s="417"/>
      <c r="M3290" s="417" t="s">
        <v>28840</v>
      </c>
    </row>
    <row r="3291" spans="1:13" x14ac:dyDescent="0.25">
      <c r="A3291" s="417" t="s">
        <v>3385</v>
      </c>
      <c r="B3291" s="417" t="s">
        <v>3405</v>
      </c>
      <c r="C3291" s="417" t="s">
        <v>9023</v>
      </c>
      <c r="D3291" s="417" t="s">
        <v>224</v>
      </c>
      <c r="E3291" s="423">
        <v>8.3045136216681192E-2</v>
      </c>
      <c r="F3291" s="423">
        <v>7.6133121235242469E-3</v>
      </c>
      <c r="G3291" s="422">
        <v>129.6814837603211</v>
      </c>
      <c r="H3291" s="417" t="s">
        <v>2616</v>
      </c>
      <c r="I3291" s="417" t="s">
        <v>1392</v>
      </c>
      <c r="J3291" s="417" t="s">
        <v>8959</v>
      </c>
      <c r="K3291" s="417" t="s">
        <v>9024</v>
      </c>
      <c r="L3291" s="417"/>
      <c r="M3291" s="417" t="s">
        <v>28840</v>
      </c>
    </row>
    <row r="3292" spans="1:13" x14ac:dyDescent="0.25">
      <c r="A3292" s="417" t="s">
        <v>3385</v>
      </c>
      <c r="B3292" s="417" t="s">
        <v>3405</v>
      </c>
      <c r="C3292" s="417" t="s">
        <v>9025</v>
      </c>
      <c r="D3292" s="417" t="s">
        <v>224</v>
      </c>
      <c r="E3292" s="423">
        <v>0.1672949239366327</v>
      </c>
      <c r="F3292" s="423">
        <v>1.8187219813759491E-2</v>
      </c>
      <c r="G3292" s="422">
        <v>313.21310148295271</v>
      </c>
      <c r="H3292" s="417" t="s">
        <v>2616</v>
      </c>
      <c r="I3292" s="417" t="s">
        <v>1392</v>
      </c>
      <c r="J3292" s="417" t="s">
        <v>8959</v>
      </c>
      <c r="K3292" s="417" t="s">
        <v>9026</v>
      </c>
      <c r="L3292" s="417"/>
      <c r="M3292" s="417" t="s">
        <v>28840</v>
      </c>
    </row>
    <row r="3293" spans="1:13" x14ac:dyDescent="0.25">
      <c r="A3293" s="417" t="s">
        <v>3385</v>
      </c>
      <c r="B3293" s="417" t="s">
        <v>3405</v>
      </c>
      <c r="C3293" s="417" t="s">
        <v>9027</v>
      </c>
      <c r="D3293" s="417" t="s">
        <v>224</v>
      </c>
      <c r="E3293" s="423">
        <v>1.0270935517554849</v>
      </c>
      <c r="F3293" s="423">
        <v>5.5166268988060797E-2</v>
      </c>
      <c r="G3293" s="422">
        <v>1334.054432188012</v>
      </c>
      <c r="H3293" s="417" t="s">
        <v>2616</v>
      </c>
      <c r="I3293" s="417" t="s">
        <v>1392</v>
      </c>
      <c r="J3293" s="417" t="s">
        <v>8959</v>
      </c>
      <c r="K3293" s="417" t="s">
        <v>9028</v>
      </c>
      <c r="L3293" s="417"/>
      <c r="M3293" s="417" t="s">
        <v>28840</v>
      </c>
    </row>
    <row r="3294" spans="1:13" x14ac:dyDescent="0.25">
      <c r="A3294" s="417" t="s">
        <v>3385</v>
      </c>
      <c r="B3294" s="417" t="s">
        <v>3405</v>
      </c>
      <c r="C3294" s="417" t="s">
        <v>9029</v>
      </c>
      <c r="D3294" s="417" t="s">
        <v>224</v>
      </c>
      <c r="E3294" s="423">
        <v>0.23734579562222469</v>
      </c>
      <c r="F3294" s="423">
        <v>5.7118734483149552E-2</v>
      </c>
      <c r="G3294" s="422">
        <v>423.58567980120131</v>
      </c>
      <c r="H3294" s="417" t="s">
        <v>2616</v>
      </c>
      <c r="I3294" s="417" t="s">
        <v>1392</v>
      </c>
      <c r="J3294" s="417" t="s">
        <v>8959</v>
      </c>
      <c r="K3294" s="417" t="s">
        <v>9030</v>
      </c>
      <c r="L3294" s="417"/>
      <c r="M3294" s="417" t="s">
        <v>28840</v>
      </c>
    </row>
    <row r="3295" spans="1:13" x14ac:dyDescent="0.25">
      <c r="A3295" s="417" t="s">
        <v>3385</v>
      </c>
      <c r="B3295" s="417" t="s">
        <v>3405</v>
      </c>
      <c r="C3295" s="417" t="s">
        <v>9031</v>
      </c>
      <c r="D3295" s="417" t="s">
        <v>224</v>
      </c>
      <c r="E3295" s="423">
        <v>0.34038121337132299</v>
      </c>
      <c r="F3295" s="423">
        <v>4.230783366513198E-2</v>
      </c>
      <c r="G3295" s="422">
        <v>675.44935333674368</v>
      </c>
      <c r="H3295" s="417" t="s">
        <v>2616</v>
      </c>
      <c r="I3295" s="417" t="s">
        <v>1392</v>
      </c>
      <c r="J3295" s="417" t="s">
        <v>8959</v>
      </c>
      <c r="K3295" s="417" t="s">
        <v>9032</v>
      </c>
      <c r="L3295" s="417"/>
      <c r="M3295" s="417" t="s">
        <v>28840</v>
      </c>
    </row>
    <row r="3296" spans="1:13" x14ac:dyDescent="0.25">
      <c r="A3296" s="417" t="s">
        <v>3385</v>
      </c>
      <c r="B3296" s="417" t="s">
        <v>3405</v>
      </c>
      <c r="C3296" s="417" t="s">
        <v>9033</v>
      </c>
      <c r="D3296" s="417" t="s">
        <v>224</v>
      </c>
      <c r="E3296" s="423">
        <v>0.37272162588079849</v>
      </c>
      <c r="F3296" s="423">
        <v>1.008898766953845E-2</v>
      </c>
      <c r="G3296" s="422">
        <v>665.35344790381646</v>
      </c>
      <c r="H3296" s="417" t="s">
        <v>2616</v>
      </c>
      <c r="I3296" s="417" t="s">
        <v>1392</v>
      </c>
      <c r="J3296" s="417" t="s">
        <v>8959</v>
      </c>
      <c r="K3296" s="417" t="s">
        <v>9034</v>
      </c>
      <c r="L3296" s="417"/>
      <c r="M3296" s="417" t="s">
        <v>28840</v>
      </c>
    </row>
    <row r="3297" spans="1:13" x14ac:dyDescent="0.25">
      <c r="A3297" s="417" t="s">
        <v>3385</v>
      </c>
      <c r="B3297" s="417" t="s">
        <v>3405</v>
      </c>
      <c r="C3297" s="417" t="s">
        <v>9035</v>
      </c>
      <c r="D3297" s="417" t="s">
        <v>224</v>
      </c>
      <c r="E3297" s="423">
        <v>1.1074690080015921</v>
      </c>
      <c r="F3297" s="423">
        <v>1.1242182030049E-2</v>
      </c>
      <c r="G3297" s="422">
        <v>1533.2901490937061</v>
      </c>
      <c r="H3297" s="417" t="s">
        <v>2616</v>
      </c>
      <c r="I3297" s="417" t="s">
        <v>1392</v>
      </c>
      <c r="J3297" s="417" t="s">
        <v>8959</v>
      </c>
      <c r="K3297" s="417" t="s">
        <v>9036</v>
      </c>
      <c r="L3297" s="417"/>
      <c r="M3297" s="417" t="s">
        <v>28840</v>
      </c>
    </row>
    <row r="3298" spans="1:13" x14ac:dyDescent="0.25">
      <c r="A3298" s="417" t="s">
        <v>3385</v>
      </c>
      <c r="B3298" s="417" t="s">
        <v>3405</v>
      </c>
      <c r="C3298" s="417" t="s">
        <v>9037</v>
      </c>
      <c r="D3298" s="417" t="s">
        <v>224</v>
      </c>
      <c r="E3298" s="423">
        <v>0.61632739811629311</v>
      </c>
      <c r="F3298" s="423">
        <v>3.5507779248253762E-3</v>
      </c>
      <c r="G3298" s="422">
        <v>970.69987425698355</v>
      </c>
      <c r="H3298" s="417" t="s">
        <v>2616</v>
      </c>
      <c r="I3298" s="417" t="s">
        <v>1392</v>
      </c>
      <c r="J3298" s="417" t="s">
        <v>8959</v>
      </c>
      <c r="K3298" s="417" t="s">
        <v>9038</v>
      </c>
      <c r="L3298" s="417"/>
      <c r="M3298" s="417" t="s">
        <v>28840</v>
      </c>
    </row>
    <row r="3299" spans="1:13" x14ac:dyDescent="0.25">
      <c r="A3299" s="417" t="s">
        <v>3385</v>
      </c>
      <c r="B3299" s="417" t="s">
        <v>3405</v>
      </c>
      <c r="C3299" s="417" t="s">
        <v>9039</v>
      </c>
      <c r="D3299" s="417" t="s">
        <v>224</v>
      </c>
      <c r="E3299" s="423">
        <v>6.5994690681783444E-2</v>
      </c>
      <c r="F3299" s="423">
        <v>5.8417464911995259E-2</v>
      </c>
      <c r="G3299" s="422">
        <v>326.352417120307</v>
      </c>
      <c r="H3299" s="417" t="s">
        <v>2616</v>
      </c>
      <c r="I3299" s="417" t="s">
        <v>1392</v>
      </c>
      <c r="J3299" s="417" t="s">
        <v>8959</v>
      </c>
      <c r="K3299" s="417" t="s">
        <v>9040</v>
      </c>
      <c r="L3299" s="417"/>
      <c r="M3299" s="417" t="s">
        <v>28840</v>
      </c>
    </row>
    <row r="3300" spans="1:13" x14ac:dyDescent="0.25">
      <c r="A3300" s="417" t="s">
        <v>3385</v>
      </c>
      <c r="B3300" s="417" t="s">
        <v>3405</v>
      </c>
      <c r="C3300" s="417" t="s">
        <v>9041</v>
      </c>
      <c r="D3300" s="417" t="s">
        <v>224</v>
      </c>
      <c r="E3300" s="423">
        <v>0.35309459857616787</v>
      </c>
      <c r="F3300" s="423">
        <v>3.3613374191840399E-2</v>
      </c>
      <c r="G3300" s="422">
        <v>645.04229275198543</v>
      </c>
      <c r="H3300" s="417" t="s">
        <v>2616</v>
      </c>
      <c r="I3300" s="417" t="s">
        <v>1392</v>
      </c>
      <c r="J3300" s="417" t="s">
        <v>8959</v>
      </c>
      <c r="K3300" s="417" t="s">
        <v>9042</v>
      </c>
      <c r="L3300" s="417"/>
      <c r="M3300" s="417" t="s">
        <v>28840</v>
      </c>
    </row>
    <row r="3301" spans="1:13" x14ac:dyDescent="0.25">
      <c r="A3301" s="417" t="s">
        <v>3385</v>
      </c>
      <c r="B3301" s="417" t="s">
        <v>3405</v>
      </c>
      <c r="C3301" s="417" t="s">
        <v>9043</v>
      </c>
      <c r="D3301" s="417" t="s">
        <v>224</v>
      </c>
      <c r="E3301" s="423">
        <v>0.33767197776967911</v>
      </c>
      <c r="F3301" s="423">
        <v>5.8851284946513649E-2</v>
      </c>
      <c r="G3301" s="422">
        <v>886.03463278427796</v>
      </c>
      <c r="H3301" s="417" t="s">
        <v>2616</v>
      </c>
      <c r="I3301" s="417" t="s">
        <v>1392</v>
      </c>
      <c r="J3301" s="417" t="s">
        <v>8959</v>
      </c>
      <c r="K3301" s="417" t="s">
        <v>9044</v>
      </c>
      <c r="L3301" s="417"/>
      <c r="M3301" s="417" t="s">
        <v>28840</v>
      </c>
    </row>
    <row r="3302" spans="1:13" x14ac:dyDescent="0.25">
      <c r="A3302" s="417" t="s">
        <v>3385</v>
      </c>
      <c r="B3302" s="417" t="s">
        <v>3405</v>
      </c>
      <c r="C3302" s="417" t="s">
        <v>9045</v>
      </c>
      <c r="D3302" s="417" t="s">
        <v>224</v>
      </c>
      <c r="E3302" s="423">
        <v>0.79291457839196244</v>
      </c>
      <c r="F3302" s="423">
        <v>4.3704921895461324E-3</v>
      </c>
      <c r="G3302" s="422">
        <v>1063.871603893168</v>
      </c>
      <c r="H3302" s="417" t="s">
        <v>2616</v>
      </c>
      <c r="I3302" s="417" t="s">
        <v>1392</v>
      </c>
      <c r="J3302" s="417" t="s">
        <v>8959</v>
      </c>
      <c r="K3302" s="417" t="s">
        <v>9046</v>
      </c>
      <c r="L3302" s="417"/>
      <c r="M3302" s="417" t="s">
        <v>28840</v>
      </c>
    </row>
    <row r="3303" spans="1:13" x14ac:dyDescent="0.25">
      <c r="A3303" s="417" t="s">
        <v>3385</v>
      </c>
      <c r="B3303" s="417" t="s">
        <v>3405</v>
      </c>
      <c r="C3303" s="417" t="s">
        <v>9047</v>
      </c>
      <c r="D3303" s="417" t="s">
        <v>224</v>
      </c>
      <c r="E3303" s="423">
        <v>0.41058981507649323</v>
      </c>
      <c r="F3303" s="423">
        <v>1.456601784678683E-2</v>
      </c>
      <c r="G3303" s="422">
        <v>916.89200061970394</v>
      </c>
      <c r="H3303" s="417" t="s">
        <v>2616</v>
      </c>
      <c r="I3303" s="417" t="s">
        <v>1392</v>
      </c>
      <c r="J3303" s="417" t="s">
        <v>8959</v>
      </c>
      <c r="K3303" s="417" t="s">
        <v>9048</v>
      </c>
      <c r="L3303" s="417"/>
      <c r="M3303" s="417" t="s">
        <v>28840</v>
      </c>
    </row>
    <row r="3304" spans="1:13" x14ac:dyDescent="0.25">
      <c r="A3304" s="417" t="s">
        <v>3385</v>
      </c>
      <c r="B3304" s="417" t="s">
        <v>3405</v>
      </c>
      <c r="C3304" s="417" t="s">
        <v>9049</v>
      </c>
      <c r="D3304" s="417" t="s">
        <v>224</v>
      </c>
      <c r="E3304" s="423">
        <v>0.52864232484147222</v>
      </c>
      <c r="F3304" s="423">
        <v>1.1314953540636561E-2</v>
      </c>
      <c r="G3304" s="422">
        <v>817.37643185716433</v>
      </c>
      <c r="H3304" s="417" t="s">
        <v>2616</v>
      </c>
      <c r="I3304" s="417" t="s">
        <v>1392</v>
      </c>
      <c r="J3304" s="417" t="s">
        <v>8959</v>
      </c>
      <c r="K3304" s="417" t="s">
        <v>9050</v>
      </c>
      <c r="L3304" s="417"/>
      <c r="M3304" s="417" t="s">
        <v>28840</v>
      </c>
    </row>
    <row r="3305" spans="1:13" x14ac:dyDescent="0.25">
      <c r="A3305" s="417" t="s">
        <v>3385</v>
      </c>
      <c r="B3305" s="417" t="s">
        <v>3405</v>
      </c>
      <c r="C3305" s="417" t="s">
        <v>9051</v>
      </c>
      <c r="D3305" s="417" t="s">
        <v>224</v>
      </c>
      <c r="E3305" s="423">
        <v>1.3069449017352219</v>
      </c>
      <c r="F3305" s="423">
        <v>6.4012626860158912E-3</v>
      </c>
      <c r="G3305" s="422">
        <v>1588.957659590342</v>
      </c>
      <c r="H3305" s="417" t="s">
        <v>2616</v>
      </c>
      <c r="I3305" s="417" t="s">
        <v>1392</v>
      </c>
      <c r="J3305" s="417" t="s">
        <v>8959</v>
      </c>
      <c r="K3305" s="417" t="s">
        <v>9052</v>
      </c>
      <c r="L3305" s="417"/>
      <c r="M3305" s="417" t="s">
        <v>28840</v>
      </c>
    </row>
    <row r="3306" spans="1:13" x14ac:dyDescent="0.25">
      <c r="A3306" s="417" t="s">
        <v>3385</v>
      </c>
      <c r="B3306" s="417" t="s">
        <v>3405</v>
      </c>
      <c r="C3306" s="417" t="s">
        <v>9053</v>
      </c>
      <c r="D3306" s="417" t="s">
        <v>224</v>
      </c>
      <c r="E3306" s="423">
        <v>4.6161402569922523E-2</v>
      </c>
      <c r="F3306" s="423">
        <v>7.3634619117208218E-5</v>
      </c>
      <c r="G3306" s="422">
        <v>58.48246126663274</v>
      </c>
      <c r="H3306" s="417" t="s">
        <v>2616</v>
      </c>
      <c r="I3306" s="417" t="s">
        <v>1392</v>
      </c>
      <c r="J3306" s="417" t="s">
        <v>9054</v>
      </c>
      <c r="K3306" s="417" t="s">
        <v>9055</v>
      </c>
      <c r="L3306" s="417"/>
      <c r="M3306" s="417" t="s">
        <v>28840</v>
      </c>
    </row>
    <row r="3307" spans="1:13" x14ac:dyDescent="0.25">
      <c r="A3307" s="417" t="s">
        <v>3385</v>
      </c>
      <c r="B3307" s="417" t="s">
        <v>3405</v>
      </c>
      <c r="C3307" s="417" t="s">
        <v>9056</v>
      </c>
      <c r="D3307" s="417" t="s">
        <v>224</v>
      </c>
      <c r="E3307" s="423">
        <v>8.950124634973345E-3</v>
      </c>
      <c r="F3307" s="423">
        <v>1.156944043928714E-3</v>
      </c>
      <c r="G3307" s="422">
        <v>37.514590035347602</v>
      </c>
      <c r="H3307" s="417" t="s">
        <v>2616</v>
      </c>
      <c r="I3307" s="417" t="s">
        <v>1392</v>
      </c>
      <c r="J3307" s="417" t="s">
        <v>9054</v>
      </c>
      <c r="K3307" s="417" t="s">
        <v>9057</v>
      </c>
      <c r="L3307" s="417"/>
      <c r="M3307" s="417" t="s">
        <v>28840</v>
      </c>
    </row>
    <row r="3308" spans="1:13" x14ac:dyDescent="0.25">
      <c r="A3308" s="417" t="s">
        <v>3385</v>
      </c>
      <c r="B3308" s="417" t="s">
        <v>3405</v>
      </c>
      <c r="C3308" s="417" t="s">
        <v>9058</v>
      </c>
      <c r="D3308" s="417" t="s">
        <v>224</v>
      </c>
      <c r="E3308" s="423">
        <v>3.86853171488616E-2</v>
      </c>
      <c r="F3308" s="423">
        <v>5.0659763717047079E-6</v>
      </c>
      <c r="G3308" s="422">
        <v>50.040747660377697</v>
      </c>
      <c r="H3308" s="417" t="s">
        <v>2616</v>
      </c>
      <c r="I3308" s="417" t="s">
        <v>1392</v>
      </c>
      <c r="J3308" s="417" t="s">
        <v>9054</v>
      </c>
      <c r="K3308" s="417" t="s">
        <v>9059</v>
      </c>
      <c r="L3308" s="417"/>
      <c r="M3308" s="417" t="s">
        <v>28840</v>
      </c>
    </row>
    <row r="3309" spans="1:13" x14ac:dyDescent="0.25">
      <c r="A3309" s="417" t="s">
        <v>3385</v>
      </c>
      <c r="B3309" s="417" t="s">
        <v>3405</v>
      </c>
      <c r="C3309" s="417" t="s">
        <v>9060</v>
      </c>
      <c r="D3309" s="417" t="s">
        <v>224</v>
      </c>
      <c r="E3309" s="423">
        <v>5.3101461702627422E-3</v>
      </c>
      <c r="F3309" s="423">
        <v>2.2583524358893949E-4</v>
      </c>
      <c r="G3309" s="422">
        <v>21.833029896391661</v>
      </c>
      <c r="H3309" s="417" t="s">
        <v>2616</v>
      </c>
      <c r="I3309" s="417" t="s">
        <v>1392</v>
      </c>
      <c r="J3309" s="417" t="s">
        <v>9054</v>
      </c>
      <c r="K3309" s="417" t="s">
        <v>9061</v>
      </c>
      <c r="L3309" s="417"/>
      <c r="M3309" s="417" t="s">
        <v>28840</v>
      </c>
    </row>
    <row r="3310" spans="1:13" x14ac:dyDescent="0.25">
      <c r="A3310" s="417" t="s">
        <v>3385</v>
      </c>
      <c r="B3310" s="417" t="s">
        <v>3405</v>
      </c>
      <c r="C3310" s="417" t="s">
        <v>9062</v>
      </c>
      <c r="D3310" s="417" t="s">
        <v>224</v>
      </c>
      <c r="E3310" s="423">
        <v>1.6303845074878288E-2</v>
      </c>
      <c r="F3310" s="423">
        <v>2.258352435855999E-4</v>
      </c>
      <c r="G3310" s="422">
        <v>55.976028133354703</v>
      </c>
      <c r="H3310" s="417" t="s">
        <v>2616</v>
      </c>
      <c r="I3310" s="417" t="s">
        <v>1392</v>
      </c>
      <c r="J3310" s="417" t="s">
        <v>9054</v>
      </c>
      <c r="K3310" s="417" t="s">
        <v>9063</v>
      </c>
      <c r="L3310" s="417"/>
      <c r="M3310" s="417" t="s">
        <v>28840</v>
      </c>
    </row>
    <row r="3311" spans="1:13" x14ac:dyDescent="0.25">
      <c r="A3311" s="417" t="s">
        <v>3385</v>
      </c>
      <c r="B3311" s="417" t="s">
        <v>3405</v>
      </c>
      <c r="C3311" s="417" t="s">
        <v>9064</v>
      </c>
      <c r="D3311" s="417" t="s">
        <v>224</v>
      </c>
      <c r="E3311" s="423">
        <v>3.6970032191520471E-3</v>
      </c>
      <c r="F3311" s="423">
        <v>1.468690749358358E-4</v>
      </c>
      <c r="G3311" s="422">
        <v>17.33129856903814</v>
      </c>
      <c r="H3311" s="417" t="s">
        <v>2616</v>
      </c>
      <c r="I3311" s="417" t="s">
        <v>1392</v>
      </c>
      <c r="J3311" s="417" t="s">
        <v>9065</v>
      </c>
      <c r="K3311" s="417" t="s">
        <v>9066</v>
      </c>
      <c r="L3311" s="417"/>
      <c r="M3311" s="417" t="s">
        <v>28840</v>
      </c>
    </row>
    <row r="3312" spans="1:13" x14ac:dyDescent="0.25">
      <c r="A3312" s="417" t="s">
        <v>3385</v>
      </c>
      <c r="B3312" s="417" t="s">
        <v>3405</v>
      </c>
      <c r="C3312" s="417" t="s">
        <v>9067</v>
      </c>
      <c r="D3312" s="417" t="s">
        <v>224</v>
      </c>
      <c r="E3312" s="423">
        <v>3.793460261811613E-3</v>
      </c>
      <c r="F3312" s="423">
        <v>1.5448047824463801E-4</v>
      </c>
      <c r="G3312" s="422">
        <v>17.893049150318021</v>
      </c>
      <c r="H3312" s="417" t="s">
        <v>2616</v>
      </c>
      <c r="I3312" s="417" t="s">
        <v>1392</v>
      </c>
      <c r="J3312" s="417" t="s">
        <v>9065</v>
      </c>
      <c r="K3312" s="417" t="s">
        <v>9068</v>
      </c>
      <c r="L3312" s="417"/>
      <c r="M3312" s="417" t="s">
        <v>28840</v>
      </c>
    </row>
    <row r="3313" spans="1:13" x14ac:dyDescent="0.25">
      <c r="A3313" s="417" t="s">
        <v>3385</v>
      </c>
      <c r="B3313" s="417" t="s">
        <v>3405</v>
      </c>
      <c r="C3313" s="417" t="s">
        <v>9069</v>
      </c>
      <c r="D3313" s="417" t="s">
        <v>224</v>
      </c>
      <c r="E3313" s="423">
        <v>2.1480573488938431E-2</v>
      </c>
      <c r="F3313" s="423">
        <v>1.468690749385099E-4</v>
      </c>
      <c r="G3313" s="422">
        <v>35.896689823563158</v>
      </c>
      <c r="H3313" s="417" t="s">
        <v>2616</v>
      </c>
      <c r="I3313" s="417" t="s">
        <v>1392</v>
      </c>
      <c r="J3313" s="417" t="s">
        <v>9065</v>
      </c>
      <c r="K3313" s="417" t="s">
        <v>9070</v>
      </c>
      <c r="L3313" s="417"/>
      <c r="M3313" s="417" t="s">
        <v>28840</v>
      </c>
    </row>
    <row r="3314" spans="1:13" x14ac:dyDescent="0.25">
      <c r="A3314" s="417" t="s">
        <v>3385</v>
      </c>
      <c r="B3314" s="417" t="s">
        <v>3405</v>
      </c>
      <c r="C3314" s="417" t="s">
        <v>9071</v>
      </c>
      <c r="D3314" s="417" t="s">
        <v>224</v>
      </c>
      <c r="E3314" s="423">
        <v>2.1577030531628759E-2</v>
      </c>
      <c r="F3314" s="423">
        <v>1.5448047824775181E-4</v>
      </c>
      <c r="G3314" s="422">
        <v>60.472241300280338</v>
      </c>
      <c r="H3314" s="417" t="s">
        <v>2616</v>
      </c>
      <c r="I3314" s="417" t="s">
        <v>1392</v>
      </c>
      <c r="J3314" s="417" t="s">
        <v>9065</v>
      </c>
      <c r="K3314" s="417" t="s">
        <v>9072</v>
      </c>
      <c r="L3314" s="417"/>
      <c r="M3314" s="417" t="s">
        <v>28840</v>
      </c>
    </row>
    <row r="3315" spans="1:13" x14ac:dyDescent="0.25">
      <c r="A3315" s="417" t="s">
        <v>3385</v>
      </c>
      <c r="B3315" s="417" t="s">
        <v>3405</v>
      </c>
      <c r="C3315" s="417" t="s">
        <v>9073</v>
      </c>
      <c r="D3315" s="417" t="s">
        <v>224</v>
      </c>
      <c r="E3315" s="423">
        <v>3.337434667464998E-3</v>
      </c>
      <c r="F3315" s="423">
        <v>1.4686907493874441E-4</v>
      </c>
      <c r="G3315" s="422">
        <v>16.955922265778831</v>
      </c>
      <c r="H3315" s="417" t="s">
        <v>2616</v>
      </c>
      <c r="I3315" s="417" t="s">
        <v>1392</v>
      </c>
      <c r="J3315" s="417" t="s">
        <v>9065</v>
      </c>
      <c r="K3315" s="417" t="s">
        <v>9074</v>
      </c>
      <c r="L3315" s="417"/>
      <c r="M3315" s="417" t="s">
        <v>28840</v>
      </c>
    </row>
    <row r="3316" spans="1:13" x14ac:dyDescent="0.25">
      <c r="A3316" s="417" t="s">
        <v>3385</v>
      </c>
      <c r="B3316" s="417" t="s">
        <v>3405</v>
      </c>
      <c r="C3316" s="417" t="s">
        <v>9075</v>
      </c>
      <c r="D3316" s="417" t="s">
        <v>224</v>
      </c>
      <c r="E3316" s="423">
        <v>3.43389171011087E-3</v>
      </c>
      <c r="F3316" s="423">
        <v>1.5448047824767369E-4</v>
      </c>
      <c r="G3316" s="422">
        <v>17.03213437395555</v>
      </c>
      <c r="H3316" s="417" t="s">
        <v>2616</v>
      </c>
      <c r="I3316" s="417" t="s">
        <v>1392</v>
      </c>
      <c r="J3316" s="417" t="s">
        <v>9065</v>
      </c>
      <c r="K3316" s="417" t="s">
        <v>9076</v>
      </c>
      <c r="L3316" s="417"/>
      <c r="M3316" s="417" t="s">
        <v>28840</v>
      </c>
    </row>
    <row r="3317" spans="1:13" x14ac:dyDescent="0.25">
      <c r="A3317" s="417" t="s">
        <v>3385</v>
      </c>
      <c r="B3317" s="417" t="s">
        <v>3405</v>
      </c>
      <c r="C3317" s="417" t="s">
        <v>9077</v>
      </c>
      <c r="D3317" s="417" t="s">
        <v>224</v>
      </c>
      <c r="E3317" s="423">
        <v>4.8271157427925166E-3</v>
      </c>
      <c r="F3317" s="423">
        <v>2.0312656112708401E-4</v>
      </c>
      <c r="G3317" s="422">
        <v>20.029231896716659</v>
      </c>
      <c r="H3317" s="417" t="s">
        <v>2616</v>
      </c>
      <c r="I3317" s="417" t="s">
        <v>1392</v>
      </c>
      <c r="J3317" s="417" t="s">
        <v>9054</v>
      </c>
      <c r="K3317" s="417" t="s">
        <v>9078</v>
      </c>
      <c r="L3317" s="417"/>
      <c r="M3317" s="417" t="s">
        <v>28840</v>
      </c>
    </row>
    <row r="3318" spans="1:13" x14ac:dyDescent="0.25">
      <c r="A3318" s="417" t="s">
        <v>3385</v>
      </c>
      <c r="B3318" s="417" t="s">
        <v>3405</v>
      </c>
      <c r="C3318" s="417" t="s">
        <v>9079</v>
      </c>
      <c r="D3318" s="417" t="s">
        <v>224</v>
      </c>
      <c r="E3318" s="423">
        <v>4.8486253025022989E-3</v>
      </c>
      <c r="F3318" s="423">
        <v>2.0880796071250749E-4</v>
      </c>
      <c r="G3318" s="422">
        <v>20.063750993884671</v>
      </c>
      <c r="H3318" s="417" t="s">
        <v>2616</v>
      </c>
      <c r="I3318" s="417" t="s">
        <v>1392</v>
      </c>
      <c r="J3318" s="417" t="s">
        <v>9054</v>
      </c>
      <c r="K3318" s="417" t="s">
        <v>9080</v>
      </c>
      <c r="L3318" s="417"/>
      <c r="M3318" s="417" t="s">
        <v>28840</v>
      </c>
    </row>
    <row r="3319" spans="1:13" x14ac:dyDescent="0.25">
      <c r="A3319" s="417" t="s">
        <v>3385</v>
      </c>
      <c r="B3319" s="417" t="s">
        <v>3405</v>
      </c>
      <c r="C3319" s="417" t="s">
        <v>9081</v>
      </c>
      <c r="D3319" s="417" t="s">
        <v>224</v>
      </c>
      <c r="E3319" s="423">
        <v>2.1304966163949311E-3</v>
      </c>
      <c r="F3319" s="423">
        <v>5.4964449592785768E-5</v>
      </c>
      <c r="G3319" s="422">
        <v>15.25532760698608</v>
      </c>
      <c r="H3319" s="417" t="s">
        <v>2616</v>
      </c>
      <c r="I3319" s="417" t="s">
        <v>1392</v>
      </c>
      <c r="J3319" s="417" t="s">
        <v>9054</v>
      </c>
      <c r="K3319" s="417" t="s">
        <v>9082</v>
      </c>
      <c r="L3319" s="417"/>
      <c r="M3319" s="417" t="s">
        <v>28840</v>
      </c>
    </row>
    <row r="3320" spans="1:13" x14ac:dyDescent="0.25">
      <c r="A3320" s="417" t="s">
        <v>3385</v>
      </c>
      <c r="B3320" s="417" t="s">
        <v>3405</v>
      </c>
      <c r="C3320" s="417" t="s">
        <v>9083</v>
      </c>
      <c r="D3320" s="417" t="s">
        <v>224</v>
      </c>
      <c r="E3320" s="423">
        <v>2.141086566603034E-3</v>
      </c>
      <c r="F3320" s="423">
        <v>5.702690589110471E-5</v>
      </c>
      <c r="G3320" s="422">
        <v>15.26931929607861</v>
      </c>
      <c r="H3320" s="417" t="s">
        <v>2616</v>
      </c>
      <c r="I3320" s="417" t="s">
        <v>1392</v>
      </c>
      <c r="J3320" s="417" t="s">
        <v>9054</v>
      </c>
      <c r="K3320" s="417" t="s">
        <v>9084</v>
      </c>
      <c r="L3320" s="417"/>
      <c r="M3320" s="417" t="s">
        <v>28840</v>
      </c>
    </row>
    <row r="3321" spans="1:13" x14ac:dyDescent="0.25">
      <c r="A3321" s="417" t="s">
        <v>3385</v>
      </c>
      <c r="B3321" s="417" t="s">
        <v>3405</v>
      </c>
      <c r="C3321" s="417" t="s">
        <v>9085</v>
      </c>
      <c r="D3321" s="417" t="s">
        <v>224</v>
      </c>
      <c r="E3321" s="423">
        <v>5.1340455478228247E-3</v>
      </c>
      <c r="F3321" s="423">
        <v>2.125555905256367E-4</v>
      </c>
      <c r="G3321" s="422">
        <v>20.007423884655172</v>
      </c>
      <c r="H3321" s="417" t="s">
        <v>2616</v>
      </c>
      <c r="I3321" s="417" t="s">
        <v>1392</v>
      </c>
      <c r="J3321" s="417" t="s">
        <v>9054</v>
      </c>
      <c r="K3321" s="417" t="s">
        <v>9086</v>
      </c>
      <c r="L3321" s="417"/>
      <c r="M3321" s="417" t="s">
        <v>28840</v>
      </c>
    </row>
    <row r="3322" spans="1:13" x14ac:dyDescent="0.25">
      <c r="A3322" s="417" t="s">
        <v>3385</v>
      </c>
      <c r="B3322" s="417" t="s">
        <v>3405</v>
      </c>
      <c r="C3322" s="417" t="s">
        <v>9087</v>
      </c>
      <c r="D3322" s="417" t="s">
        <v>224</v>
      </c>
      <c r="E3322" s="423">
        <v>0.91772447326031437</v>
      </c>
      <c r="F3322" s="423">
        <v>6.1319015071263448E-3</v>
      </c>
      <c r="G3322" s="422">
        <v>5016.084363468387</v>
      </c>
      <c r="H3322" s="417" t="s">
        <v>2616</v>
      </c>
      <c r="I3322" s="417" t="s">
        <v>1392</v>
      </c>
      <c r="J3322" s="417" t="s">
        <v>8253</v>
      </c>
      <c r="K3322" s="417" t="s">
        <v>9088</v>
      </c>
      <c r="L3322" s="417"/>
      <c r="M3322" s="417" t="s">
        <v>28840</v>
      </c>
    </row>
    <row r="3323" spans="1:13" x14ac:dyDescent="0.25">
      <c r="A3323" s="417" t="s">
        <v>3385</v>
      </c>
      <c r="B3323" s="417" t="s">
        <v>3405</v>
      </c>
      <c r="C3323" s="417" t="s">
        <v>9089</v>
      </c>
      <c r="D3323" s="417" t="s">
        <v>224</v>
      </c>
      <c r="E3323" s="423">
        <v>1.302638997345704</v>
      </c>
      <c r="F3323" s="423">
        <v>1.6900114542040619E-3</v>
      </c>
      <c r="G3323" s="422">
        <v>2435.600320517296</v>
      </c>
      <c r="H3323" s="417" t="s">
        <v>2616</v>
      </c>
      <c r="I3323" s="417" t="s">
        <v>1392</v>
      </c>
      <c r="J3323" s="417" t="s">
        <v>8253</v>
      </c>
      <c r="K3323" s="417" t="s">
        <v>9090</v>
      </c>
      <c r="L3323" s="417"/>
      <c r="M3323" s="417" t="s">
        <v>28840</v>
      </c>
    </row>
    <row r="3324" spans="1:13" x14ac:dyDescent="0.25">
      <c r="A3324" s="417" t="s">
        <v>3385</v>
      </c>
      <c r="B3324" s="417" t="s">
        <v>3405</v>
      </c>
      <c r="C3324" s="417" t="s">
        <v>9091</v>
      </c>
      <c r="D3324" s="417" t="s">
        <v>224</v>
      </c>
      <c r="E3324" s="423">
        <v>1.6482705083325679</v>
      </c>
      <c r="F3324" s="423">
        <v>1.877431336123224E-3</v>
      </c>
      <c r="G3324" s="422">
        <v>2907.5298886652099</v>
      </c>
      <c r="H3324" s="417" t="s">
        <v>2616</v>
      </c>
      <c r="I3324" s="417" t="s">
        <v>1392</v>
      </c>
      <c r="J3324" s="417" t="s">
        <v>8253</v>
      </c>
      <c r="K3324" s="417" t="s">
        <v>9092</v>
      </c>
      <c r="L3324" s="417"/>
      <c r="M3324" s="417" t="s">
        <v>28840</v>
      </c>
    </row>
    <row r="3325" spans="1:13" x14ac:dyDescent="0.25">
      <c r="A3325" s="417" t="s">
        <v>3385</v>
      </c>
      <c r="B3325" s="417" t="s">
        <v>3405</v>
      </c>
      <c r="C3325" s="417" t="s">
        <v>9093</v>
      </c>
      <c r="D3325" s="417" t="s">
        <v>224</v>
      </c>
      <c r="E3325" s="423">
        <v>1.1781604298426649</v>
      </c>
      <c r="F3325" s="423">
        <v>2.5107939809508322E-3</v>
      </c>
      <c r="G3325" s="422">
        <v>2858.9013488562441</v>
      </c>
      <c r="H3325" s="417" t="s">
        <v>2616</v>
      </c>
      <c r="I3325" s="417" t="s">
        <v>1392</v>
      </c>
      <c r="J3325" s="417" t="s">
        <v>8253</v>
      </c>
      <c r="K3325" s="417" t="s">
        <v>9094</v>
      </c>
      <c r="L3325" s="417"/>
      <c r="M3325" s="417" t="s">
        <v>28840</v>
      </c>
    </row>
    <row r="3326" spans="1:13" x14ac:dyDescent="0.25">
      <c r="A3326" s="417" t="s">
        <v>3385</v>
      </c>
      <c r="B3326" s="417" t="s">
        <v>3405</v>
      </c>
      <c r="C3326" s="417" t="s">
        <v>9095</v>
      </c>
      <c r="D3326" s="417" t="s">
        <v>224</v>
      </c>
      <c r="E3326" s="423">
        <v>1.0966485148763669</v>
      </c>
      <c r="F3326" s="423">
        <v>1.9755502324735079E-3</v>
      </c>
      <c r="G3326" s="422">
        <v>2419.6456498080629</v>
      </c>
      <c r="H3326" s="417" t="s">
        <v>2616</v>
      </c>
      <c r="I3326" s="417" t="s">
        <v>1392</v>
      </c>
      <c r="J3326" s="417" t="s">
        <v>8253</v>
      </c>
      <c r="K3326" s="417" t="s">
        <v>9096</v>
      </c>
      <c r="L3326" s="417"/>
      <c r="M3326" s="417" t="s">
        <v>28840</v>
      </c>
    </row>
    <row r="3327" spans="1:13" x14ac:dyDescent="0.25">
      <c r="A3327" s="417" t="s">
        <v>3385</v>
      </c>
      <c r="B3327" s="417" t="s">
        <v>3405</v>
      </c>
      <c r="C3327" s="417" t="s">
        <v>9097</v>
      </c>
      <c r="D3327" s="417" t="s">
        <v>224</v>
      </c>
      <c r="E3327" s="423">
        <v>1.450576417699599</v>
      </c>
      <c r="F3327" s="423">
        <v>5.4712197392970091E-4</v>
      </c>
      <c r="G3327" s="422">
        <v>1820.7056827094659</v>
      </c>
      <c r="H3327" s="417" t="s">
        <v>2616</v>
      </c>
      <c r="I3327" s="417" t="s">
        <v>1392</v>
      </c>
      <c r="J3327" s="417" t="s">
        <v>8253</v>
      </c>
      <c r="K3327" s="417" t="s">
        <v>9098</v>
      </c>
      <c r="L3327" s="417"/>
      <c r="M3327" s="417" t="s">
        <v>28840</v>
      </c>
    </row>
    <row r="3328" spans="1:13" x14ac:dyDescent="0.25">
      <c r="A3328" s="417" t="s">
        <v>3385</v>
      </c>
      <c r="B3328" s="417" t="s">
        <v>3405</v>
      </c>
      <c r="C3328" s="417" t="s">
        <v>9099</v>
      </c>
      <c r="D3328" s="417" t="s">
        <v>224</v>
      </c>
      <c r="E3328" s="423">
        <v>1.4465100574614731</v>
      </c>
      <c r="F3328" s="423">
        <v>5.5750891602119018E-4</v>
      </c>
      <c r="G3328" s="422">
        <v>1823.5633349942241</v>
      </c>
      <c r="H3328" s="417" t="s">
        <v>2616</v>
      </c>
      <c r="I3328" s="417" t="s">
        <v>1392</v>
      </c>
      <c r="J3328" s="417" t="s">
        <v>8253</v>
      </c>
      <c r="K3328" s="417" t="s">
        <v>9100</v>
      </c>
      <c r="L3328" s="417"/>
      <c r="M3328" s="417" t="s">
        <v>28840</v>
      </c>
    </row>
    <row r="3329" spans="1:13" x14ac:dyDescent="0.25">
      <c r="A3329" s="417" t="s">
        <v>3385</v>
      </c>
      <c r="B3329" s="417" t="s">
        <v>3405</v>
      </c>
      <c r="C3329" s="417" t="s">
        <v>9101</v>
      </c>
      <c r="D3329" s="417" t="s">
        <v>224</v>
      </c>
      <c r="E3329" s="423">
        <v>1.4195109230707581</v>
      </c>
      <c r="F3329" s="423">
        <v>1.541586052455864E-6</v>
      </c>
      <c r="G3329" s="422">
        <v>1425.1568627849349</v>
      </c>
      <c r="H3329" s="417" t="s">
        <v>2616</v>
      </c>
      <c r="I3329" s="417" t="s">
        <v>1392</v>
      </c>
      <c r="J3329" s="417" t="s">
        <v>8253</v>
      </c>
      <c r="K3329" s="417" t="s">
        <v>9102</v>
      </c>
      <c r="L3329" s="417"/>
      <c r="M3329" s="417" t="s">
        <v>28840</v>
      </c>
    </row>
    <row r="3330" spans="1:13" x14ac:dyDescent="0.25">
      <c r="A3330" s="417" t="s">
        <v>3385</v>
      </c>
      <c r="B3330" s="417" t="s">
        <v>3405</v>
      </c>
      <c r="C3330" s="417" t="s">
        <v>9103</v>
      </c>
      <c r="D3330" s="417" t="s">
        <v>224</v>
      </c>
      <c r="E3330" s="423">
        <v>0.98237719852473615</v>
      </c>
      <c r="F3330" s="423">
        <v>1.118138540941467E-3</v>
      </c>
      <c r="G3330" s="422">
        <v>1732.354486297603</v>
      </c>
      <c r="H3330" s="417" t="s">
        <v>2616</v>
      </c>
      <c r="I3330" s="417" t="s">
        <v>1392</v>
      </c>
      <c r="J3330" s="417" t="s">
        <v>8253</v>
      </c>
      <c r="K3330" s="417" t="s">
        <v>9104</v>
      </c>
      <c r="L3330" s="417"/>
      <c r="M3330" s="417" t="s">
        <v>28840</v>
      </c>
    </row>
    <row r="3331" spans="1:13" x14ac:dyDescent="0.25">
      <c r="A3331" s="417" t="s">
        <v>3385</v>
      </c>
      <c r="B3331" s="417" t="s">
        <v>3405</v>
      </c>
      <c r="C3331" s="417" t="s">
        <v>9105</v>
      </c>
      <c r="D3331" s="417" t="s">
        <v>224</v>
      </c>
      <c r="E3331" s="423">
        <v>1.3060383781756311</v>
      </c>
      <c r="F3331" s="423">
        <v>1.4873834841775541E-3</v>
      </c>
      <c r="G3331" s="422">
        <v>2303.6795943223929</v>
      </c>
      <c r="H3331" s="417" t="s">
        <v>2616</v>
      </c>
      <c r="I3331" s="417" t="s">
        <v>1392</v>
      </c>
      <c r="J3331" s="417" t="s">
        <v>8253</v>
      </c>
      <c r="K3331" s="417" t="s">
        <v>9106</v>
      </c>
      <c r="L3331" s="417"/>
      <c r="M3331" s="417" t="s">
        <v>28840</v>
      </c>
    </row>
    <row r="3332" spans="1:13" x14ac:dyDescent="0.25">
      <c r="A3332" s="417" t="s">
        <v>3385</v>
      </c>
      <c r="B3332" s="417" t="s">
        <v>3405</v>
      </c>
      <c r="C3332" s="417" t="s">
        <v>9107</v>
      </c>
      <c r="D3332" s="417" t="s">
        <v>224</v>
      </c>
      <c r="E3332" s="423">
        <v>1.069602636901918</v>
      </c>
      <c r="F3332" s="423">
        <v>7.5623900162353412E-4</v>
      </c>
      <c r="G3332" s="422">
        <v>1234.4926840160481</v>
      </c>
      <c r="H3332" s="417" t="s">
        <v>2616</v>
      </c>
      <c r="I3332" s="417" t="s">
        <v>1392</v>
      </c>
      <c r="J3332" s="417" t="s">
        <v>9108</v>
      </c>
      <c r="K3332" s="417" t="s">
        <v>9109</v>
      </c>
      <c r="L3332" s="417"/>
      <c r="M3332" s="417" t="s">
        <v>28840</v>
      </c>
    </row>
    <row r="3333" spans="1:13" x14ac:dyDescent="0.25">
      <c r="A3333" s="417" t="s">
        <v>3385</v>
      </c>
      <c r="B3333" s="417" t="s">
        <v>3405</v>
      </c>
      <c r="C3333" s="417" t="s">
        <v>9110</v>
      </c>
      <c r="D3333" s="417" t="s">
        <v>224</v>
      </c>
      <c r="E3333" s="423">
        <v>1.347486868383547</v>
      </c>
      <c r="F3333" s="423">
        <v>1.065294406545868E-3</v>
      </c>
      <c r="G3333" s="422">
        <v>1680.461302668991</v>
      </c>
      <c r="H3333" s="417" t="s">
        <v>2616</v>
      </c>
      <c r="I3333" s="417" t="s">
        <v>1392</v>
      </c>
      <c r="J3333" s="417" t="s">
        <v>9108</v>
      </c>
      <c r="K3333" s="417" t="s">
        <v>9111</v>
      </c>
      <c r="L3333" s="417"/>
      <c r="M3333" s="417" t="s">
        <v>28840</v>
      </c>
    </row>
    <row r="3334" spans="1:13" x14ac:dyDescent="0.25">
      <c r="A3334" s="417" t="s">
        <v>3385</v>
      </c>
      <c r="B3334" s="417" t="s">
        <v>3405</v>
      </c>
      <c r="C3334" s="417" t="s">
        <v>9112</v>
      </c>
      <c r="D3334" s="417" t="s">
        <v>224</v>
      </c>
      <c r="E3334" s="423">
        <v>1.0969827662185909</v>
      </c>
      <c r="F3334" s="423">
        <v>9.4478300528101384E-4</v>
      </c>
      <c r="G3334" s="422">
        <v>1312.869562709752</v>
      </c>
      <c r="H3334" s="417" t="s">
        <v>2616</v>
      </c>
      <c r="I3334" s="417" t="s">
        <v>1392</v>
      </c>
      <c r="J3334" s="417" t="s">
        <v>9108</v>
      </c>
      <c r="K3334" s="417" t="s">
        <v>9113</v>
      </c>
      <c r="L3334" s="417"/>
      <c r="M3334" s="417" t="s">
        <v>28840</v>
      </c>
    </row>
    <row r="3335" spans="1:13" x14ac:dyDescent="0.25">
      <c r="A3335" s="417" t="s">
        <v>3385</v>
      </c>
      <c r="B3335" s="417" t="s">
        <v>3405</v>
      </c>
      <c r="C3335" s="417" t="s">
        <v>9114</v>
      </c>
      <c r="D3335" s="417" t="s">
        <v>224</v>
      </c>
      <c r="E3335" s="423">
        <v>1.3594190937281181</v>
      </c>
      <c r="F3335" s="423">
        <v>1.2620468931494779E-3</v>
      </c>
      <c r="G3335" s="422">
        <v>2234.9607254093148</v>
      </c>
      <c r="H3335" s="417" t="s">
        <v>2616</v>
      </c>
      <c r="I3335" s="417" t="s">
        <v>1392</v>
      </c>
      <c r="J3335" s="417" t="s">
        <v>9108</v>
      </c>
      <c r="K3335" s="417" t="s">
        <v>9115</v>
      </c>
      <c r="L3335" s="417"/>
      <c r="M3335" s="417" t="s">
        <v>28840</v>
      </c>
    </row>
    <row r="3336" spans="1:13" x14ac:dyDescent="0.25">
      <c r="A3336" s="417" t="s">
        <v>3385</v>
      </c>
      <c r="B3336" s="417" t="s">
        <v>3405</v>
      </c>
      <c r="C3336" s="417" t="s">
        <v>9116</v>
      </c>
      <c r="D3336" s="417" t="s">
        <v>224</v>
      </c>
      <c r="E3336" s="423">
        <v>1.0854536633369809</v>
      </c>
      <c r="F3336" s="423">
        <v>8.0660449979863167E-4</v>
      </c>
      <c r="G3336" s="422">
        <v>1278.1382635265941</v>
      </c>
      <c r="H3336" s="417" t="s">
        <v>2616</v>
      </c>
      <c r="I3336" s="417" t="s">
        <v>1392</v>
      </c>
      <c r="J3336" s="417" t="s">
        <v>9108</v>
      </c>
      <c r="K3336" s="417" t="s">
        <v>9117</v>
      </c>
      <c r="L3336" s="417"/>
      <c r="M3336" s="417" t="s">
        <v>28840</v>
      </c>
    </row>
    <row r="3337" spans="1:13" x14ac:dyDescent="0.25">
      <c r="A3337" s="417" t="s">
        <v>3385</v>
      </c>
      <c r="B3337" s="417" t="s">
        <v>3405</v>
      </c>
      <c r="C3337" s="417" t="s">
        <v>9118</v>
      </c>
      <c r="D3337" s="417" t="s">
        <v>224</v>
      </c>
      <c r="E3337" s="423">
        <v>1.057253741145026</v>
      </c>
      <c r="F3337" s="423">
        <v>9.7371986689960425E-4</v>
      </c>
      <c r="G3337" s="422">
        <v>1233.0502763498871</v>
      </c>
      <c r="H3337" s="417" t="s">
        <v>2616</v>
      </c>
      <c r="I3337" s="417" t="s">
        <v>1392</v>
      </c>
      <c r="J3337" s="417" t="s">
        <v>9108</v>
      </c>
      <c r="K3337" s="417" t="s">
        <v>9119</v>
      </c>
      <c r="L3337" s="417"/>
      <c r="M3337" s="417" t="s">
        <v>28840</v>
      </c>
    </row>
    <row r="3338" spans="1:13" x14ac:dyDescent="0.25">
      <c r="A3338" s="417" t="s">
        <v>3385</v>
      </c>
      <c r="B3338" s="417" t="s">
        <v>3405</v>
      </c>
      <c r="C3338" s="417" t="s">
        <v>9120</v>
      </c>
      <c r="D3338" s="417" t="s">
        <v>224</v>
      </c>
      <c r="E3338" s="423">
        <v>1.231189783897785</v>
      </c>
      <c r="F3338" s="423">
        <v>1.105436668570215E-3</v>
      </c>
      <c r="G3338" s="422">
        <v>1535.093114697801</v>
      </c>
      <c r="H3338" s="417" t="s">
        <v>2616</v>
      </c>
      <c r="I3338" s="417" t="s">
        <v>1392</v>
      </c>
      <c r="J3338" s="417" t="s">
        <v>9108</v>
      </c>
      <c r="K3338" s="417" t="s">
        <v>9121</v>
      </c>
      <c r="L3338" s="417"/>
      <c r="M3338" s="417" t="s">
        <v>28840</v>
      </c>
    </row>
    <row r="3339" spans="1:13" x14ac:dyDescent="0.25">
      <c r="A3339" s="417" t="s">
        <v>3385</v>
      </c>
      <c r="B3339" s="417" t="s">
        <v>3405</v>
      </c>
      <c r="C3339" s="417" t="s">
        <v>9122</v>
      </c>
      <c r="D3339" s="417" t="s">
        <v>224</v>
      </c>
      <c r="E3339" s="423">
        <v>1.096835218023668</v>
      </c>
      <c r="F3339" s="423">
        <v>8.7133831350776037E-4</v>
      </c>
      <c r="G3339" s="422">
        <v>1722.012215919988</v>
      </c>
      <c r="H3339" s="417" t="s">
        <v>2616</v>
      </c>
      <c r="I3339" s="417" t="s">
        <v>1392</v>
      </c>
      <c r="J3339" s="417" t="s">
        <v>9108</v>
      </c>
      <c r="K3339" s="417" t="s">
        <v>9123</v>
      </c>
      <c r="L3339" s="417"/>
      <c r="M3339" s="417" t="s">
        <v>28840</v>
      </c>
    </row>
    <row r="3340" spans="1:13" x14ac:dyDescent="0.25">
      <c r="A3340" s="417" t="s">
        <v>3385</v>
      </c>
      <c r="B3340" s="417" t="s">
        <v>3405</v>
      </c>
      <c r="C3340" s="417" t="s">
        <v>9124</v>
      </c>
      <c r="D3340" s="417" t="s">
        <v>224</v>
      </c>
      <c r="E3340" s="423">
        <v>1.417355304107591</v>
      </c>
      <c r="F3340" s="423">
        <v>6.8530801816080037E-4</v>
      </c>
      <c r="G3340" s="422">
        <v>1594.0344683058729</v>
      </c>
      <c r="H3340" s="417" t="s">
        <v>2616</v>
      </c>
      <c r="I3340" s="417" t="s">
        <v>1392</v>
      </c>
      <c r="J3340" s="417" t="s">
        <v>9108</v>
      </c>
      <c r="K3340" s="417" t="s">
        <v>9125</v>
      </c>
      <c r="L3340" s="417"/>
      <c r="M3340" s="417" t="s">
        <v>28840</v>
      </c>
    </row>
    <row r="3341" spans="1:13" x14ac:dyDescent="0.25">
      <c r="A3341" s="417" t="s">
        <v>3385</v>
      </c>
      <c r="B3341" s="417" t="s">
        <v>3405</v>
      </c>
      <c r="C3341" s="417" t="s">
        <v>9126</v>
      </c>
      <c r="D3341" s="417" t="s">
        <v>224</v>
      </c>
      <c r="E3341" s="423">
        <v>1.266162951256699</v>
      </c>
      <c r="F3341" s="423">
        <v>1.8455208723809481E-3</v>
      </c>
      <c r="G3341" s="422">
        <v>1591.5708451062069</v>
      </c>
      <c r="H3341" s="417" t="s">
        <v>2616</v>
      </c>
      <c r="I3341" s="417" t="s">
        <v>1392</v>
      </c>
      <c r="J3341" s="417" t="s">
        <v>9108</v>
      </c>
      <c r="K3341" s="417" t="s">
        <v>9127</v>
      </c>
      <c r="L3341" s="417"/>
      <c r="M3341" s="417" t="s">
        <v>28840</v>
      </c>
    </row>
    <row r="3342" spans="1:13" x14ac:dyDescent="0.25">
      <c r="A3342" s="417" t="s">
        <v>3385</v>
      </c>
      <c r="B3342" s="417" t="s">
        <v>3405</v>
      </c>
      <c r="C3342" s="417" t="s">
        <v>9128</v>
      </c>
      <c r="D3342" s="417" t="s">
        <v>224</v>
      </c>
      <c r="E3342" s="423">
        <v>1.196444812146352</v>
      </c>
      <c r="F3342" s="423">
        <v>1.1074578436871989E-3</v>
      </c>
      <c r="G3342" s="422">
        <v>1416.5902192244259</v>
      </c>
      <c r="H3342" s="417" t="s">
        <v>2616</v>
      </c>
      <c r="I3342" s="417" t="s">
        <v>1392</v>
      </c>
      <c r="J3342" s="417" t="s">
        <v>9108</v>
      </c>
      <c r="K3342" s="417" t="s">
        <v>9129</v>
      </c>
      <c r="L3342" s="417"/>
      <c r="M3342" s="417" t="s">
        <v>28840</v>
      </c>
    </row>
    <row r="3343" spans="1:13" x14ac:dyDescent="0.25">
      <c r="A3343" s="417" t="s">
        <v>3385</v>
      </c>
      <c r="B3343" s="417" t="s">
        <v>3405</v>
      </c>
      <c r="C3343" s="417" t="s">
        <v>9130</v>
      </c>
      <c r="D3343" s="417" t="s">
        <v>224</v>
      </c>
      <c r="E3343" s="423">
        <v>1.190184425610965</v>
      </c>
      <c r="F3343" s="423">
        <v>1.2235520414404469E-3</v>
      </c>
      <c r="G3343" s="422">
        <v>1897.8479741893041</v>
      </c>
      <c r="H3343" s="417" t="s">
        <v>2616</v>
      </c>
      <c r="I3343" s="417" t="s">
        <v>1392</v>
      </c>
      <c r="J3343" s="417" t="s">
        <v>9108</v>
      </c>
      <c r="K3343" s="417" t="s">
        <v>9131</v>
      </c>
      <c r="L3343" s="417"/>
      <c r="M3343" s="417" t="s">
        <v>28840</v>
      </c>
    </row>
    <row r="3344" spans="1:13" x14ac:dyDescent="0.25">
      <c r="A3344" s="417" t="s">
        <v>3385</v>
      </c>
      <c r="B3344" s="417" t="s">
        <v>3405</v>
      </c>
      <c r="C3344" s="417" t="s">
        <v>9132</v>
      </c>
      <c r="D3344" s="417" t="s">
        <v>224</v>
      </c>
      <c r="E3344" s="423">
        <v>1.089887264166624</v>
      </c>
      <c r="F3344" s="423">
        <v>1.039926169298933E-3</v>
      </c>
      <c r="G3344" s="422">
        <v>1324.607494172622</v>
      </c>
      <c r="H3344" s="417" t="s">
        <v>2616</v>
      </c>
      <c r="I3344" s="417" t="s">
        <v>1392</v>
      </c>
      <c r="J3344" s="417" t="s">
        <v>9108</v>
      </c>
      <c r="K3344" s="417" t="s">
        <v>9133</v>
      </c>
      <c r="L3344" s="417"/>
      <c r="M3344" s="417" t="s">
        <v>28840</v>
      </c>
    </row>
    <row r="3345" spans="1:13" x14ac:dyDescent="0.25">
      <c r="A3345" s="417" t="s">
        <v>3385</v>
      </c>
      <c r="B3345" s="417" t="s">
        <v>3405</v>
      </c>
      <c r="C3345" s="417" t="s">
        <v>9134</v>
      </c>
      <c r="D3345" s="417" t="s">
        <v>224</v>
      </c>
      <c r="E3345" s="423">
        <v>1.2268374525672501</v>
      </c>
      <c r="F3345" s="423">
        <v>1.2204285662309709E-3</v>
      </c>
      <c r="G3345" s="422">
        <v>1657.111279430892</v>
      </c>
      <c r="H3345" s="417" t="s">
        <v>2616</v>
      </c>
      <c r="I3345" s="417" t="s">
        <v>1392</v>
      </c>
      <c r="J3345" s="417" t="s">
        <v>9108</v>
      </c>
      <c r="K3345" s="417" t="s">
        <v>9135</v>
      </c>
      <c r="L3345" s="417"/>
      <c r="M3345" s="417" t="s">
        <v>28840</v>
      </c>
    </row>
    <row r="3346" spans="1:13" x14ac:dyDescent="0.25">
      <c r="A3346" s="417" t="s">
        <v>3385</v>
      </c>
      <c r="B3346" s="417" t="s">
        <v>3405</v>
      </c>
      <c r="C3346" s="417" t="s">
        <v>9136</v>
      </c>
      <c r="D3346" s="417" t="s">
        <v>224</v>
      </c>
      <c r="E3346" s="423">
        <v>0.99612411439871817</v>
      </c>
      <c r="F3346" s="423">
        <v>8.206377262565725E-4</v>
      </c>
      <c r="G3346" s="422">
        <v>1141.8095892364281</v>
      </c>
      <c r="H3346" s="417" t="s">
        <v>2616</v>
      </c>
      <c r="I3346" s="417" t="s">
        <v>1392</v>
      </c>
      <c r="J3346" s="417" t="s">
        <v>9108</v>
      </c>
      <c r="K3346" s="417" t="s">
        <v>9137</v>
      </c>
      <c r="L3346" s="417"/>
      <c r="M3346" s="417" t="s">
        <v>28840</v>
      </c>
    </row>
    <row r="3347" spans="1:13" x14ac:dyDescent="0.25">
      <c r="A3347" s="417" t="s">
        <v>3385</v>
      </c>
      <c r="B3347" s="417" t="s">
        <v>3405</v>
      </c>
      <c r="C3347" s="417" t="s">
        <v>9138</v>
      </c>
      <c r="D3347" s="417" t="s">
        <v>224</v>
      </c>
      <c r="E3347" s="423">
        <v>1.3196856338713081</v>
      </c>
      <c r="F3347" s="423">
        <v>1.0716222581016841E-3</v>
      </c>
      <c r="G3347" s="422">
        <v>1535.1804594230971</v>
      </c>
      <c r="H3347" s="417" t="s">
        <v>2616</v>
      </c>
      <c r="I3347" s="417" t="s">
        <v>1392</v>
      </c>
      <c r="J3347" s="417" t="s">
        <v>9108</v>
      </c>
      <c r="K3347" s="417" t="s">
        <v>9139</v>
      </c>
      <c r="L3347" s="417"/>
      <c r="M3347" s="417" t="s">
        <v>28840</v>
      </c>
    </row>
    <row r="3348" spans="1:13" x14ac:dyDescent="0.25">
      <c r="A3348" s="417" t="s">
        <v>3385</v>
      </c>
      <c r="B3348" s="417" t="s">
        <v>3405</v>
      </c>
      <c r="C3348" s="417" t="s">
        <v>9140</v>
      </c>
      <c r="D3348" s="417" t="s">
        <v>224</v>
      </c>
      <c r="E3348" s="423">
        <v>1.2958559225680311</v>
      </c>
      <c r="F3348" s="423">
        <v>1.182844798723651E-3</v>
      </c>
      <c r="G3348" s="422">
        <v>1642.168507107536</v>
      </c>
      <c r="H3348" s="417" t="s">
        <v>2616</v>
      </c>
      <c r="I3348" s="417" t="s">
        <v>1392</v>
      </c>
      <c r="J3348" s="417" t="s">
        <v>9108</v>
      </c>
      <c r="K3348" s="417" t="s">
        <v>9141</v>
      </c>
      <c r="L3348" s="417"/>
      <c r="M3348" s="417" t="s">
        <v>28840</v>
      </c>
    </row>
    <row r="3349" spans="1:13" x14ac:dyDescent="0.25">
      <c r="A3349" s="417" t="s">
        <v>3385</v>
      </c>
      <c r="B3349" s="417" t="s">
        <v>3405</v>
      </c>
      <c r="C3349" s="417" t="s">
        <v>9142</v>
      </c>
      <c r="D3349" s="417" t="s">
        <v>224</v>
      </c>
      <c r="E3349" s="423">
        <v>0.29087339934709888</v>
      </c>
      <c r="F3349" s="423">
        <v>1.4040181420888001E-3</v>
      </c>
      <c r="G3349" s="422">
        <v>554.05655891758011</v>
      </c>
      <c r="H3349" s="417" t="s">
        <v>2616</v>
      </c>
      <c r="I3349" s="417" t="s">
        <v>1392</v>
      </c>
      <c r="J3349" s="417" t="s">
        <v>7898</v>
      </c>
      <c r="K3349" s="417" t="s">
        <v>9143</v>
      </c>
      <c r="L3349" s="417"/>
      <c r="M3349" s="417" t="s">
        <v>28840</v>
      </c>
    </row>
    <row r="3350" spans="1:13" x14ac:dyDescent="0.25">
      <c r="A3350" s="417" t="s">
        <v>3385</v>
      </c>
      <c r="B3350" s="417" t="s">
        <v>3405</v>
      </c>
      <c r="C3350" s="417" t="s">
        <v>9144</v>
      </c>
      <c r="D3350" s="417" t="s">
        <v>224</v>
      </c>
      <c r="E3350" s="423">
        <v>0.41068386138295743</v>
      </c>
      <c r="F3350" s="423">
        <v>1.386129474444392E-3</v>
      </c>
      <c r="G3350" s="422">
        <v>664.48615040400784</v>
      </c>
      <c r="H3350" s="417" t="s">
        <v>2616</v>
      </c>
      <c r="I3350" s="417" t="s">
        <v>1392</v>
      </c>
      <c r="J3350" s="417" t="s">
        <v>7898</v>
      </c>
      <c r="K3350" s="417" t="s">
        <v>9145</v>
      </c>
      <c r="L3350" s="417"/>
      <c r="M3350" s="417" t="s">
        <v>28840</v>
      </c>
    </row>
    <row r="3351" spans="1:13" x14ac:dyDescent="0.25">
      <c r="A3351" s="417" t="s">
        <v>3385</v>
      </c>
      <c r="B3351" s="417" t="s">
        <v>3405</v>
      </c>
      <c r="C3351" s="417" t="s">
        <v>9146</v>
      </c>
      <c r="D3351" s="417" t="s">
        <v>224</v>
      </c>
      <c r="E3351" s="423">
        <v>0.42395942287285943</v>
      </c>
      <c r="F3351" s="423">
        <v>1.8272567124267908E-2</v>
      </c>
      <c r="G3351" s="422">
        <v>647.59514737735867</v>
      </c>
      <c r="H3351" s="417" t="s">
        <v>2616</v>
      </c>
      <c r="I3351" s="417" t="s">
        <v>1392</v>
      </c>
      <c r="J3351" s="417" t="s">
        <v>7898</v>
      </c>
      <c r="K3351" s="417" t="s">
        <v>9147</v>
      </c>
      <c r="L3351" s="417"/>
      <c r="M3351" s="417" t="s">
        <v>28840</v>
      </c>
    </row>
    <row r="3352" spans="1:13" x14ac:dyDescent="0.25">
      <c r="A3352" s="417" t="s">
        <v>3385</v>
      </c>
      <c r="B3352" s="417" t="s">
        <v>3405</v>
      </c>
      <c r="C3352" s="417" t="s">
        <v>9148</v>
      </c>
      <c r="D3352" s="417" t="s">
        <v>224</v>
      </c>
      <c r="E3352" s="423">
        <v>0.20437738509367739</v>
      </c>
      <c r="F3352" s="423">
        <v>5.3226255596088713E-2</v>
      </c>
      <c r="G3352" s="422">
        <v>446.06850297656467</v>
      </c>
      <c r="H3352" s="417" t="s">
        <v>2616</v>
      </c>
      <c r="I3352" s="417" t="s">
        <v>1392</v>
      </c>
      <c r="J3352" s="417" t="s">
        <v>7898</v>
      </c>
      <c r="K3352" s="417" t="s">
        <v>9149</v>
      </c>
      <c r="L3352" s="417"/>
      <c r="M3352" s="417" t="s">
        <v>28840</v>
      </c>
    </row>
    <row r="3353" spans="1:13" x14ac:dyDescent="0.25">
      <c r="A3353" s="417" t="s">
        <v>3385</v>
      </c>
      <c r="B3353" s="417" t="s">
        <v>3405</v>
      </c>
      <c r="C3353" s="417" t="s">
        <v>9150</v>
      </c>
      <c r="D3353" s="417" t="s">
        <v>224</v>
      </c>
      <c r="E3353" s="423">
        <v>0.69737957966199005</v>
      </c>
      <c r="F3353" s="423">
        <v>1.159157192372607E-2</v>
      </c>
      <c r="G3353" s="422">
        <v>912.95542006025903</v>
      </c>
      <c r="H3353" s="417" t="s">
        <v>2616</v>
      </c>
      <c r="I3353" s="417" t="s">
        <v>1392</v>
      </c>
      <c r="J3353" s="417" t="s">
        <v>7898</v>
      </c>
      <c r="K3353" s="417" t="s">
        <v>9151</v>
      </c>
      <c r="L3353" s="417"/>
      <c r="M3353" s="417" t="s">
        <v>28840</v>
      </c>
    </row>
    <row r="3354" spans="1:13" x14ac:dyDescent="0.25">
      <c r="A3354" s="417" t="s">
        <v>3385</v>
      </c>
      <c r="B3354" s="417" t="s">
        <v>3405</v>
      </c>
      <c r="C3354" s="417" t="s">
        <v>9152</v>
      </c>
      <c r="D3354" s="417" t="s">
        <v>224</v>
      </c>
      <c r="E3354" s="423">
        <v>0.92971032114546459</v>
      </c>
      <c r="F3354" s="423">
        <v>1.6283203117082541E-2</v>
      </c>
      <c r="G3354" s="422">
        <v>1232.8088462349181</v>
      </c>
      <c r="H3354" s="417" t="s">
        <v>2616</v>
      </c>
      <c r="I3354" s="417" t="s">
        <v>1392</v>
      </c>
      <c r="J3354" s="417" t="s">
        <v>7898</v>
      </c>
      <c r="K3354" s="417" t="s">
        <v>9153</v>
      </c>
      <c r="L3354" s="417"/>
      <c r="M3354" s="417" t="s">
        <v>28840</v>
      </c>
    </row>
    <row r="3355" spans="1:13" x14ac:dyDescent="0.25">
      <c r="A3355" s="417" t="s">
        <v>3385</v>
      </c>
      <c r="B3355" s="417" t="s">
        <v>3405</v>
      </c>
      <c r="C3355" s="417" t="s">
        <v>9154</v>
      </c>
      <c r="D3355" s="417" t="s">
        <v>224</v>
      </c>
      <c r="E3355" s="423">
        <v>0.71138185091926742</v>
      </c>
      <c r="F3355" s="423">
        <v>5.028769588194623E-3</v>
      </c>
      <c r="G3355" s="422">
        <v>1031.1782465029471</v>
      </c>
      <c r="H3355" s="417" t="s">
        <v>2616</v>
      </c>
      <c r="I3355" s="417" t="s">
        <v>1392</v>
      </c>
      <c r="J3355" s="417" t="s">
        <v>7898</v>
      </c>
      <c r="K3355" s="417" t="s">
        <v>9155</v>
      </c>
      <c r="L3355" s="417"/>
      <c r="M3355" s="417" t="s">
        <v>28840</v>
      </c>
    </row>
    <row r="3356" spans="1:13" x14ac:dyDescent="0.25">
      <c r="A3356" s="417" t="s">
        <v>3385</v>
      </c>
      <c r="B3356" s="417" t="s">
        <v>3405</v>
      </c>
      <c r="C3356" s="417" t="s">
        <v>9156</v>
      </c>
      <c r="D3356" s="417" t="s">
        <v>224</v>
      </c>
      <c r="E3356" s="423">
        <v>0.17895329794608231</v>
      </c>
      <c r="F3356" s="423">
        <v>3.2281819067339193E-2</v>
      </c>
      <c r="G3356" s="422">
        <v>518.27562797173698</v>
      </c>
      <c r="H3356" s="417" t="s">
        <v>2616</v>
      </c>
      <c r="I3356" s="417" t="s">
        <v>1392</v>
      </c>
      <c r="J3356" s="417" t="s">
        <v>7898</v>
      </c>
      <c r="K3356" s="417" t="s">
        <v>9157</v>
      </c>
      <c r="L3356" s="417"/>
      <c r="M3356" s="417" t="s">
        <v>28840</v>
      </c>
    </row>
    <row r="3357" spans="1:13" x14ac:dyDescent="0.25">
      <c r="A3357" s="417" t="s">
        <v>3385</v>
      </c>
      <c r="B3357" s="417" t="s">
        <v>3405</v>
      </c>
      <c r="C3357" s="417" t="s">
        <v>9158</v>
      </c>
      <c r="D3357" s="417" t="s">
        <v>224</v>
      </c>
      <c r="E3357" s="423">
        <v>0.4496259149070515</v>
      </c>
      <c r="F3357" s="423">
        <v>3.404733972317589E-2</v>
      </c>
      <c r="G3357" s="422">
        <v>962.62053027442551</v>
      </c>
      <c r="H3357" s="417" t="s">
        <v>2616</v>
      </c>
      <c r="I3357" s="417" t="s">
        <v>1392</v>
      </c>
      <c r="J3357" s="417" t="s">
        <v>7898</v>
      </c>
      <c r="K3357" s="417" t="s">
        <v>9159</v>
      </c>
      <c r="L3357" s="417"/>
      <c r="M3357" s="417" t="s">
        <v>28840</v>
      </c>
    </row>
    <row r="3358" spans="1:13" x14ac:dyDescent="0.25">
      <c r="A3358" s="417" t="s">
        <v>3385</v>
      </c>
      <c r="B3358" s="417" t="s">
        <v>3405</v>
      </c>
      <c r="C3358" s="417" t="s">
        <v>9160</v>
      </c>
      <c r="D3358" s="417" t="s">
        <v>224</v>
      </c>
      <c r="E3358" s="423">
        <v>0.10938260956787089</v>
      </c>
      <c r="F3358" s="423">
        <v>7.3481874121757162E-2</v>
      </c>
      <c r="G3358" s="422">
        <v>237.44463734732261</v>
      </c>
      <c r="H3358" s="417" t="s">
        <v>2616</v>
      </c>
      <c r="I3358" s="417" t="s">
        <v>1392</v>
      </c>
      <c r="J3358" s="417" t="s">
        <v>7898</v>
      </c>
      <c r="K3358" s="417" t="s">
        <v>9161</v>
      </c>
      <c r="L3358" s="417"/>
      <c r="M3358" s="417" t="s">
        <v>28840</v>
      </c>
    </row>
    <row r="3359" spans="1:13" x14ac:dyDescent="0.25">
      <c r="A3359" s="417" t="s">
        <v>3385</v>
      </c>
      <c r="B3359" s="417" t="s">
        <v>3405</v>
      </c>
      <c r="C3359" s="417" t="s">
        <v>9162</v>
      </c>
      <c r="D3359" s="417" t="s">
        <v>224</v>
      </c>
      <c r="E3359" s="423">
        <v>0.16954948958362709</v>
      </c>
      <c r="F3359" s="423">
        <v>1.2344003886170039E-2</v>
      </c>
      <c r="G3359" s="422">
        <v>349.25422974351568</v>
      </c>
      <c r="H3359" s="417" t="s">
        <v>2616</v>
      </c>
      <c r="I3359" s="417" t="s">
        <v>1392</v>
      </c>
      <c r="J3359" s="417" t="s">
        <v>7898</v>
      </c>
      <c r="K3359" s="417" t="s">
        <v>9163</v>
      </c>
      <c r="L3359" s="417"/>
      <c r="M3359" s="417" t="s">
        <v>28840</v>
      </c>
    </row>
    <row r="3360" spans="1:13" x14ac:dyDescent="0.25">
      <c r="A3360" s="417" t="s">
        <v>3385</v>
      </c>
      <c r="B3360" s="417" t="s">
        <v>3405</v>
      </c>
      <c r="C3360" s="417" t="s">
        <v>9164</v>
      </c>
      <c r="D3360" s="417" t="s">
        <v>224</v>
      </c>
      <c r="E3360" s="423">
        <v>9.7009491158742495E-2</v>
      </c>
      <c r="F3360" s="423">
        <v>2.3136618209708588E-2</v>
      </c>
      <c r="G3360" s="422">
        <v>475.8125367284174</v>
      </c>
      <c r="H3360" s="417" t="s">
        <v>2616</v>
      </c>
      <c r="I3360" s="417" t="s">
        <v>1392</v>
      </c>
      <c r="J3360" s="417" t="s">
        <v>7898</v>
      </c>
      <c r="K3360" s="417" t="s">
        <v>9165</v>
      </c>
      <c r="L3360" s="417"/>
      <c r="M3360" s="417" t="s">
        <v>28840</v>
      </c>
    </row>
    <row r="3361" spans="1:13" x14ac:dyDescent="0.25">
      <c r="A3361" s="417" t="s">
        <v>3385</v>
      </c>
      <c r="B3361" s="417" t="s">
        <v>3405</v>
      </c>
      <c r="C3361" s="417" t="s">
        <v>9166</v>
      </c>
      <c r="D3361" s="417" t="s">
        <v>224</v>
      </c>
      <c r="E3361" s="423">
        <v>0.33295683267829151</v>
      </c>
      <c r="F3361" s="423">
        <v>5.1139987212964852E-2</v>
      </c>
      <c r="G3361" s="422">
        <v>479.37141304880288</v>
      </c>
      <c r="H3361" s="417" t="s">
        <v>2616</v>
      </c>
      <c r="I3361" s="417" t="s">
        <v>1392</v>
      </c>
      <c r="J3361" s="417" t="s">
        <v>7898</v>
      </c>
      <c r="K3361" s="417" t="s">
        <v>9167</v>
      </c>
      <c r="L3361" s="417"/>
      <c r="M3361" s="417" t="s">
        <v>28840</v>
      </c>
    </row>
    <row r="3362" spans="1:13" x14ac:dyDescent="0.25">
      <c r="A3362" s="417" t="s">
        <v>3385</v>
      </c>
      <c r="B3362" s="417" t="s">
        <v>3405</v>
      </c>
      <c r="C3362" s="417" t="s">
        <v>9168</v>
      </c>
      <c r="D3362" s="417" t="s">
        <v>224</v>
      </c>
      <c r="E3362" s="423">
        <v>0.73832209399930293</v>
      </c>
      <c r="F3362" s="423">
        <v>1.65551883091807E-2</v>
      </c>
      <c r="G3362" s="422">
        <v>1017.06496859436</v>
      </c>
      <c r="H3362" s="417" t="s">
        <v>2616</v>
      </c>
      <c r="I3362" s="417" t="s">
        <v>1392</v>
      </c>
      <c r="J3362" s="417" t="s">
        <v>7898</v>
      </c>
      <c r="K3362" s="417" t="s">
        <v>9169</v>
      </c>
      <c r="L3362" s="417"/>
      <c r="M3362" s="417" t="s">
        <v>28840</v>
      </c>
    </row>
    <row r="3363" spans="1:13" x14ac:dyDescent="0.25">
      <c r="A3363" s="417" t="s">
        <v>3385</v>
      </c>
      <c r="B3363" s="417" t="s">
        <v>3405</v>
      </c>
      <c r="C3363" s="417" t="s">
        <v>9170</v>
      </c>
      <c r="D3363" s="417" t="s">
        <v>224</v>
      </c>
      <c r="E3363" s="423">
        <v>0.3149073358472656</v>
      </c>
      <c r="F3363" s="423">
        <v>2.3020212792810479E-2</v>
      </c>
      <c r="G3363" s="422">
        <v>451.82276622752693</v>
      </c>
      <c r="H3363" s="417" t="s">
        <v>2616</v>
      </c>
      <c r="I3363" s="417" t="s">
        <v>1392</v>
      </c>
      <c r="J3363" s="417" t="s">
        <v>7898</v>
      </c>
      <c r="K3363" s="417" t="s">
        <v>9171</v>
      </c>
      <c r="L3363" s="417"/>
      <c r="M3363" s="417" t="s">
        <v>28840</v>
      </c>
    </row>
    <row r="3364" spans="1:13" x14ac:dyDescent="0.25">
      <c r="A3364" s="417" t="s">
        <v>3385</v>
      </c>
      <c r="B3364" s="417" t="s">
        <v>3405</v>
      </c>
      <c r="C3364" s="417" t="s">
        <v>9172</v>
      </c>
      <c r="D3364" s="417" t="s">
        <v>224</v>
      </c>
      <c r="E3364" s="423">
        <v>0.52318052256496284</v>
      </c>
      <c r="F3364" s="423">
        <v>5.6367272798914202E-2</v>
      </c>
      <c r="G3364" s="422">
        <v>909.77503929748002</v>
      </c>
      <c r="H3364" s="417" t="s">
        <v>2616</v>
      </c>
      <c r="I3364" s="417" t="s">
        <v>1392</v>
      </c>
      <c r="J3364" s="417" t="s">
        <v>7898</v>
      </c>
      <c r="K3364" s="417" t="s">
        <v>9173</v>
      </c>
      <c r="L3364" s="417"/>
      <c r="M3364" s="417" t="s">
        <v>28840</v>
      </c>
    </row>
    <row r="3365" spans="1:13" x14ac:dyDescent="0.25">
      <c r="A3365" s="417" t="s">
        <v>3385</v>
      </c>
      <c r="B3365" s="417" t="s">
        <v>3405</v>
      </c>
      <c r="C3365" s="417" t="s">
        <v>9174</v>
      </c>
      <c r="D3365" s="417" t="s">
        <v>224</v>
      </c>
      <c r="E3365" s="423">
        <v>0.45105796940290682</v>
      </c>
      <c r="F3365" s="423">
        <v>6.0301916782571623E-2</v>
      </c>
      <c r="G3365" s="422">
        <v>737.54990194972947</v>
      </c>
      <c r="H3365" s="417" t="s">
        <v>2616</v>
      </c>
      <c r="I3365" s="417" t="s">
        <v>1392</v>
      </c>
      <c r="J3365" s="417" t="s">
        <v>7898</v>
      </c>
      <c r="K3365" s="417" t="s">
        <v>9175</v>
      </c>
      <c r="L3365" s="417"/>
      <c r="M3365" s="417" t="s">
        <v>28840</v>
      </c>
    </row>
    <row r="3366" spans="1:13" x14ac:dyDescent="0.25">
      <c r="A3366" s="417" t="s">
        <v>3385</v>
      </c>
      <c r="B3366" s="417" t="s">
        <v>3405</v>
      </c>
      <c r="C3366" s="417" t="s">
        <v>9176</v>
      </c>
      <c r="D3366" s="417" t="s">
        <v>224</v>
      </c>
      <c r="E3366" s="423">
        <v>0.13327664025512931</v>
      </c>
      <c r="F3366" s="423">
        <v>9.8967742344492793E-2</v>
      </c>
      <c r="G3366" s="422">
        <v>278.05604044949848</v>
      </c>
      <c r="H3366" s="417" t="s">
        <v>2616</v>
      </c>
      <c r="I3366" s="417" t="s">
        <v>1392</v>
      </c>
      <c r="J3366" s="417" t="s">
        <v>7898</v>
      </c>
      <c r="K3366" s="417" t="s">
        <v>9177</v>
      </c>
      <c r="L3366" s="417"/>
      <c r="M3366" s="417" t="s">
        <v>28840</v>
      </c>
    </row>
    <row r="3367" spans="1:13" x14ac:dyDescent="0.25">
      <c r="A3367" s="417" t="s">
        <v>3385</v>
      </c>
      <c r="B3367" s="417" t="s">
        <v>3405</v>
      </c>
      <c r="C3367" s="417" t="s">
        <v>9178</v>
      </c>
      <c r="D3367" s="417" t="s">
        <v>224</v>
      </c>
      <c r="E3367" s="423">
        <v>0.65334068670271794</v>
      </c>
      <c r="F3367" s="423">
        <v>3.04992559311313E-3</v>
      </c>
      <c r="G3367" s="422">
        <v>867.15326692190933</v>
      </c>
      <c r="H3367" s="417" t="s">
        <v>2616</v>
      </c>
      <c r="I3367" s="417" t="s">
        <v>1392</v>
      </c>
      <c r="J3367" s="417" t="s">
        <v>7898</v>
      </c>
      <c r="K3367" s="417" t="s">
        <v>9179</v>
      </c>
      <c r="L3367" s="417"/>
      <c r="M3367" s="417" t="s">
        <v>28840</v>
      </c>
    </row>
    <row r="3368" spans="1:13" x14ac:dyDescent="0.25">
      <c r="A3368" s="417" t="s">
        <v>3385</v>
      </c>
      <c r="B3368" s="417" t="s">
        <v>3405</v>
      </c>
      <c r="C3368" s="417" t="s">
        <v>9180</v>
      </c>
      <c r="D3368" s="417" t="s">
        <v>224</v>
      </c>
      <c r="E3368" s="423">
        <v>0.31133878856185587</v>
      </c>
      <c r="F3368" s="423">
        <v>0.16147677222459389</v>
      </c>
      <c r="G3368" s="422">
        <v>699.02060983410195</v>
      </c>
      <c r="H3368" s="417" t="s">
        <v>2616</v>
      </c>
      <c r="I3368" s="417" t="s">
        <v>1392</v>
      </c>
      <c r="J3368" s="417" t="s">
        <v>7898</v>
      </c>
      <c r="K3368" s="417" t="s">
        <v>9181</v>
      </c>
      <c r="L3368" s="417"/>
      <c r="M3368" s="417" t="s">
        <v>28840</v>
      </c>
    </row>
    <row r="3369" spans="1:13" x14ac:dyDescent="0.25">
      <c r="A3369" s="417" t="s">
        <v>3385</v>
      </c>
      <c r="B3369" s="417" t="s">
        <v>3405</v>
      </c>
      <c r="C3369" s="417" t="s">
        <v>9182</v>
      </c>
      <c r="D3369" s="417" t="s">
        <v>224</v>
      </c>
      <c r="E3369" s="423">
        <v>0.52922196689094958</v>
      </c>
      <c r="F3369" s="423">
        <v>1.6375382062907241E-3</v>
      </c>
      <c r="G3369" s="422">
        <v>707.71763443945167</v>
      </c>
      <c r="H3369" s="417" t="s">
        <v>2616</v>
      </c>
      <c r="I3369" s="417" t="s">
        <v>1392</v>
      </c>
      <c r="J3369" s="417" t="s">
        <v>7898</v>
      </c>
      <c r="K3369" s="417" t="s">
        <v>9183</v>
      </c>
      <c r="L3369" s="417"/>
      <c r="M3369" s="417" t="s">
        <v>28840</v>
      </c>
    </row>
    <row r="3370" spans="1:13" x14ac:dyDescent="0.25">
      <c r="A3370" s="417" t="s">
        <v>3385</v>
      </c>
      <c r="B3370" s="417" t="s">
        <v>3405</v>
      </c>
      <c r="C3370" s="417" t="s">
        <v>9184</v>
      </c>
      <c r="D3370" s="417" t="s">
        <v>224</v>
      </c>
      <c r="E3370" s="423">
        <v>0.29390833508653819</v>
      </c>
      <c r="F3370" s="423">
        <v>3.6393033496716957E-2</v>
      </c>
      <c r="G3370" s="422">
        <v>633.49078787016231</v>
      </c>
      <c r="H3370" s="417" t="s">
        <v>2616</v>
      </c>
      <c r="I3370" s="417" t="s">
        <v>1392</v>
      </c>
      <c r="J3370" s="417" t="s">
        <v>7898</v>
      </c>
      <c r="K3370" s="417" t="s">
        <v>9185</v>
      </c>
      <c r="L3370" s="417"/>
      <c r="M3370" s="417" t="s">
        <v>28840</v>
      </c>
    </row>
    <row r="3371" spans="1:13" x14ac:dyDescent="0.25">
      <c r="A3371" s="417" t="s">
        <v>3385</v>
      </c>
      <c r="B3371" s="417" t="s">
        <v>3405</v>
      </c>
      <c r="C3371" s="417" t="s">
        <v>9186</v>
      </c>
      <c r="D3371" s="417" t="s">
        <v>224</v>
      </c>
      <c r="E3371" s="423">
        <v>0.22656855493725719</v>
      </c>
      <c r="F3371" s="423">
        <v>1.7255592953756501E-2</v>
      </c>
      <c r="G3371" s="422">
        <v>549.80033236526674</v>
      </c>
      <c r="H3371" s="417" t="s">
        <v>2616</v>
      </c>
      <c r="I3371" s="417" t="s">
        <v>1392</v>
      </c>
      <c r="J3371" s="417" t="s">
        <v>7898</v>
      </c>
      <c r="K3371" s="417" t="s">
        <v>9187</v>
      </c>
      <c r="L3371" s="417"/>
      <c r="M3371" s="417" t="s">
        <v>28840</v>
      </c>
    </row>
    <row r="3372" spans="1:13" x14ac:dyDescent="0.25">
      <c r="A3372" s="417" t="s">
        <v>3385</v>
      </c>
      <c r="B3372" s="417" t="s">
        <v>3405</v>
      </c>
      <c r="C3372" s="417" t="s">
        <v>9188</v>
      </c>
      <c r="D3372" s="417" t="s">
        <v>224</v>
      </c>
      <c r="E3372" s="423">
        <v>1.6670262095294621E-2</v>
      </c>
      <c r="F3372" s="423">
        <v>1.019898606205978E-3</v>
      </c>
      <c r="G3372" s="422">
        <v>91.293254874786953</v>
      </c>
      <c r="H3372" s="417" t="s">
        <v>2616</v>
      </c>
      <c r="I3372" s="417" t="s">
        <v>1392</v>
      </c>
      <c r="J3372" s="417" t="s">
        <v>7898</v>
      </c>
      <c r="K3372" s="417" t="s">
        <v>9189</v>
      </c>
      <c r="L3372" s="417"/>
      <c r="M3372" s="417" t="s">
        <v>28840</v>
      </c>
    </row>
    <row r="3373" spans="1:13" x14ac:dyDescent="0.25">
      <c r="A3373" s="417" t="s">
        <v>3385</v>
      </c>
      <c r="B3373" s="417" t="s">
        <v>3405</v>
      </c>
      <c r="C3373" s="417" t="s">
        <v>9190</v>
      </c>
      <c r="D3373" s="417" t="s">
        <v>224</v>
      </c>
      <c r="E3373" s="423">
        <v>0.1204291837758046</v>
      </c>
      <c r="F3373" s="423">
        <v>9.2207011459656513E-2</v>
      </c>
      <c r="G3373" s="422">
        <v>440.78298990426691</v>
      </c>
      <c r="H3373" s="417" t="s">
        <v>2616</v>
      </c>
      <c r="I3373" s="417" t="s">
        <v>1392</v>
      </c>
      <c r="J3373" s="417" t="s">
        <v>7898</v>
      </c>
      <c r="K3373" s="417" t="s">
        <v>9191</v>
      </c>
      <c r="L3373" s="417"/>
      <c r="M3373" s="417" t="s">
        <v>28840</v>
      </c>
    </row>
    <row r="3374" spans="1:13" x14ac:dyDescent="0.25">
      <c r="A3374" s="417" t="s">
        <v>3385</v>
      </c>
      <c r="B3374" s="417" t="s">
        <v>3405</v>
      </c>
      <c r="C3374" s="417" t="s">
        <v>9192</v>
      </c>
      <c r="D3374" s="417" t="s">
        <v>224</v>
      </c>
      <c r="E3374" s="423">
        <v>8.0569878341205936E-2</v>
      </c>
      <c r="F3374" s="423">
        <v>1.546717907821909E-2</v>
      </c>
      <c r="G3374" s="422">
        <v>722.96174542193705</v>
      </c>
      <c r="H3374" s="417" t="s">
        <v>2616</v>
      </c>
      <c r="I3374" s="417" t="s">
        <v>1392</v>
      </c>
      <c r="J3374" s="417" t="s">
        <v>7898</v>
      </c>
      <c r="K3374" s="417" t="s">
        <v>9193</v>
      </c>
      <c r="L3374" s="417"/>
      <c r="M3374" s="417" t="s">
        <v>28840</v>
      </c>
    </row>
    <row r="3375" spans="1:13" x14ac:dyDescent="0.25">
      <c r="A3375" s="417" t="s">
        <v>3385</v>
      </c>
      <c r="B3375" s="417" t="s">
        <v>3405</v>
      </c>
      <c r="C3375" s="417" t="s">
        <v>9194</v>
      </c>
      <c r="D3375" s="417" t="s">
        <v>224</v>
      </c>
      <c r="E3375" s="423">
        <v>0.21541777645770671</v>
      </c>
      <c r="F3375" s="423">
        <v>7.7249562037277841E-2</v>
      </c>
      <c r="G3375" s="422">
        <v>490.63739709224069</v>
      </c>
      <c r="H3375" s="417" t="s">
        <v>2616</v>
      </c>
      <c r="I3375" s="417" t="s">
        <v>1392</v>
      </c>
      <c r="J3375" s="417" t="s">
        <v>7898</v>
      </c>
      <c r="K3375" s="417" t="s">
        <v>9195</v>
      </c>
      <c r="L3375" s="417"/>
      <c r="M3375" s="417" t="s">
        <v>28840</v>
      </c>
    </row>
    <row r="3376" spans="1:13" x14ac:dyDescent="0.25">
      <c r="A3376" s="417" t="s">
        <v>3385</v>
      </c>
      <c r="B3376" s="417" t="s">
        <v>3405</v>
      </c>
      <c r="C3376" s="417" t="s">
        <v>9196</v>
      </c>
      <c r="D3376" s="417" t="s">
        <v>224</v>
      </c>
      <c r="E3376" s="423">
        <v>0.60914229905902673</v>
      </c>
      <c r="F3376" s="423">
        <v>1.994616836207563E-2</v>
      </c>
      <c r="G3376" s="422">
        <v>907.76600596345668</v>
      </c>
      <c r="H3376" s="417" t="s">
        <v>2616</v>
      </c>
      <c r="I3376" s="417" t="s">
        <v>1392</v>
      </c>
      <c r="J3376" s="417" t="s">
        <v>7898</v>
      </c>
      <c r="K3376" s="417" t="s">
        <v>9197</v>
      </c>
      <c r="L3376" s="417"/>
      <c r="M3376" s="417" t="s">
        <v>28840</v>
      </c>
    </row>
    <row r="3377" spans="1:13" x14ac:dyDescent="0.25">
      <c r="A3377" s="417" t="s">
        <v>3385</v>
      </c>
      <c r="B3377" s="417" t="s">
        <v>3405</v>
      </c>
      <c r="C3377" s="417" t="s">
        <v>9198</v>
      </c>
      <c r="D3377" s="417" t="s">
        <v>224</v>
      </c>
      <c r="E3377" s="423">
        <v>0.4370597045243324</v>
      </c>
      <c r="F3377" s="423">
        <v>9.8954712163231151E-3</v>
      </c>
      <c r="G3377" s="422">
        <v>639.49939281390721</v>
      </c>
      <c r="H3377" s="417" t="s">
        <v>2616</v>
      </c>
      <c r="I3377" s="417" t="s">
        <v>1392</v>
      </c>
      <c r="J3377" s="417" t="s">
        <v>7898</v>
      </c>
      <c r="K3377" s="417" t="s">
        <v>9199</v>
      </c>
      <c r="L3377" s="417"/>
      <c r="M3377" s="417" t="s">
        <v>28840</v>
      </c>
    </row>
    <row r="3378" spans="1:13" x14ac:dyDescent="0.25">
      <c r="A3378" s="417" t="s">
        <v>3385</v>
      </c>
      <c r="B3378" s="417" t="s">
        <v>3405</v>
      </c>
      <c r="C3378" s="417" t="s">
        <v>9200</v>
      </c>
      <c r="D3378" s="417" t="s">
        <v>224</v>
      </c>
      <c r="E3378" s="423">
        <v>0.35968213277306671</v>
      </c>
      <c r="F3378" s="423">
        <v>3.1931863293233588E-2</v>
      </c>
      <c r="G3378" s="422">
        <v>566.25671721172887</v>
      </c>
      <c r="H3378" s="417" t="s">
        <v>2616</v>
      </c>
      <c r="I3378" s="417" t="s">
        <v>1392</v>
      </c>
      <c r="J3378" s="417" t="s">
        <v>7898</v>
      </c>
      <c r="K3378" s="417" t="s">
        <v>9201</v>
      </c>
      <c r="L3378" s="417"/>
      <c r="M3378" s="417" t="s">
        <v>28840</v>
      </c>
    </row>
    <row r="3379" spans="1:13" x14ac:dyDescent="0.25">
      <c r="A3379" s="417" t="s">
        <v>3385</v>
      </c>
      <c r="B3379" s="417" t="s">
        <v>3405</v>
      </c>
      <c r="C3379" s="417" t="s">
        <v>9202</v>
      </c>
      <c r="D3379" s="417" t="s">
        <v>224</v>
      </c>
      <c r="E3379" s="423">
        <v>0.26972794905788983</v>
      </c>
      <c r="F3379" s="423">
        <v>3.5702041152798819E-2</v>
      </c>
      <c r="G3379" s="422">
        <v>652.48800424918636</v>
      </c>
      <c r="H3379" s="417" t="s">
        <v>2616</v>
      </c>
      <c r="I3379" s="417" t="s">
        <v>1392</v>
      </c>
      <c r="J3379" s="417" t="s">
        <v>7898</v>
      </c>
      <c r="K3379" s="417" t="s">
        <v>9203</v>
      </c>
      <c r="L3379" s="417"/>
      <c r="M3379" s="417" t="s">
        <v>28840</v>
      </c>
    </row>
    <row r="3380" spans="1:13" x14ac:dyDescent="0.25">
      <c r="A3380" s="417" t="s">
        <v>3385</v>
      </c>
      <c r="B3380" s="417" t="s">
        <v>3405</v>
      </c>
      <c r="C3380" s="417" t="s">
        <v>9204</v>
      </c>
      <c r="D3380" s="417" t="s">
        <v>224</v>
      </c>
      <c r="E3380" s="423">
        <v>0.91246253079332684</v>
      </c>
      <c r="F3380" s="423">
        <v>6.1499683083080979E-2</v>
      </c>
      <c r="G3380" s="422">
        <v>1154.0022148578039</v>
      </c>
      <c r="H3380" s="417" t="s">
        <v>2616</v>
      </c>
      <c r="I3380" s="417" t="s">
        <v>1392</v>
      </c>
      <c r="J3380" s="417" t="s">
        <v>7898</v>
      </c>
      <c r="K3380" s="417" t="s">
        <v>9205</v>
      </c>
      <c r="L3380" s="417"/>
      <c r="M3380" s="417" t="s">
        <v>28840</v>
      </c>
    </row>
    <row r="3381" spans="1:13" x14ac:dyDescent="0.25">
      <c r="A3381" s="417" t="s">
        <v>3385</v>
      </c>
      <c r="B3381" s="417" t="s">
        <v>3405</v>
      </c>
      <c r="C3381" s="417" t="s">
        <v>9206</v>
      </c>
      <c r="D3381" s="417" t="s">
        <v>224</v>
      </c>
      <c r="E3381" s="423">
        <v>0.34208580571263292</v>
      </c>
      <c r="F3381" s="423">
        <v>2.2016559633018379E-2</v>
      </c>
      <c r="G3381" s="422">
        <v>511.68181346415338</v>
      </c>
      <c r="H3381" s="417" t="s">
        <v>2616</v>
      </c>
      <c r="I3381" s="417" t="s">
        <v>1392</v>
      </c>
      <c r="J3381" s="417" t="s">
        <v>7898</v>
      </c>
      <c r="K3381" s="417" t="s">
        <v>9207</v>
      </c>
      <c r="L3381" s="417"/>
      <c r="M3381" s="417" t="s">
        <v>28840</v>
      </c>
    </row>
    <row r="3382" spans="1:13" x14ac:dyDescent="0.25">
      <c r="A3382" s="417" t="s">
        <v>3385</v>
      </c>
      <c r="B3382" s="417" t="s">
        <v>3405</v>
      </c>
      <c r="C3382" s="417" t="s">
        <v>9208</v>
      </c>
      <c r="D3382" s="417" t="s">
        <v>224</v>
      </c>
      <c r="E3382" s="423">
        <v>0.59884283329653409</v>
      </c>
      <c r="F3382" s="423">
        <v>1.8705021584870111E-3</v>
      </c>
      <c r="G3382" s="422">
        <v>778.42007447596188</v>
      </c>
      <c r="H3382" s="417" t="s">
        <v>2616</v>
      </c>
      <c r="I3382" s="417" t="s">
        <v>1392</v>
      </c>
      <c r="J3382" s="417" t="s">
        <v>7898</v>
      </c>
      <c r="K3382" s="417" t="s">
        <v>9209</v>
      </c>
      <c r="L3382" s="417"/>
      <c r="M3382" s="417" t="s">
        <v>28840</v>
      </c>
    </row>
    <row r="3383" spans="1:13" x14ac:dyDescent="0.25">
      <c r="A3383" s="417" t="s">
        <v>3385</v>
      </c>
      <c r="B3383" s="417" t="s">
        <v>3405</v>
      </c>
      <c r="C3383" s="417" t="s">
        <v>9210</v>
      </c>
      <c r="D3383" s="417" t="s">
        <v>224</v>
      </c>
      <c r="E3383" s="423">
        <v>1.0512666491739191</v>
      </c>
      <c r="F3383" s="423">
        <v>2.205399675978803E-2</v>
      </c>
      <c r="G3383" s="422">
        <v>1634.186773695161</v>
      </c>
      <c r="H3383" s="417" t="s">
        <v>2616</v>
      </c>
      <c r="I3383" s="417" t="s">
        <v>1392</v>
      </c>
      <c r="J3383" s="417" t="s">
        <v>7898</v>
      </c>
      <c r="K3383" s="417" t="s">
        <v>9211</v>
      </c>
      <c r="L3383" s="417"/>
      <c r="M3383" s="417" t="s">
        <v>28840</v>
      </c>
    </row>
    <row r="3384" spans="1:13" x14ac:dyDescent="0.25">
      <c r="A3384" s="417" t="s">
        <v>3385</v>
      </c>
      <c r="B3384" s="417" t="s">
        <v>3405</v>
      </c>
      <c r="C3384" s="417" t="s">
        <v>9212</v>
      </c>
      <c r="D3384" s="417" t="s">
        <v>224</v>
      </c>
      <c r="E3384" s="423">
        <v>0.78142015630124695</v>
      </c>
      <c r="F3384" s="423">
        <v>2.7931020479527741E-3</v>
      </c>
      <c r="G3384" s="422">
        <v>1079.5270211771581</v>
      </c>
      <c r="H3384" s="417" t="s">
        <v>2616</v>
      </c>
      <c r="I3384" s="417" t="s">
        <v>1392</v>
      </c>
      <c r="J3384" s="417" t="s">
        <v>7898</v>
      </c>
      <c r="K3384" s="417" t="s">
        <v>9213</v>
      </c>
      <c r="L3384" s="417"/>
      <c r="M3384" s="417" t="s">
        <v>28840</v>
      </c>
    </row>
    <row r="3385" spans="1:13" x14ac:dyDescent="0.25">
      <c r="A3385" s="417" t="s">
        <v>3385</v>
      </c>
      <c r="B3385" s="417" t="s">
        <v>3405</v>
      </c>
      <c r="C3385" s="417" t="s">
        <v>9214</v>
      </c>
      <c r="D3385" s="417" t="s">
        <v>224</v>
      </c>
      <c r="E3385" s="423">
        <v>0.59897541430529566</v>
      </c>
      <c r="F3385" s="423">
        <v>3.1427631899028589E-3</v>
      </c>
      <c r="G3385" s="422">
        <v>817.02229359688647</v>
      </c>
      <c r="H3385" s="417" t="s">
        <v>2616</v>
      </c>
      <c r="I3385" s="417" t="s">
        <v>1392</v>
      </c>
      <c r="J3385" s="417" t="s">
        <v>7898</v>
      </c>
      <c r="K3385" s="417" t="s">
        <v>9215</v>
      </c>
      <c r="L3385" s="417"/>
      <c r="M3385" s="417" t="s">
        <v>28840</v>
      </c>
    </row>
    <row r="3386" spans="1:13" x14ac:dyDescent="0.25">
      <c r="A3386" s="417" t="s">
        <v>3385</v>
      </c>
      <c r="B3386" s="417" t="s">
        <v>3405</v>
      </c>
      <c r="C3386" s="417" t="s">
        <v>9216</v>
      </c>
      <c r="D3386" s="417" t="s">
        <v>224</v>
      </c>
      <c r="E3386" s="423">
        <v>3.6684114626740691E-2</v>
      </c>
      <c r="F3386" s="423">
        <v>2.6518736142475022E-4</v>
      </c>
      <c r="G3386" s="422">
        <v>91.949898367616299</v>
      </c>
      <c r="H3386" s="417" t="s">
        <v>2616</v>
      </c>
      <c r="I3386" s="417" t="s">
        <v>1392</v>
      </c>
      <c r="J3386" s="417" t="s">
        <v>7898</v>
      </c>
      <c r="K3386" s="417" t="s">
        <v>9217</v>
      </c>
      <c r="L3386" s="417"/>
      <c r="M3386" s="417" t="s">
        <v>28840</v>
      </c>
    </row>
    <row r="3387" spans="1:13" x14ac:dyDescent="0.25">
      <c r="A3387" s="417" t="s">
        <v>3385</v>
      </c>
      <c r="B3387" s="417" t="s">
        <v>3405</v>
      </c>
      <c r="C3387" s="417" t="s">
        <v>9218</v>
      </c>
      <c r="D3387" s="417" t="s">
        <v>224</v>
      </c>
      <c r="E3387" s="423">
        <v>0.3453618659377265</v>
      </c>
      <c r="F3387" s="423">
        <v>3.8403561043436292E-2</v>
      </c>
      <c r="G3387" s="422">
        <v>540.68280982279282</v>
      </c>
      <c r="H3387" s="417" t="s">
        <v>2616</v>
      </c>
      <c r="I3387" s="417" t="s">
        <v>1392</v>
      </c>
      <c r="J3387" s="417" t="s">
        <v>7898</v>
      </c>
      <c r="K3387" s="417" t="s">
        <v>9219</v>
      </c>
      <c r="L3387" s="417"/>
      <c r="M3387" s="417" t="s">
        <v>28840</v>
      </c>
    </row>
    <row r="3388" spans="1:13" x14ac:dyDescent="0.25">
      <c r="A3388" s="417" t="s">
        <v>3385</v>
      </c>
      <c r="B3388" s="417" t="s">
        <v>3405</v>
      </c>
      <c r="C3388" s="417" t="s">
        <v>9220</v>
      </c>
      <c r="D3388" s="417" t="s">
        <v>224</v>
      </c>
      <c r="E3388" s="423">
        <v>0.59384558794029196</v>
      </c>
      <c r="F3388" s="423">
        <v>3.4551718522921847E-2</v>
      </c>
      <c r="G3388" s="422">
        <v>872.15794063235694</v>
      </c>
      <c r="H3388" s="417" t="s">
        <v>2616</v>
      </c>
      <c r="I3388" s="417" t="s">
        <v>1392</v>
      </c>
      <c r="J3388" s="417" t="s">
        <v>7898</v>
      </c>
      <c r="K3388" s="417" t="s">
        <v>9221</v>
      </c>
      <c r="L3388" s="417"/>
      <c r="M3388" s="417" t="s">
        <v>28840</v>
      </c>
    </row>
    <row r="3389" spans="1:13" x14ac:dyDescent="0.25">
      <c r="A3389" s="417" t="s">
        <v>3385</v>
      </c>
      <c r="B3389" s="417" t="s">
        <v>3405</v>
      </c>
      <c r="C3389" s="417" t="s">
        <v>9222</v>
      </c>
      <c r="D3389" s="417" t="s">
        <v>224</v>
      </c>
      <c r="E3389" s="423">
        <v>0.57579039619426919</v>
      </c>
      <c r="F3389" s="423">
        <v>1.5239223201573509E-2</v>
      </c>
      <c r="G3389" s="422">
        <v>958.68974405488711</v>
      </c>
      <c r="H3389" s="417" t="s">
        <v>2616</v>
      </c>
      <c r="I3389" s="417" t="s">
        <v>1392</v>
      </c>
      <c r="J3389" s="417" t="s">
        <v>7898</v>
      </c>
      <c r="K3389" s="417" t="s">
        <v>9223</v>
      </c>
      <c r="L3389" s="417"/>
      <c r="M3389" s="417" t="s">
        <v>28840</v>
      </c>
    </row>
    <row r="3390" spans="1:13" x14ac:dyDescent="0.25">
      <c r="A3390" s="417" t="s">
        <v>3385</v>
      </c>
      <c r="B3390" s="417" t="s">
        <v>3405</v>
      </c>
      <c r="C3390" s="417" t="s">
        <v>9224</v>
      </c>
      <c r="D3390" s="417" t="s">
        <v>224</v>
      </c>
      <c r="E3390" s="423">
        <v>0.92487719600817142</v>
      </c>
      <c r="F3390" s="423">
        <v>2.954995523286731E-3</v>
      </c>
      <c r="G3390" s="422">
        <v>1271.7376656968879</v>
      </c>
      <c r="H3390" s="417" t="s">
        <v>2616</v>
      </c>
      <c r="I3390" s="417" t="s">
        <v>1392</v>
      </c>
      <c r="J3390" s="417" t="s">
        <v>7898</v>
      </c>
      <c r="K3390" s="417" t="s">
        <v>9225</v>
      </c>
      <c r="L3390" s="417"/>
      <c r="M3390" s="417" t="s">
        <v>28840</v>
      </c>
    </row>
    <row r="3391" spans="1:13" x14ac:dyDescent="0.25">
      <c r="A3391" s="417" t="s">
        <v>3385</v>
      </c>
      <c r="B3391" s="417" t="s">
        <v>3405</v>
      </c>
      <c r="C3391" s="417" t="s">
        <v>9226</v>
      </c>
      <c r="D3391" s="417" t="s">
        <v>224</v>
      </c>
      <c r="E3391" s="423">
        <v>0.20508776953837859</v>
      </c>
      <c r="F3391" s="423">
        <v>5.2944532357979968E-2</v>
      </c>
      <c r="G3391" s="422">
        <v>411.08564168340303</v>
      </c>
      <c r="H3391" s="417" t="s">
        <v>2616</v>
      </c>
      <c r="I3391" s="417" t="s">
        <v>1392</v>
      </c>
      <c r="J3391" s="417" t="s">
        <v>7898</v>
      </c>
      <c r="K3391" s="417" t="s">
        <v>9227</v>
      </c>
      <c r="L3391" s="417"/>
      <c r="M3391" s="417" t="s">
        <v>28840</v>
      </c>
    </row>
    <row r="3392" spans="1:13" x14ac:dyDescent="0.25">
      <c r="A3392" s="417" t="s">
        <v>3385</v>
      </c>
      <c r="B3392" s="417" t="s">
        <v>3405</v>
      </c>
      <c r="C3392" s="417" t="s">
        <v>9228</v>
      </c>
      <c r="D3392" s="417" t="s">
        <v>224</v>
      </c>
      <c r="E3392" s="423">
        <v>0.36000372714159679</v>
      </c>
      <c r="F3392" s="423">
        <v>6.4331610327199015E-2</v>
      </c>
      <c r="G3392" s="422">
        <v>660.46970071842281</v>
      </c>
      <c r="H3392" s="417" t="s">
        <v>2616</v>
      </c>
      <c r="I3392" s="417" t="s">
        <v>1392</v>
      </c>
      <c r="J3392" s="417" t="s">
        <v>7898</v>
      </c>
      <c r="K3392" s="417" t="s">
        <v>9229</v>
      </c>
      <c r="L3392" s="417"/>
      <c r="M3392" s="417" t="s">
        <v>28840</v>
      </c>
    </row>
    <row r="3393" spans="1:13" x14ac:dyDescent="0.25">
      <c r="A3393" s="417" t="s">
        <v>3385</v>
      </c>
      <c r="B3393" s="417" t="s">
        <v>3405</v>
      </c>
      <c r="C3393" s="417" t="s">
        <v>9230</v>
      </c>
      <c r="D3393" s="417" t="s">
        <v>224</v>
      </c>
      <c r="E3393" s="423">
        <v>0.20784864484010351</v>
      </c>
      <c r="F3393" s="423">
        <v>9.7447337829977707E-2</v>
      </c>
      <c r="G3393" s="422">
        <v>410.14820030883908</v>
      </c>
      <c r="H3393" s="417" t="s">
        <v>2616</v>
      </c>
      <c r="I3393" s="417" t="s">
        <v>1392</v>
      </c>
      <c r="J3393" s="417" t="s">
        <v>7898</v>
      </c>
      <c r="K3393" s="417" t="s">
        <v>9231</v>
      </c>
      <c r="L3393" s="417"/>
      <c r="M3393" s="417" t="s">
        <v>28840</v>
      </c>
    </row>
    <row r="3394" spans="1:13" x14ac:dyDescent="0.25">
      <c r="A3394" s="417" t="s">
        <v>3385</v>
      </c>
      <c r="B3394" s="417" t="s">
        <v>3405</v>
      </c>
      <c r="C3394" s="417" t="s">
        <v>9232</v>
      </c>
      <c r="D3394" s="417" t="s">
        <v>224</v>
      </c>
      <c r="E3394" s="423">
        <v>0.90717044960467808</v>
      </c>
      <c r="F3394" s="423">
        <v>3.3716558468901759E-3</v>
      </c>
      <c r="G3394" s="422">
        <v>1132.6259022299239</v>
      </c>
      <c r="H3394" s="417" t="s">
        <v>2616</v>
      </c>
      <c r="I3394" s="417" t="s">
        <v>1392</v>
      </c>
      <c r="J3394" s="417" t="s">
        <v>7898</v>
      </c>
      <c r="K3394" s="417" t="s">
        <v>9233</v>
      </c>
      <c r="L3394" s="417"/>
      <c r="M3394" s="417" t="s">
        <v>28840</v>
      </c>
    </row>
    <row r="3395" spans="1:13" x14ac:dyDescent="0.25">
      <c r="A3395" s="417" t="s">
        <v>3385</v>
      </c>
      <c r="B3395" s="417" t="s">
        <v>3405</v>
      </c>
      <c r="C3395" s="417" t="s">
        <v>9234</v>
      </c>
      <c r="D3395" s="417" t="s">
        <v>224</v>
      </c>
      <c r="E3395" s="423">
        <v>0.72657205917003842</v>
      </c>
      <c r="F3395" s="423">
        <v>1.461622301315265E-2</v>
      </c>
      <c r="G3395" s="422">
        <v>1172.374163225438</v>
      </c>
      <c r="H3395" s="417" t="s">
        <v>2616</v>
      </c>
      <c r="I3395" s="417" t="s">
        <v>1392</v>
      </c>
      <c r="J3395" s="417" t="s">
        <v>7898</v>
      </c>
      <c r="K3395" s="417" t="s">
        <v>9235</v>
      </c>
      <c r="L3395" s="417"/>
      <c r="M3395" s="417" t="s">
        <v>28840</v>
      </c>
    </row>
    <row r="3396" spans="1:13" x14ac:dyDescent="0.25">
      <c r="A3396" s="417" t="s">
        <v>3385</v>
      </c>
      <c r="B3396" s="417" t="s">
        <v>3405</v>
      </c>
      <c r="C3396" s="417" t="s">
        <v>9236</v>
      </c>
      <c r="D3396" s="417" t="s">
        <v>224</v>
      </c>
      <c r="E3396" s="423">
        <v>0.59723793324674745</v>
      </c>
      <c r="F3396" s="423">
        <v>1.0563106276982939E-2</v>
      </c>
      <c r="G3396" s="422">
        <v>849.30497312848263</v>
      </c>
      <c r="H3396" s="417" t="s">
        <v>2616</v>
      </c>
      <c r="I3396" s="417" t="s">
        <v>1392</v>
      </c>
      <c r="J3396" s="417" t="s">
        <v>7898</v>
      </c>
      <c r="K3396" s="417" t="s">
        <v>9237</v>
      </c>
      <c r="L3396" s="417"/>
      <c r="M3396" s="417" t="s">
        <v>28840</v>
      </c>
    </row>
    <row r="3397" spans="1:13" x14ac:dyDescent="0.25">
      <c r="A3397" s="417" t="s">
        <v>3385</v>
      </c>
      <c r="B3397" s="417" t="s">
        <v>3405</v>
      </c>
      <c r="C3397" s="417" t="s">
        <v>9238</v>
      </c>
      <c r="D3397" s="417" t="s">
        <v>224</v>
      </c>
      <c r="E3397" s="423">
        <v>0.81177200793028603</v>
      </c>
      <c r="F3397" s="423">
        <v>8.5504929491784232E-3</v>
      </c>
      <c r="G3397" s="422">
        <v>1045.9084531375499</v>
      </c>
      <c r="H3397" s="417" t="s">
        <v>2616</v>
      </c>
      <c r="I3397" s="417" t="s">
        <v>1392</v>
      </c>
      <c r="J3397" s="417" t="s">
        <v>7898</v>
      </c>
      <c r="K3397" s="417" t="s">
        <v>9239</v>
      </c>
      <c r="L3397" s="417"/>
      <c r="M3397" s="417" t="s">
        <v>28840</v>
      </c>
    </row>
    <row r="3398" spans="1:13" x14ac:dyDescent="0.25">
      <c r="A3398" s="417" t="s">
        <v>3385</v>
      </c>
      <c r="B3398" s="417" t="s">
        <v>3405</v>
      </c>
      <c r="C3398" s="417" t="s">
        <v>9240</v>
      </c>
      <c r="D3398" s="417" t="s">
        <v>224</v>
      </c>
      <c r="E3398" s="423">
        <v>0.51457103888040856</v>
      </c>
      <c r="F3398" s="423">
        <v>2.5650884014924609E-3</v>
      </c>
      <c r="G3398" s="422">
        <v>697.21935212825235</v>
      </c>
      <c r="H3398" s="417" t="s">
        <v>2616</v>
      </c>
      <c r="I3398" s="417" t="s">
        <v>1392</v>
      </c>
      <c r="J3398" s="417" t="s">
        <v>7898</v>
      </c>
      <c r="K3398" s="417" t="s">
        <v>9241</v>
      </c>
      <c r="L3398" s="417"/>
      <c r="M3398" s="417" t="s">
        <v>28840</v>
      </c>
    </row>
    <row r="3399" spans="1:13" x14ac:dyDescent="0.25">
      <c r="A3399" s="417" t="s">
        <v>3385</v>
      </c>
      <c r="B3399" s="417" t="s">
        <v>3405</v>
      </c>
      <c r="C3399" s="417" t="s">
        <v>9242</v>
      </c>
      <c r="D3399" s="417" t="s">
        <v>224</v>
      </c>
      <c r="E3399" s="423">
        <v>0.2948281683417342</v>
      </c>
      <c r="F3399" s="423">
        <v>4.4092837142056938E-2</v>
      </c>
      <c r="G3399" s="422">
        <v>463.22300445363322</v>
      </c>
      <c r="H3399" s="417" t="s">
        <v>2616</v>
      </c>
      <c r="I3399" s="417" t="s">
        <v>1392</v>
      </c>
      <c r="J3399" s="417" t="s">
        <v>7898</v>
      </c>
      <c r="K3399" s="417" t="s">
        <v>9243</v>
      </c>
      <c r="L3399" s="417"/>
      <c r="M3399" s="417" t="s">
        <v>28840</v>
      </c>
    </row>
    <row r="3400" spans="1:13" x14ac:dyDescent="0.25">
      <c r="A3400" s="417" t="s">
        <v>3385</v>
      </c>
      <c r="B3400" s="417" t="s">
        <v>3405</v>
      </c>
      <c r="C3400" s="417" t="s">
        <v>9244</v>
      </c>
      <c r="D3400" s="417" t="s">
        <v>224</v>
      </c>
      <c r="E3400" s="423">
        <v>5.8382221016018643E-2</v>
      </c>
      <c r="F3400" s="423">
        <v>5.7788514773651541E-3</v>
      </c>
      <c r="G3400" s="422">
        <v>136.68792779070759</v>
      </c>
      <c r="H3400" s="417" t="s">
        <v>2616</v>
      </c>
      <c r="I3400" s="417" t="s">
        <v>1392</v>
      </c>
      <c r="J3400" s="417" t="s">
        <v>7898</v>
      </c>
      <c r="K3400" s="417" t="s">
        <v>9245</v>
      </c>
      <c r="L3400" s="417"/>
      <c r="M3400" s="417" t="s">
        <v>28840</v>
      </c>
    </row>
    <row r="3401" spans="1:13" x14ac:dyDescent="0.25">
      <c r="A3401" s="417" t="s">
        <v>3385</v>
      </c>
      <c r="B3401" s="417" t="s">
        <v>3405</v>
      </c>
      <c r="C3401" s="417" t="s">
        <v>9246</v>
      </c>
      <c r="D3401" s="417" t="s">
        <v>224</v>
      </c>
      <c r="E3401" s="423">
        <v>0.13097740396204111</v>
      </c>
      <c r="F3401" s="423">
        <v>1.382708157890682E-2</v>
      </c>
      <c r="G3401" s="422">
        <v>286.7918845227357</v>
      </c>
      <c r="H3401" s="417" t="s">
        <v>2616</v>
      </c>
      <c r="I3401" s="417" t="s">
        <v>1392</v>
      </c>
      <c r="J3401" s="417" t="s">
        <v>7898</v>
      </c>
      <c r="K3401" s="417" t="s">
        <v>9247</v>
      </c>
      <c r="L3401" s="417"/>
      <c r="M3401" s="417" t="s">
        <v>28840</v>
      </c>
    </row>
    <row r="3402" spans="1:13" x14ac:dyDescent="0.25">
      <c r="A3402" s="417" t="s">
        <v>3385</v>
      </c>
      <c r="B3402" s="417" t="s">
        <v>3405</v>
      </c>
      <c r="C3402" s="417" t="s">
        <v>9248</v>
      </c>
      <c r="D3402" s="417" t="s">
        <v>224</v>
      </c>
      <c r="E3402" s="423">
        <v>0.3015860424479837</v>
      </c>
      <c r="F3402" s="423">
        <v>9.6463701799845113E-3</v>
      </c>
      <c r="G3402" s="422">
        <v>434.90617300434752</v>
      </c>
      <c r="H3402" s="417" t="s">
        <v>2616</v>
      </c>
      <c r="I3402" s="417" t="s">
        <v>1392</v>
      </c>
      <c r="J3402" s="417" t="s">
        <v>7898</v>
      </c>
      <c r="K3402" s="417" t="s">
        <v>9249</v>
      </c>
      <c r="L3402" s="417"/>
      <c r="M3402" s="417" t="s">
        <v>28840</v>
      </c>
    </row>
    <row r="3403" spans="1:13" x14ac:dyDescent="0.25">
      <c r="A3403" s="417" t="s">
        <v>3385</v>
      </c>
      <c r="B3403" s="417" t="s">
        <v>3405</v>
      </c>
      <c r="C3403" s="417" t="s">
        <v>9250</v>
      </c>
      <c r="D3403" s="417" t="s">
        <v>224</v>
      </c>
      <c r="E3403" s="423">
        <v>0.88510641620960784</v>
      </c>
      <c r="F3403" s="423">
        <v>1.2817572857687859E-2</v>
      </c>
      <c r="G3403" s="422">
        <v>1116.89943070201</v>
      </c>
      <c r="H3403" s="417" t="s">
        <v>2616</v>
      </c>
      <c r="I3403" s="417" t="s">
        <v>1392</v>
      </c>
      <c r="J3403" s="417" t="s">
        <v>7898</v>
      </c>
      <c r="K3403" s="417" t="s">
        <v>9251</v>
      </c>
      <c r="L3403" s="417"/>
      <c r="M3403" s="417" t="s">
        <v>28840</v>
      </c>
    </row>
    <row r="3404" spans="1:13" x14ac:dyDescent="0.25">
      <c r="A3404" s="417" t="s">
        <v>3385</v>
      </c>
      <c r="B3404" s="417" t="s">
        <v>3405</v>
      </c>
      <c r="C3404" s="417" t="s">
        <v>9252</v>
      </c>
      <c r="D3404" s="417" t="s">
        <v>224</v>
      </c>
      <c r="E3404" s="423">
        <v>0.58510023846263648</v>
      </c>
      <c r="F3404" s="423">
        <v>1.263100770703097E-2</v>
      </c>
      <c r="G3404" s="422">
        <v>936.80265336921411</v>
      </c>
      <c r="H3404" s="417" t="s">
        <v>2616</v>
      </c>
      <c r="I3404" s="417" t="s">
        <v>1392</v>
      </c>
      <c r="J3404" s="417" t="s">
        <v>7898</v>
      </c>
      <c r="K3404" s="417" t="s">
        <v>9253</v>
      </c>
      <c r="L3404" s="417"/>
      <c r="M3404" s="417" t="s">
        <v>28840</v>
      </c>
    </row>
    <row r="3405" spans="1:13" x14ac:dyDescent="0.25">
      <c r="A3405" s="417" t="s">
        <v>3385</v>
      </c>
      <c r="B3405" s="417" t="s">
        <v>3405</v>
      </c>
      <c r="C3405" s="417" t="s">
        <v>9254</v>
      </c>
      <c r="D3405" s="417" t="s">
        <v>224</v>
      </c>
      <c r="E3405" s="423">
        <v>0.76306088924487236</v>
      </c>
      <c r="F3405" s="423">
        <v>4.1271221609774908E-2</v>
      </c>
      <c r="G3405" s="422">
        <v>1035.213094036807</v>
      </c>
      <c r="H3405" s="417" t="s">
        <v>2616</v>
      </c>
      <c r="I3405" s="417" t="s">
        <v>1392</v>
      </c>
      <c r="J3405" s="417" t="s">
        <v>7898</v>
      </c>
      <c r="K3405" s="417" t="s">
        <v>9255</v>
      </c>
      <c r="L3405" s="417"/>
      <c r="M3405" s="417" t="s">
        <v>28840</v>
      </c>
    </row>
    <row r="3406" spans="1:13" x14ac:dyDescent="0.25">
      <c r="A3406" s="417" t="s">
        <v>3385</v>
      </c>
      <c r="B3406" s="417" t="s">
        <v>3405</v>
      </c>
      <c r="C3406" s="417" t="s">
        <v>9256</v>
      </c>
      <c r="D3406" s="417" t="s">
        <v>224</v>
      </c>
      <c r="E3406" s="423">
        <v>0.20253762437777831</v>
      </c>
      <c r="F3406" s="423">
        <v>5.0146919038978298E-2</v>
      </c>
      <c r="G3406" s="422">
        <v>383.84491722616082</v>
      </c>
      <c r="H3406" s="417" t="s">
        <v>2616</v>
      </c>
      <c r="I3406" s="417" t="s">
        <v>1392</v>
      </c>
      <c r="J3406" s="417" t="s">
        <v>7898</v>
      </c>
      <c r="K3406" s="417" t="s">
        <v>9257</v>
      </c>
      <c r="L3406" s="417"/>
      <c r="M3406" s="417" t="s">
        <v>28840</v>
      </c>
    </row>
    <row r="3407" spans="1:13" x14ac:dyDescent="0.25">
      <c r="A3407" s="417" t="s">
        <v>3385</v>
      </c>
      <c r="B3407" s="417" t="s">
        <v>3405</v>
      </c>
      <c r="C3407" s="417" t="s">
        <v>9258</v>
      </c>
      <c r="D3407" s="417" t="s">
        <v>224</v>
      </c>
      <c r="E3407" s="423">
        <v>0.54037453181106232</v>
      </c>
      <c r="F3407" s="423">
        <v>1.5323918818788121E-3</v>
      </c>
      <c r="G3407" s="422">
        <v>709.21368792074691</v>
      </c>
      <c r="H3407" s="417" t="s">
        <v>2616</v>
      </c>
      <c r="I3407" s="417" t="s">
        <v>1392</v>
      </c>
      <c r="J3407" s="417" t="s">
        <v>7898</v>
      </c>
      <c r="K3407" s="417" t="s">
        <v>9259</v>
      </c>
      <c r="L3407" s="417"/>
      <c r="M3407" s="417" t="s">
        <v>28840</v>
      </c>
    </row>
    <row r="3408" spans="1:13" x14ac:dyDescent="0.25">
      <c r="A3408" s="417" t="s">
        <v>3385</v>
      </c>
      <c r="B3408" s="417" t="s">
        <v>3405</v>
      </c>
      <c r="C3408" s="417" t="s">
        <v>9260</v>
      </c>
      <c r="D3408" s="417" t="s">
        <v>224</v>
      </c>
      <c r="E3408" s="423">
        <v>0.75730684483165478</v>
      </c>
      <c r="F3408" s="423">
        <v>3.424815671142202E-3</v>
      </c>
      <c r="G3408" s="422">
        <v>971.64628205772942</v>
      </c>
      <c r="H3408" s="417" t="s">
        <v>2616</v>
      </c>
      <c r="I3408" s="417" t="s">
        <v>1392</v>
      </c>
      <c r="J3408" s="417" t="s">
        <v>7898</v>
      </c>
      <c r="K3408" s="417" t="s">
        <v>9261</v>
      </c>
      <c r="L3408" s="417"/>
      <c r="M3408" s="417" t="s">
        <v>28840</v>
      </c>
    </row>
    <row r="3409" spans="1:13" x14ac:dyDescent="0.25">
      <c r="A3409" s="417" t="s">
        <v>3385</v>
      </c>
      <c r="B3409" s="417" t="s">
        <v>3405</v>
      </c>
      <c r="C3409" s="417" t="s">
        <v>9262</v>
      </c>
      <c r="D3409" s="417" t="s">
        <v>224</v>
      </c>
      <c r="E3409" s="423">
        <v>0.75959158725511622</v>
      </c>
      <c r="F3409" s="423">
        <v>1.954230156374423E-2</v>
      </c>
      <c r="G3409" s="422">
        <v>1074.340017688015</v>
      </c>
      <c r="H3409" s="417" t="s">
        <v>2616</v>
      </c>
      <c r="I3409" s="417" t="s">
        <v>1392</v>
      </c>
      <c r="J3409" s="417" t="s">
        <v>7898</v>
      </c>
      <c r="K3409" s="417" t="s">
        <v>9263</v>
      </c>
      <c r="L3409" s="417"/>
      <c r="M3409" s="417" t="s">
        <v>28840</v>
      </c>
    </row>
    <row r="3410" spans="1:13" x14ac:dyDescent="0.25">
      <c r="A3410" s="417" t="s">
        <v>3385</v>
      </c>
      <c r="B3410" s="417" t="s">
        <v>3405</v>
      </c>
      <c r="C3410" s="417" t="s">
        <v>9264</v>
      </c>
      <c r="D3410" s="417" t="s">
        <v>224</v>
      </c>
      <c r="E3410" s="423">
        <v>0.34442461735039781</v>
      </c>
      <c r="F3410" s="423">
        <v>3.057886675561361E-2</v>
      </c>
      <c r="G3410" s="422">
        <v>679.40404678732625</v>
      </c>
      <c r="H3410" s="417" t="s">
        <v>2616</v>
      </c>
      <c r="I3410" s="417" t="s">
        <v>1392</v>
      </c>
      <c r="J3410" s="417" t="s">
        <v>7898</v>
      </c>
      <c r="K3410" s="417" t="s">
        <v>9265</v>
      </c>
      <c r="L3410" s="417"/>
      <c r="M3410" s="417" t="s">
        <v>28840</v>
      </c>
    </row>
    <row r="3411" spans="1:13" x14ac:dyDescent="0.25">
      <c r="A3411" s="417" t="s">
        <v>3385</v>
      </c>
      <c r="B3411" s="417" t="s">
        <v>3405</v>
      </c>
      <c r="C3411" s="417" t="s">
        <v>9266</v>
      </c>
      <c r="D3411" s="417" t="s">
        <v>224</v>
      </c>
      <c r="E3411" s="423">
        <v>0.29732536798173542</v>
      </c>
      <c r="F3411" s="423">
        <v>4.5482680395473277E-2</v>
      </c>
      <c r="G3411" s="422">
        <v>468.12561761601648</v>
      </c>
      <c r="H3411" s="417" t="s">
        <v>2616</v>
      </c>
      <c r="I3411" s="417" t="s">
        <v>1392</v>
      </c>
      <c r="J3411" s="417" t="s">
        <v>7898</v>
      </c>
      <c r="K3411" s="417" t="s">
        <v>9267</v>
      </c>
      <c r="L3411" s="417"/>
      <c r="M3411" s="417" t="s">
        <v>28840</v>
      </c>
    </row>
    <row r="3412" spans="1:13" x14ac:dyDescent="0.25">
      <c r="A3412" s="417" t="s">
        <v>3385</v>
      </c>
      <c r="B3412" s="417" t="s">
        <v>3405</v>
      </c>
      <c r="C3412" s="417" t="s">
        <v>9268</v>
      </c>
      <c r="D3412" s="417" t="s">
        <v>224</v>
      </c>
      <c r="E3412" s="423">
        <v>0.67215489318941246</v>
      </c>
      <c r="F3412" s="423">
        <v>2.627652160586759E-3</v>
      </c>
      <c r="G3412" s="422">
        <v>940.00538736464159</v>
      </c>
      <c r="H3412" s="417" t="s">
        <v>2616</v>
      </c>
      <c r="I3412" s="417" t="s">
        <v>1392</v>
      </c>
      <c r="J3412" s="417" t="s">
        <v>7898</v>
      </c>
      <c r="K3412" s="417" t="s">
        <v>9269</v>
      </c>
      <c r="L3412" s="417"/>
      <c r="M3412" s="417" t="s">
        <v>28840</v>
      </c>
    </row>
    <row r="3413" spans="1:13" x14ac:dyDescent="0.25">
      <c r="A3413" s="417" t="s">
        <v>3385</v>
      </c>
      <c r="B3413" s="417" t="s">
        <v>3405</v>
      </c>
      <c r="C3413" s="417" t="s">
        <v>9270</v>
      </c>
      <c r="D3413" s="417" t="s">
        <v>224</v>
      </c>
      <c r="E3413" s="423">
        <v>0.40901408930708938</v>
      </c>
      <c r="F3413" s="423">
        <v>9.9934752902126125E-3</v>
      </c>
      <c r="G3413" s="422">
        <v>669.54433062250666</v>
      </c>
      <c r="H3413" s="417" t="s">
        <v>2616</v>
      </c>
      <c r="I3413" s="417" t="s">
        <v>1392</v>
      </c>
      <c r="J3413" s="417" t="s">
        <v>7898</v>
      </c>
      <c r="K3413" s="417" t="s">
        <v>9271</v>
      </c>
      <c r="L3413" s="417"/>
      <c r="M3413" s="417" t="s">
        <v>28840</v>
      </c>
    </row>
    <row r="3414" spans="1:13" x14ac:dyDescent="0.25">
      <c r="A3414" s="417" t="s">
        <v>3385</v>
      </c>
      <c r="B3414" s="417" t="s">
        <v>3405</v>
      </c>
      <c r="C3414" s="417" t="s">
        <v>9272</v>
      </c>
      <c r="D3414" s="417" t="s">
        <v>224</v>
      </c>
      <c r="E3414" s="423">
        <v>0.34247962514666191</v>
      </c>
      <c r="F3414" s="423">
        <v>9.22069584540159E-3</v>
      </c>
      <c r="G3414" s="422">
        <v>651.7383096064857</v>
      </c>
      <c r="H3414" s="417" t="s">
        <v>2616</v>
      </c>
      <c r="I3414" s="417" t="s">
        <v>1392</v>
      </c>
      <c r="J3414" s="417" t="s">
        <v>7898</v>
      </c>
      <c r="K3414" s="417" t="s">
        <v>9273</v>
      </c>
      <c r="L3414" s="417"/>
      <c r="M3414" s="417" t="s">
        <v>28840</v>
      </c>
    </row>
    <row r="3415" spans="1:13" x14ac:dyDescent="0.25">
      <c r="A3415" s="417" t="s">
        <v>3385</v>
      </c>
      <c r="B3415" s="417" t="s">
        <v>3405</v>
      </c>
      <c r="C3415" s="417" t="s">
        <v>9274</v>
      </c>
      <c r="D3415" s="417" t="s">
        <v>224</v>
      </c>
      <c r="E3415" s="423">
        <v>0.85577666512727557</v>
      </c>
      <c r="F3415" s="423">
        <v>8.729885886199034E-3</v>
      </c>
      <c r="G3415" s="422">
        <v>1227.7039596909699</v>
      </c>
      <c r="H3415" s="417" t="s">
        <v>2616</v>
      </c>
      <c r="I3415" s="417" t="s">
        <v>1392</v>
      </c>
      <c r="J3415" s="417" t="s">
        <v>7898</v>
      </c>
      <c r="K3415" s="417" t="s">
        <v>9275</v>
      </c>
      <c r="L3415" s="417"/>
      <c r="M3415" s="417" t="s">
        <v>28840</v>
      </c>
    </row>
    <row r="3416" spans="1:13" x14ac:dyDescent="0.25">
      <c r="A3416" s="417" t="s">
        <v>3385</v>
      </c>
      <c r="B3416" s="417" t="s">
        <v>3405</v>
      </c>
      <c r="C3416" s="417" t="s">
        <v>9276</v>
      </c>
      <c r="D3416" s="417" t="s">
        <v>224</v>
      </c>
      <c r="E3416" s="423">
        <v>0.51243811750457602</v>
      </c>
      <c r="F3416" s="423">
        <v>3.0035027317791528E-3</v>
      </c>
      <c r="G3416" s="422">
        <v>847.91774980129037</v>
      </c>
      <c r="H3416" s="417" t="s">
        <v>2616</v>
      </c>
      <c r="I3416" s="417" t="s">
        <v>1392</v>
      </c>
      <c r="J3416" s="417" t="s">
        <v>7898</v>
      </c>
      <c r="K3416" s="417" t="s">
        <v>9277</v>
      </c>
      <c r="L3416" s="417"/>
      <c r="M3416" s="417" t="s">
        <v>28840</v>
      </c>
    </row>
    <row r="3417" spans="1:13" x14ac:dyDescent="0.25">
      <c r="A3417" s="417" t="s">
        <v>3385</v>
      </c>
      <c r="B3417" s="417" t="s">
        <v>3405</v>
      </c>
      <c r="C3417" s="417" t="s">
        <v>9278</v>
      </c>
      <c r="D3417" s="417" t="s">
        <v>224</v>
      </c>
      <c r="E3417" s="423">
        <v>0.78341676055993836</v>
      </c>
      <c r="F3417" s="423">
        <v>2.5402421571789451E-3</v>
      </c>
      <c r="G3417" s="422">
        <v>1083.0039434368291</v>
      </c>
      <c r="H3417" s="417" t="s">
        <v>2616</v>
      </c>
      <c r="I3417" s="417" t="s">
        <v>1392</v>
      </c>
      <c r="J3417" s="417" t="s">
        <v>7898</v>
      </c>
      <c r="K3417" s="417" t="s">
        <v>9279</v>
      </c>
      <c r="L3417" s="417"/>
      <c r="M3417" s="417" t="s">
        <v>28840</v>
      </c>
    </row>
    <row r="3418" spans="1:13" x14ac:dyDescent="0.25">
      <c r="A3418" s="417" t="s">
        <v>3385</v>
      </c>
      <c r="B3418" s="417" t="s">
        <v>3405</v>
      </c>
      <c r="C3418" s="417" t="s">
        <v>9280</v>
      </c>
      <c r="D3418" s="417" t="s">
        <v>224</v>
      </c>
      <c r="E3418" s="423">
        <v>4.5750018968669523E-2</v>
      </c>
      <c r="F3418" s="423">
        <v>4.3706691613965898E-2</v>
      </c>
      <c r="G3418" s="422">
        <v>283.77698556436292</v>
      </c>
      <c r="H3418" s="417" t="s">
        <v>2616</v>
      </c>
      <c r="I3418" s="417" t="s">
        <v>1392</v>
      </c>
      <c r="J3418" s="417" t="s">
        <v>7898</v>
      </c>
      <c r="K3418" s="417" t="s">
        <v>9281</v>
      </c>
      <c r="L3418" s="417"/>
      <c r="M3418" s="417" t="s">
        <v>28840</v>
      </c>
    </row>
    <row r="3419" spans="1:13" x14ac:dyDescent="0.25">
      <c r="A3419" s="417" t="s">
        <v>3385</v>
      </c>
      <c r="B3419" s="417" t="s">
        <v>3405</v>
      </c>
      <c r="C3419" s="417" t="s">
        <v>9282</v>
      </c>
      <c r="D3419" s="417" t="s">
        <v>224</v>
      </c>
      <c r="E3419" s="423">
        <v>0.57190998197569876</v>
      </c>
      <c r="F3419" s="423">
        <v>8.2238665718842481E-3</v>
      </c>
      <c r="G3419" s="422">
        <v>822.72426774356677</v>
      </c>
      <c r="H3419" s="417" t="s">
        <v>2616</v>
      </c>
      <c r="I3419" s="417" t="s">
        <v>1392</v>
      </c>
      <c r="J3419" s="417" t="s">
        <v>7898</v>
      </c>
      <c r="K3419" s="417" t="s">
        <v>9283</v>
      </c>
      <c r="L3419" s="417"/>
      <c r="M3419" s="417" t="s">
        <v>28840</v>
      </c>
    </row>
    <row r="3420" spans="1:13" x14ac:dyDescent="0.25">
      <c r="A3420" s="417" t="s">
        <v>3385</v>
      </c>
      <c r="B3420" s="417" t="s">
        <v>3405</v>
      </c>
      <c r="C3420" s="417" t="s">
        <v>9284</v>
      </c>
      <c r="D3420" s="417" t="s">
        <v>224</v>
      </c>
      <c r="E3420" s="423">
        <v>0.27704145137626529</v>
      </c>
      <c r="F3420" s="423">
        <v>2.6875266012631339E-2</v>
      </c>
      <c r="G3420" s="422">
        <v>553.03470067989235</v>
      </c>
      <c r="H3420" s="417" t="s">
        <v>2616</v>
      </c>
      <c r="I3420" s="417" t="s">
        <v>1392</v>
      </c>
      <c r="J3420" s="417" t="s">
        <v>7898</v>
      </c>
      <c r="K3420" s="417" t="s">
        <v>9285</v>
      </c>
      <c r="L3420" s="417"/>
      <c r="M3420" s="417" t="s">
        <v>28840</v>
      </c>
    </row>
    <row r="3421" spans="1:13" x14ac:dyDescent="0.25">
      <c r="A3421" s="417" t="s">
        <v>3385</v>
      </c>
      <c r="B3421" s="417" t="s">
        <v>3405</v>
      </c>
      <c r="C3421" s="417" t="s">
        <v>9286</v>
      </c>
      <c r="D3421" s="417" t="s">
        <v>224</v>
      </c>
      <c r="E3421" s="423">
        <v>0.2589969348166582</v>
      </c>
      <c r="F3421" s="423">
        <v>4.5951936143811142E-2</v>
      </c>
      <c r="G3421" s="422">
        <v>729.47392687323406</v>
      </c>
      <c r="H3421" s="417" t="s">
        <v>2616</v>
      </c>
      <c r="I3421" s="417" t="s">
        <v>1392</v>
      </c>
      <c r="J3421" s="417" t="s">
        <v>7898</v>
      </c>
      <c r="K3421" s="417" t="s">
        <v>9287</v>
      </c>
      <c r="L3421" s="417"/>
      <c r="M3421" s="417" t="s">
        <v>28840</v>
      </c>
    </row>
    <row r="3422" spans="1:13" x14ac:dyDescent="0.25">
      <c r="A3422" s="417" t="s">
        <v>3385</v>
      </c>
      <c r="B3422" s="417" t="s">
        <v>3405</v>
      </c>
      <c r="C3422" s="417" t="s">
        <v>9288</v>
      </c>
      <c r="D3422" s="417" t="s">
        <v>224</v>
      </c>
      <c r="E3422" s="423">
        <v>0.65053500471975756</v>
      </c>
      <c r="F3422" s="423">
        <v>8.5538654009326129E-2</v>
      </c>
      <c r="G3422" s="422">
        <v>947.52848728082552</v>
      </c>
      <c r="H3422" s="417" t="s">
        <v>2616</v>
      </c>
      <c r="I3422" s="417" t="s">
        <v>1392</v>
      </c>
      <c r="J3422" s="417" t="s">
        <v>7898</v>
      </c>
      <c r="K3422" s="417" t="s">
        <v>9289</v>
      </c>
      <c r="L3422" s="417"/>
      <c r="M3422" s="417" t="s">
        <v>28840</v>
      </c>
    </row>
    <row r="3423" spans="1:13" x14ac:dyDescent="0.25">
      <c r="A3423" s="417" t="s">
        <v>3385</v>
      </c>
      <c r="B3423" s="417" t="s">
        <v>3405</v>
      </c>
      <c r="C3423" s="417" t="s">
        <v>9290</v>
      </c>
      <c r="D3423" s="417" t="s">
        <v>224</v>
      </c>
      <c r="E3423" s="423">
        <v>0.56711126829243763</v>
      </c>
      <c r="F3423" s="423">
        <v>1.699331081136572E-3</v>
      </c>
      <c r="G3423" s="422">
        <v>746.54331848751167</v>
      </c>
      <c r="H3423" s="417" t="s">
        <v>2616</v>
      </c>
      <c r="I3423" s="417" t="s">
        <v>1392</v>
      </c>
      <c r="J3423" s="417" t="s">
        <v>7898</v>
      </c>
      <c r="K3423" s="417" t="s">
        <v>9291</v>
      </c>
      <c r="L3423" s="417"/>
      <c r="M3423" s="417" t="s">
        <v>28840</v>
      </c>
    </row>
    <row r="3424" spans="1:13" x14ac:dyDescent="0.25">
      <c r="A3424" s="417" t="s">
        <v>3385</v>
      </c>
      <c r="B3424" s="417" t="s">
        <v>3405</v>
      </c>
      <c r="C3424" s="417" t="s">
        <v>9292</v>
      </c>
      <c r="D3424" s="417" t="s">
        <v>224</v>
      </c>
      <c r="E3424" s="423">
        <v>0.59615501700074458</v>
      </c>
      <c r="F3424" s="423">
        <v>2.3574582859585459E-2</v>
      </c>
      <c r="G3424" s="422">
        <v>792.27943134089423</v>
      </c>
      <c r="H3424" s="417" t="s">
        <v>2616</v>
      </c>
      <c r="I3424" s="417" t="s">
        <v>1392</v>
      </c>
      <c r="J3424" s="417" t="s">
        <v>7898</v>
      </c>
      <c r="K3424" s="417" t="s">
        <v>9293</v>
      </c>
      <c r="L3424" s="417"/>
      <c r="M3424" s="417" t="s">
        <v>28840</v>
      </c>
    </row>
    <row r="3425" spans="1:13" x14ac:dyDescent="0.25">
      <c r="A3425" s="417" t="s">
        <v>3385</v>
      </c>
      <c r="B3425" s="417" t="s">
        <v>3405</v>
      </c>
      <c r="C3425" s="417" t="s">
        <v>9294</v>
      </c>
      <c r="D3425" s="417" t="s">
        <v>224</v>
      </c>
      <c r="E3425" s="423">
        <v>0.6916494770006012</v>
      </c>
      <c r="F3425" s="423">
        <v>3.8533082029563849E-3</v>
      </c>
      <c r="G3425" s="422">
        <v>968.0073759406356</v>
      </c>
      <c r="H3425" s="417" t="s">
        <v>2616</v>
      </c>
      <c r="I3425" s="417" t="s">
        <v>1392</v>
      </c>
      <c r="J3425" s="417" t="s">
        <v>7898</v>
      </c>
      <c r="K3425" s="417" t="s">
        <v>9295</v>
      </c>
      <c r="L3425" s="417"/>
      <c r="M3425" s="417" t="s">
        <v>28840</v>
      </c>
    </row>
    <row r="3426" spans="1:13" x14ac:dyDescent="0.25">
      <c r="A3426" s="417" t="s">
        <v>3385</v>
      </c>
      <c r="B3426" s="417" t="s">
        <v>3405</v>
      </c>
      <c r="C3426" s="417" t="s">
        <v>9296</v>
      </c>
      <c r="D3426" s="417" t="s">
        <v>224</v>
      </c>
      <c r="E3426" s="423">
        <v>0.43166004876789982</v>
      </c>
      <c r="F3426" s="423">
        <v>7.5577462131865359E-3</v>
      </c>
      <c r="G3426" s="422">
        <v>584.50370872765779</v>
      </c>
      <c r="H3426" s="417" t="s">
        <v>2616</v>
      </c>
      <c r="I3426" s="417" t="s">
        <v>1392</v>
      </c>
      <c r="J3426" s="417" t="s">
        <v>7898</v>
      </c>
      <c r="K3426" s="417" t="s">
        <v>9297</v>
      </c>
      <c r="L3426" s="417"/>
      <c r="M3426" s="417" t="s">
        <v>28840</v>
      </c>
    </row>
    <row r="3427" spans="1:13" x14ac:dyDescent="0.25">
      <c r="A3427" s="417" t="s">
        <v>3385</v>
      </c>
      <c r="B3427" s="417" t="s">
        <v>3405</v>
      </c>
      <c r="C3427" s="417" t="s">
        <v>9298</v>
      </c>
      <c r="D3427" s="417" t="s">
        <v>224</v>
      </c>
      <c r="E3427" s="423">
        <v>0.35036608273029912</v>
      </c>
      <c r="F3427" s="423">
        <v>1.234935896471908E-2</v>
      </c>
      <c r="G3427" s="422">
        <v>820.76998417701111</v>
      </c>
      <c r="H3427" s="417" t="s">
        <v>2616</v>
      </c>
      <c r="I3427" s="417" t="s">
        <v>1392</v>
      </c>
      <c r="J3427" s="417" t="s">
        <v>7898</v>
      </c>
      <c r="K3427" s="417" t="s">
        <v>9299</v>
      </c>
      <c r="L3427" s="417"/>
      <c r="M3427" s="417" t="s">
        <v>28840</v>
      </c>
    </row>
    <row r="3428" spans="1:13" x14ac:dyDescent="0.25">
      <c r="A3428" s="417" t="s">
        <v>3385</v>
      </c>
      <c r="B3428" s="417" t="s">
        <v>3405</v>
      </c>
      <c r="C3428" s="417" t="s">
        <v>9300</v>
      </c>
      <c r="D3428" s="417" t="s">
        <v>224</v>
      </c>
      <c r="E3428" s="423">
        <v>0.44244758589395478</v>
      </c>
      <c r="F3428" s="423">
        <v>9.6514244685345814E-3</v>
      </c>
      <c r="G3428" s="422">
        <v>714.16285071468474</v>
      </c>
      <c r="H3428" s="417" t="s">
        <v>2616</v>
      </c>
      <c r="I3428" s="417" t="s">
        <v>1392</v>
      </c>
      <c r="J3428" s="417" t="s">
        <v>7898</v>
      </c>
      <c r="K3428" s="417" t="s">
        <v>9301</v>
      </c>
      <c r="L3428" s="417"/>
      <c r="M3428" s="417" t="s">
        <v>28840</v>
      </c>
    </row>
    <row r="3429" spans="1:13" x14ac:dyDescent="0.25">
      <c r="A3429" s="417" t="s">
        <v>3385</v>
      </c>
      <c r="B3429" s="417" t="s">
        <v>3405</v>
      </c>
      <c r="C3429" s="417" t="s">
        <v>9302</v>
      </c>
      <c r="D3429" s="417" t="s">
        <v>224</v>
      </c>
      <c r="E3429" s="423">
        <v>0.56901945552634547</v>
      </c>
      <c r="F3429" s="423">
        <v>1.0962143323366281E-2</v>
      </c>
      <c r="G3429" s="422">
        <v>739.72435999874915</v>
      </c>
      <c r="H3429" s="417" t="s">
        <v>2616</v>
      </c>
      <c r="I3429" s="417" t="s">
        <v>1392</v>
      </c>
      <c r="J3429" s="417" t="s">
        <v>7898</v>
      </c>
      <c r="K3429" s="417" t="s">
        <v>9303</v>
      </c>
      <c r="L3429" s="417"/>
      <c r="M3429" s="417" t="s">
        <v>28840</v>
      </c>
    </row>
    <row r="3430" spans="1:13" x14ac:dyDescent="0.25">
      <c r="A3430" s="417" t="s">
        <v>3385</v>
      </c>
      <c r="B3430" s="417" t="s">
        <v>3405</v>
      </c>
      <c r="C3430" s="417" t="s">
        <v>9304</v>
      </c>
      <c r="D3430" s="417" t="s">
        <v>224</v>
      </c>
      <c r="E3430" s="423">
        <v>1.1239470439834971</v>
      </c>
      <c r="F3430" s="423">
        <v>5.5995035876934326E-3</v>
      </c>
      <c r="G3430" s="422">
        <v>1393.48332122131</v>
      </c>
      <c r="H3430" s="417" t="s">
        <v>2616</v>
      </c>
      <c r="I3430" s="417" t="s">
        <v>1392</v>
      </c>
      <c r="J3430" s="417" t="s">
        <v>7898</v>
      </c>
      <c r="K3430" s="417" t="s">
        <v>9305</v>
      </c>
      <c r="L3430" s="417"/>
      <c r="M3430" s="417" t="s">
        <v>28840</v>
      </c>
    </row>
    <row r="3431" spans="1:13" x14ac:dyDescent="0.25">
      <c r="A3431" s="417" t="s">
        <v>3385</v>
      </c>
      <c r="B3431" s="417" t="s">
        <v>3405</v>
      </c>
      <c r="C3431" s="417" t="s">
        <v>9306</v>
      </c>
      <c r="D3431" s="417" t="s">
        <v>224</v>
      </c>
      <c r="E3431" s="423">
        <v>1.4563008490457731E-2</v>
      </c>
      <c r="F3431" s="423">
        <v>8.6212560296644782E-3</v>
      </c>
      <c r="G3431" s="422">
        <v>81.061832945546215</v>
      </c>
      <c r="H3431" s="417" t="s">
        <v>2616</v>
      </c>
      <c r="I3431" s="417" t="s">
        <v>1392</v>
      </c>
      <c r="J3431" s="417" t="s">
        <v>7898</v>
      </c>
      <c r="K3431" s="417" t="s">
        <v>9307</v>
      </c>
      <c r="L3431" s="417"/>
      <c r="M3431" s="417" t="s">
        <v>28840</v>
      </c>
    </row>
    <row r="3432" spans="1:13" x14ac:dyDescent="0.25">
      <c r="A3432" s="417" t="s">
        <v>3385</v>
      </c>
      <c r="B3432" s="417" t="s">
        <v>3405</v>
      </c>
      <c r="C3432" s="417" t="s">
        <v>9308</v>
      </c>
      <c r="D3432" s="417" t="s">
        <v>224</v>
      </c>
      <c r="E3432" s="423">
        <v>0.3590129646861997</v>
      </c>
      <c r="F3432" s="423">
        <v>0.65803909546658401</v>
      </c>
      <c r="G3432" s="422">
        <v>519.7073749255577</v>
      </c>
      <c r="H3432" s="417" t="s">
        <v>2616</v>
      </c>
      <c r="I3432" s="417" t="s">
        <v>1392</v>
      </c>
      <c r="J3432" s="417" t="s">
        <v>8063</v>
      </c>
      <c r="K3432" s="417" t="s">
        <v>9309</v>
      </c>
      <c r="L3432" s="417"/>
      <c r="M3432" s="417" t="s">
        <v>28840</v>
      </c>
    </row>
    <row r="3433" spans="1:13" x14ac:dyDescent="0.25">
      <c r="A3433" s="417" t="s">
        <v>3385</v>
      </c>
      <c r="B3433" s="417" t="s">
        <v>3405</v>
      </c>
      <c r="C3433" s="417" t="s">
        <v>9310</v>
      </c>
      <c r="D3433" s="417" t="s">
        <v>224</v>
      </c>
      <c r="E3433" s="423">
        <v>3.2060592967805071E-2</v>
      </c>
      <c r="F3433" s="423">
        <v>1.387067137842864E-2</v>
      </c>
      <c r="G3433" s="422">
        <v>298.042441978863</v>
      </c>
      <c r="H3433" s="417" t="s">
        <v>2616</v>
      </c>
      <c r="I3433" s="417" t="s">
        <v>1392</v>
      </c>
      <c r="J3433" s="417" t="s">
        <v>7898</v>
      </c>
      <c r="K3433" s="417" t="s">
        <v>9311</v>
      </c>
      <c r="L3433" s="417"/>
      <c r="M3433" s="417" t="s">
        <v>28840</v>
      </c>
    </row>
    <row r="3434" spans="1:13" x14ac:dyDescent="0.25">
      <c r="A3434" s="417" t="s">
        <v>3385</v>
      </c>
      <c r="B3434" s="417" t="s">
        <v>3405</v>
      </c>
      <c r="C3434" s="417" t="s">
        <v>9312</v>
      </c>
      <c r="D3434" s="417" t="s">
        <v>224</v>
      </c>
      <c r="E3434" s="423">
        <v>9.161066536692837E-2</v>
      </c>
      <c r="F3434" s="423">
        <v>8.9272136133202364E-3</v>
      </c>
      <c r="G3434" s="422">
        <v>506.02722953032958</v>
      </c>
      <c r="H3434" s="417" t="s">
        <v>2616</v>
      </c>
      <c r="I3434" s="417" t="s">
        <v>1392</v>
      </c>
      <c r="J3434" s="417" t="s">
        <v>8063</v>
      </c>
      <c r="K3434" s="417" t="s">
        <v>9313</v>
      </c>
      <c r="L3434" s="417"/>
      <c r="M3434" s="417" t="s">
        <v>28840</v>
      </c>
    </row>
    <row r="3435" spans="1:13" x14ac:dyDescent="0.25">
      <c r="A3435" s="417" t="s">
        <v>3385</v>
      </c>
      <c r="B3435" s="417" t="s">
        <v>3405</v>
      </c>
      <c r="C3435" s="417" t="s">
        <v>9314</v>
      </c>
      <c r="D3435" s="417" t="s">
        <v>224</v>
      </c>
      <c r="E3435" s="423">
        <v>1.526125789750633E-2</v>
      </c>
      <c r="F3435" s="423">
        <v>9.5925573820908241E-3</v>
      </c>
      <c r="G3435" s="422">
        <v>131.3519708672271</v>
      </c>
      <c r="H3435" s="417" t="s">
        <v>2616</v>
      </c>
      <c r="I3435" s="417" t="s">
        <v>1392</v>
      </c>
      <c r="J3435" s="417" t="s">
        <v>7898</v>
      </c>
      <c r="K3435" s="417" t="s">
        <v>9315</v>
      </c>
      <c r="L3435" s="417"/>
      <c r="M3435" s="417" t="s">
        <v>28840</v>
      </c>
    </row>
    <row r="3436" spans="1:13" x14ac:dyDescent="0.25">
      <c r="A3436" s="417" t="s">
        <v>3385</v>
      </c>
      <c r="B3436" s="417" t="s">
        <v>3405</v>
      </c>
      <c r="C3436" s="417" t="s">
        <v>9316</v>
      </c>
      <c r="D3436" s="417" t="s">
        <v>224</v>
      </c>
      <c r="E3436" s="423">
        <v>0.21046528821975691</v>
      </c>
      <c r="F3436" s="423">
        <v>5.5287605789584547E-2</v>
      </c>
      <c r="G3436" s="422">
        <v>460.59217767272071</v>
      </c>
      <c r="H3436" s="417" t="s">
        <v>2616</v>
      </c>
      <c r="I3436" s="417" t="s">
        <v>1392</v>
      </c>
      <c r="J3436" s="417" t="s">
        <v>8063</v>
      </c>
      <c r="K3436" s="417" t="s">
        <v>9317</v>
      </c>
      <c r="L3436" s="417"/>
      <c r="M3436" s="417" t="s">
        <v>28840</v>
      </c>
    </row>
    <row r="3437" spans="1:13" x14ac:dyDescent="0.25">
      <c r="A3437" s="417" t="s">
        <v>3385</v>
      </c>
      <c r="B3437" s="417" t="s">
        <v>3405</v>
      </c>
      <c r="C3437" s="417" t="s">
        <v>9318</v>
      </c>
      <c r="D3437" s="417" t="s">
        <v>224</v>
      </c>
      <c r="E3437" s="423">
        <v>0.87255677836159828</v>
      </c>
      <c r="F3437" s="423">
        <v>2.1965226880913801E-2</v>
      </c>
      <c r="G3437" s="422">
        <v>1290.748588067358</v>
      </c>
      <c r="H3437" s="417" t="s">
        <v>2616</v>
      </c>
      <c r="I3437" s="417" t="s">
        <v>1392</v>
      </c>
      <c r="J3437" s="417" t="s">
        <v>8063</v>
      </c>
      <c r="K3437" s="417" t="s">
        <v>9319</v>
      </c>
      <c r="L3437" s="417"/>
      <c r="M3437" s="417" t="s">
        <v>28840</v>
      </c>
    </row>
    <row r="3438" spans="1:13" x14ac:dyDescent="0.25">
      <c r="A3438" s="417" t="s">
        <v>3385</v>
      </c>
      <c r="B3438" s="417" t="s">
        <v>3405</v>
      </c>
      <c r="C3438" s="417" t="s">
        <v>9320</v>
      </c>
      <c r="D3438" s="417" t="s">
        <v>224</v>
      </c>
      <c r="E3438" s="423">
        <v>0.46394365509134072</v>
      </c>
      <c r="F3438" s="423">
        <v>6.2262410891204538E-2</v>
      </c>
      <c r="G3438" s="422">
        <v>758.97871201041869</v>
      </c>
      <c r="H3438" s="417" t="s">
        <v>2616</v>
      </c>
      <c r="I3438" s="417" t="s">
        <v>1392</v>
      </c>
      <c r="J3438" s="417" t="s">
        <v>8063</v>
      </c>
      <c r="K3438" s="417" t="s">
        <v>9321</v>
      </c>
      <c r="L3438" s="417"/>
      <c r="M3438" s="417" t="s">
        <v>28840</v>
      </c>
    </row>
    <row r="3439" spans="1:13" x14ac:dyDescent="0.25">
      <c r="A3439" s="417" t="s">
        <v>3385</v>
      </c>
      <c r="B3439" s="417" t="s">
        <v>3405</v>
      </c>
      <c r="C3439" s="417" t="s">
        <v>9322</v>
      </c>
      <c r="D3439" s="417" t="s">
        <v>224</v>
      </c>
      <c r="E3439" s="423">
        <v>0.29270790184263912</v>
      </c>
      <c r="F3439" s="423">
        <v>3.6453984727066208E-2</v>
      </c>
      <c r="G3439" s="422">
        <v>622.28384596714659</v>
      </c>
      <c r="H3439" s="417" t="s">
        <v>2616</v>
      </c>
      <c r="I3439" s="417" t="s">
        <v>1392</v>
      </c>
      <c r="J3439" s="417" t="s">
        <v>8063</v>
      </c>
      <c r="K3439" s="417" t="s">
        <v>9323</v>
      </c>
      <c r="L3439" s="417"/>
      <c r="M3439" s="417" t="s">
        <v>28840</v>
      </c>
    </row>
    <row r="3440" spans="1:13" x14ac:dyDescent="0.25">
      <c r="A3440" s="417" t="s">
        <v>3385</v>
      </c>
      <c r="B3440" s="417" t="s">
        <v>3405</v>
      </c>
      <c r="C3440" s="417" t="s">
        <v>9324</v>
      </c>
      <c r="D3440" s="417" t="s">
        <v>224</v>
      </c>
      <c r="E3440" s="423">
        <v>7.8250680995783153E-2</v>
      </c>
      <c r="F3440" s="423">
        <v>1.533779479824484E-2</v>
      </c>
      <c r="G3440" s="422">
        <v>715.4380134195701</v>
      </c>
      <c r="H3440" s="417" t="s">
        <v>2616</v>
      </c>
      <c r="I3440" s="417" t="s">
        <v>1392</v>
      </c>
      <c r="J3440" s="417" t="s">
        <v>8063</v>
      </c>
      <c r="K3440" s="417" t="s">
        <v>9325</v>
      </c>
      <c r="L3440" s="417"/>
      <c r="M3440" s="417" t="s">
        <v>28840</v>
      </c>
    </row>
    <row r="3441" spans="1:13" x14ac:dyDescent="0.25">
      <c r="A3441" s="417" t="s">
        <v>3385</v>
      </c>
      <c r="B3441" s="417" t="s">
        <v>3405</v>
      </c>
      <c r="C3441" s="417" t="s">
        <v>9326</v>
      </c>
      <c r="D3441" s="417" t="s">
        <v>224</v>
      </c>
      <c r="E3441" s="423">
        <v>0.34992225179711173</v>
      </c>
      <c r="F3441" s="423">
        <v>3.9102811642359389E-2</v>
      </c>
      <c r="G3441" s="422">
        <v>548.3774582792704</v>
      </c>
      <c r="H3441" s="417" t="s">
        <v>2616</v>
      </c>
      <c r="I3441" s="417" t="s">
        <v>1392</v>
      </c>
      <c r="J3441" s="417" t="s">
        <v>8063</v>
      </c>
      <c r="K3441" s="417" t="s">
        <v>9327</v>
      </c>
      <c r="L3441" s="417"/>
      <c r="M3441" s="417" t="s">
        <v>28840</v>
      </c>
    </row>
    <row r="3442" spans="1:13" x14ac:dyDescent="0.25">
      <c r="A3442" s="417" t="s">
        <v>3385</v>
      </c>
      <c r="B3442" s="417" t="s">
        <v>3405</v>
      </c>
      <c r="C3442" s="417" t="s">
        <v>9328</v>
      </c>
      <c r="D3442" s="417" t="s">
        <v>224</v>
      </c>
      <c r="E3442" s="423">
        <v>5.8638695559402203E-2</v>
      </c>
      <c r="F3442" s="423">
        <v>2.8686120085605312E-3</v>
      </c>
      <c r="G3442" s="422">
        <v>201.13093479287139</v>
      </c>
      <c r="H3442" s="417" t="s">
        <v>2616</v>
      </c>
      <c r="I3442" s="417" t="s">
        <v>1392</v>
      </c>
      <c r="J3442" s="417" t="s">
        <v>8063</v>
      </c>
      <c r="K3442" s="417" t="s">
        <v>9329</v>
      </c>
      <c r="L3442" s="417"/>
      <c r="M3442" s="417" t="s">
        <v>28840</v>
      </c>
    </row>
    <row r="3443" spans="1:13" x14ac:dyDescent="0.25">
      <c r="A3443" s="417" t="s">
        <v>3385</v>
      </c>
      <c r="B3443" s="417" t="s">
        <v>3405</v>
      </c>
      <c r="C3443" s="417" t="s">
        <v>9330</v>
      </c>
      <c r="D3443" s="417" t="s">
        <v>224</v>
      </c>
      <c r="E3443" s="423">
        <v>4.671322224029769E-2</v>
      </c>
      <c r="F3443" s="423">
        <v>2.357249321385041E-3</v>
      </c>
      <c r="G3443" s="422">
        <v>131.77148940626469</v>
      </c>
      <c r="H3443" s="417" t="s">
        <v>2616</v>
      </c>
      <c r="I3443" s="417" t="s">
        <v>1392</v>
      </c>
      <c r="J3443" s="417" t="s">
        <v>9331</v>
      </c>
      <c r="K3443" s="417" t="s">
        <v>9332</v>
      </c>
      <c r="L3443" s="417"/>
      <c r="M3443" s="417" t="s">
        <v>28840</v>
      </c>
    </row>
    <row r="3444" spans="1:13" x14ac:dyDescent="0.25">
      <c r="A3444" s="417" t="s">
        <v>3385</v>
      </c>
      <c r="B3444" s="417" t="s">
        <v>3405</v>
      </c>
      <c r="C3444" s="417" t="s">
        <v>9333</v>
      </c>
      <c r="D3444" s="417" t="s">
        <v>224</v>
      </c>
      <c r="E3444" s="423">
        <v>4.1757761069291632E-2</v>
      </c>
      <c r="F3444" s="423">
        <v>1.9501506469411451E-3</v>
      </c>
      <c r="G3444" s="422">
        <v>143.41453596855811</v>
      </c>
      <c r="H3444" s="417" t="s">
        <v>2616</v>
      </c>
      <c r="I3444" s="417" t="s">
        <v>1392</v>
      </c>
      <c r="J3444" s="417" t="s">
        <v>8063</v>
      </c>
      <c r="K3444" s="417" t="s">
        <v>9334</v>
      </c>
      <c r="L3444" s="417"/>
      <c r="M3444" s="417" t="s">
        <v>28840</v>
      </c>
    </row>
    <row r="3445" spans="1:13" x14ac:dyDescent="0.25">
      <c r="A3445" s="417" t="s">
        <v>3385</v>
      </c>
      <c r="B3445" s="417" t="s">
        <v>3405</v>
      </c>
      <c r="C3445" s="417" t="s">
        <v>9335</v>
      </c>
      <c r="D3445" s="417" t="s">
        <v>224</v>
      </c>
      <c r="E3445" s="423">
        <v>3.1577745877939399E-2</v>
      </c>
      <c r="F3445" s="423">
        <v>1.533017871990227E-3</v>
      </c>
      <c r="G3445" s="422">
        <v>79.911092513303132</v>
      </c>
      <c r="H3445" s="417" t="s">
        <v>2616</v>
      </c>
      <c r="I3445" s="417" t="s">
        <v>1392</v>
      </c>
      <c r="J3445" s="417" t="s">
        <v>9331</v>
      </c>
      <c r="K3445" s="417" t="s">
        <v>9336</v>
      </c>
      <c r="L3445" s="417"/>
      <c r="M3445" s="417" t="s">
        <v>28840</v>
      </c>
    </row>
    <row r="3446" spans="1:13" x14ac:dyDescent="0.25">
      <c r="A3446" s="417" t="s">
        <v>3385</v>
      </c>
      <c r="B3446" s="417" t="s">
        <v>3405</v>
      </c>
      <c r="C3446" s="417" t="s">
        <v>9337</v>
      </c>
      <c r="D3446" s="417" t="s">
        <v>224</v>
      </c>
      <c r="E3446" s="423">
        <v>3.7065678858801153E-2</v>
      </c>
      <c r="F3446" s="423">
        <v>1.83782909355618E-3</v>
      </c>
      <c r="G3446" s="422">
        <v>133.5515921076227</v>
      </c>
      <c r="H3446" s="417" t="s">
        <v>2616</v>
      </c>
      <c r="I3446" s="417" t="s">
        <v>1392</v>
      </c>
      <c r="J3446" s="417" t="s">
        <v>8063</v>
      </c>
      <c r="K3446" s="417" t="s">
        <v>9338</v>
      </c>
      <c r="L3446" s="417"/>
      <c r="M3446" s="417" t="s">
        <v>28840</v>
      </c>
    </row>
    <row r="3447" spans="1:13" x14ac:dyDescent="0.25">
      <c r="A3447" s="417" t="s">
        <v>3385</v>
      </c>
      <c r="B3447" s="417" t="s">
        <v>3405</v>
      </c>
      <c r="C3447" s="417" t="s">
        <v>9339</v>
      </c>
      <c r="D3447" s="417" t="s">
        <v>224</v>
      </c>
      <c r="E3447" s="423">
        <v>2.7318880437326939E-2</v>
      </c>
      <c r="F3447" s="423">
        <v>1.431066891509082E-3</v>
      </c>
      <c r="G3447" s="422">
        <v>70.958787584783025</v>
      </c>
      <c r="H3447" s="417" t="s">
        <v>2616</v>
      </c>
      <c r="I3447" s="417" t="s">
        <v>1392</v>
      </c>
      <c r="J3447" s="417" t="s">
        <v>9331</v>
      </c>
      <c r="K3447" s="417" t="s">
        <v>9340</v>
      </c>
      <c r="L3447" s="417"/>
      <c r="M3447" s="417" t="s">
        <v>28840</v>
      </c>
    </row>
    <row r="3448" spans="1:13" x14ac:dyDescent="0.25">
      <c r="A3448" s="417" t="s">
        <v>3385</v>
      </c>
      <c r="B3448" s="417" t="s">
        <v>3405</v>
      </c>
      <c r="C3448" s="417" t="s">
        <v>9341</v>
      </c>
      <c r="D3448" s="417" t="s">
        <v>224</v>
      </c>
      <c r="E3448" s="423">
        <v>0.41069326252952298</v>
      </c>
      <c r="F3448" s="423">
        <v>1.3861539340436189E-3</v>
      </c>
      <c r="G3448" s="422">
        <v>664.50083146793065</v>
      </c>
      <c r="H3448" s="417" t="s">
        <v>2616</v>
      </c>
      <c r="I3448" s="417" t="s">
        <v>1392</v>
      </c>
      <c r="J3448" s="417" t="s">
        <v>8072</v>
      </c>
      <c r="K3448" s="417" t="s">
        <v>9342</v>
      </c>
      <c r="L3448" s="417"/>
      <c r="M3448" s="417" t="s">
        <v>28840</v>
      </c>
    </row>
    <row r="3449" spans="1:13" x14ac:dyDescent="0.25">
      <c r="A3449" s="417" t="s">
        <v>3385</v>
      </c>
      <c r="B3449" s="417" t="s">
        <v>3405</v>
      </c>
      <c r="C3449" s="417" t="s">
        <v>9343</v>
      </c>
      <c r="D3449" s="417" t="s">
        <v>224</v>
      </c>
      <c r="E3449" s="423">
        <v>0.42802124819457898</v>
      </c>
      <c r="F3449" s="423">
        <v>1.7392734501875E-2</v>
      </c>
      <c r="G3449" s="422">
        <v>652.76206384044599</v>
      </c>
      <c r="H3449" s="417" t="s">
        <v>2616</v>
      </c>
      <c r="I3449" s="417" t="s">
        <v>1392</v>
      </c>
      <c r="J3449" s="417" t="s">
        <v>8072</v>
      </c>
      <c r="K3449" s="417" t="s">
        <v>9344</v>
      </c>
      <c r="L3449" s="417"/>
      <c r="M3449" s="417" t="s">
        <v>28840</v>
      </c>
    </row>
    <row r="3450" spans="1:13" x14ac:dyDescent="0.25">
      <c r="A3450" s="417" t="s">
        <v>3385</v>
      </c>
      <c r="B3450" s="417" t="s">
        <v>3405</v>
      </c>
      <c r="C3450" s="417" t="s">
        <v>9345</v>
      </c>
      <c r="D3450" s="417" t="s">
        <v>224</v>
      </c>
      <c r="E3450" s="423">
        <v>0.12355546945052021</v>
      </c>
      <c r="F3450" s="423">
        <v>5.1897824167961591E-2</v>
      </c>
      <c r="G3450" s="422">
        <v>338.23664826821363</v>
      </c>
      <c r="H3450" s="417" t="s">
        <v>2616</v>
      </c>
      <c r="I3450" s="417" t="s">
        <v>1392</v>
      </c>
      <c r="J3450" s="417" t="s">
        <v>8072</v>
      </c>
      <c r="K3450" s="417" t="s">
        <v>9346</v>
      </c>
      <c r="L3450" s="417"/>
      <c r="M3450" s="417" t="s">
        <v>28840</v>
      </c>
    </row>
    <row r="3451" spans="1:13" x14ac:dyDescent="0.25">
      <c r="A3451" s="417" t="s">
        <v>3385</v>
      </c>
      <c r="B3451" s="417" t="s">
        <v>3405</v>
      </c>
      <c r="C3451" s="417" t="s">
        <v>9347</v>
      </c>
      <c r="D3451" s="417" t="s">
        <v>224</v>
      </c>
      <c r="E3451" s="423">
        <v>0.69737957967537556</v>
      </c>
      <c r="F3451" s="423">
        <v>1.159157192669572E-2</v>
      </c>
      <c r="G3451" s="422">
        <v>912.95542011645341</v>
      </c>
      <c r="H3451" s="417" t="s">
        <v>2616</v>
      </c>
      <c r="I3451" s="417" t="s">
        <v>1392</v>
      </c>
      <c r="J3451" s="417" t="s">
        <v>8072</v>
      </c>
      <c r="K3451" s="417" t="s">
        <v>9348</v>
      </c>
      <c r="L3451" s="417"/>
      <c r="M3451" s="417" t="s">
        <v>28840</v>
      </c>
    </row>
    <row r="3452" spans="1:13" x14ac:dyDescent="0.25">
      <c r="A3452" s="417" t="s">
        <v>3385</v>
      </c>
      <c r="B3452" s="417" t="s">
        <v>3405</v>
      </c>
      <c r="C3452" s="417" t="s">
        <v>9349</v>
      </c>
      <c r="D3452" s="417" t="s">
        <v>224</v>
      </c>
      <c r="E3452" s="423">
        <v>0.96318467755522941</v>
      </c>
      <c r="F3452" s="423">
        <v>1.6579622358255809E-2</v>
      </c>
      <c r="G3452" s="422">
        <v>1260.6144707926289</v>
      </c>
      <c r="H3452" s="417" t="s">
        <v>2616</v>
      </c>
      <c r="I3452" s="417" t="s">
        <v>1392</v>
      </c>
      <c r="J3452" s="417" t="s">
        <v>8072</v>
      </c>
      <c r="K3452" s="417" t="s">
        <v>9350</v>
      </c>
      <c r="L3452" s="417"/>
      <c r="M3452" s="417" t="s">
        <v>28840</v>
      </c>
    </row>
    <row r="3453" spans="1:13" x14ac:dyDescent="0.25">
      <c r="A3453" s="417" t="s">
        <v>3385</v>
      </c>
      <c r="B3453" s="417" t="s">
        <v>3405</v>
      </c>
      <c r="C3453" s="417" t="s">
        <v>9351</v>
      </c>
      <c r="D3453" s="417" t="s">
        <v>224</v>
      </c>
      <c r="E3453" s="423">
        <v>0.71668249081211832</v>
      </c>
      <c r="F3453" s="423">
        <v>5.0649784503090569E-3</v>
      </c>
      <c r="G3453" s="422">
        <v>1038.687573839776</v>
      </c>
      <c r="H3453" s="417" t="s">
        <v>2616</v>
      </c>
      <c r="I3453" s="417" t="s">
        <v>1392</v>
      </c>
      <c r="J3453" s="417" t="s">
        <v>8072</v>
      </c>
      <c r="K3453" s="417" t="s">
        <v>9352</v>
      </c>
      <c r="L3453" s="417"/>
      <c r="M3453" s="417" t="s">
        <v>28840</v>
      </c>
    </row>
    <row r="3454" spans="1:13" x14ac:dyDescent="0.25">
      <c r="A3454" s="417" t="s">
        <v>3385</v>
      </c>
      <c r="B3454" s="417" t="s">
        <v>3405</v>
      </c>
      <c r="C3454" s="417" t="s">
        <v>9353</v>
      </c>
      <c r="D3454" s="417" t="s">
        <v>224</v>
      </c>
      <c r="E3454" s="423">
        <v>0.15691497636809151</v>
      </c>
      <c r="F3454" s="423">
        <v>3.0703874392271811E-2</v>
      </c>
      <c r="G3454" s="422">
        <v>493.79730630044349</v>
      </c>
      <c r="H3454" s="417" t="s">
        <v>2616</v>
      </c>
      <c r="I3454" s="417" t="s">
        <v>1392</v>
      </c>
      <c r="J3454" s="417" t="s">
        <v>8072</v>
      </c>
      <c r="K3454" s="417" t="s">
        <v>9354</v>
      </c>
      <c r="L3454" s="417"/>
      <c r="M3454" s="417" t="s">
        <v>28840</v>
      </c>
    </row>
    <row r="3455" spans="1:13" x14ac:dyDescent="0.25">
      <c r="A3455" s="417" t="s">
        <v>3385</v>
      </c>
      <c r="B3455" s="417" t="s">
        <v>3405</v>
      </c>
      <c r="C3455" s="417" t="s">
        <v>9355</v>
      </c>
      <c r="D3455" s="417" t="s">
        <v>224</v>
      </c>
      <c r="E3455" s="423">
        <v>0.4378093879127134</v>
      </c>
      <c r="F3455" s="423">
        <v>3.6243407532199658E-2</v>
      </c>
      <c r="G3455" s="422">
        <v>968.62557052705336</v>
      </c>
      <c r="H3455" s="417" t="s">
        <v>2616</v>
      </c>
      <c r="I3455" s="417" t="s">
        <v>1392</v>
      </c>
      <c r="J3455" s="417" t="s">
        <v>8072</v>
      </c>
      <c r="K3455" s="417" t="s">
        <v>9356</v>
      </c>
      <c r="L3455" s="417"/>
      <c r="M3455" s="417" t="s">
        <v>28840</v>
      </c>
    </row>
    <row r="3456" spans="1:13" x14ac:dyDescent="0.25">
      <c r="A3456" s="417" t="s">
        <v>3385</v>
      </c>
      <c r="B3456" s="417" t="s">
        <v>3405</v>
      </c>
      <c r="C3456" s="417" t="s">
        <v>9357</v>
      </c>
      <c r="D3456" s="417" t="s">
        <v>224</v>
      </c>
      <c r="E3456" s="423">
        <v>0.1077869499366179</v>
      </c>
      <c r="F3456" s="423">
        <v>7.3628508754272806E-2</v>
      </c>
      <c r="G3456" s="422">
        <v>235.2611498700694</v>
      </c>
      <c r="H3456" s="417" t="s">
        <v>2616</v>
      </c>
      <c r="I3456" s="417" t="s">
        <v>1392</v>
      </c>
      <c r="J3456" s="417" t="s">
        <v>8072</v>
      </c>
      <c r="K3456" s="417" t="s">
        <v>9358</v>
      </c>
      <c r="L3456" s="417"/>
      <c r="M3456" s="417" t="s">
        <v>28840</v>
      </c>
    </row>
    <row r="3457" spans="1:13" x14ac:dyDescent="0.25">
      <c r="A3457" s="417" t="s">
        <v>3385</v>
      </c>
      <c r="B3457" s="417" t="s">
        <v>3405</v>
      </c>
      <c r="C3457" s="417" t="s">
        <v>9359</v>
      </c>
      <c r="D3457" s="417" t="s">
        <v>224</v>
      </c>
      <c r="E3457" s="423">
        <v>0.15930001142541469</v>
      </c>
      <c r="F3457" s="423">
        <v>1.239586429295967E-2</v>
      </c>
      <c r="G3457" s="422">
        <v>335.19524219866759</v>
      </c>
      <c r="H3457" s="417" t="s">
        <v>2616</v>
      </c>
      <c r="I3457" s="417" t="s">
        <v>1392</v>
      </c>
      <c r="J3457" s="417" t="s">
        <v>8072</v>
      </c>
      <c r="K3457" s="417" t="s">
        <v>9360</v>
      </c>
      <c r="L3457" s="417"/>
      <c r="M3457" s="417" t="s">
        <v>28840</v>
      </c>
    </row>
    <row r="3458" spans="1:13" x14ac:dyDescent="0.25">
      <c r="A3458" s="417" t="s">
        <v>3385</v>
      </c>
      <c r="B3458" s="417" t="s">
        <v>3405</v>
      </c>
      <c r="C3458" s="417" t="s">
        <v>9361</v>
      </c>
      <c r="D3458" s="417" t="s">
        <v>224</v>
      </c>
      <c r="E3458" s="423">
        <v>3.2073508481336867E-2</v>
      </c>
      <c r="F3458" s="423">
        <v>1.43556865191596E-2</v>
      </c>
      <c r="G3458" s="422">
        <v>316.37066508654578</v>
      </c>
      <c r="H3458" s="417" t="s">
        <v>2616</v>
      </c>
      <c r="I3458" s="417" t="s">
        <v>1392</v>
      </c>
      <c r="J3458" s="417" t="s">
        <v>8072</v>
      </c>
      <c r="K3458" s="417" t="s">
        <v>9362</v>
      </c>
      <c r="L3458" s="417"/>
      <c r="M3458" s="417" t="s">
        <v>28840</v>
      </c>
    </row>
    <row r="3459" spans="1:13" x14ac:dyDescent="0.25">
      <c r="A3459" s="417" t="s">
        <v>3385</v>
      </c>
      <c r="B3459" s="417" t="s">
        <v>3405</v>
      </c>
      <c r="C3459" s="417" t="s">
        <v>9363</v>
      </c>
      <c r="D3459" s="417" t="s">
        <v>224</v>
      </c>
      <c r="E3459" s="423">
        <v>0.33295683267829151</v>
      </c>
      <c r="F3459" s="423">
        <v>5.1139987212964852E-2</v>
      </c>
      <c r="G3459" s="422">
        <v>479.37141304880288</v>
      </c>
      <c r="H3459" s="417" t="s">
        <v>2616</v>
      </c>
      <c r="I3459" s="417" t="s">
        <v>1392</v>
      </c>
      <c r="J3459" s="417" t="s">
        <v>8072</v>
      </c>
      <c r="K3459" s="417" t="s">
        <v>9364</v>
      </c>
      <c r="L3459" s="417"/>
      <c r="M3459" s="417" t="s">
        <v>28840</v>
      </c>
    </row>
    <row r="3460" spans="1:13" x14ac:dyDescent="0.25">
      <c r="A3460" s="417" t="s">
        <v>3385</v>
      </c>
      <c r="B3460" s="417" t="s">
        <v>3405</v>
      </c>
      <c r="C3460" s="417" t="s">
        <v>9365</v>
      </c>
      <c r="D3460" s="417" t="s">
        <v>224</v>
      </c>
      <c r="E3460" s="423">
        <v>0.73840536627862152</v>
      </c>
      <c r="F3460" s="423">
        <v>1.656104290400251E-2</v>
      </c>
      <c r="G3460" s="422">
        <v>1017.113725787996</v>
      </c>
      <c r="H3460" s="417" t="s">
        <v>2616</v>
      </c>
      <c r="I3460" s="417" t="s">
        <v>1392</v>
      </c>
      <c r="J3460" s="417" t="s">
        <v>8072</v>
      </c>
      <c r="K3460" s="417" t="s">
        <v>9366</v>
      </c>
      <c r="L3460" s="417"/>
      <c r="M3460" s="417" t="s">
        <v>28840</v>
      </c>
    </row>
    <row r="3461" spans="1:13" x14ac:dyDescent="0.25">
      <c r="A3461" s="417" t="s">
        <v>3385</v>
      </c>
      <c r="B3461" s="417" t="s">
        <v>3405</v>
      </c>
      <c r="C3461" s="417" t="s">
        <v>9367</v>
      </c>
      <c r="D3461" s="417" t="s">
        <v>224</v>
      </c>
      <c r="E3461" s="423">
        <v>0.31478755807319481</v>
      </c>
      <c r="F3461" s="423">
        <v>2.3011402678154928E-2</v>
      </c>
      <c r="G3461" s="422">
        <v>451.65991310697802</v>
      </c>
      <c r="H3461" s="417" t="s">
        <v>2616</v>
      </c>
      <c r="I3461" s="417" t="s">
        <v>1392</v>
      </c>
      <c r="J3461" s="417" t="s">
        <v>8072</v>
      </c>
      <c r="K3461" s="417" t="s">
        <v>9368</v>
      </c>
      <c r="L3461" s="417"/>
      <c r="M3461" s="417" t="s">
        <v>28840</v>
      </c>
    </row>
    <row r="3462" spans="1:13" x14ac:dyDescent="0.25">
      <c r="A3462" s="417" t="s">
        <v>3385</v>
      </c>
      <c r="B3462" s="417" t="s">
        <v>3405</v>
      </c>
      <c r="C3462" s="417" t="s">
        <v>9369</v>
      </c>
      <c r="D3462" s="417" t="s">
        <v>224</v>
      </c>
      <c r="E3462" s="423">
        <v>0.5181803457989872</v>
      </c>
      <c r="F3462" s="423">
        <v>5.6749706572214002E-2</v>
      </c>
      <c r="G3462" s="422">
        <v>920.7024396765587</v>
      </c>
      <c r="H3462" s="417" t="s">
        <v>2616</v>
      </c>
      <c r="I3462" s="417" t="s">
        <v>1392</v>
      </c>
      <c r="J3462" s="417" t="s">
        <v>8072</v>
      </c>
      <c r="K3462" s="417" t="s">
        <v>9370</v>
      </c>
      <c r="L3462" s="417"/>
      <c r="M3462" s="417" t="s">
        <v>28840</v>
      </c>
    </row>
    <row r="3463" spans="1:13" x14ac:dyDescent="0.25">
      <c r="A3463" s="417" t="s">
        <v>3385</v>
      </c>
      <c r="B3463" s="417" t="s">
        <v>3405</v>
      </c>
      <c r="C3463" s="417" t="s">
        <v>9371</v>
      </c>
      <c r="D3463" s="417" t="s">
        <v>224</v>
      </c>
      <c r="E3463" s="423">
        <v>0.48777612738238951</v>
      </c>
      <c r="F3463" s="423">
        <v>6.2933350995202669E-2</v>
      </c>
      <c r="G3463" s="422">
        <v>774.30668628501041</v>
      </c>
      <c r="H3463" s="417" t="s">
        <v>2616</v>
      </c>
      <c r="I3463" s="417" t="s">
        <v>1392</v>
      </c>
      <c r="J3463" s="417" t="s">
        <v>8072</v>
      </c>
      <c r="K3463" s="417" t="s">
        <v>9372</v>
      </c>
      <c r="L3463" s="417"/>
      <c r="M3463" s="417" t="s">
        <v>28840</v>
      </c>
    </row>
    <row r="3464" spans="1:13" x14ac:dyDescent="0.25">
      <c r="A3464" s="417" t="s">
        <v>3385</v>
      </c>
      <c r="B3464" s="417" t="s">
        <v>3405</v>
      </c>
      <c r="C3464" s="417" t="s">
        <v>9373</v>
      </c>
      <c r="D3464" s="417" t="s">
        <v>224</v>
      </c>
      <c r="E3464" s="423">
        <v>0.13140397200509471</v>
      </c>
      <c r="F3464" s="423">
        <v>0.13779835996885609</v>
      </c>
      <c r="G3464" s="422">
        <v>252.05064751080209</v>
      </c>
      <c r="H3464" s="417" t="s">
        <v>2616</v>
      </c>
      <c r="I3464" s="417" t="s">
        <v>1392</v>
      </c>
      <c r="J3464" s="417" t="s">
        <v>8072</v>
      </c>
      <c r="K3464" s="417" t="s">
        <v>9374</v>
      </c>
      <c r="L3464" s="417"/>
      <c r="M3464" s="417" t="s">
        <v>28840</v>
      </c>
    </row>
    <row r="3465" spans="1:13" x14ac:dyDescent="0.25">
      <c r="A3465" s="417" t="s">
        <v>3385</v>
      </c>
      <c r="B3465" s="417" t="s">
        <v>3405</v>
      </c>
      <c r="C3465" s="417" t="s">
        <v>9375</v>
      </c>
      <c r="D3465" s="417" t="s">
        <v>224</v>
      </c>
      <c r="E3465" s="423">
        <v>0.65098234824289702</v>
      </c>
      <c r="F3465" s="423">
        <v>3.039570057266162E-3</v>
      </c>
      <c r="G3465" s="422">
        <v>864.11015433066871</v>
      </c>
      <c r="H3465" s="417" t="s">
        <v>2616</v>
      </c>
      <c r="I3465" s="417" t="s">
        <v>1392</v>
      </c>
      <c r="J3465" s="417" t="s">
        <v>8072</v>
      </c>
      <c r="K3465" s="417" t="s">
        <v>9376</v>
      </c>
      <c r="L3465" s="417"/>
      <c r="M3465" s="417" t="s">
        <v>28840</v>
      </c>
    </row>
    <row r="3466" spans="1:13" x14ac:dyDescent="0.25">
      <c r="A3466" s="417" t="s">
        <v>3385</v>
      </c>
      <c r="B3466" s="417" t="s">
        <v>3405</v>
      </c>
      <c r="C3466" s="417" t="s">
        <v>9377</v>
      </c>
      <c r="D3466" s="417" t="s">
        <v>224</v>
      </c>
      <c r="E3466" s="423">
        <v>0.49313051695531929</v>
      </c>
      <c r="F3466" s="423">
        <v>0.22209623725956559</v>
      </c>
      <c r="G3466" s="422">
        <v>911.24433067834627</v>
      </c>
      <c r="H3466" s="417" t="s">
        <v>2616</v>
      </c>
      <c r="I3466" s="417" t="s">
        <v>1392</v>
      </c>
      <c r="J3466" s="417" t="s">
        <v>8072</v>
      </c>
      <c r="K3466" s="417" t="s">
        <v>9378</v>
      </c>
      <c r="L3466" s="417"/>
      <c r="M3466" s="417" t="s">
        <v>28840</v>
      </c>
    </row>
    <row r="3467" spans="1:13" x14ac:dyDescent="0.25">
      <c r="A3467" s="417" t="s">
        <v>3385</v>
      </c>
      <c r="B3467" s="417" t="s">
        <v>3405</v>
      </c>
      <c r="C3467" s="417" t="s">
        <v>9379</v>
      </c>
      <c r="D3467" s="417" t="s">
        <v>224</v>
      </c>
      <c r="E3467" s="423">
        <v>0.52859214505732188</v>
      </c>
      <c r="F3467" s="423">
        <v>1.635813973949725E-3</v>
      </c>
      <c r="G3467" s="422">
        <v>706.90406318230714</v>
      </c>
      <c r="H3467" s="417" t="s">
        <v>2616</v>
      </c>
      <c r="I3467" s="417" t="s">
        <v>1392</v>
      </c>
      <c r="J3467" s="417" t="s">
        <v>8072</v>
      </c>
      <c r="K3467" s="417" t="s">
        <v>9380</v>
      </c>
      <c r="L3467" s="417"/>
      <c r="M3467" s="417" t="s">
        <v>28840</v>
      </c>
    </row>
    <row r="3468" spans="1:13" x14ac:dyDescent="0.25">
      <c r="A3468" s="417" t="s">
        <v>3385</v>
      </c>
      <c r="B3468" s="417" t="s">
        <v>3405</v>
      </c>
      <c r="C3468" s="417" t="s">
        <v>9381</v>
      </c>
      <c r="D3468" s="417" t="s">
        <v>224</v>
      </c>
      <c r="E3468" s="423">
        <v>0.29204310567730879</v>
      </c>
      <c r="F3468" s="423">
        <v>3.6161366967992298E-2</v>
      </c>
      <c r="G3468" s="422">
        <v>619.14084505460801</v>
      </c>
      <c r="H3468" s="417" t="s">
        <v>2616</v>
      </c>
      <c r="I3468" s="417" t="s">
        <v>1392</v>
      </c>
      <c r="J3468" s="417" t="s">
        <v>8072</v>
      </c>
      <c r="K3468" s="417" t="s">
        <v>9382</v>
      </c>
      <c r="L3468" s="417"/>
      <c r="M3468" s="417" t="s">
        <v>28840</v>
      </c>
    </row>
    <row r="3469" spans="1:13" x14ac:dyDescent="0.25">
      <c r="A3469" s="417" t="s">
        <v>3385</v>
      </c>
      <c r="B3469" s="417" t="s">
        <v>3405</v>
      </c>
      <c r="C3469" s="417" t="s">
        <v>9383</v>
      </c>
      <c r="D3469" s="417" t="s">
        <v>224</v>
      </c>
      <c r="E3469" s="423">
        <v>0.22678692009732199</v>
      </c>
      <c r="F3469" s="423">
        <v>1.666903617848331E-2</v>
      </c>
      <c r="G3469" s="422">
        <v>540.45162711006867</v>
      </c>
      <c r="H3469" s="417" t="s">
        <v>2616</v>
      </c>
      <c r="I3469" s="417" t="s">
        <v>1392</v>
      </c>
      <c r="J3469" s="417" t="s">
        <v>8072</v>
      </c>
      <c r="K3469" s="417" t="s">
        <v>9384</v>
      </c>
      <c r="L3469" s="417"/>
      <c r="M3469" s="417" t="s">
        <v>28840</v>
      </c>
    </row>
    <row r="3470" spans="1:13" x14ac:dyDescent="0.25">
      <c r="A3470" s="417" t="s">
        <v>3385</v>
      </c>
      <c r="B3470" s="417" t="s">
        <v>3405</v>
      </c>
      <c r="C3470" s="417" t="s">
        <v>9385</v>
      </c>
      <c r="D3470" s="417" t="s">
        <v>224</v>
      </c>
      <c r="E3470" s="423">
        <v>1.6465649377950961E-2</v>
      </c>
      <c r="F3470" s="423">
        <v>1.005917566023909E-3</v>
      </c>
      <c r="G3470" s="422">
        <v>90.249237271049935</v>
      </c>
      <c r="H3470" s="417" t="s">
        <v>2616</v>
      </c>
      <c r="I3470" s="417" t="s">
        <v>1392</v>
      </c>
      <c r="J3470" s="417" t="s">
        <v>8072</v>
      </c>
      <c r="K3470" s="417" t="s">
        <v>9386</v>
      </c>
      <c r="L3470" s="417"/>
      <c r="M3470" s="417" t="s">
        <v>28840</v>
      </c>
    </row>
    <row r="3471" spans="1:13" x14ac:dyDescent="0.25">
      <c r="A3471" s="417" t="s">
        <v>3385</v>
      </c>
      <c r="B3471" s="417" t="s">
        <v>3405</v>
      </c>
      <c r="C3471" s="417" t="s">
        <v>9387</v>
      </c>
      <c r="D3471" s="417" t="s">
        <v>224</v>
      </c>
      <c r="E3471" s="423">
        <v>0.11599342911246439</v>
      </c>
      <c r="F3471" s="423">
        <v>0.1013913151336043</v>
      </c>
      <c r="G3471" s="422">
        <v>449.24903635908117</v>
      </c>
      <c r="H3471" s="417" t="s">
        <v>2616</v>
      </c>
      <c r="I3471" s="417" t="s">
        <v>1392</v>
      </c>
      <c r="J3471" s="417" t="s">
        <v>8072</v>
      </c>
      <c r="K3471" s="417" t="s">
        <v>9388</v>
      </c>
      <c r="L3471" s="417"/>
      <c r="M3471" s="417" t="s">
        <v>28840</v>
      </c>
    </row>
    <row r="3472" spans="1:13" x14ac:dyDescent="0.25">
      <c r="A3472" s="417" t="s">
        <v>3385</v>
      </c>
      <c r="B3472" s="417" t="s">
        <v>3405</v>
      </c>
      <c r="C3472" s="417" t="s">
        <v>9389</v>
      </c>
      <c r="D3472" s="417" t="s">
        <v>224</v>
      </c>
      <c r="E3472" s="423">
        <v>6.9210907256203269E-2</v>
      </c>
      <c r="F3472" s="423">
        <v>1.3899229575052409E-2</v>
      </c>
      <c r="G3472" s="422">
        <v>724.45707838826468</v>
      </c>
      <c r="H3472" s="417" t="s">
        <v>2616</v>
      </c>
      <c r="I3472" s="417" t="s">
        <v>1392</v>
      </c>
      <c r="J3472" s="417" t="s">
        <v>8072</v>
      </c>
      <c r="K3472" s="417" t="s">
        <v>9390</v>
      </c>
      <c r="L3472" s="417"/>
      <c r="M3472" s="417" t="s">
        <v>28840</v>
      </c>
    </row>
    <row r="3473" spans="1:13" x14ac:dyDescent="0.25">
      <c r="A3473" s="417" t="s">
        <v>3385</v>
      </c>
      <c r="B3473" s="417" t="s">
        <v>3405</v>
      </c>
      <c r="C3473" s="417" t="s">
        <v>9391</v>
      </c>
      <c r="D3473" s="417" t="s">
        <v>224</v>
      </c>
      <c r="E3473" s="423">
        <v>0.17639840697176429</v>
      </c>
      <c r="F3473" s="423">
        <v>1.0862134650976469</v>
      </c>
      <c r="G3473" s="422">
        <v>307.70407352540963</v>
      </c>
      <c r="H3473" s="417" t="s">
        <v>2616</v>
      </c>
      <c r="I3473" s="417" t="s">
        <v>1392</v>
      </c>
      <c r="J3473" s="417" t="s">
        <v>8063</v>
      </c>
      <c r="K3473" s="417" t="s">
        <v>9392</v>
      </c>
      <c r="L3473" s="417"/>
      <c r="M3473" s="417" t="s">
        <v>28840</v>
      </c>
    </row>
    <row r="3474" spans="1:13" x14ac:dyDescent="0.25">
      <c r="A3474" s="417" t="s">
        <v>3385</v>
      </c>
      <c r="B3474" s="417" t="s">
        <v>3405</v>
      </c>
      <c r="C3474" s="417" t="s">
        <v>9393</v>
      </c>
      <c r="D3474" s="417" t="s">
        <v>224</v>
      </c>
      <c r="E3474" s="423">
        <v>0.1537871092266013</v>
      </c>
      <c r="F3474" s="423">
        <v>0.98568703594609897</v>
      </c>
      <c r="G3474" s="422">
        <v>229.0318838329467</v>
      </c>
      <c r="H3474" s="417" t="s">
        <v>2616</v>
      </c>
      <c r="I3474" s="417" t="s">
        <v>1392</v>
      </c>
      <c r="J3474" s="417" t="s">
        <v>9331</v>
      </c>
      <c r="K3474" s="417" t="s">
        <v>9394</v>
      </c>
      <c r="L3474" s="417"/>
      <c r="M3474" s="417" t="s">
        <v>28840</v>
      </c>
    </row>
    <row r="3475" spans="1:13" x14ac:dyDescent="0.25">
      <c r="A3475" s="417" t="s">
        <v>3385</v>
      </c>
      <c r="B3475" s="417" t="s">
        <v>3405</v>
      </c>
      <c r="C3475" s="417" t="s">
        <v>9395</v>
      </c>
      <c r="D3475" s="417" t="s">
        <v>224</v>
      </c>
      <c r="E3475" s="423">
        <v>0.83963963806898756</v>
      </c>
      <c r="F3475" s="423">
        <v>1.9950807744234671E-2</v>
      </c>
      <c r="G3475" s="422">
        <v>1167.7879521285611</v>
      </c>
      <c r="H3475" s="417" t="s">
        <v>2616</v>
      </c>
      <c r="I3475" s="417" t="s">
        <v>1392</v>
      </c>
      <c r="J3475" s="417" t="s">
        <v>8063</v>
      </c>
      <c r="K3475" s="417" t="s">
        <v>9396</v>
      </c>
      <c r="L3475" s="417"/>
      <c r="M3475" s="417" t="s">
        <v>28840</v>
      </c>
    </row>
    <row r="3476" spans="1:13" x14ac:dyDescent="0.25">
      <c r="A3476" s="417" t="s">
        <v>3385</v>
      </c>
      <c r="B3476" s="417" t="s">
        <v>3405</v>
      </c>
      <c r="C3476" s="417" t="s">
        <v>9397</v>
      </c>
      <c r="D3476" s="417" t="s">
        <v>224</v>
      </c>
      <c r="E3476" s="423">
        <v>0.69207421018509208</v>
      </c>
      <c r="F3476" s="423">
        <v>3.306854835533406E-3</v>
      </c>
      <c r="G3476" s="422">
        <v>918.68419229170001</v>
      </c>
      <c r="H3476" s="417" t="s">
        <v>2616</v>
      </c>
      <c r="I3476" s="417" t="s">
        <v>1392</v>
      </c>
      <c r="J3476" s="417" t="s">
        <v>8063</v>
      </c>
      <c r="K3476" s="417" t="s">
        <v>9398</v>
      </c>
      <c r="L3476" s="417"/>
      <c r="M3476" s="417" t="s">
        <v>28840</v>
      </c>
    </row>
    <row r="3477" spans="1:13" x14ac:dyDescent="0.25">
      <c r="A3477" s="417" t="s">
        <v>3385</v>
      </c>
      <c r="B3477" s="417" t="s">
        <v>3405</v>
      </c>
      <c r="C3477" s="417" t="s">
        <v>9399</v>
      </c>
      <c r="D3477" s="417" t="s">
        <v>224</v>
      </c>
      <c r="E3477" s="423">
        <v>7.6222106200384179E-2</v>
      </c>
      <c r="F3477" s="423">
        <v>0.86236310553651618</v>
      </c>
      <c r="G3477" s="422">
        <v>323.86549981173141</v>
      </c>
      <c r="H3477" s="417" t="s">
        <v>2616</v>
      </c>
      <c r="I3477" s="417" t="s">
        <v>1392</v>
      </c>
      <c r="J3477" s="417" t="s">
        <v>8063</v>
      </c>
      <c r="K3477" s="417" t="s">
        <v>9400</v>
      </c>
      <c r="L3477" s="417"/>
      <c r="M3477" s="417" t="s">
        <v>28840</v>
      </c>
    </row>
    <row r="3478" spans="1:13" x14ac:dyDescent="0.25">
      <c r="A3478" s="417" t="s">
        <v>3385</v>
      </c>
      <c r="B3478" s="417" t="s">
        <v>3405</v>
      </c>
      <c r="C3478" s="417" t="s">
        <v>9401</v>
      </c>
      <c r="D3478" s="417" t="s">
        <v>224</v>
      </c>
      <c r="E3478" s="423">
        <v>7.622210731147773E-2</v>
      </c>
      <c r="F3478" s="423">
        <v>0.86236310554738216</v>
      </c>
      <c r="G3478" s="422">
        <v>323.86550139008449</v>
      </c>
      <c r="H3478" s="417" t="s">
        <v>2616</v>
      </c>
      <c r="I3478" s="417" t="s">
        <v>1392</v>
      </c>
      <c r="J3478" s="417" t="s">
        <v>8063</v>
      </c>
      <c r="K3478" s="417" t="s">
        <v>9402</v>
      </c>
      <c r="L3478" s="417"/>
      <c r="M3478" s="417" t="s">
        <v>28840</v>
      </c>
    </row>
    <row r="3479" spans="1:13" x14ac:dyDescent="0.25">
      <c r="A3479" s="417" t="s">
        <v>3385</v>
      </c>
      <c r="B3479" s="417" t="s">
        <v>3405</v>
      </c>
      <c r="C3479" s="417" t="s">
        <v>9403</v>
      </c>
      <c r="D3479" s="417" t="s">
        <v>224</v>
      </c>
      <c r="E3479" s="423">
        <v>1.140396787228958</v>
      </c>
      <c r="F3479" s="423">
        <v>5.3526309046443036E-3</v>
      </c>
      <c r="G3479" s="422">
        <v>1410.954384040984</v>
      </c>
      <c r="H3479" s="417" t="s">
        <v>2616</v>
      </c>
      <c r="I3479" s="417" t="s">
        <v>1392</v>
      </c>
      <c r="J3479" s="417" t="s">
        <v>8063</v>
      </c>
      <c r="K3479" s="417" t="s">
        <v>9404</v>
      </c>
      <c r="L3479" s="417"/>
      <c r="M3479" s="417" t="s">
        <v>28840</v>
      </c>
    </row>
    <row r="3480" spans="1:13" x14ac:dyDescent="0.25">
      <c r="A3480" s="417" t="s">
        <v>3385</v>
      </c>
      <c r="B3480" s="417" t="s">
        <v>3405</v>
      </c>
      <c r="C3480" s="417" t="s">
        <v>9405</v>
      </c>
      <c r="D3480" s="417" t="s">
        <v>224</v>
      </c>
      <c r="E3480" s="423">
        <v>1.193640913628758</v>
      </c>
      <c r="F3480" s="423">
        <v>4.6005502481900598E-3</v>
      </c>
      <c r="G3480" s="422">
        <v>1495.0742324129719</v>
      </c>
      <c r="H3480" s="417" t="s">
        <v>2616</v>
      </c>
      <c r="I3480" s="417" t="s">
        <v>1392</v>
      </c>
      <c r="J3480" s="417" t="s">
        <v>8063</v>
      </c>
      <c r="K3480" s="417" t="s">
        <v>9406</v>
      </c>
      <c r="L3480" s="417"/>
      <c r="M3480" s="417" t="s">
        <v>28840</v>
      </c>
    </row>
    <row r="3481" spans="1:13" x14ac:dyDescent="0.25">
      <c r="A3481" s="417" t="s">
        <v>3385</v>
      </c>
      <c r="B3481" s="417" t="s">
        <v>3405</v>
      </c>
      <c r="C3481" s="417" t="s">
        <v>9407</v>
      </c>
      <c r="D3481" s="417" t="s">
        <v>224</v>
      </c>
      <c r="E3481" s="423">
        <v>1.3378118047268E-2</v>
      </c>
      <c r="F3481" s="423">
        <v>4.4469930561343718E-4</v>
      </c>
      <c r="G3481" s="422">
        <v>81.907124766893801</v>
      </c>
      <c r="H3481" s="417" t="s">
        <v>2616</v>
      </c>
      <c r="I3481" s="417" t="s">
        <v>1392</v>
      </c>
      <c r="J3481" s="417" t="s">
        <v>8063</v>
      </c>
      <c r="K3481" s="417" t="s">
        <v>9408</v>
      </c>
      <c r="L3481" s="417"/>
      <c r="M3481" s="417" t="s">
        <v>28840</v>
      </c>
    </row>
    <row r="3482" spans="1:13" x14ac:dyDescent="0.25">
      <c r="A3482" s="417" t="s">
        <v>3385</v>
      </c>
      <c r="B3482" s="417" t="s">
        <v>3405</v>
      </c>
      <c r="C3482" s="417" t="s">
        <v>9409</v>
      </c>
      <c r="D3482" s="417" t="s">
        <v>224</v>
      </c>
      <c r="E3482" s="423">
        <v>1.203495060885648E-2</v>
      </c>
      <c r="F3482" s="423">
        <v>4.6889097458363929E-4</v>
      </c>
      <c r="G3482" s="422">
        <v>76.437384499949204</v>
      </c>
      <c r="H3482" s="417" t="s">
        <v>2616</v>
      </c>
      <c r="I3482" s="417" t="s">
        <v>1392</v>
      </c>
      <c r="J3482" s="417" t="s">
        <v>8063</v>
      </c>
      <c r="K3482" s="417" t="s">
        <v>9410</v>
      </c>
      <c r="L3482" s="417"/>
      <c r="M3482" s="417" t="s">
        <v>28840</v>
      </c>
    </row>
    <row r="3483" spans="1:13" x14ac:dyDescent="0.25">
      <c r="A3483" s="417" t="s">
        <v>3385</v>
      </c>
      <c r="B3483" s="417" t="s">
        <v>3405</v>
      </c>
      <c r="C3483" s="417" t="s">
        <v>9411</v>
      </c>
      <c r="D3483" s="417" t="s">
        <v>224</v>
      </c>
      <c r="E3483" s="423">
        <v>0.14135044083499351</v>
      </c>
      <c r="F3483" s="423">
        <v>3.3238433594754313E-2</v>
      </c>
      <c r="G3483" s="422">
        <v>668.41346651423237</v>
      </c>
      <c r="H3483" s="417" t="s">
        <v>2616</v>
      </c>
      <c r="I3483" s="417" t="s">
        <v>1392</v>
      </c>
      <c r="J3483" s="417" t="s">
        <v>8063</v>
      </c>
      <c r="K3483" s="417" t="s">
        <v>9412</v>
      </c>
      <c r="L3483" s="417"/>
      <c r="M3483" s="417" t="s">
        <v>28840</v>
      </c>
    </row>
    <row r="3484" spans="1:13" x14ac:dyDescent="0.25">
      <c r="A3484" s="417" t="s">
        <v>3385</v>
      </c>
      <c r="B3484" s="417" t="s">
        <v>3405</v>
      </c>
      <c r="C3484" s="417" t="s">
        <v>9413</v>
      </c>
      <c r="D3484" s="417" t="s">
        <v>224</v>
      </c>
      <c r="E3484" s="423">
        <v>2.500203039118087E-2</v>
      </c>
      <c r="F3484" s="423">
        <v>5.1099510373720186E-4</v>
      </c>
      <c r="G3484" s="422">
        <v>117.2914487595129</v>
      </c>
      <c r="H3484" s="417" t="s">
        <v>2616</v>
      </c>
      <c r="I3484" s="417" t="s">
        <v>1392</v>
      </c>
      <c r="J3484" s="417" t="s">
        <v>8063</v>
      </c>
      <c r="K3484" s="417" t="s">
        <v>9414</v>
      </c>
      <c r="L3484" s="417"/>
      <c r="M3484" s="417" t="s">
        <v>28840</v>
      </c>
    </row>
    <row r="3485" spans="1:13" x14ac:dyDescent="0.25">
      <c r="A3485" s="417" t="s">
        <v>3385</v>
      </c>
      <c r="B3485" s="417" t="s">
        <v>3405</v>
      </c>
      <c r="C3485" s="417" t="s">
        <v>9415</v>
      </c>
      <c r="D3485" s="417" t="s">
        <v>224</v>
      </c>
      <c r="E3485" s="423">
        <v>1.264680178426795E-2</v>
      </c>
      <c r="F3485" s="423">
        <v>4.9630610695025981E-4</v>
      </c>
      <c r="G3485" s="422">
        <v>77.505566564808902</v>
      </c>
      <c r="H3485" s="417" t="s">
        <v>2616</v>
      </c>
      <c r="I3485" s="417" t="s">
        <v>1392</v>
      </c>
      <c r="J3485" s="417" t="s">
        <v>8063</v>
      </c>
      <c r="K3485" s="417" t="s">
        <v>9416</v>
      </c>
      <c r="L3485" s="417"/>
      <c r="M3485" s="417" t="s">
        <v>28840</v>
      </c>
    </row>
    <row r="3486" spans="1:13" x14ac:dyDescent="0.25">
      <c r="A3486" s="417" t="s">
        <v>3385</v>
      </c>
      <c r="B3486" s="417" t="s">
        <v>3405</v>
      </c>
      <c r="C3486" s="417" t="s">
        <v>9417</v>
      </c>
      <c r="D3486" s="417" t="s">
        <v>224</v>
      </c>
      <c r="E3486" s="423">
        <v>1.11639427912295E-2</v>
      </c>
      <c r="F3486" s="423">
        <v>4.3206759606229643E-4</v>
      </c>
      <c r="G3486" s="422">
        <v>75.166797345437232</v>
      </c>
      <c r="H3486" s="417" t="s">
        <v>2616</v>
      </c>
      <c r="I3486" s="417" t="s">
        <v>1392</v>
      </c>
      <c r="J3486" s="417" t="s">
        <v>8063</v>
      </c>
      <c r="K3486" s="417" t="s">
        <v>9418</v>
      </c>
      <c r="L3486" s="417"/>
      <c r="M3486" s="417" t="s">
        <v>28840</v>
      </c>
    </row>
    <row r="3487" spans="1:13" x14ac:dyDescent="0.25">
      <c r="A3487" s="417" t="s">
        <v>3385</v>
      </c>
      <c r="B3487" s="417" t="s">
        <v>3405</v>
      </c>
      <c r="C3487" s="417" t="s">
        <v>9419</v>
      </c>
      <c r="D3487" s="417" t="s">
        <v>224</v>
      </c>
      <c r="E3487" s="423">
        <v>1.1057248950440241E-2</v>
      </c>
      <c r="F3487" s="423">
        <v>4.2364840933736619E-4</v>
      </c>
      <c r="G3487" s="422">
        <v>74.545429278733764</v>
      </c>
      <c r="H3487" s="417" t="s">
        <v>2616</v>
      </c>
      <c r="I3487" s="417" t="s">
        <v>1392</v>
      </c>
      <c r="J3487" s="417" t="s">
        <v>8063</v>
      </c>
      <c r="K3487" s="417" t="s">
        <v>9420</v>
      </c>
      <c r="L3487" s="417"/>
      <c r="M3487" s="417" t="s">
        <v>28840</v>
      </c>
    </row>
    <row r="3488" spans="1:13" x14ac:dyDescent="0.25">
      <c r="A3488" s="417" t="s">
        <v>3385</v>
      </c>
      <c r="B3488" s="417" t="s">
        <v>3405</v>
      </c>
      <c r="C3488" s="417" t="s">
        <v>9421</v>
      </c>
      <c r="D3488" s="417" t="s">
        <v>224</v>
      </c>
      <c r="E3488" s="423">
        <v>1.1764259129799279</v>
      </c>
      <c r="F3488" s="423">
        <v>1.3382514253782939E-3</v>
      </c>
      <c r="G3488" s="422">
        <v>1419.2862970383901</v>
      </c>
      <c r="H3488" s="417" t="s">
        <v>2616</v>
      </c>
      <c r="I3488" s="417" t="s">
        <v>1392</v>
      </c>
      <c r="J3488" s="417" t="s">
        <v>8063</v>
      </c>
      <c r="K3488" s="417" t="s">
        <v>9422</v>
      </c>
      <c r="L3488" s="417"/>
      <c r="M3488" s="417" t="s">
        <v>28840</v>
      </c>
    </row>
    <row r="3489" spans="1:13" x14ac:dyDescent="0.25">
      <c r="A3489" s="417" t="s">
        <v>3385</v>
      </c>
      <c r="B3489" s="417" t="s">
        <v>3405</v>
      </c>
      <c r="C3489" s="417" t="s">
        <v>9423</v>
      </c>
      <c r="D3489" s="417" t="s">
        <v>224</v>
      </c>
      <c r="E3489" s="423">
        <v>0.58731469306639716</v>
      </c>
      <c r="F3489" s="423">
        <v>2.104066423711587E-3</v>
      </c>
      <c r="G3489" s="422">
        <v>773.97624518263353</v>
      </c>
      <c r="H3489" s="417" t="s">
        <v>2616</v>
      </c>
      <c r="I3489" s="417" t="s">
        <v>1392</v>
      </c>
      <c r="J3489" s="417" t="s">
        <v>8063</v>
      </c>
      <c r="K3489" s="417" t="s">
        <v>9424</v>
      </c>
      <c r="L3489" s="417"/>
      <c r="M3489" s="417" t="s">
        <v>28840</v>
      </c>
    </row>
    <row r="3490" spans="1:13" x14ac:dyDescent="0.25">
      <c r="A3490" s="417" t="s">
        <v>3385</v>
      </c>
      <c r="B3490" s="417" t="s">
        <v>3405</v>
      </c>
      <c r="C3490" s="417" t="s">
        <v>9425</v>
      </c>
      <c r="D3490" s="417" t="s">
        <v>224</v>
      </c>
      <c r="E3490" s="423">
        <v>0.52326689175059005</v>
      </c>
      <c r="F3490" s="423">
        <v>2.3902348850766502E-3</v>
      </c>
      <c r="G3490" s="422">
        <v>702.09742782015894</v>
      </c>
      <c r="H3490" s="417" t="s">
        <v>2616</v>
      </c>
      <c r="I3490" s="417" t="s">
        <v>1392</v>
      </c>
      <c r="J3490" s="417" t="s">
        <v>8063</v>
      </c>
      <c r="K3490" s="417" t="s">
        <v>9426</v>
      </c>
      <c r="L3490" s="417"/>
      <c r="M3490" s="417" t="s">
        <v>28840</v>
      </c>
    </row>
    <row r="3491" spans="1:13" x14ac:dyDescent="0.25">
      <c r="A3491" s="417" t="s">
        <v>3385</v>
      </c>
      <c r="B3491" s="417" t="s">
        <v>3405</v>
      </c>
      <c r="C3491" s="417" t="s">
        <v>9427</v>
      </c>
      <c r="D3491" s="417" t="s">
        <v>224</v>
      </c>
      <c r="E3491" s="423">
        <v>0.56085749232777882</v>
      </c>
      <c r="F3491" s="423">
        <v>2.0296304119191201E-3</v>
      </c>
      <c r="G3491" s="422">
        <v>743.75447113286282</v>
      </c>
      <c r="H3491" s="417" t="s">
        <v>2616</v>
      </c>
      <c r="I3491" s="417" t="s">
        <v>1392</v>
      </c>
      <c r="J3491" s="417" t="s">
        <v>8063</v>
      </c>
      <c r="K3491" s="417" t="s">
        <v>9428</v>
      </c>
      <c r="L3491" s="417"/>
      <c r="M3491" s="417" t="s">
        <v>28840</v>
      </c>
    </row>
    <row r="3492" spans="1:13" x14ac:dyDescent="0.25">
      <c r="A3492" s="417" t="s">
        <v>3385</v>
      </c>
      <c r="B3492" s="417" t="s">
        <v>3405</v>
      </c>
      <c r="C3492" s="417" t="s">
        <v>9429</v>
      </c>
      <c r="D3492" s="417" t="s">
        <v>224</v>
      </c>
      <c r="E3492" s="423">
        <v>2.4081168947367979E-2</v>
      </c>
      <c r="F3492" s="423">
        <v>5.5203515922155877E-4</v>
      </c>
      <c r="G3492" s="422">
        <v>690.34687825174478</v>
      </c>
      <c r="H3492" s="417" t="s">
        <v>2616</v>
      </c>
      <c r="I3492" s="417" t="s">
        <v>1392</v>
      </c>
      <c r="J3492" s="417" t="s">
        <v>8063</v>
      </c>
      <c r="K3492" s="417" t="s">
        <v>9430</v>
      </c>
      <c r="L3492" s="417"/>
      <c r="M3492" s="417" t="s">
        <v>28840</v>
      </c>
    </row>
    <row r="3493" spans="1:13" x14ac:dyDescent="0.25">
      <c r="A3493" s="417" t="s">
        <v>3385</v>
      </c>
      <c r="B3493" s="417" t="s">
        <v>3405</v>
      </c>
      <c r="C3493" s="417" t="s">
        <v>9431</v>
      </c>
      <c r="D3493" s="417" t="s">
        <v>224</v>
      </c>
      <c r="E3493" s="423">
        <v>1.4266606310282551E-2</v>
      </c>
      <c r="F3493" s="423">
        <v>6.0129037450459019E-4</v>
      </c>
      <c r="G3493" s="422">
        <v>976.46836675057182</v>
      </c>
      <c r="H3493" s="417" t="s">
        <v>2616</v>
      </c>
      <c r="I3493" s="417" t="s">
        <v>1392</v>
      </c>
      <c r="J3493" s="417" t="s">
        <v>8063</v>
      </c>
      <c r="K3493" s="417" t="s">
        <v>9432</v>
      </c>
      <c r="L3493" s="417"/>
      <c r="M3493" s="417" t="s">
        <v>28840</v>
      </c>
    </row>
    <row r="3494" spans="1:13" x14ac:dyDescent="0.25">
      <c r="A3494" s="417" t="s">
        <v>3385</v>
      </c>
      <c r="B3494" s="417" t="s">
        <v>3405</v>
      </c>
      <c r="C3494" s="417" t="s">
        <v>9433</v>
      </c>
      <c r="D3494" s="417" t="s">
        <v>224</v>
      </c>
      <c r="E3494" s="423">
        <v>2.2263011115742349E-2</v>
      </c>
      <c r="F3494" s="423">
        <v>5.3723290718505137E-4</v>
      </c>
      <c r="G3494" s="422">
        <v>657.18291682738175</v>
      </c>
      <c r="H3494" s="417" t="s">
        <v>2616</v>
      </c>
      <c r="I3494" s="417" t="s">
        <v>1392</v>
      </c>
      <c r="J3494" s="417" t="s">
        <v>8063</v>
      </c>
      <c r="K3494" s="417" t="s">
        <v>9434</v>
      </c>
      <c r="L3494" s="417"/>
      <c r="M3494" s="417" t="s">
        <v>28840</v>
      </c>
    </row>
    <row r="3495" spans="1:13" x14ac:dyDescent="0.25">
      <c r="A3495" s="417" t="s">
        <v>3385</v>
      </c>
      <c r="B3495" s="417" t="s">
        <v>3405</v>
      </c>
      <c r="C3495" s="417" t="s">
        <v>9435</v>
      </c>
      <c r="D3495" s="417" t="s">
        <v>224</v>
      </c>
      <c r="E3495" s="423">
        <v>1.4266606874850971E-2</v>
      </c>
      <c r="F3495" s="423">
        <v>6.0129051107716733E-4</v>
      </c>
      <c r="G3495" s="422">
        <v>976.46836817778274</v>
      </c>
      <c r="H3495" s="417" t="s">
        <v>2616</v>
      </c>
      <c r="I3495" s="417" t="s">
        <v>1392</v>
      </c>
      <c r="J3495" s="417" t="s">
        <v>8063</v>
      </c>
      <c r="K3495" s="417" t="s">
        <v>9436</v>
      </c>
      <c r="L3495" s="417"/>
      <c r="M3495" s="417" t="s">
        <v>28840</v>
      </c>
    </row>
    <row r="3496" spans="1:13" x14ac:dyDescent="0.25">
      <c r="A3496" s="417" t="s">
        <v>3385</v>
      </c>
      <c r="B3496" s="417" t="s">
        <v>3405</v>
      </c>
      <c r="C3496" s="417" t="s">
        <v>9437</v>
      </c>
      <c r="D3496" s="417" t="s">
        <v>224</v>
      </c>
      <c r="E3496" s="423">
        <v>2.3122214300192751E-2</v>
      </c>
      <c r="F3496" s="423">
        <v>5.4422537121660234E-4</v>
      </c>
      <c r="G3496" s="422">
        <v>672.86182214573773</v>
      </c>
      <c r="H3496" s="417" t="s">
        <v>2616</v>
      </c>
      <c r="I3496" s="417" t="s">
        <v>1392</v>
      </c>
      <c r="J3496" s="417" t="s">
        <v>8063</v>
      </c>
      <c r="K3496" s="417" t="s">
        <v>9438</v>
      </c>
      <c r="L3496" s="417"/>
      <c r="M3496" s="417" t="s">
        <v>28840</v>
      </c>
    </row>
    <row r="3497" spans="1:13" x14ac:dyDescent="0.25">
      <c r="A3497" s="417" t="s">
        <v>3385</v>
      </c>
      <c r="B3497" s="417" t="s">
        <v>3405</v>
      </c>
      <c r="C3497" s="417" t="s">
        <v>9439</v>
      </c>
      <c r="D3497" s="417" t="s">
        <v>224</v>
      </c>
      <c r="E3497" s="423">
        <v>1.071694287395456</v>
      </c>
      <c r="F3497" s="423">
        <v>3.776913686779067E-3</v>
      </c>
      <c r="G3497" s="422">
        <v>1546.3265770948699</v>
      </c>
      <c r="H3497" s="417" t="s">
        <v>2616</v>
      </c>
      <c r="I3497" s="417" t="s">
        <v>1392</v>
      </c>
      <c r="J3497" s="417" t="s">
        <v>8063</v>
      </c>
      <c r="K3497" s="417" t="s">
        <v>9440</v>
      </c>
      <c r="L3497" s="417"/>
      <c r="M3497" s="417" t="s">
        <v>28840</v>
      </c>
    </row>
    <row r="3498" spans="1:13" x14ac:dyDescent="0.25">
      <c r="A3498" s="417" t="s">
        <v>3385</v>
      </c>
      <c r="B3498" s="417" t="s">
        <v>3405</v>
      </c>
      <c r="C3498" s="417" t="s">
        <v>9441</v>
      </c>
      <c r="D3498" s="417" t="s">
        <v>224</v>
      </c>
      <c r="E3498" s="423">
        <v>1.0785968319646171</v>
      </c>
      <c r="F3498" s="423">
        <v>3.826232105393193E-3</v>
      </c>
      <c r="G3498" s="422">
        <v>1558.858582845935</v>
      </c>
      <c r="H3498" s="417" t="s">
        <v>2616</v>
      </c>
      <c r="I3498" s="417" t="s">
        <v>1392</v>
      </c>
      <c r="J3498" s="417" t="s">
        <v>8063</v>
      </c>
      <c r="K3498" s="417" t="s">
        <v>9442</v>
      </c>
      <c r="L3498" s="417"/>
      <c r="M3498" s="417" t="s">
        <v>28840</v>
      </c>
    </row>
    <row r="3499" spans="1:13" x14ac:dyDescent="0.25">
      <c r="A3499" s="417" t="s">
        <v>3385</v>
      </c>
      <c r="B3499" s="417" t="s">
        <v>3405</v>
      </c>
      <c r="C3499" s="417" t="s">
        <v>9443</v>
      </c>
      <c r="D3499" s="417" t="s">
        <v>224</v>
      </c>
      <c r="E3499" s="423">
        <v>4.161826000810806E-2</v>
      </c>
      <c r="F3499" s="423">
        <v>1.9860932342762858E-3</v>
      </c>
      <c r="G3499" s="422">
        <v>146.01229557311339</v>
      </c>
      <c r="H3499" s="417" t="s">
        <v>2616</v>
      </c>
      <c r="I3499" s="417" t="s">
        <v>1392</v>
      </c>
      <c r="J3499" s="417" t="s">
        <v>8063</v>
      </c>
      <c r="K3499" s="417" t="s">
        <v>9444</v>
      </c>
      <c r="L3499" s="417"/>
      <c r="M3499" s="417" t="s">
        <v>28840</v>
      </c>
    </row>
    <row r="3500" spans="1:13" x14ac:dyDescent="0.25">
      <c r="A3500" s="417" t="s">
        <v>3385</v>
      </c>
      <c r="B3500" s="417" t="s">
        <v>3405</v>
      </c>
      <c r="C3500" s="417" t="s">
        <v>9445</v>
      </c>
      <c r="D3500" s="417" t="s">
        <v>224</v>
      </c>
      <c r="E3500" s="423">
        <v>4.161826000810806E-2</v>
      </c>
      <c r="F3500" s="423">
        <v>1.9860932342762858E-3</v>
      </c>
      <c r="G3500" s="422">
        <v>146.01229557311339</v>
      </c>
      <c r="H3500" s="417" t="s">
        <v>2616</v>
      </c>
      <c r="I3500" s="417" t="s">
        <v>1392</v>
      </c>
      <c r="J3500" s="417" t="s">
        <v>8063</v>
      </c>
      <c r="K3500" s="417" t="s">
        <v>9446</v>
      </c>
      <c r="L3500" s="417"/>
      <c r="M3500" s="417" t="s">
        <v>28840</v>
      </c>
    </row>
    <row r="3501" spans="1:13" x14ac:dyDescent="0.25">
      <c r="A3501" s="417" t="s">
        <v>3385</v>
      </c>
      <c r="B3501" s="417" t="s">
        <v>3405</v>
      </c>
      <c r="C3501" s="417" t="s">
        <v>9447</v>
      </c>
      <c r="D3501" s="417" t="s">
        <v>224</v>
      </c>
      <c r="E3501" s="423">
        <v>3.9577698706438708E-2</v>
      </c>
      <c r="F3501" s="423">
        <v>1.899085177088823E-3</v>
      </c>
      <c r="G3501" s="422">
        <v>138.9696034322869</v>
      </c>
      <c r="H3501" s="417" t="s">
        <v>2616</v>
      </c>
      <c r="I3501" s="417" t="s">
        <v>1392</v>
      </c>
      <c r="J3501" s="417" t="s">
        <v>8063</v>
      </c>
      <c r="K3501" s="417" t="s">
        <v>9448</v>
      </c>
      <c r="L3501" s="417"/>
      <c r="M3501" s="417" t="s">
        <v>28840</v>
      </c>
    </row>
    <row r="3502" spans="1:13" x14ac:dyDescent="0.25">
      <c r="A3502" s="417" t="s">
        <v>3385</v>
      </c>
      <c r="B3502" s="417" t="s">
        <v>3405</v>
      </c>
      <c r="C3502" s="417" t="s">
        <v>9449</v>
      </c>
      <c r="D3502" s="417" t="s">
        <v>224</v>
      </c>
      <c r="E3502" s="423">
        <v>2.9598967195028421E-2</v>
      </c>
      <c r="F3502" s="423">
        <v>1.486667242336205E-3</v>
      </c>
      <c r="G3502" s="422">
        <v>75.876557589847323</v>
      </c>
      <c r="H3502" s="417" t="s">
        <v>2616</v>
      </c>
      <c r="I3502" s="417" t="s">
        <v>1392</v>
      </c>
      <c r="J3502" s="417" t="s">
        <v>9331</v>
      </c>
      <c r="K3502" s="417" t="s">
        <v>9450</v>
      </c>
      <c r="L3502" s="417"/>
      <c r="M3502" s="417" t="s">
        <v>28840</v>
      </c>
    </row>
    <row r="3503" spans="1:13" x14ac:dyDescent="0.25">
      <c r="A3503" s="417" t="s">
        <v>3385</v>
      </c>
      <c r="B3503" s="417" t="s">
        <v>3405</v>
      </c>
      <c r="C3503" s="417" t="s">
        <v>9451</v>
      </c>
      <c r="D3503" s="417" t="s">
        <v>224</v>
      </c>
      <c r="E3503" s="423">
        <v>1.2307298116103231E-2</v>
      </c>
      <c r="F3503" s="423">
        <v>4.8587639303239981E-4</v>
      </c>
      <c r="G3503" s="422">
        <v>77.529688992747282</v>
      </c>
      <c r="H3503" s="417" t="s">
        <v>2616</v>
      </c>
      <c r="I3503" s="417" t="s">
        <v>1392</v>
      </c>
      <c r="J3503" s="417" t="s">
        <v>8063</v>
      </c>
      <c r="K3503" s="417" t="s">
        <v>9452</v>
      </c>
      <c r="L3503" s="417"/>
      <c r="M3503" s="417" t="s">
        <v>28840</v>
      </c>
    </row>
    <row r="3504" spans="1:13" x14ac:dyDescent="0.25">
      <c r="A3504" s="417" t="s">
        <v>3385</v>
      </c>
      <c r="B3504" s="417" t="s">
        <v>3405</v>
      </c>
      <c r="C3504" s="417" t="s">
        <v>9453</v>
      </c>
      <c r="D3504" s="417" t="s">
        <v>224</v>
      </c>
      <c r="E3504" s="423">
        <v>6.9678899762129903E-3</v>
      </c>
      <c r="F3504" s="423">
        <v>2.6119240535495331E-4</v>
      </c>
      <c r="G3504" s="422">
        <v>55.37479372297885</v>
      </c>
      <c r="H3504" s="417" t="s">
        <v>2616</v>
      </c>
      <c r="I3504" s="417" t="s">
        <v>1392</v>
      </c>
      <c r="J3504" s="417" t="s">
        <v>8063</v>
      </c>
      <c r="K3504" s="417" t="s">
        <v>9454</v>
      </c>
      <c r="L3504" s="417"/>
      <c r="M3504" s="417" t="s">
        <v>28840</v>
      </c>
    </row>
    <row r="3505" spans="1:13" x14ac:dyDescent="0.25">
      <c r="A3505" s="417" t="s">
        <v>3385</v>
      </c>
      <c r="B3505" s="417" t="s">
        <v>3405</v>
      </c>
      <c r="C3505" s="417" t="s">
        <v>9455</v>
      </c>
      <c r="D3505" s="417" t="s">
        <v>224</v>
      </c>
      <c r="E3505" s="423">
        <v>2.25899145776173E-2</v>
      </c>
      <c r="F3505" s="423">
        <v>7.7870934465628923E-4</v>
      </c>
      <c r="G3505" s="422">
        <v>100.9006163652127</v>
      </c>
      <c r="H3505" s="417" t="s">
        <v>2616</v>
      </c>
      <c r="I3505" s="417" t="s">
        <v>1392</v>
      </c>
      <c r="J3505" s="417" t="s">
        <v>8063</v>
      </c>
      <c r="K3505" s="417" t="s">
        <v>9456</v>
      </c>
      <c r="L3505" s="417"/>
      <c r="M3505" s="417" t="s">
        <v>28840</v>
      </c>
    </row>
    <row r="3506" spans="1:13" x14ac:dyDescent="0.25">
      <c r="A3506" s="417" t="s">
        <v>3385</v>
      </c>
      <c r="B3506" s="417" t="s">
        <v>3405</v>
      </c>
      <c r="C3506" s="417" t="s">
        <v>9457</v>
      </c>
      <c r="D3506" s="417" t="s">
        <v>224</v>
      </c>
      <c r="E3506" s="423">
        <v>2.6112327425835549E-2</v>
      </c>
      <c r="F3506" s="423">
        <v>9.4355969071625856E-4</v>
      </c>
      <c r="G3506" s="422">
        <v>107.7974448404857</v>
      </c>
      <c r="H3506" s="417" t="s">
        <v>2616</v>
      </c>
      <c r="I3506" s="417" t="s">
        <v>1392</v>
      </c>
      <c r="J3506" s="417" t="s">
        <v>8063</v>
      </c>
      <c r="K3506" s="417" t="s">
        <v>9458</v>
      </c>
      <c r="L3506" s="417"/>
      <c r="M3506" s="417" t="s">
        <v>28840</v>
      </c>
    </row>
    <row r="3507" spans="1:13" x14ac:dyDescent="0.25">
      <c r="A3507" s="417" t="s">
        <v>3385</v>
      </c>
      <c r="B3507" s="417" t="s">
        <v>3405</v>
      </c>
      <c r="C3507" s="417" t="s">
        <v>9459</v>
      </c>
      <c r="D3507" s="417" t="s">
        <v>224</v>
      </c>
      <c r="E3507" s="423">
        <v>1.7376858595474751E-2</v>
      </c>
      <c r="F3507" s="423">
        <v>6.1936563351355528E-4</v>
      </c>
      <c r="G3507" s="422">
        <v>47.582553539880031</v>
      </c>
      <c r="H3507" s="417" t="s">
        <v>2616</v>
      </c>
      <c r="I3507" s="417" t="s">
        <v>1392</v>
      </c>
      <c r="J3507" s="417" t="s">
        <v>9331</v>
      </c>
      <c r="K3507" s="417" t="s">
        <v>9460</v>
      </c>
      <c r="L3507" s="417"/>
      <c r="M3507" s="417" t="s">
        <v>28840</v>
      </c>
    </row>
    <row r="3508" spans="1:13" x14ac:dyDescent="0.25">
      <c r="A3508" s="417" t="s">
        <v>3385</v>
      </c>
      <c r="B3508" s="417" t="s">
        <v>3405</v>
      </c>
      <c r="C3508" s="417" t="s">
        <v>9461</v>
      </c>
      <c r="D3508" s="417" t="s">
        <v>224</v>
      </c>
      <c r="E3508" s="423">
        <v>0.22477191617428641</v>
      </c>
      <c r="F3508" s="423">
        <v>8.4631051385023068E-2</v>
      </c>
      <c r="G3508" s="422">
        <v>487.63786413731151</v>
      </c>
      <c r="H3508" s="417" t="s">
        <v>2616</v>
      </c>
      <c r="I3508" s="417" t="s">
        <v>1392</v>
      </c>
      <c r="J3508" s="417" t="s">
        <v>8072</v>
      </c>
      <c r="K3508" s="417" t="s">
        <v>9462</v>
      </c>
      <c r="L3508" s="417"/>
      <c r="M3508" s="417" t="s">
        <v>28840</v>
      </c>
    </row>
    <row r="3509" spans="1:13" x14ac:dyDescent="0.25">
      <c r="A3509" s="417" t="s">
        <v>3385</v>
      </c>
      <c r="B3509" s="417" t="s">
        <v>3405</v>
      </c>
      <c r="C3509" s="417" t="s">
        <v>9463</v>
      </c>
      <c r="D3509" s="417" t="s">
        <v>224</v>
      </c>
      <c r="E3509" s="423">
        <v>0.60983348249272584</v>
      </c>
      <c r="F3509" s="423">
        <v>2.006172445505968E-2</v>
      </c>
      <c r="G3509" s="422">
        <v>907.60680904019432</v>
      </c>
      <c r="H3509" s="417" t="s">
        <v>2616</v>
      </c>
      <c r="I3509" s="417" t="s">
        <v>1392</v>
      </c>
      <c r="J3509" s="417" t="s">
        <v>8072</v>
      </c>
      <c r="K3509" s="417" t="s">
        <v>9464</v>
      </c>
      <c r="L3509" s="417"/>
      <c r="M3509" s="417" t="s">
        <v>28840</v>
      </c>
    </row>
    <row r="3510" spans="1:13" x14ac:dyDescent="0.25">
      <c r="A3510" s="417" t="s">
        <v>3385</v>
      </c>
      <c r="B3510" s="417" t="s">
        <v>3405</v>
      </c>
      <c r="C3510" s="417" t="s">
        <v>9465</v>
      </c>
      <c r="D3510" s="417" t="s">
        <v>224</v>
      </c>
      <c r="E3510" s="423">
        <v>0.40248981599663791</v>
      </c>
      <c r="F3510" s="423">
        <v>6.4163782748137667E-3</v>
      </c>
      <c r="G3510" s="422">
        <v>568.63930218250391</v>
      </c>
      <c r="H3510" s="417" t="s">
        <v>2616</v>
      </c>
      <c r="I3510" s="417" t="s">
        <v>1392</v>
      </c>
      <c r="J3510" s="417" t="s">
        <v>8072</v>
      </c>
      <c r="K3510" s="417" t="s">
        <v>9466</v>
      </c>
      <c r="L3510" s="417"/>
      <c r="M3510" s="417" t="s">
        <v>28840</v>
      </c>
    </row>
    <row r="3511" spans="1:13" x14ac:dyDescent="0.25">
      <c r="A3511" s="417" t="s">
        <v>3385</v>
      </c>
      <c r="B3511" s="417" t="s">
        <v>3405</v>
      </c>
      <c r="C3511" s="417" t="s">
        <v>9467</v>
      </c>
      <c r="D3511" s="417" t="s">
        <v>224</v>
      </c>
      <c r="E3511" s="423">
        <v>0.25306481074755072</v>
      </c>
      <c r="F3511" s="423">
        <v>3.4863517673100412E-2</v>
      </c>
      <c r="G3511" s="422">
        <v>378.74707298778333</v>
      </c>
      <c r="H3511" s="417" t="s">
        <v>2616</v>
      </c>
      <c r="I3511" s="417" t="s">
        <v>1392</v>
      </c>
      <c r="J3511" s="417" t="s">
        <v>8072</v>
      </c>
      <c r="K3511" s="417" t="s">
        <v>9468</v>
      </c>
      <c r="L3511" s="417"/>
      <c r="M3511" s="417" t="s">
        <v>28840</v>
      </c>
    </row>
    <row r="3512" spans="1:13" x14ac:dyDescent="0.25">
      <c r="A3512" s="417" t="s">
        <v>3385</v>
      </c>
      <c r="B3512" s="417" t="s">
        <v>3405</v>
      </c>
      <c r="C3512" s="417" t="s">
        <v>9469</v>
      </c>
      <c r="D3512" s="417" t="s">
        <v>224</v>
      </c>
      <c r="E3512" s="423">
        <v>0.2419346202486424</v>
      </c>
      <c r="F3512" s="423">
        <v>3.4677880622200237E-2</v>
      </c>
      <c r="G3512" s="422">
        <v>618.7778490022672</v>
      </c>
      <c r="H3512" s="417" t="s">
        <v>2616</v>
      </c>
      <c r="I3512" s="417" t="s">
        <v>1392</v>
      </c>
      <c r="J3512" s="417" t="s">
        <v>8072</v>
      </c>
      <c r="K3512" s="417" t="s">
        <v>9470</v>
      </c>
      <c r="L3512" s="417"/>
      <c r="M3512" s="417" t="s">
        <v>28840</v>
      </c>
    </row>
    <row r="3513" spans="1:13" x14ac:dyDescent="0.25">
      <c r="A3513" s="417" t="s">
        <v>3385</v>
      </c>
      <c r="B3513" s="417" t="s">
        <v>3405</v>
      </c>
      <c r="C3513" s="417" t="s">
        <v>9471</v>
      </c>
      <c r="D3513" s="417" t="s">
        <v>224</v>
      </c>
      <c r="E3513" s="423">
        <v>0.91284460850749527</v>
      </c>
      <c r="F3513" s="423">
        <v>6.1602225353811463E-2</v>
      </c>
      <c r="G3513" s="422">
        <v>1154.447728400414</v>
      </c>
      <c r="H3513" s="417" t="s">
        <v>2616</v>
      </c>
      <c r="I3513" s="417" t="s">
        <v>1392</v>
      </c>
      <c r="J3513" s="417" t="s">
        <v>8072</v>
      </c>
      <c r="K3513" s="417" t="s">
        <v>9472</v>
      </c>
      <c r="L3513" s="417"/>
      <c r="M3513" s="417" t="s">
        <v>28840</v>
      </c>
    </row>
    <row r="3514" spans="1:13" x14ac:dyDescent="0.25">
      <c r="A3514" s="417" t="s">
        <v>3385</v>
      </c>
      <c r="B3514" s="417" t="s">
        <v>3405</v>
      </c>
      <c r="C3514" s="417" t="s">
        <v>9473</v>
      </c>
      <c r="D3514" s="417" t="s">
        <v>224</v>
      </c>
      <c r="E3514" s="423">
        <v>0.36126643665722341</v>
      </c>
      <c r="F3514" s="423">
        <v>1.5589545448589251E-2</v>
      </c>
      <c r="G3514" s="422">
        <v>518.75501928885956</v>
      </c>
      <c r="H3514" s="417" t="s">
        <v>2616</v>
      </c>
      <c r="I3514" s="417" t="s">
        <v>1392</v>
      </c>
      <c r="J3514" s="417" t="s">
        <v>8072</v>
      </c>
      <c r="K3514" s="417" t="s">
        <v>9474</v>
      </c>
      <c r="L3514" s="417"/>
      <c r="M3514" s="417" t="s">
        <v>28840</v>
      </c>
    </row>
    <row r="3515" spans="1:13" x14ac:dyDescent="0.25">
      <c r="A3515" s="417" t="s">
        <v>3385</v>
      </c>
      <c r="B3515" s="417" t="s">
        <v>3405</v>
      </c>
      <c r="C3515" s="417" t="s">
        <v>9475</v>
      </c>
      <c r="D3515" s="417" t="s">
        <v>224</v>
      </c>
      <c r="E3515" s="423">
        <v>0.59473867922424972</v>
      </c>
      <c r="F3515" s="423">
        <v>1.858970269527556E-3</v>
      </c>
      <c r="G3515" s="422">
        <v>773.24969176576144</v>
      </c>
      <c r="H3515" s="417" t="s">
        <v>2616</v>
      </c>
      <c r="I3515" s="417" t="s">
        <v>1392</v>
      </c>
      <c r="J3515" s="417" t="s">
        <v>8072</v>
      </c>
      <c r="K3515" s="417" t="s">
        <v>9476</v>
      </c>
      <c r="L3515" s="417"/>
      <c r="M3515" s="417" t="s">
        <v>28840</v>
      </c>
    </row>
    <row r="3516" spans="1:13" x14ac:dyDescent="0.25">
      <c r="A3516" s="417" t="s">
        <v>3385</v>
      </c>
      <c r="B3516" s="417" t="s">
        <v>3405</v>
      </c>
      <c r="C3516" s="417" t="s">
        <v>9477</v>
      </c>
      <c r="D3516" s="417" t="s">
        <v>224</v>
      </c>
      <c r="E3516" s="423">
        <v>1.0505379759169979</v>
      </c>
      <c r="F3516" s="423">
        <v>2.20387821127127E-2</v>
      </c>
      <c r="G3516" s="422">
        <v>1633.0699742180179</v>
      </c>
      <c r="H3516" s="417" t="s">
        <v>2616</v>
      </c>
      <c r="I3516" s="417" t="s">
        <v>1392</v>
      </c>
      <c r="J3516" s="417" t="s">
        <v>8072</v>
      </c>
      <c r="K3516" s="417" t="s">
        <v>9478</v>
      </c>
      <c r="L3516" s="417"/>
      <c r="M3516" s="417" t="s">
        <v>28840</v>
      </c>
    </row>
    <row r="3517" spans="1:13" x14ac:dyDescent="0.25">
      <c r="A3517" s="417" t="s">
        <v>3385</v>
      </c>
      <c r="B3517" s="417" t="s">
        <v>3405</v>
      </c>
      <c r="C3517" s="417" t="s">
        <v>9479</v>
      </c>
      <c r="D3517" s="417" t="s">
        <v>224</v>
      </c>
      <c r="E3517" s="423">
        <v>0.7814201563012938</v>
      </c>
      <c r="F3517" s="423">
        <v>2.793102047951045E-3</v>
      </c>
      <c r="G3517" s="422">
        <v>1079.527021161138</v>
      </c>
      <c r="H3517" s="417" t="s">
        <v>2616</v>
      </c>
      <c r="I3517" s="417" t="s">
        <v>1392</v>
      </c>
      <c r="J3517" s="417" t="s">
        <v>8072</v>
      </c>
      <c r="K3517" s="417" t="s">
        <v>9480</v>
      </c>
      <c r="L3517" s="417"/>
      <c r="M3517" s="417" t="s">
        <v>28840</v>
      </c>
    </row>
    <row r="3518" spans="1:13" x14ac:dyDescent="0.25">
      <c r="A3518" s="417" t="s">
        <v>3385</v>
      </c>
      <c r="B3518" s="417" t="s">
        <v>3405</v>
      </c>
      <c r="C3518" s="417" t="s">
        <v>9481</v>
      </c>
      <c r="D3518" s="417" t="s">
        <v>224</v>
      </c>
      <c r="E3518" s="423">
        <v>0.59758573338292742</v>
      </c>
      <c r="F3518" s="423">
        <v>3.1358846663875999E-3</v>
      </c>
      <c r="G3518" s="422">
        <v>815.18227382470366</v>
      </c>
      <c r="H3518" s="417" t="s">
        <v>2616</v>
      </c>
      <c r="I3518" s="417" t="s">
        <v>1392</v>
      </c>
      <c r="J3518" s="417" t="s">
        <v>8072</v>
      </c>
      <c r="K3518" s="417" t="s">
        <v>9482</v>
      </c>
      <c r="L3518" s="417"/>
      <c r="M3518" s="417" t="s">
        <v>28840</v>
      </c>
    </row>
    <row r="3519" spans="1:13" x14ac:dyDescent="0.25">
      <c r="A3519" s="417" t="s">
        <v>3385</v>
      </c>
      <c r="B3519" s="417" t="s">
        <v>3405</v>
      </c>
      <c r="C3519" s="417" t="s">
        <v>9483</v>
      </c>
      <c r="D3519" s="417" t="s">
        <v>224</v>
      </c>
      <c r="E3519" s="423">
        <v>3.6684114626740698E-2</v>
      </c>
      <c r="F3519" s="423">
        <v>2.6518736142475022E-4</v>
      </c>
      <c r="G3519" s="422">
        <v>91.949898367616299</v>
      </c>
      <c r="H3519" s="417" t="s">
        <v>2616</v>
      </c>
      <c r="I3519" s="417" t="s">
        <v>1392</v>
      </c>
      <c r="J3519" s="417" t="s">
        <v>8072</v>
      </c>
      <c r="K3519" s="417" t="s">
        <v>9484</v>
      </c>
      <c r="L3519" s="417"/>
      <c r="M3519" s="417" t="s">
        <v>28840</v>
      </c>
    </row>
    <row r="3520" spans="1:13" x14ac:dyDescent="0.25">
      <c r="A3520" s="417" t="s">
        <v>3385</v>
      </c>
      <c r="B3520" s="417" t="s">
        <v>3405</v>
      </c>
      <c r="C3520" s="417" t="s">
        <v>9485</v>
      </c>
      <c r="D3520" s="417" t="s">
        <v>224</v>
      </c>
      <c r="E3520" s="423">
        <v>0.3861959095965799</v>
      </c>
      <c r="F3520" s="423">
        <v>4.1673519625882373E-2</v>
      </c>
      <c r="G3520" s="422">
        <v>536.29362129432366</v>
      </c>
      <c r="H3520" s="417" t="s">
        <v>2616</v>
      </c>
      <c r="I3520" s="417" t="s">
        <v>1392</v>
      </c>
      <c r="J3520" s="417" t="s">
        <v>8072</v>
      </c>
      <c r="K3520" s="417" t="s">
        <v>9486</v>
      </c>
      <c r="L3520" s="417"/>
      <c r="M3520" s="417" t="s">
        <v>28840</v>
      </c>
    </row>
    <row r="3521" spans="1:13" x14ac:dyDescent="0.25">
      <c r="A3521" s="417" t="s">
        <v>3385</v>
      </c>
      <c r="B3521" s="417" t="s">
        <v>3405</v>
      </c>
      <c r="C3521" s="417" t="s">
        <v>9487</v>
      </c>
      <c r="D3521" s="417" t="s">
        <v>224</v>
      </c>
      <c r="E3521" s="423">
        <v>0.59384558796785858</v>
      </c>
      <c r="F3521" s="423">
        <v>3.4551718517359463E-2</v>
      </c>
      <c r="G3521" s="422">
        <v>872.1579406972354</v>
      </c>
      <c r="H3521" s="417" t="s">
        <v>2616</v>
      </c>
      <c r="I3521" s="417" t="s">
        <v>1392</v>
      </c>
      <c r="J3521" s="417" t="s">
        <v>8072</v>
      </c>
      <c r="K3521" s="417" t="s">
        <v>9488</v>
      </c>
      <c r="L3521" s="417"/>
      <c r="M3521" s="417" t="s">
        <v>28840</v>
      </c>
    </row>
    <row r="3522" spans="1:13" x14ac:dyDescent="0.25">
      <c r="A3522" s="417" t="s">
        <v>3385</v>
      </c>
      <c r="B3522" s="417" t="s">
        <v>3405</v>
      </c>
      <c r="C3522" s="417" t="s">
        <v>9489</v>
      </c>
      <c r="D3522" s="417" t="s">
        <v>224</v>
      </c>
      <c r="E3522" s="423">
        <v>0.5757903963710661</v>
      </c>
      <c r="F3522" s="423">
        <v>1.523922323549368E-2</v>
      </c>
      <c r="G3522" s="422">
        <v>958.68974440196666</v>
      </c>
      <c r="H3522" s="417" t="s">
        <v>2616</v>
      </c>
      <c r="I3522" s="417" t="s">
        <v>1392</v>
      </c>
      <c r="J3522" s="417" t="s">
        <v>8072</v>
      </c>
      <c r="K3522" s="417" t="s">
        <v>9490</v>
      </c>
      <c r="L3522" s="417"/>
      <c r="M3522" s="417" t="s">
        <v>28840</v>
      </c>
    </row>
    <row r="3523" spans="1:13" x14ac:dyDescent="0.25">
      <c r="A3523" s="417" t="s">
        <v>3385</v>
      </c>
      <c r="B3523" s="417" t="s">
        <v>3405</v>
      </c>
      <c r="C3523" s="417" t="s">
        <v>9491</v>
      </c>
      <c r="D3523" s="417" t="s">
        <v>224</v>
      </c>
      <c r="E3523" s="423">
        <v>0.93053734091312412</v>
      </c>
      <c r="F3523" s="423">
        <v>2.9590075588320571E-3</v>
      </c>
      <c r="G3523" s="422">
        <v>1278.037958086355</v>
      </c>
      <c r="H3523" s="417" t="s">
        <v>2616</v>
      </c>
      <c r="I3523" s="417" t="s">
        <v>1392</v>
      </c>
      <c r="J3523" s="417" t="s">
        <v>8072</v>
      </c>
      <c r="K3523" s="417" t="s">
        <v>9492</v>
      </c>
      <c r="L3523" s="417"/>
      <c r="M3523" s="417" t="s">
        <v>28840</v>
      </c>
    </row>
    <row r="3524" spans="1:13" x14ac:dyDescent="0.25">
      <c r="A3524" s="417" t="s">
        <v>3385</v>
      </c>
      <c r="B3524" s="417" t="s">
        <v>3405</v>
      </c>
      <c r="C3524" s="417" t="s">
        <v>9493</v>
      </c>
      <c r="D3524" s="417" t="s">
        <v>224</v>
      </c>
      <c r="E3524" s="423">
        <v>0.14774697753402979</v>
      </c>
      <c r="F3524" s="423">
        <v>6.9532231409781292E-2</v>
      </c>
      <c r="G3524" s="422">
        <v>287.33800796660557</v>
      </c>
      <c r="H3524" s="417" t="s">
        <v>2616</v>
      </c>
      <c r="I3524" s="417" t="s">
        <v>1392</v>
      </c>
      <c r="J3524" s="417" t="s">
        <v>8072</v>
      </c>
      <c r="K3524" s="417" t="s">
        <v>9494</v>
      </c>
      <c r="L3524" s="417"/>
      <c r="M3524" s="417" t="s">
        <v>28840</v>
      </c>
    </row>
    <row r="3525" spans="1:13" x14ac:dyDescent="0.25">
      <c r="A3525" s="417" t="s">
        <v>3385</v>
      </c>
      <c r="B3525" s="417" t="s">
        <v>3405</v>
      </c>
      <c r="C3525" s="417" t="s">
        <v>9495</v>
      </c>
      <c r="D3525" s="417" t="s">
        <v>224</v>
      </c>
      <c r="E3525" s="423">
        <v>0.31537622286527611</v>
      </c>
      <c r="F3525" s="423">
        <v>0.11439470791105449</v>
      </c>
      <c r="G3525" s="422">
        <v>583.91802367299533</v>
      </c>
      <c r="H3525" s="417" t="s">
        <v>2616</v>
      </c>
      <c r="I3525" s="417" t="s">
        <v>1392</v>
      </c>
      <c r="J3525" s="417" t="s">
        <v>8072</v>
      </c>
      <c r="K3525" s="417" t="s">
        <v>9496</v>
      </c>
      <c r="L3525" s="417"/>
      <c r="M3525" s="417" t="s">
        <v>28840</v>
      </c>
    </row>
    <row r="3526" spans="1:13" x14ac:dyDescent="0.25">
      <c r="A3526" s="417" t="s">
        <v>3385</v>
      </c>
      <c r="B3526" s="417" t="s">
        <v>3405</v>
      </c>
      <c r="C3526" s="417" t="s">
        <v>9497</v>
      </c>
      <c r="D3526" s="417" t="s">
        <v>224</v>
      </c>
      <c r="E3526" s="423">
        <v>0.13941009666475371</v>
      </c>
      <c r="F3526" s="423">
        <v>8.8772765941047146E-2</v>
      </c>
      <c r="G3526" s="422">
        <v>243.45347764511689</v>
      </c>
      <c r="H3526" s="417" t="s">
        <v>2616</v>
      </c>
      <c r="I3526" s="417" t="s">
        <v>1392</v>
      </c>
      <c r="J3526" s="417" t="s">
        <v>8072</v>
      </c>
      <c r="K3526" s="417" t="s">
        <v>9498</v>
      </c>
      <c r="L3526" s="417"/>
      <c r="M3526" s="417" t="s">
        <v>28840</v>
      </c>
    </row>
    <row r="3527" spans="1:13" x14ac:dyDescent="0.25">
      <c r="A3527" s="417" t="s">
        <v>3385</v>
      </c>
      <c r="B3527" s="417" t="s">
        <v>3405</v>
      </c>
      <c r="C3527" s="417" t="s">
        <v>9499</v>
      </c>
      <c r="D3527" s="417" t="s">
        <v>224</v>
      </c>
      <c r="E3527" s="423">
        <v>0.93977677255799963</v>
      </c>
      <c r="F3527" s="423">
        <v>2.675758672176311E-3</v>
      </c>
      <c r="G3527" s="422">
        <v>1160.078321743239</v>
      </c>
      <c r="H3527" s="417" t="s">
        <v>2616</v>
      </c>
      <c r="I3527" s="417" t="s">
        <v>1392</v>
      </c>
      <c r="J3527" s="417" t="s">
        <v>8072</v>
      </c>
      <c r="K3527" s="417" t="s">
        <v>9500</v>
      </c>
      <c r="L3527" s="417"/>
      <c r="M3527" s="417" t="s">
        <v>28840</v>
      </c>
    </row>
    <row r="3528" spans="1:13" x14ac:dyDescent="0.25">
      <c r="A3528" s="417" t="s">
        <v>3385</v>
      </c>
      <c r="B3528" s="417" t="s">
        <v>3405</v>
      </c>
      <c r="C3528" s="417" t="s">
        <v>9501</v>
      </c>
      <c r="D3528" s="417" t="s">
        <v>224</v>
      </c>
      <c r="E3528" s="423">
        <v>0.77380618392583334</v>
      </c>
      <c r="F3528" s="423">
        <v>9.4185840845428595E-3</v>
      </c>
      <c r="G3528" s="422">
        <v>1233.098669299666</v>
      </c>
      <c r="H3528" s="417" t="s">
        <v>2616</v>
      </c>
      <c r="I3528" s="417" t="s">
        <v>1392</v>
      </c>
      <c r="J3528" s="417" t="s">
        <v>8072</v>
      </c>
      <c r="K3528" s="417" t="s">
        <v>9502</v>
      </c>
      <c r="L3528" s="417"/>
      <c r="M3528" s="417" t="s">
        <v>28840</v>
      </c>
    </row>
    <row r="3529" spans="1:13" x14ac:dyDescent="0.25">
      <c r="A3529" s="417" t="s">
        <v>3385</v>
      </c>
      <c r="B3529" s="417" t="s">
        <v>3405</v>
      </c>
      <c r="C3529" s="417" t="s">
        <v>9503</v>
      </c>
      <c r="D3529" s="417" t="s">
        <v>224</v>
      </c>
      <c r="E3529" s="423">
        <v>0.59746265229506779</v>
      </c>
      <c r="F3529" s="423">
        <v>1.0551876682561559E-2</v>
      </c>
      <c r="G3529" s="422">
        <v>848.94973827422746</v>
      </c>
      <c r="H3529" s="417" t="s">
        <v>2616</v>
      </c>
      <c r="I3529" s="417" t="s">
        <v>1392</v>
      </c>
      <c r="J3529" s="417" t="s">
        <v>8072</v>
      </c>
      <c r="K3529" s="417" t="s">
        <v>9504</v>
      </c>
      <c r="L3529" s="417"/>
      <c r="M3529" s="417" t="s">
        <v>28840</v>
      </c>
    </row>
    <row r="3530" spans="1:13" x14ac:dyDescent="0.25">
      <c r="A3530" s="417" t="s">
        <v>3385</v>
      </c>
      <c r="B3530" s="417" t="s">
        <v>3405</v>
      </c>
      <c r="C3530" s="417" t="s">
        <v>9505</v>
      </c>
      <c r="D3530" s="417" t="s">
        <v>224</v>
      </c>
      <c r="E3530" s="423">
        <v>0.81126805965693727</v>
      </c>
      <c r="F3530" s="423">
        <v>8.5334741809704497E-3</v>
      </c>
      <c r="G3530" s="422">
        <v>1045.2584238352581</v>
      </c>
      <c r="H3530" s="417" t="s">
        <v>2616</v>
      </c>
      <c r="I3530" s="417" t="s">
        <v>1392</v>
      </c>
      <c r="J3530" s="417" t="s">
        <v>8072</v>
      </c>
      <c r="K3530" s="417" t="s">
        <v>9506</v>
      </c>
      <c r="L3530" s="417"/>
      <c r="M3530" s="417" t="s">
        <v>28840</v>
      </c>
    </row>
    <row r="3531" spans="1:13" x14ac:dyDescent="0.25">
      <c r="A3531" s="417" t="s">
        <v>3385</v>
      </c>
      <c r="B3531" s="417" t="s">
        <v>3405</v>
      </c>
      <c r="C3531" s="417" t="s">
        <v>9507</v>
      </c>
      <c r="D3531" s="417" t="s">
        <v>224</v>
      </c>
      <c r="E3531" s="423">
        <v>0.51013235979418381</v>
      </c>
      <c r="F3531" s="423">
        <v>2.5445131268701788E-3</v>
      </c>
      <c r="G3531" s="422">
        <v>691.41245306883184</v>
      </c>
      <c r="H3531" s="417" t="s">
        <v>2616</v>
      </c>
      <c r="I3531" s="417" t="s">
        <v>1392</v>
      </c>
      <c r="J3531" s="417" t="s">
        <v>8072</v>
      </c>
      <c r="K3531" s="417" t="s">
        <v>9508</v>
      </c>
      <c r="L3531" s="417"/>
      <c r="M3531" s="417" t="s">
        <v>28840</v>
      </c>
    </row>
    <row r="3532" spans="1:13" x14ac:dyDescent="0.25">
      <c r="A3532" s="417" t="s">
        <v>3385</v>
      </c>
      <c r="B3532" s="417" t="s">
        <v>3405</v>
      </c>
      <c r="C3532" s="417" t="s">
        <v>9509</v>
      </c>
      <c r="D3532" s="417" t="s">
        <v>224</v>
      </c>
      <c r="E3532" s="423">
        <v>0.29819361037123021</v>
      </c>
      <c r="F3532" s="423">
        <v>4.2177868302558298E-2</v>
      </c>
      <c r="G3532" s="422">
        <v>449.40270209709081</v>
      </c>
      <c r="H3532" s="417" t="s">
        <v>2616</v>
      </c>
      <c r="I3532" s="417" t="s">
        <v>1392</v>
      </c>
      <c r="J3532" s="417" t="s">
        <v>8072</v>
      </c>
      <c r="K3532" s="417" t="s">
        <v>9510</v>
      </c>
      <c r="L3532" s="417"/>
      <c r="M3532" s="417" t="s">
        <v>28840</v>
      </c>
    </row>
    <row r="3533" spans="1:13" x14ac:dyDescent="0.25">
      <c r="A3533" s="417" t="s">
        <v>3385</v>
      </c>
      <c r="B3533" s="417" t="s">
        <v>3405</v>
      </c>
      <c r="C3533" s="417" t="s">
        <v>9511</v>
      </c>
      <c r="D3533" s="417" t="s">
        <v>224</v>
      </c>
      <c r="E3533" s="423">
        <v>5.1239967731915192E-2</v>
      </c>
      <c r="F3533" s="423">
        <v>5.8008502495539359E-4</v>
      </c>
      <c r="G3533" s="422">
        <v>114.35650394887629</v>
      </c>
      <c r="H3533" s="417" t="s">
        <v>2616</v>
      </c>
      <c r="I3533" s="417" t="s">
        <v>1392</v>
      </c>
      <c r="J3533" s="417" t="s">
        <v>8072</v>
      </c>
      <c r="K3533" s="417" t="s">
        <v>9512</v>
      </c>
      <c r="L3533" s="417"/>
      <c r="M3533" s="417" t="s">
        <v>28840</v>
      </c>
    </row>
    <row r="3534" spans="1:13" x14ac:dyDescent="0.25">
      <c r="A3534" s="417" t="s">
        <v>3385</v>
      </c>
      <c r="B3534" s="417" t="s">
        <v>3405</v>
      </c>
      <c r="C3534" s="417" t="s">
        <v>9513</v>
      </c>
      <c r="D3534" s="417" t="s">
        <v>224</v>
      </c>
      <c r="E3534" s="423">
        <v>6.8945778816915507E-2</v>
      </c>
      <c r="F3534" s="423">
        <v>4.8941047478061522E-2</v>
      </c>
      <c r="G3534" s="422">
        <v>257.81378572835848</v>
      </c>
      <c r="H3534" s="417" t="s">
        <v>2616</v>
      </c>
      <c r="I3534" s="417" t="s">
        <v>1392</v>
      </c>
      <c r="J3534" s="417" t="s">
        <v>8072</v>
      </c>
      <c r="K3534" s="417" t="s">
        <v>9514</v>
      </c>
      <c r="L3534" s="417"/>
      <c r="M3534" s="417" t="s">
        <v>28840</v>
      </c>
    </row>
    <row r="3535" spans="1:13" x14ac:dyDescent="0.25">
      <c r="A3535" s="417" t="s">
        <v>3385</v>
      </c>
      <c r="B3535" s="417" t="s">
        <v>3405</v>
      </c>
      <c r="C3535" s="417" t="s">
        <v>9515</v>
      </c>
      <c r="D3535" s="417" t="s">
        <v>224</v>
      </c>
      <c r="E3535" s="423">
        <v>0.13097740407951769</v>
      </c>
      <c r="F3535" s="423">
        <v>1.3827081580490241E-2</v>
      </c>
      <c r="G3535" s="422">
        <v>286.79188474965099</v>
      </c>
      <c r="H3535" s="417" t="s">
        <v>2616</v>
      </c>
      <c r="I3535" s="417" t="s">
        <v>1392</v>
      </c>
      <c r="J3535" s="417" t="s">
        <v>8072</v>
      </c>
      <c r="K3535" s="417" t="s">
        <v>9516</v>
      </c>
      <c r="L3535" s="417"/>
      <c r="M3535" s="417" t="s">
        <v>28840</v>
      </c>
    </row>
    <row r="3536" spans="1:13" x14ac:dyDescent="0.25">
      <c r="A3536" s="417" t="s">
        <v>3385</v>
      </c>
      <c r="B3536" s="417" t="s">
        <v>3405</v>
      </c>
      <c r="C3536" s="417" t="s">
        <v>9517</v>
      </c>
      <c r="D3536" s="417" t="s">
        <v>224</v>
      </c>
      <c r="E3536" s="423">
        <v>0.3015860424479837</v>
      </c>
      <c r="F3536" s="423">
        <v>9.6463701799845095E-3</v>
      </c>
      <c r="G3536" s="422">
        <v>434.90617300434332</v>
      </c>
      <c r="H3536" s="417" t="s">
        <v>2616</v>
      </c>
      <c r="I3536" s="417" t="s">
        <v>1392</v>
      </c>
      <c r="J3536" s="417" t="s">
        <v>8072</v>
      </c>
      <c r="K3536" s="417" t="s">
        <v>9518</v>
      </c>
      <c r="L3536" s="417"/>
      <c r="M3536" s="417" t="s">
        <v>28840</v>
      </c>
    </row>
    <row r="3537" spans="1:13" x14ac:dyDescent="0.25">
      <c r="A3537" s="417" t="s">
        <v>3385</v>
      </c>
      <c r="B3537" s="417" t="s">
        <v>3405</v>
      </c>
      <c r="C3537" s="417" t="s">
        <v>9519</v>
      </c>
      <c r="D3537" s="417" t="s">
        <v>224</v>
      </c>
      <c r="E3537" s="423">
        <v>0.88510641621004194</v>
      </c>
      <c r="F3537" s="423">
        <v>1.2817572872295921E-2</v>
      </c>
      <c r="G3537" s="422">
        <v>1116.8994308249039</v>
      </c>
      <c r="H3537" s="417" t="s">
        <v>2616</v>
      </c>
      <c r="I3537" s="417" t="s">
        <v>1392</v>
      </c>
      <c r="J3537" s="417" t="s">
        <v>8072</v>
      </c>
      <c r="K3537" s="417" t="s">
        <v>9520</v>
      </c>
      <c r="L3537" s="417"/>
      <c r="M3537" s="417" t="s">
        <v>28840</v>
      </c>
    </row>
    <row r="3538" spans="1:13" x14ac:dyDescent="0.25">
      <c r="A3538" s="417" t="s">
        <v>3385</v>
      </c>
      <c r="B3538" s="417" t="s">
        <v>3405</v>
      </c>
      <c r="C3538" s="417" t="s">
        <v>9521</v>
      </c>
      <c r="D3538" s="417" t="s">
        <v>224</v>
      </c>
      <c r="E3538" s="423">
        <v>0.5850515755347081</v>
      </c>
      <c r="F3538" s="423">
        <v>1.26680130138127E-2</v>
      </c>
      <c r="G3538" s="422">
        <v>937.27663971124684</v>
      </c>
      <c r="H3538" s="417" t="s">
        <v>2616</v>
      </c>
      <c r="I3538" s="417" t="s">
        <v>1392</v>
      </c>
      <c r="J3538" s="417" t="s">
        <v>8072</v>
      </c>
      <c r="K3538" s="417" t="s">
        <v>9522</v>
      </c>
      <c r="L3538" s="417"/>
      <c r="M3538" s="417" t="s">
        <v>28840</v>
      </c>
    </row>
    <row r="3539" spans="1:13" x14ac:dyDescent="0.25">
      <c r="A3539" s="417" t="s">
        <v>3385</v>
      </c>
      <c r="B3539" s="417" t="s">
        <v>3405</v>
      </c>
      <c r="C3539" s="417" t="s">
        <v>9523</v>
      </c>
      <c r="D3539" s="417" t="s">
        <v>224</v>
      </c>
      <c r="E3539" s="423">
        <v>0.80784271114092798</v>
      </c>
      <c r="F3539" s="423">
        <v>4.0359494169906723E-2</v>
      </c>
      <c r="G3539" s="422">
        <v>1079.6102758900249</v>
      </c>
      <c r="H3539" s="417" t="s">
        <v>2616</v>
      </c>
      <c r="I3539" s="417" t="s">
        <v>1392</v>
      </c>
      <c r="J3539" s="417" t="s">
        <v>8072</v>
      </c>
      <c r="K3539" s="417" t="s">
        <v>9524</v>
      </c>
      <c r="L3539" s="417"/>
      <c r="M3539" s="417" t="s">
        <v>28840</v>
      </c>
    </row>
    <row r="3540" spans="1:13" x14ac:dyDescent="0.25">
      <c r="A3540" s="417" t="s">
        <v>3385</v>
      </c>
      <c r="B3540" s="417" t="s">
        <v>3405</v>
      </c>
      <c r="C3540" s="417" t="s">
        <v>9525</v>
      </c>
      <c r="D3540" s="417" t="s">
        <v>224</v>
      </c>
      <c r="E3540" s="423">
        <v>0.2036126496407176</v>
      </c>
      <c r="F3540" s="423">
        <v>6.0359609353111868E-2</v>
      </c>
      <c r="G3540" s="422">
        <v>345.72829315539423</v>
      </c>
      <c r="H3540" s="417" t="s">
        <v>2616</v>
      </c>
      <c r="I3540" s="417" t="s">
        <v>1392</v>
      </c>
      <c r="J3540" s="417" t="s">
        <v>8072</v>
      </c>
      <c r="K3540" s="417" t="s">
        <v>9526</v>
      </c>
      <c r="L3540" s="417"/>
      <c r="M3540" s="417" t="s">
        <v>28840</v>
      </c>
    </row>
    <row r="3541" spans="1:13" x14ac:dyDescent="0.25">
      <c r="A3541" s="417" t="s">
        <v>3385</v>
      </c>
      <c r="B3541" s="417" t="s">
        <v>3405</v>
      </c>
      <c r="C3541" s="417" t="s">
        <v>9527</v>
      </c>
      <c r="D3541" s="417" t="s">
        <v>224</v>
      </c>
      <c r="E3541" s="423">
        <v>0.54037453181106221</v>
      </c>
      <c r="F3541" s="423">
        <v>1.5323918818788121E-3</v>
      </c>
      <c r="G3541" s="422">
        <v>709.21368792074691</v>
      </c>
      <c r="H3541" s="417" t="s">
        <v>2616</v>
      </c>
      <c r="I3541" s="417" t="s">
        <v>1392</v>
      </c>
      <c r="J3541" s="417" t="s">
        <v>8072</v>
      </c>
      <c r="K3541" s="417" t="s">
        <v>9528</v>
      </c>
      <c r="L3541" s="417"/>
      <c r="M3541" s="417" t="s">
        <v>28840</v>
      </c>
    </row>
    <row r="3542" spans="1:13" x14ac:dyDescent="0.25">
      <c r="A3542" s="417" t="s">
        <v>3385</v>
      </c>
      <c r="B3542" s="417" t="s">
        <v>3405</v>
      </c>
      <c r="C3542" s="417" t="s">
        <v>9529</v>
      </c>
      <c r="D3542" s="417" t="s">
        <v>224</v>
      </c>
      <c r="E3542" s="423">
        <v>0.7555957692619425</v>
      </c>
      <c r="F3542" s="423">
        <v>3.359056014399129E-3</v>
      </c>
      <c r="G3542" s="422">
        <v>968.57945378154977</v>
      </c>
      <c r="H3542" s="417" t="s">
        <v>2616</v>
      </c>
      <c r="I3542" s="417" t="s">
        <v>1392</v>
      </c>
      <c r="J3542" s="417" t="s">
        <v>8072</v>
      </c>
      <c r="K3542" s="417" t="s">
        <v>9530</v>
      </c>
      <c r="L3542" s="417"/>
      <c r="M3542" s="417" t="s">
        <v>28840</v>
      </c>
    </row>
    <row r="3543" spans="1:13" x14ac:dyDescent="0.25">
      <c r="A3543" s="417" t="s">
        <v>3385</v>
      </c>
      <c r="B3543" s="417" t="s">
        <v>3405</v>
      </c>
      <c r="C3543" s="417" t="s">
        <v>9531</v>
      </c>
      <c r="D3543" s="417" t="s">
        <v>224</v>
      </c>
      <c r="E3543" s="423">
        <v>0.75982158085341944</v>
      </c>
      <c r="F3543" s="423">
        <v>1.9549781645772139E-2</v>
      </c>
      <c r="G3543" s="422">
        <v>1074.553716740475</v>
      </c>
      <c r="H3543" s="417" t="s">
        <v>2616</v>
      </c>
      <c r="I3543" s="417" t="s">
        <v>1392</v>
      </c>
      <c r="J3543" s="417" t="s">
        <v>8072</v>
      </c>
      <c r="K3543" s="417" t="s">
        <v>9532</v>
      </c>
      <c r="L3543" s="417"/>
      <c r="M3543" s="417" t="s">
        <v>28840</v>
      </c>
    </row>
    <row r="3544" spans="1:13" x14ac:dyDescent="0.25">
      <c r="A3544" s="417" t="s">
        <v>3385</v>
      </c>
      <c r="B3544" s="417" t="s">
        <v>3405</v>
      </c>
      <c r="C3544" s="417" t="s">
        <v>9533</v>
      </c>
      <c r="D3544" s="417" t="s">
        <v>224</v>
      </c>
      <c r="E3544" s="423">
        <v>0.34233034026992393</v>
      </c>
      <c r="F3544" s="423">
        <v>3.0856100080503691E-2</v>
      </c>
      <c r="G3544" s="422">
        <v>667.45474866518725</v>
      </c>
      <c r="H3544" s="417" t="s">
        <v>2616</v>
      </c>
      <c r="I3544" s="417" t="s">
        <v>1392</v>
      </c>
      <c r="J3544" s="417" t="s">
        <v>8072</v>
      </c>
      <c r="K3544" s="417" t="s">
        <v>9534</v>
      </c>
      <c r="L3544" s="417"/>
      <c r="M3544" s="417" t="s">
        <v>28840</v>
      </c>
    </row>
    <row r="3545" spans="1:13" x14ac:dyDescent="0.25">
      <c r="A3545" s="417" t="s">
        <v>3385</v>
      </c>
      <c r="B3545" s="417" t="s">
        <v>3405</v>
      </c>
      <c r="C3545" s="417" t="s">
        <v>9535</v>
      </c>
      <c r="D3545" s="417" t="s">
        <v>224</v>
      </c>
      <c r="E3545" s="423">
        <v>0.29735836831500823</v>
      </c>
      <c r="F3545" s="423">
        <v>4.5520027815837062E-2</v>
      </c>
      <c r="G3545" s="422">
        <v>468.02383532427291</v>
      </c>
      <c r="H3545" s="417" t="s">
        <v>2616</v>
      </c>
      <c r="I3545" s="417" t="s">
        <v>1392</v>
      </c>
      <c r="J3545" s="417" t="s">
        <v>8072</v>
      </c>
      <c r="K3545" s="417" t="s">
        <v>9536</v>
      </c>
      <c r="L3545" s="417"/>
      <c r="M3545" s="417" t="s">
        <v>28840</v>
      </c>
    </row>
    <row r="3546" spans="1:13" x14ac:dyDescent="0.25">
      <c r="A3546" s="417" t="s">
        <v>3385</v>
      </c>
      <c r="B3546" s="417" t="s">
        <v>3405</v>
      </c>
      <c r="C3546" s="417" t="s">
        <v>9537</v>
      </c>
      <c r="D3546" s="417" t="s">
        <v>224</v>
      </c>
      <c r="E3546" s="423">
        <v>0.67215489416520502</v>
      </c>
      <c r="F3546" s="423">
        <v>2.6276521648875479E-3</v>
      </c>
      <c r="G3546" s="422">
        <v>940.00538970796424</v>
      </c>
      <c r="H3546" s="417" t="s">
        <v>2616</v>
      </c>
      <c r="I3546" s="417" t="s">
        <v>1392</v>
      </c>
      <c r="J3546" s="417" t="s">
        <v>8072</v>
      </c>
      <c r="K3546" s="417" t="s">
        <v>9538</v>
      </c>
      <c r="L3546" s="417"/>
      <c r="M3546" s="417" t="s">
        <v>28840</v>
      </c>
    </row>
    <row r="3547" spans="1:13" x14ac:dyDescent="0.25">
      <c r="A3547" s="417" t="s">
        <v>3385</v>
      </c>
      <c r="B3547" s="417" t="s">
        <v>3405</v>
      </c>
      <c r="C3547" s="417" t="s">
        <v>9539</v>
      </c>
      <c r="D3547" s="417" t="s">
        <v>224</v>
      </c>
      <c r="E3547" s="423">
        <v>0.40929153291759302</v>
      </c>
      <c r="F3547" s="423">
        <v>9.9756677410687764E-3</v>
      </c>
      <c r="G3547" s="422">
        <v>669.8662853969488</v>
      </c>
      <c r="H3547" s="417" t="s">
        <v>2616</v>
      </c>
      <c r="I3547" s="417" t="s">
        <v>1392</v>
      </c>
      <c r="J3547" s="417" t="s">
        <v>8072</v>
      </c>
      <c r="K3547" s="417" t="s">
        <v>9540</v>
      </c>
      <c r="L3547" s="417"/>
      <c r="M3547" s="417" t="s">
        <v>28840</v>
      </c>
    </row>
    <row r="3548" spans="1:13" x14ac:dyDescent="0.25">
      <c r="A3548" s="417" t="s">
        <v>3385</v>
      </c>
      <c r="B3548" s="417" t="s">
        <v>3405</v>
      </c>
      <c r="C3548" s="417" t="s">
        <v>9541</v>
      </c>
      <c r="D3548" s="417" t="s">
        <v>224</v>
      </c>
      <c r="E3548" s="423">
        <v>0.3211094050655548</v>
      </c>
      <c r="F3548" s="423">
        <v>5.05157086289646E-3</v>
      </c>
      <c r="G3548" s="422">
        <v>595.73979020684283</v>
      </c>
      <c r="H3548" s="417" t="s">
        <v>2616</v>
      </c>
      <c r="I3548" s="417" t="s">
        <v>1392</v>
      </c>
      <c r="J3548" s="417" t="s">
        <v>8072</v>
      </c>
      <c r="K3548" s="417" t="s">
        <v>9542</v>
      </c>
      <c r="L3548" s="417"/>
      <c r="M3548" s="417" t="s">
        <v>28840</v>
      </c>
    </row>
    <row r="3549" spans="1:13" x14ac:dyDescent="0.25">
      <c r="A3549" s="417" t="s">
        <v>3385</v>
      </c>
      <c r="B3549" s="417" t="s">
        <v>3405</v>
      </c>
      <c r="C3549" s="417" t="s">
        <v>9543</v>
      </c>
      <c r="D3549" s="417" t="s">
        <v>224</v>
      </c>
      <c r="E3549" s="423">
        <v>0.88052444610007241</v>
      </c>
      <c r="F3549" s="423">
        <v>6.3265751367149016E-3</v>
      </c>
      <c r="G3549" s="422">
        <v>1238.094797389306</v>
      </c>
      <c r="H3549" s="417" t="s">
        <v>2616</v>
      </c>
      <c r="I3549" s="417" t="s">
        <v>1392</v>
      </c>
      <c r="J3549" s="417" t="s">
        <v>8072</v>
      </c>
      <c r="K3549" s="417" t="s">
        <v>9544</v>
      </c>
      <c r="L3549" s="417"/>
      <c r="M3549" s="417" t="s">
        <v>28840</v>
      </c>
    </row>
    <row r="3550" spans="1:13" x14ac:dyDescent="0.25">
      <c r="A3550" s="417" t="s">
        <v>3385</v>
      </c>
      <c r="B3550" s="417" t="s">
        <v>3405</v>
      </c>
      <c r="C3550" s="417" t="s">
        <v>9545</v>
      </c>
      <c r="D3550" s="417" t="s">
        <v>224</v>
      </c>
      <c r="E3550" s="423">
        <v>0.51071461322879486</v>
      </c>
      <c r="F3550" s="423">
        <v>2.9975512068183149E-3</v>
      </c>
      <c r="G3550" s="422">
        <v>845.51001643385359</v>
      </c>
      <c r="H3550" s="417" t="s">
        <v>2616</v>
      </c>
      <c r="I3550" s="417" t="s">
        <v>1392</v>
      </c>
      <c r="J3550" s="417" t="s">
        <v>8072</v>
      </c>
      <c r="K3550" s="417" t="s">
        <v>9546</v>
      </c>
      <c r="L3550" s="417"/>
      <c r="M3550" s="417" t="s">
        <v>28840</v>
      </c>
    </row>
    <row r="3551" spans="1:13" x14ac:dyDescent="0.25">
      <c r="A3551" s="417" t="s">
        <v>3385</v>
      </c>
      <c r="B3551" s="417" t="s">
        <v>3405</v>
      </c>
      <c r="C3551" s="417" t="s">
        <v>9547</v>
      </c>
      <c r="D3551" s="417" t="s">
        <v>224</v>
      </c>
      <c r="E3551" s="423">
        <v>0.78340534532575101</v>
      </c>
      <c r="F3551" s="423">
        <v>2.5402078623292068E-3</v>
      </c>
      <c r="G3551" s="422">
        <v>1082.988509607246</v>
      </c>
      <c r="H3551" s="417" t="s">
        <v>2616</v>
      </c>
      <c r="I3551" s="417" t="s">
        <v>1392</v>
      </c>
      <c r="J3551" s="417" t="s">
        <v>8072</v>
      </c>
      <c r="K3551" s="417" t="s">
        <v>9548</v>
      </c>
      <c r="L3551" s="417"/>
      <c r="M3551" s="417" t="s">
        <v>28840</v>
      </c>
    </row>
    <row r="3552" spans="1:13" x14ac:dyDescent="0.25">
      <c r="A3552" s="417" t="s">
        <v>3385</v>
      </c>
      <c r="B3552" s="417" t="s">
        <v>3405</v>
      </c>
      <c r="C3552" s="417" t="s">
        <v>9549</v>
      </c>
      <c r="D3552" s="417" t="s">
        <v>224</v>
      </c>
      <c r="E3552" s="423">
        <v>4.1188825845547977E-2</v>
      </c>
      <c r="F3552" s="423">
        <v>4.3922225236258328E-2</v>
      </c>
      <c r="G3552" s="422">
        <v>282.23320221970232</v>
      </c>
      <c r="H3552" s="417" t="s">
        <v>2616</v>
      </c>
      <c r="I3552" s="417" t="s">
        <v>1392</v>
      </c>
      <c r="J3552" s="417" t="s">
        <v>8072</v>
      </c>
      <c r="K3552" s="417" t="s">
        <v>9550</v>
      </c>
      <c r="L3552" s="417"/>
      <c r="M3552" s="417" t="s">
        <v>28840</v>
      </c>
    </row>
    <row r="3553" spans="1:13" x14ac:dyDescent="0.25">
      <c r="A3553" s="417" t="s">
        <v>3385</v>
      </c>
      <c r="B3553" s="417" t="s">
        <v>3405</v>
      </c>
      <c r="C3553" s="417" t="s">
        <v>9551</v>
      </c>
      <c r="D3553" s="417" t="s">
        <v>224</v>
      </c>
      <c r="E3553" s="423">
        <v>0.57190998197569876</v>
      </c>
      <c r="F3553" s="423">
        <v>8.2238665718842481E-3</v>
      </c>
      <c r="G3553" s="422">
        <v>822.72426774356677</v>
      </c>
      <c r="H3553" s="417" t="s">
        <v>2616</v>
      </c>
      <c r="I3553" s="417" t="s">
        <v>1392</v>
      </c>
      <c r="J3553" s="417" t="s">
        <v>8072</v>
      </c>
      <c r="K3553" s="417" t="s">
        <v>9552</v>
      </c>
      <c r="L3553" s="417"/>
      <c r="M3553" s="417" t="s">
        <v>28840</v>
      </c>
    </row>
    <row r="3554" spans="1:13" x14ac:dyDescent="0.25">
      <c r="A3554" s="417" t="s">
        <v>3385</v>
      </c>
      <c r="B3554" s="417" t="s">
        <v>3405</v>
      </c>
      <c r="C3554" s="417" t="s">
        <v>9553</v>
      </c>
      <c r="D3554" s="417" t="s">
        <v>224</v>
      </c>
      <c r="E3554" s="423">
        <v>0.25829284516518891</v>
      </c>
      <c r="F3554" s="423">
        <v>1.7506718362923751E-2</v>
      </c>
      <c r="G3554" s="422">
        <v>554.24943272392898</v>
      </c>
      <c r="H3554" s="417" t="s">
        <v>2616</v>
      </c>
      <c r="I3554" s="417" t="s">
        <v>1392</v>
      </c>
      <c r="J3554" s="417" t="s">
        <v>8072</v>
      </c>
      <c r="K3554" s="417" t="s">
        <v>9554</v>
      </c>
      <c r="L3554" s="417"/>
      <c r="M3554" s="417" t="s">
        <v>28840</v>
      </c>
    </row>
    <row r="3555" spans="1:13" x14ac:dyDescent="0.25">
      <c r="A3555" s="417" t="s">
        <v>3385</v>
      </c>
      <c r="B3555" s="417" t="s">
        <v>3405</v>
      </c>
      <c r="C3555" s="417" t="s">
        <v>9555</v>
      </c>
      <c r="D3555" s="417" t="s">
        <v>224</v>
      </c>
      <c r="E3555" s="423">
        <v>0.14249150835552979</v>
      </c>
      <c r="F3555" s="423">
        <v>4.498731829740895E-2</v>
      </c>
      <c r="G3555" s="422">
        <v>653.18859605814134</v>
      </c>
      <c r="H3555" s="417" t="s">
        <v>2616</v>
      </c>
      <c r="I3555" s="417" t="s">
        <v>1392</v>
      </c>
      <c r="J3555" s="417" t="s">
        <v>8072</v>
      </c>
      <c r="K3555" s="417" t="s">
        <v>9556</v>
      </c>
      <c r="L3555" s="417"/>
      <c r="M3555" s="417" t="s">
        <v>28840</v>
      </c>
    </row>
    <row r="3556" spans="1:13" x14ac:dyDescent="0.25">
      <c r="A3556" s="417" t="s">
        <v>3385</v>
      </c>
      <c r="B3556" s="417" t="s">
        <v>3405</v>
      </c>
      <c r="C3556" s="417" t="s">
        <v>9557</v>
      </c>
      <c r="D3556" s="417" t="s">
        <v>224</v>
      </c>
      <c r="E3556" s="423">
        <v>0.66096705006577294</v>
      </c>
      <c r="F3556" s="423">
        <v>8.6917501090384014E-2</v>
      </c>
      <c r="G3556" s="422">
        <v>962.34937064919075</v>
      </c>
      <c r="H3556" s="417" t="s">
        <v>2616</v>
      </c>
      <c r="I3556" s="417" t="s">
        <v>1392</v>
      </c>
      <c r="J3556" s="417" t="s">
        <v>8072</v>
      </c>
      <c r="K3556" s="417" t="s">
        <v>9558</v>
      </c>
      <c r="L3556" s="417"/>
      <c r="M3556" s="417" t="s">
        <v>28840</v>
      </c>
    </row>
    <row r="3557" spans="1:13" x14ac:dyDescent="0.25">
      <c r="A3557" s="417" t="s">
        <v>3385</v>
      </c>
      <c r="B3557" s="417" t="s">
        <v>3405</v>
      </c>
      <c r="C3557" s="417" t="s">
        <v>9559</v>
      </c>
      <c r="D3557" s="417" t="s">
        <v>224</v>
      </c>
      <c r="E3557" s="423">
        <v>0.56010870877061958</v>
      </c>
      <c r="F3557" s="423">
        <v>1.591393253963619E-3</v>
      </c>
      <c r="G3557" s="422">
        <v>736.76550988520285</v>
      </c>
      <c r="H3557" s="417" t="s">
        <v>2616</v>
      </c>
      <c r="I3557" s="417" t="s">
        <v>1392</v>
      </c>
      <c r="J3557" s="417" t="s">
        <v>8072</v>
      </c>
      <c r="K3557" s="417" t="s">
        <v>9560</v>
      </c>
      <c r="L3557" s="417"/>
      <c r="M3557" s="417" t="s">
        <v>28840</v>
      </c>
    </row>
    <row r="3558" spans="1:13" x14ac:dyDescent="0.25">
      <c r="A3558" s="417" t="s">
        <v>3385</v>
      </c>
      <c r="B3558" s="417" t="s">
        <v>3405</v>
      </c>
      <c r="C3558" s="417" t="s">
        <v>9561</v>
      </c>
      <c r="D3558" s="417" t="s">
        <v>224</v>
      </c>
      <c r="E3558" s="423">
        <v>0.59814080332606201</v>
      </c>
      <c r="F3558" s="423">
        <v>2.3531978821361051E-2</v>
      </c>
      <c r="G3558" s="422">
        <v>792.14510570518144</v>
      </c>
      <c r="H3558" s="417" t="s">
        <v>2616</v>
      </c>
      <c r="I3558" s="417" t="s">
        <v>1392</v>
      </c>
      <c r="J3558" s="417" t="s">
        <v>8072</v>
      </c>
      <c r="K3558" s="417" t="s">
        <v>9562</v>
      </c>
      <c r="L3558" s="417"/>
      <c r="M3558" s="417" t="s">
        <v>28840</v>
      </c>
    </row>
    <row r="3559" spans="1:13" x14ac:dyDescent="0.25">
      <c r="A3559" s="417" t="s">
        <v>3385</v>
      </c>
      <c r="B3559" s="417" t="s">
        <v>3405</v>
      </c>
      <c r="C3559" s="417" t="s">
        <v>9563</v>
      </c>
      <c r="D3559" s="417" t="s">
        <v>224</v>
      </c>
      <c r="E3559" s="423">
        <v>0.69164947619115713</v>
      </c>
      <c r="F3559" s="423">
        <v>3.8533081614347121E-3</v>
      </c>
      <c r="G3559" s="422">
        <v>968.00737394874545</v>
      </c>
      <c r="H3559" s="417" t="s">
        <v>2616</v>
      </c>
      <c r="I3559" s="417" t="s">
        <v>1392</v>
      </c>
      <c r="J3559" s="417" t="s">
        <v>8072</v>
      </c>
      <c r="K3559" s="417" t="s">
        <v>9564</v>
      </c>
      <c r="L3559" s="417"/>
      <c r="M3559" s="417" t="s">
        <v>28840</v>
      </c>
    </row>
    <row r="3560" spans="1:13" x14ac:dyDescent="0.25">
      <c r="A3560" s="417" t="s">
        <v>3385</v>
      </c>
      <c r="B3560" s="417" t="s">
        <v>3405</v>
      </c>
      <c r="C3560" s="417" t="s">
        <v>9565</v>
      </c>
      <c r="D3560" s="417" t="s">
        <v>224</v>
      </c>
      <c r="E3560" s="423">
        <v>0.43166004830405719</v>
      </c>
      <c r="F3560" s="423">
        <v>7.5577461807459154E-3</v>
      </c>
      <c r="G3560" s="422">
        <v>584.50370794951073</v>
      </c>
      <c r="H3560" s="417" t="s">
        <v>2616</v>
      </c>
      <c r="I3560" s="417" t="s">
        <v>1392</v>
      </c>
      <c r="J3560" s="417" t="s">
        <v>8072</v>
      </c>
      <c r="K3560" s="417" t="s">
        <v>9566</v>
      </c>
      <c r="L3560" s="417"/>
      <c r="M3560" s="417" t="s">
        <v>28840</v>
      </c>
    </row>
    <row r="3561" spans="1:13" x14ac:dyDescent="0.25">
      <c r="A3561" s="417" t="s">
        <v>3385</v>
      </c>
      <c r="B3561" s="417" t="s">
        <v>3405</v>
      </c>
      <c r="C3561" s="417" t="s">
        <v>9567</v>
      </c>
      <c r="D3561" s="417" t="s">
        <v>224</v>
      </c>
      <c r="E3561" s="423">
        <v>0.3496358848782799</v>
      </c>
      <c r="F3561" s="423">
        <v>1.123482016569413E-2</v>
      </c>
      <c r="G3561" s="422">
        <v>818.39706157559681</v>
      </c>
      <c r="H3561" s="417" t="s">
        <v>2616</v>
      </c>
      <c r="I3561" s="417" t="s">
        <v>1392</v>
      </c>
      <c r="J3561" s="417" t="s">
        <v>8072</v>
      </c>
      <c r="K3561" s="417" t="s">
        <v>9568</v>
      </c>
      <c r="L3561" s="417"/>
      <c r="M3561" s="417" t="s">
        <v>28840</v>
      </c>
    </row>
    <row r="3562" spans="1:13" x14ac:dyDescent="0.25">
      <c r="A3562" s="417" t="s">
        <v>3385</v>
      </c>
      <c r="B3562" s="417" t="s">
        <v>3405</v>
      </c>
      <c r="C3562" s="417" t="s">
        <v>9569</v>
      </c>
      <c r="D3562" s="417" t="s">
        <v>224</v>
      </c>
      <c r="E3562" s="423">
        <v>0.44475356400090521</v>
      </c>
      <c r="F3562" s="423">
        <v>9.6323557523840409E-3</v>
      </c>
      <c r="G3562" s="422">
        <v>717.34035513143681</v>
      </c>
      <c r="H3562" s="417" t="s">
        <v>2616</v>
      </c>
      <c r="I3562" s="417" t="s">
        <v>1392</v>
      </c>
      <c r="J3562" s="417" t="s">
        <v>8072</v>
      </c>
      <c r="K3562" s="417" t="s">
        <v>9570</v>
      </c>
      <c r="L3562" s="417"/>
      <c r="M3562" s="417" t="s">
        <v>28840</v>
      </c>
    </row>
    <row r="3563" spans="1:13" x14ac:dyDescent="0.25">
      <c r="A3563" s="417" t="s">
        <v>3385</v>
      </c>
      <c r="B3563" s="417" t="s">
        <v>3405</v>
      </c>
      <c r="C3563" s="417" t="s">
        <v>9571</v>
      </c>
      <c r="D3563" s="417" t="s">
        <v>224</v>
      </c>
      <c r="E3563" s="423">
        <v>0.56918439593818315</v>
      </c>
      <c r="F3563" s="423">
        <v>1.0963487797212901E-2</v>
      </c>
      <c r="G3563" s="422">
        <v>739.88275460908756</v>
      </c>
      <c r="H3563" s="417" t="s">
        <v>2616</v>
      </c>
      <c r="I3563" s="417" t="s">
        <v>1392</v>
      </c>
      <c r="J3563" s="417" t="s">
        <v>8072</v>
      </c>
      <c r="K3563" s="417" t="s">
        <v>9572</v>
      </c>
      <c r="L3563" s="417"/>
      <c r="M3563" s="417" t="s">
        <v>28840</v>
      </c>
    </row>
    <row r="3564" spans="1:13" x14ac:dyDescent="0.25">
      <c r="A3564" s="417" t="s">
        <v>3385</v>
      </c>
      <c r="B3564" s="417" t="s">
        <v>3405</v>
      </c>
      <c r="C3564" s="417" t="s">
        <v>9573</v>
      </c>
      <c r="D3564" s="417" t="s">
        <v>224</v>
      </c>
      <c r="E3564" s="423">
        <v>1.1141509893798369</v>
      </c>
      <c r="F3564" s="423">
        <v>5.5522593666665586E-3</v>
      </c>
      <c r="G3564" s="422">
        <v>1381.551200697784</v>
      </c>
      <c r="H3564" s="417" t="s">
        <v>2616</v>
      </c>
      <c r="I3564" s="417" t="s">
        <v>1392</v>
      </c>
      <c r="J3564" s="417" t="s">
        <v>8072</v>
      </c>
      <c r="K3564" s="417" t="s">
        <v>9574</v>
      </c>
      <c r="L3564" s="417"/>
      <c r="M3564" s="417" t="s">
        <v>28840</v>
      </c>
    </row>
    <row r="3565" spans="1:13" x14ac:dyDescent="0.25">
      <c r="A3565" s="417" t="s">
        <v>3385</v>
      </c>
      <c r="B3565" s="417" t="s">
        <v>3405</v>
      </c>
      <c r="C3565" s="417" t="s">
        <v>9575</v>
      </c>
      <c r="D3565" s="417" t="s">
        <v>224</v>
      </c>
      <c r="E3565" s="423">
        <v>3.3562951413693261E-2</v>
      </c>
      <c r="F3565" s="423">
        <v>1.4607474753710241E-3</v>
      </c>
      <c r="G3565" s="422">
        <v>139.09029511301071</v>
      </c>
      <c r="H3565" s="417" t="s">
        <v>2616</v>
      </c>
      <c r="I3565" s="417" t="s">
        <v>1392</v>
      </c>
      <c r="J3565" s="417" t="s">
        <v>8063</v>
      </c>
      <c r="K3565" s="417" t="s">
        <v>9576</v>
      </c>
      <c r="L3565" s="417"/>
      <c r="M3565" s="417" t="s">
        <v>28840</v>
      </c>
    </row>
    <row r="3566" spans="1:13" x14ac:dyDescent="0.25">
      <c r="A3566" s="417" t="s">
        <v>3385</v>
      </c>
      <c r="B3566" s="417" t="s">
        <v>3405</v>
      </c>
      <c r="C3566" s="417" t="s">
        <v>9577</v>
      </c>
      <c r="D3566" s="417" t="s">
        <v>224</v>
      </c>
      <c r="E3566" s="423">
        <v>2.413955744269268E-2</v>
      </c>
      <c r="F3566" s="423">
        <v>1.0888009634909561E-3</v>
      </c>
      <c r="G3566" s="422">
        <v>75.986105901304612</v>
      </c>
      <c r="H3566" s="417" t="s">
        <v>2616</v>
      </c>
      <c r="I3566" s="417" t="s">
        <v>1392</v>
      </c>
      <c r="J3566" s="417" t="s">
        <v>9578</v>
      </c>
      <c r="K3566" s="417" t="s">
        <v>9579</v>
      </c>
      <c r="L3566" s="417"/>
      <c r="M3566" s="417" t="s">
        <v>28840</v>
      </c>
    </row>
    <row r="3567" spans="1:13" x14ac:dyDescent="0.25">
      <c r="A3567" s="417" t="s">
        <v>3385</v>
      </c>
      <c r="B3567" s="417" t="s">
        <v>3405</v>
      </c>
      <c r="C3567" s="417" t="s">
        <v>9580</v>
      </c>
      <c r="D3567" s="417" t="s">
        <v>224</v>
      </c>
      <c r="E3567" s="423">
        <v>4.1772682446734578E-2</v>
      </c>
      <c r="F3567" s="423">
        <v>2.4250260161184541E-3</v>
      </c>
      <c r="G3567" s="422">
        <v>156.96184955042031</v>
      </c>
      <c r="H3567" s="417" t="s">
        <v>2616</v>
      </c>
      <c r="I3567" s="417" t="s">
        <v>1392</v>
      </c>
      <c r="J3567" s="417" t="s">
        <v>8063</v>
      </c>
      <c r="K3567" s="417" t="s">
        <v>9581</v>
      </c>
      <c r="L3567" s="417"/>
      <c r="M3567" s="417" t="s">
        <v>28840</v>
      </c>
    </row>
    <row r="3568" spans="1:13" x14ac:dyDescent="0.25">
      <c r="A3568" s="417" t="s">
        <v>3385</v>
      </c>
      <c r="B3568" s="417" t="s">
        <v>3405</v>
      </c>
      <c r="C3568" s="417" t="s">
        <v>9582</v>
      </c>
      <c r="D3568" s="417" t="s">
        <v>224</v>
      </c>
      <c r="E3568" s="423">
        <v>3.1591289574457178E-2</v>
      </c>
      <c r="F3568" s="423">
        <v>1.9640483202248349E-3</v>
      </c>
      <c r="G3568" s="422">
        <v>92.207591816517038</v>
      </c>
      <c r="H3568" s="417" t="s">
        <v>2616</v>
      </c>
      <c r="I3568" s="417" t="s">
        <v>1392</v>
      </c>
      <c r="J3568" s="417" t="s">
        <v>9578</v>
      </c>
      <c r="K3568" s="417" t="s">
        <v>9583</v>
      </c>
      <c r="L3568" s="417"/>
      <c r="M3568" s="417" t="s">
        <v>28840</v>
      </c>
    </row>
    <row r="3569" spans="1:13" x14ac:dyDescent="0.25">
      <c r="A3569" s="417" t="s">
        <v>3385</v>
      </c>
      <c r="B3569" s="417" t="s">
        <v>3405</v>
      </c>
      <c r="C3569" s="417" t="s">
        <v>9584</v>
      </c>
      <c r="D3569" s="417" t="s">
        <v>224</v>
      </c>
      <c r="E3569" s="423">
        <v>4.4601301217088128E-2</v>
      </c>
      <c r="F3569" s="423">
        <v>2.1738875671144858E-3</v>
      </c>
      <c r="G3569" s="422">
        <v>164.33282645886939</v>
      </c>
      <c r="H3569" s="417" t="s">
        <v>2616</v>
      </c>
      <c r="I3569" s="417" t="s">
        <v>1392</v>
      </c>
      <c r="J3569" s="417" t="s">
        <v>8063</v>
      </c>
      <c r="K3569" s="417" t="s">
        <v>9585</v>
      </c>
      <c r="L3569" s="417"/>
      <c r="M3569" s="417" t="s">
        <v>28840</v>
      </c>
    </row>
    <row r="3570" spans="1:13" x14ac:dyDescent="0.25">
      <c r="A3570" s="417" t="s">
        <v>3385</v>
      </c>
      <c r="B3570" s="417" t="s">
        <v>3405</v>
      </c>
      <c r="C3570" s="417" t="s">
        <v>9586</v>
      </c>
      <c r="D3570" s="417" t="s">
        <v>224</v>
      </c>
      <c r="E3570" s="423">
        <v>3.4158743891367943E-2</v>
      </c>
      <c r="F3570" s="423">
        <v>1.736097313975109E-3</v>
      </c>
      <c r="G3570" s="422">
        <v>98.898011424361655</v>
      </c>
      <c r="H3570" s="417" t="s">
        <v>2616</v>
      </c>
      <c r="I3570" s="417" t="s">
        <v>1392</v>
      </c>
      <c r="J3570" s="417" t="s">
        <v>9578</v>
      </c>
      <c r="K3570" s="417" t="s">
        <v>9587</v>
      </c>
      <c r="L3570" s="417"/>
      <c r="M3570" s="417" t="s">
        <v>28840</v>
      </c>
    </row>
    <row r="3571" spans="1:13" x14ac:dyDescent="0.25">
      <c r="A3571" s="417" t="s">
        <v>3385</v>
      </c>
      <c r="B3571" s="417" t="s">
        <v>3405</v>
      </c>
      <c r="C3571" s="417" t="s">
        <v>9588</v>
      </c>
      <c r="D3571" s="417" t="s">
        <v>224</v>
      </c>
      <c r="E3571" s="423">
        <v>4.4284820644382182E-2</v>
      </c>
      <c r="F3571" s="423">
        <v>2.169479742193487E-3</v>
      </c>
      <c r="G3571" s="422">
        <v>161.81613426550581</v>
      </c>
      <c r="H3571" s="417" t="s">
        <v>2616</v>
      </c>
      <c r="I3571" s="417" t="s">
        <v>1392</v>
      </c>
      <c r="J3571" s="417" t="s">
        <v>8063</v>
      </c>
      <c r="K3571" s="417" t="s">
        <v>9589</v>
      </c>
      <c r="L3571" s="417"/>
      <c r="M3571" s="417" t="s">
        <v>28840</v>
      </c>
    </row>
    <row r="3572" spans="1:13" x14ac:dyDescent="0.25">
      <c r="A3572" s="417" t="s">
        <v>3385</v>
      </c>
      <c r="B3572" s="417" t="s">
        <v>3405</v>
      </c>
      <c r="C3572" s="417" t="s">
        <v>9590</v>
      </c>
      <c r="D3572" s="417" t="s">
        <v>224</v>
      </c>
      <c r="E3572" s="423">
        <v>3.3871483755208993E-2</v>
      </c>
      <c r="F3572" s="423">
        <v>1.73209646055448E-3</v>
      </c>
      <c r="G3572" s="422">
        <v>96.613683733497254</v>
      </c>
      <c r="H3572" s="417" t="s">
        <v>2616</v>
      </c>
      <c r="I3572" s="417" t="s">
        <v>1392</v>
      </c>
      <c r="J3572" s="417" t="s">
        <v>9578</v>
      </c>
      <c r="K3572" s="417" t="s">
        <v>9591</v>
      </c>
      <c r="L3572" s="417"/>
      <c r="M3572" s="417" t="s">
        <v>28840</v>
      </c>
    </row>
    <row r="3573" spans="1:13" x14ac:dyDescent="0.25">
      <c r="A3573" s="417" t="s">
        <v>3385</v>
      </c>
      <c r="B3573" s="417" t="s">
        <v>3405</v>
      </c>
      <c r="C3573" s="417" t="s">
        <v>9592</v>
      </c>
      <c r="D3573" s="417" t="s">
        <v>224</v>
      </c>
      <c r="E3573" s="423">
        <v>6.0487828999333942E-2</v>
      </c>
      <c r="F3573" s="423">
        <v>2.926779809950738E-3</v>
      </c>
      <c r="G3573" s="422">
        <v>205.96563520902859</v>
      </c>
      <c r="H3573" s="417" t="s">
        <v>2616</v>
      </c>
      <c r="I3573" s="417" t="s">
        <v>1392</v>
      </c>
      <c r="J3573" s="417" t="s">
        <v>8063</v>
      </c>
      <c r="K3573" s="417" t="s">
        <v>9593</v>
      </c>
      <c r="L3573" s="417"/>
      <c r="M3573" s="417" t="s">
        <v>28840</v>
      </c>
    </row>
    <row r="3574" spans="1:13" x14ac:dyDescent="0.25">
      <c r="A3574" s="417" t="s">
        <v>3385</v>
      </c>
      <c r="B3574" s="417" t="s">
        <v>3405</v>
      </c>
      <c r="C3574" s="417" t="s">
        <v>9594</v>
      </c>
      <c r="D3574" s="417" t="s">
        <v>224</v>
      </c>
      <c r="E3574" s="423">
        <v>5.2480251715224177E-2</v>
      </c>
      <c r="F3574" s="423">
        <v>2.4762779593261882E-3</v>
      </c>
      <c r="G3574" s="422">
        <v>205.57409379765451</v>
      </c>
      <c r="H3574" s="417" t="s">
        <v>2616</v>
      </c>
      <c r="I3574" s="417" t="s">
        <v>1392</v>
      </c>
      <c r="J3574" s="417" t="s">
        <v>8063</v>
      </c>
      <c r="K3574" s="417" t="s">
        <v>9595</v>
      </c>
      <c r="L3574" s="417"/>
      <c r="M3574" s="417" t="s">
        <v>28840</v>
      </c>
    </row>
    <row r="3575" spans="1:13" x14ac:dyDescent="0.25">
      <c r="A3575" s="417" t="s">
        <v>3385</v>
      </c>
      <c r="B3575" s="417" t="s">
        <v>3405</v>
      </c>
      <c r="C3575" s="417" t="s">
        <v>9596</v>
      </c>
      <c r="D3575" s="417" t="s">
        <v>224</v>
      </c>
      <c r="E3575" s="423">
        <v>6.9526524062922063E-2</v>
      </c>
      <c r="F3575" s="423">
        <v>2.4710478055621991E-3</v>
      </c>
      <c r="G3575" s="422">
        <v>198.89980480959369</v>
      </c>
      <c r="H3575" s="417" t="s">
        <v>2616</v>
      </c>
      <c r="I3575" s="417" t="s">
        <v>1392</v>
      </c>
      <c r="J3575" s="417" t="s">
        <v>8063</v>
      </c>
      <c r="K3575" s="417" t="s">
        <v>9597</v>
      </c>
      <c r="L3575" s="417"/>
      <c r="M3575" s="417" t="s">
        <v>28840</v>
      </c>
    </row>
    <row r="3576" spans="1:13" x14ac:dyDescent="0.25">
      <c r="A3576" s="417" t="s">
        <v>3385</v>
      </c>
      <c r="B3576" s="417" t="s">
        <v>3405</v>
      </c>
      <c r="C3576" s="417" t="s">
        <v>9598</v>
      </c>
      <c r="D3576" s="417" t="s">
        <v>224</v>
      </c>
      <c r="E3576" s="423">
        <v>3.3739291199589093E-2</v>
      </c>
      <c r="F3576" s="423">
        <v>1.457925953321918E-3</v>
      </c>
      <c r="G3576" s="422">
        <v>138.47604521364801</v>
      </c>
      <c r="H3576" s="417" t="s">
        <v>2616</v>
      </c>
      <c r="I3576" s="417" t="s">
        <v>1392</v>
      </c>
      <c r="J3576" s="417" t="s">
        <v>8063</v>
      </c>
      <c r="K3576" s="417" t="s">
        <v>9599</v>
      </c>
      <c r="L3576" s="417"/>
      <c r="M3576" s="417" t="s">
        <v>28840</v>
      </c>
    </row>
    <row r="3577" spans="1:13" x14ac:dyDescent="0.25">
      <c r="A3577" s="417" t="s">
        <v>3385</v>
      </c>
      <c r="B3577" s="417" t="s">
        <v>3405</v>
      </c>
      <c r="C3577" s="417" t="s">
        <v>9600</v>
      </c>
      <c r="D3577" s="417" t="s">
        <v>224</v>
      </c>
      <c r="E3577" s="423">
        <v>4.4601301217088128E-2</v>
      </c>
      <c r="F3577" s="423">
        <v>2.1738875671144858E-3</v>
      </c>
      <c r="G3577" s="422">
        <v>164.33282645886939</v>
      </c>
      <c r="H3577" s="417" t="s">
        <v>2616</v>
      </c>
      <c r="I3577" s="417" t="s">
        <v>1392</v>
      </c>
      <c r="J3577" s="417" t="s">
        <v>8063</v>
      </c>
      <c r="K3577" s="417" t="s">
        <v>9601</v>
      </c>
      <c r="L3577" s="417"/>
      <c r="M3577" s="417" t="s">
        <v>28840</v>
      </c>
    </row>
    <row r="3578" spans="1:13" x14ac:dyDescent="0.25">
      <c r="A3578" s="417" t="s">
        <v>3385</v>
      </c>
      <c r="B3578" s="417" t="s">
        <v>3405</v>
      </c>
      <c r="C3578" s="417" t="s">
        <v>9602</v>
      </c>
      <c r="D3578" s="417" t="s">
        <v>224</v>
      </c>
      <c r="E3578" s="423">
        <v>4.6573934995569367E-2</v>
      </c>
      <c r="F3578" s="423">
        <v>3.2933942832747309E-2</v>
      </c>
      <c r="G3578" s="422">
        <v>754.16917557334864</v>
      </c>
      <c r="H3578" s="417" t="s">
        <v>2616</v>
      </c>
      <c r="I3578" s="417" t="s">
        <v>1392</v>
      </c>
      <c r="J3578" s="417" t="s">
        <v>7898</v>
      </c>
      <c r="K3578" s="417" t="s">
        <v>9603</v>
      </c>
      <c r="L3578" s="417"/>
      <c r="M3578" s="417" t="s">
        <v>28840</v>
      </c>
    </row>
    <row r="3579" spans="1:13" x14ac:dyDescent="0.25">
      <c r="A3579" s="417" t="s">
        <v>3385</v>
      </c>
      <c r="B3579" s="417" t="s">
        <v>3405</v>
      </c>
      <c r="C3579" s="417" t="s">
        <v>9604</v>
      </c>
      <c r="D3579" s="417" t="s">
        <v>224</v>
      </c>
      <c r="E3579" s="423">
        <v>1.296457047771688E-2</v>
      </c>
      <c r="F3579" s="423">
        <v>1.5827870427907449E-3</v>
      </c>
      <c r="G3579" s="422">
        <v>104.42924730711201</v>
      </c>
      <c r="H3579" s="417" t="s">
        <v>2616</v>
      </c>
      <c r="I3579" s="417" t="s">
        <v>1392</v>
      </c>
      <c r="J3579" s="417" t="s">
        <v>8072</v>
      </c>
      <c r="K3579" s="417" t="s">
        <v>9605</v>
      </c>
      <c r="L3579" s="417"/>
      <c r="M3579" s="417" t="s">
        <v>28840</v>
      </c>
    </row>
    <row r="3580" spans="1:13" x14ac:dyDescent="0.25">
      <c r="A3580" s="417" t="s">
        <v>3385</v>
      </c>
      <c r="B3580" s="417" t="s">
        <v>3405</v>
      </c>
      <c r="C3580" s="417" t="s">
        <v>9606</v>
      </c>
      <c r="D3580" s="417" t="s">
        <v>224</v>
      </c>
      <c r="E3580" s="423">
        <v>2.704945484528903E-2</v>
      </c>
      <c r="F3580" s="423">
        <v>1.243449158241278E-2</v>
      </c>
      <c r="G3580" s="422">
        <v>235.5579818837117</v>
      </c>
      <c r="H3580" s="417" t="s">
        <v>2616</v>
      </c>
      <c r="I3580" s="417" t="s">
        <v>1392</v>
      </c>
      <c r="J3580" s="417" t="s">
        <v>7898</v>
      </c>
      <c r="K3580" s="417" t="s">
        <v>9607</v>
      </c>
      <c r="L3580" s="417"/>
      <c r="M3580" s="417" t="s">
        <v>28840</v>
      </c>
    </row>
    <row r="3581" spans="1:13" x14ac:dyDescent="0.25">
      <c r="A3581" s="417" t="s">
        <v>3385</v>
      </c>
      <c r="B3581" s="417" t="s">
        <v>3405</v>
      </c>
      <c r="C3581" s="417" t="s">
        <v>9608</v>
      </c>
      <c r="D3581" s="417" t="s">
        <v>224</v>
      </c>
      <c r="E3581" s="423">
        <v>1.349214211369911E-2</v>
      </c>
      <c r="F3581" s="423">
        <v>9.5771967831890306E-3</v>
      </c>
      <c r="G3581" s="422">
        <v>79.311685332083528</v>
      </c>
      <c r="H3581" s="417" t="s">
        <v>2616</v>
      </c>
      <c r="I3581" s="417" t="s">
        <v>1392</v>
      </c>
      <c r="J3581" s="417" t="s">
        <v>7898</v>
      </c>
      <c r="K3581" s="417" t="s">
        <v>9609</v>
      </c>
      <c r="L3581" s="417"/>
      <c r="M3581" s="417" t="s">
        <v>28840</v>
      </c>
    </row>
    <row r="3582" spans="1:13" x14ac:dyDescent="0.25">
      <c r="A3582" s="417" t="s">
        <v>3385</v>
      </c>
      <c r="B3582" s="417" t="s">
        <v>3405</v>
      </c>
      <c r="C3582" s="417" t="s">
        <v>9610</v>
      </c>
      <c r="D3582" s="417" t="s">
        <v>224</v>
      </c>
      <c r="E3582" s="423">
        <v>0.26816832231430648</v>
      </c>
      <c r="F3582" s="423">
        <v>1.1513707506647099E-3</v>
      </c>
      <c r="G3582" s="422">
        <v>503.27951578406493</v>
      </c>
      <c r="H3582" s="417" t="s">
        <v>2616</v>
      </c>
      <c r="I3582" s="417" t="s">
        <v>1392</v>
      </c>
      <c r="J3582" s="417" t="s">
        <v>7898</v>
      </c>
      <c r="K3582" s="417" t="s">
        <v>9611</v>
      </c>
      <c r="L3582" s="417"/>
      <c r="M3582" s="417" t="s">
        <v>28840</v>
      </c>
    </row>
    <row r="3583" spans="1:13" x14ac:dyDescent="0.25">
      <c r="A3583" s="417" t="s">
        <v>3385</v>
      </c>
      <c r="B3583" s="417" t="s">
        <v>3405</v>
      </c>
      <c r="C3583" s="417" t="s">
        <v>9612</v>
      </c>
      <c r="D3583" s="417" t="s">
        <v>224</v>
      </c>
      <c r="E3583" s="423">
        <v>0.3926688180606912</v>
      </c>
      <c r="F3583" s="423">
        <v>1.1738283011403939E-3</v>
      </c>
      <c r="G3583" s="422">
        <v>626.85541357608759</v>
      </c>
      <c r="H3583" s="417" t="s">
        <v>2616</v>
      </c>
      <c r="I3583" s="417" t="s">
        <v>1392</v>
      </c>
      <c r="J3583" s="417" t="s">
        <v>7898</v>
      </c>
      <c r="K3583" s="417" t="s">
        <v>9613</v>
      </c>
      <c r="L3583" s="417"/>
      <c r="M3583" s="417" t="s">
        <v>28840</v>
      </c>
    </row>
    <row r="3584" spans="1:13" x14ac:dyDescent="0.25">
      <c r="A3584" s="417" t="s">
        <v>3385</v>
      </c>
      <c r="B3584" s="417" t="s">
        <v>3405</v>
      </c>
      <c r="C3584" s="417" t="s">
        <v>9614</v>
      </c>
      <c r="D3584" s="417" t="s">
        <v>224</v>
      </c>
      <c r="E3584" s="423">
        <v>0.38860185556623611</v>
      </c>
      <c r="F3584" s="423">
        <v>1.669536996201483E-2</v>
      </c>
      <c r="G3584" s="422">
        <v>585.24716280573932</v>
      </c>
      <c r="H3584" s="417" t="s">
        <v>2616</v>
      </c>
      <c r="I3584" s="417" t="s">
        <v>1392</v>
      </c>
      <c r="J3584" s="417" t="s">
        <v>7898</v>
      </c>
      <c r="K3584" s="417" t="s">
        <v>9615</v>
      </c>
      <c r="L3584" s="417"/>
      <c r="M3584" s="417" t="s">
        <v>28840</v>
      </c>
    </row>
    <row r="3585" spans="1:13" x14ac:dyDescent="0.25">
      <c r="A3585" s="417" t="s">
        <v>3385</v>
      </c>
      <c r="B3585" s="417" t="s">
        <v>3405</v>
      </c>
      <c r="C3585" s="417" t="s">
        <v>9616</v>
      </c>
      <c r="D3585" s="417" t="s">
        <v>224</v>
      </c>
      <c r="E3585" s="423">
        <v>0.19450406387402419</v>
      </c>
      <c r="F3585" s="423">
        <v>5.1124705408741977E-2</v>
      </c>
      <c r="G3585" s="422">
        <v>417.38856357945349</v>
      </c>
      <c r="H3585" s="417" t="s">
        <v>2616</v>
      </c>
      <c r="I3585" s="417" t="s">
        <v>1392</v>
      </c>
      <c r="J3585" s="417" t="s">
        <v>7898</v>
      </c>
      <c r="K3585" s="417" t="s">
        <v>9617</v>
      </c>
      <c r="L3585" s="417"/>
      <c r="M3585" s="417" t="s">
        <v>28840</v>
      </c>
    </row>
    <row r="3586" spans="1:13" x14ac:dyDescent="0.25">
      <c r="A3586" s="417" t="s">
        <v>3385</v>
      </c>
      <c r="B3586" s="417" t="s">
        <v>3405</v>
      </c>
      <c r="C3586" s="417" t="s">
        <v>9618</v>
      </c>
      <c r="D3586" s="417" t="s">
        <v>224</v>
      </c>
      <c r="E3586" s="423">
        <v>0.66903890565849866</v>
      </c>
      <c r="F3586" s="423">
        <v>1.1000882640321299E-2</v>
      </c>
      <c r="G3586" s="422">
        <v>866.61815657933596</v>
      </c>
      <c r="H3586" s="417" t="s">
        <v>2616</v>
      </c>
      <c r="I3586" s="417" t="s">
        <v>1392</v>
      </c>
      <c r="J3586" s="417" t="s">
        <v>7898</v>
      </c>
      <c r="K3586" s="417" t="s">
        <v>9619</v>
      </c>
      <c r="L3586" s="417"/>
      <c r="M3586" s="417" t="s">
        <v>28840</v>
      </c>
    </row>
    <row r="3587" spans="1:13" x14ac:dyDescent="0.25">
      <c r="A3587" s="417" t="s">
        <v>3385</v>
      </c>
      <c r="B3587" s="417" t="s">
        <v>3405</v>
      </c>
      <c r="C3587" s="417" t="s">
        <v>9620</v>
      </c>
      <c r="D3587" s="417" t="s">
        <v>224</v>
      </c>
      <c r="E3587" s="423">
        <v>0.85481954480067657</v>
      </c>
      <c r="F3587" s="423">
        <v>1.485906904365655E-2</v>
      </c>
      <c r="G3587" s="422">
        <v>1124.698100692036</v>
      </c>
      <c r="H3587" s="417" t="s">
        <v>2616</v>
      </c>
      <c r="I3587" s="417" t="s">
        <v>1392</v>
      </c>
      <c r="J3587" s="417" t="s">
        <v>7898</v>
      </c>
      <c r="K3587" s="417" t="s">
        <v>9621</v>
      </c>
      <c r="L3587" s="417"/>
      <c r="M3587" s="417" t="s">
        <v>28840</v>
      </c>
    </row>
    <row r="3588" spans="1:13" x14ac:dyDescent="0.25">
      <c r="A3588" s="417" t="s">
        <v>3385</v>
      </c>
      <c r="B3588" s="417" t="s">
        <v>3405</v>
      </c>
      <c r="C3588" s="417" t="s">
        <v>9622</v>
      </c>
      <c r="D3588" s="417" t="s">
        <v>224</v>
      </c>
      <c r="E3588" s="423">
        <v>0.67083174124398726</v>
      </c>
      <c r="F3588" s="423">
        <v>4.6018631209676824E-3</v>
      </c>
      <c r="G3588" s="422">
        <v>963.65491762648628</v>
      </c>
      <c r="H3588" s="417" t="s">
        <v>2616</v>
      </c>
      <c r="I3588" s="417" t="s">
        <v>1392</v>
      </c>
      <c r="J3588" s="417" t="s">
        <v>7898</v>
      </c>
      <c r="K3588" s="417" t="s">
        <v>9623</v>
      </c>
      <c r="L3588" s="417"/>
      <c r="M3588" s="417" t="s">
        <v>28840</v>
      </c>
    </row>
    <row r="3589" spans="1:13" x14ac:dyDescent="0.25">
      <c r="A3589" s="417" t="s">
        <v>3385</v>
      </c>
      <c r="B3589" s="417" t="s">
        <v>3405</v>
      </c>
      <c r="C3589" s="417" t="s">
        <v>9624</v>
      </c>
      <c r="D3589" s="417" t="s">
        <v>224</v>
      </c>
      <c r="E3589" s="423">
        <v>0.17049468787961941</v>
      </c>
      <c r="F3589" s="423">
        <v>3.103299590971749E-2</v>
      </c>
      <c r="G3589" s="422">
        <v>488.3573069334559</v>
      </c>
      <c r="H3589" s="417" t="s">
        <v>2616</v>
      </c>
      <c r="I3589" s="417" t="s">
        <v>1392</v>
      </c>
      <c r="J3589" s="417" t="s">
        <v>7898</v>
      </c>
      <c r="K3589" s="417" t="s">
        <v>9625</v>
      </c>
      <c r="L3589" s="417"/>
      <c r="M3589" s="417" t="s">
        <v>28840</v>
      </c>
    </row>
    <row r="3590" spans="1:13" x14ac:dyDescent="0.25">
      <c r="A3590" s="417" t="s">
        <v>3385</v>
      </c>
      <c r="B3590" s="417" t="s">
        <v>3405</v>
      </c>
      <c r="C3590" s="417" t="s">
        <v>9626</v>
      </c>
      <c r="D3590" s="417" t="s">
        <v>224</v>
      </c>
      <c r="E3590" s="423">
        <v>0.42216814797092772</v>
      </c>
      <c r="F3590" s="423">
        <v>3.1990857747354648E-2</v>
      </c>
      <c r="G3590" s="422">
        <v>896.74882126034834</v>
      </c>
      <c r="H3590" s="417" t="s">
        <v>2616</v>
      </c>
      <c r="I3590" s="417" t="s">
        <v>1392</v>
      </c>
      <c r="J3590" s="417" t="s">
        <v>7898</v>
      </c>
      <c r="K3590" s="417" t="s">
        <v>9627</v>
      </c>
      <c r="L3590" s="417"/>
      <c r="M3590" s="417" t="s">
        <v>28840</v>
      </c>
    </row>
    <row r="3591" spans="1:13" x14ac:dyDescent="0.25">
      <c r="A3591" s="417" t="s">
        <v>3385</v>
      </c>
      <c r="B3591" s="417" t="s">
        <v>3405</v>
      </c>
      <c r="C3591" s="417" t="s">
        <v>9628</v>
      </c>
      <c r="D3591" s="417" t="s">
        <v>224</v>
      </c>
      <c r="E3591" s="423">
        <v>9.8564987918929425E-2</v>
      </c>
      <c r="F3591" s="423">
        <v>6.7616365952649235E-2</v>
      </c>
      <c r="G3591" s="422">
        <v>207.10939952175241</v>
      </c>
      <c r="H3591" s="417" t="s">
        <v>2616</v>
      </c>
      <c r="I3591" s="417" t="s">
        <v>1392</v>
      </c>
      <c r="J3591" s="417" t="s">
        <v>7898</v>
      </c>
      <c r="K3591" s="417" t="s">
        <v>9629</v>
      </c>
      <c r="L3591" s="417"/>
      <c r="M3591" s="417" t="s">
        <v>28840</v>
      </c>
    </row>
    <row r="3592" spans="1:13" x14ac:dyDescent="0.25">
      <c r="A3592" s="417" t="s">
        <v>3385</v>
      </c>
      <c r="B3592" s="417" t="s">
        <v>3405</v>
      </c>
      <c r="C3592" s="417" t="s">
        <v>9630</v>
      </c>
      <c r="D3592" s="417" t="s">
        <v>224</v>
      </c>
      <c r="E3592" s="423">
        <v>0.1599711336177301</v>
      </c>
      <c r="F3592" s="423">
        <v>1.1662687114447391E-2</v>
      </c>
      <c r="G3592" s="422">
        <v>322.1415301618494</v>
      </c>
      <c r="H3592" s="417" t="s">
        <v>2616</v>
      </c>
      <c r="I3592" s="417" t="s">
        <v>1392</v>
      </c>
      <c r="J3592" s="417" t="s">
        <v>7898</v>
      </c>
      <c r="K3592" s="417" t="s">
        <v>9631</v>
      </c>
      <c r="L3592" s="417"/>
      <c r="M3592" s="417" t="s">
        <v>28840</v>
      </c>
    </row>
    <row r="3593" spans="1:13" x14ac:dyDescent="0.25">
      <c r="A3593" s="417" t="s">
        <v>3385</v>
      </c>
      <c r="B3593" s="417" t="s">
        <v>3405</v>
      </c>
      <c r="C3593" s="417" t="s">
        <v>9632</v>
      </c>
      <c r="D3593" s="417" t="s">
        <v>224</v>
      </c>
      <c r="E3593" s="423">
        <v>8.9526061551935321E-2</v>
      </c>
      <c r="F3593" s="423">
        <v>2.1744283716335761E-2</v>
      </c>
      <c r="G3593" s="422">
        <v>438.28923039361462</v>
      </c>
      <c r="H3593" s="417" t="s">
        <v>2616</v>
      </c>
      <c r="I3593" s="417" t="s">
        <v>1392</v>
      </c>
      <c r="J3593" s="417" t="s">
        <v>7898</v>
      </c>
      <c r="K3593" s="417" t="s">
        <v>9633</v>
      </c>
      <c r="L3593" s="417"/>
      <c r="M3593" s="417" t="s">
        <v>28840</v>
      </c>
    </row>
    <row r="3594" spans="1:13" x14ac:dyDescent="0.25">
      <c r="A3594" s="417" t="s">
        <v>3385</v>
      </c>
      <c r="B3594" s="417" t="s">
        <v>3405</v>
      </c>
      <c r="C3594" s="417" t="s">
        <v>9634</v>
      </c>
      <c r="D3594" s="417" t="s">
        <v>224</v>
      </c>
      <c r="E3594" s="423">
        <v>0.31737054439220669</v>
      </c>
      <c r="F3594" s="423">
        <v>4.8956816710769992E-2</v>
      </c>
      <c r="G3594" s="422">
        <v>448.03316354372572</v>
      </c>
      <c r="H3594" s="417" t="s">
        <v>2616</v>
      </c>
      <c r="I3594" s="417" t="s">
        <v>1392</v>
      </c>
      <c r="J3594" s="417" t="s">
        <v>7898</v>
      </c>
      <c r="K3594" s="417" t="s">
        <v>9635</v>
      </c>
      <c r="L3594" s="417"/>
      <c r="M3594" s="417" t="s">
        <v>28840</v>
      </c>
    </row>
    <row r="3595" spans="1:13" x14ac:dyDescent="0.25">
      <c r="A3595" s="417" t="s">
        <v>3385</v>
      </c>
      <c r="B3595" s="417" t="s">
        <v>3405</v>
      </c>
      <c r="C3595" s="417" t="s">
        <v>9636</v>
      </c>
      <c r="D3595" s="417" t="s">
        <v>224</v>
      </c>
      <c r="E3595" s="423">
        <v>0.71655350329028844</v>
      </c>
      <c r="F3595" s="423">
        <v>1.5960264869804942E-2</v>
      </c>
      <c r="G3595" s="422">
        <v>977.90377318858987</v>
      </c>
      <c r="H3595" s="417" t="s">
        <v>2616</v>
      </c>
      <c r="I3595" s="417" t="s">
        <v>1392</v>
      </c>
      <c r="J3595" s="417" t="s">
        <v>7898</v>
      </c>
      <c r="K3595" s="417" t="s">
        <v>9637</v>
      </c>
      <c r="L3595" s="417"/>
      <c r="M3595" s="417" t="s">
        <v>28840</v>
      </c>
    </row>
    <row r="3596" spans="1:13" x14ac:dyDescent="0.25">
      <c r="A3596" s="417" t="s">
        <v>3385</v>
      </c>
      <c r="B3596" s="417" t="s">
        <v>3405</v>
      </c>
      <c r="C3596" s="417" t="s">
        <v>9638</v>
      </c>
      <c r="D3596" s="417" t="s">
        <v>224</v>
      </c>
      <c r="E3596" s="423">
        <v>0.2937191639107557</v>
      </c>
      <c r="F3596" s="423">
        <v>2.1487765431168079E-2</v>
      </c>
      <c r="G3596" s="422">
        <v>412.69997348806442</v>
      </c>
      <c r="H3596" s="417" t="s">
        <v>2616</v>
      </c>
      <c r="I3596" s="417" t="s">
        <v>1392</v>
      </c>
      <c r="J3596" s="417" t="s">
        <v>7898</v>
      </c>
      <c r="K3596" s="417" t="s">
        <v>9639</v>
      </c>
      <c r="L3596" s="417"/>
      <c r="M3596" s="417" t="s">
        <v>28840</v>
      </c>
    </row>
    <row r="3597" spans="1:13" x14ac:dyDescent="0.25">
      <c r="A3597" s="417" t="s">
        <v>3385</v>
      </c>
      <c r="B3597" s="417" t="s">
        <v>3405</v>
      </c>
      <c r="C3597" s="417" t="s">
        <v>9640</v>
      </c>
      <c r="D3597" s="417" t="s">
        <v>224</v>
      </c>
      <c r="E3597" s="423">
        <v>0.49879794002552619</v>
      </c>
      <c r="F3597" s="423">
        <v>5.3840320958155323E-2</v>
      </c>
      <c r="G3597" s="422">
        <v>859.21916085140481</v>
      </c>
      <c r="H3597" s="417" t="s">
        <v>2616</v>
      </c>
      <c r="I3597" s="417" t="s">
        <v>1392</v>
      </c>
      <c r="J3597" s="417" t="s">
        <v>7898</v>
      </c>
      <c r="K3597" s="417" t="s">
        <v>9641</v>
      </c>
      <c r="L3597" s="417"/>
      <c r="M3597" s="417" t="s">
        <v>28840</v>
      </c>
    </row>
    <row r="3598" spans="1:13" x14ac:dyDescent="0.25">
      <c r="A3598" s="417" t="s">
        <v>3385</v>
      </c>
      <c r="B3598" s="417" t="s">
        <v>3405</v>
      </c>
      <c r="C3598" s="417" t="s">
        <v>9642</v>
      </c>
      <c r="D3598" s="417" t="s">
        <v>224</v>
      </c>
      <c r="E3598" s="423">
        <v>0.43062986356542299</v>
      </c>
      <c r="F3598" s="423">
        <v>5.7733634314144952E-2</v>
      </c>
      <c r="G3598" s="422">
        <v>695.72297676837991</v>
      </c>
      <c r="H3598" s="417" t="s">
        <v>2616</v>
      </c>
      <c r="I3598" s="417" t="s">
        <v>1392</v>
      </c>
      <c r="J3598" s="417" t="s">
        <v>7898</v>
      </c>
      <c r="K3598" s="417" t="s">
        <v>9643</v>
      </c>
      <c r="L3598" s="417"/>
      <c r="M3598" s="417" t="s">
        <v>28840</v>
      </c>
    </row>
    <row r="3599" spans="1:13" x14ac:dyDescent="0.25">
      <c r="A3599" s="417" t="s">
        <v>3385</v>
      </c>
      <c r="B3599" s="417" t="s">
        <v>3405</v>
      </c>
      <c r="C3599" s="417" t="s">
        <v>9644</v>
      </c>
      <c r="D3599" s="417" t="s">
        <v>224</v>
      </c>
      <c r="E3599" s="423">
        <v>0.1256453156707609</v>
      </c>
      <c r="F3599" s="423">
        <v>9.4931843422810636E-2</v>
      </c>
      <c r="G3599" s="422">
        <v>254.7918584540476</v>
      </c>
      <c r="H3599" s="417" t="s">
        <v>2616</v>
      </c>
      <c r="I3599" s="417" t="s">
        <v>1392</v>
      </c>
      <c r="J3599" s="417" t="s">
        <v>7898</v>
      </c>
      <c r="K3599" s="417" t="s">
        <v>9645</v>
      </c>
      <c r="L3599" s="417"/>
      <c r="M3599" s="417" t="s">
        <v>28840</v>
      </c>
    </row>
    <row r="3600" spans="1:13" x14ac:dyDescent="0.25">
      <c r="A3600" s="417" t="s">
        <v>3385</v>
      </c>
      <c r="B3600" s="417" t="s">
        <v>3405</v>
      </c>
      <c r="C3600" s="417" t="s">
        <v>9646</v>
      </c>
      <c r="D3600" s="417" t="s">
        <v>224</v>
      </c>
      <c r="E3600" s="423">
        <v>0.59944043414258674</v>
      </c>
      <c r="F3600" s="423">
        <v>2.6562520355339629E-3</v>
      </c>
      <c r="G3600" s="422">
        <v>786.82051074199433</v>
      </c>
      <c r="H3600" s="417" t="s">
        <v>2616</v>
      </c>
      <c r="I3600" s="417" t="s">
        <v>1392</v>
      </c>
      <c r="J3600" s="417" t="s">
        <v>7898</v>
      </c>
      <c r="K3600" s="417" t="s">
        <v>9647</v>
      </c>
      <c r="L3600" s="417"/>
      <c r="M3600" s="417" t="s">
        <v>28840</v>
      </c>
    </row>
    <row r="3601" spans="1:13" x14ac:dyDescent="0.25">
      <c r="A3601" s="417" t="s">
        <v>3385</v>
      </c>
      <c r="B3601" s="417" t="s">
        <v>3405</v>
      </c>
      <c r="C3601" s="417" t="s">
        <v>9648</v>
      </c>
      <c r="D3601" s="417" t="s">
        <v>224</v>
      </c>
      <c r="E3601" s="423">
        <v>0.27851625820720499</v>
      </c>
      <c r="F3601" s="423">
        <v>0.1454773325548207</v>
      </c>
      <c r="G3601" s="422">
        <v>618.79466513944692</v>
      </c>
      <c r="H3601" s="417" t="s">
        <v>2616</v>
      </c>
      <c r="I3601" s="417" t="s">
        <v>1392</v>
      </c>
      <c r="J3601" s="417" t="s">
        <v>7898</v>
      </c>
      <c r="K3601" s="417" t="s">
        <v>9649</v>
      </c>
      <c r="L3601" s="417"/>
      <c r="M3601" s="417" t="s">
        <v>28840</v>
      </c>
    </row>
    <row r="3602" spans="1:13" x14ac:dyDescent="0.25">
      <c r="A3602" s="417" t="s">
        <v>3385</v>
      </c>
      <c r="B3602" s="417" t="s">
        <v>3405</v>
      </c>
      <c r="C3602" s="417" t="s">
        <v>9650</v>
      </c>
      <c r="D3602" s="417" t="s">
        <v>224</v>
      </c>
      <c r="E3602" s="423">
        <v>0.48584189118566012</v>
      </c>
      <c r="F3602" s="423">
        <v>1.3573997210369971E-3</v>
      </c>
      <c r="G3602" s="422">
        <v>640.92342148645889</v>
      </c>
      <c r="H3602" s="417" t="s">
        <v>2616</v>
      </c>
      <c r="I3602" s="417" t="s">
        <v>1392</v>
      </c>
      <c r="J3602" s="417" t="s">
        <v>7898</v>
      </c>
      <c r="K3602" s="417" t="s">
        <v>9651</v>
      </c>
      <c r="L3602" s="417"/>
      <c r="M3602" s="417" t="s">
        <v>28840</v>
      </c>
    </row>
    <row r="3603" spans="1:13" x14ac:dyDescent="0.25">
      <c r="A3603" s="417" t="s">
        <v>3385</v>
      </c>
      <c r="B3603" s="417" t="s">
        <v>3405</v>
      </c>
      <c r="C3603" s="417" t="s">
        <v>9652</v>
      </c>
      <c r="D3603" s="417" t="s">
        <v>224</v>
      </c>
      <c r="E3603" s="423">
        <v>0.27258158814721722</v>
      </c>
      <c r="F3603" s="423">
        <v>3.3887679008177553E-2</v>
      </c>
      <c r="G3603" s="422">
        <v>580.53652386129772</v>
      </c>
      <c r="H3603" s="417" t="s">
        <v>2616</v>
      </c>
      <c r="I3603" s="417" t="s">
        <v>1392</v>
      </c>
      <c r="J3603" s="417" t="s">
        <v>7898</v>
      </c>
      <c r="K3603" s="417" t="s">
        <v>9653</v>
      </c>
      <c r="L3603" s="417"/>
      <c r="M3603" s="417" t="s">
        <v>28840</v>
      </c>
    </row>
    <row r="3604" spans="1:13" x14ac:dyDescent="0.25">
      <c r="A3604" s="417" t="s">
        <v>3385</v>
      </c>
      <c r="B3604" s="417" t="s">
        <v>3405</v>
      </c>
      <c r="C3604" s="417" t="s">
        <v>9654</v>
      </c>
      <c r="D3604" s="417" t="s">
        <v>224</v>
      </c>
      <c r="E3604" s="423">
        <v>0.20647491195822251</v>
      </c>
      <c r="F3604" s="423">
        <v>1.5748437009926841E-2</v>
      </c>
      <c r="G3604" s="422">
        <v>494.78481181665938</v>
      </c>
      <c r="H3604" s="417" t="s">
        <v>2616</v>
      </c>
      <c r="I3604" s="417" t="s">
        <v>1392</v>
      </c>
      <c r="J3604" s="417" t="s">
        <v>7898</v>
      </c>
      <c r="K3604" s="417" t="s">
        <v>9655</v>
      </c>
      <c r="L3604" s="417"/>
      <c r="M3604" s="417" t="s">
        <v>28840</v>
      </c>
    </row>
    <row r="3605" spans="1:13" x14ac:dyDescent="0.25">
      <c r="A3605" s="417" t="s">
        <v>3385</v>
      </c>
      <c r="B3605" s="417" t="s">
        <v>3405</v>
      </c>
      <c r="C3605" s="417" t="s">
        <v>9656</v>
      </c>
      <c r="D3605" s="417" t="s">
        <v>224</v>
      </c>
      <c r="E3605" s="423">
        <v>1.2935377014508869E-2</v>
      </c>
      <c r="F3605" s="423">
        <v>7.8004416447672675E-4</v>
      </c>
      <c r="G3605" s="422">
        <v>71.629291161108128</v>
      </c>
      <c r="H3605" s="417" t="s">
        <v>2616</v>
      </c>
      <c r="I3605" s="417" t="s">
        <v>1392</v>
      </c>
      <c r="J3605" s="417" t="s">
        <v>7898</v>
      </c>
      <c r="K3605" s="417" t="s">
        <v>9657</v>
      </c>
      <c r="L3605" s="417"/>
      <c r="M3605" s="417" t="s">
        <v>28840</v>
      </c>
    </row>
    <row r="3606" spans="1:13" x14ac:dyDescent="0.25">
      <c r="A3606" s="417" t="s">
        <v>3385</v>
      </c>
      <c r="B3606" s="417" t="s">
        <v>3405</v>
      </c>
      <c r="C3606" s="417" t="s">
        <v>9658</v>
      </c>
      <c r="D3606" s="417" t="s">
        <v>224</v>
      </c>
      <c r="E3606" s="423">
        <v>0.1145677422822038</v>
      </c>
      <c r="F3606" s="423">
        <v>8.9424602458616761E-2</v>
      </c>
      <c r="G3606" s="422">
        <v>415.74143099323629</v>
      </c>
      <c r="H3606" s="417" t="s">
        <v>2616</v>
      </c>
      <c r="I3606" s="417" t="s">
        <v>1392</v>
      </c>
      <c r="J3606" s="417" t="s">
        <v>7898</v>
      </c>
      <c r="K3606" s="417" t="s">
        <v>9659</v>
      </c>
      <c r="L3606" s="417"/>
      <c r="M3606" s="417" t="s">
        <v>28840</v>
      </c>
    </row>
    <row r="3607" spans="1:13" x14ac:dyDescent="0.25">
      <c r="A3607" s="417" t="s">
        <v>3385</v>
      </c>
      <c r="B3607" s="417" t="s">
        <v>3405</v>
      </c>
      <c r="C3607" s="417" t="s">
        <v>9660</v>
      </c>
      <c r="D3607" s="417" t="s">
        <v>224</v>
      </c>
      <c r="E3607" s="423">
        <v>7.3136748658708478E-2</v>
      </c>
      <c r="F3607" s="423">
        <v>1.4336077912036159E-2</v>
      </c>
      <c r="G3607" s="422">
        <v>665.29448168216709</v>
      </c>
      <c r="H3607" s="417" t="s">
        <v>2616</v>
      </c>
      <c r="I3607" s="417" t="s">
        <v>1392</v>
      </c>
      <c r="J3607" s="417" t="s">
        <v>7898</v>
      </c>
      <c r="K3607" s="417" t="s">
        <v>9661</v>
      </c>
      <c r="L3607" s="417"/>
      <c r="M3607" s="417" t="s">
        <v>28840</v>
      </c>
    </row>
    <row r="3608" spans="1:13" x14ac:dyDescent="0.25">
      <c r="A3608" s="417" t="s">
        <v>3385</v>
      </c>
      <c r="B3608" s="417" t="s">
        <v>3405</v>
      </c>
      <c r="C3608" s="417" t="s">
        <v>9662</v>
      </c>
      <c r="D3608" s="417" t="s">
        <v>224</v>
      </c>
      <c r="E3608" s="423">
        <v>0.1986250648734473</v>
      </c>
      <c r="F3608" s="423">
        <v>7.1912304750862563E-2</v>
      </c>
      <c r="G3608" s="422">
        <v>445.7084682268848</v>
      </c>
      <c r="H3608" s="417" t="s">
        <v>2616</v>
      </c>
      <c r="I3608" s="417" t="s">
        <v>1392</v>
      </c>
      <c r="J3608" s="417" t="s">
        <v>7898</v>
      </c>
      <c r="K3608" s="417" t="s">
        <v>9663</v>
      </c>
      <c r="L3608" s="417"/>
      <c r="M3608" s="417" t="s">
        <v>28840</v>
      </c>
    </row>
    <row r="3609" spans="1:13" x14ac:dyDescent="0.25">
      <c r="A3609" s="417" t="s">
        <v>3385</v>
      </c>
      <c r="B3609" s="417" t="s">
        <v>3405</v>
      </c>
      <c r="C3609" s="417" t="s">
        <v>9664</v>
      </c>
      <c r="D3609" s="417" t="s">
        <v>224</v>
      </c>
      <c r="E3609" s="423">
        <v>0.57473842592668622</v>
      </c>
      <c r="F3609" s="423">
        <v>1.874024738366455E-2</v>
      </c>
      <c r="G3609" s="422">
        <v>847.83857927782105</v>
      </c>
      <c r="H3609" s="417" t="s">
        <v>2616</v>
      </c>
      <c r="I3609" s="417" t="s">
        <v>1392</v>
      </c>
      <c r="J3609" s="417" t="s">
        <v>7898</v>
      </c>
      <c r="K3609" s="417" t="s">
        <v>9665</v>
      </c>
      <c r="L3609" s="417"/>
      <c r="M3609" s="417" t="s">
        <v>28840</v>
      </c>
    </row>
    <row r="3610" spans="1:13" x14ac:dyDescent="0.25">
      <c r="A3610" s="417" t="s">
        <v>3385</v>
      </c>
      <c r="B3610" s="417" t="s">
        <v>3405</v>
      </c>
      <c r="C3610" s="417" t="s">
        <v>9666</v>
      </c>
      <c r="D3610" s="417" t="s">
        <v>224</v>
      </c>
      <c r="E3610" s="423">
        <v>0.39891613484573352</v>
      </c>
      <c r="F3610" s="423">
        <v>8.9316762630470992E-3</v>
      </c>
      <c r="G3610" s="422">
        <v>575.23733566212593</v>
      </c>
      <c r="H3610" s="417" t="s">
        <v>2616</v>
      </c>
      <c r="I3610" s="417" t="s">
        <v>1392</v>
      </c>
      <c r="J3610" s="417" t="s">
        <v>7898</v>
      </c>
      <c r="K3610" s="417" t="s">
        <v>9667</v>
      </c>
      <c r="L3610" s="417"/>
      <c r="M3610" s="417" t="s">
        <v>28840</v>
      </c>
    </row>
    <row r="3611" spans="1:13" x14ac:dyDescent="0.25">
      <c r="A3611" s="417" t="s">
        <v>3385</v>
      </c>
      <c r="B3611" s="417" t="s">
        <v>3405</v>
      </c>
      <c r="C3611" s="417" t="s">
        <v>9668</v>
      </c>
      <c r="D3611" s="417" t="s">
        <v>224</v>
      </c>
      <c r="E3611" s="423">
        <v>0.33175013489953498</v>
      </c>
      <c r="F3611" s="423">
        <v>2.950489505022914E-2</v>
      </c>
      <c r="G3611" s="422">
        <v>513.99110445014344</v>
      </c>
      <c r="H3611" s="417" t="s">
        <v>2616</v>
      </c>
      <c r="I3611" s="417" t="s">
        <v>1392</v>
      </c>
      <c r="J3611" s="417" t="s">
        <v>7898</v>
      </c>
      <c r="K3611" s="417" t="s">
        <v>9669</v>
      </c>
      <c r="L3611" s="417"/>
      <c r="M3611" s="417" t="s">
        <v>28840</v>
      </c>
    </row>
    <row r="3612" spans="1:13" x14ac:dyDescent="0.25">
      <c r="A3612" s="417" t="s">
        <v>3385</v>
      </c>
      <c r="B3612" s="417" t="s">
        <v>3405</v>
      </c>
      <c r="C3612" s="417" t="s">
        <v>9670</v>
      </c>
      <c r="D3612" s="417" t="s">
        <v>224</v>
      </c>
      <c r="E3612" s="423">
        <v>0.25407364922495079</v>
      </c>
      <c r="F3612" s="423">
        <v>3.3788005957938377E-2</v>
      </c>
      <c r="G3612" s="422">
        <v>608.1469323783399</v>
      </c>
      <c r="H3612" s="417" t="s">
        <v>2616</v>
      </c>
      <c r="I3612" s="417" t="s">
        <v>1392</v>
      </c>
      <c r="J3612" s="417" t="s">
        <v>7898</v>
      </c>
      <c r="K3612" s="417" t="s">
        <v>9671</v>
      </c>
      <c r="L3612" s="417"/>
      <c r="M3612" s="417" t="s">
        <v>28840</v>
      </c>
    </row>
    <row r="3613" spans="1:13" x14ac:dyDescent="0.25">
      <c r="A3613" s="417" t="s">
        <v>3385</v>
      </c>
      <c r="B3613" s="417" t="s">
        <v>3405</v>
      </c>
      <c r="C3613" s="417" t="s">
        <v>9672</v>
      </c>
      <c r="D3613" s="417" t="s">
        <v>224</v>
      </c>
      <c r="E3613" s="423">
        <v>0.86084996523308832</v>
      </c>
      <c r="F3613" s="423">
        <v>5.8024019516537031E-2</v>
      </c>
      <c r="G3613" s="422">
        <v>1079.546955200072</v>
      </c>
      <c r="H3613" s="417" t="s">
        <v>2616</v>
      </c>
      <c r="I3613" s="417" t="s">
        <v>1392</v>
      </c>
      <c r="J3613" s="417" t="s">
        <v>7898</v>
      </c>
      <c r="K3613" s="417" t="s">
        <v>9673</v>
      </c>
      <c r="L3613" s="417"/>
      <c r="M3613" s="417" t="s">
        <v>28840</v>
      </c>
    </row>
    <row r="3614" spans="1:13" x14ac:dyDescent="0.25">
      <c r="A3614" s="417" t="s">
        <v>3385</v>
      </c>
      <c r="B3614" s="417" t="s">
        <v>3405</v>
      </c>
      <c r="C3614" s="417" t="s">
        <v>9674</v>
      </c>
      <c r="D3614" s="417" t="s">
        <v>224</v>
      </c>
      <c r="E3614" s="423">
        <v>0.32048296389617109</v>
      </c>
      <c r="F3614" s="423">
        <v>2.062200637434532E-2</v>
      </c>
      <c r="G3614" s="422">
        <v>470.75786821109102</v>
      </c>
      <c r="H3614" s="417" t="s">
        <v>2616</v>
      </c>
      <c r="I3614" s="417" t="s">
        <v>1392</v>
      </c>
      <c r="J3614" s="417" t="s">
        <v>7898</v>
      </c>
      <c r="K3614" s="417" t="s">
        <v>9675</v>
      </c>
      <c r="L3614" s="417"/>
      <c r="M3614" s="417" t="s">
        <v>28840</v>
      </c>
    </row>
    <row r="3615" spans="1:13" x14ac:dyDescent="0.25">
      <c r="A3615" s="417" t="s">
        <v>3385</v>
      </c>
      <c r="B3615" s="417" t="s">
        <v>3405</v>
      </c>
      <c r="C3615" s="417" t="s">
        <v>9676</v>
      </c>
      <c r="D3615" s="417" t="s">
        <v>224</v>
      </c>
      <c r="E3615" s="423">
        <v>0.57195701348623906</v>
      </c>
      <c r="F3615" s="423">
        <v>1.634875445167704E-3</v>
      </c>
      <c r="G3615" s="422">
        <v>734.24931870358353</v>
      </c>
      <c r="H3615" s="417" t="s">
        <v>2616</v>
      </c>
      <c r="I3615" s="417" t="s">
        <v>1392</v>
      </c>
      <c r="J3615" s="417" t="s">
        <v>7898</v>
      </c>
      <c r="K3615" s="417" t="s">
        <v>9677</v>
      </c>
      <c r="L3615" s="417"/>
      <c r="M3615" s="417" t="s">
        <v>28840</v>
      </c>
    </row>
    <row r="3616" spans="1:13" x14ac:dyDescent="0.25">
      <c r="A3616" s="417" t="s">
        <v>3385</v>
      </c>
      <c r="B3616" s="417" t="s">
        <v>3405</v>
      </c>
      <c r="C3616" s="417" t="s">
        <v>9678</v>
      </c>
      <c r="D3616" s="417" t="s">
        <v>224</v>
      </c>
      <c r="E3616" s="423">
        <v>0.96767457844035853</v>
      </c>
      <c r="F3616" s="423">
        <v>2.0195813366794879E-2</v>
      </c>
      <c r="G3616" s="422">
        <v>1495.960769967772</v>
      </c>
      <c r="H3616" s="417" t="s">
        <v>2616</v>
      </c>
      <c r="I3616" s="417" t="s">
        <v>1392</v>
      </c>
      <c r="J3616" s="417" t="s">
        <v>7898</v>
      </c>
      <c r="K3616" s="417" t="s">
        <v>9679</v>
      </c>
      <c r="L3616" s="417"/>
      <c r="M3616" s="417" t="s">
        <v>28840</v>
      </c>
    </row>
    <row r="3617" spans="1:13" x14ac:dyDescent="0.25">
      <c r="A3617" s="417" t="s">
        <v>3385</v>
      </c>
      <c r="B3617" s="417" t="s">
        <v>3405</v>
      </c>
      <c r="C3617" s="417" t="s">
        <v>9680</v>
      </c>
      <c r="D3617" s="417" t="s">
        <v>224</v>
      </c>
      <c r="E3617" s="423">
        <v>0.71899461512548579</v>
      </c>
      <c r="F3617" s="423">
        <v>2.4250641279902939E-3</v>
      </c>
      <c r="G3617" s="422">
        <v>984.59960462166305</v>
      </c>
      <c r="H3617" s="417" t="s">
        <v>2616</v>
      </c>
      <c r="I3617" s="417" t="s">
        <v>1392</v>
      </c>
      <c r="J3617" s="417" t="s">
        <v>7898</v>
      </c>
      <c r="K3617" s="417" t="s">
        <v>9681</v>
      </c>
      <c r="L3617" s="417"/>
      <c r="M3617" s="417" t="s">
        <v>28840</v>
      </c>
    </row>
    <row r="3618" spans="1:13" x14ac:dyDescent="0.25">
      <c r="A3618" s="417" t="s">
        <v>3385</v>
      </c>
      <c r="B3618" s="417" t="s">
        <v>3405</v>
      </c>
      <c r="C3618" s="417" t="s">
        <v>9682</v>
      </c>
      <c r="D3618" s="417" t="s">
        <v>224</v>
      </c>
      <c r="E3618" s="423">
        <v>0.5498022255780427</v>
      </c>
      <c r="F3618" s="423">
        <v>2.7439260335300258E-3</v>
      </c>
      <c r="G3618" s="422">
        <v>741.2334575797662</v>
      </c>
      <c r="H3618" s="417" t="s">
        <v>2616</v>
      </c>
      <c r="I3618" s="417" t="s">
        <v>1392</v>
      </c>
      <c r="J3618" s="417" t="s">
        <v>7898</v>
      </c>
      <c r="K3618" s="417" t="s">
        <v>9683</v>
      </c>
      <c r="L3618" s="417"/>
      <c r="M3618" s="417" t="s">
        <v>28840</v>
      </c>
    </row>
    <row r="3619" spans="1:13" x14ac:dyDescent="0.25">
      <c r="A3619" s="417" t="s">
        <v>3385</v>
      </c>
      <c r="B3619" s="417" t="s">
        <v>3405</v>
      </c>
      <c r="C3619" s="417" t="s">
        <v>9684</v>
      </c>
      <c r="D3619" s="417" t="s">
        <v>224</v>
      </c>
      <c r="E3619" s="423">
        <v>3.3440729299592513E-2</v>
      </c>
      <c r="F3619" s="423">
        <v>9.7106587224238977E-5</v>
      </c>
      <c r="G3619" s="422">
        <v>77.374001310343985</v>
      </c>
      <c r="H3619" s="417" t="s">
        <v>2616</v>
      </c>
      <c r="I3619" s="417" t="s">
        <v>1392</v>
      </c>
      <c r="J3619" s="417" t="s">
        <v>7898</v>
      </c>
      <c r="K3619" s="417" t="s">
        <v>9685</v>
      </c>
      <c r="L3619" s="417"/>
      <c r="M3619" s="417" t="s">
        <v>28840</v>
      </c>
    </row>
    <row r="3620" spans="1:13" x14ac:dyDescent="0.25">
      <c r="A3620" s="417" t="s">
        <v>3385</v>
      </c>
      <c r="B3620" s="417" t="s">
        <v>3405</v>
      </c>
      <c r="C3620" s="417" t="s">
        <v>9686</v>
      </c>
      <c r="D3620" s="417" t="s">
        <v>224</v>
      </c>
      <c r="E3620" s="423">
        <v>0.32641669782205007</v>
      </c>
      <c r="F3620" s="423">
        <v>3.6404557065992563E-2</v>
      </c>
      <c r="G3620" s="422">
        <v>502.50315124748641</v>
      </c>
      <c r="H3620" s="417" t="s">
        <v>2616</v>
      </c>
      <c r="I3620" s="417" t="s">
        <v>1392</v>
      </c>
      <c r="J3620" s="417" t="s">
        <v>7898</v>
      </c>
      <c r="K3620" s="417" t="s">
        <v>9687</v>
      </c>
      <c r="L3620" s="417"/>
      <c r="M3620" s="417" t="s">
        <v>28840</v>
      </c>
    </row>
    <row r="3621" spans="1:13" x14ac:dyDescent="0.25">
      <c r="A3621" s="417" t="s">
        <v>3385</v>
      </c>
      <c r="B3621" s="417" t="s">
        <v>3405</v>
      </c>
      <c r="C3621" s="417" t="s">
        <v>9688</v>
      </c>
      <c r="D3621" s="417" t="s">
        <v>224</v>
      </c>
      <c r="E3621" s="423">
        <v>0.56936637751028607</v>
      </c>
      <c r="F3621" s="423">
        <v>3.310823654027862E-2</v>
      </c>
      <c r="G3621" s="422">
        <v>827.35568549207812</v>
      </c>
      <c r="H3621" s="417" t="s">
        <v>2616</v>
      </c>
      <c r="I3621" s="417" t="s">
        <v>1392</v>
      </c>
      <c r="J3621" s="417" t="s">
        <v>7898</v>
      </c>
      <c r="K3621" s="417" t="s">
        <v>9689</v>
      </c>
      <c r="L3621" s="417"/>
      <c r="M3621" s="417" t="s">
        <v>28840</v>
      </c>
    </row>
    <row r="3622" spans="1:13" x14ac:dyDescent="0.25">
      <c r="A3622" s="417" t="s">
        <v>3385</v>
      </c>
      <c r="B3622" s="417" t="s">
        <v>3405</v>
      </c>
      <c r="C3622" s="417" t="s">
        <v>9690</v>
      </c>
      <c r="D3622" s="417" t="s">
        <v>224</v>
      </c>
      <c r="E3622" s="423">
        <v>0.55845213721312159</v>
      </c>
      <c r="F3622" s="423">
        <v>1.468337696638357E-2</v>
      </c>
      <c r="G3622" s="422">
        <v>921.34717554624285</v>
      </c>
      <c r="H3622" s="417" t="s">
        <v>2616</v>
      </c>
      <c r="I3622" s="417" t="s">
        <v>1392</v>
      </c>
      <c r="J3622" s="417" t="s">
        <v>7898</v>
      </c>
      <c r="K3622" s="417" t="s">
        <v>9691</v>
      </c>
      <c r="L3622" s="417"/>
      <c r="M3622" s="417" t="s">
        <v>28840</v>
      </c>
    </row>
    <row r="3623" spans="1:13" x14ac:dyDescent="0.25">
      <c r="A3623" s="417" t="s">
        <v>3385</v>
      </c>
      <c r="B3623" s="417" t="s">
        <v>3405</v>
      </c>
      <c r="C3623" s="417" t="s">
        <v>9692</v>
      </c>
      <c r="D3623" s="417" t="s">
        <v>224</v>
      </c>
      <c r="E3623" s="423">
        <v>0.86242832134916192</v>
      </c>
      <c r="F3623" s="423">
        <v>2.607801677494716E-3</v>
      </c>
      <c r="G3623" s="422">
        <v>1177.0539012643751</v>
      </c>
      <c r="H3623" s="417" t="s">
        <v>2616</v>
      </c>
      <c r="I3623" s="417" t="s">
        <v>1392</v>
      </c>
      <c r="J3623" s="417" t="s">
        <v>7898</v>
      </c>
      <c r="K3623" s="417" t="s">
        <v>9693</v>
      </c>
      <c r="L3623" s="417"/>
      <c r="M3623" s="417" t="s">
        <v>28840</v>
      </c>
    </row>
    <row r="3624" spans="1:13" x14ac:dyDescent="0.25">
      <c r="A3624" s="417" t="s">
        <v>3385</v>
      </c>
      <c r="B3624" s="417" t="s">
        <v>3405</v>
      </c>
      <c r="C3624" s="417" t="s">
        <v>9694</v>
      </c>
      <c r="D3624" s="417" t="s">
        <v>224</v>
      </c>
      <c r="E3624" s="423">
        <v>0.19129550625378169</v>
      </c>
      <c r="F3624" s="423">
        <v>4.9838993016863099E-2</v>
      </c>
      <c r="G3624" s="422">
        <v>376.02933135357029</v>
      </c>
      <c r="H3624" s="417" t="s">
        <v>2616</v>
      </c>
      <c r="I3624" s="417" t="s">
        <v>1392</v>
      </c>
      <c r="J3624" s="417" t="s">
        <v>7898</v>
      </c>
      <c r="K3624" s="417" t="s">
        <v>9695</v>
      </c>
      <c r="L3624" s="417"/>
      <c r="M3624" s="417" t="s">
        <v>28840</v>
      </c>
    </row>
    <row r="3625" spans="1:13" x14ac:dyDescent="0.25">
      <c r="A3625" s="417" t="s">
        <v>3385</v>
      </c>
      <c r="B3625" s="417" t="s">
        <v>3405</v>
      </c>
      <c r="C3625" s="417" t="s">
        <v>9696</v>
      </c>
      <c r="D3625" s="417" t="s">
        <v>224</v>
      </c>
      <c r="E3625" s="423">
        <v>0.35111045359074539</v>
      </c>
      <c r="F3625" s="423">
        <v>6.3019823961993474E-2</v>
      </c>
      <c r="G3625" s="422">
        <v>636.02788446911222</v>
      </c>
      <c r="H3625" s="417" t="s">
        <v>2616</v>
      </c>
      <c r="I3625" s="417" t="s">
        <v>1392</v>
      </c>
      <c r="J3625" s="417" t="s">
        <v>7898</v>
      </c>
      <c r="K3625" s="417" t="s">
        <v>9697</v>
      </c>
      <c r="L3625" s="417"/>
      <c r="M3625" s="417" t="s">
        <v>28840</v>
      </c>
    </row>
    <row r="3626" spans="1:13" x14ac:dyDescent="0.25">
      <c r="A3626" s="417" t="s">
        <v>3385</v>
      </c>
      <c r="B3626" s="417" t="s">
        <v>3405</v>
      </c>
      <c r="C3626" s="417" t="s">
        <v>9698</v>
      </c>
      <c r="D3626" s="417" t="s">
        <v>224</v>
      </c>
      <c r="E3626" s="423">
        <v>0.19693979236097819</v>
      </c>
      <c r="F3626" s="423">
        <v>9.3302034374176127E-2</v>
      </c>
      <c r="G3626" s="422">
        <v>381.02015032666662</v>
      </c>
      <c r="H3626" s="417" t="s">
        <v>2616</v>
      </c>
      <c r="I3626" s="417" t="s">
        <v>1392</v>
      </c>
      <c r="J3626" s="417" t="s">
        <v>7898</v>
      </c>
      <c r="K3626" s="417" t="s">
        <v>9699</v>
      </c>
      <c r="L3626" s="417"/>
      <c r="M3626" s="417" t="s">
        <v>28840</v>
      </c>
    </row>
    <row r="3627" spans="1:13" x14ac:dyDescent="0.25">
      <c r="A3627" s="417" t="s">
        <v>3385</v>
      </c>
      <c r="B3627" s="417" t="s">
        <v>3405</v>
      </c>
      <c r="C3627" s="417" t="s">
        <v>9700</v>
      </c>
      <c r="D3627" s="417" t="s">
        <v>224</v>
      </c>
      <c r="E3627" s="423">
        <v>0.83431689278932808</v>
      </c>
      <c r="F3627" s="423">
        <v>2.956438807999459E-3</v>
      </c>
      <c r="G3627" s="422">
        <v>1032.6795557675571</v>
      </c>
      <c r="H3627" s="417" t="s">
        <v>2616</v>
      </c>
      <c r="I3627" s="417" t="s">
        <v>1392</v>
      </c>
      <c r="J3627" s="417" t="s">
        <v>7898</v>
      </c>
      <c r="K3627" s="417" t="s">
        <v>9701</v>
      </c>
      <c r="L3627" s="417"/>
      <c r="M3627" s="417" t="s">
        <v>28840</v>
      </c>
    </row>
    <row r="3628" spans="1:13" x14ac:dyDescent="0.25">
      <c r="A3628" s="417" t="s">
        <v>3385</v>
      </c>
      <c r="B3628" s="417" t="s">
        <v>3405</v>
      </c>
      <c r="C3628" s="417" t="s">
        <v>9702</v>
      </c>
      <c r="D3628" s="417" t="s">
        <v>224</v>
      </c>
      <c r="E3628" s="423">
        <v>0.63934597044556041</v>
      </c>
      <c r="F3628" s="423">
        <v>1.275956265455395E-2</v>
      </c>
      <c r="G3628" s="422">
        <v>1023.833313233275</v>
      </c>
      <c r="H3628" s="417" t="s">
        <v>2616</v>
      </c>
      <c r="I3628" s="417" t="s">
        <v>1392</v>
      </c>
      <c r="J3628" s="417" t="s">
        <v>7898</v>
      </c>
      <c r="K3628" s="417" t="s">
        <v>9703</v>
      </c>
      <c r="L3628" s="417"/>
      <c r="M3628" s="417" t="s">
        <v>28840</v>
      </c>
    </row>
    <row r="3629" spans="1:13" x14ac:dyDescent="0.25">
      <c r="A3629" s="417" t="s">
        <v>3385</v>
      </c>
      <c r="B3629" s="417" t="s">
        <v>3405</v>
      </c>
      <c r="C3629" s="417" t="s">
        <v>9704</v>
      </c>
      <c r="D3629" s="417" t="s">
        <v>224</v>
      </c>
      <c r="E3629" s="423">
        <v>0.54855195908941856</v>
      </c>
      <c r="F3629" s="423">
        <v>9.5898879512922273E-3</v>
      </c>
      <c r="G3629" s="422">
        <v>771.4845862630998</v>
      </c>
      <c r="H3629" s="417" t="s">
        <v>2616</v>
      </c>
      <c r="I3629" s="417" t="s">
        <v>1392</v>
      </c>
      <c r="J3629" s="417" t="s">
        <v>7898</v>
      </c>
      <c r="K3629" s="417" t="s">
        <v>9705</v>
      </c>
      <c r="L3629" s="417"/>
      <c r="M3629" s="417" t="s">
        <v>28840</v>
      </c>
    </row>
    <row r="3630" spans="1:13" x14ac:dyDescent="0.25">
      <c r="A3630" s="417" t="s">
        <v>3385</v>
      </c>
      <c r="B3630" s="417" t="s">
        <v>3405</v>
      </c>
      <c r="C3630" s="417" t="s">
        <v>9706</v>
      </c>
      <c r="D3630" s="417" t="s">
        <v>224</v>
      </c>
      <c r="E3630" s="423">
        <v>0.76455877154187846</v>
      </c>
      <c r="F3630" s="423">
        <v>7.9213790750801791E-3</v>
      </c>
      <c r="G3630" s="422">
        <v>975.96606161658747</v>
      </c>
      <c r="H3630" s="417" t="s">
        <v>2616</v>
      </c>
      <c r="I3630" s="417" t="s">
        <v>1392</v>
      </c>
      <c r="J3630" s="417" t="s">
        <v>7898</v>
      </c>
      <c r="K3630" s="417" t="s">
        <v>9707</v>
      </c>
      <c r="L3630" s="417"/>
      <c r="M3630" s="417" t="s">
        <v>28840</v>
      </c>
    </row>
    <row r="3631" spans="1:13" x14ac:dyDescent="0.25">
      <c r="A3631" s="417" t="s">
        <v>3385</v>
      </c>
      <c r="B3631" s="417" t="s">
        <v>3405</v>
      </c>
      <c r="C3631" s="417" t="s">
        <v>9708</v>
      </c>
      <c r="D3631" s="417" t="s">
        <v>224</v>
      </c>
      <c r="E3631" s="423">
        <v>0.47016855738437241</v>
      </c>
      <c r="F3631" s="423">
        <v>2.2028589984207669E-3</v>
      </c>
      <c r="G3631" s="422">
        <v>628.3540334962413</v>
      </c>
      <c r="H3631" s="417" t="s">
        <v>2616</v>
      </c>
      <c r="I3631" s="417" t="s">
        <v>1392</v>
      </c>
      <c r="J3631" s="417" t="s">
        <v>7898</v>
      </c>
      <c r="K3631" s="417" t="s">
        <v>9709</v>
      </c>
      <c r="L3631" s="417"/>
      <c r="M3631" s="417" t="s">
        <v>28840</v>
      </c>
    </row>
    <row r="3632" spans="1:13" x14ac:dyDescent="0.25">
      <c r="A3632" s="417" t="s">
        <v>3385</v>
      </c>
      <c r="B3632" s="417" t="s">
        <v>3405</v>
      </c>
      <c r="C3632" s="417" t="s">
        <v>9710</v>
      </c>
      <c r="D3632" s="417" t="s">
        <v>224</v>
      </c>
      <c r="E3632" s="423">
        <v>0.2826524893177183</v>
      </c>
      <c r="F3632" s="423">
        <v>4.2474320135227131E-2</v>
      </c>
      <c r="G3632" s="422">
        <v>435.45359575404308</v>
      </c>
      <c r="H3632" s="417" t="s">
        <v>2616</v>
      </c>
      <c r="I3632" s="417" t="s">
        <v>1392</v>
      </c>
      <c r="J3632" s="417" t="s">
        <v>7898</v>
      </c>
      <c r="K3632" s="417" t="s">
        <v>9711</v>
      </c>
      <c r="L3632" s="417"/>
      <c r="M3632" s="417" t="s">
        <v>28840</v>
      </c>
    </row>
    <row r="3633" spans="1:13" x14ac:dyDescent="0.25">
      <c r="A3633" s="417" t="s">
        <v>3385</v>
      </c>
      <c r="B3633" s="417" t="s">
        <v>3405</v>
      </c>
      <c r="C3633" s="417" t="s">
        <v>9712</v>
      </c>
      <c r="D3633" s="417" t="s">
        <v>224</v>
      </c>
      <c r="E3633" s="423">
        <v>5.3634510374882427E-2</v>
      </c>
      <c r="F3633" s="423">
        <v>5.3880374521422516E-3</v>
      </c>
      <c r="G3633" s="422">
        <v>118.8503665105402</v>
      </c>
      <c r="H3633" s="417" t="s">
        <v>2616</v>
      </c>
      <c r="I3633" s="417" t="s">
        <v>1392</v>
      </c>
      <c r="J3633" s="417" t="s">
        <v>7898</v>
      </c>
      <c r="K3633" s="417" t="s">
        <v>9713</v>
      </c>
      <c r="L3633" s="417"/>
      <c r="M3633" s="417" t="s">
        <v>28840</v>
      </c>
    </row>
    <row r="3634" spans="1:13" x14ac:dyDescent="0.25">
      <c r="A3634" s="417" t="s">
        <v>3385</v>
      </c>
      <c r="B3634" s="417" t="s">
        <v>3405</v>
      </c>
      <c r="C3634" s="417" t="s">
        <v>9714</v>
      </c>
      <c r="D3634" s="417" t="s">
        <v>224</v>
      </c>
      <c r="E3634" s="423">
        <v>0.12140229319882299</v>
      </c>
      <c r="F3634" s="423">
        <v>1.290976551967204E-2</v>
      </c>
      <c r="G3634" s="422">
        <v>258.84904923588232</v>
      </c>
      <c r="H3634" s="417" t="s">
        <v>2616</v>
      </c>
      <c r="I3634" s="417" t="s">
        <v>1392</v>
      </c>
      <c r="J3634" s="417" t="s">
        <v>7898</v>
      </c>
      <c r="K3634" s="417" t="s">
        <v>9715</v>
      </c>
      <c r="L3634" s="417"/>
      <c r="M3634" s="417" t="s">
        <v>28840</v>
      </c>
    </row>
    <row r="3635" spans="1:13" x14ac:dyDescent="0.25">
      <c r="A3635" s="417" t="s">
        <v>3385</v>
      </c>
      <c r="B3635" s="417" t="s">
        <v>3405</v>
      </c>
      <c r="C3635" s="417" t="s">
        <v>9716</v>
      </c>
      <c r="D3635" s="417" t="s">
        <v>224</v>
      </c>
      <c r="E3635" s="423">
        <v>0.27607081800700622</v>
      </c>
      <c r="F3635" s="423">
        <v>8.7511578479779282E-3</v>
      </c>
      <c r="G3635" s="422">
        <v>389.56497606036112</v>
      </c>
      <c r="H3635" s="417" t="s">
        <v>2616</v>
      </c>
      <c r="I3635" s="417" t="s">
        <v>1392</v>
      </c>
      <c r="J3635" s="417" t="s">
        <v>7898</v>
      </c>
      <c r="K3635" s="417" t="s">
        <v>9717</v>
      </c>
      <c r="L3635" s="417"/>
      <c r="M3635" s="417" t="s">
        <v>28840</v>
      </c>
    </row>
    <row r="3636" spans="1:13" x14ac:dyDescent="0.25">
      <c r="A3636" s="417" t="s">
        <v>3385</v>
      </c>
      <c r="B3636" s="417" t="s">
        <v>3405</v>
      </c>
      <c r="C3636" s="417" t="s">
        <v>9718</v>
      </c>
      <c r="D3636" s="417" t="s">
        <v>224</v>
      </c>
      <c r="E3636" s="423">
        <v>0.81535180387813266</v>
      </c>
      <c r="F3636" s="423">
        <v>1.1687693389341161E-2</v>
      </c>
      <c r="G3636" s="422">
        <v>1019.906275918037</v>
      </c>
      <c r="H3636" s="417" t="s">
        <v>2616</v>
      </c>
      <c r="I3636" s="417" t="s">
        <v>1392</v>
      </c>
      <c r="J3636" s="417" t="s">
        <v>7898</v>
      </c>
      <c r="K3636" s="417" t="s">
        <v>9719</v>
      </c>
      <c r="L3636" s="417"/>
      <c r="M3636" s="417" t="s">
        <v>28840</v>
      </c>
    </row>
    <row r="3637" spans="1:13" x14ac:dyDescent="0.25">
      <c r="A3637" s="417" t="s">
        <v>3385</v>
      </c>
      <c r="B3637" s="417" t="s">
        <v>3405</v>
      </c>
      <c r="C3637" s="417" t="s">
        <v>9720</v>
      </c>
      <c r="D3637" s="417" t="s">
        <v>224</v>
      </c>
      <c r="E3637" s="423">
        <v>0.53777622962441796</v>
      </c>
      <c r="F3637" s="423">
        <v>1.150620799594065E-2</v>
      </c>
      <c r="G3637" s="422">
        <v>852.85403474004249</v>
      </c>
      <c r="H3637" s="417" t="s">
        <v>2616</v>
      </c>
      <c r="I3637" s="417" t="s">
        <v>1392</v>
      </c>
      <c r="J3637" s="417" t="s">
        <v>7898</v>
      </c>
      <c r="K3637" s="417" t="s">
        <v>9721</v>
      </c>
      <c r="L3637" s="417"/>
      <c r="M3637" s="417" t="s">
        <v>28840</v>
      </c>
    </row>
    <row r="3638" spans="1:13" x14ac:dyDescent="0.25">
      <c r="A3638" s="417" t="s">
        <v>3385</v>
      </c>
      <c r="B3638" s="417" t="s">
        <v>3405</v>
      </c>
      <c r="C3638" s="417" t="s">
        <v>9722</v>
      </c>
      <c r="D3638" s="417" t="s">
        <v>224</v>
      </c>
      <c r="E3638" s="423">
        <v>0.72834692682211033</v>
      </c>
      <c r="F3638" s="423">
        <v>3.9364719216514389E-2</v>
      </c>
      <c r="G3638" s="422">
        <v>979.04607428797601</v>
      </c>
      <c r="H3638" s="417" t="s">
        <v>2616</v>
      </c>
      <c r="I3638" s="417" t="s">
        <v>1392</v>
      </c>
      <c r="J3638" s="417" t="s">
        <v>7898</v>
      </c>
      <c r="K3638" s="417" t="s">
        <v>9723</v>
      </c>
      <c r="L3638" s="417"/>
      <c r="M3638" s="417" t="s">
        <v>28840</v>
      </c>
    </row>
    <row r="3639" spans="1:13" x14ac:dyDescent="0.25">
      <c r="A3639" s="417" t="s">
        <v>3385</v>
      </c>
      <c r="B3639" s="417" t="s">
        <v>3405</v>
      </c>
      <c r="C3639" s="417" t="s">
        <v>9724</v>
      </c>
      <c r="D3639" s="417" t="s">
        <v>224</v>
      </c>
      <c r="E3639" s="423">
        <v>0.18602838421918441</v>
      </c>
      <c r="F3639" s="423">
        <v>4.6482817540951203E-2</v>
      </c>
      <c r="G3639" s="422">
        <v>345.00357235040872</v>
      </c>
      <c r="H3639" s="417" t="s">
        <v>2616</v>
      </c>
      <c r="I3639" s="417" t="s">
        <v>1392</v>
      </c>
      <c r="J3639" s="417" t="s">
        <v>7898</v>
      </c>
      <c r="K3639" s="417" t="s">
        <v>9725</v>
      </c>
      <c r="L3639" s="417"/>
      <c r="M3639" s="417" t="s">
        <v>28840</v>
      </c>
    </row>
    <row r="3640" spans="1:13" x14ac:dyDescent="0.25">
      <c r="A3640" s="417" t="s">
        <v>3385</v>
      </c>
      <c r="B3640" s="417" t="s">
        <v>3405</v>
      </c>
      <c r="C3640" s="417" t="s">
        <v>9726</v>
      </c>
      <c r="D3640" s="417" t="s">
        <v>224</v>
      </c>
      <c r="E3640" s="423">
        <v>0.51359746916125615</v>
      </c>
      <c r="F3640" s="423">
        <v>1.3047907075567371E-3</v>
      </c>
      <c r="G3640" s="422">
        <v>664.91850374965315</v>
      </c>
      <c r="H3640" s="417" t="s">
        <v>2616</v>
      </c>
      <c r="I3640" s="417" t="s">
        <v>1392</v>
      </c>
      <c r="J3640" s="417" t="s">
        <v>7898</v>
      </c>
      <c r="K3640" s="417" t="s">
        <v>9727</v>
      </c>
      <c r="L3640" s="417"/>
      <c r="M3640" s="417" t="s">
        <v>28840</v>
      </c>
    </row>
    <row r="3641" spans="1:13" x14ac:dyDescent="0.25">
      <c r="A3641" s="417" t="s">
        <v>3385</v>
      </c>
      <c r="B3641" s="417" t="s">
        <v>3405</v>
      </c>
      <c r="C3641" s="417" t="s">
        <v>9728</v>
      </c>
      <c r="D3641" s="417" t="s">
        <v>224</v>
      </c>
      <c r="E3641" s="423">
        <v>0.69462121819176748</v>
      </c>
      <c r="F3641" s="423">
        <v>2.9990531363110169E-3</v>
      </c>
      <c r="G3641" s="422">
        <v>882.33089839902323</v>
      </c>
      <c r="H3641" s="417" t="s">
        <v>2616</v>
      </c>
      <c r="I3641" s="417" t="s">
        <v>1392</v>
      </c>
      <c r="J3641" s="417" t="s">
        <v>7898</v>
      </c>
      <c r="K3641" s="417" t="s">
        <v>9729</v>
      </c>
      <c r="L3641" s="417"/>
      <c r="M3641" s="417" t="s">
        <v>28840</v>
      </c>
    </row>
    <row r="3642" spans="1:13" x14ac:dyDescent="0.25">
      <c r="A3642" s="417" t="s">
        <v>3385</v>
      </c>
      <c r="B3642" s="417" t="s">
        <v>3405</v>
      </c>
      <c r="C3642" s="417" t="s">
        <v>9730</v>
      </c>
      <c r="D3642" s="417" t="s">
        <v>224</v>
      </c>
      <c r="E3642" s="423">
        <v>0.72496840899264714</v>
      </c>
      <c r="F3642" s="423">
        <v>1.8554447812694701E-2</v>
      </c>
      <c r="G3642" s="422">
        <v>1016.437533854834</v>
      </c>
      <c r="H3642" s="417" t="s">
        <v>2616</v>
      </c>
      <c r="I3642" s="417" t="s">
        <v>1392</v>
      </c>
      <c r="J3642" s="417" t="s">
        <v>7898</v>
      </c>
      <c r="K3642" s="417" t="s">
        <v>9731</v>
      </c>
      <c r="L3642" s="417"/>
      <c r="M3642" s="417" t="s">
        <v>28840</v>
      </c>
    </row>
    <row r="3643" spans="1:13" x14ac:dyDescent="0.25">
      <c r="A3643" s="417" t="s">
        <v>3385</v>
      </c>
      <c r="B3643" s="417" t="s">
        <v>3405</v>
      </c>
      <c r="C3643" s="417" t="s">
        <v>9732</v>
      </c>
      <c r="D3643" s="417" t="s">
        <v>224</v>
      </c>
      <c r="E3643" s="423">
        <v>0.31911856554569029</v>
      </c>
      <c r="F3643" s="423">
        <v>2.8385178409362138E-2</v>
      </c>
      <c r="G3643" s="422">
        <v>622.08685984668682</v>
      </c>
      <c r="H3643" s="417" t="s">
        <v>2616</v>
      </c>
      <c r="I3643" s="417" t="s">
        <v>1392</v>
      </c>
      <c r="J3643" s="417" t="s">
        <v>7898</v>
      </c>
      <c r="K3643" s="417" t="s">
        <v>9733</v>
      </c>
      <c r="L3643" s="417"/>
      <c r="M3643" s="417" t="s">
        <v>28840</v>
      </c>
    </row>
    <row r="3644" spans="1:13" x14ac:dyDescent="0.25">
      <c r="A3644" s="417" t="s">
        <v>3385</v>
      </c>
      <c r="B3644" s="417" t="s">
        <v>3405</v>
      </c>
      <c r="C3644" s="417" t="s">
        <v>9734</v>
      </c>
      <c r="D3644" s="417" t="s">
        <v>224</v>
      </c>
      <c r="E3644" s="423">
        <v>0.27213788705091468</v>
      </c>
      <c r="F3644" s="423">
        <v>4.1830828760180357E-2</v>
      </c>
      <c r="G3644" s="422">
        <v>420.22907723452482</v>
      </c>
      <c r="H3644" s="417" t="s">
        <v>2616</v>
      </c>
      <c r="I3644" s="417" t="s">
        <v>1392</v>
      </c>
      <c r="J3644" s="417" t="s">
        <v>7898</v>
      </c>
      <c r="K3644" s="417" t="s">
        <v>9735</v>
      </c>
      <c r="L3644" s="417"/>
      <c r="M3644" s="417" t="s">
        <v>28840</v>
      </c>
    </row>
    <row r="3645" spans="1:13" x14ac:dyDescent="0.25">
      <c r="A3645" s="417" t="s">
        <v>3385</v>
      </c>
      <c r="B3645" s="417" t="s">
        <v>3405</v>
      </c>
      <c r="C3645" s="417" t="s">
        <v>9736</v>
      </c>
      <c r="D3645" s="417" t="s">
        <v>224</v>
      </c>
      <c r="E3645" s="423">
        <v>0.61813437222943346</v>
      </c>
      <c r="F3645" s="423">
        <v>2.2723412110151409E-3</v>
      </c>
      <c r="G3645" s="422">
        <v>855.81040457232166</v>
      </c>
      <c r="H3645" s="417" t="s">
        <v>2616</v>
      </c>
      <c r="I3645" s="417" t="s">
        <v>1392</v>
      </c>
      <c r="J3645" s="417" t="s">
        <v>7898</v>
      </c>
      <c r="K3645" s="417" t="s">
        <v>9737</v>
      </c>
      <c r="L3645" s="417"/>
      <c r="M3645" s="417" t="s">
        <v>28840</v>
      </c>
    </row>
    <row r="3646" spans="1:13" x14ac:dyDescent="0.25">
      <c r="A3646" s="417" t="s">
        <v>3385</v>
      </c>
      <c r="B3646" s="417" t="s">
        <v>3405</v>
      </c>
      <c r="C3646" s="417" t="s">
        <v>9738</v>
      </c>
      <c r="D3646" s="417" t="s">
        <v>224</v>
      </c>
      <c r="E3646" s="423">
        <v>0.3898978779508197</v>
      </c>
      <c r="F3646" s="423">
        <v>9.4260434264695492E-3</v>
      </c>
      <c r="G3646" s="422">
        <v>629.84015165429116</v>
      </c>
      <c r="H3646" s="417" t="s">
        <v>2616</v>
      </c>
      <c r="I3646" s="417" t="s">
        <v>1392</v>
      </c>
      <c r="J3646" s="417" t="s">
        <v>7898</v>
      </c>
      <c r="K3646" s="417" t="s">
        <v>9739</v>
      </c>
      <c r="L3646" s="417"/>
      <c r="M3646" s="417" t="s">
        <v>28840</v>
      </c>
    </row>
    <row r="3647" spans="1:13" x14ac:dyDescent="0.25">
      <c r="A3647" s="417" t="s">
        <v>3385</v>
      </c>
      <c r="B3647" s="417" t="s">
        <v>3405</v>
      </c>
      <c r="C3647" s="417" t="s">
        <v>9740</v>
      </c>
      <c r="D3647" s="417" t="s">
        <v>224</v>
      </c>
      <c r="E3647" s="423">
        <v>0.31040359492185249</v>
      </c>
      <c r="F3647" s="423">
        <v>8.2672690116779024E-3</v>
      </c>
      <c r="G3647" s="422">
        <v>583.30008992508351</v>
      </c>
      <c r="H3647" s="417" t="s">
        <v>2616</v>
      </c>
      <c r="I3647" s="417" t="s">
        <v>1392</v>
      </c>
      <c r="J3647" s="417" t="s">
        <v>7898</v>
      </c>
      <c r="K3647" s="417" t="s">
        <v>9741</v>
      </c>
      <c r="L3647" s="417"/>
      <c r="M3647" s="417" t="s">
        <v>28840</v>
      </c>
    </row>
    <row r="3648" spans="1:13" x14ac:dyDescent="0.25">
      <c r="A3648" s="417" t="s">
        <v>3385</v>
      </c>
      <c r="B3648" s="417" t="s">
        <v>3405</v>
      </c>
      <c r="C3648" s="417" t="s">
        <v>9742</v>
      </c>
      <c r="D3648" s="417" t="s">
        <v>224</v>
      </c>
      <c r="E3648" s="423">
        <v>0.77378453073972087</v>
      </c>
      <c r="F3648" s="423">
        <v>7.766196215238835E-3</v>
      </c>
      <c r="G3648" s="422">
        <v>1101.6640556869349</v>
      </c>
      <c r="H3648" s="417" t="s">
        <v>2616</v>
      </c>
      <c r="I3648" s="417" t="s">
        <v>1392</v>
      </c>
      <c r="J3648" s="417" t="s">
        <v>7898</v>
      </c>
      <c r="K3648" s="417" t="s">
        <v>9743</v>
      </c>
      <c r="L3648" s="417"/>
      <c r="M3648" s="417" t="s">
        <v>28840</v>
      </c>
    </row>
    <row r="3649" spans="1:13" x14ac:dyDescent="0.25">
      <c r="A3649" s="417" t="s">
        <v>3385</v>
      </c>
      <c r="B3649" s="417" t="s">
        <v>3405</v>
      </c>
      <c r="C3649" s="417" t="s">
        <v>9744</v>
      </c>
      <c r="D3649" s="417" t="s">
        <v>224</v>
      </c>
      <c r="E3649" s="423">
        <v>0.474636947919019</v>
      </c>
      <c r="F3649" s="423">
        <v>2.6411682909050268E-3</v>
      </c>
      <c r="G3649" s="422">
        <v>777.24769412320552</v>
      </c>
      <c r="H3649" s="417" t="s">
        <v>2616</v>
      </c>
      <c r="I3649" s="417" t="s">
        <v>1392</v>
      </c>
      <c r="J3649" s="417" t="s">
        <v>7898</v>
      </c>
      <c r="K3649" s="417" t="s">
        <v>9745</v>
      </c>
      <c r="L3649" s="417"/>
      <c r="M3649" s="417" t="s">
        <v>28840</v>
      </c>
    </row>
    <row r="3650" spans="1:13" x14ac:dyDescent="0.25">
      <c r="A3650" s="417" t="s">
        <v>3385</v>
      </c>
      <c r="B3650" s="417" t="s">
        <v>3405</v>
      </c>
      <c r="C3650" s="417" t="s">
        <v>9746</v>
      </c>
      <c r="D3650" s="417" t="s">
        <v>224</v>
      </c>
      <c r="E3650" s="423">
        <v>0.7242236834526059</v>
      </c>
      <c r="F3650" s="423">
        <v>2.201950076849197E-3</v>
      </c>
      <c r="G3650" s="422">
        <v>992.44918693146815</v>
      </c>
      <c r="H3650" s="417" t="s">
        <v>2616</v>
      </c>
      <c r="I3650" s="417" t="s">
        <v>1392</v>
      </c>
      <c r="J3650" s="417" t="s">
        <v>7898</v>
      </c>
      <c r="K3650" s="417" t="s">
        <v>9747</v>
      </c>
      <c r="L3650" s="417"/>
      <c r="M3650" s="417" t="s">
        <v>28840</v>
      </c>
    </row>
    <row r="3651" spans="1:13" x14ac:dyDescent="0.25">
      <c r="A3651" s="417" t="s">
        <v>3385</v>
      </c>
      <c r="B3651" s="417" t="s">
        <v>3405</v>
      </c>
      <c r="C3651" s="417" t="s">
        <v>9748</v>
      </c>
      <c r="D3651" s="417" t="s">
        <v>224</v>
      </c>
      <c r="E3651" s="423">
        <v>4.0664859407606488E-2</v>
      </c>
      <c r="F3651" s="423">
        <v>4.0947032168307057E-2</v>
      </c>
      <c r="G3651" s="422">
        <v>254.7621242843787</v>
      </c>
      <c r="H3651" s="417" t="s">
        <v>2616</v>
      </c>
      <c r="I3651" s="417" t="s">
        <v>1392</v>
      </c>
      <c r="J3651" s="417" t="s">
        <v>7898</v>
      </c>
      <c r="K3651" s="417" t="s">
        <v>9749</v>
      </c>
      <c r="L3651" s="417"/>
      <c r="M3651" s="417" t="s">
        <v>28840</v>
      </c>
    </row>
    <row r="3652" spans="1:13" x14ac:dyDescent="0.25">
      <c r="A3652" s="417" t="s">
        <v>3385</v>
      </c>
      <c r="B3652" s="417" t="s">
        <v>3405</v>
      </c>
      <c r="C3652" s="417" t="s">
        <v>9750</v>
      </c>
      <c r="D3652" s="417" t="s">
        <v>224</v>
      </c>
      <c r="E3652" s="423">
        <v>0.56625286122815022</v>
      </c>
      <c r="F3652" s="423">
        <v>8.0133711212067461E-3</v>
      </c>
      <c r="G3652" s="422">
        <v>805.36977082989131</v>
      </c>
      <c r="H3652" s="417" t="s">
        <v>2616</v>
      </c>
      <c r="I3652" s="417" t="s">
        <v>1392</v>
      </c>
      <c r="J3652" s="417" t="s">
        <v>7898</v>
      </c>
      <c r="K3652" s="417" t="s">
        <v>9751</v>
      </c>
      <c r="L3652" s="417"/>
      <c r="M3652" s="417" t="s">
        <v>28840</v>
      </c>
    </row>
    <row r="3653" spans="1:13" x14ac:dyDescent="0.25">
      <c r="A3653" s="417" t="s">
        <v>3385</v>
      </c>
      <c r="B3653" s="417" t="s">
        <v>3405</v>
      </c>
      <c r="C3653" s="417" t="s">
        <v>9752</v>
      </c>
      <c r="D3653" s="417" t="s">
        <v>224</v>
      </c>
      <c r="E3653" s="423">
        <v>0.26156081730197328</v>
      </c>
      <c r="F3653" s="423">
        <v>2.5447335742089999E-2</v>
      </c>
      <c r="G3653" s="422">
        <v>514.63548470415037</v>
      </c>
      <c r="H3653" s="417" t="s">
        <v>2616</v>
      </c>
      <c r="I3653" s="417" t="s">
        <v>1392</v>
      </c>
      <c r="J3653" s="417" t="s">
        <v>7898</v>
      </c>
      <c r="K3653" s="417" t="s">
        <v>9753</v>
      </c>
      <c r="L3653" s="417"/>
      <c r="M3653" s="417" t="s">
        <v>28840</v>
      </c>
    </row>
    <row r="3654" spans="1:13" x14ac:dyDescent="0.25">
      <c r="A3654" s="417" t="s">
        <v>3385</v>
      </c>
      <c r="B3654" s="417" t="s">
        <v>3405</v>
      </c>
      <c r="C3654" s="417" t="s">
        <v>9754</v>
      </c>
      <c r="D3654" s="417" t="s">
        <v>224</v>
      </c>
      <c r="E3654" s="423">
        <v>0.24596086967902209</v>
      </c>
      <c r="F3654" s="423">
        <v>4.3906844589260412E-2</v>
      </c>
      <c r="G3654" s="422">
        <v>687.18599292476028</v>
      </c>
      <c r="H3654" s="417" t="s">
        <v>2616</v>
      </c>
      <c r="I3654" s="417" t="s">
        <v>1392</v>
      </c>
      <c r="J3654" s="417" t="s">
        <v>7898</v>
      </c>
      <c r="K3654" s="417" t="s">
        <v>9755</v>
      </c>
      <c r="L3654" s="417"/>
      <c r="M3654" s="417" t="s">
        <v>28840</v>
      </c>
    </row>
    <row r="3655" spans="1:13" x14ac:dyDescent="0.25">
      <c r="A3655" s="417" t="s">
        <v>3385</v>
      </c>
      <c r="B3655" s="417" t="s">
        <v>3405</v>
      </c>
      <c r="C3655" s="417" t="s">
        <v>9756</v>
      </c>
      <c r="D3655" s="417" t="s">
        <v>224</v>
      </c>
      <c r="E3655" s="423">
        <v>0.61577478603472269</v>
      </c>
      <c r="F3655" s="423">
        <v>8.11238822385138E-2</v>
      </c>
      <c r="G3655" s="422">
        <v>888.13539287349784</v>
      </c>
      <c r="H3655" s="417" t="s">
        <v>2616</v>
      </c>
      <c r="I3655" s="417" t="s">
        <v>1392</v>
      </c>
      <c r="J3655" s="417" t="s">
        <v>7898</v>
      </c>
      <c r="K3655" s="417" t="s">
        <v>9757</v>
      </c>
      <c r="L3655" s="417"/>
      <c r="M3655" s="417" t="s">
        <v>28840</v>
      </c>
    </row>
    <row r="3656" spans="1:13" x14ac:dyDescent="0.25">
      <c r="A3656" s="417" t="s">
        <v>3385</v>
      </c>
      <c r="B3656" s="417" t="s">
        <v>3405</v>
      </c>
      <c r="C3656" s="417" t="s">
        <v>9758</v>
      </c>
      <c r="D3656" s="417" t="s">
        <v>224</v>
      </c>
      <c r="E3656" s="423">
        <v>0.52101611447161833</v>
      </c>
      <c r="F3656" s="423">
        <v>1.415008864314177E-3</v>
      </c>
      <c r="G3656" s="422">
        <v>677.02873589502838</v>
      </c>
      <c r="H3656" s="417" t="s">
        <v>2616</v>
      </c>
      <c r="I3656" s="417" t="s">
        <v>1392</v>
      </c>
      <c r="J3656" s="417" t="s">
        <v>7898</v>
      </c>
      <c r="K3656" s="417" t="s">
        <v>9759</v>
      </c>
      <c r="L3656" s="417"/>
      <c r="M3656" s="417" t="s">
        <v>28840</v>
      </c>
    </row>
    <row r="3657" spans="1:13" x14ac:dyDescent="0.25">
      <c r="A3657" s="417" t="s">
        <v>3385</v>
      </c>
      <c r="B3657" s="417" t="s">
        <v>3405</v>
      </c>
      <c r="C3657" s="417" t="s">
        <v>9760</v>
      </c>
      <c r="D3657" s="417" t="s">
        <v>224</v>
      </c>
      <c r="E3657" s="423">
        <v>0.55047764462154936</v>
      </c>
      <c r="F3657" s="423">
        <v>2.1706431383915051E-2</v>
      </c>
      <c r="G3657" s="422">
        <v>722.72631908851372</v>
      </c>
      <c r="H3657" s="417" t="s">
        <v>2616</v>
      </c>
      <c r="I3657" s="417" t="s">
        <v>1392</v>
      </c>
      <c r="J3657" s="417" t="s">
        <v>7898</v>
      </c>
      <c r="K3657" s="417" t="s">
        <v>9761</v>
      </c>
      <c r="L3657" s="417"/>
      <c r="M3657" s="417" t="s">
        <v>28840</v>
      </c>
    </row>
    <row r="3658" spans="1:13" x14ac:dyDescent="0.25">
      <c r="A3658" s="417" t="s">
        <v>3385</v>
      </c>
      <c r="B3658" s="417" t="s">
        <v>3405</v>
      </c>
      <c r="C3658" s="417" t="s">
        <v>9762</v>
      </c>
      <c r="D3658" s="417" t="s">
        <v>224</v>
      </c>
      <c r="E3658" s="423">
        <v>0.6716527677285723</v>
      </c>
      <c r="F3658" s="423">
        <v>3.5937897842843198E-3</v>
      </c>
      <c r="G3658" s="422">
        <v>930.89287370514421</v>
      </c>
      <c r="H3658" s="417" t="s">
        <v>2616</v>
      </c>
      <c r="I3658" s="417" t="s">
        <v>1392</v>
      </c>
      <c r="J3658" s="417" t="s">
        <v>7898</v>
      </c>
      <c r="K3658" s="417" t="s">
        <v>9763</v>
      </c>
      <c r="L3658" s="417"/>
      <c r="M3658" s="417" t="s">
        <v>28840</v>
      </c>
    </row>
    <row r="3659" spans="1:13" x14ac:dyDescent="0.25">
      <c r="A3659" s="417" t="s">
        <v>3385</v>
      </c>
      <c r="B3659" s="417" t="s">
        <v>3405</v>
      </c>
      <c r="C3659" s="417" t="s">
        <v>9764</v>
      </c>
      <c r="D3659" s="417" t="s">
        <v>224</v>
      </c>
      <c r="E3659" s="423">
        <v>0.39613913101443948</v>
      </c>
      <c r="F3659" s="423">
        <v>6.8231972506797639E-3</v>
      </c>
      <c r="G3659" s="422">
        <v>527.65500810491949</v>
      </c>
      <c r="H3659" s="417" t="s">
        <v>2616</v>
      </c>
      <c r="I3659" s="417" t="s">
        <v>1392</v>
      </c>
      <c r="J3659" s="417" t="s">
        <v>7898</v>
      </c>
      <c r="K3659" s="417" t="s">
        <v>9765</v>
      </c>
      <c r="L3659" s="417"/>
      <c r="M3659" s="417" t="s">
        <v>28840</v>
      </c>
    </row>
    <row r="3660" spans="1:13" x14ac:dyDescent="0.25">
      <c r="A3660" s="417" t="s">
        <v>3385</v>
      </c>
      <c r="B3660" s="417" t="s">
        <v>3405</v>
      </c>
      <c r="C3660" s="417" t="s">
        <v>9766</v>
      </c>
      <c r="D3660" s="417" t="s">
        <v>224</v>
      </c>
      <c r="E3660" s="423">
        <v>0.31976308929188518</v>
      </c>
      <c r="F3660" s="423">
        <v>1.119945169051165E-2</v>
      </c>
      <c r="G3660" s="422">
        <v>742.64537080642401</v>
      </c>
      <c r="H3660" s="417" t="s">
        <v>2616</v>
      </c>
      <c r="I3660" s="417" t="s">
        <v>1392</v>
      </c>
      <c r="J3660" s="417" t="s">
        <v>7898</v>
      </c>
      <c r="K3660" s="417" t="s">
        <v>9767</v>
      </c>
      <c r="L3660" s="417"/>
      <c r="M3660" s="417" t="s">
        <v>28840</v>
      </c>
    </row>
    <row r="3661" spans="1:13" x14ac:dyDescent="0.25">
      <c r="A3661" s="417" t="s">
        <v>3385</v>
      </c>
      <c r="B3661" s="417" t="s">
        <v>3405</v>
      </c>
      <c r="C3661" s="417" t="s">
        <v>9768</v>
      </c>
      <c r="D3661" s="417" t="s">
        <v>224</v>
      </c>
      <c r="E3661" s="423">
        <v>0.42231155828229922</v>
      </c>
      <c r="F3661" s="423">
        <v>9.1054272693703534E-3</v>
      </c>
      <c r="G3661" s="422">
        <v>673.18748060659811</v>
      </c>
      <c r="H3661" s="417" t="s">
        <v>2616</v>
      </c>
      <c r="I3661" s="417" t="s">
        <v>1392</v>
      </c>
      <c r="J3661" s="417" t="s">
        <v>7898</v>
      </c>
      <c r="K3661" s="417" t="s">
        <v>9769</v>
      </c>
      <c r="L3661" s="417"/>
      <c r="M3661" s="417" t="s">
        <v>28840</v>
      </c>
    </row>
    <row r="3662" spans="1:13" x14ac:dyDescent="0.25">
      <c r="A3662" s="417" t="s">
        <v>3385</v>
      </c>
      <c r="B3662" s="417" t="s">
        <v>3405</v>
      </c>
      <c r="C3662" s="417" t="s">
        <v>9770</v>
      </c>
      <c r="D3662" s="417" t="s">
        <v>224</v>
      </c>
      <c r="E3662" s="423">
        <v>0.53816642704643214</v>
      </c>
      <c r="F3662" s="423">
        <v>1.0256037625289731E-2</v>
      </c>
      <c r="G3662" s="422">
        <v>690.48121585046306</v>
      </c>
      <c r="H3662" s="417" t="s">
        <v>2616</v>
      </c>
      <c r="I3662" s="417" t="s">
        <v>1392</v>
      </c>
      <c r="J3662" s="417" t="s">
        <v>7898</v>
      </c>
      <c r="K3662" s="417" t="s">
        <v>9771</v>
      </c>
      <c r="L3662" s="417"/>
      <c r="M3662" s="417" t="s">
        <v>28840</v>
      </c>
    </row>
    <row r="3663" spans="1:13" x14ac:dyDescent="0.25">
      <c r="A3663" s="417" t="s">
        <v>3385</v>
      </c>
      <c r="B3663" s="417" t="s">
        <v>3405</v>
      </c>
      <c r="C3663" s="417" t="s">
        <v>9772</v>
      </c>
      <c r="D3663" s="417" t="s">
        <v>224</v>
      </c>
      <c r="E3663" s="423">
        <v>1.0296602178077781</v>
      </c>
      <c r="F3663" s="423">
        <v>4.9888769733525736E-3</v>
      </c>
      <c r="G3663" s="422">
        <v>1267.618269474634</v>
      </c>
      <c r="H3663" s="417" t="s">
        <v>2616</v>
      </c>
      <c r="I3663" s="417" t="s">
        <v>1392</v>
      </c>
      <c r="J3663" s="417" t="s">
        <v>7898</v>
      </c>
      <c r="K3663" s="417" t="s">
        <v>9773</v>
      </c>
      <c r="L3663" s="417"/>
      <c r="M3663" s="417" t="s">
        <v>28840</v>
      </c>
    </row>
    <row r="3664" spans="1:13" x14ac:dyDescent="0.25">
      <c r="A3664" s="417" t="s">
        <v>3385</v>
      </c>
      <c r="B3664" s="417" t="s">
        <v>3405</v>
      </c>
      <c r="C3664" s="417" t="s">
        <v>9774</v>
      </c>
      <c r="D3664" s="417" t="s">
        <v>224</v>
      </c>
      <c r="E3664" s="423">
        <v>1.148130376916425E-2</v>
      </c>
      <c r="F3664" s="423">
        <v>8.0038802881338376E-3</v>
      </c>
      <c r="G3664" s="422">
        <v>64.613825270198504</v>
      </c>
      <c r="H3664" s="417" t="s">
        <v>2616</v>
      </c>
      <c r="I3664" s="417" t="s">
        <v>1392</v>
      </c>
      <c r="J3664" s="417" t="s">
        <v>7898</v>
      </c>
      <c r="K3664" s="417" t="s">
        <v>9775</v>
      </c>
      <c r="L3664" s="417"/>
      <c r="M3664" s="417" t="s">
        <v>28840</v>
      </c>
    </row>
    <row r="3665" spans="1:13" x14ac:dyDescent="0.25">
      <c r="A3665" s="417" t="s">
        <v>3385</v>
      </c>
      <c r="B3665" s="417" t="s">
        <v>3405</v>
      </c>
      <c r="C3665" s="417" t="s">
        <v>9776</v>
      </c>
      <c r="D3665" s="417" t="s">
        <v>224</v>
      </c>
      <c r="E3665" s="423">
        <v>2.804471201776668E-2</v>
      </c>
      <c r="F3665" s="423">
        <v>1.2973035303847261E-2</v>
      </c>
      <c r="G3665" s="422">
        <v>270.01008604612332</v>
      </c>
      <c r="H3665" s="417" t="s">
        <v>2616</v>
      </c>
      <c r="I3665" s="417" t="s">
        <v>1392</v>
      </c>
      <c r="J3665" s="417" t="s">
        <v>7898</v>
      </c>
      <c r="K3665" s="417" t="s">
        <v>9777</v>
      </c>
      <c r="L3665" s="417"/>
      <c r="M3665" s="417" t="s">
        <v>28840</v>
      </c>
    </row>
    <row r="3666" spans="1:13" x14ac:dyDescent="0.25">
      <c r="A3666" s="417" t="s">
        <v>3385</v>
      </c>
      <c r="B3666" s="417" t="s">
        <v>3405</v>
      </c>
      <c r="C3666" s="417" t="s">
        <v>9778</v>
      </c>
      <c r="D3666" s="417" t="s">
        <v>224</v>
      </c>
      <c r="E3666" s="423">
        <v>8.4105465013773181E-2</v>
      </c>
      <c r="F3666" s="423">
        <v>8.2622185720383264E-3</v>
      </c>
      <c r="G3666" s="422">
        <v>465.13792755559308</v>
      </c>
      <c r="H3666" s="417" t="s">
        <v>2616</v>
      </c>
      <c r="I3666" s="417" t="s">
        <v>1392</v>
      </c>
      <c r="J3666" s="417" t="s">
        <v>8063</v>
      </c>
      <c r="K3666" s="417" t="s">
        <v>9779</v>
      </c>
      <c r="L3666" s="417"/>
      <c r="M3666" s="417" t="s">
        <v>28840</v>
      </c>
    </row>
    <row r="3667" spans="1:13" x14ac:dyDescent="0.25">
      <c r="A3667" s="417" t="s">
        <v>3385</v>
      </c>
      <c r="B3667" s="417" t="s">
        <v>3405</v>
      </c>
      <c r="C3667" s="417" t="s">
        <v>9780</v>
      </c>
      <c r="D3667" s="417" t="s">
        <v>224</v>
      </c>
      <c r="E3667" s="423">
        <v>0.35595474318848652</v>
      </c>
      <c r="F3667" s="423">
        <v>9.0826752343485473E-2</v>
      </c>
      <c r="G3667" s="422">
        <v>533.65872634351854</v>
      </c>
      <c r="H3667" s="417" t="s">
        <v>2616</v>
      </c>
      <c r="I3667" s="417" t="s">
        <v>1392</v>
      </c>
      <c r="J3667" s="417" t="s">
        <v>7898</v>
      </c>
      <c r="K3667" s="417" t="s">
        <v>9781</v>
      </c>
      <c r="L3667" s="417"/>
      <c r="M3667" s="417" t="s">
        <v>28840</v>
      </c>
    </row>
    <row r="3668" spans="1:13" x14ac:dyDescent="0.25">
      <c r="A3668" s="417" t="s">
        <v>3385</v>
      </c>
      <c r="B3668" s="417" t="s">
        <v>3405</v>
      </c>
      <c r="C3668" s="417" t="s">
        <v>9782</v>
      </c>
      <c r="D3668" s="417" t="s">
        <v>224</v>
      </c>
      <c r="E3668" s="423">
        <v>1.2144914161042091E-2</v>
      </c>
      <c r="F3668" s="423">
        <v>8.8926185997753281E-3</v>
      </c>
      <c r="G3668" s="422">
        <v>112.0286015438937</v>
      </c>
      <c r="H3668" s="417" t="s">
        <v>2616</v>
      </c>
      <c r="I3668" s="417" t="s">
        <v>1392</v>
      </c>
      <c r="J3668" s="417" t="s">
        <v>7898</v>
      </c>
      <c r="K3668" s="417" t="s">
        <v>9783</v>
      </c>
      <c r="L3668" s="417"/>
      <c r="M3668" s="417" t="s">
        <v>28840</v>
      </c>
    </row>
    <row r="3669" spans="1:13" x14ac:dyDescent="0.25">
      <c r="A3669" s="417" t="s">
        <v>3385</v>
      </c>
      <c r="B3669" s="417" t="s">
        <v>3405</v>
      </c>
      <c r="C3669" s="417" t="s">
        <v>9784</v>
      </c>
      <c r="D3669" s="417" t="s">
        <v>224</v>
      </c>
      <c r="E3669" s="423">
        <v>0.1961901752203653</v>
      </c>
      <c r="F3669" s="423">
        <v>5.1981939910511782E-2</v>
      </c>
      <c r="G3669" s="422">
        <v>422.29084680592769</v>
      </c>
      <c r="H3669" s="417" t="s">
        <v>2616</v>
      </c>
      <c r="I3669" s="417" t="s">
        <v>1392</v>
      </c>
      <c r="J3669" s="417" t="s">
        <v>8063</v>
      </c>
      <c r="K3669" s="417" t="s">
        <v>9785</v>
      </c>
      <c r="L3669" s="417"/>
      <c r="M3669" s="417" t="s">
        <v>28840</v>
      </c>
    </row>
    <row r="3670" spans="1:13" x14ac:dyDescent="0.25">
      <c r="A3670" s="417" t="s">
        <v>3385</v>
      </c>
      <c r="B3670" s="417" t="s">
        <v>3405</v>
      </c>
      <c r="C3670" s="417" t="s">
        <v>9786</v>
      </c>
      <c r="D3670" s="417" t="s">
        <v>224</v>
      </c>
      <c r="E3670" s="423">
        <v>0.82056917349214809</v>
      </c>
      <c r="F3670" s="423">
        <v>2.0557591648969621E-2</v>
      </c>
      <c r="G3670" s="422">
        <v>1205.161847545078</v>
      </c>
      <c r="H3670" s="417" t="s">
        <v>2616</v>
      </c>
      <c r="I3670" s="417" t="s">
        <v>1392</v>
      </c>
      <c r="J3670" s="417" t="s">
        <v>8063</v>
      </c>
      <c r="K3670" s="417" t="s">
        <v>9787</v>
      </c>
      <c r="L3670" s="417"/>
      <c r="M3670" s="417" t="s">
        <v>28840</v>
      </c>
    </row>
    <row r="3671" spans="1:13" x14ac:dyDescent="0.25">
      <c r="A3671" s="417" t="s">
        <v>3385</v>
      </c>
      <c r="B3671" s="417" t="s">
        <v>3405</v>
      </c>
      <c r="C3671" s="417" t="s">
        <v>9788</v>
      </c>
      <c r="D3671" s="417" t="s">
        <v>224</v>
      </c>
      <c r="E3671" s="423">
        <v>0.43523050580567602</v>
      </c>
      <c r="F3671" s="423">
        <v>5.8559462637109309E-2</v>
      </c>
      <c r="G3671" s="422">
        <v>703.68139155470863</v>
      </c>
      <c r="H3671" s="417" t="s">
        <v>2616</v>
      </c>
      <c r="I3671" s="417" t="s">
        <v>1392</v>
      </c>
      <c r="J3671" s="417" t="s">
        <v>8063</v>
      </c>
      <c r="K3671" s="417" t="s">
        <v>9789</v>
      </c>
      <c r="L3671" s="417"/>
      <c r="M3671" s="417" t="s">
        <v>28840</v>
      </c>
    </row>
    <row r="3672" spans="1:13" x14ac:dyDescent="0.25">
      <c r="A3672" s="417" t="s">
        <v>3385</v>
      </c>
      <c r="B3672" s="417" t="s">
        <v>3405</v>
      </c>
      <c r="C3672" s="417" t="s">
        <v>9790</v>
      </c>
      <c r="D3672" s="417" t="s">
        <v>224</v>
      </c>
      <c r="E3672" s="423">
        <v>0.27374632303162849</v>
      </c>
      <c r="F3672" s="423">
        <v>3.4221075016742333E-2</v>
      </c>
      <c r="G3672" s="422">
        <v>574.77068292910121</v>
      </c>
      <c r="H3672" s="417" t="s">
        <v>2616</v>
      </c>
      <c r="I3672" s="417" t="s">
        <v>1392</v>
      </c>
      <c r="J3672" s="417" t="s">
        <v>8063</v>
      </c>
      <c r="K3672" s="417" t="s">
        <v>9791</v>
      </c>
      <c r="L3672" s="417"/>
      <c r="M3672" s="417" t="s">
        <v>28840</v>
      </c>
    </row>
    <row r="3673" spans="1:13" x14ac:dyDescent="0.25">
      <c r="A3673" s="417" t="s">
        <v>3385</v>
      </c>
      <c r="B3673" s="417" t="s">
        <v>3405</v>
      </c>
      <c r="C3673" s="417" t="s">
        <v>9792</v>
      </c>
      <c r="D3673" s="417" t="s">
        <v>224</v>
      </c>
      <c r="E3673" s="423">
        <v>7.1506464345542059E-2</v>
      </c>
      <c r="F3673" s="423">
        <v>1.43076557825396E-2</v>
      </c>
      <c r="G3673" s="422">
        <v>662.62075673755226</v>
      </c>
      <c r="H3673" s="417" t="s">
        <v>2616</v>
      </c>
      <c r="I3673" s="417" t="s">
        <v>1392</v>
      </c>
      <c r="J3673" s="417" t="s">
        <v>8063</v>
      </c>
      <c r="K3673" s="417" t="s">
        <v>9793</v>
      </c>
      <c r="L3673" s="417"/>
      <c r="M3673" s="417" t="s">
        <v>28840</v>
      </c>
    </row>
    <row r="3674" spans="1:13" x14ac:dyDescent="0.25">
      <c r="A3674" s="417" t="s">
        <v>3385</v>
      </c>
      <c r="B3674" s="417" t="s">
        <v>3405</v>
      </c>
      <c r="C3674" s="417" t="s">
        <v>9794</v>
      </c>
      <c r="D3674" s="417" t="s">
        <v>224</v>
      </c>
      <c r="E3674" s="423">
        <v>0.32770372066095382</v>
      </c>
      <c r="F3674" s="423">
        <v>3.671902589983856E-2</v>
      </c>
      <c r="G3674" s="422">
        <v>505.07590993623222</v>
      </c>
      <c r="H3674" s="417" t="s">
        <v>2616</v>
      </c>
      <c r="I3674" s="417" t="s">
        <v>1392</v>
      </c>
      <c r="J3674" s="417" t="s">
        <v>8063</v>
      </c>
      <c r="K3674" s="417" t="s">
        <v>9795</v>
      </c>
      <c r="L3674" s="417"/>
      <c r="M3674" s="417" t="s">
        <v>28840</v>
      </c>
    </row>
    <row r="3675" spans="1:13" x14ac:dyDescent="0.25">
      <c r="A3675" s="417" t="s">
        <v>3385</v>
      </c>
      <c r="B3675" s="417" t="s">
        <v>3405</v>
      </c>
      <c r="C3675" s="417" t="s">
        <v>9796</v>
      </c>
      <c r="D3675" s="417" t="s">
        <v>224</v>
      </c>
      <c r="E3675" s="423">
        <v>2.1888946069361571E-2</v>
      </c>
      <c r="F3675" s="423">
        <v>5.5829108462119352E-2</v>
      </c>
      <c r="G3675" s="422">
        <v>77.627508224672582</v>
      </c>
      <c r="H3675" s="417" t="s">
        <v>2616</v>
      </c>
      <c r="I3675" s="417" t="s">
        <v>1392</v>
      </c>
      <c r="J3675" s="417" t="s">
        <v>7898</v>
      </c>
      <c r="K3675" s="417" t="s">
        <v>9797</v>
      </c>
      <c r="L3675" s="417"/>
      <c r="M3675" s="417" t="s">
        <v>28840</v>
      </c>
    </row>
    <row r="3676" spans="1:13" x14ac:dyDescent="0.25">
      <c r="A3676" s="417" t="s">
        <v>3385</v>
      </c>
      <c r="B3676" s="417" t="s">
        <v>3405</v>
      </c>
      <c r="C3676" s="417" t="s">
        <v>9798</v>
      </c>
      <c r="D3676" s="417" t="s">
        <v>224</v>
      </c>
      <c r="E3676" s="423">
        <v>5.3009614273516838E-2</v>
      </c>
      <c r="F3676" s="423">
        <v>2.548712985731786E-3</v>
      </c>
      <c r="G3676" s="422">
        <v>177.60648972288271</v>
      </c>
      <c r="H3676" s="417" t="s">
        <v>2616</v>
      </c>
      <c r="I3676" s="417" t="s">
        <v>1392</v>
      </c>
      <c r="J3676" s="417" t="s">
        <v>8063</v>
      </c>
      <c r="K3676" s="417" t="s">
        <v>9799</v>
      </c>
      <c r="L3676" s="417"/>
      <c r="M3676" s="417" t="s">
        <v>28840</v>
      </c>
    </row>
    <row r="3677" spans="1:13" x14ac:dyDescent="0.25">
      <c r="A3677" s="417" t="s">
        <v>3385</v>
      </c>
      <c r="B3677" s="417" t="s">
        <v>3405</v>
      </c>
      <c r="C3677" s="417" t="s">
        <v>9800</v>
      </c>
      <c r="D3677" s="417" t="s">
        <v>224</v>
      </c>
      <c r="E3677" s="423">
        <v>3.7090211699246131E-2</v>
      </c>
      <c r="F3677" s="423">
        <v>1.6825668506869789E-3</v>
      </c>
      <c r="G3677" s="422">
        <v>123.17759607285021</v>
      </c>
      <c r="H3677" s="417" t="s">
        <v>2616</v>
      </c>
      <c r="I3677" s="417" t="s">
        <v>1392</v>
      </c>
      <c r="J3677" s="417" t="s">
        <v>8063</v>
      </c>
      <c r="K3677" s="417" t="s">
        <v>9801</v>
      </c>
      <c r="L3677" s="417"/>
      <c r="M3677" s="417" t="s">
        <v>28840</v>
      </c>
    </row>
    <row r="3678" spans="1:13" x14ac:dyDescent="0.25">
      <c r="A3678" s="417" t="s">
        <v>3385</v>
      </c>
      <c r="B3678" s="417" t="s">
        <v>3405</v>
      </c>
      <c r="C3678" s="417" t="s">
        <v>9802</v>
      </c>
      <c r="D3678" s="417" t="s">
        <v>224</v>
      </c>
      <c r="E3678" s="423">
        <v>3.2665388792224477E-2</v>
      </c>
      <c r="F3678" s="423">
        <v>1.576643092331322E-3</v>
      </c>
      <c r="G3678" s="422">
        <v>113.8764419435599</v>
      </c>
      <c r="H3678" s="417" t="s">
        <v>2616</v>
      </c>
      <c r="I3678" s="417" t="s">
        <v>1392</v>
      </c>
      <c r="J3678" s="417" t="s">
        <v>8063</v>
      </c>
      <c r="K3678" s="417" t="s">
        <v>9803</v>
      </c>
      <c r="L3678" s="417"/>
      <c r="M3678" s="417" t="s">
        <v>28840</v>
      </c>
    </row>
    <row r="3679" spans="1:13" x14ac:dyDescent="0.25">
      <c r="A3679" s="417" t="s">
        <v>3385</v>
      </c>
      <c r="B3679" s="417" t="s">
        <v>3405</v>
      </c>
      <c r="C3679" s="417" t="s">
        <v>9804</v>
      </c>
      <c r="D3679" s="417" t="s">
        <v>224</v>
      </c>
      <c r="E3679" s="423">
        <v>0.39267244282965691</v>
      </c>
      <c r="F3679" s="423">
        <v>1.173840883696301E-3</v>
      </c>
      <c r="G3679" s="422">
        <v>626.86090630231308</v>
      </c>
      <c r="H3679" s="417" t="s">
        <v>2616</v>
      </c>
      <c r="I3679" s="417" t="s">
        <v>1392</v>
      </c>
      <c r="J3679" s="417" t="s">
        <v>8072</v>
      </c>
      <c r="K3679" s="417" t="s">
        <v>9805</v>
      </c>
      <c r="L3679" s="417"/>
      <c r="M3679" s="417" t="s">
        <v>28840</v>
      </c>
    </row>
    <row r="3680" spans="1:13" x14ac:dyDescent="0.25">
      <c r="A3680" s="417" t="s">
        <v>3385</v>
      </c>
      <c r="B3680" s="417" t="s">
        <v>3405</v>
      </c>
      <c r="C3680" s="417" t="s">
        <v>9806</v>
      </c>
      <c r="D3680" s="417" t="s">
        <v>224</v>
      </c>
      <c r="E3680" s="423">
        <v>0.39278023903947862</v>
      </c>
      <c r="F3680" s="423">
        <v>1.5901648139016889E-2</v>
      </c>
      <c r="G3680" s="422">
        <v>590.66272219933558</v>
      </c>
      <c r="H3680" s="417" t="s">
        <v>2616</v>
      </c>
      <c r="I3680" s="417" t="s">
        <v>1392</v>
      </c>
      <c r="J3680" s="417" t="s">
        <v>8072</v>
      </c>
      <c r="K3680" s="417" t="s">
        <v>9807</v>
      </c>
      <c r="L3680" s="417"/>
      <c r="M3680" s="417" t="s">
        <v>28840</v>
      </c>
    </row>
    <row r="3681" spans="1:13" x14ac:dyDescent="0.25">
      <c r="A3681" s="417" t="s">
        <v>3385</v>
      </c>
      <c r="B3681" s="417" t="s">
        <v>3405</v>
      </c>
      <c r="C3681" s="417" t="s">
        <v>9808</v>
      </c>
      <c r="D3681" s="417" t="s">
        <v>224</v>
      </c>
      <c r="E3681" s="423">
        <v>0.11663521603243911</v>
      </c>
      <c r="F3681" s="423">
        <v>4.98467615433318E-2</v>
      </c>
      <c r="G3681" s="422">
        <v>313.5030855596716</v>
      </c>
      <c r="H3681" s="417" t="s">
        <v>2616</v>
      </c>
      <c r="I3681" s="417" t="s">
        <v>1392</v>
      </c>
      <c r="J3681" s="417" t="s">
        <v>8072</v>
      </c>
      <c r="K3681" s="417" t="s">
        <v>9809</v>
      </c>
      <c r="L3681" s="417"/>
      <c r="M3681" s="417" t="s">
        <v>28840</v>
      </c>
    </row>
    <row r="3682" spans="1:13" x14ac:dyDescent="0.25">
      <c r="A3682" s="417" t="s">
        <v>3385</v>
      </c>
      <c r="B3682" s="417" t="s">
        <v>3405</v>
      </c>
      <c r="C3682" s="417" t="s">
        <v>9810</v>
      </c>
      <c r="D3682" s="417" t="s">
        <v>224</v>
      </c>
      <c r="E3682" s="423">
        <v>0.66903890562706891</v>
      </c>
      <c r="F3682" s="423">
        <v>1.1000882636863709E-2</v>
      </c>
      <c r="G3682" s="422">
        <v>866.61815649669029</v>
      </c>
      <c r="H3682" s="417" t="s">
        <v>2616</v>
      </c>
      <c r="I3682" s="417" t="s">
        <v>1392</v>
      </c>
      <c r="J3682" s="417" t="s">
        <v>8072</v>
      </c>
      <c r="K3682" s="417" t="s">
        <v>9811</v>
      </c>
      <c r="L3682" s="417"/>
      <c r="M3682" s="417" t="s">
        <v>28840</v>
      </c>
    </row>
    <row r="3683" spans="1:13" x14ac:dyDescent="0.25">
      <c r="A3683" s="417" t="s">
        <v>3385</v>
      </c>
      <c r="B3683" s="417" t="s">
        <v>3405</v>
      </c>
      <c r="C3683" s="417" t="s">
        <v>9812</v>
      </c>
      <c r="D3683" s="417" t="s">
        <v>224</v>
      </c>
      <c r="E3683" s="423">
        <v>0.9035068603292471</v>
      </c>
      <c r="F3683" s="423">
        <v>1.5436917804132051E-2</v>
      </c>
      <c r="G3683" s="422">
        <v>1173.485875591766</v>
      </c>
      <c r="H3683" s="417" t="s">
        <v>2616</v>
      </c>
      <c r="I3683" s="417" t="s">
        <v>1392</v>
      </c>
      <c r="J3683" s="417" t="s">
        <v>8072</v>
      </c>
      <c r="K3683" s="417" t="s">
        <v>9813</v>
      </c>
      <c r="L3683" s="417"/>
      <c r="M3683" s="417" t="s">
        <v>28840</v>
      </c>
    </row>
    <row r="3684" spans="1:13" x14ac:dyDescent="0.25">
      <c r="A3684" s="417" t="s">
        <v>3385</v>
      </c>
      <c r="B3684" s="417" t="s">
        <v>3405</v>
      </c>
      <c r="C3684" s="417" t="s">
        <v>9814</v>
      </c>
      <c r="D3684" s="417" t="s">
        <v>224</v>
      </c>
      <c r="E3684" s="423">
        <v>0.67281665976526228</v>
      </c>
      <c r="F3684" s="423">
        <v>4.6153348000754326E-3</v>
      </c>
      <c r="G3684" s="422">
        <v>966.40726899752156</v>
      </c>
      <c r="H3684" s="417" t="s">
        <v>2616</v>
      </c>
      <c r="I3684" s="417" t="s">
        <v>1392</v>
      </c>
      <c r="J3684" s="417" t="s">
        <v>8072</v>
      </c>
      <c r="K3684" s="417" t="s">
        <v>9815</v>
      </c>
      <c r="L3684" s="417"/>
      <c r="M3684" s="417" t="s">
        <v>28840</v>
      </c>
    </row>
    <row r="3685" spans="1:13" x14ac:dyDescent="0.25">
      <c r="A3685" s="417" t="s">
        <v>3385</v>
      </c>
      <c r="B3685" s="417" t="s">
        <v>3405</v>
      </c>
      <c r="C3685" s="417" t="s">
        <v>9816</v>
      </c>
      <c r="D3685" s="417" t="s">
        <v>224</v>
      </c>
      <c r="E3685" s="423">
        <v>0.14917597155447929</v>
      </c>
      <c r="F3685" s="423">
        <v>2.9503613637020611E-2</v>
      </c>
      <c r="G3685" s="422">
        <v>464.63122781678192</v>
      </c>
      <c r="H3685" s="417" t="s">
        <v>2616</v>
      </c>
      <c r="I3685" s="417" t="s">
        <v>1392</v>
      </c>
      <c r="J3685" s="417" t="s">
        <v>8072</v>
      </c>
      <c r="K3685" s="417" t="s">
        <v>9817</v>
      </c>
      <c r="L3685" s="417"/>
      <c r="M3685" s="417" t="s">
        <v>28840</v>
      </c>
    </row>
    <row r="3686" spans="1:13" x14ac:dyDescent="0.25">
      <c r="A3686" s="417" t="s">
        <v>3385</v>
      </c>
      <c r="B3686" s="417" t="s">
        <v>3405</v>
      </c>
      <c r="C3686" s="417" t="s">
        <v>9818</v>
      </c>
      <c r="D3686" s="417" t="s">
        <v>224</v>
      </c>
      <c r="E3686" s="423">
        <v>0.4131589024813308</v>
      </c>
      <c r="F3686" s="423">
        <v>3.4242411641804978E-2</v>
      </c>
      <c r="G3686" s="422">
        <v>907.13482584191536</v>
      </c>
      <c r="H3686" s="417" t="s">
        <v>2616</v>
      </c>
      <c r="I3686" s="417" t="s">
        <v>1392</v>
      </c>
      <c r="J3686" s="417" t="s">
        <v>8072</v>
      </c>
      <c r="K3686" s="417" t="s">
        <v>9819</v>
      </c>
      <c r="L3686" s="417"/>
      <c r="M3686" s="417" t="s">
        <v>28840</v>
      </c>
    </row>
    <row r="3687" spans="1:13" x14ac:dyDescent="0.25">
      <c r="A3687" s="417" t="s">
        <v>3385</v>
      </c>
      <c r="B3687" s="417" t="s">
        <v>3405</v>
      </c>
      <c r="C3687" s="417" t="s">
        <v>9820</v>
      </c>
      <c r="D3687" s="417" t="s">
        <v>224</v>
      </c>
      <c r="E3687" s="423">
        <v>9.7179347948390837E-2</v>
      </c>
      <c r="F3687" s="423">
        <v>6.7811593449145072E-2</v>
      </c>
      <c r="G3687" s="422">
        <v>205.2772623308079</v>
      </c>
      <c r="H3687" s="417" t="s">
        <v>2616</v>
      </c>
      <c r="I3687" s="417" t="s">
        <v>1392</v>
      </c>
      <c r="J3687" s="417" t="s">
        <v>8072</v>
      </c>
      <c r="K3687" s="417" t="s">
        <v>9821</v>
      </c>
      <c r="L3687" s="417"/>
      <c r="M3687" s="417" t="s">
        <v>28840</v>
      </c>
    </row>
    <row r="3688" spans="1:13" x14ac:dyDescent="0.25">
      <c r="A3688" s="417" t="s">
        <v>3385</v>
      </c>
      <c r="B3688" s="417" t="s">
        <v>3405</v>
      </c>
      <c r="C3688" s="417" t="s">
        <v>9822</v>
      </c>
      <c r="D3688" s="417" t="s">
        <v>224</v>
      </c>
      <c r="E3688" s="423">
        <v>0.15046507182275551</v>
      </c>
      <c r="F3688" s="423">
        <v>1.17365071009437E-2</v>
      </c>
      <c r="G3688" s="422">
        <v>309.3140945781218</v>
      </c>
      <c r="H3688" s="417" t="s">
        <v>2616</v>
      </c>
      <c r="I3688" s="417" t="s">
        <v>1392</v>
      </c>
      <c r="J3688" s="417" t="s">
        <v>8072</v>
      </c>
      <c r="K3688" s="417" t="s">
        <v>9823</v>
      </c>
      <c r="L3688" s="417"/>
      <c r="M3688" s="417" t="s">
        <v>28840</v>
      </c>
    </row>
    <row r="3689" spans="1:13" x14ac:dyDescent="0.25">
      <c r="A3689" s="417" t="s">
        <v>3385</v>
      </c>
      <c r="B3689" s="417" t="s">
        <v>3405</v>
      </c>
      <c r="C3689" s="417" t="s">
        <v>9824</v>
      </c>
      <c r="D3689" s="417" t="s">
        <v>224</v>
      </c>
      <c r="E3689" s="423">
        <v>2.793667565169353E-2</v>
      </c>
      <c r="F3689" s="423">
        <v>1.340859473548704E-2</v>
      </c>
      <c r="G3689" s="422">
        <v>286.78599819294101</v>
      </c>
      <c r="H3689" s="417" t="s">
        <v>2616</v>
      </c>
      <c r="I3689" s="417" t="s">
        <v>1392</v>
      </c>
      <c r="J3689" s="417" t="s">
        <v>8072</v>
      </c>
      <c r="K3689" s="417" t="s">
        <v>9825</v>
      </c>
      <c r="L3689" s="417"/>
      <c r="M3689" s="417" t="s">
        <v>28840</v>
      </c>
    </row>
    <row r="3690" spans="1:13" x14ac:dyDescent="0.25">
      <c r="A3690" s="417" t="s">
        <v>3385</v>
      </c>
      <c r="B3690" s="417" t="s">
        <v>3405</v>
      </c>
      <c r="C3690" s="417" t="s">
        <v>9826</v>
      </c>
      <c r="D3690" s="417" t="s">
        <v>224</v>
      </c>
      <c r="E3690" s="423">
        <v>0.31737054439220669</v>
      </c>
      <c r="F3690" s="423">
        <v>4.8956816710769992E-2</v>
      </c>
      <c r="G3690" s="422">
        <v>448.03316354372572</v>
      </c>
      <c r="H3690" s="417" t="s">
        <v>2616</v>
      </c>
      <c r="I3690" s="417" t="s">
        <v>1392</v>
      </c>
      <c r="J3690" s="417" t="s">
        <v>8072</v>
      </c>
      <c r="K3690" s="417" t="s">
        <v>9827</v>
      </c>
      <c r="L3690" s="417"/>
      <c r="M3690" s="417" t="s">
        <v>28840</v>
      </c>
    </row>
    <row r="3691" spans="1:13" x14ac:dyDescent="0.25">
      <c r="A3691" s="417" t="s">
        <v>3385</v>
      </c>
      <c r="B3691" s="417" t="s">
        <v>3405</v>
      </c>
      <c r="C3691" s="417" t="s">
        <v>9828</v>
      </c>
      <c r="D3691" s="417" t="s">
        <v>224</v>
      </c>
      <c r="E3691" s="423">
        <v>0.71666347471677871</v>
      </c>
      <c r="F3691" s="423">
        <v>1.5966609615486609E-2</v>
      </c>
      <c r="G3691" s="422">
        <v>977.99066336306305</v>
      </c>
      <c r="H3691" s="417" t="s">
        <v>2616</v>
      </c>
      <c r="I3691" s="417" t="s">
        <v>1392</v>
      </c>
      <c r="J3691" s="417" t="s">
        <v>8072</v>
      </c>
      <c r="K3691" s="417" t="s">
        <v>9829</v>
      </c>
      <c r="L3691" s="417"/>
      <c r="M3691" s="417" t="s">
        <v>28840</v>
      </c>
    </row>
    <row r="3692" spans="1:13" x14ac:dyDescent="0.25">
      <c r="A3692" s="417" t="s">
        <v>3385</v>
      </c>
      <c r="B3692" s="417" t="s">
        <v>3405</v>
      </c>
      <c r="C3692" s="417" t="s">
        <v>9830</v>
      </c>
      <c r="D3692" s="417" t="s">
        <v>224</v>
      </c>
      <c r="E3692" s="423">
        <v>0.29367487153628968</v>
      </c>
      <c r="F3692" s="423">
        <v>2.1484480419405962E-2</v>
      </c>
      <c r="G3692" s="422">
        <v>412.64285920510792</v>
      </c>
      <c r="H3692" s="417" t="s">
        <v>2616</v>
      </c>
      <c r="I3692" s="417" t="s">
        <v>1392</v>
      </c>
      <c r="J3692" s="417" t="s">
        <v>8072</v>
      </c>
      <c r="K3692" s="417" t="s">
        <v>9831</v>
      </c>
      <c r="L3692" s="417"/>
      <c r="M3692" s="417" t="s">
        <v>28840</v>
      </c>
    </row>
    <row r="3693" spans="1:13" x14ac:dyDescent="0.25">
      <c r="A3693" s="417" t="s">
        <v>3385</v>
      </c>
      <c r="B3693" s="417" t="s">
        <v>3405</v>
      </c>
      <c r="C3693" s="417" t="s">
        <v>9832</v>
      </c>
      <c r="D3693" s="417" t="s">
        <v>224</v>
      </c>
      <c r="E3693" s="423">
        <v>0.49676134788720161</v>
      </c>
      <c r="F3693" s="423">
        <v>5.450882955955013E-2</v>
      </c>
      <c r="G3693" s="422">
        <v>874.5350135300929</v>
      </c>
      <c r="H3693" s="417" t="s">
        <v>2616</v>
      </c>
      <c r="I3693" s="417" t="s">
        <v>1392</v>
      </c>
      <c r="J3693" s="417" t="s">
        <v>8072</v>
      </c>
      <c r="K3693" s="417" t="s">
        <v>9833</v>
      </c>
      <c r="L3693" s="417"/>
      <c r="M3693" s="417" t="s">
        <v>28840</v>
      </c>
    </row>
    <row r="3694" spans="1:13" x14ac:dyDescent="0.25">
      <c r="A3694" s="417" t="s">
        <v>3385</v>
      </c>
      <c r="B3694" s="417" t="s">
        <v>3405</v>
      </c>
      <c r="C3694" s="417" t="s">
        <v>9834</v>
      </c>
      <c r="D3694" s="417" t="s">
        <v>224</v>
      </c>
      <c r="E3694" s="423">
        <v>0.46551433375790319</v>
      </c>
      <c r="F3694" s="423">
        <v>6.021249543195735E-2</v>
      </c>
      <c r="G3694" s="422">
        <v>730.4357538792209</v>
      </c>
      <c r="H3694" s="417" t="s">
        <v>2616</v>
      </c>
      <c r="I3694" s="417" t="s">
        <v>1392</v>
      </c>
      <c r="J3694" s="417" t="s">
        <v>8072</v>
      </c>
      <c r="K3694" s="417" t="s">
        <v>9835</v>
      </c>
      <c r="L3694" s="417"/>
      <c r="M3694" s="417" t="s">
        <v>28840</v>
      </c>
    </row>
    <row r="3695" spans="1:13" x14ac:dyDescent="0.25">
      <c r="A3695" s="417" t="s">
        <v>3385</v>
      </c>
      <c r="B3695" s="417" t="s">
        <v>3405</v>
      </c>
      <c r="C3695" s="417" t="s">
        <v>9836</v>
      </c>
      <c r="D3695" s="417" t="s">
        <v>224</v>
      </c>
      <c r="E3695" s="423">
        <v>0.12335372252980489</v>
      </c>
      <c r="F3695" s="423">
        <v>0.1317158655206864</v>
      </c>
      <c r="G3695" s="422">
        <v>228.8916147062927</v>
      </c>
      <c r="H3695" s="417" t="s">
        <v>2616</v>
      </c>
      <c r="I3695" s="417" t="s">
        <v>1392</v>
      </c>
      <c r="J3695" s="417" t="s">
        <v>8072</v>
      </c>
      <c r="K3695" s="417" t="s">
        <v>9837</v>
      </c>
      <c r="L3695" s="417"/>
      <c r="M3695" s="417" t="s">
        <v>28840</v>
      </c>
    </row>
    <row r="3696" spans="1:13" x14ac:dyDescent="0.25">
      <c r="A3696" s="417" t="s">
        <v>3385</v>
      </c>
      <c r="B3696" s="417" t="s">
        <v>3405</v>
      </c>
      <c r="C3696" s="417" t="s">
        <v>9838</v>
      </c>
      <c r="D3696" s="417" t="s">
        <v>224</v>
      </c>
      <c r="E3696" s="423">
        <v>0.59859048335010756</v>
      </c>
      <c r="F3696" s="423">
        <v>2.6525723561392199E-3</v>
      </c>
      <c r="G3696" s="422">
        <v>785.75326084997619</v>
      </c>
      <c r="H3696" s="417" t="s">
        <v>2616</v>
      </c>
      <c r="I3696" s="417" t="s">
        <v>1392</v>
      </c>
      <c r="J3696" s="417" t="s">
        <v>8072</v>
      </c>
      <c r="K3696" s="417" t="s">
        <v>9839</v>
      </c>
      <c r="L3696" s="417"/>
      <c r="M3696" s="417" t="s">
        <v>28840</v>
      </c>
    </row>
    <row r="3697" spans="1:13" x14ac:dyDescent="0.25">
      <c r="A3697" s="417" t="s">
        <v>3385</v>
      </c>
      <c r="B3697" s="417" t="s">
        <v>3405</v>
      </c>
      <c r="C3697" s="417" t="s">
        <v>9840</v>
      </c>
      <c r="D3697" s="417" t="s">
        <v>224</v>
      </c>
      <c r="E3697" s="423">
        <v>0.45288110254843872</v>
      </c>
      <c r="F3697" s="423">
        <v>0.2048587275929063</v>
      </c>
      <c r="G3697" s="422">
        <v>829.26173795476961</v>
      </c>
      <c r="H3697" s="417" t="s">
        <v>2616</v>
      </c>
      <c r="I3697" s="417" t="s">
        <v>1392</v>
      </c>
      <c r="J3697" s="417" t="s">
        <v>8072</v>
      </c>
      <c r="K3697" s="417" t="s">
        <v>9841</v>
      </c>
      <c r="L3697" s="417"/>
      <c r="M3697" s="417" t="s">
        <v>28840</v>
      </c>
    </row>
    <row r="3698" spans="1:13" x14ac:dyDescent="0.25">
      <c r="A3698" s="417" t="s">
        <v>3385</v>
      </c>
      <c r="B3698" s="417" t="s">
        <v>3405</v>
      </c>
      <c r="C3698" s="417" t="s">
        <v>9842</v>
      </c>
      <c r="D3698" s="417" t="s">
        <v>224</v>
      </c>
      <c r="E3698" s="423">
        <v>0.48561491233803611</v>
      </c>
      <c r="F3698" s="423">
        <v>1.3567982429808689E-3</v>
      </c>
      <c r="G3698" s="422">
        <v>640.63995053978067</v>
      </c>
      <c r="H3698" s="417" t="s">
        <v>2616</v>
      </c>
      <c r="I3698" s="417" t="s">
        <v>1392</v>
      </c>
      <c r="J3698" s="417" t="s">
        <v>8072</v>
      </c>
      <c r="K3698" s="417" t="s">
        <v>9843</v>
      </c>
      <c r="L3698" s="417"/>
      <c r="M3698" s="417" t="s">
        <v>28840</v>
      </c>
    </row>
    <row r="3699" spans="1:13" x14ac:dyDescent="0.25">
      <c r="A3699" s="417" t="s">
        <v>3385</v>
      </c>
      <c r="B3699" s="417" t="s">
        <v>3405</v>
      </c>
      <c r="C3699" s="417" t="s">
        <v>9844</v>
      </c>
      <c r="D3699" s="417" t="s">
        <v>224</v>
      </c>
      <c r="E3699" s="423">
        <v>0.27399847556538809</v>
      </c>
      <c r="F3699" s="423">
        <v>3.4064037400556559E-2</v>
      </c>
      <c r="G3699" s="422">
        <v>573.73355426131093</v>
      </c>
      <c r="H3699" s="417" t="s">
        <v>2616</v>
      </c>
      <c r="I3699" s="417" t="s">
        <v>1392</v>
      </c>
      <c r="J3699" s="417" t="s">
        <v>8072</v>
      </c>
      <c r="K3699" s="417" t="s">
        <v>9845</v>
      </c>
      <c r="L3699" s="417"/>
      <c r="M3699" s="417" t="s">
        <v>28840</v>
      </c>
    </row>
    <row r="3700" spans="1:13" x14ac:dyDescent="0.25">
      <c r="A3700" s="417" t="s">
        <v>3385</v>
      </c>
      <c r="B3700" s="417" t="s">
        <v>3405</v>
      </c>
      <c r="C3700" s="417" t="s">
        <v>9846</v>
      </c>
      <c r="D3700" s="417" t="s">
        <v>224</v>
      </c>
      <c r="E3700" s="423">
        <v>0.20761474364035629</v>
      </c>
      <c r="F3700" s="423">
        <v>1.5276979259758339E-2</v>
      </c>
      <c r="G3700" s="422">
        <v>488.37770363703709</v>
      </c>
      <c r="H3700" s="417" t="s">
        <v>2616</v>
      </c>
      <c r="I3700" s="417" t="s">
        <v>1392</v>
      </c>
      <c r="J3700" s="417" t="s">
        <v>8072</v>
      </c>
      <c r="K3700" s="417" t="s">
        <v>9847</v>
      </c>
      <c r="L3700" s="417"/>
      <c r="M3700" s="417" t="s">
        <v>28840</v>
      </c>
    </row>
    <row r="3701" spans="1:13" x14ac:dyDescent="0.25">
      <c r="A3701" s="417" t="s">
        <v>3385</v>
      </c>
      <c r="B3701" s="417" t="s">
        <v>3405</v>
      </c>
      <c r="C3701" s="417" t="s">
        <v>9848</v>
      </c>
      <c r="D3701" s="417" t="s">
        <v>224</v>
      </c>
      <c r="E3701" s="423">
        <v>1.288276353859966E-2</v>
      </c>
      <c r="F3701" s="423">
        <v>7.7535547121033576E-4</v>
      </c>
      <c r="G3701" s="422">
        <v>71.420113683364292</v>
      </c>
      <c r="H3701" s="417" t="s">
        <v>2616</v>
      </c>
      <c r="I3701" s="417" t="s">
        <v>1392</v>
      </c>
      <c r="J3701" s="417" t="s">
        <v>8072</v>
      </c>
      <c r="K3701" s="417" t="s">
        <v>9849</v>
      </c>
      <c r="L3701" s="417"/>
      <c r="M3701" s="417" t="s">
        <v>28840</v>
      </c>
    </row>
    <row r="3702" spans="1:13" x14ac:dyDescent="0.25">
      <c r="A3702" s="417" t="s">
        <v>3385</v>
      </c>
      <c r="B3702" s="417" t="s">
        <v>3405</v>
      </c>
      <c r="C3702" s="417" t="s">
        <v>9850</v>
      </c>
      <c r="D3702" s="417" t="s">
        <v>224</v>
      </c>
      <c r="E3702" s="423">
        <v>0.1101859802017011</v>
      </c>
      <c r="F3702" s="423">
        <v>9.8283509146613462E-2</v>
      </c>
      <c r="G3702" s="422">
        <v>423.6895609653003</v>
      </c>
      <c r="H3702" s="417" t="s">
        <v>2616</v>
      </c>
      <c r="I3702" s="417" t="s">
        <v>1392</v>
      </c>
      <c r="J3702" s="417" t="s">
        <v>8072</v>
      </c>
      <c r="K3702" s="417" t="s">
        <v>9851</v>
      </c>
      <c r="L3702" s="417"/>
      <c r="M3702" s="417" t="s">
        <v>28840</v>
      </c>
    </row>
    <row r="3703" spans="1:13" x14ac:dyDescent="0.25">
      <c r="A3703" s="417" t="s">
        <v>3385</v>
      </c>
      <c r="B3703" s="417" t="s">
        <v>3405</v>
      </c>
      <c r="C3703" s="417" t="s">
        <v>9852</v>
      </c>
      <c r="D3703" s="417" t="s">
        <v>224</v>
      </c>
      <c r="E3703" s="423">
        <v>6.2924272756715929E-2</v>
      </c>
      <c r="F3703" s="423">
        <v>1.29555645590895E-2</v>
      </c>
      <c r="G3703" s="422">
        <v>671.2828638498014</v>
      </c>
      <c r="H3703" s="417" t="s">
        <v>2616</v>
      </c>
      <c r="I3703" s="417" t="s">
        <v>1392</v>
      </c>
      <c r="J3703" s="417" t="s">
        <v>8072</v>
      </c>
      <c r="K3703" s="417" t="s">
        <v>9853</v>
      </c>
      <c r="L3703" s="417"/>
      <c r="M3703" s="417" t="s">
        <v>28840</v>
      </c>
    </row>
    <row r="3704" spans="1:13" x14ac:dyDescent="0.25">
      <c r="A3704" s="417" t="s">
        <v>3385</v>
      </c>
      <c r="B3704" s="417" t="s">
        <v>3405</v>
      </c>
      <c r="C3704" s="417" t="s">
        <v>9854</v>
      </c>
      <c r="D3704" s="417" t="s">
        <v>224</v>
      </c>
      <c r="E3704" s="423">
        <v>0.16406178275835431</v>
      </c>
      <c r="F3704" s="423">
        <v>1.0241866370592441</v>
      </c>
      <c r="G3704" s="422">
        <v>278.10927715130748</v>
      </c>
      <c r="H3704" s="417" t="s">
        <v>2616</v>
      </c>
      <c r="I3704" s="417" t="s">
        <v>1392</v>
      </c>
      <c r="J3704" s="417" t="s">
        <v>8063</v>
      </c>
      <c r="K3704" s="417" t="s">
        <v>9855</v>
      </c>
      <c r="L3704" s="417"/>
      <c r="M3704" s="417" t="s">
        <v>28840</v>
      </c>
    </row>
    <row r="3705" spans="1:13" x14ac:dyDescent="0.25">
      <c r="A3705" s="417" t="s">
        <v>3385</v>
      </c>
      <c r="B3705" s="417" t="s">
        <v>3405</v>
      </c>
      <c r="C3705" s="417" t="s">
        <v>9856</v>
      </c>
      <c r="D3705" s="417" t="s">
        <v>224</v>
      </c>
      <c r="E3705" s="423">
        <v>0.78952501952486076</v>
      </c>
      <c r="F3705" s="423">
        <v>1.8657911964146422E-2</v>
      </c>
      <c r="G3705" s="422">
        <v>1089.2030651480079</v>
      </c>
      <c r="H3705" s="417" t="s">
        <v>2616</v>
      </c>
      <c r="I3705" s="417" t="s">
        <v>1392</v>
      </c>
      <c r="J3705" s="417" t="s">
        <v>8063</v>
      </c>
      <c r="K3705" s="417" t="s">
        <v>9857</v>
      </c>
      <c r="L3705" s="417"/>
      <c r="M3705" s="417" t="s">
        <v>28840</v>
      </c>
    </row>
    <row r="3706" spans="1:13" x14ac:dyDescent="0.25">
      <c r="A3706" s="417" t="s">
        <v>3385</v>
      </c>
      <c r="B3706" s="417" t="s">
        <v>3405</v>
      </c>
      <c r="C3706" s="417" t="s">
        <v>9858</v>
      </c>
      <c r="D3706" s="417" t="s">
        <v>224</v>
      </c>
      <c r="E3706" s="423">
        <v>0.65036487132014398</v>
      </c>
      <c r="F3706" s="423">
        <v>2.961993663855079E-3</v>
      </c>
      <c r="G3706" s="422">
        <v>854.28817341628042</v>
      </c>
      <c r="H3706" s="417" t="s">
        <v>2616</v>
      </c>
      <c r="I3706" s="417" t="s">
        <v>1392</v>
      </c>
      <c r="J3706" s="417" t="s">
        <v>8063</v>
      </c>
      <c r="K3706" s="417" t="s">
        <v>9859</v>
      </c>
      <c r="L3706" s="417"/>
      <c r="M3706" s="417" t="s">
        <v>28840</v>
      </c>
    </row>
    <row r="3707" spans="1:13" x14ac:dyDescent="0.25">
      <c r="A3707" s="417" t="s">
        <v>3385</v>
      </c>
      <c r="B3707" s="417" t="s">
        <v>3405</v>
      </c>
      <c r="C3707" s="417" t="s">
        <v>9860</v>
      </c>
      <c r="D3707" s="417" t="s">
        <v>224</v>
      </c>
      <c r="E3707" s="423">
        <v>6.9591482465188079E-2</v>
      </c>
      <c r="F3707" s="423">
        <v>0.81308671167173696</v>
      </c>
      <c r="G3707" s="422">
        <v>293.35014201575262</v>
      </c>
      <c r="H3707" s="417" t="s">
        <v>2616</v>
      </c>
      <c r="I3707" s="417" t="s">
        <v>1392</v>
      </c>
      <c r="J3707" s="417" t="s">
        <v>8063</v>
      </c>
      <c r="K3707" s="417" t="s">
        <v>9861</v>
      </c>
      <c r="L3707" s="417"/>
      <c r="M3707" s="417" t="s">
        <v>28840</v>
      </c>
    </row>
    <row r="3708" spans="1:13" x14ac:dyDescent="0.25">
      <c r="A3708" s="417" t="s">
        <v>3385</v>
      </c>
      <c r="B3708" s="417" t="s">
        <v>3405</v>
      </c>
      <c r="C3708" s="417" t="s">
        <v>9862</v>
      </c>
      <c r="D3708" s="417" t="s">
        <v>224</v>
      </c>
      <c r="E3708" s="423">
        <v>6.9591479543166967E-2</v>
      </c>
      <c r="F3708" s="423">
        <v>0.81308671145657263</v>
      </c>
      <c r="G3708" s="422">
        <v>293.35013571478021</v>
      </c>
      <c r="H3708" s="417" t="s">
        <v>2616</v>
      </c>
      <c r="I3708" s="417" t="s">
        <v>1392</v>
      </c>
      <c r="J3708" s="417" t="s">
        <v>8063</v>
      </c>
      <c r="K3708" s="417" t="s">
        <v>9863</v>
      </c>
      <c r="L3708" s="417"/>
      <c r="M3708" s="417" t="s">
        <v>28840</v>
      </c>
    </row>
    <row r="3709" spans="1:13" x14ac:dyDescent="0.25">
      <c r="A3709" s="417" t="s">
        <v>3385</v>
      </c>
      <c r="B3709" s="417" t="s">
        <v>3405</v>
      </c>
      <c r="C3709" s="417" t="s">
        <v>9864</v>
      </c>
      <c r="D3709" s="417" t="s">
        <v>224</v>
      </c>
      <c r="E3709" s="423">
        <v>1.073151156765789</v>
      </c>
      <c r="F3709" s="423">
        <v>4.891243059832657E-3</v>
      </c>
      <c r="G3709" s="422">
        <v>1318.5188334248569</v>
      </c>
      <c r="H3709" s="417" t="s">
        <v>2616</v>
      </c>
      <c r="I3709" s="417" t="s">
        <v>1392</v>
      </c>
      <c r="J3709" s="417" t="s">
        <v>8063</v>
      </c>
      <c r="K3709" s="417" t="s">
        <v>9865</v>
      </c>
      <c r="L3709" s="417"/>
      <c r="M3709" s="417" t="s">
        <v>28840</v>
      </c>
    </row>
    <row r="3710" spans="1:13" x14ac:dyDescent="0.25">
      <c r="A3710" s="417" t="s">
        <v>3385</v>
      </c>
      <c r="B3710" s="417" t="s">
        <v>3405</v>
      </c>
      <c r="C3710" s="417" t="s">
        <v>9866</v>
      </c>
      <c r="D3710" s="417" t="s">
        <v>224</v>
      </c>
      <c r="E3710" s="423">
        <v>1.123362517173258</v>
      </c>
      <c r="F3710" s="423">
        <v>4.1820007013566836E-3</v>
      </c>
      <c r="G3710" s="422">
        <v>1397.847246157042</v>
      </c>
      <c r="H3710" s="417" t="s">
        <v>2616</v>
      </c>
      <c r="I3710" s="417" t="s">
        <v>1392</v>
      </c>
      <c r="J3710" s="417" t="s">
        <v>8063</v>
      </c>
      <c r="K3710" s="417" t="s">
        <v>9867</v>
      </c>
      <c r="L3710" s="417"/>
      <c r="M3710" s="417" t="s">
        <v>28840</v>
      </c>
    </row>
    <row r="3711" spans="1:13" x14ac:dyDescent="0.25">
      <c r="A3711" s="417" t="s">
        <v>3385</v>
      </c>
      <c r="B3711" s="417" t="s">
        <v>3405</v>
      </c>
      <c r="C3711" s="417" t="s">
        <v>9868</v>
      </c>
      <c r="D3711" s="417" t="s">
        <v>224</v>
      </c>
      <c r="E3711" s="423">
        <v>1.0327062866844899E-2</v>
      </c>
      <c r="F3711" s="423">
        <v>2.6286547262220828E-4</v>
      </c>
      <c r="G3711" s="422">
        <v>65.173624756639995</v>
      </c>
      <c r="H3711" s="417" t="s">
        <v>2616</v>
      </c>
      <c r="I3711" s="417" t="s">
        <v>1392</v>
      </c>
      <c r="J3711" s="417" t="s">
        <v>8063</v>
      </c>
      <c r="K3711" s="417" t="s">
        <v>9869</v>
      </c>
      <c r="L3711" s="417"/>
      <c r="M3711" s="417" t="s">
        <v>28840</v>
      </c>
    </row>
    <row r="3712" spans="1:13" x14ac:dyDescent="0.25">
      <c r="A3712" s="417" t="s">
        <v>3385</v>
      </c>
      <c r="B3712" s="417" t="s">
        <v>3405</v>
      </c>
      <c r="C3712" s="417" t="s">
        <v>9870</v>
      </c>
      <c r="D3712" s="417" t="s">
        <v>224</v>
      </c>
      <c r="E3712" s="423">
        <v>9.0604017592397345E-3</v>
      </c>
      <c r="F3712" s="423">
        <v>2.856791928692445E-4</v>
      </c>
      <c r="G3712" s="422">
        <v>60.015438913915112</v>
      </c>
      <c r="H3712" s="417" t="s">
        <v>2616</v>
      </c>
      <c r="I3712" s="417" t="s">
        <v>1392</v>
      </c>
      <c r="J3712" s="417" t="s">
        <v>8063</v>
      </c>
      <c r="K3712" s="417" t="s">
        <v>9871</v>
      </c>
      <c r="L3712" s="417"/>
      <c r="M3712" s="417" t="s">
        <v>28840</v>
      </c>
    </row>
    <row r="3713" spans="1:13" x14ac:dyDescent="0.25">
      <c r="A3713" s="417" t="s">
        <v>3385</v>
      </c>
      <c r="B3713" s="417" t="s">
        <v>3405</v>
      </c>
      <c r="C3713" s="417" t="s">
        <v>9872</v>
      </c>
      <c r="D3713" s="417" t="s">
        <v>224</v>
      </c>
      <c r="E3713" s="423">
        <v>0.1310101219046769</v>
      </c>
      <c r="F3713" s="423">
        <v>3.118867910109541E-2</v>
      </c>
      <c r="G3713" s="422">
        <v>618.27275726386506</v>
      </c>
      <c r="H3713" s="417" t="s">
        <v>2616</v>
      </c>
      <c r="I3713" s="417" t="s">
        <v>1392</v>
      </c>
      <c r="J3713" s="417" t="s">
        <v>8063</v>
      </c>
      <c r="K3713" s="417" t="s">
        <v>9873</v>
      </c>
      <c r="L3713" s="417"/>
      <c r="M3713" s="417" t="s">
        <v>28840</v>
      </c>
    </row>
    <row r="3714" spans="1:13" x14ac:dyDescent="0.25">
      <c r="A3714" s="417" t="s">
        <v>3385</v>
      </c>
      <c r="B3714" s="417" t="s">
        <v>3405</v>
      </c>
      <c r="C3714" s="417" t="s">
        <v>9874</v>
      </c>
      <c r="D3714" s="417" t="s">
        <v>224</v>
      </c>
      <c r="E3714" s="423">
        <v>2.1288881372924961E-2</v>
      </c>
      <c r="F3714" s="423">
        <v>3.2538508609067319E-4</v>
      </c>
      <c r="G3714" s="422">
        <v>98.542470465464902</v>
      </c>
      <c r="H3714" s="417" t="s">
        <v>2616</v>
      </c>
      <c r="I3714" s="417" t="s">
        <v>1392</v>
      </c>
      <c r="J3714" s="417" t="s">
        <v>8063</v>
      </c>
      <c r="K3714" s="417" t="s">
        <v>9875</v>
      </c>
      <c r="L3714" s="417"/>
      <c r="M3714" s="417" t="s">
        <v>28840</v>
      </c>
    </row>
    <row r="3715" spans="1:13" x14ac:dyDescent="0.25">
      <c r="A3715" s="417" t="s">
        <v>3385</v>
      </c>
      <c r="B3715" s="417" t="s">
        <v>3405</v>
      </c>
      <c r="C3715" s="417" t="s">
        <v>9876</v>
      </c>
      <c r="D3715" s="417" t="s">
        <v>224</v>
      </c>
      <c r="E3715" s="423">
        <v>9.6374021129465928E-3</v>
      </c>
      <c r="F3715" s="423">
        <v>3.1153276924114241E-4</v>
      </c>
      <c r="G3715" s="422">
        <v>61.022777713978329</v>
      </c>
      <c r="H3715" s="417" t="s">
        <v>2616</v>
      </c>
      <c r="I3715" s="417" t="s">
        <v>1392</v>
      </c>
      <c r="J3715" s="417" t="s">
        <v>8063</v>
      </c>
      <c r="K3715" s="417" t="s">
        <v>9877</v>
      </c>
      <c r="L3715" s="417"/>
      <c r="M3715" s="417" t="s">
        <v>28840</v>
      </c>
    </row>
    <row r="3716" spans="1:13" x14ac:dyDescent="0.25">
      <c r="A3716" s="417" t="s">
        <v>3385</v>
      </c>
      <c r="B3716" s="417" t="s">
        <v>3405</v>
      </c>
      <c r="C3716" s="417" t="s">
        <v>9878</v>
      </c>
      <c r="D3716" s="417" t="s">
        <v>224</v>
      </c>
      <c r="E3716" s="423">
        <v>8.2390062314226763E-3</v>
      </c>
      <c r="F3716" s="423">
        <v>2.5095326066518111E-4</v>
      </c>
      <c r="G3716" s="422">
        <v>58.817223945858487</v>
      </c>
      <c r="H3716" s="417" t="s">
        <v>2616</v>
      </c>
      <c r="I3716" s="417" t="s">
        <v>1392</v>
      </c>
      <c r="J3716" s="417" t="s">
        <v>8063</v>
      </c>
      <c r="K3716" s="417" t="s">
        <v>9879</v>
      </c>
      <c r="L3716" s="417"/>
      <c r="M3716" s="417" t="s">
        <v>28840</v>
      </c>
    </row>
    <row r="3717" spans="1:13" x14ac:dyDescent="0.25">
      <c r="A3717" s="417" t="s">
        <v>3385</v>
      </c>
      <c r="B3717" s="417" t="s">
        <v>3405</v>
      </c>
      <c r="C3717" s="417" t="s">
        <v>9880</v>
      </c>
      <c r="D3717" s="417" t="s">
        <v>224</v>
      </c>
      <c r="E3717" s="423">
        <v>8.1383896330377535E-3</v>
      </c>
      <c r="F3717" s="423">
        <v>2.4301362776441471E-4</v>
      </c>
      <c r="G3717" s="422">
        <v>58.231248770846001</v>
      </c>
      <c r="H3717" s="417" t="s">
        <v>2616</v>
      </c>
      <c r="I3717" s="417" t="s">
        <v>1392</v>
      </c>
      <c r="J3717" s="417" t="s">
        <v>8063</v>
      </c>
      <c r="K3717" s="417" t="s">
        <v>9881</v>
      </c>
      <c r="L3717" s="417"/>
      <c r="M3717" s="417" t="s">
        <v>28840</v>
      </c>
    </row>
    <row r="3718" spans="1:13" x14ac:dyDescent="0.25">
      <c r="A3718" s="417" t="s">
        <v>3385</v>
      </c>
      <c r="B3718" s="417" t="s">
        <v>3405</v>
      </c>
      <c r="C3718" s="417" t="s">
        <v>9882</v>
      </c>
      <c r="D3718" s="417" t="s">
        <v>224</v>
      </c>
      <c r="E3718" s="423">
        <v>1.107128076573255</v>
      </c>
      <c r="F3718" s="423">
        <v>1.105521163852442E-3</v>
      </c>
      <c r="G3718" s="422">
        <v>1326.376163529947</v>
      </c>
      <c r="H3718" s="417" t="s">
        <v>2616</v>
      </c>
      <c r="I3718" s="417" t="s">
        <v>1392</v>
      </c>
      <c r="J3718" s="417" t="s">
        <v>8063</v>
      </c>
      <c r="K3718" s="417" t="s">
        <v>9883</v>
      </c>
      <c r="L3718" s="417"/>
      <c r="M3718" s="417" t="s">
        <v>28840</v>
      </c>
    </row>
    <row r="3719" spans="1:13" x14ac:dyDescent="0.25">
      <c r="A3719" s="417" t="s">
        <v>3385</v>
      </c>
      <c r="B3719" s="417" t="s">
        <v>3405</v>
      </c>
      <c r="C3719" s="417" t="s">
        <v>9884</v>
      </c>
      <c r="D3719" s="417" t="s">
        <v>224</v>
      </c>
      <c r="E3719" s="423">
        <v>0.5515724170386932</v>
      </c>
      <c r="F3719" s="423">
        <v>1.8277154901514181E-3</v>
      </c>
      <c r="G3719" s="422">
        <v>717.82273572251984</v>
      </c>
      <c r="H3719" s="417" t="s">
        <v>2616</v>
      </c>
      <c r="I3719" s="417" t="s">
        <v>1392</v>
      </c>
      <c r="J3719" s="417" t="s">
        <v>8063</v>
      </c>
      <c r="K3719" s="417" t="s">
        <v>9885</v>
      </c>
      <c r="L3719" s="417"/>
      <c r="M3719" s="417" t="s">
        <v>28840</v>
      </c>
    </row>
    <row r="3720" spans="1:13" x14ac:dyDescent="0.25">
      <c r="A3720" s="417" t="s">
        <v>3385</v>
      </c>
      <c r="B3720" s="417" t="s">
        <v>3405</v>
      </c>
      <c r="C3720" s="417" t="s">
        <v>9886</v>
      </c>
      <c r="D3720" s="417" t="s">
        <v>224</v>
      </c>
      <c r="E3720" s="423">
        <v>0.49117275678532668</v>
      </c>
      <c r="F3720" s="423">
        <v>2.0975840782486419E-3</v>
      </c>
      <c r="G3720" s="422">
        <v>650.03811312691698</v>
      </c>
      <c r="H3720" s="417" t="s">
        <v>2616</v>
      </c>
      <c r="I3720" s="417" t="s">
        <v>1392</v>
      </c>
      <c r="J3720" s="417" t="s">
        <v>8063</v>
      </c>
      <c r="K3720" s="417" t="s">
        <v>9887</v>
      </c>
      <c r="L3720" s="417"/>
      <c r="M3720" s="417" t="s">
        <v>28840</v>
      </c>
    </row>
    <row r="3721" spans="1:13" x14ac:dyDescent="0.25">
      <c r="A3721" s="417" t="s">
        <v>3385</v>
      </c>
      <c r="B3721" s="417" t="s">
        <v>3405</v>
      </c>
      <c r="C3721" s="417" t="s">
        <v>9888</v>
      </c>
      <c r="D3721" s="417" t="s">
        <v>224</v>
      </c>
      <c r="E3721" s="423">
        <v>0.52662221077218352</v>
      </c>
      <c r="F3721" s="423">
        <v>1.757519538695611E-3</v>
      </c>
      <c r="G3721" s="422">
        <v>689.32238705133557</v>
      </c>
      <c r="H3721" s="417" t="s">
        <v>2616</v>
      </c>
      <c r="I3721" s="417" t="s">
        <v>1392</v>
      </c>
      <c r="J3721" s="417" t="s">
        <v>8063</v>
      </c>
      <c r="K3721" s="417" t="s">
        <v>9889</v>
      </c>
      <c r="L3721" s="417"/>
      <c r="M3721" s="417" t="s">
        <v>28840</v>
      </c>
    </row>
    <row r="3722" spans="1:13" x14ac:dyDescent="0.25">
      <c r="A3722" s="417" t="s">
        <v>3385</v>
      </c>
      <c r="B3722" s="417" t="s">
        <v>3405</v>
      </c>
      <c r="C3722" s="417" t="s">
        <v>9890</v>
      </c>
      <c r="D3722" s="417" t="s">
        <v>224</v>
      </c>
      <c r="E3722" s="423">
        <v>2.0420493395987501E-2</v>
      </c>
      <c r="F3722" s="423">
        <v>3.640883590852864E-4</v>
      </c>
      <c r="G3722" s="422">
        <v>638.95691262934338</v>
      </c>
      <c r="H3722" s="417" t="s">
        <v>2616</v>
      </c>
      <c r="I3722" s="417" t="s">
        <v>1392</v>
      </c>
      <c r="J3722" s="417" t="s">
        <v>8063</v>
      </c>
      <c r="K3722" s="417" t="s">
        <v>9891</v>
      </c>
      <c r="L3722" s="417"/>
      <c r="M3722" s="417" t="s">
        <v>28840</v>
      </c>
    </row>
    <row r="3723" spans="1:13" x14ac:dyDescent="0.25">
      <c r="A3723" s="417" t="s">
        <v>3385</v>
      </c>
      <c r="B3723" s="417" t="s">
        <v>3405</v>
      </c>
      <c r="C3723" s="417" t="s">
        <v>9892</v>
      </c>
      <c r="D3723" s="417" t="s">
        <v>224</v>
      </c>
      <c r="E3723" s="423">
        <v>1.1164942819831989E-2</v>
      </c>
      <c r="F3723" s="423">
        <v>4.1053706319324761E-4</v>
      </c>
      <c r="G3723" s="422">
        <v>908.78098127648059</v>
      </c>
      <c r="H3723" s="417" t="s">
        <v>2616</v>
      </c>
      <c r="I3723" s="417" t="s">
        <v>1392</v>
      </c>
      <c r="J3723" s="417" t="s">
        <v>8063</v>
      </c>
      <c r="K3723" s="417" t="s">
        <v>9893</v>
      </c>
      <c r="L3723" s="417"/>
      <c r="M3723" s="417" t="s">
        <v>28840</v>
      </c>
    </row>
    <row r="3724" spans="1:13" x14ac:dyDescent="0.25">
      <c r="A3724" s="417" t="s">
        <v>3385</v>
      </c>
      <c r="B3724" s="417" t="s">
        <v>3405</v>
      </c>
      <c r="C3724" s="417" t="s">
        <v>9894</v>
      </c>
      <c r="D3724" s="417" t="s">
        <v>224</v>
      </c>
      <c r="E3724" s="423">
        <v>1.870582491499875E-2</v>
      </c>
      <c r="F3724" s="423">
        <v>3.5011643784285391E-4</v>
      </c>
      <c r="G3724" s="422">
        <v>607.6817879010332</v>
      </c>
      <c r="H3724" s="417" t="s">
        <v>2616</v>
      </c>
      <c r="I3724" s="417" t="s">
        <v>1392</v>
      </c>
      <c r="J3724" s="417" t="s">
        <v>8063</v>
      </c>
      <c r="K3724" s="417" t="s">
        <v>9895</v>
      </c>
      <c r="L3724" s="417"/>
      <c r="M3724" s="417" t="s">
        <v>28840</v>
      </c>
    </row>
    <row r="3725" spans="1:13" x14ac:dyDescent="0.25">
      <c r="A3725" s="417" t="s">
        <v>3385</v>
      </c>
      <c r="B3725" s="417" t="s">
        <v>3405</v>
      </c>
      <c r="C3725" s="417" t="s">
        <v>9896</v>
      </c>
      <c r="D3725" s="417" t="s">
        <v>224</v>
      </c>
      <c r="E3725" s="423">
        <v>1.1164943230134139E-2</v>
      </c>
      <c r="F3725" s="423">
        <v>4.1053714743681502E-4</v>
      </c>
      <c r="G3725" s="422">
        <v>908.78098236841925</v>
      </c>
      <c r="H3725" s="417" t="s">
        <v>2616</v>
      </c>
      <c r="I3725" s="417" t="s">
        <v>1392</v>
      </c>
      <c r="J3725" s="417" t="s">
        <v>8063</v>
      </c>
      <c r="K3725" s="417" t="s">
        <v>9897</v>
      </c>
      <c r="L3725" s="417"/>
      <c r="M3725" s="417" t="s">
        <v>28840</v>
      </c>
    </row>
    <row r="3726" spans="1:13" x14ac:dyDescent="0.25">
      <c r="A3726" s="417" t="s">
        <v>3385</v>
      </c>
      <c r="B3726" s="417" t="s">
        <v>3405</v>
      </c>
      <c r="C3726" s="417" t="s">
        <v>9898</v>
      </c>
      <c r="D3726" s="417" t="s">
        <v>224</v>
      </c>
      <c r="E3726" s="423">
        <v>1.9516161225872922E-2</v>
      </c>
      <c r="F3726" s="423">
        <v>3.5672841524479081E-4</v>
      </c>
      <c r="G3726" s="422">
        <v>622.4678131181721</v>
      </c>
      <c r="H3726" s="417" t="s">
        <v>2616</v>
      </c>
      <c r="I3726" s="417" t="s">
        <v>1392</v>
      </c>
      <c r="J3726" s="417" t="s">
        <v>8063</v>
      </c>
      <c r="K3726" s="417" t="s">
        <v>9899</v>
      </c>
      <c r="L3726" s="417"/>
      <c r="M3726" s="417" t="s">
        <v>28840</v>
      </c>
    </row>
    <row r="3727" spans="1:13" x14ac:dyDescent="0.25">
      <c r="A3727" s="417" t="s">
        <v>3385</v>
      </c>
      <c r="B3727" s="417" t="s">
        <v>3405</v>
      </c>
      <c r="C3727" s="417" t="s">
        <v>9900</v>
      </c>
      <c r="D3727" s="417" t="s">
        <v>224</v>
      </c>
      <c r="E3727" s="423">
        <v>1.0083619106198489</v>
      </c>
      <c r="F3727" s="423">
        <v>3.4052746354287459E-3</v>
      </c>
      <c r="G3727" s="422">
        <v>1446.1802309245229</v>
      </c>
      <c r="H3727" s="417" t="s">
        <v>2616</v>
      </c>
      <c r="I3727" s="417" t="s">
        <v>1392</v>
      </c>
      <c r="J3727" s="417" t="s">
        <v>8063</v>
      </c>
      <c r="K3727" s="417" t="s">
        <v>9901</v>
      </c>
      <c r="L3727" s="417"/>
      <c r="M3727" s="417" t="s">
        <v>28840</v>
      </c>
    </row>
    <row r="3728" spans="1:13" x14ac:dyDescent="0.25">
      <c r="A3728" s="417" t="s">
        <v>3385</v>
      </c>
      <c r="B3728" s="417" t="s">
        <v>3405</v>
      </c>
      <c r="C3728" s="417" t="s">
        <v>9902</v>
      </c>
      <c r="D3728" s="417" t="s">
        <v>224</v>
      </c>
      <c r="E3728" s="423">
        <v>1.0148713078243321</v>
      </c>
      <c r="F3728" s="423">
        <v>3.451788444117435E-3</v>
      </c>
      <c r="G3728" s="422">
        <v>1457.9984735616149</v>
      </c>
      <c r="H3728" s="417" t="s">
        <v>2616</v>
      </c>
      <c r="I3728" s="417" t="s">
        <v>1392</v>
      </c>
      <c r="J3728" s="417" t="s">
        <v>8063</v>
      </c>
      <c r="K3728" s="417" t="s">
        <v>9903</v>
      </c>
      <c r="L3728" s="417"/>
      <c r="M3728" s="417" t="s">
        <v>28840</v>
      </c>
    </row>
    <row r="3729" spans="1:13" x14ac:dyDescent="0.25">
      <c r="A3729" s="417" t="s">
        <v>3385</v>
      </c>
      <c r="B3729" s="417" t="s">
        <v>3405</v>
      </c>
      <c r="C3729" s="417" t="s">
        <v>9904</v>
      </c>
      <c r="D3729" s="417" t="s">
        <v>224</v>
      </c>
      <c r="E3729" s="423">
        <v>3.6958656568391868E-2</v>
      </c>
      <c r="F3729" s="423">
        <v>1.7164621612939699E-3</v>
      </c>
      <c r="G3729" s="422">
        <v>125.62738824256181</v>
      </c>
      <c r="H3729" s="417" t="s">
        <v>2616</v>
      </c>
      <c r="I3729" s="417" t="s">
        <v>1392</v>
      </c>
      <c r="J3729" s="417" t="s">
        <v>8063</v>
      </c>
      <c r="K3729" s="417" t="s">
        <v>9905</v>
      </c>
      <c r="L3729" s="417"/>
      <c r="M3729" s="417" t="s">
        <v>28840</v>
      </c>
    </row>
    <row r="3730" spans="1:13" x14ac:dyDescent="0.25">
      <c r="A3730" s="417" t="s">
        <v>3385</v>
      </c>
      <c r="B3730" s="417" t="s">
        <v>3405</v>
      </c>
      <c r="C3730" s="417" t="s">
        <v>9906</v>
      </c>
      <c r="D3730" s="417" t="s">
        <v>224</v>
      </c>
      <c r="E3730" s="423">
        <v>3.6958656568391868E-2</v>
      </c>
      <c r="F3730" s="423">
        <v>1.7164621612939699E-3</v>
      </c>
      <c r="G3730" s="422">
        <v>125.62738824256181</v>
      </c>
      <c r="H3730" s="417" t="s">
        <v>2616</v>
      </c>
      <c r="I3730" s="417" t="s">
        <v>1392</v>
      </c>
      <c r="J3730" s="417" t="s">
        <v>8063</v>
      </c>
      <c r="K3730" s="417" t="s">
        <v>9907</v>
      </c>
      <c r="L3730" s="417"/>
      <c r="M3730" s="417" t="s">
        <v>28840</v>
      </c>
    </row>
    <row r="3731" spans="1:13" x14ac:dyDescent="0.25">
      <c r="A3731" s="417" t="s">
        <v>3385</v>
      </c>
      <c r="B3731" s="417" t="s">
        <v>3405</v>
      </c>
      <c r="C3731" s="417" t="s">
        <v>9908</v>
      </c>
      <c r="D3731" s="417" t="s">
        <v>224</v>
      </c>
      <c r="E3731" s="423">
        <v>3.503432489898925E-2</v>
      </c>
      <c r="F3731" s="423">
        <v>1.6344100514875111E-3</v>
      </c>
      <c r="G3731" s="422">
        <v>118.985845292926</v>
      </c>
      <c r="H3731" s="417" t="s">
        <v>2616</v>
      </c>
      <c r="I3731" s="417" t="s">
        <v>1392</v>
      </c>
      <c r="J3731" s="417" t="s">
        <v>8063</v>
      </c>
      <c r="K3731" s="417" t="s">
        <v>9909</v>
      </c>
      <c r="L3731" s="417"/>
      <c r="M3731" s="417" t="s">
        <v>28840</v>
      </c>
    </row>
    <row r="3732" spans="1:13" x14ac:dyDescent="0.25">
      <c r="A3732" s="417" t="s">
        <v>3385</v>
      </c>
      <c r="B3732" s="417" t="s">
        <v>3405</v>
      </c>
      <c r="C3732" s="417" t="s">
        <v>9910</v>
      </c>
      <c r="D3732" s="417" t="s">
        <v>224</v>
      </c>
      <c r="E3732" s="423">
        <v>9.3172364512047832E-3</v>
      </c>
      <c r="F3732" s="423">
        <v>3.0169712804029697E-4</v>
      </c>
      <c r="G3732" s="422">
        <v>61.045526139069032</v>
      </c>
      <c r="H3732" s="417" t="s">
        <v>2616</v>
      </c>
      <c r="I3732" s="417" t="s">
        <v>1392</v>
      </c>
      <c r="J3732" s="417" t="s">
        <v>8063</v>
      </c>
      <c r="K3732" s="417" t="s">
        <v>9911</v>
      </c>
      <c r="L3732" s="417"/>
      <c r="M3732" s="417" t="s">
        <v>28840</v>
      </c>
    </row>
    <row r="3733" spans="1:13" x14ac:dyDescent="0.25">
      <c r="A3733" s="417" t="s">
        <v>3385</v>
      </c>
      <c r="B3733" s="417" t="s">
        <v>3405</v>
      </c>
      <c r="C3733" s="417" t="s">
        <v>9912</v>
      </c>
      <c r="D3733" s="417" t="s">
        <v>224</v>
      </c>
      <c r="E3733" s="423">
        <v>4.2819590653846318E-3</v>
      </c>
      <c r="F3733" s="423">
        <v>8.9811058966866557E-5</v>
      </c>
      <c r="G3733" s="422">
        <v>40.152565680552847</v>
      </c>
      <c r="H3733" s="417" t="s">
        <v>2616</v>
      </c>
      <c r="I3733" s="417" t="s">
        <v>1392</v>
      </c>
      <c r="J3733" s="417" t="s">
        <v>8063</v>
      </c>
      <c r="K3733" s="417" t="s">
        <v>9913</v>
      </c>
      <c r="L3733" s="417"/>
      <c r="M3733" s="417" t="s">
        <v>28840</v>
      </c>
    </row>
    <row r="3734" spans="1:13" x14ac:dyDescent="0.25">
      <c r="A3734" s="417" t="s">
        <v>3385</v>
      </c>
      <c r="B3734" s="417" t="s">
        <v>3405</v>
      </c>
      <c r="C3734" s="417" t="s">
        <v>9914</v>
      </c>
      <c r="D3734" s="417" t="s">
        <v>224</v>
      </c>
      <c r="E3734" s="423">
        <v>1.901415724827319E-2</v>
      </c>
      <c r="F3734" s="423">
        <v>5.7785010394072937E-4</v>
      </c>
      <c r="G3734" s="422">
        <v>83.085249877945287</v>
      </c>
      <c r="H3734" s="417" t="s">
        <v>2616</v>
      </c>
      <c r="I3734" s="417" t="s">
        <v>1392</v>
      </c>
      <c r="J3734" s="417" t="s">
        <v>8063</v>
      </c>
      <c r="K3734" s="417" t="s">
        <v>9915</v>
      </c>
      <c r="L3734" s="417"/>
      <c r="M3734" s="417" t="s">
        <v>28840</v>
      </c>
    </row>
    <row r="3735" spans="1:13" x14ac:dyDescent="0.25">
      <c r="A3735" s="417" t="s">
        <v>3385</v>
      </c>
      <c r="B3735" s="417" t="s">
        <v>3405</v>
      </c>
      <c r="C3735" s="417" t="s">
        <v>9916</v>
      </c>
      <c r="D3735" s="417" t="s">
        <v>224</v>
      </c>
      <c r="E3735" s="423">
        <v>2.2335980842301251E-2</v>
      </c>
      <c r="F3735" s="423">
        <v>7.3332159920420003E-4</v>
      </c>
      <c r="G3735" s="422">
        <v>89.589380098302414</v>
      </c>
      <c r="H3735" s="417" t="s">
        <v>2616</v>
      </c>
      <c r="I3735" s="417" t="s">
        <v>1392</v>
      </c>
      <c r="J3735" s="417" t="s">
        <v>8063</v>
      </c>
      <c r="K3735" s="417" t="s">
        <v>9917</v>
      </c>
      <c r="L3735" s="417"/>
      <c r="M3735" s="417" t="s">
        <v>28840</v>
      </c>
    </row>
    <row r="3736" spans="1:13" x14ac:dyDescent="0.25">
      <c r="A3736" s="417" t="s">
        <v>3385</v>
      </c>
      <c r="B3736" s="417" t="s">
        <v>3405</v>
      </c>
      <c r="C3736" s="417" t="s">
        <v>9918</v>
      </c>
      <c r="D3736" s="417" t="s">
        <v>224</v>
      </c>
      <c r="E3736" s="423">
        <v>0.2060193366079201</v>
      </c>
      <c r="F3736" s="423">
        <v>7.8292276241736361E-2</v>
      </c>
      <c r="G3736" s="422">
        <v>440.0642697811694</v>
      </c>
      <c r="H3736" s="417" t="s">
        <v>2616</v>
      </c>
      <c r="I3736" s="417" t="s">
        <v>1392</v>
      </c>
      <c r="J3736" s="417" t="s">
        <v>8072</v>
      </c>
      <c r="K3736" s="417" t="s">
        <v>9919</v>
      </c>
      <c r="L3736" s="417"/>
      <c r="M3736" s="417" t="s">
        <v>28840</v>
      </c>
    </row>
    <row r="3737" spans="1:13" x14ac:dyDescent="0.25">
      <c r="A3737" s="417" t="s">
        <v>3385</v>
      </c>
      <c r="B3737" s="417" t="s">
        <v>3405</v>
      </c>
      <c r="C3737" s="417" t="s">
        <v>9920</v>
      </c>
      <c r="D3737" s="417" t="s">
        <v>224</v>
      </c>
      <c r="E3737" s="423">
        <v>0.57539326953474956</v>
      </c>
      <c r="F3737" s="423">
        <v>1.8849727929855509E-2</v>
      </c>
      <c r="G3737" s="422">
        <v>847.6877523692242</v>
      </c>
      <c r="H3737" s="417" t="s">
        <v>2616</v>
      </c>
      <c r="I3737" s="417" t="s">
        <v>1392</v>
      </c>
      <c r="J3737" s="417" t="s">
        <v>8072</v>
      </c>
      <c r="K3737" s="417" t="s">
        <v>9921</v>
      </c>
      <c r="L3737" s="417"/>
      <c r="M3737" s="417" t="s">
        <v>28840</v>
      </c>
    </row>
    <row r="3738" spans="1:13" x14ac:dyDescent="0.25">
      <c r="A3738" s="417" t="s">
        <v>3385</v>
      </c>
      <c r="B3738" s="417" t="s">
        <v>3405</v>
      </c>
      <c r="C3738" s="417" t="s">
        <v>9922</v>
      </c>
      <c r="D3738" s="417" t="s">
        <v>224</v>
      </c>
      <c r="E3738" s="423">
        <v>0.36921276288859911</v>
      </c>
      <c r="F3738" s="423">
        <v>5.7696268968827546E-3</v>
      </c>
      <c r="G3738" s="422">
        <v>513.01094175124115</v>
      </c>
      <c r="H3738" s="417" t="s">
        <v>2616</v>
      </c>
      <c r="I3738" s="417" t="s">
        <v>1392</v>
      </c>
      <c r="J3738" s="417" t="s">
        <v>8072</v>
      </c>
      <c r="K3738" s="417" t="s">
        <v>9923</v>
      </c>
      <c r="L3738" s="417"/>
      <c r="M3738" s="417" t="s">
        <v>28840</v>
      </c>
    </row>
    <row r="3739" spans="1:13" x14ac:dyDescent="0.25">
      <c r="A3739" s="417" t="s">
        <v>3385</v>
      </c>
      <c r="B3739" s="417" t="s">
        <v>3405</v>
      </c>
      <c r="C3739" s="417" t="s">
        <v>9924</v>
      </c>
      <c r="D3739" s="417" t="s">
        <v>224</v>
      </c>
      <c r="E3739" s="423">
        <v>0.23128198672164321</v>
      </c>
      <c r="F3739" s="423">
        <v>3.2028524547278357E-2</v>
      </c>
      <c r="G3739" s="422">
        <v>337.7258021913504</v>
      </c>
      <c r="H3739" s="417" t="s">
        <v>2616</v>
      </c>
      <c r="I3739" s="417" t="s">
        <v>1392</v>
      </c>
      <c r="J3739" s="417" t="s">
        <v>8072</v>
      </c>
      <c r="K3739" s="417" t="s">
        <v>9925</v>
      </c>
      <c r="L3739" s="417"/>
      <c r="M3739" s="417" t="s">
        <v>28840</v>
      </c>
    </row>
    <row r="3740" spans="1:13" x14ac:dyDescent="0.25">
      <c r="A3740" s="417" t="s">
        <v>3385</v>
      </c>
      <c r="B3740" s="417" t="s">
        <v>3405</v>
      </c>
      <c r="C3740" s="417" t="s">
        <v>9926</v>
      </c>
      <c r="D3740" s="417" t="s">
        <v>224</v>
      </c>
      <c r="E3740" s="423">
        <v>0.22372939963279409</v>
      </c>
      <c r="F3740" s="423">
        <v>3.2249447928619057E-2</v>
      </c>
      <c r="G3740" s="422">
        <v>566.1796563786728</v>
      </c>
      <c r="H3740" s="417" t="s">
        <v>2616</v>
      </c>
      <c r="I3740" s="417" t="s">
        <v>1392</v>
      </c>
      <c r="J3740" s="417" t="s">
        <v>8072</v>
      </c>
      <c r="K3740" s="417" t="s">
        <v>9927</v>
      </c>
      <c r="L3740" s="417"/>
      <c r="M3740" s="417" t="s">
        <v>28840</v>
      </c>
    </row>
    <row r="3741" spans="1:13" x14ac:dyDescent="0.25">
      <c r="A3741" s="417" t="s">
        <v>3385</v>
      </c>
      <c r="B3741" s="417" t="s">
        <v>3405</v>
      </c>
      <c r="C3741" s="417" t="s">
        <v>9928</v>
      </c>
      <c r="D3741" s="417" t="s">
        <v>224</v>
      </c>
      <c r="E3741" s="423">
        <v>0.86109097748510322</v>
      </c>
      <c r="F3741" s="423">
        <v>5.8112899664116639E-2</v>
      </c>
      <c r="G3741" s="422">
        <v>1079.817385535124</v>
      </c>
      <c r="H3741" s="417" t="s">
        <v>2616</v>
      </c>
      <c r="I3741" s="417" t="s">
        <v>1392</v>
      </c>
      <c r="J3741" s="417" t="s">
        <v>8072</v>
      </c>
      <c r="K3741" s="417" t="s">
        <v>9929</v>
      </c>
      <c r="L3741" s="417"/>
      <c r="M3741" s="417" t="s">
        <v>28840</v>
      </c>
    </row>
    <row r="3742" spans="1:13" x14ac:dyDescent="0.25">
      <c r="A3742" s="417" t="s">
        <v>3385</v>
      </c>
      <c r="B3742" s="417" t="s">
        <v>3405</v>
      </c>
      <c r="C3742" s="417" t="s">
        <v>9930</v>
      </c>
      <c r="D3742" s="417" t="s">
        <v>224</v>
      </c>
      <c r="E3742" s="423">
        <v>0.33632439671025821</v>
      </c>
      <c r="F3742" s="423">
        <v>1.4459174491511699E-2</v>
      </c>
      <c r="G3742" s="422">
        <v>474.24556100177813</v>
      </c>
      <c r="H3742" s="417" t="s">
        <v>2616</v>
      </c>
      <c r="I3742" s="417" t="s">
        <v>1392</v>
      </c>
      <c r="J3742" s="417" t="s">
        <v>8072</v>
      </c>
      <c r="K3742" s="417" t="s">
        <v>9931</v>
      </c>
      <c r="L3742" s="417"/>
      <c r="M3742" s="417" t="s">
        <v>28840</v>
      </c>
    </row>
    <row r="3743" spans="1:13" x14ac:dyDescent="0.25">
      <c r="A3743" s="417" t="s">
        <v>3385</v>
      </c>
      <c r="B3743" s="417" t="s">
        <v>3405</v>
      </c>
      <c r="C3743" s="417" t="s">
        <v>9932</v>
      </c>
      <c r="D3743" s="417" t="s">
        <v>224</v>
      </c>
      <c r="E3743" s="423">
        <v>0.57037756796649519</v>
      </c>
      <c r="F3743" s="423">
        <v>1.630552827598852E-3</v>
      </c>
      <c r="G3743" s="422">
        <v>732.31640063477948</v>
      </c>
      <c r="H3743" s="417" t="s">
        <v>2616</v>
      </c>
      <c r="I3743" s="417" t="s">
        <v>1392</v>
      </c>
      <c r="J3743" s="417" t="s">
        <v>8072</v>
      </c>
      <c r="K3743" s="417" t="s">
        <v>9933</v>
      </c>
      <c r="L3743" s="417"/>
      <c r="M3743" s="417" t="s">
        <v>28840</v>
      </c>
    </row>
    <row r="3744" spans="1:13" x14ac:dyDescent="0.25">
      <c r="A3744" s="417" t="s">
        <v>3385</v>
      </c>
      <c r="B3744" s="417" t="s">
        <v>3405</v>
      </c>
      <c r="C3744" s="417" t="s">
        <v>9934</v>
      </c>
      <c r="D3744" s="417" t="s">
        <v>224</v>
      </c>
      <c r="E3744" s="423">
        <v>0.96741106430836366</v>
      </c>
      <c r="F3744" s="423">
        <v>2.0190307313607159E-2</v>
      </c>
      <c r="G3744" s="422">
        <v>1495.562330959795</v>
      </c>
      <c r="H3744" s="417" t="s">
        <v>2616</v>
      </c>
      <c r="I3744" s="417" t="s">
        <v>1392</v>
      </c>
      <c r="J3744" s="417" t="s">
        <v>8072</v>
      </c>
      <c r="K3744" s="417" t="s">
        <v>9935</v>
      </c>
      <c r="L3744" s="417"/>
      <c r="M3744" s="417" t="s">
        <v>28840</v>
      </c>
    </row>
    <row r="3745" spans="1:13" x14ac:dyDescent="0.25">
      <c r="A3745" s="417" t="s">
        <v>3385</v>
      </c>
      <c r="B3745" s="417" t="s">
        <v>3405</v>
      </c>
      <c r="C3745" s="417" t="s">
        <v>9936</v>
      </c>
      <c r="D3745" s="417" t="s">
        <v>224</v>
      </c>
      <c r="E3745" s="423">
        <v>0.71899461512548901</v>
      </c>
      <c r="F3745" s="423">
        <v>2.425064127992085E-3</v>
      </c>
      <c r="G3745" s="422">
        <v>984.59960462327717</v>
      </c>
      <c r="H3745" s="417" t="s">
        <v>2616</v>
      </c>
      <c r="I3745" s="417" t="s">
        <v>1392</v>
      </c>
      <c r="J3745" s="417" t="s">
        <v>8072</v>
      </c>
      <c r="K3745" s="417" t="s">
        <v>9937</v>
      </c>
      <c r="L3745" s="417"/>
      <c r="M3745" s="417" t="s">
        <v>28840</v>
      </c>
    </row>
    <row r="3746" spans="1:13" x14ac:dyDescent="0.25">
      <c r="A3746" s="417" t="s">
        <v>3385</v>
      </c>
      <c r="B3746" s="417" t="s">
        <v>3405</v>
      </c>
      <c r="C3746" s="417" t="s">
        <v>9938</v>
      </c>
      <c r="D3746" s="417" t="s">
        <v>224</v>
      </c>
      <c r="E3746" s="423">
        <v>0.54930131296669604</v>
      </c>
      <c r="F3746" s="423">
        <v>2.7414796120779818E-3</v>
      </c>
      <c r="G3746" s="422">
        <v>740.58908980344893</v>
      </c>
      <c r="H3746" s="417" t="s">
        <v>2616</v>
      </c>
      <c r="I3746" s="417" t="s">
        <v>1392</v>
      </c>
      <c r="J3746" s="417" t="s">
        <v>8072</v>
      </c>
      <c r="K3746" s="417" t="s">
        <v>9939</v>
      </c>
      <c r="L3746" s="417"/>
      <c r="M3746" s="417" t="s">
        <v>28840</v>
      </c>
    </row>
    <row r="3747" spans="1:13" x14ac:dyDescent="0.25">
      <c r="A3747" s="417" t="s">
        <v>3385</v>
      </c>
      <c r="B3747" s="417" t="s">
        <v>3405</v>
      </c>
      <c r="C3747" s="417" t="s">
        <v>9940</v>
      </c>
      <c r="D3747" s="417" t="s">
        <v>224</v>
      </c>
      <c r="E3747" s="423">
        <v>3.3440729299592513E-2</v>
      </c>
      <c r="F3747" s="423">
        <v>9.7106587224238977E-5</v>
      </c>
      <c r="G3747" s="422">
        <v>77.374001310343985</v>
      </c>
      <c r="H3747" s="417" t="s">
        <v>2616</v>
      </c>
      <c r="I3747" s="417" t="s">
        <v>1392</v>
      </c>
      <c r="J3747" s="417" t="s">
        <v>8072</v>
      </c>
      <c r="K3747" s="417" t="s">
        <v>9941</v>
      </c>
      <c r="L3747" s="417"/>
      <c r="M3747" s="417" t="s">
        <v>28840</v>
      </c>
    </row>
    <row r="3748" spans="1:13" x14ac:dyDescent="0.25">
      <c r="A3748" s="417" t="s">
        <v>3385</v>
      </c>
      <c r="B3748" s="417" t="s">
        <v>3405</v>
      </c>
      <c r="C3748" s="417" t="s">
        <v>9942</v>
      </c>
      <c r="D3748" s="417" t="s">
        <v>224</v>
      </c>
      <c r="E3748" s="423">
        <v>0.36148342345520318</v>
      </c>
      <c r="F3748" s="423">
        <v>3.9105611657182369E-2</v>
      </c>
      <c r="G3748" s="422">
        <v>493.12714162249227</v>
      </c>
      <c r="H3748" s="417" t="s">
        <v>2616</v>
      </c>
      <c r="I3748" s="417" t="s">
        <v>1392</v>
      </c>
      <c r="J3748" s="417" t="s">
        <v>8072</v>
      </c>
      <c r="K3748" s="417" t="s">
        <v>9943</v>
      </c>
      <c r="L3748" s="417"/>
      <c r="M3748" s="417" t="s">
        <v>28840</v>
      </c>
    </row>
    <row r="3749" spans="1:13" x14ac:dyDescent="0.25">
      <c r="A3749" s="417" t="s">
        <v>3385</v>
      </c>
      <c r="B3749" s="417" t="s">
        <v>3405</v>
      </c>
      <c r="C3749" s="417" t="s">
        <v>9944</v>
      </c>
      <c r="D3749" s="417" t="s">
        <v>224</v>
      </c>
      <c r="E3749" s="423">
        <v>0.56936637760977926</v>
      </c>
      <c r="F3749" s="423">
        <v>3.3108236545394812E-2</v>
      </c>
      <c r="G3749" s="422">
        <v>827.3556857586492</v>
      </c>
      <c r="H3749" s="417" t="s">
        <v>2616</v>
      </c>
      <c r="I3749" s="417" t="s">
        <v>1392</v>
      </c>
      <c r="J3749" s="417" t="s">
        <v>8072</v>
      </c>
      <c r="K3749" s="417" t="s">
        <v>9945</v>
      </c>
      <c r="L3749" s="417"/>
      <c r="M3749" s="417" t="s">
        <v>28840</v>
      </c>
    </row>
    <row r="3750" spans="1:13" x14ac:dyDescent="0.25">
      <c r="A3750" s="417" t="s">
        <v>3385</v>
      </c>
      <c r="B3750" s="417" t="s">
        <v>3405</v>
      </c>
      <c r="C3750" s="417" t="s">
        <v>9946</v>
      </c>
      <c r="D3750" s="417" t="s">
        <v>224</v>
      </c>
      <c r="E3750" s="423">
        <v>0.55845213719762998</v>
      </c>
      <c r="F3750" s="423">
        <v>1.4683376960825639E-2</v>
      </c>
      <c r="G3750" s="422">
        <v>921.34717544393015</v>
      </c>
      <c r="H3750" s="417" t="s">
        <v>2616</v>
      </c>
      <c r="I3750" s="417" t="s">
        <v>1392</v>
      </c>
      <c r="J3750" s="417" t="s">
        <v>8072</v>
      </c>
      <c r="K3750" s="417" t="s">
        <v>9947</v>
      </c>
      <c r="L3750" s="417"/>
      <c r="M3750" s="417" t="s">
        <v>28840</v>
      </c>
    </row>
    <row r="3751" spans="1:13" x14ac:dyDescent="0.25">
      <c r="A3751" s="417" t="s">
        <v>3385</v>
      </c>
      <c r="B3751" s="417" t="s">
        <v>3405</v>
      </c>
      <c r="C3751" s="417" t="s">
        <v>9948</v>
      </c>
      <c r="D3751" s="417" t="s">
        <v>224</v>
      </c>
      <c r="E3751" s="423">
        <v>0.86690476795962212</v>
      </c>
      <c r="F3751" s="423">
        <v>2.6090974930548681E-3</v>
      </c>
      <c r="G3751" s="422">
        <v>1181.832504587569</v>
      </c>
      <c r="H3751" s="417" t="s">
        <v>2616</v>
      </c>
      <c r="I3751" s="417" t="s">
        <v>1392</v>
      </c>
      <c r="J3751" s="417" t="s">
        <v>8072</v>
      </c>
      <c r="K3751" s="417" t="s">
        <v>9949</v>
      </c>
      <c r="L3751" s="417"/>
      <c r="M3751" s="417" t="s">
        <v>28840</v>
      </c>
    </row>
    <row r="3752" spans="1:13" x14ac:dyDescent="0.25">
      <c r="A3752" s="417" t="s">
        <v>3385</v>
      </c>
      <c r="B3752" s="417" t="s">
        <v>3405</v>
      </c>
      <c r="C3752" s="417" t="s">
        <v>9950</v>
      </c>
      <c r="D3752" s="417" t="s">
        <v>224</v>
      </c>
      <c r="E3752" s="423">
        <v>0.13406552706611299</v>
      </c>
      <c r="F3752" s="423">
        <v>6.403041421103059E-2</v>
      </c>
      <c r="G3752" s="422">
        <v>253.34820745389661</v>
      </c>
      <c r="H3752" s="417" t="s">
        <v>2616</v>
      </c>
      <c r="I3752" s="417" t="s">
        <v>1392</v>
      </c>
      <c r="J3752" s="417" t="s">
        <v>8072</v>
      </c>
      <c r="K3752" s="417" t="s">
        <v>9951</v>
      </c>
      <c r="L3752" s="417"/>
      <c r="M3752" s="417" t="s">
        <v>28840</v>
      </c>
    </row>
    <row r="3753" spans="1:13" x14ac:dyDescent="0.25">
      <c r="A3753" s="417" t="s">
        <v>3385</v>
      </c>
      <c r="B3753" s="417" t="s">
        <v>3405</v>
      </c>
      <c r="C3753" s="417" t="s">
        <v>9952</v>
      </c>
      <c r="D3753" s="417" t="s">
        <v>224</v>
      </c>
      <c r="E3753" s="423">
        <v>0.28880021505697778</v>
      </c>
      <c r="F3753" s="423">
        <v>0.1054419310968213</v>
      </c>
      <c r="G3753" s="422">
        <v>527.11437615986551</v>
      </c>
      <c r="H3753" s="417" t="s">
        <v>2616</v>
      </c>
      <c r="I3753" s="417" t="s">
        <v>1392</v>
      </c>
      <c r="J3753" s="417" t="s">
        <v>8072</v>
      </c>
      <c r="K3753" s="417" t="s">
        <v>9953</v>
      </c>
      <c r="L3753" s="417"/>
      <c r="M3753" s="417" t="s">
        <v>28840</v>
      </c>
    </row>
    <row r="3754" spans="1:13" x14ac:dyDescent="0.25">
      <c r="A3754" s="417" t="s">
        <v>3385</v>
      </c>
      <c r="B3754" s="417" t="s">
        <v>3405</v>
      </c>
      <c r="C3754" s="417" t="s">
        <v>9954</v>
      </c>
      <c r="D3754" s="417" t="s">
        <v>224</v>
      </c>
      <c r="E3754" s="423">
        <v>0.13055500169543</v>
      </c>
      <c r="F3754" s="423">
        <v>8.4499617941099808E-2</v>
      </c>
      <c r="G3754" s="422">
        <v>219.88812098274349</v>
      </c>
      <c r="H3754" s="417" t="s">
        <v>2616</v>
      </c>
      <c r="I3754" s="417" t="s">
        <v>1392</v>
      </c>
      <c r="J3754" s="417" t="s">
        <v>8072</v>
      </c>
      <c r="K3754" s="417" t="s">
        <v>9955</v>
      </c>
      <c r="L3754" s="417"/>
      <c r="M3754" s="417" t="s">
        <v>28840</v>
      </c>
    </row>
    <row r="3755" spans="1:13" x14ac:dyDescent="0.25">
      <c r="A3755" s="417" t="s">
        <v>3385</v>
      </c>
      <c r="B3755" s="417" t="s">
        <v>3405</v>
      </c>
      <c r="C3755" s="417" t="s">
        <v>9956</v>
      </c>
      <c r="D3755" s="417" t="s">
        <v>224</v>
      </c>
      <c r="E3755" s="423">
        <v>0.86516995363942983</v>
      </c>
      <c r="F3755" s="423">
        <v>2.3167472835862492E-3</v>
      </c>
      <c r="G3755" s="422">
        <v>1058.9546523196559</v>
      </c>
      <c r="H3755" s="417" t="s">
        <v>2616</v>
      </c>
      <c r="I3755" s="417" t="s">
        <v>1392</v>
      </c>
      <c r="J3755" s="417" t="s">
        <v>8072</v>
      </c>
      <c r="K3755" s="417" t="s">
        <v>9957</v>
      </c>
      <c r="L3755" s="417"/>
      <c r="M3755" s="417" t="s">
        <v>28840</v>
      </c>
    </row>
    <row r="3756" spans="1:13" x14ac:dyDescent="0.25">
      <c r="A3756" s="417" t="s">
        <v>3385</v>
      </c>
      <c r="B3756" s="417" t="s">
        <v>3405</v>
      </c>
      <c r="C3756" s="417" t="s">
        <v>9958</v>
      </c>
      <c r="D3756" s="417" t="s">
        <v>224</v>
      </c>
      <c r="E3756" s="423">
        <v>0.71196633270074006</v>
      </c>
      <c r="F3756" s="423">
        <v>8.5408936153183405E-3</v>
      </c>
      <c r="G3756" s="422">
        <v>1126.358048346865</v>
      </c>
      <c r="H3756" s="417" t="s">
        <v>2616</v>
      </c>
      <c r="I3756" s="417" t="s">
        <v>1392</v>
      </c>
      <c r="J3756" s="417" t="s">
        <v>8072</v>
      </c>
      <c r="K3756" s="417" t="s">
        <v>9959</v>
      </c>
      <c r="L3756" s="417"/>
      <c r="M3756" s="417" t="s">
        <v>28840</v>
      </c>
    </row>
    <row r="3757" spans="1:13" x14ac:dyDescent="0.25">
      <c r="A3757" s="417" t="s">
        <v>3385</v>
      </c>
      <c r="B3757" s="417" t="s">
        <v>3405</v>
      </c>
      <c r="C3757" s="417" t="s">
        <v>9960</v>
      </c>
      <c r="D3757" s="417" t="s">
        <v>224</v>
      </c>
      <c r="E3757" s="423">
        <v>0.54918768829413223</v>
      </c>
      <c r="F3757" s="423">
        <v>9.5870101508831723E-3</v>
      </c>
      <c r="G3757" s="422">
        <v>771.7590360553304</v>
      </c>
      <c r="H3757" s="417" t="s">
        <v>2616</v>
      </c>
      <c r="I3757" s="417" t="s">
        <v>1392</v>
      </c>
      <c r="J3757" s="417" t="s">
        <v>8072</v>
      </c>
      <c r="K3757" s="417" t="s">
        <v>9961</v>
      </c>
      <c r="L3757" s="417"/>
      <c r="M3757" s="417" t="s">
        <v>28840</v>
      </c>
    </row>
    <row r="3758" spans="1:13" x14ac:dyDescent="0.25">
      <c r="A3758" s="417" t="s">
        <v>3385</v>
      </c>
      <c r="B3758" s="417" t="s">
        <v>3405</v>
      </c>
      <c r="C3758" s="417" t="s">
        <v>9962</v>
      </c>
      <c r="D3758" s="417" t="s">
        <v>224</v>
      </c>
      <c r="E3758" s="423">
        <v>0.76438285309603571</v>
      </c>
      <c r="F3758" s="423">
        <v>7.9084062170441376E-3</v>
      </c>
      <c r="G3758" s="422">
        <v>975.73513488463198</v>
      </c>
      <c r="H3758" s="417" t="s">
        <v>2616</v>
      </c>
      <c r="I3758" s="417" t="s">
        <v>1392</v>
      </c>
      <c r="J3758" s="417" t="s">
        <v>8072</v>
      </c>
      <c r="K3758" s="417" t="s">
        <v>9963</v>
      </c>
      <c r="L3758" s="417"/>
      <c r="M3758" s="417" t="s">
        <v>28840</v>
      </c>
    </row>
    <row r="3759" spans="1:13" x14ac:dyDescent="0.25">
      <c r="A3759" s="417" t="s">
        <v>3385</v>
      </c>
      <c r="B3759" s="417" t="s">
        <v>3405</v>
      </c>
      <c r="C3759" s="417" t="s">
        <v>9964</v>
      </c>
      <c r="D3759" s="417" t="s">
        <v>224</v>
      </c>
      <c r="E3759" s="423">
        <v>0.46857510915904349</v>
      </c>
      <c r="F3759" s="423">
        <v>2.195597567261474E-3</v>
      </c>
      <c r="G3759" s="422">
        <v>626.34000126007891</v>
      </c>
      <c r="H3759" s="417" t="s">
        <v>2616</v>
      </c>
      <c r="I3759" s="417" t="s">
        <v>1392</v>
      </c>
      <c r="J3759" s="417" t="s">
        <v>8072</v>
      </c>
      <c r="K3759" s="417" t="s">
        <v>9965</v>
      </c>
      <c r="L3759" s="417"/>
      <c r="M3759" s="417" t="s">
        <v>28840</v>
      </c>
    </row>
    <row r="3760" spans="1:13" x14ac:dyDescent="0.25">
      <c r="A3760" s="417" t="s">
        <v>3385</v>
      </c>
      <c r="B3760" s="417" t="s">
        <v>3405</v>
      </c>
      <c r="C3760" s="417" t="s">
        <v>9966</v>
      </c>
      <c r="D3760" s="417" t="s">
        <v>224</v>
      </c>
      <c r="E3760" s="423">
        <v>0.28638670787979359</v>
      </c>
      <c r="F3760" s="423">
        <v>4.0690884522157508E-2</v>
      </c>
      <c r="G3760" s="422">
        <v>422.7990307918833</v>
      </c>
      <c r="H3760" s="417" t="s">
        <v>2616</v>
      </c>
      <c r="I3760" s="417" t="s">
        <v>1392</v>
      </c>
      <c r="J3760" s="417" t="s">
        <v>8072</v>
      </c>
      <c r="K3760" s="417" t="s">
        <v>9967</v>
      </c>
      <c r="L3760" s="417"/>
      <c r="M3760" s="417" t="s">
        <v>28840</v>
      </c>
    </row>
    <row r="3761" spans="1:13" x14ac:dyDescent="0.25">
      <c r="A3761" s="417" t="s">
        <v>3385</v>
      </c>
      <c r="B3761" s="417" t="s">
        <v>3405</v>
      </c>
      <c r="C3761" s="417" t="s">
        <v>9968</v>
      </c>
      <c r="D3761" s="417" t="s">
        <v>224</v>
      </c>
      <c r="E3761" s="423">
        <v>4.7015919550812239E-2</v>
      </c>
      <c r="F3761" s="423">
        <v>3.9956328768582652E-4</v>
      </c>
      <c r="G3761" s="422">
        <v>97.908228059554119</v>
      </c>
      <c r="H3761" s="417" t="s">
        <v>2616</v>
      </c>
      <c r="I3761" s="417" t="s">
        <v>1392</v>
      </c>
      <c r="J3761" s="417" t="s">
        <v>8072</v>
      </c>
      <c r="K3761" s="417" t="s">
        <v>9969</v>
      </c>
      <c r="L3761" s="417"/>
      <c r="M3761" s="417" t="s">
        <v>28840</v>
      </c>
    </row>
    <row r="3762" spans="1:13" x14ac:dyDescent="0.25">
      <c r="A3762" s="417" t="s">
        <v>3385</v>
      </c>
      <c r="B3762" s="417" t="s">
        <v>3405</v>
      </c>
      <c r="C3762" s="417" t="s">
        <v>9970</v>
      </c>
      <c r="D3762" s="417" t="s">
        <v>224</v>
      </c>
      <c r="E3762" s="423">
        <v>6.2715169769547996E-2</v>
      </c>
      <c r="F3762" s="423">
        <v>4.6044650490590137E-2</v>
      </c>
      <c r="G3762" s="422">
        <v>231.22258835983851</v>
      </c>
      <c r="H3762" s="417" t="s">
        <v>2616</v>
      </c>
      <c r="I3762" s="417" t="s">
        <v>1392</v>
      </c>
      <c r="J3762" s="417" t="s">
        <v>8072</v>
      </c>
      <c r="K3762" s="417" t="s">
        <v>9971</v>
      </c>
      <c r="L3762" s="417"/>
      <c r="M3762" s="417" t="s">
        <v>28840</v>
      </c>
    </row>
    <row r="3763" spans="1:13" x14ac:dyDescent="0.25">
      <c r="A3763" s="417" t="s">
        <v>3385</v>
      </c>
      <c r="B3763" s="417" t="s">
        <v>3405</v>
      </c>
      <c r="C3763" s="417" t="s">
        <v>9972</v>
      </c>
      <c r="D3763" s="417" t="s">
        <v>224</v>
      </c>
      <c r="E3763" s="423">
        <v>0.1214022932671643</v>
      </c>
      <c r="F3763" s="423">
        <v>1.290976552360599E-2</v>
      </c>
      <c r="G3763" s="422">
        <v>258.84904937319368</v>
      </c>
      <c r="H3763" s="417" t="s">
        <v>2616</v>
      </c>
      <c r="I3763" s="417" t="s">
        <v>1392</v>
      </c>
      <c r="J3763" s="417" t="s">
        <v>8072</v>
      </c>
      <c r="K3763" s="417" t="s">
        <v>9973</v>
      </c>
      <c r="L3763" s="417"/>
      <c r="M3763" s="417" t="s">
        <v>28840</v>
      </c>
    </row>
    <row r="3764" spans="1:13" x14ac:dyDescent="0.25">
      <c r="A3764" s="417" t="s">
        <v>3385</v>
      </c>
      <c r="B3764" s="417" t="s">
        <v>3405</v>
      </c>
      <c r="C3764" s="417" t="s">
        <v>9974</v>
      </c>
      <c r="D3764" s="417" t="s">
        <v>224</v>
      </c>
      <c r="E3764" s="423">
        <v>0.27607081802034761</v>
      </c>
      <c r="F3764" s="423">
        <v>8.7511578472550967E-3</v>
      </c>
      <c r="G3764" s="422">
        <v>389.56497608981232</v>
      </c>
      <c r="H3764" s="417" t="s">
        <v>2616</v>
      </c>
      <c r="I3764" s="417" t="s">
        <v>1392</v>
      </c>
      <c r="J3764" s="417" t="s">
        <v>8072</v>
      </c>
      <c r="K3764" s="417" t="s">
        <v>9975</v>
      </c>
      <c r="L3764" s="417"/>
      <c r="M3764" s="417" t="s">
        <v>28840</v>
      </c>
    </row>
    <row r="3765" spans="1:13" x14ac:dyDescent="0.25">
      <c r="A3765" s="417" t="s">
        <v>3385</v>
      </c>
      <c r="B3765" s="417" t="s">
        <v>3405</v>
      </c>
      <c r="C3765" s="417" t="s">
        <v>9976</v>
      </c>
      <c r="D3765" s="417" t="s">
        <v>224</v>
      </c>
      <c r="E3765" s="423">
        <v>0.81535180360612991</v>
      </c>
      <c r="F3765" s="423">
        <v>1.168769334869404E-2</v>
      </c>
      <c r="G3765" s="422">
        <v>1019.906275264102</v>
      </c>
      <c r="H3765" s="417" t="s">
        <v>2616</v>
      </c>
      <c r="I3765" s="417" t="s">
        <v>1392</v>
      </c>
      <c r="J3765" s="417" t="s">
        <v>8072</v>
      </c>
      <c r="K3765" s="417" t="s">
        <v>9977</v>
      </c>
      <c r="L3765" s="417"/>
      <c r="M3765" s="417" t="s">
        <v>28840</v>
      </c>
    </row>
    <row r="3766" spans="1:13" x14ac:dyDescent="0.25">
      <c r="A3766" s="417" t="s">
        <v>3385</v>
      </c>
      <c r="B3766" s="417" t="s">
        <v>3405</v>
      </c>
      <c r="C3766" s="417" t="s">
        <v>9978</v>
      </c>
      <c r="D3766" s="417" t="s">
        <v>224</v>
      </c>
      <c r="E3766" s="423">
        <v>0.53773131271976826</v>
      </c>
      <c r="F3766" s="423">
        <v>1.154036683217681E-2</v>
      </c>
      <c r="G3766" s="422">
        <v>853.29156620218885</v>
      </c>
      <c r="H3766" s="417" t="s">
        <v>2616</v>
      </c>
      <c r="I3766" s="417" t="s">
        <v>1392</v>
      </c>
      <c r="J3766" s="417" t="s">
        <v>8072</v>
      </c>
      <c r="K3766" s="417" t="s">
        <v>9979</v>
      </c>
      <c r="L3766" s="417"/>
      <c r="M3766" s="417" t="s">
        <v>28840</v>
      </c>
    </row>
    <row r="3767" spans="1:13" x14ac:dyDescent="0.25">
      <c r="A3767" s="417" t="s">
        <v>3385</v>
      </c>
      <c r="B3767" s="417" t="s">
        <v>3405</v>
      </c>
      <c r="C3767" s="417" t="s">
        <v>9980</v>
      </c>
      <c r="D3767" s="417" t="s">
        <v>224</v>
      </c>
      <c r="E3767" s="423">
        <v>0.77041672960986052</v>
      </c>
      <c r="F3767" s="423">
        <v>3.8450882448431908E-2</v>
      </c>
      <c r="G3767" s="422">
        <v>1020.482731327275</v>
      </c>
      <c r="H3767" s="417" t="s">
        <v>2616</v>
      </c>
      <c r="I3767" s="417" t="s">
        <v>1392</v>
      </c>
      <c r="J3767" s="417" t="s">
        <v>8072</v>
      </c>
      <c r="K3767" s="417" t="s">
        <v>9981</v>
      </c>
      <c r="L3767" s="417"/>
      <c r="M3767" s="417" t="s">
        <v>28840</v>
      </c>
    </row>
    <row r="3768" spans="1:13" x14ac:dyDescent="0.25">
      <c r="A3768" s="417" t="s">
        <v>3385</v>
      </c>
      <c r="B3768" s="417" t="s">
        <v>3405</v>
      </c>
      <c r="C3768" s="417" t="s">
        <v>9982</v>
      </c>
      <c r="D3768" s="417" t="s">
        <v>224</v>
      </c>
      <c r="E3768" s="423">
        <v>0.1856338394335372</v>
      </c>
      <c r="F3768" s="423">
        <v>5.5563378549423642E-2</v>
      </c>
      <c r="G3768" s="422">
        <v>307.24693167045552</v>
      </c>
      <c r="H3768" s="417" t="s">
        <v>2616</v>
      </c>
      <c r="I3768" s="417" t="s">
        <v>1392</v>
      </c>
      <c r="J3768" s="417" t="s">
        <v>8072</v>
      </c>
      <c r="K3768" s="417" t="s">
        <v>9983</v>
      </c>
      <c r="L3768" s="417"/>
      <c r="M3768" s="417" t="s">
        <v>28840</v>
      </c>
    </row>
    <row r="3769" spans="1:13" x14ac:dyDescent="0.25">
      <c r="A3769" s="417" t="s">
        <v>3385</v>
      </c>
      <c r="B3769" s="417" t="s">
        <v>3405</v>
      </c>
      <c r="C3769" s="417" t="s">
        <v>9984</v>
      </c>
      <c r="D3769" s="417" t="s">
        <v>224</v>
      </c>
      <c r="E3769" s="423">
        <v>0.51359746916125615</v>
      </c>
      <c r="F3769" s="423">
        <v>1.3047907075567371E-3</v>
      </c>
      <c r="G3769" s="422">
        <v>664.91850374965315</v>
      </c>
      <c r="H3769" s="417" t="s">
        <v>2616</v>
      </c>
      <c r="I3769" s="417" t="s">
        <v>1392</v>
      </c>
      <c r="J3769" s="417" t="s">
        <v>8072</v>
      </c>
      <c r="K3769" s="417" t="s">
        <v>9985</v>
      </c>
      <c r="L3769" s="417"/>
      <c r="M3769" s="417" t="s">
        <v>28840</v>
      </c>
    </row>
    <row r="3770" spans="1:13" x14ac:dyDescent="0.25">
      <c r="A3770" s="417" t="s">
        <v>3385</v>
      </c>
      <c r="B3770" s="417" t="s">
        <v>3405</v>
      </c>
      <c r="C3770" s="417" t="s">
        <v>9986</v>
      </c>
      <c r="D3770" s="417" t="s">
        <v>224</v>
      </c>
      <c r="E3770" s="423">
        <v>0.69515672041388177</v>
      </c>
      <c r="F3770" s="423">
        <v>2.9474832458751652E-3</v>
      </c>
      <c r="G3770" s="422">
        <v>882.18646803966624</v>
      </c>
      <c r="H3770" s="417" t="s">
        <v>2616</v>
      </c>
      <c r="I3770" s="417" t="s">
        <v>1392</v>
      </c>
      <c r="J3770" s="417" t="s">
        <v>8072</v>
      </c>
      <c r="K3770" s="417" t="s">
        <v>9987</v>
      </c>
      <c r="L3770" s="417"/>
      <c r="M3770" s="417" t="s">
        <v>28840</v>
      </c>
    </row>
    <row r="3771" spans="1:13" x14ac:dyDescent="0.25">
      <c r="A3771" s="417" t="s">
        <v>3385</v>
      </c>
      <c r="B3771" s="417" t="s">
        <v>3405</v>
      </c>
      <c r="C3771" s="417" t="s">
        <v>9988</v>
      </c>
      <c r="D3771" s="417" t="s">
        <v>224</v>
      </c>
      <c r="E3771" s="423">
        <v>0.72513313603910434</v>
      </c>
      <c r="F3771" s="423">
        <v>1.8560189778034829E-2</v>
      </c>
      <c r="G3771" s="422">
        <v>1016.564347789515</v>
      </c>
      <c r="H3771" s="417" t="s">
        <v>2616</v>
      </c>
      <c r="I3771" s="417" t="s">
        <v>1392</v>
      </c>
      <c r="J3771" s="417" t="s">
        <v>8072</v>
      </c>
      <c r="K3771" s="417" t="s">
        <v>9989</v>
      </c>
      <c r="L3771" s="417"/>
      <c r="M3771" s="417" t="s">
        <v>28840</v>
      </c>
    </row>
    <row r="3772" spans="1:13" x14ac:dyDescent="0.25">
      <c r="A3772" s="417" t="s">
        <v>3385</v>
      </c>
      <c r="B3772" s="417" t="s">
        <v>3405</v>
      </c>
      <c r="C3772" s="417" t="s">
        <v>9990</v>
      </c>
      <c r="D3772" s="417" t="s">
        <v>224</v>
      </c>
      <c r="E3772" s="423">
        <v>0.31995007410805232</v>
      </c>
      <c r="F3772" s="423">
        <v>2.8895552524893779E-2</v>
      </c>
      <c r="G3772" s="422">
        <v>616.30106683458939</v>
      </c>
      <c r="H3772" s="417" t="s">
        <v>2616</v>
      </c>
      <c r="I3772" s="417" t="s">
        <v>1392</v>
      </c>
      <c r="J3772" s="417" t="s">
        <v>8072</v>
      </c>
      <c r="K3772" s="417" t="s">
        <v>9991</v>
      </c>
      <c r="L3772" s="417"/>
      <c r="M3772" s="417" t="s">
        <v>28840</v>
      </c>
    </row>
    <row r="3773" spans="1:13" x14ac:dyDescent="0.25">
      <c r="A3773" s="417" t="s">
        <v>3385</v>
      </c>
      <c r="B3773" s="417" t="s">
        <v>3405</v>
      </c>
      <c r="C3773" s="417" t="s">
        <v>9992</v>
      </c>
      <c r="D3773" s="417" t="s">
        <v>224</v>
      </c>
      <c r="E3773" s="423">
        <v>0.27216834942850432</v>
      </c>
      <c r="F3773" s="423">
        <v>4.1865303406991218E-2</v>
      </c>
      <c r="G3773" s="422">
        <v>420.13512569052273</v>
      </c>
      <c r="H3773" s="417" t="s">
        <v>2616</v>
      </c>
      <c r="I3773" s="417" t="s">
        <v>1392</v>
      </c>
      <c r="J3773" s="417" t="s">
        <v>8072</v>
      </c>
      <c r="K3773" s="417" t="s">
        <v>9993</v>
      </c>
      <c r="L3773" s="417"/>
      <c r="M3773" s="417" t="s">
        <v>28840</v>
      </c>
    </row>
    <row r="3774" spans="1:13" x14ac:dyDescent="0.25">
      <c r="A3774" s="417" t="s">
        <v>3385</v>
      </c>
      <c r="B3774" s="417" t="s">
        <v>3405</v>
      </c>
      <c r="C3774" s="417" t="s">
        <v>9994</v>
      </c>
      <c r="D3774" s="417" t="s">
        <v>224</v>
      </c>
      <c r="E3774" s="423">
        <v>0.6181343739877283</v>
      </c>
      <c r="F3774" s="423">
        <v>2.2723413499514049E-3</v>
      </c>
      <c r="G3774" s="422">
        <v>855.81040770406196</v>
      </c>
      <c r="H3774" s="417" t="s">
        <v>2616</v>
      </c>
      <c r="I3774" s="417" t="s">
        <v>1392</v>
      </c>
      <c r="J3774" s="417" t="s">
        <v>8072</v>
      </c>
      <c r="K3774" s="417" t="s">
        <v>9995</v>
      </c>
      <c r="L3774" s="417"/>
      <c r="M3774" s="417" t="s">
        <v>28840</v>
      </c>
    </row>
    <row r="3775" spans="1:13" x14ac:dyDescent="0.25">
      <c r="A3775" s="417" t="s">
        <v>3385</v>
      </c>
      <c r="B3775" s="417" t="s">
        <v>3405</v>
      </c>
      <c r="C3775" s="417" t="s">
        <v>9996</v>
      </c>
      <c r="D3775" s="417" t="s">
        <v>224</v>
      </c>
      <c r="E3775" s="423">
        <v>0.39040507055211371</v>
      </c>
      <c r="F3775" s="423">
        <v>9.4147771797469144E-3</v>
      </c>
      <c r="G3775" s="422">
        <v>630.53832445468106</v>
      </c>
      <c r="H3775" s="417" t="s">
        <v>2616</v>
      </c>
      <c r="I3775" s="417" t="s">
        <v>1392</v>
      </c>
      <c r="J3775" s="417" t="s">
        <v>8072</v>
      </c>
      <c r="K3775" s="417" t="s">
        <v>9997</v>
      </c>
      <c r="L3775" s="417"/>
      <c r="M3775" s="417" t="s">
        <v>28840</v>
      </c>
    </row>
    <row r="3776" spans="1:13" x14ac:dyDescent="0.25">
      <c r="A3776" s="417" t="s">
        <v>3385</v>
      </c>
      <c r="B3776" s="417" t="s">
        <v>3405</v>
      </c>
      <c r="C3776" s="417" t="s">
        <v>9998</v>
      </c>
      <c r="D3776" s="417" t="s">
        <v>224</v>
      </c>
      <c r="E3776" s="423">
        <v>0.29409238731383058</v>
      </c>
      <c r="F3776" s="423">
        <v>4.509804999704937E-3</v>
      </c>
      <c r="G3776" s="422">
        <v>538.02678425989654</v>
      </c>
      <c r="H3776" s="417" t="s">
        <v>2616</v>
      </c>
      <c r="I3776" s="417" t="s">
        <v>1392</v>
      </c>
      <c r="J3776" s="417" t="s">
        <v>8072</v>
      </c>
      <c r="K3776" s="417" t="s">
        <v>9999</v>
      </c>
      <c r="L3776" s="417"/>
      <c r="M3776" s="417" t="s">
        <v>28840</v>
      </c>
    </row>
    <row r="3777" spans="1:13" x14ac:dyDescent="0.25">
      <c r="A3777" s="417" t="s">
        <v>3385</v>
      </c>
      <c r="B3777" s="417" t="s">
        <v>3405</v>
      </c>
      <c r="C3777" s="417" t="s">
        <v>10000</v>
      </c>
      <c r="D3777" s="417" t="s">
        <v>224</v>
      </c>
      <c r="E3777" s="423">
        <v>0.81047549814935926</v>
      </c>
      <c r="F3777" s="423">
        <v>5.6867317168959293E-3</v>
      </c>
      <c r="G3777" s="422">
        <v>1130.969859796337</v>
      </c>
      <c r="H3777" s="417" t="s">
        <v>2616</v>
      </c>
      <c r="I3777" s="417" t="s">
        <v>1392</v>
      </c>
      <c r="J3777" s="417" t="s">
        <v>8072</v>
      </c>
      <c r="K3777" s="417" t="s">
        <v>10001</v>
      </c>
      <c r="L3777" s="417"/>
      <c r="M3777" s="417" t="s">
        <v>28840</v>
      </c>
    </row>
    <row r="3778" spans="1:13" x14ac:dyDescent="0.25">
      <c r="A3778" s="417" t="s">
        <v>3385</v>
      </c>
      <c r="B3778" s="417" t="s">
        <v>3405</v>
      </c>
      <c r="C3778" s="417" t="s">
        <v>10002</v>
      </c>
      <c r="D3778" s="417" t="s">
        <v>224</v>
      </c>
      <c r="E3778" s="423">
        <v>0.47364568694723991</v>
      </c>
      <c r="F3778" s="423">
        <v>2.63904397516317E-3</v>
      </c>
      <c r="G3778" s="422">
        <v>776.01086044641374</v>
      </c>
      <c r="H3778" s="417" t="s">
        <v>2616</v>
      </c>
      <c r="I3778" s="417" t="s">
        <v>1392</v>
      </c>
      <c r="J3778" s="417" t="s">
        <v>8072</v>
      </c>
      <c r="K3778" s="417" t="s">
        <v>10003</v>
      </c>
      <c r="L3778" s="417"/>
      <c r="M3778" s="417" t="s">
        <v>28840</v>
      </c>
    </row>
    <row r="3779" spans="1:13" x14ac:dyDescent="0.25">
      <c r="A3779" s="417" t="s">
        <v>3385</v>
      </c>
      <c r="B3779" s="417" t="s">
        <v>3405</v>
      </c>
      <c r="C3779" s="417" t="s">
        <v>10004</v>
      </c>
      <c r="D3779" s="417" t="s">
        <v>224</v>
      </c>
      <c r="E3779" s="423">
        <v>0.72421952877314877</v>
      </c>
      <c r="F3779" s="423">
        <v>2.201937929013761E-3</v>
      </c>
      <c r="G3779" s="422">
        <v>992.44368830596147</v>
      </c>
      <c r="H3779" s="417" t="s">
        <v>2616</v>
      </c>
      <c r="I3779" s="417" t="s">
        <v>1392</v>
      </c>
      <c r="J3779" s="417" t="s">
        <v>8072</v>
      </c>
      <c r="K3779" s="417" t="s">
        <v>10005</v>
      </c>
      <c r="L3779" s="417"/>
      <c r="M3779" s="417" t="s">
        <v>28840</v>
      </c>
    </row>
    <row r="3780" spans="1:13" x14ac:dyDescent="0.25">
      <c r="A3780" s="417" t="s">
        <v>3385</v>
      </c>
      <c r="B3780" s="417" t="s">
        <v>3405</v>
      </c>
      <c r="C3780" s="417" t="s">
        <v>10006</v>
      </c>
      <c r="D3780" s="417" t="s">
        <v>224</v>
      </c>
      <c r="E3780" s="423">
        <v>3.6794928376409609E-2</v>
      </c>
      <c r="F3780" s="423">
        <v>4.1624346763801993E-2</v>
      </c>
      <c r="G3780" s="422">
        <v>256.23198061734507</v>
      </c>
      <c r="H3780" s="417" t="s">
        <v>2616</v>
      </c>
      <c r="I3780" s="417" t="s">
        <v>1392</v>
      </c>
      <c r="J3780" s="417" t="s">
        <v>8072</v>
      </c>
      <c r="K3780" s="417" t="s">
        <v>10007</v>
      </c>
      <c r="L3780" s="417"/>
      <c r="M3780" s="417" t="s">
        <v>28840</v>
      </c>
    </row>
    <row r="3781" spans="1:13" x14ac:dyDescent="0.25">
      <c r="A3781" s="417" t="s">
        <v>3385</v>
      </c>
      <c r="B3781" s="417" t="s">
        <v>3405</v>
      </c>
      <c r="C3781" s="417" t="s">
        <v>10008</v>
      </c>
      <c r="D3781" s="417" t="s">
        <v>224</v>
      </c>
      <c r="E3781" s="423">
        <v>0.5662528612281521</v>
      </c>
      <c r="F3781" s="423">
        <v>8.0133711212070254E-3</v>
      </c>
      <c r="G3781" s="422">
        <v>805.36977082611247</v>
      </c>
      <c r="H3781" s="417" t="s">
        <v>2616</v>
      </c>
      <c r="I3781" s="417" t="s">
        <v>1392</v>
      </c>
      <c r="J3781" s="417" t="s">
        <v>8072</v>
      </c>
      <c r="K3781" s="417" t="s">
        <v>10009</v>
      </c>
      <c r="L3781" s="417"/>
      <c r="M3781" s="417" t="s">
        <v>28840</v>
      </c>
    </row>
    <row r="3782" spans="1:13" x14ac:dyDescent="0.25">
      <c r="A3782" s="417" t="s">
        <v>3385</v>
      </c>
      <c r="B3782" s="417" t="s">
        <v>3405</v>
      </c>
      <c r="C3782" s="417" t="s">
        <v>10010</v>
      </c>
      <c r="D3782" s="417" t="s">
        <v>224</v>
      </c>
      <c r="E3782" s="423">
        <v>0.2449229226446536</v>
      </c>
      <c r="F3782" s="423">
        <v>1.6604478330383171E-2</v>
      </c>
      <c r="G3782" s="422">
        <v>518.38526134954816</v>
      </c>
      <c r="H3782" s="417" t="s">
        <v>2616</v>
      </c>
      <c r="I3782" s="417" t="s">
        <v>1392</v>
      </c>
      <c r="J3782" s="417" t="s">
        <v>8072</v>
      </c>
      <c r="K3782" s="417" t="s">
        <v>10011</v>
      </c>
      <c r="L3782" s="417"/>
      <c r="M3782" s="417" t="s">
        <v>28840</v>
      </c>
    </row>
    <row r="3783" spans="1:13" x14ac:dyDescent="0.25">
      <c r="A3783" s="417" t="s">
        <v>3385</v>
      </c>
      <c r="B3783" s="417" t="s">
        <v>3405</v>
      </c>
      <c r="C3783" s="417" t="s">
        <v>10012</v>
      </c>
      <c r="D3783" s="417" t="s">
        <v>224</v>
      </c>
      <c r="E3783" s="423">
        <v>0.13494281900570079</v>
      </c>
      <c r="F3783" s="423">
        <v>4.3207798177856367E-2</v>
      </c>
      <c r="G3783" s="422">
        <v>617.25992587611518</v>
      </c>
      <c r="H3783" s="417" t="s">
        <v>2616</v>
      </c>
      <c r="I3783" s="417" t="s">
        <v>1392</v>
      </c>
      <c r="J3783" s="417" t="s">
        <v>8072</v>
      </c>
      <c r="K3783" s="417" t="s">
        <v>10013</v>
      </c>
      <c r="L3783" s="417"/>
      <c r="M3783" s="417" t="s">
        <v>28840</v>
      </c>
    </row>
    <row r="3784" spans="1:13" x14ac:dyDescent="0.25">
      <c r="A3784" s="417" t="s">
        <v>3385</v>
      </c>
      <c r="B3784" s="417" t="s">
        <v>3405</v>
      </c>
      <c r="C3784" s="417" t="s">
        <v>10014</v>
      </c>
      <c r="D3784" s="417" t="s">
        <v>224</v>
      </c>
      <c r="E3784" s="423">
        <v>0.61968877362924968</v>
      </c>
      <c r="F3784" s="423">
        <v>8.164375724244291E-2</v>
      </c>
      <c r="G3784" s="422">
        <v>893.5685115087299</v>
      </c>
      <c r="H3784" s="417" t="s">
        <v>2616</v>
      </c>
      <c r="I3784" s="417" t="s">
        <v>1392</v>
      </c>
      <c r="J3784" s="417" t="s">
        <v>8072</v>
      </c>
      <c r="K3784" s="417" t="s">
        <v>10015</v>
      </c>
      <c r="L3784" s="417"/>
      <c r="M3784" s="417" t="s">
        <v>28840</v>
      </c>
    </row>
    <row r="3785" spans="1:13" x14ac:dyDescent="0.25">
      <c r="A3785" s="417" t="s">
        <v>3385</v>
      </c>
      <c r="B3785" s="417" t="s">
        <v>3405</v>
      </c>
      <c r="C3785" s="417" t="s">
        <v>10016</v>
      </c>
      <c r="D3785" s="417" t="s">
        <v>224</v>
      </c>
      <c r="E3785" s="423">
        <v>0.51470712544019137</v>
      </c>
      <c r="F3785" s="423">
        <v>1.315794540803603E-3</v>
      </c>
      <c r="G3785" s="422">
        <v>668.20436374496728</v>
      </c>
      <c r="H3785" s="417" t="s">
        <v>2616</v>
      </c>
      <c r="I3785" s="417" t="s">
        <v>1392</v>
      </c>
      <c r="J3785" s="417" t="s">
        <v>8072</v>
      </c>
      <c r="K3785" s="417" t="s">
        <v>10017</v>
      </c>
      <c r="L3785" s="417"/>
      <c r="M3785" s="417" t="s">
        <v>28840</v>
      </c>
    </row>
    <row r="3786" spans="1:13" x14ac:dyDescent="0.25">
      <c r="A3786" s="417" t="s">
        <v>3385</v>
      </c>
      <c r="B3786" s="417" t="s">
        <v>3405</v>
      </c>
      <c r="C3786" s="417" t="s">
        <v>10018</v>
      </c>
      <c r="D3786" s="417" t="s">
        <v>224</v>
      </c>
      <c r="E3786" s="423">
        <v>0.5517515018691872</v>
      </c>
      <c r="F3786" s="423">
        <v>2.164466182017059E-2</v>
      </c>
      <c r="G3786" s="422">
        <v>721.85926060827785</v>
      </c>
      <c r="H3786" s="417" t="s">
        <v>2616</v>
      </c>
      <c r="I3786" s="417" t="s">
        <v>1392</v>
      </c>
      <c r="J3786" s="417" t="s">
        <v>8072</v>
      </c>
      <c r="K3786" s="417" t="s">
        <v>10019</v>
      </c>
      <c r="L3786" s="417"/>
      <c r="M3786" s="417" t="s">
        <v>28840</v>
      </c>
    </row>
    <row r="3787" spans="1:13" x14ac:dyDescent="0.25">
      <c r="A3787" s="417" t="s">
        <v>3385</v>
      </c>
      <c r="B3787" s="417" t="s">
        <v>3405</v>
      </c>
      <c r="C3787" s="417" t="s">
        <v>10020</v>
      </c>
      <c r="D3787" s="417" t="s">
        <v>224</v>
      </c>
      <c r="E3787" s="423">
        <v>0.67165276735659918</v>
      </c>
      <c r="F3787" s="423">
        <v>3.593789795739663E-3</v>
      </c>
      <c r="G3787" s="422">
        <v>930.89287306967196</v>
      </c>
      <c r="H3787" s="417" t="s">
        <v>2616</v>
      </c>
      <c r="I3787" s="417" t="s">
        <v>1392</v>
      </c>
      <c r="J3787" s="417" t="s">
        <v>8072</v>
      </c>
      <c r="K3787" s="417" t="s">
        <v>10021</v>
      </c>
      <c r="L3787" s="417"/>
      <c r="M3787" s="417" t="s">
        <v>28840</v>
      </c>
    </row>
    <row r="3788" spans="1:13" x14ac:dyDescent="0.25">
      <c r="A3788" s="417" t="s">
        <v>3385</v>
      </c>
      <c r="B3788" s="417" t="s">
        <v>3405</v>
      </c>
      <c r="C3788" s="417" t="s">
        <v>10022</v>
      </c>
      <c r="D3788" s="417" t="s">
        <v>224</v>
      </c>
      <c r="E3788" s="423">
        <v>0.39613913098268888</v>
      </c>
      <c r="F3788" s="423">
        <v>6.8231972358920156E-3</v>
      </c>
      <c r="G3788" s="422">
        <v>527.65500822512183</v>
      </c>
      <c r="H3788" s="417" t="s">
        <v>2616</v>
      </c>
      <c r="I3788" s="417" t="s">
        <v>1392</v>
      </c>
      <c r="J3788" s="417" t="s">
        <v>8072</v>
      </c>
      <c r="K3788" s="417" t="s">
        <v>10023</v>
      </c>
      <c r="L3788" s="417"/>
      <c r="M3788" s="417" t="s">
        <v>28840</v>
      </c>
    </row>
    <row r="3789" spans="1:13" x14ac:dyDescent="0.25">
      <c r="A3789" s="417" t="s">
        <v>3385</v>
      </c>
      <c r="B3789" s="417" t="s">
        <v>3405</v>
      </c>
      <c r="C3789" s="417" t="s">
        <v>10024</v>
      </c>
      <c r="D3789" s="417" t="s">
        <v>224</v>
      </c>
      <c r="E3789" s="423">
        <v>0.32042451455931598</v>
      </c>
      <c r="F3789" s="423">
        <v>1.02174180031039E-2</v>
      </c>
      <c r="G3789" s="422">
        <v>743.55655378743518</v>
      </c>
      <c r="H3789" s="417" t="s">
        <v>2616</v>
      </c>
      <c r="I3789" s="417" t="s">
        <v>1392</v>
      </c>
      <c r="J3789" s="417" t="s">
        <v>8072</v>
      </c>
      <c r="K3789" s="417" t="s">
        <v>10025</v>
      </c>
      <c r="L3789" s="417"/>
      <c r="M3789" s="417" t="s">
        <v>28840</v>
      </c>
    </row>
    <row r="3790" spans="1:13" x14ac:dyDescent="0.25">
      <c r="A3790" s="417" t="s">
        <v>3385</v>
      </c>
      <c r="B3790" s="417" t="s">
        <v>3405</v>
      </c>
      <c r="C3790" s="417" t="s">
        <v>10026</v>
      </c>
      <c r="D3790" s="417" t="s">
        <v>224</v>
      </c>
      <c r="E3790" s="423">
        <v>0.42444466973878942</v>
      </c>
      <c r="F3790" s="423">
        <v>9.0853999673490369E-3</v>
      </c>
      <c r="G3790" s="422">
        <v>676.10948389811369</v>
      </c>
      <c r="H3790" s="417" t="s">
        <v>2616</v>
      </c>
      <c r="I3790" s="417" t="s">
        <v>1392</v>
      </c>
      <c r="J3790" s="417" t="s">
        <v>8072</v>
      </c>
      <c r="K3790" s="417" t="s">
        <v>10027</v>
      </c>
      <c r="L3790" s="417"/>
      <c r="M3790" s="417" t="s">
        <v>28840</v>
      </c>
    </row>
    <row r="3791" spans="1:13" x14ac:dyDescent="0.25">
      <c r="A3791" s="417" t="s">
        <v>3385</v>
      </c>
      <c r="B3791" s="417" t="s">
        <v>3405</v>
      </c>
      <c r="C3791" s="417" t="s">
        <v>10028</v>
      </c>
      <c r="D3791" s="417" t="s">
        <v>224</v>
      </c>
      <c r="E3791" s="423">
        <v>0.53814495498350756</v>
      </c>
      <c r="F3791" s="423">
        <v>1.025392012963541E-2</v>
      </c>
      <c r="G3791" s="422">
        <v>690.40311844860685</v>
      </c>
      <c r="H3791" s="417" t="s">
        <v>2616</v>
      </c>
      <c r="I3791" s="417" t="s">
        <v>1392</v>
      </c>
      <c r="J3791" s="417" t="s">
        <v>8072</v>
      </c>
      <c r="K3791" s="417" t="s">
        <v>10029</v>
      </c>
      <c r="L3791" s="417"/>
      <c r="M3791" s="417" t="s">
        <v>28840</v>
      </c>
    </row>
    <row r="3792" spans="1:13" x14ac:dyDescent="0.25">
      <c r="A3792" s="417" t="s">
        <v>3385</v>
      </c>
      <c r="B3792" s="417" t="s">
        <v>3405</v>
      </c>
      <c r="C3792" s="417" t="s">
        <v>10030</v>
      </c>
      <c r="D3792" s="417" t="s">
        <v>224</v>
      </c>
      <c r="E3792" s="423">
        <v>1.0261307690016179</v>
      </c>
      <c r="F3792" s="423">
        <v>4.9719786368698201E-3</v>
      </c>
      <c r="G3792" s="422">
        <v>1263.3911556263699</v>
      </c>
      <c r="H3792" s="417" t="s">
        <v>2616</v>
      </c>
      <c r="I3792" s="417" t="s">
        <v>1392</v>
      </c>
      <c r="J3792" s="417" t="s">
        <v>8072</v>
      </c>
      <c r="K3792" s="417" t="s">
        <v>10031</v>
      </c>
      <c r="L3792" s="417"/>
      <c r="M3792" s="417" t="s">
        <v>28840</v>
      </c>
    </row>
    <row r="3793" spans="1:13" x14ac:dyDescent="0.25">
      <c r="A3793" s="417" t="s">
        <v>3385</v>
      </c>
      <c r="B3793" s="417" t="s">
        <v>3405</v>
      </c>
      <c r="C3793" s="417" t="s">
        <v>10032</v>
      </c>
      <c r="D3793" s="417" t="s">
        <v>224</v>
      </c>
      <c r="E3793" s="423">
        <v>2.9362175433839489E-2</v>
      </c>
      <c r="F3793" s="423">
        <v>1.221039906537918E-3</v>
      </c>
      <c r="G3793" s="422">
        <v>119.09966243087069</v>
      </c>
      <c r="H3793" s="417" t="s">
        <v>2616</v>
      </c>
      <c r="I3793" s="417" t="s">
        <v>1392</v>
      </c>
      <c r="J3793" s="417" t="s">
        <v>8063</v>
      </c>
      <c r="K3793" s="417" t="s">
        <v>10033</v>
      </c>
      <c r="L3793" s="417"/>
      <c r="M3793" s="417" t="s">
        <v>28840</v>
      </c>
    </row>
    <row r="3794" spans="1:13" x14ac:dyDescent="0.25">
      <c r="A3794" s="417" t="s">
        <v>3385</v>
      </c>
      <c r="B3794" s="417" t="s">
        <v>3405</v>
      </c>
      <c r="C3794" s="417" t="s">
        <v>10034</v>
      </c>
      <c r="D3794" s="417" t="s">
        <v>224</v>
      </c>
      <c r="E3794" s="423">
        <v>3.7104283159870223E-2</v>
      </c>
      <c r="F3794" s="423">
        <v>2.1303934908024499E-3</v>
      </c>
      <c r="G3794" s="422">
        <v>135.95325957354211</v>
      </c>
      <c r="H3794" s="417" t="s">
        <v>2616</v>
      </c>
      <c r="I3794" s="417" t="s">
        <v>1392</v>
      </c>
      <c r="J3794" s="417" t="s">
        <v>8063</v>
      </c>
      <c r="K3794" s="417" t="s">
        <v>10035</v>
      </c>
      <c r="L3794" s="417"/>
      <c r="M3794" s="417" t="s">
        <v>28840</v>
      </c>
    </row>
    <row r="3795" spans="1:13" x14ac:dyDescent="0.25">
      <c r="A3795" s="417" t="s">
        <v>3385</v>
      </c>
      <c r="B3795" s="417" t="s">
        <v>3405</v>
      </c>
      <c r="C3795" s="417" t="s">
        <v>10036</v>
      </c>
      <c r="D3795" s="417" t="s">
        <v>224</v>
      </c>
      <c r="E3795" s="423">
        <v>3.9771784830097447E-2</v>
      </c>
      <c r="F3795" s="423">
        <v>1.8935597969038159E-3</v>
      </c>
      <c r="G3795" s="422">
        <v>142.90438831280241</v>
      </c>
      <c r="H3795" s="417" t="s">
        <v>2616</v>
      </c>
      <c r="I3795" s="417" t="s">
        <v>1392</v>
      </c>
      <c r="J3795" s="417" t="s">
        <v>8063</v>
      </c>
      <c r="K3795" s="417" t="s">
        <v>10037</v>
      </c>
      <c r="L3795" s="417"/>
      <c r="M3795" s="417" t="s">
        <v>28840</v>
      </c>
    </row>
    <row r="3796" spans="1:13" x14ac:dyDescent="0.25">
      <c r="A3796" s="417" t="s">
        <v>3385</v>
      </c>
      <c r="B3796" s="417" t="s">
        <v>3405</v>
      </c>
      <c r="C3796" s="417" t="s">
        <v>10038</v>
      </c>
      <c r="D3796" s="417" t="s">
        <v>224</v>
      </c>
      <c r="E3796" s="423">
        <v>3.9473330875846063E-2</v>
      </c>
      <c r="F3796" s="423">
        <v>1.889403040106668E-3</v>
      </c>
      <c r="G3796" s="422">
        <v>140.53104601763579</v>
      </c>
      <c r="H3796" s="417" t="s">
        <v>2616</v>
      </c>
      <c r="I3796" s="417" t="s">
        <v>1392</v>
      </c>
      <c r="J3796" s="417" t="s">
        <v>8063</v>
      </c>
      <c r="K3796" s="417" t="s">
        <v>10039</v>
      </c>
      <c r="L3796" s="417"/>
      <c r="M3796" s="417" t="s">
        <v>28840</v>
      </c>
    </row>
    <row r="3797" spans="1:13" x14ac:dyDescent="0.25">
      <c r="A3797" s="417" t="s">
        <v>3385</v>
      </c>
      <c r="B3797" s="417" t="s">
        <v>3405</v>
      </c>
      <c r="C3797" s="417" t="s">
        <v>10040</v>
      </c>
      <c r="D3797" s="417" t="s">
        <v>224</v>
      </c>
      <c r="E3797" s="423">
        <v>5.4753421742652457E-2</v>
      </c>
      <c r="F3797" s="423">
        <v>2.6035675702546731E-3</v>
      </c>
      <c r="G3797" s="422">
        <v>182.16580738991351</v>
      </c>
      <c r="H3797" s="417" t="s">
        <v>2616</v>
      </c>
      <c r="I3797" s="417" t="s">
        <v>1392</v>
      </c>
      <c r="J3797" s="417" t="s">
        <v>8063</v>
      </c>
      <c r="K3797" s="417" t="s">
        <v>10041</v>
      </c>
      <c r="L3797" s="417"/>
      <c r="M3797" s="417" t="s">
        <v>28840</v>
      </c>
    </row>
    <row r="3798" spans="1:13" x14ac:dyDescent="0.25">
      <c r="A3798" s="417" t="s">
        <v>3385</v>
      </c>
      <c r="B3798" s="417" t="s">
        <v>3405</v>
      </c>
      <c r="C3798" s="417" t="s">
        <v>10042</v>
      </c>
      <c r="D3798" s="417" t="s">
        <v>224</v>
      </c>
      <c r="E3798" s="423">
        <v>4.72019531612657E-2</v>
      </c>
      <c r="F3798" s="423">
        <v>2.178726141938992E-3</v>
      </c>
      <c r="G3798" s="422">
        <v>181.79656798862939</v>
      </c>
      <c r="H3798" s="417" t="s">
        <v>2616</v>
      </c>
      <c r="I3798" s="417" t="s">
        <v>1392</v>
      </c>
      <c r="J3798" s="417" t="s">
        <v>8063</v>
      </c>
      <c r="K3798" s="417" t="s">
        <v>10043</v>
      </c>
      <c r="L3798" s="417"/>
      <c r="M3798" s="417" t="s">
        <v>28840</v>
      </c>
    </row>
    <row r="3799" spans="1:13" x14ac:dyDescent="0.25">
      <c r="A3799" s="417" t="s">
        <v>3385</v>
      </c>
      <c r="B3799" s="417" t="s">
        <v>3405</v>
      </c>
      <c r="C3799" s="417" t="s">
        <v>10044</v>
      </c>
      <c r="D3799" s="417" t="s">
        <v>224</v>
      </c>
      <c r="E3799" s="423">
        <v>6.327727600853407E-2</v>
      </c>
      <c r="F3799" s="423">
        <v>2.1737938958137229E-3</v>
      </c>
      <c r="G3799" s="422">
        <v>175.50244411099689</v>
      </c>
      <c r="H3799" s="417" t="s">
        <v>2616</v>
      </c>
      <c r="I3799" s="417" t="s">
        <v>1392</v>
      </c>
      <c r="J3799" s="417" t="s">
        <v>8063</v>
      </c>
      <c r="K3799" s="417" t="s">
        <v>10045</v>
      </c>
      <c r="L3799" s="417"/>
      <c r="M3799" s="417" t="s">
        <v>28840</v>
      </c>
    </row>
    <row r="3800" spans="1:13" x14ac:dyDescent="0.25">
      <c r="A3800" s="417" t="s">
        <v>3385</v>
      </c>
      <c r="B3800" s="417" t="s">
        <v>3405</v>
      </c>
      <c r="C3800" s="417" t="s">
        <v>10046</v>
      </c>
      <c r="D3800" s="417" t="s">
        <v>224</v>
      </c>
      <c r="E3800" s="423">
        <v>2.9528470969664641E-2</v>
      </c>
      <c r="F3800" s="423">
        <v>1.2183790973621059E-3</v>
      </c>
      <c r="G3800" s="422">
        <v>118.5203999943147</v>
      </c>
      <c r="H3800" s="417" t="s">
        <v>2616</v>
      </c>
      <c r="I3800" s="417" t="s">
        <v>1392</v>
      </c>
      <c r="J3800" s="417" t="s">
        <v>8063</v>
      </c>
      <c r="K3800" s="417" t="s">
        <v>10047</v>
      </c>
      <c r="L3800" s="417"/>
      <c r="M3800" s="417" t="s">
        <v>28840</v>
      </c>
    </row>
    <row r="3801" spans="1:13" x14ac:dyDescent="0.25">
      <c r="A3801" s="417" t="s">
        <v>3385</v>
      </c>
      <c r="B3801" s="417" t="s">
        <v>3405</v>
      </c>
      <c r="C3801" s="417" t="s">
        <v>10048</v>
      </c>
      <c r="D3801" s="417" t="s">
        <v>224</v>
      </c>
      <c r="E3801" s="423">
        <v>3.9771784830097447E-2</v>
      </c>
      <c r="F3801" s="423">
        <v>1.8935597969038159E-3</v>
      </c>
      <c r="G3801" s="422">
        <v>142.90438831280241</v>
      </c>
      <c r="H3801" s="417" t="s">
        <v>2616</v>
      </c>
      <c r="I3801" s="417" t="s">
        <v>1392</v>
      </c>
      <c r="J3801" s="417" t="s">
        <v>8063</v>
      </c>
      <c r="K3801" s="417" t="s">
        <v>10049</v>
      </c>
      <c r="L3801" s="417"/>
      <c r="M3801" s="417" t="s">
        <v>28840</v>
      </c>
    </row>
    <row r="3802" spans="1:13" x14ac:dyDescent="0.25">
      <c r="A3802" s="417" t="s">
        <v>3385</v>
      </c>
      <c r="B3802" s="417" t="s">
        <v>3405</v>
      </c>
      <c r="C3802" s="417" t="s">
        <v>10050</v>
      </c>
      <c r="D3802" s="417" t="s">
        <v>224</v>
      </c>
      <c r="E3802" s="423">
        <v>6.065213559686055E-2</v>
      </c>
      <c r="F3802" s="423">
        <v>1.5679804599515498E-2</v>
      </c>
      <c r="G3802" s="422">
        <v>738.9324853192054</v>
      </c>
      <c r="H3802" s="417" t="s">
        <v>2616</v>
      </c>
      <c r="I3802" s="417" t="s">
        <v>1392</v>
      </c>
      <c r="J3802" s="417" t="s">
        <v>7898</v>
      </c>
      <c r="K3802" s="417" t="s">
        <v>10051</v>
      </c>
      <c r="L3802" s="417"/>
      <c r="M3802" s="417" t="s">
        <v>28840</v>
      </c>
    </row>
    <row r="3803" spans="1:13" x14ac:dyDescent="0.25">
      <c r="A3803" s="417" t="s">
        <v>3385</v>
      </c>
      <c r="B3803" s="417" t="s">
        <v>3405</v>
      </c>
      <c r="C3803" s="417" t="s">
        <v>10052</v>
      </c>
      <c r="D3803" s="417" t="s">
        <v>224</v>
      </c>
      <c r="E3803" s="423">
        <v>0.54158614965947471</v>
      </c>
      <c r="F3803" s="423">
        <v>1.5797989718585989E-3</v>
      </c>
      <c r="G3803" s="422">
        <v>870.28808244132438</v>
      </c>
      <c r="H3803" s="417" t="s">
        <v>2616</v>
      </c>
      <c r="I3803" s="417" t="s">
        <v>1392</v>
      </c>
      <c r="J3803" s="417" t="s">
        <v>7898</v>
      </c>
      <c r="K3803" s="417" t="s">
        <v>10053</v>
      </c>
      <c r="L3803" s="417"/>
      <c r="M3803" s="417" t="s">
        <v>28840</v>
      </c>
    </row>
    <row r="3804" spans="1:13" x14ac:dyDescent="0.25">
      <c r="A3804" s="417" t="s">
        <v>3385</v>
      </c>
      <c r="B3804" s="417" t="s">
        <v>3405</v>
      </c>
      <c r="C3804" s="417" t="s">
        <v>10054</v>
      </c>
      <c r="D3804" s="417" t="s">
        <v>224</v>
      </c>
      <c r="E3804" s="423">
        <v>4.0502394738666452E-2</v>
      </c>
      <c r="F3804" s="423">
        <v>3.101851051910362E-2</v>
      </c>
      <c r="G3804" s="422">
        <v>700.51940445070034</v>
      </c>
      <c r="H3804" s="417" t="s">
        <v>2616</v>
      </c>
      <c r="I3804" s="417" t="s">
        <v>1392</v>
      </c>
      <c r="J3804" s="417" t="s">
        <v>7898</v>
      </c>
      <c r="K3804" s="417" t="s">
        <v>10055</v>
      </c>
      <c r="L3804" s="417"/>
      <c r="M3804" s="417" t="s">
        <v>28840</v>
      </c>
    </row>
    <row r="3805" spans="1:13" x14ac:dyDescent="0.25">
      <c r="A3805" s="417" t="s">
        <v>3385</v>
      </c>
      <c r="B3805" s="417" t="s">
        <v>3405</v>
      </c>
      <c r="C3805" s="417" t="s">
        <v>10056</v>
      </c>
      <c r="D3805" s="417" t="s">
        <v>224</v>
      </c>
      <c r="E3805" s="423">
        <v>9.933447268065259E-3</v>
      </c>
      <c r="F3805" s="423">
        <v>1.336137174317357E-3</v>
      </c>
      <c r="G3805" s="422">
        <v>86.409875349908987</v>
      </c>
      <c r="H3805" s="417" t="s">
        <v>2616</v>
      </c>
      <c r="I3805" s="417" t="s">
        <v>1392</v>
      </c>
      <c r="J3805" s="417" t="s">
        <v>7898</v>
      </c>
      <c r="K3805" s="417" t="s">
        <v>10057</v>
      </c>
      <c r="L3805" s="417"/>
      <c r="M3805" s="417" t="s">
        <v>28840</v>
      </c>
    </row>
    <row r="3806" spans="1:13" x14ac:dyDescent="0.25">
      <c r="A3806" s="417" t="s">
        <v>3385</v>
      </c>
      <c r="B3806" s="417" t="s">
        <v>3405</v>
      </c>
      <c r="C3806" s="417" t="s">
        <v>10058</v>
      </c>
      <c r="D3806" s="417" t="s">
        <v>224</v>
      </c>
      <c r="E3806" s="423">
        <v>2.3301114342093011E-2</v>
      </c>
      <c r="F3806" s="423">
        <v>1.1613531634274799E-2</v>
      </c>
      <c r="G3806" s="422">
        <v>210.86160439589031</v>
      </c>
      <c r="H3806" s="417" t="s">
        <v>2616</v>
      </c>
      <c r="I3806" s="417" t="s">
        <v>1392</v>
      </c>
      <c r="J3806" s="417" t="s">
        <v>7898</v>
      </c>
      <c r="K3806" s="417" t="s">
        <v>10059</v>
      </c>
      <c r="L3806" s="417"/>
      <c r="M3806" s="417" t="s">
        <v>28840</v>
      </c>
    </row>
    <row r="3807" spans="1:13" x14ac:dyDescent="0.25">
      <c r="A3807" s="417" t="s">
        <v>3385</v>
      </c>
      <c r="B3807" s="417" t="s">
        <v>3405</v>
      </c>
      <c r="C3807" s="417" t="s">
        <v>10060</v>
      </c>
      <c r="D3807" s="417" t="s">
        <v>224</v>
      </c>
      <c r="E3807" s="423">
        <v>1.047656224428975E-2</v>
      </c>
      <c r="F3807" s="423">
        <v>8.8781317779741842E-3</v>
      </c>
      <c r="G3807" s="422">
        <v>62.952498826309537</v>
      </c>
      <c r="H3807" s="417" t="s">
        <v>2616</v>
      </c>
      <c r="I3807" s="417" t="s">
        <v>1392</v>
      </c>
      <c r="J3807" s="417" t="s">
        <v>7898</v>
      </c>
      <c r="K3807" s="417" t="s">
        <v>10061</v>
      </c>
      <c r="L3807" s="417"/>
      <c r="M3807" s="417" t="s">
        <v>28840</v>
      </c>
    </row>
    <row r="3808" spans="1:13" x14ac:dyDescent="0.25">
      <c r="A3808" s="417" t="s">
        <v>3385</v>
      </c>
      <c r="B3808" s="417" t="s">
        <v>3405</v>
      </c>
      <c r="C3808" s="417" t="s">
        <v>10062</v>
      </c>
      <c r="D3808" s="417" t="s">
        <v>224</v>
      </c>
      <c r="E3808" s="423">
        <v>0.33627467355292101</v>
      </c>
      <c r="F3808" s="423">
        <v>0.62040092292990001</v>
      </c>
      <c r="G3808" s="422">
        <v>478.0369318309198</v>
      </c>
      <c r="H3808" s="417" t="s">
        <v>2616</v>
      </c>
      <c r="I3808" s="417" t="s">
        <v>1392</v>
      </c>
      <c r="J3808" s="417" t="s">
        <v>8063</v>
      </c>
      <c r="K3808" s="417" t="s">
        <v>10063</v>
      </c>
      <c r="L3808" s="417"/>
      <c r="M3808" s="417" t="s">
        <v>28840</v>
      </c>
    </row>
    <row r="3809" spans="1:13" x14ac:dyDescent="0.25">
      <c r="A3809" s="417" t="s">
        <v>3385</v>
      </c>
      <c r="B3809" s="417" t="s">
        <v>3405</v>
      </c>
      <c r="C3809" s="417" t="s">
        <v>10064</v>
      </c>
      <c r="D3809" s="417" t="s">
        <v>224</v>
      </c>
      <c r="E3809" s="423">
        <v>0.4985121132720407</v>
      </c>
      <c r="F3809" s="423">
        <v>1.0367554621310341E-3</v>
      </c>
      <c r="G3809" s="422">
        <v>610.66710421633331</v>
      </c>
      <c r="H3809" s="417" t="s">
        <v>2616</v>
      </c>
      <c r="I3809" s="417" t="s">
        <v>1392</v>
      </c>
      <c r="J3809" s="417" t="s">
        <v>8253</v>
      </c>
      <c r="K3809" s="417" t="s">
        <v>10065</v>
      </c>
      <c r="L3809" s="417"/>
      <c r="M3809" s="417" t="s">
        <v>28840</v>
      </c>
    </row>
    <row r="3810" spans="1:13" x14ac:dyDescent="0.25">
      <c r="A3810" s="417" t="s">
        <v>3385</v>
      </c>
      <c r="B3810" s="417" t="s">
        <v>3405</v>
      </c>
      <c r="C3810" s="417" t="s">
        <v>10066</v>
      </c>
      <c r="D3810" s="417" t="s">
        <v>224</v>
      </c>
      <c r="E3810" s="423">
        <v>0.38168267463618932</v>
      </c>
      <c r="F3810" s="423">
        <v>1.6236369763014749E-3</v>
      </c>
      <c r="G3810" s="422">
        <v>476.28930946384992</v>
      </c>
      <c r="H3810" s="417" t="s">
        <v>2616</v>
      </c>
      <c r="I3810" s="417" t="s">
        <v>1392</v>
      </c>
      <c r="J3810" s="417" t="s">
        <v>8253</v>
      </c>
      <c r="K3810" s="417" t="s">
        <v>10067</v>
      </c>
      <c r="L3810" s="417"/>
      <c r="M3810" s="417" t="s">
        <v>28840</v>
      </c>
    </row>
    <row r="3811" spans="1:13" x14ac:dyDescent="0.25">
      <c r="A3811" s="417" t="s">
        <v>3385</v>
      </c>
      <c r="B3811" s="417" t="s">
        <v>3405</v>
      </c>
      <c r="C3811" s="417" t="s">
        <v>10068</v>
      </c>
      <c r="D3811" s="417" t="s">
        <v>224</v>
      </c>
      <c r="E3811" s="423">
        <v>0.60407043012099237</v>
      </c>
      <c r="F3811" s="423">
        <v>8.571523748498967E-4</v>
      </c>
      <c r="G3811" s="422">
        <v>746.14485276008361</v>
      </c>
      <c r="H3811" s="417" t="s">
        <v>2616</v>
      </c>
      <c r="I3811" s="417" t="s">
        <v>1392</v>
      </c>
      <c r="J3811" s="417" t="s">
        <v>8253</v>
      </c>
      <c r="K3811" s="417" t="s">
        <v>10069</v>
      </c>
      <c r="L3811" s="417"/>
      <c r="M3811" s="417" t="s">
        <v>28840</v>
      </c>
    </row>
    <row r="3812" spans="1:13" x14ac:dyDescent="0.25">
      <c r="A3812" s="417" t="s">
        <v>3385</v>
      </c>
      <c r="B3812" s="417" t="s">
        <v>3405</v>
      </c>
      <c r="C3812" s="417" t="s">
        <v>10070</v>
      </c>
      <c r="D3812" s="417" t="s">
        <v>224</v>
      </c>
      <c r="E3812" s="423">
        <v>0.48673225280524662</v>
      </c>
      <c r="F3812" s="423">
        <v>1.9940566100618202E-3</v>
      </c>
      <c r="G3812" s="422">
        <v>629.71444343984638</v>
      </c>
      <c r="H3812" s="417" t="s">
        <v>2616</v>
      </c>
      <c r="I3812" s="417" t="s">
        <v>1392</v>
      </c>
      <c r="J3812" s="417" t="s">
        <v>8253</v>
      </c>
      <c r="K3812" s="417" t="s">
        <v>10071</v>
      </c>
      <c r="L3812" s="417"/>
      <c r="M3812" s="417" t="s">
        <v>28840</v>
      </c>
    </row>
    <row r="3813" spans="1:13" x14ac:dyDescent="0.25">
      <c r="A3813" s="417" t="s">
        <v>3385</v>
      </c>
      <c r="B3813" s="417" t="s">
        <v>3405</v>
      </c>
      <c r="C3813" s="417" t="s">
        <v>10072</v>
      </c>
      <c r="D3813" s="417" t="s">
        <v>224</v>
      </c>
      <c r="E3813" s="423">
        <v>0.6284008329516535</v>
      </c>
      <c r="F3813" s="423">
        <v>2.4848297082333231E-3</v>
      </c>
      <c r="G3813" s="422">
        <v>879.71077607610914</v>
      </c>
      <c r="H3813" s="417" t="s">
        <v>2616</v>
      </c>
      <c r="I3813" s="417" t="s">
        <v>1392</v>
      </c>
      <c r="J3813" s="417" t="s">
        <v>8253</v>
      </c>
      <c r="K3813" s="417" t="s">
        <v>10073</v>
      </c>
      <c r="L3813" s="417"/>
      <c r="M3813" s="417" t="s">
        <v>28840</v>
      </c>
    </row>
    <row r="3814" spans="1:13" x14ac:dyDescent="0.25">
      <c r="A3814" s="417" t="s">
        <v>3385</v>
      </c>
      <c r="B3814" s="417" t="s">
        <v>3405</v>
      </c>
      <c r="C3814" s="417" t="s">
        <v>10074</v>
      </c>
      <c r="D3814" s="417" t="s">
        <v>224</v>
      </c>
      <c r="E3814" s="423">
        <v>0.46823264795299929</v>
      </c>
      <c r="F3814" s="423">
        <v>3.8057199336778398E-4</v>
      </c>
      <c r="G3814" s="422">
        <v>589.52313788787569</v>
      </c>
      <c r="H3814" s="417" t="s">
        <v>2616</v>
      </c>
      <c r="I3814" s="417" t="s">
        <v>1392</v>
      </c>
      <c r="J3814" s="417" t="s">
        <v>8253</v>
      </c>
      <c r="K3814" s="417" t="s">
        <v>10075</v>
      </c>
      <c r="L3814" s="417"/>
      <c r="M3814" s="417" t="s">
        <v>28840</v>
      </c>
    </row>
    <row r="3815" spans="1:13" x14ac:dyDescent="0.25">
      <c r="A3815" s="417" t="s">
        <v>3385</v>
      </c>
      <c r="B3815" s="417" t="s">
        <v>3405</v>
      </c>
      <c r="C3815" s="417" t="s">
        <v>10076</v>
      </c>
      <c r="D3815" s="417" t="s">
        <v>224</v>
      </c>
      <c r="E3815" s="423">
        <v>0.46146063832512207</v>
      </c>
      <c r="F3815" s="423">
        <v>1.4653544132263859E-3</v>
      </c>
      <c r="G3815" s="422">
        <v>571.3933151539635</v>
      </c>
      <c r="H3815" s="417" t="s">
        <v>2616</v>
      </c>
      <c r="I3815" s="417" t="s">
        <v>1392</v>
      </c>
      <c r="J3815" s="417" t="s">
        <v>8253</v>
      </c>
      <c r="K3815" s="417" t="s">
        <v>10077</v>
      </c>
      <c r="L3815" s="417"/>
      <c r="M3815" s="417" t="s">
        <v>28840</v>
      </c>
    </row>
    <row r="3816" spans="1:13" x14ac:dyDescent="0.25">
      <c r="A3816" s="417" t="s">
        <v>3385</v>
      </c>
      <c r="B3816" s="417" t="s">
        <v>3405</v>
      </c>
      <c r="C3816" s="417" t="s">
        <v>10078</v>
      </c>
      <c r="D3816" s="417" t="s">
        <v>224</v>
      </c>
      <c r="E3816" s="423">
        <v>0.42035892754979232</v>
      </c>
      <c r="F3816" s="423">
        <v>3.6725090852294211E-4</v>
      </c>
      <c r="G3816" s="422">
        <v>510.33662091964197</v>
      </c>
      <c r="H3816" s="417" t="s">
        <v>2616</v>
      </c>
      <c r="I3816" s="417" t="s">
        <v>1392</v>
      </c>
      <c r="J3816" s="417" t="s">
        <v>8253</v>
      </c>
      <c r="K3816" s="417" t="s">
        <v>10079</v>
      </c>
      <c r="L3816" s="417"/>
      <c r="M3816" s="417" t="s">
        <v>28840</v>
      </c>
    </row>
    <row r="3817" spans="1:13" x14ac:dyDescent="0.25">
      <c r="A3817" s="417" t="s">
        <v>3385</v>
      </c>
      <c r="B3817" s="417" t="s">
        <v>3405</v>
      </c>
      <c r="C3817" s="417" t="s">
        <v>10080</v>
      </c>
      <c r="D3817" s="417" t="s">
        <v>224</v>
      </c>
      <c r="E3817" s="423">
        <v>0.53900422550302396</v>
      </c>
      <c r="F3817" s="423">
        <v>1.858939106497422E-3</v>
      </c>
      <c r="G3817" s="422">
        <v>673.88463664075073</v>
      </c>
      <c r="H3817" s="417" t="s">
        <v>2616</v>
      </c>
      <c r="I3817" s="417" t="s">
        <v>1392</v>
      </c>
      <c r="J3817" s="417" t="s">
        <v>8253</v>
      </c>
      <c r="K3817" s="417" t="s">
        <v>10081</v>
      </c>
      <c r="L3817" s="417"/>
      <c r="M3817" s="417" t="s">
        <v>28840</v>
      </c>
    </row>
    <row r="3818" spans="1:13" x14ac:dyDescent="0.25">
      <c r="A3818" s="417" t="s">
        <v>3385</v>
      </c>
      <c r="B3818" s="417" t="s">
        <v>3405</v>
      </c>
      <c r="C3818" s="417" t="s">
        <v>10082</v>
      </c>
      <c r="D3818" s="417" t="s">
        <v>224</v>
      </c>
      <c r="E3818" s="423">
        <v>0.54327771382453716</v>
      </c>
      <c r="F3818" s="423">
        <v>2.2937916022984671E-3</v>
      </c>
      <c r="G3818" s="422">
        <v>680.83783825932619</v>
      </c>
      <c r="H3818" s="417" t="s">
        <v>2616</v>
      </c>
      <c r="I3818" s="417" t="s">
        <v>1392</v>
      </c>
      <c r="J3818" s="417" t="s">
        <v>8253</v>
      </c>
      <c r="K3818" s="417" t="s">
        <v>10083</v>
      </c>
      <c r="L3818" s="417"/>
      <c r="M3818" s="417" t="s">
        <v>28840</v>
      </c>
    </row>
    <row r="3819" spans="1:13" x14ac:dyDescent="0.25">
      <c r="A3819" s="417" t="s">
        <v>3385</v>
      </c>
      <c r="B3819" s="417" t="s">
        <v>3405</v>
      </c>
      <c r="C3819" s="417" t="s">
        <v>10084</v>
      </c>
      <c r="D3819" s="417" t="s">
        <v>224</v>
      </c>
      <c r="E3819" s="423">
        <v>0.50027585292734189</v>
      </c>
      <c r="F3819" s="423">
        <v>3.076342175944052E-3</v>
      </c>
      <c r="G3819" s="422">
        <v>639.50831100482765</v>
      </c>
      <c r="H3819" s="417" t="s">
        <v>2616</v>
      </c>
      <c r="I3819" s="417" t="s">
        <v>1392</v>
      </c>
      <c r="J3819" s="417" t="s">
        <v>8253</v>
      </c>
      <c r="K3819" s="417" t="s">
        <v>10085</v>
      </c>
      <c r="L3819" s="417"/>
      <c r="M3819" s="417" t="s">
        <v>28840</v>
      </c>
    </row>
    <row r="3820" spans="1:13" x14ac:dyDescent="0.25">
      <c r="A3820" s="417" t="s">
        <v>3385</v>
      </c>
      <c r="B3820" s="417" t="s">
        <v>3405</v>
      </c>
      <c r="C3820" s="417" t="s">
        <v>10086</v>
      </c>
      <c r="D3820" s="417" t="s">
        <v>224</v>
      </c>
      <c r="E3820" s="423">
        <v>0.47066223200821727</v>
      </c>
      <c r="F3820" s="423">
        <v>2.0032786441515219E-3</v>
      </c>
      <c r="G3820" s="422">
        <v>590.04517432516718</v>
      </c>
      <c r="H3820" s="417" t="s">
        <v>2616</v>
      </c>
      <c r="I3820" s="417" t="s">
        <v>1392</v>
      </c>
      <c r="J3820" s="417" t="s">
        <v>8253</v>
      </c>
      <c r="K3820" s="417" t="s">
        <v>10087</v>
      </c>
      <c r="L3820" s="417"/>
      <c r="M3820" s="417" t="s">
        <v>28840</v>
      </c>
    </row>
    <row r="3821" spans="1:13" x14ac:dyDescent="0.25">
      <c r="A3821" s="417" t="s">
        <v>3385</v>
      </c>
      <c r="B3821" s="417" t="s">
        <v>3405</v>
      </c>
      <c r="C3821" s="417" t="s">
        <v>10088</v>
      </c>
      <c r="D3821" s="417" t="s">
        <v>224</v>
      </c>
      <c r="E3821" s="423">
        <v>0.45170645122926212</v>
      </c>
      <c r="F3821" s="423">
        <v>1.2536993045238821E-3</v>
      </c>
      <c r="G3821" s="422">
        <v>582.71577055016917</v>
      </c>
      <c r="H3821" s="417" t="s">
        <v>2616</v>
      </c>
      <c r="I3821" s="417" t="s">
        <v>1392</v>
      </c>
      <c r="J3821" s="417" t="s">
        <v>8253</v>
      </c>
      <c r="K3821" s="417" t="s">
        <v>10089</v>
      </c>
      <c r="L3821" s="417"/>
      <c r="M3821" s="417" t="s">
        <v>28840</v>
      </c>
    </row>
    <row r="3822" spans="1:13" x14ac:dyDescent="0.25">
      <c r="A3822" s="417" t="s">
        <v>3385</v>
      </c>
      <c r="B3822" s="417" t="s">
        <v>3405</v>
      </c>
      <c r="C3822" s="417" t="s">
        <v>10090</v>
      </c>
      <c r="D3822" s="417" t="s">
        <v>224</v>
      </c>
      <c r="E3822" s="423">
        <v>0.70870890167531442</v>
      </c>
      <c r="F3822" s="423">
        <v>2.7561743757003629E-3</v>
      </c>
      <c r="G3822" s="422">
        <v>884.49699555978384</v>
      </c>
      <c r="H3822" s="417" t="s">
        <v>2616</v>
      </c>
      <c r="I3822" s="417" t="s">
        <v>1392</v>
      </c>
      <c r="J3822" s="417" t="s">
        <v>8253</v>
      </c>
      <c r="K3822" s="417" t="s">
        <v>10091</v>
      </c>
      <c r="L3822" s="417"/>
      <c r="M3822" s="417" t="s">
        <v>28840</v>
      </c>
    </row>
    <row r="3823" spans="1:13" x14ac:dyDescent="0.25">
      <c r="A3823" s="417" t="s">
        <v>3385</v>
      </c>
      <c r="B3823" s="417" t="s">
        <v>3405</v>
      </c>
      <c r="C3823" s="417" t="s">
        <v>10092</v>
      </c>
      <c r="D3823" s="417" t="s">
        <v>224</v>
      </c>
      <c r="E3823" s="423">
        <v>0.64042154094543713</v>
      </c>
      <c r="F3823" s="423">
        <v>4.5025789056340436E-3</v>
      </c>
      <c r="G3823" s="422">
        <v>831.25939829993615</v>
      </c>
      <c r="H3823" s="417" t="s">
        <v>2616</v>
      </c>
      <c r="I3823" s="417" t="s">
        <v>1392</v>
      </c>
      <c r="J3823" s="417" t="s">
        <v>8253</v>
      </c>
      <c r="K3823" s="417" t="s">
        <v>10093</v>
      </c>
      <c r="L3823" s="417"/>
      <c r="M3823" s="417" t="s">
        <v>28840</v>
      </c>
    </row>
    <row r="3824" spans="1:13" x14ac:dyDescent="0.25">
      <c r="A3824" s="417" t="s">
        <v>3385</v>
      </c>
      <c r="B3824" s="417" t="s">
        <v>3405</v>
      </c>
      <c r="C3824" s="417" t="s">
        <v>10094</v>
      </c>
      <c r="D3824" s="417" t="s">
        <v>224</v>
      </c>
      <c r="E3824" s="423">
        <v>0.57584437738510608</v>
      </c>
      <c r="F3824" s="423">
        <v>9.0133153961797997E-4</v>
      </c>
      <c r="G3824" s="422">
        <v>706.84098939716398</v>
      </c>
      <c r="H3824" s="417" t="s">
        <v>2616</v>
      </c>
      <c r="I3824" s="417" t="s">
        <v>1392</v>
      </c>
      <c r="J3824" s="417" t="s">
        <v>8253</v>
      </c>
      <c r="K3824" s="417" t="s">
        <v>10095</v>
      </c>
      <c r="L3824" s="417"/>
      <c r="M3824" s="417" t="s">
        <v>28840</v>
      </c>
    </row>
    <row r="3825" spans="1:13" x14ac:dyDescent="0.25">
      <c r="A3825" s="417" t="s">
        <v>3385</v>
      </c>
      <c r="B3825" s="417" t="s">
        <v>3405</v>
      </c>
      <c r="C3825" s="417" t="s">
        <v>10096</v>
      </c>
      <c r="D3825" s="417" t="s">
        <v>224</v>
      </c>
      <c r="E3825" s="423">
        <v>0.45861718105456201</v>
      </c>
      <c r="F3825" s="423">
        <v>1.288711920849198E-3</v>
      </c>
      <c r="G3825" s="422">
        <v>564.85140357724902</v>
      </c>
      <c r="H3825" s="417" t="s">
        <v>2616</v>
      </c>
      <c r="I3825" s="417" t="s">
        <v>1392</v>
      </c>
      <c r="J3825" s="417" t="s">
        <v>8253</v>
      </c>
      <c r="K3825" s="417" t="s">
        <v>10097</v>
      </c>
      <c r="L3825" s="417"/>
      <c r="M3825" s="417" t="s">
        <v>28840</v>
      </c>
    </row>
    <row r="3826" spans="1:13" x14ac:dyDescent="0.25">
      <c r="A3826" s="417" t="s">
        <v>3385</v>
      </c>
      <c r="B3826" s="417" t="s">
        <v>3405</v>
      </c>
      <c r="C3826" s="417" t="s">
        <v>10098</v>
      </c>
      <c r="D3826" s="417" t="s">
        <v>224</v>
      </c>
      <c r="E3826" s="423">
        <v>0.48552178920343381</v>
      </c>
      <c r="F3826" s="423">
        <v>1.1615901705617139E-3</v>
      </c>
      <c r="G3826" s="422">
        <v>595.96545045054779</v>
      </c>
      <c r="H3826" s="417" t="s">
        <v>2616</v>
      </c>
      <c r="I3826" s="417" t="s">
        <v>1392</v>
      </c>
      <c r="J3826" s="417" t="s">
        <v>8253</v>
      </c>
      <c r="K3826" s="417" t="s">
        <v>10099</v>
      </c>
      <c r="L3826" s="417"/>
      <c r="M3826" s="417" t="s">
        <v>28840</v>
      </c>
    </row>
    <row r="3827" spans="1:13" x14ac:dyDescent="0.25">
      <c r="A3827" s="417" t="s">
        <v>3385</v>
      </c>
      <c r="B3827" s="417" t="s">
        <v>3405</v>
      </c>
      <c r="C3827" s="417" t="s">
        <v>10100</v>
      </c>
      <c r="D3827" s="417" t="s">
        <v>224</v>
      </c>
      <c r="E3827" s="423">
        <v>0.4752546664094377</v>
      </c>
      <c r="F3827" s="423">
        <v>1.979648194551892E-3</v>
      </c>
      <c r="G3827" s="422">
        <v>594.44732880630386</v>
      </c>
      <c r="H3827" s="417" t="s">
        <v>2616</v>
      </c>
      <c r="I3827" s="417" t="s">
        <v>1392</v>
      </c>
      <c r="J3827" s="417" t="s">
        <v>8253</v>
      </c>
      <c r="K3827" s="417" t="s">
        <v>10101</v>
      </c>
      <c r="L3827" s="417"/>
      <c r="M3827" s="417" t="s">
        <v>28840</v>
      </c>
    </row>
    <row r="3828" spans="1:13" x14ac:dyDescent="0.25">
      <c r="A3828" s="417" t="s">
        <v>3385</v>
      </c>
      <c r="B3828" s="417" t="s">
        <v>3405</v>
      </c>
      <c r="C3828" s="417" t="s">
        <v>10102</v>
      </c>
      <c r="D3828" s="417" t="s">
        <v>224</v>
      </c>
      <c r="E3828" s="423">
        <v>0.45992581852524739</v>
      </c>
      <c r="F3828" s="423">
        <v>8.9744866287509229E-4</v>
      </c>
      <c r="G3828" s="422">
        <v>545.85149615107537</v>
      </c>
      <c r="H3828" s="417" t="s">
        <v>2616</v>
      </c>
      <c r="I3828" s="417" t="s">
        <v>1392</v>
      </c>
      <c r="J3828" s="417" t="s">
        <v>8253</v>
      </c>
      <c r="K3828" s="417" t="s">
        <v>10103</v>
      </c>
      <c r="L3828" s="417"/>
      <c r="M3828" s="417" t="s">
        <v>28840</v>
      </c>
    </row>
    <row r="3829" spans="1:13" x14ac:dyDescent="0.25">
      <c r="A3829" s="417" t="s">
        <v>3385</v>
      </c>
      <c r="B3829" s="417" t="s">
        <v>3405</v>
      </c>
      <c r="C3829" s="417" t="s">
        <v>10104</v>
      </c>
      <c r="D3829" s="417" t="s">
        <v>224</v>
      </c>
      <c r="E3829" s="423">
        <v>0.5861799647815733</v>
      </c>
      <c r="F3829" s="423">
        <v>1.1438071194231009E-3</v>
      </c>
      <c r="G3829" s="422">
        <v>669.66418303487615</v>
      </c>
      <c r="H3829" s="417" t="s">
        <v>2616</v>
      </c>
      <c r="I3829" s="417" t="s">
        <v>1392</v>
      </c>
      <c r="J3829" s="417" t="s">
        <v>8253</v>
      </c>
      <c r="K3829" s="417" t="s">
        <v>10105</v>
      </c>
      <c r="L3829" s="417"/>
      <c r="M3829" s="417" t="s">
        <v>28840</v>
      </c>
    </row>
    <row r="3830" spans="1:13" x14ac:dyDescent="0.25">
      <c r="A3830" s="417" t="s">
        <v>3385</v>
      </c>
      <c r="B3830" s="417" t="s">
        <v>3405</v>
      </c>
      <c r="C3830" s="417" t="s">
        <v>10106</v>
      </c>
      <c r="D3830" s="417" t="s">
        <v>224</v>
      </c>
      <c r="E3830" s="423">
        <v>0.48815477024305348</v>
      </c>
      <c r="F3830" s="423">
        <v>1.6835674924258271E-3</v>
      </c>
      <c r="G3830" s="422">
        <v>608.64945851525192</v>
      </c>
      <c r="H3830" s="417" t="s">
        <v>2616</v>
      </c>
      <c r="I3830" s="417" t="s">
        <v>1392</v>
      </c>
      <c r="J3830" s="417" t="s">
        <v>8253</v>
      </c>
      <c r="K3830" s="417" t="s">
        <v>10107</v>
      </c>
      <c r="L3830" s="417"/>
      <c r="M3830" s="417" t="s">
        <v>28840</v>
      </c>
    </row>
    <row r="3831" spans="1:13" x14ac:dyDescent="0.25">
      <c r="A3831" s="417" t="s">
        <v>3385</v>
      </c>
      <c r="B3831" s="417" t="s">
        <v>3405</v>
      </c>
      <c r="C3831" s="417" t="s">
        <v>10108</v>
      </c>
      <c r="D3831" s="417" t="s">
        <v>224</v>
      </c>
      <c r="E3831" s="423">
        <v>0.41571669502346809</v>
      </c>
      <c r="F3831" s="423">
        <v>1.8062655625808049E-3</v>
      </c>
      <c r="G3831" s="422">
        <v>519.26744368011123</v>
      </c>
      <c r="H3831" s="417" t="s">
        <v>2616</v>
      </c>
      <c r="I3831" s="417" t="s">
        <v>1392</v>
      </c>
      <c r="J3831" s="417" t="s">
        <v>8253</v>
      </c>
      <c r="K3831" s="417" t="s">
        <v>10109</v>
      </c>
      <c r="L3831" s="417"/>
      <c r="M3831" s="417" t="s">
        <v>28840</v>
      </c>
    </row>
    <row r="3832" spans="1:13" x14ac:dyDescent="0.25">
      <c r="A3832" s="417" t="s">
        <v>3385</v>
      </c>
      <c r="B3832" s="417" t="s">
        <v>3405</v>
      </c>
      <c r="C3832" s="417" t="s">
        <v>10110</v>
      </c>
      <c r="D3832" s="417" t="s">
        <v>224</v>
      </c>
      <c r="E3832" s="423">
        <v>0.4662843591794259</v>
      </c>
      <c r="F3832" s="423">
        <v>1.543123288441247E-3</v>
      </c>
      <c r="G3832" s="422">
        <v>604.02353782273303</v>
      </c>
      <c r="H3832" s="417" t="s">
        <v>2616</v>
      </c>
      <c r="I3832" s="417" t="s">
        <v>1392</v>
      </c>
      <c r="J3832" s="417" t="s">
        <v>8253</v>
      </c>
      <c r="K3832" s="417" t="s">
        <v>10111</v>
      </c>
      <c r="L3832" s="417"/>
      <c r="M3832" s="417" t="s">
        <v>28840</v>
      </c>
    </row>
    <row r="3833" spans="1:13" x14ac:dyDescent="0.25">
      <c r="A3833" s="417" t="s">
        <v>3385</v>
      </c>
      <c r="B3833" s="417" t="s">
        <v>3405</v>
      </c>
      <c r="C3833" s="417" t="s">
        <v>10112</v>
      </c>
      <c r="D3833" s="417" t="s">
        <v>224</v>
      </c>
      <c r="E3833" s="423">
        <v>0.52665507211492724</v>
      </c>
      <c r="F3833" s="423">
        <v>1.816348857268847E-3</v>
      </c>
      <c r="G3833" s="422">
        <v>653.48788138984196</v>
      </c>
      <c r="H3833" s="417" t="s">
        <v>2616</v>
      </c>
      <c r="I3833" s="417" t="s">
        <v>1392</v>
      </c>
      <c r="J3833" s="417" t="s">
        <v>8253</v>
      </c>
      <c r="K3833" s="417" t="s">
        <v>10113</v>
      </c>
      <c r="L3833" s="417"/>
      <c r="M3833" s="417" t="s">
        <v>28840</v>
      </c>
    </row>
    <row r="3834" spans="1:13" x14ac:dyDescent="0.25">
      <c r="A3834" s="417" t="s">
        <v>3385</v>
      </c>
      <c r="B3834" s="417" t="s">
        <v>3405</v>
      </c>
      <c r="C3834" s="417" t="s">
        <v>10114</v>
      </c>
      <c r="D3834" s="417" t="s">
        <v>224</v>
      </c>
      <c r="E3834" s="423">
        <v>0.54348225604462486</v>
      </c>
      <c r="F3834" s="423">
        <v>4.7182081965778042E-4</v>
      </c>
      <c r="G3834" s="422">
        <v>665.21046050588518</v>
      </c>
      <c r="H3834" s="417" t="s">
        <v>2616</v>
      </c>
      <c r="I3834" s="417" t="s">
        <v>1392</v>
      </c>
      <c r="J3834" s="417" t="s">
        <v>8253</v>
      </c>
      <c r="K3834" s="417" t="s">
        <v>10115</v>
      </c>
      <c r="L3834" s="417"/>
      <c r="M3834" s="417" t="s">
        <v>28840</v>
      </c>
    </row>
    <row r="3835" spans="1:13" x14ac:dyDescent="0.25">
      <c r="A3835" s="417" t="s">
        <v>3385</v>
      </c>
      <c r="B3835" s="417" t="s">
        <v>3405</v>
      </c>
      <c r="C3835" s="417" t="s">
        <v>10116</v>
      </c>
      <c r="D3835" s="417" t="s">
        <v>224</v>
      </c>
      <c r="E3835" s="423">
        <v>0.6591035614001971</v>
      </c>
      <c r="F3835" s="423">
        <v>8.1959788850340413E-4</v>
      </c>
      <c r="G3835" s="422">
        <v>834.2633567513974</v>
      </c>
      <c r="H3835" s="417" t="s">
        <v>2616</v>
      </c>
      <c r="I3835" s="417" t="s">
        <v>1392</v>
      </c>
      <c r="J3835" s="417" t="s">
        <v>8253</v>
      </c>
      <c r="K3835" s="417" t="s">
        <v>10117</v>
      </c>
      <c r="L3835" s="417"/>
      <c r="M3835" s="417" t="s">
        <v>28840</v>
      </c>
    </row>
    <row r="3836" spans="1:13" x14ac:dyDescent="0.25">
      <c r="A3836" s="417" t="s">
        <v>3385</v>
      </c>
      <c r="B3836" s="417" t="s">
        <v>3405</v>
      </c>
      <c r="C3836" s="417" t="s">
        <v>10118</v>
      </c>
      <c r="D3836" s="417" t="s">
        <v>224</v>
      </c>
      <c r="E3836" s="423">
        <v>0.48184727057580778</v>
      </c>
      <c r="F3836" s="423">
        <v>8.4555026273457285E-4</v>
      </c>
      <c r="G3836" s="422">
        <v>586.24199237770779</v>
      </c>
      <c r="H3836" s="417" t="s">
        <v>2616</v>
      </c>
      <c r="I3836" s="417" t="s">
        <v>1392</v>
      </c>
      <c r="J3836" s="417" t="s">
        <v>8253</v>
      </c>
      <c r="K3836" s="417" t="s">
        <v>10119</v>
      </c>
      <c r="L3836" s="417"/>
      <c r="M3836" s="417" t="s">
        <v>28840</v>
      </c>
    </row>
    <row r="3837" spans="1:13" x14ac:dyDescent="0.25">
      <c r="A3837" s="417" t="s">
        <v>3385</v>
      </c>
      <c r="B3837" s="417" t="s">
        <v>3405</v>
      </c>
      <c r="C3837" s="417" t="s">
        <v>10120</v>
      </c>
      <c r="D3837" s="417" t="s">
        <v>224</v>
      </c>
      <c r="E3837" s="423">
        <v>0.4612772010922801</v>
      </c>
      <c r="F3837" s="423">
        <v>1.5908710678455571E-3</v>
      </c>
      <c r="G3837" s="422">
        <v>572.76261022293841</v>
      </c>
      <c r="H3837" s="417" t="s">
        <v>2616</v>
      </c>
      <c r="I3837" s="417" t="s">
        <v>1392</v>
      </c>
      <c r="J3837" s="417" t="s">
        <v>8253</v>
      </c>
      <c r="K3837" s="417" t="s">
        <v>10121</v>
      </c>
      <c r="L3837" s="417"/>
      <c r="M3837" s="417" t="s">
        <v>28840</v>
      </c>
    </row>
    <row r="3838" spans="1:13" x14ac:dyDescent="0.25">
      <c r="A3838" s="417" t="s">
        <v>3385</v>
      </c>
      <c r="B3838" s="417" t="s">
        <v>3405</v>
      </c>
      <c r="C3838" s="417" t="s">
        <v>10122</v>
      </c>
      <c r="D3838" s="417" t="s">
        <v>224</v>
      </c>
      <c r="E3838" s="423">
        <v>0.63043523164266979</v>
      </c>
      <c r="F3838" s="423">
        <v>8.1171377741217948E-4</v>
      </c>
      <c r="G3838" s="422">
        <v>799.01104150244669</v>
      </c>
      <c r="H3838" s="417" t="s">
        <v>2616</v>
      </c>
      <c r="I3838" s="417" t="s">
        <v>1392</v>
      </c>
      <c r="J3838" s="417" t="s">
        <v>8253</v>
      </c>
      <c r="K3838" s="417" t="s">
        <v>10123</v>
      </c>
      <c r="L3838" s="417"/>
      <c r="M3838" s="417" t="s">
        <v>28840</v>
      </c>
    </row>
    <row r="3839" spans="1:13" x14ac:dyDescent="0.25">
      <c r="A3839" s="417" t="s">
        <v>3385</v>
      </c>
      <c r="B3839" s="417" t="s">
        <v>3405</v>
      </c>
      <c r="C3839" s="417" t="s">
        <v>10124</v>
      </c>
      <c r="D3839" s="417" t="s">
        <v>224</v>
      </c>
      <c r="E3839" s="423">
        <v>0.72483164577198522</v>
      </c>
      <c r="F3839" s="423">
        <v>5.1016853681855479E-3</v>
      </c>
      <c r="G3839" s="422">
        <v>987.36563771724275</v>
      </c>
      <c r="H3839" s="417" t="s">
        <v>2616</v>
      </c>
      <c r="I3839" s="417" t="s">
        <v>1392</v>
      </c>
      <c r="J3839" s="417" t="s">
        <v>8253</v>
      </c>
      <c r="K3839" s="417" t="s">
        <v>10125</v>
      </c>
      <c r="L3839" s="417"/>
      <c r="M3839" s="417" t="s">
        <v>28840</v>
      </c>
    </row>
    <row r="3840" spans="1:13" x14ac:dyDescent="0.25">
      <c r="A3840" s="417" t="s">
        <v>3385</v>
      </c>
      <c r="B3840" s="417" t="s">
        <v>3405</v>
      </c>
      <c r="C3840" s="417" t="s">
        <v>10126</v>
      </c>
      <c r="D3840" s="417" t="s">
        <v>224</v>
      </c>
      <c r="E3840" s="423">
        <v>0.466025993037745</v>
      </c>
      <c r="F3840" s="423">
        <v>8.9552001090131828E-4</v>
      </c>
      <c r="G3840" s="422">
        <v>583.29670745156807</v>
      </c>
      <c r="H3840" s="417" t="s">
        <v>2616</v>
      </c>
      <c r="I3840" s="417" t="s">
        <v>1392</v>
      </c>
      <c r="J3840" s="417" t="s">
        <v>8253</v>
      </c>
      <c r="K3840" s="417" t="s">
        <v>10127</v>
      </c>
      <c r="L3840" s="417"/>
      <c r="M3840" s="417" t="s">
        <v>28840</v>
      </c>
    </row>
    <row r="3841" spans="1:13" x14ac:dyDescent="0.25">
      <c r="A3841" s="417" t="s">
        <v>3385</v>
      </c>
      <c r="B3841" s="417" t="s">
        <v>3405</v>
      </c>
      <c r="C3841" s="417" t="s">
        <v>10128</v>
      </c>
      <c r="D3841" s="417" t="s">
        <v>224</v>
      </c>
      <c r="E3841" s="423">
        <v>0.46676241535214769</v>
      </c>
      <c r="F3841" s="423">
        <v>1.924770368069568E-3</v>
      </c>
      <c r="G3841" s="422">
        <v>584.67248212937227</v>
      </c>
      <c r="H3841" s="417" t="s">
        <v>2616</v>
      </c>
      <c r="I3841" s="417" t="s">
        <v>1392</v>
      </c>
      <c r="J3841" s="417" t="s">
        <v>8140</v>
      </c>
      <c r="K3841" s="417" t="s">
        <v>10129</v>
      </c>
      <c r="L3841" s="417"/>
      <c r="M3841" s="417" t="s">
        <v>28840</v>
      </c>
    </row>
    <row r="3842" spans="1:13" x14ac:dyDescent="0.25">
      <c r="A3842" s="417" t="s">
        <v>3385</v>
      </c>
      <c r="B3842" s="417" t="s">
        <v>3405</v>
      </c>
      <c r="C3842" s="417" t="s">
        <v>10130</v>
      </c>
      <c r="D3842" s="417" t="s">
        <v>224</v>
      </c>
      <c r="E3842" s="423">
        <v>0.48954337463612407</v>
      </c>
      <c r="F3842" s="423">
        <v>1.0181028189823059E-3</v>
      </c>
      <c r="G3842" s="422">
        <v>599.68057951383253</v>
      </c>
      <c r="H3842" s="417" t="s">
        <v>2616</v>
      </c>
      <c r="I3842" s="417" t="s">
        <v>1392</v>
      </c>
      <c r="J3842" s="417" t="s">
        <v>8253</v>
      </c>
      <c r="K3842" s="417" t="s">
        <v>10131</v>
      </c>
      <c r="L3842" s="417"/>
      <c r="M3842" s="417" t="s">
        <v>28840</v>
      </c>
    </row>
    <row r="3843" spans="1:13" x14ac:dyDescent="0.25">
      <c r="A3843" s="417" t="s">
        <v>3385</v>
      </c>
      <c r="B3843" s="417" t="s">
        <v>3405</v>
      </c>
      <c r="C3843" s="417" t="s">
        <v>10132</v>
      </c>
      <c r="D3843" s="417" t="s">
        <v>224</v>
      </c>
      <c r="E3843" s="423">
        <v>0.51566995080609568</v>
      </c>
      <c r="F3843" s="423">
        <v>2.1936043764787202E-3</v>
      </c>
      <c r="G3843" s="422">
        <v>643.487642206278</v>
      </c>
      <c r="H3843" s="417" t="s">
        <v>2616</v>
      </c>
      <c r="I3843" s="417" t="s">
        <v>1392</v>
      </c>
      <c r="J3843" s="417" t="s">
        <v>8253</v>
      </c>
      <c r="K3843" s="417" t="s">
        <v>10133</v>
      </c>
      <c r="L3843" s="417"/>
      <c r="M3843" s="417" t="s">
        <v>28840</v>
      </c>
    </row>
    <row r="3844" spans="1:13" x14ac:dyDescent="0.25">
      <c r="A3844" s="417" t="s">
        <v>3385</v>
      </c>
      <c r="B3844" s="417" t="s">
        <v>3405</v>
      </c>
      <c r="C3844" s="417" t="s">
        <v>10134</v>
      </c>
      <c r="D3844" s="417" t="s">
        <v>224</v>
      </c>
      <c r="E3844" s="423">
        <v>0.80872045838933637</v>
      </c>
      <c r="F3844" s="423">
        <v>1.1475356232060669E-3</v>
      </c>
      <c r="G3844" s="422">
        <v>998.92755795081484</v>
      </c>
      <c r="H3844" s="417" t="s">
        <v>2616</v>
      </c>
      <c r="I3844" s="417" t="s">
        <v>1392</v>
      </c>
      <c r="J3844" s="417" t="s">
        <v>8253</v>
      </c>
      <c r="K3844" s="417" t="s">
        <v>10135</v>
      </c>
      <c r="L3844" s="417"/>
      <c r="M3844" s="417" t="s">
        <v>28840</v>
      </c>
    </row>
    <row r="3845" spans="1:13" x14ac:dyDescent="0.25">
      <c r="A3845" s="417" t="s">
        <v>3385</v>
      </c>
      <c r="B3845" s="417" t="s">
        <v>3405</v>
      </c>
      <c r="C3845" s="417" t="s">
        <v>10136</v>
      </c>
      <c r="D3845" s="417" t="s">
        <v>224</v>
      </c>
      <c r="E3845" s="423">
        <v>0.4991340735886905</v>
      </c>
      <c r="F3845" s="423">
        <v>1.973681581277175E-3</v>
      </c>
      <c r="G3845" s="422">
        <v>698.74767818059092</v>
      </c>
      <c r="H3845" s="417" t="s">
        <v>2616</v>
      </c>
      <c r="I3845" s="417" t="s">
        <v>1392</v>
      </c>
      <c r="J3845" s="417" t="s">
        <v>8253</v>
      </c>
      <c r="K3845" s="417" t="s">
        <v>10137</v>
      </c>
      <c r="L3845" s="417"/>
      <c r="M3845" s="417" t="s">
        <v>28840</v>
      </c>
    </row>
    <row r="3846" spans="1:13" x14ac:dyDescent="0.25">
      <c r="A3846" s="417" t="s">
        <v>3385</v>
      </c>
      <c r="B3846" s="417" t="s">
        <v>3405</v>
      </c>
      <c r="C3846" s="417" t="s">
        <v>10138</v>
      </c>
      <c r="D3846" s="417" t="s">
        <v>224</v>
      </c>
      <c r="E3846" s="423">
        <v>0.44773972724569772</v>
      </c>
      <c r="F3846" s="423">
        <v>3.6391726619173722E-4</v>
      </c>
      <c r="G3846" s="422">
        <v>563.72176562082291</v>
      </c>
      <c r="H3846" s="417" t="s">
        <v>2616</v>
      </c>
      <c r="I3846" s="417" t="s">
        <v>1392</v>
      </c>
      <c r="J3846" s="417" t="s">
        <v>8253</v>
      </c>
      <c r="K3846" s="417" t="s">
        <v>10139</v>
      </c>
      <c r="L3846" s="417"/>
      <c r="M3846" s="417" t="s">
        <v>28840</v>
      </c>
    </row>
    <row r="3847" spans="1:13" x14ac:dyDescent="0.25">
      <c r="A3847" s="417" t="s">
        <v>3385</v>
      </c>
      <c r="B3847" s="417" t="s">
        <v>3405</v>
      </c>
      <c r="C3847" s="417" t="s">
        <v>10140</v>
      </c>
      <c r="D3847" s="417" t="s">
        <v>224</v>
      </c>
      <c r="E3847" s="423">
        <v>0.52466511558653117</v>
      </c>
      <c r="F3847" s="423">
        <v>1.666058434535008E-3</v>
      </c>
      <c r="G3847" s="422">
        <v>649.65484639550277</v>
      </c>
      <c r="H3847" s="417" t="s">
        <v>2616</v>
      </c>
      <c r="I3847" s="417" t="s">
        <v>1392</v>
      </c>
      <c r="J3847" s="417" t="s">
        <v>8253</v>
      </c>
      <c r="K3847" s="417" t="s">
        <v>10141</v>
      </c>
      <c r="L3847" s="417"/>
      <c r="M3847" s="417" t="s">
        <v>28840</v>
      </c>
    </row>
    <row r="3848" spans="1:13" x14ac:dyDescent="0.25">
      <c r="A3848" s="417" t="s">
        <v>3385</v>
      </c>
      <c r="B3848" s="417" t="s">
        <v>3405</v>
      </c>
      <c r="C3848" s="417" t="s">
        <v>10142</v>
      </c>
      <c r="D3848" s="417" t="s">
        <v>224</v>
      </c>
      <c r="E3848" s="423">
        <v>0.50922097319921455</v>
      </c>
      <c r="F3848" s="423">
        <v>1.7562214471200171E-3</v>
      </c>
      <c r="G3848" s="422">
        <v>659.18005293328224</v>
      </c>
      <c r="H3848" s="417" t="s">
        <v>2616</v>
      </c>
      <c r="I3848" s="417" t="s">
        <v>1392</v>
      </c>
      <c r="J3848" s="417" t="s">
        <v>8253</v>
      </c>
      <c r="K3848" s="417" t="s">
        <v>10143</v>
      </c>
      <c r="L3848" s="417"/>
      <c r="M3848" s="417" t="s">
        <v>28840</v>
      </c>
    </row>
    <row r="3849" spans="1:13" x14ac:dyDescent="0.25">
      <c r="A3849" s="417" t="s">
        <v>3385</v>
      </c>
      <c r="B3849" s="417" t="s">
        <v>3405</v>
      </c>
      <c r="C3849" s="417" t="s">
        <v>10144</v>
      </c>
      <c r="D3849" s="417" t="s">
        <v>224</v>
      </c>
      <c r="E3849" s="423">
        <v>0.57228388418889931</v>
      </c>
      <c r="F3849" s="423">
        <v>2.416259772411008E-3</v>
      </c>
      <c r="G3849" s="422">
        <v>717.18848991995742</v>
      </c>
      <c r="H3849" s="417" t="s">
        <v>2616</v>
      </c>
      <c r="I3849" s="417" t="s">
        <v>1392</v>
      </c>
      <c r="J3849" s="417" t="s">
        <v>8253</v>
      </c>
      <c r="K3849" s="417" t="s">
        <v>10145</v>
      </c>
      <c r="L3849" s="417"/>
      <c r="M3849" s="417" t="s">
        <v>28840</v>
      </c>
    </row>
    <row r="3850" spans="1:13" x14ac:dyDescent="0.25">
      <c r="A3850" s="417" t="s">
        <v>3385</v>
      </c>
      <c r="B3850" s="417" t="s">
        <v>3405</v>
      </c>
      <c r="C3850" s="417" t="s">
        <v>10146</v>
      </c>
      <c r="D3850" s="417" t="s">
        <v>73</v>
      </c>
      <c r="E3850" s="423">
        <v>1.117282716792124</v>
      </c>
      <c r="F3850" s="423">
        <v>6.8704965827438196E-3</v>
      </c>
      <c r="G3850" s="422">
        <v>1428.2351867818829</v>
      </c>
      <c r="H3850" s="417" t="s">
        <v>2616</v>
      </c>
      <c r="I3850" s="417" t="s">
        <v>1392</v>
      </c>
      <c r="J3850" s="417" t="s">
        <v>8253</v>
      </c>
      <c r="K3850" s="417" t="s">
        <v>10147</v>
      </c>
      <c r="L3850" s="417"/>
      <c r="M3850" s="417" t="s">
        <v>28840</v>
      </c>
    </row>
    <row r="3851" spans="1:13" x14ac:dyDescent="0.25">
      <c r="A3851" s="417" t="s">
        <v>3385</v>
      </c>
      <c r="B3851" s="417" t="s">
        <v>3405</v>
      </c>
      <c r="C3851" s="417" t="s">
        <v>10148</v>
      </c>
      <c r="D3851" s="417" t="s">
        <v>224</v>
      </c>
      <c r="E3851" s="423">
        <v>0.47434503489045848</v>
      </c>
      <c r="F3851" s="423">
        <v>2.0189537485454708E-3</v>
      </c>
      <c r="G3851" s="422">
        <v>594.66211581186553</v>
      </c>
      <c r="H3851" s="417" t="s">
        <v>2616</v>
      </c>
      <c r="I3851" s="417" t="s">
        <v>1392</v>
      </c>
      <c r="J3851" s="417" t="s">
        <v>8253</v>
      </c>
      <c r="K3851" s="417" t="s">
        <v>10149</v>
      </c>
      <c r="L3851" s="417"/>
      <c r="M3851" s="417" t="s">
        <v>28840</v>
      </c>
    </row>
    <row r="3852" spans="1:13" x14ac:dyDescent="0.25">
      <c r="A3852" s="417" t="s">
        <v>3385</v>
      </c>
      <c r="B3852" s="417" t="s">
        <v>3405</v>
      </c>
      <c r="C3852" s="417" t="s">
        <v>10150</v>
      </c>
      <c r="D3852" s="417" t="s">
        <v>224</v>
      </c>
      <c r="E3852" s="423">
        <v>0.45301007712159741</v>
      </c>
      <c r="F3852" s="423">
        <v>1.2573174661211039E-3</v>
      </c>
      <c r="G3852" s="422">
        <v>584.39748931621011</v>
      </c>
      <c r="H3852" s="417" t="s">
        <v>2616</v>
      </c>
      <c r="I3852" s="417" t="s">
        <v>1392</v>
      </c>
      <c r="J3852" s="417" t="s">
        <v>8253</v>
      </c>
      <c r="K3852" s="417" t="s">
        <v>10151</v>
      </c>
      <c r="L3852" s="417"/>
      <c r="M3852" s="417" t="s">
        <v>28840</v>
      </c>
    </row>
    <row r="3853" spans="1:13" x14ac:dyDescent="0.25">
      <c r="A3853" s="417" t="s">
        <v>3385</v>
      </c>
      <c r="B3853" s="417" t="s">
        <v>3405</v>
      </c>
      <c r="C3853" s="417" t="s">
        <v>10152</v>
      </c>
      <c r="D3853" s="417" t="s">
        <v>224</v>
      </c>
      <c r="E3853" s="423">
        <v>0.54240261056504191</v>
      </c>
      <c r="F3853" s="423">
        <v>2.109407517227132E-3</v>
      </c>
      <c r="G3853" s="422">
        <v>676.94010408566703</v>
      </c>
      <c r="H3853" s="417" t="s">
        <v>2616</v>
      </c>
      <c r="I3853" s="417" t="s">
        <v>1392</v>
      </c>
      <c r="J3853" s="417" t="s">
        <v>8253</v>
      </c>
      <c r="K3853" s="417" t="s">
        <v>10153</v>
      </c>
      <c r="L3853" s="417"/>
      <c r="M3853" s="417" t="s">
        <v>28840</v>
      </c>
    </row>
    <row r="3854" spans="1:13" x14ac:dyDescent="0.25">
      <c r="A3854" s="417" t="s">
        <v>3385</v>
      </c>
      <c r="B3854" s="417" t="s">
        <v>3405</v>
      </c>
      <c r="C3854" s="417" t="s">
        <v>10154</v>
      </c>
      <c r="D3854" s="417" t="s">
        <v>224</v>
      </c>
      <c r="E3854" s="423">
        <v>1.0150231712244751</v>
      </c>
      <c r="F3854" s="423">
        <v>7.1362724316800727E-3</v>
      </c>
      <c r="G3854" s="422">
        <v>1317.4877866523429</v>
      </c>
      <c r="H3854" s="417" t="s">
        <v>2616</v>
      </c>
      <c r="I3854" s="417" t="s">
        <v>1392</v>
      </c>
      <c r="J3854" s="417" t="s">
        <v>8253</v>
      </c>
      <c r="K3854" s="417" t="s">
        <v>10155</v>
      </c>
      <c r="L3854" s="417"/>
      <c r="M3854" s="417" t="s">
        <v>28840</v>
      </c>
    </row>
    <row r="3855" spans="1:13" x14ac:dyDescent="0.25">
      <c r="A3855" s="417" t="s">
        <v>3385</v>
      </c>
      <c r="B3855" s="417" t="s">
        <v>3405</v>
      </c>
      <c r="C3855" s="417" t="s">
        <v>10156</v>
      </c>
      <c r="D3855" s="417" t="s">
        <v>224</v>
      </c>
      <c r="E3855" s="423">
        <v>0.53333237634562025</v>
      </c>
      <c r="F3855" s="423">
        <v>8.3479065493304266E-4</v>
      </c>
      <c r="G3855" s="422">
        <v>654.65809844278431</v>
      </c>
      <c r="H3855" s="417" t="s">
        <v>2616</v>
      </c>
      <c r="I3855" s="417" t="s">
        <v>1392</v>
      </c>
      <c r="J3855" s="417" t="s">
        <v>8253</v>
      </c>
      <c r="K3855" s="417" t="s">
        <v>10157</v>
      </c>
      <c r="L3855" s="417"/>
      <c r="M3855" s="417" t="s">
        <v>28840</v>
      </c>
    </row>
    <row r="3856" spans="1:13" x14ac:dyDescent="0.25">
      <c r="A3856" s="417" t="s">
        <v>3385</v>
      </c>
      <c r="B3856" s="417" t="s">
        <v>3405</v>
      </c>
      <c r="C3856" s="417" t="s">
        <v>10158</v>
      </c>
      <c r="D3856" s="417" t="s">
        <v>224</v>
      </c>
      <c r="E3856" s="423">
        <v>0.46589681805375882</v>
      </c>
      <c r="F3856" s="423">
        <v>1.3091676025984639E-3</v>
      </c>
      <c r="G3856" s="422">
        <v>573.81729764624754</v>
      </c>
      <c r="H3856" s="417" t="s">
        <v>2616</v>
      </c>
      <c r="I3856" s="417" t="s">
        <v>1392</v>
      </c>
      <c r="J3856" s="417" t="s">
        <v>8253</v>
      </c>
      <c r="K3856" s="417" t="s">
        <v>10159</v>
      </c>
      <c r="L3856" s="417"/>
      <c r="M3856" s="417" t="s">
        <v>28840</v>
      </c>
    </row>
    <row r="3857" spans="1:13" x14ac:dyDescent="0.25">
      <c r="A3857" s="417" t="s">
        <v>3385</v>
      </c>
      <c r="B3857" s="417" t="s">
        <v>3405</v>
      </c>
      <c r="C3857" s="417" t="s">
        <v>10160</v>
      </c>
      <c r="D3857" s="417" t="s">
        <v>224</v>
      </c>
      <c r="E3857" s="423">
        <v>0.71841076880052279</v>
      </c>
      <c r="F3857" s="423">
        <v>3.722638630173772E-3</v>
      </c>
      <c r="G3857" s="422">
        <v>976.25619351297451</v>
      </c>
      <c r="H3857" s="417" t="s">
        <v>2616</v>
      </c>
      <c r="I3857" s="417" t="s">
        <v>1392</v>
      </c>
      <c r="J3857" s="417" t="s">
        <v>8253</v>
      </c>
      <c r="K3857" s="417" t="s">
        <v>10161</v>
      </c>
      <c r="L3857" s="417"/>
      <c r="M3857" s="417" t="s">
        <v>28840</v>
      </c>
    </row>
    <row r="3858" spans="1:13" x14ac:dyDescent="0.25">
      <c r="A3858" s="417" t="s">
        <v>3385</v>
      </c>
      <c r="B3858" s="417" t="s">
        <v>3405</v>
      </c>
      <c r="C3858" s="417" t="s">
        <v>10162</v>
      </c>
      <c r="D3858" s="417" t="s">
        <v>224</v>
      </c>
      <c r="E3858" s="423">
        <v>0.50153600171855139</v>
      </c>
      <c r="F3858" s="423">
        <v>1.1999035352018011E-3</v>
      </c>
      <c r="G3858" s="422">
        <v>615.62248310425525</v>
      </c>
      <c r="H3858" s="417" t="s">
        <v>2616</v>
      </c>
      <c r="I3858" s="417" t="s">
        <v>1392</v>
      </c>
      <c r="J3858" s="417" t="s">
        <v>8253</v>
      </c>
      <c r="K3858" s="417" t="s">
        <v>10163</v>
      </c>
      <c r="L3858" s="417"/>
      <c r="M3858" s="417" t="s">
        <v>28840</v>
      </c>
    </row>
    <row r="3859" spans="1:13" x14ac:dyDescent="0.25">
      <c r="A3859" s="417" t="s">
        <v>3385</v>
      </c>
      <c r="B3859" s="417" t="s">
        <v>3405</v>
      </c>
      <c r="C3859" s="417" t="s">
        <v>10164</v>
      </c>
      <c r="D3859" s="417" t="s">
        <v>224</v>
      </c>
      <c r="E3859" s="423">
        <v>0.5811640069154046</v>
      </c>
      <c r="F3859" s="423">
        <v>4.0904890012291749E-3</v>
      </c>
      <c r="G3859" s="422">
        <v>788.90213665059423</v>
      </c>
      <c r="H3859" s="417" t="s">
        <v>2616</v>
      </c>
      <c r="I3859" s="417" t="s">
        <v>1392</v>
      </c>
      <c r="J3859" s="417" t="s">
        <v>8253</v>
      </c>
      <c r="K3859" s="417" t="s">
        <v>10165</v>
      </c>
      <c r="L3859" s="417"/>
      <c r="M3859" s="417" t="s">
        <v>28840</v>
      </c>
    </row>
    <row r="3860" spans="1:13" x14ac:dyDescent="0.25">
      <c r="A3860" s="417" t="s">
        <v>3385</v>
      </c>
      <c r="B3860" s="417" t="s">
        <v>3405</v>
      </c>
      <c r="C3860" s="417" t="s">
        <v>10166</v>
      </c>
      <c r="D3860" s="417" t="s">
        <v>224</v>
      </c>
      <c r="E3860" s="423">
        <v>0.47319431383128979</v>
      </c>
      <c r="F3860" s="423">
        <v>1.9710658979952751E-3</v>
      </c>
      <c r="G3860" s="422">
        <v>591.87024511184518</v>
      </c>
      <c r="H3860" s="417" t="s">
        <v>2616</v>
      </c>
      <c r="I3860" s="417" t="s">
        <v>1392</v>
      </c>
      <c r="J3860" s="417" t="s">
        <v>8253</v>
      </c>
      <c r="K3860" s="417" t="s">
        <v>10167</v>
      </c>
      <c r="L3860" s="417"/>
      <c r="M3860" s="417" t="s">
        <v>28840</v>
      </c>
    </row>
    <row r="3861" spans="1:13" x14ac:dyDescent="0.25">
      <c r="A3861" s="417" t="s">
        <v>3385</v>
      </c>
      <c r="B3861" s="417" t="s">
        <v>3405</v>
      </c>
      <c r="C3861" s="417" t="s">
        <v>10168</v>
      </c>
      <c r="D3861" s="417" t="s">
        <v>224</v>
      </c>
      <c r="E3861" s="423">
        <v>0.52084370579936445</v>
      </c>
      <c r="F3861" s="423">
        <v>1.7963063875423889E-3</v>
      </c>
      <c r="G3861" s="422">
        <v>676.10060418936791</v>
      </c>
      <c r="H3861" s="417" t="s">
        <v>2616</v>
      </c>
      <c r="I3861" s="417" t="s">
        <v>1392</v>
      </c>
      <c r="J3861" s="417" t="s">
        <v>8253</v>
      </c>
      <c r="K3861" s="417" t="s">
        <v>10169</v>
      </c>
      <c r="L3861" s="417"/>
      <c r="M3861" s="417" t="s">
        <v>28840</v>
      </c>
    </row>
    <row r="3862" spans="1:13" x14ac:dyDescent="0.25">
      <c r="A3862" s="417" t="s">
        <v>3385</v>
      </c>
      <c r="B3862" s="417" t="s">
        <v>3405</v>
      </c>
      <c r="C3862" s="417" t="s">
        <v>10170</v>
      </c>
      <c r="D3862" s="417" t="s">
        <v>224</v>
      </c>
      <c r="E3862" s="423">
        <v>0.56596735977396073</v>
      </c>
      <c r="F3862" s="423">
        <v>1.377016315142168E-3</v>
      </c>
      <c r="G3862" s="422">
        <v>741.31892441393859</v>
      </c>
      <c r="H3862" s="417" t="s">
        <v>2616</v>
      </c>
      <c r="I3862" s="417" t="s">
        <v>1392</v>
      </c>
      <c r="J3862" s="417" t="s">
        <v>8253</v>
      </c>
      <c r="K3862" s="417" t="s">
        <v>10171</v>
      </c>
      <c r="L3862" s="417"/>
      <c r="M3862" s="417" t="s">
        <v>28840</v>
      </c>
    </row>
    <row r="3863" spans="1:13" x14ac:dyDescent="0.25">
      <c r="A3863" s="417" t="s">
        <v>3385</v>
      </c>
      <c r="B3863" s="417" t="s">
        <v>3405</v>
      </c>
      <c r="C3863" s="417" t="s">
        <v>10172</v>
      </c>
      <c r="D3863" s="417" t="s">
        <v>224</v>
      </c>
      <c r="E3863" s="423">
        <v>0.4800027775211268</v>
      </c>
      <c r="F3863" s="423">
        <v>2.0855846635813098E-3</v>
      </c>
      <c r="G3863" s="422">
        <v>599.56652260128465</v>
      </c>
      <c r="H3863" s="417" t="s">
        <v>2616</v>
      </c>
      <c r="I3863" s="417" t="s">
        <v>1392</v>
      </c>
      <c r="J3863" s="417" t="s">
        <v>8253</v>
      </c>
      <c r="K3863" s="417" t="s">
        <v>10173</v>
      </c>
      <c r="L3863" s="417"/>
      <c r="M3863" s="417" t="s">
        <v>28840</v>
      </c>
    </row>
    <row r="3864" spans="1:13" x14ac:dyDescent="0.25">
      <c r="A3864" s="417" t="s">
        <v>3385</v>
      </c>
      <c r="B3864" s="417" t="s">
        <v>3405</v>
      </c>
      <c r="C3864" s="417" t="s">
        <v>10174</v>
      </c>
      <c r="D3864" s="417" t="s">
        <v>224</v>
      </c>
      <c r="E3864" s="423">
        <v>0.48089056239667299</v>
      </c>
      <c r="F3864" s="423">
        <v>1.658514405340648E-3</v>
      </c>
      <c r="G3864" s="422">
        <v>596.70203767420958</v>
      </c>
      <c r="H3864" s="417" t="s">
        <v>2616</v>
      </c>
      <c r="I3864" s="417" t="s">
        <v>1392</v>
      </c>
      <c r="J3864" s="417" t="s">
        <v>8253</v>
      </c>
      <c r="K3864" s="417" t="s">
        <v>10175</v>
      </c>
      <c r="L3864" s="417"/>
      <c r="M3864" s="417" t="s">
        <v>28840</v>
      </c>
    </row>
    <row r="3865" spans="1:13" x14ac:dyDescent="0.25">
      <c r="A3865" s="417" t="s">
        <v>3385</v>
      </c>
      <c r="B3865" s="417" t="s">
        <v>3405</v>
      </c>
      <c r="C3865" s="417" t="s">
        <v>10176</v>
      </c>
      <c r="D3865" s="417" t="s">
        <v>224</v>
      </c>
      <c r="E3865" s="423">
        <v>0.61001365566177557</v>
      </c>
      <c r="F3865" s="423">
        <v>1.190313561888046E-3</v>
      </c>
      <c r="G3865" s="422">
        <v>733.56182888571834</v>
      </c>
      <c r="H3865" s="417" t="s">
        <v>2616</v>
      </c>
      <c r="I3865" s="417" t="s">
        <v>1392</v>
      </c>
      <c r="J3865" s="417" t="s">
        <v>8253</v>
      </c>
      <c r="K3865" s="417" t="s">
        <v>10177</v>
      </c>
      <c r="L3865" s="417"/>
      <c r="M3865" s="417" t="s">
        <v>28840</v>
      </c>
    </row>
    <row r="3866" spans="1:13" x14ac:dyDescent="0.25">
      <c r="A3866" s="417" t="s">
        <v>3385</v>
      </c>
      <c r="B3866" s="417" t="s">
        <v>3405</v>
      </c>
      <c r="C3866" s="417" t="s">
        <v>10178</v>
      </c>
      <c r="D3866" s="417" t="s">
        <v>224</v>
      </c>
      <c r="E3866" s="423">
        <v>0.59984853208159572</v>
      </c>
      <c r="F3866" s="423">
        <v>5.2075441411345686E-4</v>
      </c>
      <c r="G3866" s="422">
        <v>734.20155408497692</v>
      </c>
      <c r="H3866" s="417" t="s">
        <v>2616</v>
      </c>
      <c r="I3866" s="417" t="s">
        <v>1392</v>
      </c>
      <c r="J3866" s="417" t="s">
        <v>8253</v>
      </c>
      <c r="K3866" s="417" t="s">
        <v>10179</v>
      </c>
      <c r="L3866" s="417"/>
      <c r="M3866" s="417" t="s">
        <v>28840</v>
      </c>
    </row>
    <row r="3867" spans="1:13" x14ac:dyDescent="0.25">
      <c r="A3867" s="417" t="s">
        <v>3385</v>
      </c>
      <c r="B3867" s="417" t="s">
        <v>3405</v>
      </c>
      <c r="C3867" s="417" t="s">
        <v>10180</v>
      </c>
      <c r="D3867" s="417" t="s">
        <v>224</v>
      </c>
      <c r="E3867" s="423">
        <v>1.2418187096523099</v>
      </c>
      <c r="F3867" s="423">
        <v>1.544206392011458E-3</v>
      </c>
      <c r="G3867" s="422">
        <v>1571.8377287031169</v>
      </c>
      <c r="H3867" s="417" t="s">
        <v>2616</v>
      </c>
      <c r="I3867" s="417" t="s">
        <v>1392</v>
      </c>
      <c r="J3867" s="417" t="s">
        <v>8253</v>
      </c>
      <c r="K3867" s="417" t="s">
        <v>10181</v>
      </c>
      <c r="L3867" s="417"/>
      <c r="M3867" s="417" t="s">
        <v>28840</v>
      </c>
    </row>
    <row r="3868" spans="1:13" x14ac:dyDescent="0.25">
      <c r="A3868" s="417" t="s">
        <v>3385</v>
      </c>
      <c r="B3868" s="417" t="s">
        <v>3405</v>
      </c>
      <c r="C3868" s="417" t="s">
        <v>10182</v>
      </c>
      <c r="D3868" s="417" t="s">
        <v>224</v>
      </c>
      <c r="E3868" s="423">
        <v>0.78889297699896432</v>
      </c>
      <c r="F3868" s="423">
        <v>2.720765323518877E-3</v>
      </c>
      <c r="G3868" s="422">
        <v>979.55936166161428</v>
      </c>
      <c r="H3868" s="417" t="s">
        <v>2616</v>
      </c>
      <c r="I3868" s="417" t="s">
        <v>1392</v>
      </c>
      <c r="J3868" s="417" t="s">
        <v>8253</v>
      </c>
      <c r="K3868" s="417" t="s">
        <v>10183</v>
      </c>
      <c r="L3868" s="417"/>
      <c r="M3868" s="417" t="s">
        <v>28840</v>
      </c>
    </row>
    <row r="3869" spans="1:13" x14ac:dyDescent="0.25">
      <c r="A3869" s="417" t="s">
        <v>3385</v>
      </c>
      <c r="B3869" s="417" t="s">
        <v>3405</v>
      </c>
      <c r="C3869" s="417" t="s">
        <v>10184</v>
      </c>
      <c r="D3869" s="417" t="s">
        <v>224</v>
      </c>
      <c r="E3869" s="423">
        <v>0.61796679587131198</v>
      </c>
      <c r="F3869" s="423">
        <v>7.9565984491989348E-4</v>
      </c>
      <c r="G3869" s="422">
        <v>783.20859953016497</v>
      </c>
      <c r="H3869" s="417" t="s">
        <v>2616</v>
      </c>
      <c r="I3869" s="417" t="s">
        <v>1392</v>
      </c>
      <c r="J3869" s="417" t="s">
        <v>8253</v>
      </c>
      <c r="K3869" s="417" t="s">
        <v>10185</v>
      </c>
      <c r="L3869" s="417"/>
      <c r="M3869" s="417" t="s">
        <v>28840</v>
      </c>
    </row>
    <row r="3870" spans="1:13" x14ac:dyDescent="0.25">
      <c r="A3870" s="417" t="s">
        <v>3385</v>
      </c>
      <c r="B3870" s="417" t="s">
        <v>3405</v>
      </c>
      <c r="C3870" s="417" t="s">
        <v>10186</v>
      </c>
      <c r="D3870" s="417" t="s">
        <v>224</v>
      </c>
      <c r="E3870" s="423">
        <v>0.6712606622886117</v>
      </c>
      <c r="F3870" s="423">
        <v>4.7246290867825214E-3</v>
      </c>
      <c r="G3870" s="422">
        <v>914.3912464368542</v>
      </c>
      <c r="H3870" s="417" t="s">
        <v>2616</v>
      </c>
      <c r="I3870" s="417" t="s">
        <v>1392</v>
      </c>
      <c r="J3870" s="417" t="s">
        <v>8253</v>
      </c>
      <c r="K3870" s="417" t="s">
        <v>10187</v>
      </c>
      <c r="L3870" s="417"/>
      <c r="M3870" s="417" t="s">
        <v>28840</v>
      </c>
    </row>
    <row r="3871" spans="1:13" x14ac:dyDescent="0.25">
      <c r="A3871" s="417" t="s">
        <v>3385</v>
      </c>
      <c r="B3871" s="417" t="s">
        <v>3405</v>
      </c>
      <c r="C3871" s="417" t="s">
        <v>10188</v>
      </c>
      <c r="D3871" s="417" t="s">
        <v>224</v>
      </c>
      <c r="E3871" s="423">
        <v>0.53582413722875888</v>
      </c>
      <c r="F3871" s="423">
        <v>1.0296447930928901E-3</v>
      </c>
      <c r="G3871" s="422">
        <v>670.65884668702404</v>
      </c>
      <c r="H3871" s="417" t="s">
        <v>2616</v>
      </c>
      <c r="I3871" s="417" t="s">
        <v>1392</v>
      </c>
      <c r="J3871" s="417" t="s">
        <v>8253</v>
      </c>
      <c r="K3871" s="417" t="s">
        <v>10189</v>
      </c>
      <c r="L3871" s="417"/>
      <c r="M3871" s="417" t="s">
        <v>28840</v>
      </c>
    </row>
    <row r="3872" spans="1:13" x14ac:dyDescent="0.25">
      <c r="A3872" s="417" t="s">
        <v>3385</v>
      </c>
      <c r="B3872" s="417" t="s">
        <v>3405</v>
      </c>
      <c r="C3872" s="417" t="s">
        <v>10190</v>
      </c>
      <c r="D3872" s="417" t="s">
        <v>224</v>
      </c>
      <c r="E3872" s="423">
        <v>1.460409162235712E-2</v>
      </c>
      <c r="F3872" s="423">
        <v>2.558647823625026E-4</v>
      </c>
      <c r="G3872" s="422">
        <v>558.23114410251992</v>
      </c>
      <c r="H3872" s="417" t="s">
        <v>2616</v>
      </c>
      <c r="I3872" s="417" t="s">
        <v>1392</v>
      </c>
      <c r="J3872" s="417" t="s">
        <v>10191</v>
      </c>
      <c r="K3872" s="417" t="s">
        <v>10192</v>
      </c>
      <c r="L3872" s="417"/>
      <c r="M3872" s="417" t="s">
        <v>28840</v>
      </c>
    </row>
    <row r="3873" spans="1:13" x14ac:dyDescent="0.25">
      <c r="A3873" s="417" t="s">
        <v>3385</v>
      </c>
      <c r="B3873" s="417" t="s">
        <v>3405</v>
      </c>
      <c r="C3873" s="417" t="s">
        <v>10193</v>
      </c>
      <c r="D3873" s="417" t="s">
        <v>224</v>
      </c>
      <c r="E3873" s="423">
        <v>9.7614079973856425E-3</v>
      </c>
      <c r="F3873" s="423">
        <v>3.3505028660631912E-4</v>
      </c>
      <c r="G3873" s="422">
        <v>538.90708565881823</v>
      </c>
      <c r="H3873" s="417" t="s">
        <v>2616</v>
      </c>
      <c r="I3873" s="417" t="s">
        <v>1392</v>
      </c>
      <c r="J3873" s="417" t="s">
        <v>10191</v>
      </c>
      <c r="K3873" s="417" t="s">
        <v>10194</v>
      </c>
      <c r="L3873" s="417"/>
      <c r="M3873" s="417" t="s">
        <v>28840</v>
      </c>
    </row>
    <row r="3874" spans="1:13" x14ac:dyDescent="0.25">
      <c r="A3874" s="417" t="s">
        <v>3385</v>
      </c>
      <c r="B3874" s="417" t="s">
        <v>3405</v>
      </c>
      <c r="C3874" s="417" t="s">
        <v>10195</v>
      </c>
      <c r="D3874" s="417" t="s">
        <v>224</v>
      </c>
      <c r="E3874" s="423">
        <v>7.8087021067899526E-3</v>
      </c>
      <c r="F3874" s="423">
        <v>3.2608745879707289E-4</v>
      </c>
      <c r="G3874" s="422">
        <v>712.66101108484952</v>
      </c>
      <c r="H3874" s="417" t="s">
        <v>2616</v>
      </c>
      <c r="I3874" s="417" t="s">
        <v>1392</v>
      </c>
      <c r="J3874" s="417" t="s">
        <v>10191</v>
      </c>
      <c r="K3874" s="417" t="s">
        <v>10196</v>
      </c>
      <c r="L3874" s="417"/>
      <c r="M3874" s="417" t="s">
        <v>28840</v>
      </c>
    </row>
    <row r="3875" spans="1:13" x14ac:dyDescent="0.25">
      <c r="A3875" s="417" t="s">
        <v>3385</v>
      </c>
      <c r="B3875" s="417" t="s">
        <v>3405</v>
      </c>
      <c r="C3875" s="417" t="s">
        <v>10197</v>
      </c>
      <c r="D3875" s="417" t="s">
        <v>224</v>
      </c>
      <c r="E3875" s="423">
        <v>1.2784925064323511E-2</v>
      </c>
      <c r="F3875" s="423">
        <v>3.4380385534053787E-4</v>
      </c>
      <c r="G3875" s="422">
        <v>592.8847392187721</v>
      </c>
      <c r="H3875" s="417" t="s">
        <v>2616</v>
      </c>
      <c r="I3875" s="417" t="s">
        <v>1392</v>
      </c>
      <c r="J3875" s="417" t="s">
        <v>10191</v>
      </c>
      <c r="K3875" s="417" t="s">
        <v>10198</v>
      </c>
      <c r="L3875" s="417"/>
      <c r="M3875" s="417" t="s">
        <v>28840</v>
      </c>
    </row>
    <row r="3876" spans="1:13" x14ac:dyDescent="0.25">
      <c r="A3876" s="417" t="s">
        <v>3385</v>
      </c>
      <c r="B3876" s="417" t="s">
        <v>3405</v>
      </c>
      <c r="C3876" s="417" t="s">
        <v>10199</v>
      </c>
      <c r="D3876" s="417" t="s">
        <v>224</v>
      </c>
      <c r="E3876" s="423">
        <v>1.547132701993011E-2</v>
      </c>
      <c r="F3876" s="423">
        <v>2.6293583240308348E-4</v>
      </c>
      <c r="G3876" s="422">
        <v>574.04932964007128</v>
      </c>
      <c r="H3876" s="417" t="s">
        <v>2616</v>
      </c>
      <c r="I3876" s="417" t="s">
        <v>1392</v>
      </c>
      <c r="J3876" s="417" t="s">
        <v>10200</v>
      </c>
      <c r="K3876" s="417" t="s">
        <v>10201</v>
      </c>
      <c r="L3876" s="417"/>
      <c r="M3876" s="417" t="s">
        <v>28840</v>
      </c>
    </row>
    <row r="3877" spans="1:13" x14ac:dyDescent="0.25">
      <c r="A3877" s="417" t="s">
        <v>3385</v>
      </c>
      <c r="B3877" s="417" t="s">
        <v>3405</v>
      </c>
      <c r="C3877" s="417" t="s">
        <v>10202</v>
      </c>
      <c r="D3877" s="417" t="s">
        <v>224</v>
      </c>
      <c r="E3877" s="423">
        <v>1.0387775530692801E-2</v>
      </c>
      <c r="F3877" s="423">
        <v>3.6700071333686948E-4</v>
      </c>
      <c r="G3877" s="422">
        <v>559.42707460690031</v>
      </c>
      <c r="H3877" s="417" t="s">
        <v>2616</v>
      </c>
      <c r="I3877" s="417" t="s">
        <v>1392</v>
      </c>
      <c r="J3877" s="417" t="s">
        <v>10200</v>
      </c>
      <c r="K3877" s="417" t="s">
        <v>10203</v>
      </c>
      <c r="L3877" s="417"/>
      <c r="M3877" s="417" t="s">
        <v>28840</v>
      </c>
    </row>
    <row r="3878" spans="1:13" x14ac:dyDescent="0.25">
      <c r="A3878" s="417" t="s">
        <v>3385</v>
      </c>
      <c r="B3878" s="417" t="s">
        <v>3405</v>
      </c>
      <c r="C3878" s="417" t="s">
        <v>10204</v>
      </c>
      <c r="D3878" s="417" t="s">
        <v>224</v>
      </c>
      <c r="E3878" s="423">
        <v>7.6130998691401044E-3</v>
      </c>
      <c r="F3878" s="423">
        <v>3.2677563878266838E-4</v>
      </c>
      <c r="G3878" s="422">
        <v>593.18626010574997</v>
      </c>
      <c r="H3878" s="417" t="s">
        <v>2616</v>
      </c>
      <c r="I3878" s="417" t="s">
        <v>1392</v>
      </c>
      <c r="J3878" s="417" t="s">
        <v>10200</v>
      </c>
      <c r="K3878" s="417" t="s">
        <v>10205</v>
      </c>
      <c r="L3878" s="417"/>
      <c r="M3878" s="417" t="s">
        <v>28840</v>
      </c>
    </row>
    <row r="3879" spans="1:13" x14ac:dyDescent="0.25">
      <c r="A3879" s="417" t="s">
        <v>3385</v>
      </c>
      <c r="B3879" s="417" t="s">
        <v>3405</v>
      </c>
      <c r="C3879" s="417" t="s">
        <v>10206</v>
      </c>
      <c r="D3879" s="417" t="s">
        <v>224</v>
      </c>
      <c r="E3879" s="423">
        <v>1.1937383614568789E-2</v>
      </c>
      <c r="F3879" s="423">
        <v>3.6231046557608871E-4</v>
      </c>
      <c r="G3879" s="422">
        <v>621.02510848142924</v>
      </c>
      <c r="H3879" s="417" t="s">
        <v>2616</v>
      </c>
      <c r="I3879" s="417" t="s">
        <v>1392</v>
      </c>
      <c r="J3879" s="417" t="s">
        <v>10200</v>
      </c>
      <c r="K3879" s="417" t="s">
        <v>10207</v>
      </c>
      <c r="L3879" s="417"/>
      <c r="M3879" s="417" t="s">
        <v>28840</v>
      </c>
    </row>
    <row r="3880" spans="1:13" x14ac:dyDescent="0.25">
      <c r="A3880" s="417" t="s">
        <v>3385</v>
      </c>
      <c r="B3880" s="417" t="s">
        <v>3405</v>
      </c>
      <c r="C3880" s="417" t="s">
        <v>10208</v>
      </c>
      <c r="D3880" s="417" t="s">
        <v>224</v>
      </c>
      <c r="E3880" s="423">
        <v>1.382766952651969E-2</v>
      </c>
      <c r="F3880" s="423">
        <v>2.4956664601853571E-4</v>
      </c>
      <c r="G3880" s="422">
        <v>544.06745224322481</v>
      </c>
      <c r="H3880" s="417" t="s">
        <v>2616</v>
      </c>
      <c r="I3880" s="417" t="s">
        <v>1392</v>
      </c>
      <c r="J3880" s="417" t="s">
        <v>10209</v>
      </c>
      <c r="K3880" s="417" t="s">
        <v>10210</v>
      </c>
      <c r="L3880" s="417"/>
      <c r="M3880" s="417" t="s">
        <v>28840</v>
      </c>
    </row>
    <row r="3881" spans="1:13" x14ac:dyDescent="0.25">
      <c r="A3881" s="417" t="s">
        <v>3385</v>
      </c>
      <c r="B3881" s="417" t="s">
        <v>3405</v>
      </c>
      <c r="C3881" s="417" t="s">
        <v>10211</v>
      </c>
      <c r="D3881" s="417" t="s">
        <v>224</v>
      </c>
      <c r="E3881" s="423">
        <v>9.3778849145712186E-3</v>
      </c>
      <c r="F3881" s="423">
        <v>3.1402172768413002E-4</v>
      </c>
      <c r="G3881" s="422">
        <v>480.07044873020521</v>
      </c>
      <c r="H3881" s="417" t="s">
        <v>2616</v>
      </c>
      <c r="I3881" s="417" t="s">
        <v>1392</v>
      </c>
      <c r="J3881" s="417" t="s">
        <v>10209</v>
      </c>
      <c r="K3881" s="417" t="s">
        <v>10212</v>
      </c>
      <c r="L3881" s="417"/>
      <c r="M3881" s="417" t="s">
        <v>28840</v>
      </c>
    </row>
    <row r="3882" spans="1:13" x14ac:dyDescent="0.25">
      <c r="A3882" s="417" t="s">
        <v>3385</v>
      </c>
      <c r="B3882" s="417" t="s">
        <v>3405</v>
      </c>
      <c r="C3882" s="417" t="s">
        <v>10213</v>
      </c>
      <c r="D3882" s="417" t="s">
        <v>224</v>
      </c>
      <c r="E3882" s="423">
        <v>9.5055789801569823E-3</v>
      </c>
      <c r="F3882" s="423">
        <v>3.220014050791171E-4</v>
      </c>
      <c r="G3882" s="422">
        <v>530.52570792136771</v>
      </c>
      <c r="H3882" s="417" t="s">
        <v>2616</v>
      </c>
      <c r="I3882" s="417" t="s">
        <v>1392</v>
      </c>
      <c r="J3882" s="417" t="s">
        <v>10209</v>
      </c>
      <c r="K3882" s="417" t="s">
        <v>10214</v>
      </c>
      <c r="L3882" s="417"/>
      <c r="M3882" s="417" t="s">
        <v>28840</v>
      </c>
    </row>
    <row r="3883" spans="1:13" x14ac:dyDescent="0.25">
      <c r="A3883" s="417" t="s">
        <v>3385</v>
      </c>
      <c r="B3883" s="417" t="s">
        <v>3405</v>
      </c>
      <c r="C3883" s="417" t="s">
        <v>10215</v>
      </c>
      <c r="D3883" s="417" t="s">
        <v>224</v>
      </c>
      <c r="E3883" s="423">
        <v>6.5984378347264568E-3</v>
      </c>
      <c r="F3883" s="423">
        <v>3.0746728256654261E-4</v>
      </c>
      <c r="G3883" s="422">
        <v>832.71875497110216</v>
      </c>
      <c r="H3883" s="417" t="s">
        <v>2616</v>
      </c>
      <c r="I3883" s="417" t="s">
        <v>1392</v>
      </c>
      <c r="J3883" s="417" t="s">
        <v>10209</v>
      </c>
      <c r="K3883" s="417" t="s">
        <v>10216</v>
      </c>
      <c r="L3883" s="417"/>
      <c r="M3883" s="417" t="s">
        <v>28840</v>
      </c>
    </row>
    <row r="3884" spans="1:13" x14ac:dyDescent="0.25">
      <c r="A3884" s="417" t="s">
        <v>3385</v>
      </c>
      <c r="B3884" s="417" t="s">
        <v>3405</v>
      </c>
      <c r="C3884" s="417" t="s">
        <v>10217</v>
      </c>
      <c r="D3884" s="417" t="s">
        <v>224</v>
      </c>
      <c r="E3884" s="423">
        <v>7.8304521792326304E-3</v>
      </c>
      <c r="F3884" s="423">
        <v>3.2601184061642442E-4</v>
      </c>
      <c r="G3884" s="422">
        <v>725.93601648739616</v>
      </c>
      <c r="H3884" s="417" t="s">
        <v>2616</v>
      </c>
      <c r="I3884" s="417" t="s">
        <v>1392</v>
      </c>
      <c r="J3884" s="417" t="s">
        <v>10209</v>
      </c>
      <c r="K3884" s="417" t="s">
        <v>10218</v>
      </c>
      <c r="L3884" s="417"/>
      <c r="M3884" s="417" t="s">
        <v>28840</v>
      </c>
    </row>
    <row r="3885" spans="1:13" x14ac:dyDescent="0.25">
      <c r="A3885" s="417" t="s">
        <v>3385</v>
      </c>
      <c r="B3885" s="417" t="s">
        <v>3405</v>
      </c>
      <c r="C3885" s="417" t="s">
        <v>10219</v>
      </c>
      <c r="D3885" s="417" t="s">
        <v>224</v>
      </c>
      <c r="E3885" s="423">
        <v>1.3211893110930019E-2</v>
      </c>
      <c r="F3885" s="423">
        <v>3.3448214682049352E-4</v>
      </c>
      <c r="G3885" s="422">
        <v>578.70878514837591</v>
      </c>
      <c r="H3885" s="417" t="s">
        <v>2616</v>
      </c>
      <c r="I3885" s="417" t="s">
        <v>1392</v>
      </c>
      <c r="J3885" s="417" t="s">
        <v>10209</v>
      </c>
      <c r="K3885" s="417" t="s">
        <v>10220</v>
      </c>
      <c r="L3885" s="417"/>
      <c r="M3885" s="417" t="s">
        <v>28840</v>
      </c>
    </row>
    <row r="3886" spans="1:13" x14ac:dyDescent="0.25">
      <c r="A3886" s="417" t="s">
        <v>3385</v>
      </c>
      <c r="B3886" s="417" t="s">
        <v>3405</v>
      </c>
      <c r="C3886" s="417" t="s">
        <v>10221</v>
      </c>
      <c r="D3886" s="417" t="s">
        <v>224</v>
      </c>
      <c r="E3886" s="423">
        <v>0.90116219195793823</v>
      </c>
      <c r="F3886" s="423">
        <v>3.0938631440751152E-3</v>
      </c>
      <c r="G3886" s="422">
        <v>1126.269482538989</v>
      </c>
      <c r="H3886" s="417" t="s">
        <v>2616</v>
      </c>
      <c r="I3886" s="417" t="s">
        <v>1392</v>
      </c>
      <c r="J3886" s="417" t="s">
        <v>10222</v>
      </c>
      <c r="K3886" s="417" t="s">
        <v>10223</v>
      </c>
      <c r="L3886" s="417"/>
      <c r="M3886" s="417" t="s">
        <v>28840</v>
      </c>
    </row>
    <row r="3887" spans="1:13" x14ac:dyDescent="0.25">
      <c r="A3887" s="417" t="s">
        <v>3385</v>
      </c>
      <c r="B3887" s="417" t="s">
        <v>3405</v>
      </c>
      <c r="C3887" s="417" t="s">
        <v>10224</v>
      </c>
      <c r="D3887" s="417" t="s">
        <v>224</v>
      </c>
      <c r="E3887" s="423">
        <v>1.0088017190328531</v>
      </c>
      <c r="F3887" s="423">
        <v>3.4488966196002898E-3</v>
      </c>
      <c r="G3887" s="422">
        <v>1358.687545362367</v>
      </c>
      <c r="H3887" s="417" t="s">
        <v>2616</v>
      </c>
      <c r="I3887" s="417" t="s">
        <v>1392</v>
      </c>
      <c r="J3887" s="417" t="s">
        <v>10222</v>
      </c>
      <c r="K3887" s="417" t="s">
        <v>10225</v>
      </c>
      <c r="L3887" s="417"/>
      <c r="M3887" s="417" t="s">
        <v>28840</v>
      </c>
    </row>
    <row r="3888" spans="1:13" x14ac:dyDescent="0.25">
      <c r="A3888" s="417" t="s">
        <v>3385</v>
      </c>
      <c r="B3888" s="417" t="s">
        <v>3405</v>
      </c>
      <c r="C3888" s="417" t="s">
        <v>10226</v>
      </c>
      <c r="D3888" s="417" t="s">
        <v>224</v>
      </c>
      <c r="E3888" s="423">
        <v>1.0733397836912559</v>
      </c>
      <c r="F3888" s="423">
        <v>3.6179601794202941E-3</v>
      </c>
      <c r="G3888" s="422">
        <v>1524.481877328132</v>
      </c>
      <c r="H3888" s="417" t="s">
        <v>2616</v>
      </c>
      <c r="I3888" s="417" t="s">
        <v>1392</v>
      </c>
      <c r="J3888" s="417" t="s">
        <v>10222</v>
      </c>
      <c r="K3888" s="417" t="s">
        <v>10227</v>
      </c>
      <c r="L3888" s="417"/>
      <c r="M3888" s="417" t="s">
        <v>28840</v>
      </c>
    </row>
    <row r="3889" spans="1:13" x14ac:dyDescent="0.25">
      <c r="A3889" s="417" t="s">
        <v>3385</v>
      </c>
      <c r="B3889" s="417" t="s">
        <v>3405</v>
      </c>
      <c r="C3889" s="417" t="s">
        <v>10228</v>
      </c>
      <c r="D3889" s="417" t="s">
        <v>224</v>
      </c>
      <c r="E3889" s="423">
        <v>1.3201601070993461</v>
      </c>
      <c r="F3889" s="423">
        <v>4.4632779883709674E-3</v>
      </c>
      <c r="G3889" s="422">
        <v>1771.51922677331</v>
      </c>
      <c r="H3889" s="417" t="s">
        <v>2616</v>
      </c>
      <c r="I3889" s="417" t="s">
        <v>1392</v>
      </c>
      <c r="J3889" s="417" t="s">
        <v>10222</v>
      </c>
      <c r="K3889" s="417" t="s">
        <v>10229</v>
      </c>
      <c r="L3889" s="417"/>
      <c r="M3889" s="417" t="s">
        <v>28840</v>
      </c>
    </row>
    <row r="3890" spans="1:13" x14ac:dyDescent="0.25">
      <c r="A3890" s="417" t="s">
        <v>3385</v>
      </c>
      <c r="B3890" s="417" t="s">
        <v>3405</v>
      </c>
      <c r="C3890" s="417" t="s">
        <v>10230</v>
      </c>
      <c r="D3890" s="417" t="s">
        <v>224</v>
      </c>
      <c r="E3890" s="423">
        <v>1.2390232158274961</v>
      </c>
      <c r="F3890" s="423">
        <v>4.0783908146959629E-3</v>
      </c>
      <c r="G3890" s="422">
        <v>1561.166516753605</v>
      </c>
      <c r="H3890" s="417" t="s">
        <v>2616</v>
      </c>
      <c r="I3890" s="417" t="s">
        <v>1392</v>
      </c>
      <c r="J3890" s="417" t="s">
        <v>10222</v>
      </c>
      <c r="K3890" s="417" t="s">
        <v>10231</v>
      </c>
      <c r="L3890" s="417"/>
      <c r="M3890" s="417" t="s">
        <v>28840</v>
      </c>
    </row>
    <row r="3891" spans="1:13" x14ac:dyDescent="0.25">
      <c r="A3891" s="417" t="s">
        <v>3385</v>
      </c>
      <c r="B3891" s="417" t="s">
        <v>3405</v>
      </c>
      <c r="C3891" s="417" t="s">
        <v>10232</v>
      </c>
      <c r="D3891" s="417" t="s">
        <v>224</v>
      </c>
      <c r="E3891" s="423">
        <v>0.89809203779706215</v>
      </c>
      <c r="F3891" s="423">
        <v>3.0059500929857362E-3</v>
      </c>
      <c r="G3891" s="422">
        <v>1280.348158626191</v>
      </c>
      <c r="H3891" s="417" t="s">
        <v>2616</v>
      </c>
      <c r="I3891" s="417" t="s">
        <v>1392</v>
      </c>
      <c r="J3891" s="417" t="s">
        <v>10222</v>
      </c>
      <c r="K3891" s="417" t="s">
        <v>10233</v>
      </c>
      <c r="L3891" s="417"/>
      <c r="M3891" s="417" t="s">
        <v>28840</v>
      </c>
    </row>
    <row r="3892" spans="1:13" x14ac:dyDescent="0.25">
      <c r="A3892" s="417" t="s">
        <v>3385</v>
      </c>
      <c r="B3892" s="417" t="s">
        <v>3405</v>
      </c>
      <c r="C3892" s="417" t="s">
        <v>10234</v>
      </c>
      <c r="D3892" s="417" t="s">
        <v>224</v>
      </c>
      <c r="E3892" s="423">
        <v>1.0638562311591</v>
      </c>
      <c r="F3892" s="423">
        <v>3.6204037461177638E-3</v>
      </c>
      <c r="G3892" s="422">
        <v>1471.944946994478</v>
      </c>
      <c r="H3892" s="417" t="s">
        <v>2616</v>
      </c>
      <c r="I3892" s="417" t="s">
        <v>1392</v>
      </c>
      <c r="J3892" s="417" t="s">
        <v>10222</v>
      </c>
      <c r="K3892" s="417" t="s">
        <v>10235</v>
      </c>
      <c r="L3892" s="417"/>
      <c r="M3892" s="417" t="s">
        <v>28840</v>
      </c>
    </row>
    <row r="3893" spans="1:13" x14ac:dyDescent="0.25">
      <c r="A3893" s="417" t="s">
        <v>3385</v>
      </c>
      <c r="B3893" s="417" t="s">
        <v>3405</v>
      </c>
      <c r="C3893" s="417" t="s">
        <v>10236</v>
      </c>
      <c r="D3893" s="417" t="s">
        <v>224</v>
      </c>
      <c r="E3893" s="423">
        <v>0.57393259046209866</v>
      </c>
      <c r="F3893" s="423">
        <v>1.974661095332282E-3</v>
      </c>
      <c r="G3893" s="422">
        <v>786.82033470000863</v>
      </c>
      <c r="H3893" s="417" t="s">
        <v>2616</v>
      </c>
      <c r="I3893" s="417" t="s">
        <v>1392</v>
      </c>
      <c r="J3893" s="417" t="s">
        <v>10222</v>
      </c>
      <c r="K3893" s="417" t="s">
        <v>10237</v>
      </c>
      <c r="L3893" s="417"/>
      <c r="M3893" s="417" t="s">
        <v>28840</v>
      </c>
    </row>
    <row r="3894" spans="1:13" x14ac:dyDescent="0.25">
      <c r="A3894" s="417" t="s">
        <v>3385</v>
      </c>
      <c r="B3894" s="417" t="s">
        <v>3405</v>
      </c>
      <c r="C3894" s="417" t="s">
        <v>10238</v>
      </c>
      <c r="D3894" s="417" t="s">
        <v>224</v>
      </c>
      <c r="E3894" s="423">
        <v>0.83092739341566835</v>
      </c>
      <c r="F3894" s="423">
        <v>2.8454360690009588E-3</v>
      </c>
      <c r="G3894" s="422">
        <v>1200.977547228925</v>
      </c>
      <c r="H3894" s="417" t="s">
        <v>2616</v>
      </c>
      <c r="I3894" s="417" t="s">
        <v>1392</v>
      </c>
      <c r="J3894" s="417" t="s">
        <v>10222</v>
      </c>
      <c r="K3894" s="417" t="s">
        <v>10239</v>
      </c>
      <c r="L3894" s="417"/>
      <c r="M3894" s="417" t="s">
        <v>28840</v>
      </c>
    </row>
    <row r="3895" spans="1:13" x14ac:dyDescent="0.25">
      <c r="A3895" s="417" t="s">
        <v>3385</v>
      </c>
      <c r="B3895" s="417" t="s">
        <v>3405</v>
      </c>
      <c r="C3895" s="417" t="s">
        <v>10240</v>
      </c>
      <c r="D3895" s="417" t="s">
        <v>224</v>
      </c>
      <c r="E3895" s="423">
        <v>1.2605926894964179</v>
      </c>
      <c r="F3895" s="423">
        <v>4.1118485066982671E-3</v>
      </c>
      <c r="G3895" s="422">
        <v>1822.2267508491429</v>
      </c>
      <c r="H3895" s="417" t="s">
        <v>2616</v>
      </c>
      <c r="I3895" s="417" t="s">
        <v>1392</v>
      </c>
      <c r="J3895" s="417" t="s">
        <v>10222</v>
      </c>
      <c r="K3895" s="417" t="s">
        <v>10241</v>
      </c>
      <c r="L3895" s="417"/>
      <c r="M3895" s="417" t="s">
        <v>28840</v>
      </c>
    </row>
    <row r="3896" spans="1:13" x14ac:dyDescent="0.25">
      <c r="A3896" s="417" t="s">
        <v>3385</v>
      </c>
      <c r="B3896" s="417" t="s">
        <v>3405</v>
      </c>
      <c r="C3896" s="417" t="s">
        <v>10242</v>
      </c>
      <c r="D3896" s="417" t="s">
        <v>224</v>
      </c>
      <c r="E3896" s="423">
        <v>0.96537506409808771</v>
      </c>
      <c r="F3896" s="423">
        <v>3.2122075820720962E-3</v>
      </c>
      <c r="G3896" s="422">
        <v>1344.5765428089569</v>
      </c>
      <c r="H3896" s="417" t="s">
        <v>2616</v>
      </c>
      <c r="I3896" s="417" t="s">
        <v>1392</v>
      </c>
      <c r="J3896" s="417" t="s">
        <v>10222</v>
      </c>
      <c r="K3896" s="417" t="s">
        <v>10243</v>
      </c>
      <c r="L3896" s="417"/>
      <c r="M3896" s="417" t="s">
        <v>28840</v>
      </c>
    </row>
    <row r="3897" spans="1:13" x14ac:dyDescent="0.25">
      <c r="A3897" s="417" t="s">
        <v>3385</v>
      </c>
      <c r="B3897" s="417" t="s">
        <v>3405</v>
      </c>
      <c r="C3897" s="417" t="s">
        <v>10244</v>
      </c>
      <c r="D3897" s="417" t="s">
        <v>224</v>
      </c>
      <c r="E3897" s="423">
        <v>1.0565193836903981</v>
      </c>
      <c r="F3897" s="423">
        <v>3.6179601794313981E-3</v>
      </c>
      <c r="G3897" s="422">
        <v>1570.22098800811</v>
      </c>
      <c r="H3897" s="417" t="s">
        <v>2616</v>
      </c>
      <c r="I3897" s="417" t="s">
        <v>1392</v>
      </c>
      <c r="J3897" s="417" t="s">
        <v>10222</v>
      </c>
      <c r="K3897" s="417" t="s">
        <v>10245</v>
      </c>
      <c r="L3897" s="417"/>
      <c r="M3897" s="417" t="s">
        <v>28840</v>
      </c>
    </row>
    <row r="3898" spans="1:13" x14ac:dyDescent="0.25">
      <c r="A3898" s="417" t="s">
        <v>3385</v>
      </c>
      <c r="B3898" s="417" t="s">
        <v>3405</v>
      </c>
      <c r="C3898" s="417" t="s">
        <v>10246</v>
      </c>
      <c r="D3898" s="417" t="s">
        <v>224</v>
      </c>
      <c r="E3898" s="423">
        <v>0.94751819188816377</v>
      </c>
      <c r="F3898" s="423">
        <v>3.2663079745763241E-3</v>
      </c>
      <c r="G3898" s="422">
        <v>1416.5080216899989</v>
      </c>
      <c r="H3898" s="417" t="s">
        <v>2616</v>
      </c>
      <c r="I3898" s="417" t="s">
        <v>1392</v>
      </c>
      <c r="J3898" s="417" t="s">
        <v>10222</v>
      </c>
      <c r="K3898" s="417" t="s">
        <v>10247</v>
      </c>
      <c r="L3898" s="417"/>
      <c r="M3898" s="417" t="s">
        <v>28840</v>
      </c>
    </row>
    <row r="3899" spans="1:13" x14ac:dyDescent="0.25">
      <c r="A3899" s="417" t="s">
        <v>3385</v>
      </c>
      <c r="B3899" s="417" t="s">
        <v>3405</v>
      </c>
      <c r="C3899" s="417" t="s">
        <v>10248</v>
      </c>
      <c r="D3899" s="417" t="s">
        <v>224</v>
      </c>
      <c r="E3899" s="423">
        <v>0.95113584648529259</v>
      </c>
      <c r="F3899" s="423">
        <v>3.3182742082863139E-3</v>
      </c>
      <c r="G3899" s="422">
        <v>1388.5315160250821</v>
      </c>
      <c r="H3899" s="417" t="s">
        <v>2616</v>
      </c>
      <c r="I3899" s="417" t="s">
        <v>1392</v>
      </c>
      <c r="J3899" s="417" t="s">
        <v>10222</v>
      </c>
      <c r="K3899" s="417" t="s">
        <v>10249</v>
      </c>
      <c r="L3899" s="417"/>
      <c r="M3899" s="417" t="s">
        <v>28840</v>
      </c>
    </row>
    <row r="3900" spans="1:13" x14ac:dyDescent="0.25">
      <c r="A3900" s="417" t="s">
        <v>3385</v>
      </c>
      <c r="B3900" s="417" t="s">
        <v>3405</v>
      </c>
      <c r="C3900" s="417" t="s">
        <v>10250</v>
      </c>
      <c r="D3900" s="417" t="s">
        <v>224</v>
      </c>
      <c r="E3900" s="423">
        <v>0.96257064229081379</v>
      </c>
      <c r="F3900" s="423">
        <v>3.1784037189469048E-3</v>
      </c>
      <c r="G3900" s="422">
        <v>1347.901596799768</v>
      </c>
      <c r="H3900" s="417" t="s">
        <v>2616</v>
      </c>
      <c r="I3900" s="417" t="s">
        <v>1392</v>
      </c>
      <c r="J3900" s="417" t="s">
        <v>10222</v>
      </c>
      <c r="K3900" s="417" t="s">
        <v>10251</v>
      </c>
      <c r="L3900" s="417"/>
      <c r="M3900" s="417" t="s">
        <v>28840</v>
      </c>
    </row>
    <row r="3901" spans="1:13" x14ac:dyDescent="0.25">
      <c r="A3901" s="417" t="s">
        <v>3385</v>
      </c>
      <c r="B3901" s="417" t="s">
        <v>3405</v>
      </c>
      <c r="C3901" s="417" t="s">
        <v>10252</v>
      </c>
      <c r="D3901" s="417" t="s">
        <v>224</v>
      </c>
      <c r="E3901" s="423">
        <v>0.78235273263761018</v>
      </c>
      <c r="F3901" s="423">
        <v>2.7523547528938521E-3</v>
      </c>
      <c r="G3901" s="422">
        <v>1013.541203064644</v>
      </c>
      <c r="H3901" s="417" t="s">
        <v>2616</v>
      </c>
      <c r="I3901" s="417" t="s">
        <v>1392</v>
      </c>
      <c r="J3901" s="417" t="s">
        <v>10222</v>
      </c>
      <c r="K3901" s="417" t="s">
        <v>10253</v>
      </c>
      <c r="L3901" s="417"/>
      <c r="M3901" s="417" t="s">
        <v>28840</v>
      </c>
    </row>
    <row r="3902" spans="1:13" x14ac:dyDescent="0.25">
      <c r="A3902" s="417" t="s">
        <v>3385</v>
      </c>
      <c r="B3902" s="417" t="s">
        <v>3405</v>
      </c>
      <c r="C3902" s="417" t="s">
        <v>10254</v>
      </c>
      <c r="D3902" s="417" t="s">
        <v>224</v>
      </c>
      <c r="E3902" s="423">
        <v>1.0020090468851119</v>
      </c>
      <c r="F3902" s="423">
        <v>3.3500702383481911E-3</v>
      </c>
      <c r="G3902" s="422">
        <v>1562.2425206381649</v>
      </c>
      <c r="H3902" s="417" t="s">
        <v>2616</v>
      </c>
      <c r="I3902" s="417" t="s">
        <v>1392</v>
      </c>
      <c r="J3902" s="417" t="s">
        <v>10222</v>
      </c>
      <c r="K3902" s="417" t="s">
        <v>10255</v>
      </c>
      <c r="L3902" s="417"/>
      <c r="M3902" s="417" t="s">
        <v>28840</v>
      </c>
    </row>
    <row r="3903" spans="1:13" x14ac:dyDescent="0.25">
      <c r="A3903" s="417" t="s">
        <v>3385</v>
      </c>
      <c r="B3903" s="417" t="s">
        <v>3405</v>
      </c>
      <c r="C3903" s="417" t="s">
        <v>10256</v>
      </c>
      <c r="D3903" s="417" t="s">
        <v>224</v>
      </c>
      <c r="E3903" s="423">
        <v>0.6647006559509907</v>
      </c>
      <c r="F3903" s="423">
        <v>2.2823580567490091E-3</v>
      </c>
      <c r="G3903" s="422">
        <v>874.05433493856265</v>
      </c>
      <c r="H3903" s="417" t="s">
        <v>2616</v>
      </c>
      <c r="I3903" s="417" t="s">
        <v>1392</v>
      </c>
      <c r="J3903" s="417" t="s">
        <v>10222</v>
      </c>
      <c r="K3903" s="417" t="s">
        <v>10257</v>
      </c>
      <c r="L3903" s="417"/>
      <c r="M3903" s="417" t="s">
        <v>28840</v>
      </c>
    </row>
    <row r="3904" spans="1:13" x14ac:dyDescent="0.25">
      <c r="A3904" s="417" t="s">
        <v>3385</v>
      </c>
      <c r="B3904" s="417" t="s">
        <v>3405</v>
      </c>
      <c r="C3904" s="417" t="s">
        <v>10258</v>
      </c>
      <c r="D3904" s="417" t="s">
        <v>224</v>
      </c>
      <c r="E3904" s="423">
        <v>0.90010916385079165</v>
      </c>
      <c r="F3904" s="423">
        <v>3.0431440757083699E-3</v>
      </c>
      <c r="G3904" s="422">
        <v>1139.4360990735829</v>
      </c>
      <c r="H3904" s="417" t="s">
        <v>2616</v>
      </c>
      <c r="I3904" s="417" t="s">
        <v>1392</v>
      </c>
      <c r="J3904" s="417" t="s">
        <v>10222</v>
      </c>
      <c r="K3904" s="417" t="s">
        <v>10259</v>
      </c>
      <c r="L3904" s="417"/>
      <c r="M3904" s="417" t="s">
        <v>28840</v>
      </c>
    </row>
    <row r="3905" spans="1:13" x14ac:dyDescent="0.25">
      <c r="A3905" s="417" t="s">
        <v>3385</v>
      </c>
      <c r="B3905" s="417" t="s">
        <v>3405</v>
      </c>
      <c r="C3905" s="417" t="s">
        <v>10260</v>
      </c>
      <c r="D3905" s="417" t="s">
        <v>224</v>
      </c>
      <c r="E3905" s="423">
        <v>1.008933453131019</v>
      </c>
      <c r="F3905" s="423">
        <v>3.7406100522922301E-3</v>
      </c>
      <c r="G3905" s="422">
        <v>1954.365735228215</v>
      </c>
      <c r="H3905" s="417" t="s">
        <v>2616</v>
      </c>
      <c r="I3905" s="417" t="s">
        <v>1392</v>
      </c>
      <c r="J3905" s="417" t="s">
        <v>10222</v>
      </c>
      <c r="K3905" s="417" t="s">
        <v>10261</v>
      </c>
      <c r="L3905" s="417"/>
      <c r="M3905" s="417" t="s">
        <v>28840</v>
      </c>
    </row>
    <row r="3906" spans="1:13" x14ac:dyDescent="0.25">
      <c r="A3906" s="417" t="s">
        <v>3385</v>
      </c>
      <c r="B3906" s="417" t="s">
        <v>3405</v>
      </c>
      <c r="C3906" s="417" t="s">
        <v>10262</v>
      </c>
      <c r="D3906" s="417" t="s">
        <v>224</v>
      </c>
      <c r="E3906" s="423">
        <v>0.96881093426239562</v>
      </c>
      <c r="F3906" s="423">
        <v>3.222992572858924E-3</v>
      </c>
      <c r="G3906" s="422">
        <v>1359.2312536143961</v>
      </c>
      <c r="H3906" s="417" t="s">
        <v>2616</v>
      </c>
      <c r="I3906" s="417" t="s">
        <v>1392</v>
      </c>
      <c r="J3906" s="417" t="s">
        <v>10222</v>
      </c>
      <c r="K3906" s="417" t="s">
        <v>10263</v>
      </c>
      <c r="L3906" s="417"/>
      <c r="M3906" s="417" t="s">
        <v>28840</v>
      </c>
    </row>
    <row r="3907" spans="1:13" x14ac:dyDescent="0.25">
      <c r="A3907" s="417" t="s">
        <v>3385</v>
      </c>
      <c r="B3907" s="417" t="s">
        <v>3405</v>
      </c>
      <c r="C3907" s="417" t="s">
        <v>10264</v>
      </c>
      <c r="D3907" s="417" t="s">
        <v>224</v>
      </c>
      <c r="E3907" s="423">
        <v>1.001716438428319</v>
      </c>
      <c r="F3907" s="423">
        <v>8.7599860313559486E-4</v>
      </c>
      <c r="G3907" s="422">
        <v>1074.750570689924</v>
      </c>
      <c r="H3907" s="417" t="s">
        <v>2616</v>
      </c>
      <c r="I3907" s="417" t="s">
        <v>1392</v>
      </c>
      <c r="J3907" s="417" t="s">
        <v>9108</v>
      </c>
      <c r="K3907" s="417" t="s">
        <v>10265</v>
      </c>
      <c r="L3907" s="417"/>
      <c r="M3907" s="417" t="s">
        <v>28840</v>
      </c>
    </row>
    <row r="3908" spans="1:13" x14ac:dyDescent="0.25">
      <c r="A3908" s="417" t="s">
        <v>3385</v>
      </c>
      <c r="B3908" s="417" t="s">
        <v>3405</v>
      </c>
      <c r="C3908" s="417" t="s">
        <v>10266</v>
      </c>
      <c r="D3908" s="417" t="s">
        <v>224</v>
      </c>
      <c r="E3908" s="423">
        <v>1.1279523072363631</v>
      </c>
      <c r="F3908" s="423">
        <v>9.7066543268238656E-4</v>
      </c>
      <c r="G3908" s="422">
        <v>1257.3525219071589</v>
      </c>
      <c r="H3908" s="417" t="s">
        <v>2616</v>
      </c>
      <c r="I3908" s="417" t="s">
        <v>1392</v>
      </c>
      <c r="J3908" s="417" t="s">
        <v>10267</v>
      </c>
      <c r="K3908" s="417" t="s">
        <v>10268</v>
      </c>
      <c r="L3908" s="417"/>
      <c r="M3908" s="417" t="s">
        <v>28840</v>
      </c>
    </row>
    <row r="3909" spans="1:13" x14ac:dyDescent="0.25">
      <c r="A3909" s="417" t="s">
        <v>3385</v>
      </c>
      <c r="B3909" s="417" t="s">
        <v>3405</v>
      </c>
      <c r="C3909" s="417" t="s">
        <v>10269</v>
      </c>
      <c r="D3909" s="417" t="s">
        <v>224</v>
      </c>
      <c r="E3909" s="423">
        <v>4.671322224029769E-2</v>
      </c>
      <c r="F3909" s="423">
        <v>2.357249321385041E-3</v>
      </c>
      <c r="G3909" s="422">
        <v>131.77148940626469</v>
      </c>
      <c r="H3909" s="417" t="s">
        <v>2616</v>
      </c>
      <c r="I3909" s="417" t="s">
        <v>1392</v>
      </c>
      <c r="J3909" s="417" t="s">
        <v>8063</v>
      </c>
      <c r="K3909" s="417" t="s">
        <v>10270</v>
      </c>
      <c r="L3909" s="417"/>
      <c r="M3909" s="417" t="s">
        <v>28840</v>
      </c>
    </row>
    <row r="3910" spans="1:13" x14ac:dyDescent="0.25">
      <c r="A3910" s="417" t="s">
        <v>3385</v>
      </c>
      <c r="B3910" s="417" t="s">
        <v>3405</v>
      </c>
      <c r="C3910" s="417" t="s">
        <v>10271</v>
      </c>
      <c r="D3910" s="417" t="s">
        <v>224</v>
      </c>
      <c r="E3910" s="423">
        <v>3.1451938125316527E-2</v>
      </c>
      <c r="F3910" s="423">
        <v>1.5269102310662161E-3</v>
      </c>
      <c r="G3910" s="422">
        <v>79.592721626362618</v>
      </c>
      <c r="H3910" s="417" t="s">
        <v>2616</v>
      </c>
      <c r="I3910" s="417" t="s">
        <v>1392</v>
      </c>
      <c r="J3910" s="417" t="s">
        <v>8063</v>
      </c>
      <c r="K3910" s="417" t="s">
        <v>10272</v>
      </c>
      <c r="L3910" s="417"/>
      <c r="M3910" s="417" t="s">
        <v>28840</v>
      </c>
    </row>
    <row r="3911" spans="1:13" x14ac:dyDescent="0.25">
      <c r="A3911" s="417" t="s">
        <v>3385</v>
      </c>
      <c r="B3911" s="417" t="s">
        <v>3405</v>
      </c>
      <c r="C3911" s="417" t="s">
        <v>10273</v>
      </c>
      <c r="D3911" s="417" t="s">
        <v>224</v>
      </c>
      <c r="E3911" s="423">
        <v>2.721004027633242E-2</v>
      </c>
      <c r="F3911" s="423">
        <v>1.4253654297931471E-3</v>
      </c>
      <c r="G3911" s="422">
        <v>70.67608325334777</v>
      </c>
      <c r="H3911" s="417" t="s">
        <v>2616</v>
      </c>
      <c r="I3911" s="417" t="s">
        <v>1392</v>
      </c>
      <c r="J3911" s="417" t="s">
        <v>8063</v>
      </c>
      <c r="K3911" s="417" t="s">
        <v>10274</v>
      </c>
      <c r="L3911" s="417"/>
      <c r="M3911" s="417" t="s">
        <v>28840</v>
      </c>
    </row>
    <row r="3912" spans="1:13" x14ac:dyDescent="0.25">
      <c r="A3912" s="417" t="s">
        <v>3385</v>
      </c>
      <c r="B3912" s="417" t="s">
        <v>3405</v>
      </c>
      <c r="C3912" s="417" t="s">
        <v>10275</v>
      </c>
      <c r="D3912" s="417" t="s">
        <v>224</v>
      </c>
      <c r="E3912" s="423">
        <v>4.5808987640735222E-3</v>
      </c>
      <c r="F3912" s="423">
        <v>1.8777081781664329E-4</v>
      </c>
      <c r="G3912" s="422">
        <v>19.041729136552579</v>
      </c>
      <c r="H3912" s="417" t="s">
        <v>2616</v>
      </c>
      <c r="I3912" s="417" t="s">
        <v>1392</v>
      </c>
      <c r="J3912" s="417" t="s">
        <v>8928</v>
      </c>
      <c r="K3912" s="417" t="s">
        <v>10276</v>
      </c>
      <c r="L3912" s="417"/>
      <c r="M3912" s="417" t="s">
        <v>28840</v>
      </c>
    </row>
    <row r="3913" spans="1:13" x14ac:dyDescent="0.25">
      <c r="A3913" s="417" t="s">
        <v>3385</v>
      </c>
      <c r="B3913" s="417" t="s">
        <v>3405</v>
      </c>
      <c r="C3913" s="417" t="s">
        <v>10277</v>
      </c>
      <c r="D3913" s="417" t="s">
        <v>224</v>
      </c>
      <c r="E3913" s="423">
        <v>0.37673818390925651</v>
      </c>
      <c r="F3913" s="423">
        <v>1.0556660301289801E-3</v>
      </c>
      <c r="G3913" s="422">
        <v>569.91602531071726</v>
      </c>
      <c r="H3913" s="417" t="s">
        <v>2616</v>
      </c>
      <c r="I3913" s="417" t="s">
        <v>1392</v>
      </c>
      <c r="J3913" s="417" t="s">
        <v>8072</v>
      </c>
      <c r="K3913" s="417" t="s">
        <v>10278</v>
      </c>
      <c r="L3913" s="417"/>
      <c r="M3913" s="417" t="s">
        <v>28840</v>
      </c>
    </row>
    <row r="3914" spans="1:13" x14ac:dyDescent="0.25">
      <c r="A3914" s="417" t="s">
        <v>3385</v>
      </c>
      <c r="B3914" s="417" t="s">
        <v>3405</v>
      </c>
      <c r="C3914" s="417" t="s">
        <v>10279</v>
      </c>
      <c r="D3914" s="417" t="s">
        <v>224</v>
      </c>
      <c r="E3914" s="423">
        <v>0.36667646593464948</v>
      </c>
      <c r="F3914" s="423">
        <v>1.498158522074238E-2</v>
      </c>
      <c r="G3914" s="422">
        <v>520.24222290612056</v>
      </c>
      <c r="H3914" s="417" t="s">
        <v>2616</v>
      </c>
      <c r="I3914" s="417" t="s">
        <v>1392</v>
      </c>
      <c r="J3914" s="417" t="s">
        <v>8072</v>
      </c>
      <c r="K3914" s="417" t="s">
        <v>10280</v>
      </c>
      <c r="L3914" s="417"/>
      <c r="M3914" s="417" t="s">
        <v>28840</v>
      </c>
    </row>
    <row r="3915" spans="1:13" x14ac:dyDescent="0.25">
      <c r="A3915" s="417" t="s">
        <v>3385</v>
      </c>
      <c r="B3915" s="417" t="s">
        <v>3405</v>
      </c>
      <c r="C3915" s="417" t="s">
        <v>10281</v>
      </c>
      <c r="D3915" s="417" t="s">
        <v>224</v>
      </c>
      <c r="E3915" s="423">
        <v>0.1080742042428478</v>
      </c>
      <c r="F3915" s="423">
        <v>4.850251970039151E-2</v>
      </c>
      <c r="G3915" s="422">
        <v>265.0844048074195</v>
      </c>
      <c r="H3915" s="417" t="s">
        <v>2616</v>
      </c>
      <c r="I3915" s="417" t="s">
        <v>1392</v>
      </c>
      <c r="J3915" s="417" t="s">
        <v>8072</v>
      </c>
      <c r="K3915" s="417" t="s">
        <v>10282</v>
      </c>
      <c r="L3915" s="417"/>
      <c r="M3915" s="417" t="s">
        <v>28840</v>
      </c>
    </row>
    <row r="3916" spans="1:13" x14ac:dyDescent="0.25">
      <c r="A3916" s="417" t="s">
        <v>3385</v>
      </c>
      <c r="B3916" s="417" t="s">
        <v>3405</v>
      </c>
      <c r="C3916" s="417" t="s">
        <v>10283</v>
      </c>
      <c r="D3916" s="417" t="s">
        <v>224</v>
      </c>
      <c r="E3916" s="423">
        <v>0.64621658793471226</v>
      </c>
      <c r="F3916" s="423">
        <v>1.0630618391296309E-2</v>
      </c>
      <c r="G3916" s="422">
        <v>803.83888903006311</v>
      </c>
      <c r="H3916" s="417" t="s">
        <v>2616</v>
      </c>
      <c r="I3916" s="417" t="s">
        <v>1392</v>
      </c>
      <c r="J3916" s="417" t="s">
        <v>8072</v>
      </c>
      <c r="K3916" s="417" t="s">
        <v>10284</v>
      </c>
      <c r="L3916" s="417"/>
      <c r="M3916" s="417" t="s">
        <v>28840</v>
      </c>
    </row>
    <row r="3917" spans="1:13" x14ac:dyDescent="0.25">
      <c r="A3917" s="417" t="s">
        <v>3385</v>
      </c>
      <c r="B3917" s="417" t="s">
        <v>3405</v>
      </c>
      <c r="C3917" s="417" t="s">
        <v>10285</v>
      </c>
      <c r="D3917" s="417" t="s">
        <v>224</v>
      </c>
      <c r="E3917" s="423">
        <v>0.86105234322110447</v>
      </c>
      <c r="F3917" s="423">
        <v>1.472010925612943E-2</v>
      </c>
      <c r="G3917" s="422">
        <v>1085.661345213691</v>
      </c>
      <c r="H3917" s="417" t="s">
        <v>2616</v>
      </c>
      <c r="I3917" s="417" t="s">
        <v>1392</v>
      </c>
      <c r="J3917" s="417" t="s">
        <v>8072</v>
      </c>
      <c r="K3917" s="417" t="s">
        <v>10286</v>
      </c>
      <c r="L3917" s="417"/>
      <c r="M3917" s="417" t="s">
        <v>28840</v>
      </c>
    </row>
    <row r="3918" spans="1:13" x14ac:dyDescent="0.25">
      <c r="A3918" s="417" t="s">
        <v>3385</v>
      </c>
      <c r="B3918" s="417" t="s">
        <v>3405</v>
      </c>
      <c r="C3918" s="417" t="s">
        <v>10287</v>
      </c>
      <c r="D3918" s="417" t="s">
        <v>224</v>
      </c>
      <c r="E3918" s="423">
        <v>0.64050680173401975</v>
      </c>
      <c r="F3918" s="423">
        <v>4.345544604052242E-3</v>
      </c>
      <c r="G3918" s="422">
        <v>888.04084689267302</v>
      </c>
      <c r="H3918" s="417" t="s">
        <v>2616</v>
      </c>
      <c r="I3918" s="417" t="s">
        <v>1392</v>
      </c>
      <c r="J3918" s="417" t="s">
        <v>8072</v>
      </c>
      <c r="K3918" s="417" t="s">
        <v>10288</v>
      </c>
      <c r="L3918" s="417"/>
      <c r="M3918" s="417" t="s">
        <v>28840</v>
      </c>
    </row>
    <row r="3919" spans="1:13" x14ac:dyDescent="0.25">
      <c r="A3919" s="417" t="s">
        <v>3385</v>
      </c>
      <c r="B3919" s="417" t="s">
        <v>3405</v>
      </c>
      <c r="C3919" s="417" t="s">
        <v>10289</v>
      </c>
      <c r="D3919" s="417" t="s">
        <v>224</v>
      </c>
      <c r="E3919" s="423">
        <v>0.14004776249556289</v>
      </c>
      <c r="F3919" s="423">
        <v>2.872402608626759E-2</v>
      </c>
      <c r="G3919" s="422">
        <v>413.14762140885841</v>
      </c>
      <c r="H3919" s="417" t="s">
        <v>2616</v>
      </c>
      <c r="I3919" s="417" t="s">
        <v>1392</v>
      </c>
      <c r="J3919" s="417" t="s">
        <v>8072</v>
      </c>
      <c r="K3919" s="417" t="s">
        <v>10290</v>
      </c>
      <c r="L3919" s="417"/>
      <c r="M3919" s="417" t="s">
        <v>28840</v>
      </c>
    </row>
    <row r="3920" spans="1:13" x14ac:dyDescent="0.25">
      <c r="A3920" s="417" t="s">
        <v>3385</v>
      </c>
      <c r="B3920" s="417" t="s">
        <v>3405</v>
      </c>
      <c r="C3920" s="417" t="s">
        <v>10291</v>
      </c>
      <c r="D3920" s="417" t="s">
        <v>224</v>
      </c>
      <c r="E3920" s="423">
        <v>0.39311867122608579</v>
      </c>
      <c r="F3920" s="423">
        <v>3.2956526857969633E-2</v>
      </c>
      <c r="G3920" s="422">
        <v>835.24758468751099</v>
      </c>
      <c r="H3920" s="417" t="s">
        <v>2616</v>
      </c>
      <c r="I3920" s="417" t="s">
        <v>1392</v>
      </c>
      <c r="J3920" s="417" t="s">
        <v>8072</v>
      </c>
      <c r="K3920" s="417" t="s">
        <v>10292</v>
      </c>
      <c r="L3920" s="417"/>
      <c r="M3920" s="417" t="s">
        <v>28840</v>
      </c>
    </row>
    <row r="3921" spans="1:13" x14ac:dyDescent="0.25">
      <c r="A3921" s="417" t="s">
        <v>3385</v>
      </c>
      <c r="B3921" s="417" t="s">
        <v>3405</v>
      </c>
      <c r="C3921" s="417" t="s">
        <v>10293</v>
      </c>
      <c r="D3921" s="417" t="s">
        <v>224</v>
      </c>
      <c r="E3921" s="423">
        <v>8.6596379107899205E-2</v>
      </c>
      <c r="F3921" s="423">
        <v>6.4165949736721226E-2</v>
      </c>
      <c r="G3921" s="422">
        <v>155.0917905720095</v>
      </c>
      <c r="H3921" s="417" t="s">
        <v>2616</v>
      </c>
      <c r="I3921" s="417" t="s">
        <v>1392</v>
      </c>
      <c r="J3921" s="417" t="s">
        <v>8072</v>
      </c>
      <c r="K3921" s="417" t="s">
        <v>10294</v>
      </c>
      <c r="L3921" s="417"/>
      <c r="M3921" s="417" t="s">
        <v>28840</v>
      </c>
    </row>
    <row r="3922" spans="1:13" x14ac:dyDescent="0.25">
      <c r="A3922" s="417" t="s">
        <v>3385</v>
      </c>
      <c r="B3922" s="417" t="s">
        <v>3405</v>
      </c>
      <c r="C3922" s="417" t="s">
        <v>10295</v>
      </c>
      <c r="D3922" s="417" t="s">
        <v>224</v>
      </c>
      <c r="E3922" s="423">
        <v>0.14066378204879321</v>
      </c>
      <c r="F3922" s="423">
        <v>1.132212116641775E-2</v>
      </c>
      <c r="G3922" s="422">
        <v>260.28488879882019</v>
      </c>
      <c r="H3922" s="417" t="s">
        <v>2616</v>
      </c>
      <c r="I3922" s="417" t="s">
        <v>1392</v>
      </c>
      <c r="J3922" s="417" t="s">
        <v>8072</v>
      </c>
      <c r="K3922" s="417" t="s">
        <v>10296</v>
      </c>
      <c r="L3922" s="417"/>
      <c r="M3922" s="417" t="s">
        <v>28840</v>
      </c>
    </row>
    <row r="3923" spans="1:13" x14ac:dyDescent="0.25">
      <c r="A3923" s="417" t="s">
        <v>3385</v>
      </c>
      <c r="B3923" s="417" t="s">
        <v>3405</v>
      </c>
      <c r="C3923" s="417" t="s">
        <v>10297</v>
      </c>
      <c r="D3923" s="417" t="s">
        <v>224</v>
      </c>
      <c r="E3923" s="423">
        <v>2.1323733686363089E-2</v>
      </c>
      <c r="F3923" s="423">
        <v>1.281469909323473E-2</v>
      </c>
      <c r="G3923" s="422">
        <v>235.9290934147906</v>
      </c>
      <c r="H3923" s="417" t="s">
        <v>2616</v>
      </c>
      <c r="I3923" s="417" t="s">
        <v>1392</v>
      </c>
      <c r="J3923" s="417" t="s">
        <v>8072</v>
      </c>
      <c r="K3923" s="417" t="s">
        <v>10298</v>
      </c>
      <c r="L3923" s="417"/>
      <c r="M3923" s="417" t="s">
        <v>28840</v>
      </c>
    </row>
    <row r="3924" spans="1:13" x14ac:dyDescent="0.25">
      <c r="A3924" s="417" t="s">
        <v>3385</v>
      </c>
      <c r="B3924" s="417" t="s">
        <v>3405</v>
      </c>
      <c r="C3924" s="417" t="s">
        <v>10299</v>
      </c>
      <c r="D3924" s="417" t="s">
        <v>224</v>
      </c>
      <c r="E3924" s="423">
        <v>0.30308027681194682</v>
      </c>
      <c r="F3924" s="423">
        <v>4.7530468388827123E-2</v>
      </c>
      <c r="G3924" s="422">
        <v>395.35081848233011</v>
      </c>
      <c r="H3924" s="417" t="s">
        <v>2616</v>
      </c>
      <c r="I3924" s="417" t="s">
        <v>1392</v>
      </c>
      <c r="J3924" s="417" t="s">
        <v>8072</v>
      </c>
      <c r="K3924" s="417" t="s">
        <v>10300</v>
      </c>
      <c r="L3924" s="417"/>
      <c r="M3924" s="417" t="s">
        <v>28840</v>
      </c>
    </row>
    <row r="3925" spans="1:13" x14ac:dyDescent="0.25">
      <c r="A3925" s="417" t="s">
        <v>3385</v>
      </c>
      <c r="B3925" s="417" t="s">
        <v>3405</v>
      </c>
      <c r="C3925" s="417" t="s">
        <v>10301</v>
      </c>
      <c r="D3925" s="417" t="s">
        <v>224</v>
      </c>
      <c r="E3925" s="423">
        <v>0.69800206248611463</v>
      </c>
      <c r="F3925" s="423">
        <v>1.558886586946227E-2</v>
      </c>
      <c r="G3925" s="422">
        <v>919.44272685629153</v>
      </c>
      <c r="H3925" s="417" t="s">
        <v>2616</v>
      </c>
      <c r="I3925" s="417" t="s">
        <v>1392</v>
      </c>
      <c r="J3925" s="417" t="s">
        <v>8072</v>
      </c>
      <c r="K3925" s="417" t="s">
        <v>10302</v>
      </c>
      <c r="L3925" s="417"/>
      <c r="M3925" s="417" t="s">
        <v>28840</v>
      </c>
    </row>
    <row r="3926" spans="1:13" x14ac:dyDescent="0.25">
      <c r="A3926" s="417" t="s">
        <v>3385</v>
      </c>
      <c r="B3926" s="417" t="s">
        <v>3405</v>
      </c>
      <c r="C3926" s="417" t="s">
        <v>10303</v>
      </c>
      <c r="D3926" s="417" t="s">
        <v>224</v>
      </c>
      <c r="E3926" s="423">
        <v>0.27612364014175411</v>
      </c>
      <c r="F3926" s="423">
        <v>2.0519660705478979E-2</v>
      </c>
      <c r="G3926" s="422">
        <v>355.88782411631257</v>
      </c>
      <c r="H3926" s="417" t="s">
        <v>2616</v>
      </c>
      <c r="I3926" s="417" t="s">
        <v>1392</v>
      </c>
      <c r="J3926" s="417" t="s">
        <v>8072</v>
      </c>
      <c r="K3926" s="417" t="s">
        <v>10304</v>
      </c>
      <c r="L3926" s="417"/>
      <c r="M3926" s="417" t="s">
        <v>28840</v>
      </c>
    </row>
    <row r="3927" spans="1:13" x14ac:dyDescent="0.25">
      <c r="A3927" s="417" t="s">
        <v>3385</v>
      </c>
      <c r="B3927" s="417" t="s">
        <v>3405</v>
      </c>
      <c r="C3927" s="417" t="s">
        <v>10305</v>
      </c>
      <c r="D3927" s="417" t="s">
        <v>224</v>
      </c>
      <c r="E3927" s="423">
        <v>0.47853863751231018</v>
      </c>
      <c r="F3927" s="423">
        <v>5.3038486920949153E-2</v>
      </c>
      <c r="G3927" s="422">
        <v>811.83951076919061</v>
      </c>
      <c r="H3927" s="417" t="s">
        <v>2616</v>
      </c>
      <c r="I3927" s="417" t="s">
        <v>1392</v>
      </c>
      <c r="J3927" s="417" t="s">
        <v>8072</v>
      </c>
      <c r="K3927" s="417" t="s">
        <v>10306</v>
      </c>
      <c r="L3927" s="417"/>
      <c r="M3927" s="417" t="s">
        <v>28840</v>
      </c>
    </row>
    <row r="3928" spans="1:13" x14ac:dyDescent="0.25">
      <c r="A3928" s="417" t="s">
        <v>3385</v>
      </c>
      <c r="B3928" s="417" t="s">
        <v>3405</v>
      </c>
      <c r="C3928" s="417" t="s">
        <v>10307</v>
      </c>
      <c r="D3928" s="417" t="s">
        <v>224</v>
      </c>
      <c r="E3928" s="423">
        <v>0.44681697635655732</v>
      </c>
      <c r="F3928" s="423">
        <v>5.8431917670386753E-2</v>
      </c>
      <c r="G3928" s="422">
        <v>669.49703196170071</v>
      </c>
      <c r="H3928" s="417" t="s">
        <v>2616</v>
      </c>
      <c r="I3928" s="417" t="s">
        <v>1392</v>
      </c>
      <c r="J3928" s="417" t="s">
        <v>8072</v>
      </c>
      <c r="K3928" s="417" t="s">
        <v>10308</v>
      </c>
      <c r="L3928" s="417"/>
      <c r="M3928" s="417" t="s">
        <v>28840</v>
      </c>
    </row>
    <row r="3929" spans="1:13" x14ac:dyDescent="0.25">
      <c r="A3929" s="417" t="s">
        <v>3385</v>
      </c>
      <c r="B3929" s="417" t="s">
        <v>3405</v>
      </c>
      <c r="C3929" s="417" t="s">
        <v>10309</v>
      </c>
      <c r="D3929" s="417" t="s">
        <v>224</v>
      </c>
      <c r="E3929" s="423">
        <v>0.11409539488960251</v>
      </c>
      <c r="F3929" s="423">
        <v>0.1277196524122029</v>
      </c>
      <c r="G3929" s="422">
        <v>181.7654002268975</v>
      </c>
      <c r="H3929" s="417" t="s">
        <v>2616</v>
      </c>
      <c r="I3929" s="417" t="s">
        <v>1392</v>
      </c>
      <c r="J3929" s="417" t="s">
        <v>8072</v>
      </c>
      <c r="K3929" s="417" t="s">
        <v>10310</v>
      </c>
      <c r="L3929" s="417"/>
      <c r="M3929" s="417" t="s">
        <v>28840</v>
      </c>
    </row>
    <row r="3930" spans="1:13" x14ac:dyDescent="0.25">
      <c r="A3930" s="417" t="s">
        <v>3385</v>
      </c>
      <c r="B3930" s="417" t="s">
        <v>3405</v>
      </c>
      <c r="C3930" s="417" t="s">
        <v>10311</v>
      </c>
      <c r="D3930" s="417" t="s">
        <v>224</v>
      </c>
      <c r="E3930" s="423">
        <v>0.5616804483955975</v>
      </c>
      <c r="F3930" s="423">
        <v>2.428165036327313E-3</v>
      </c>
      <c r="G3930" s="422">
        <v>705.08934862891817</v>
      </c>
      <c r="H3930" s="417" t="s">
        <v>2616</v>
      </c>
      <c r="I3930" s="417" t="s">
        <v>1392</v>
      </c>
      <c r="J3930" s="417" t="s">
        <v>8072</v>
      </c>
      <c r="K3930" s="417" t="s">
        <v>10312</v>
      </c>
      <c r="L3930" s="417"/>
      <c r="M3930" s="417" t="s">
        <v>28840</v>
      </c>
    </row>
    <row r="3931" spans="1:13" x14ac:dyDescent="0.25">
      <c r="A3931" s="417" t="s">
        <v>3385</v>
      </c>
      <c r="B3931" s="417" t="s">
        <v>3405</v>
      </c>
      <c r="C3931" s="417" t="s">
        <v>10313</v>
      </c>
      <c r="D3931" s="417" t="s">
        <v>224</v>
      </c>
      <c r="E3931" s="423">
        <v>0.42362167661011418</v>
      </c>
      <c r="F3931" s="423">
        <v>0.19401729428801931</v>
      </c>
      <c r="G3931" s="422">
        <v>746.31337075581621</v>
      </c>
      <c r="H3931" s="417" t="s">
        <v>2616</v>
      </c>
      <c r="I3931" s="417" t="s">
        <v>1392</v>
      </c>
      <c r="J3931" s="417" t="s">
        <v>8072</v>
      </c>
      <c r="K3931" s="417" t="s">
        <v>10314</v>
      </c>
      <c r="L3931" s="417"/>
      <c r="M3931" s="417" t="s">
        <v>28840</v>
      </c>
    </row>
    <row r="3932" spans="1:13" x14ac:dyDescent="0.25">
      <c r="A3932" s="417" t="s">
        <v>3385</v>
      </c>
      <c r="B3932" s="417" t="s">
        <v>3405</v>
      </c>
      <c r="C3932" s="417" t="s">
        <v>10315</v>
      </c>
      <c r="D3932" s="417" t="s">
        <v>224</v>
      </c>
      <c r="E3932" s="423">
        <v>0.45463676688709048</v>
      </c>
      <c r="F3932" s="423">
        <v>1.200426408092544E-3</v>
      </c>
      <c r="G3932" s="422">
        <v>567.59534936039552</v>
      </c>
      <c r="H3932" s="417" t="s">
        <v>2616</v>
      </c>
      <c r="I3932" s="417" t="s">
        <v>1392</v>
      </c>
      <c r="J3932" s="417" t="s">
        <v>8072</v>
      </c>
      <c r="K3932" s="417" t="s">
        <v>10316</v>
      </c>
      <c r="L3932" s="417"/>
      <c r="M3932" s="417" t="s">
        <v>28840</v>
      </c>
    </row>
    <row r="3933" spans="1:13" x14ac:dyDescent="0.25">
      <c r="A3933" s="417" t="s">
        <v>3385</v>
      </c>
      <c r="B3933" s="417" t="s">
        <v>3405</v>
      </c>
      <c r="C3933" s="417" t="s">
        <v>10317</v>
      </c>
      <c r="D3933" s="417" t="s">
        <v>224</v>
      </c>
      <c r="E3933" s="423">
        <v>0.25832453166723102</v>
      </c>
      <c r="F3933" s="423">
        <v>3.2720255261727782E-2</v>
      </c>
      <c r="G3933" s="422">
        <v>512.51665589585252</v>
      </c>
      <c r="H3933" s="417" t="s">
        <v>2616</v>
      </c>
      <c r="I3933" s="417" t="s">
        <v>1392</v>
      </c>
      <c r="J3933" s="417" t="s">
        <v>8072</v>
      </c>
      <c r="K3933" s="417" t="s">
        <v>10318</v>
      </c>
      <c r="L3933" s="417"/>
      <c r="M3933" s="417" t="s">
        <v>28840</v>
      </c>
    </row>
    <row r="3934" spans="1:13" x14ac:dyDescent="0.25">
      <c r="A3934" s="417" t="s">
        <v>3385</v>
      </c>
      <c r="B3934" s="417" t="s">
        <v>3405</v>
      </c>
      <c r="C3934" s="417" t="s">
        <v>10319</v>
      </c>
      <c r="D3934" s="417" t="s">
        <v>224</v>
      </c>
      <c r="E3934" s="423">
        <v>0.19158739902750921</v>
      </c>
      <c r="F3934" s="423">
        <v>1.441628665152596E-2</v>
      </c>
      <c r="G3934" s="422">
        <v>424.11095903955328</v>
      </c>
      <c r="H3934" s="417" t="s">
        <v>2616</v>
      </c>
      <c r="I3934" s="417" t="s">
        <v>1392</v>
      </c>
      <c r="J3934" s="417" t="s">
        <v>8072</v>
      </c>
      <c r="K3934" s="417" t="s">
        <v>10320</v>
      </c>
      <c r="L3934" s="417"/>
      <c r="M3934" s="417" t="s">
        <v>28840</v>
      </c>
    </row>
    <row r="3935" spans="1:13" x14ac:dyDescent="0.25">
      <c r="A3935" s="417" t="s">
        <v>3385</v>
      </c>
      <c r="B3935" s="417" t="s">
        <v>3405</v>
      </c>
      <c r="C3935" s="417" t="s">
        <v>10321</v>
      </c>
      <c r="D3935" s="417" t="s">
        <v>224</v>
      </c>
      <c r="E3935" s="423">
        <v>6.7258661575033711E-3</v>
      </c>
      <c r="F3935" s="423">
        <v>6.4951281656410766E-4</v>
      </c>
      <c r="G3935" s="422">
        <v>28.262937218961738</v>
      </c>
      <c r="H3935" s="417" t="s">
        <v>2616</v>
      </c>
      <c r="I3935" s="417" t="s">
        <v>1392</v>
      </c>
      <c r="J3935" s="417" t="s">
        <v>8072</v>
      </c>
      <c r="K3935" s="417" t="s">
        <v>10322</v>
      </c>
      <c r="L3935" s="417"/>
      <c r="M3935" s="417" t="s">
        <v>28840</v>
      </c>
    </row>
    <row r="3936" spans="1:13" x14ac:dyDescent="0.25">
      <c r="A3936" s="417" t="s">
        <v>3385</v>
      </c>
      <c r="B3936" s="417" t="s">
        <v>3405</v>
      </c>
      <c r="C3936" s="417" t="s">
        <v>10323</v>
      </c>
      <c r="D3936" s="417" t="s">
        <v>224</v>
      </c>
      <c r="E3936" s="423">
        <v>0.1023186408332208</v>
      </c>
      <c r="F3936" s="423">
        <v>9.6214340240303189E-2</v>
      </c>
      <c r="G3936" s="422">
        <v>374.4292014680866</v>
      </c>
      <c r="H3936" s="417" t="s">
        <v>2616</v>
      </c>
      <c r="I3936" s="417" t="s">
        <v>1392</v>
      </c>
      <c r="J3936" s="417" t="s">
        <v>8072</v>
      </c>
      <c r="K3936" s="417" t="s">
        <v>10324</v>
      </c>
      <c r="L3936" s="417"/>
      <c r="M3936" s="417" t="s">
        <v>28840</v>
      </c>
    </row>
    <row r="3937" spans="1:13" x14ac:dyDescent="0.25">
      <c r="A3937" s="417" t="s">
        <v>3385</v>
      </c>
      <c r="B3937" s="417" t="s">
        <v>3405</v>
      </c>
      <c r="C3937" s="417" t="s">
        <v>10325</v>
      </c>
      <c r="D3937" s="417" t="s">
        <v>224</v>
      </c>
      <c r="E3937" s="423">
        <v>5.4925344723179163E-2</v>
      </c>
      <c r="F3937" s="423">
        <v>1.236509201369247E-2</v>
      </c>
      <c r="G3937" s="422">
        <v>605.19957634514299</v>
      </c>
      <c r="H3937" s="417" t="s">
        <v>2616</v>
      </c>
      <c r="I3937" s="417" t="s">
        <v>1392</v>
      </c>
      <c r="J3937" s="417" t="s">
        <v>8072</v>
      </c>
      <c r="K3937" s="417" t="s">
        <v>10326</v>
      </c>
      <c r="L3937" s="417"/>
      <c r="M3937" s="417" t="s">
        <v>28840</v>
      </c>
    </row>
    <row r="3938" spans="1:13" x14ac:dyDescent="0.25">
      <c r="A3938" s="417" t="s">
        <v>3385</v>
      </c>
      <c r="B3938" s="417" t="s">
        <v>3405</v>
      </c>
      <c r="C3938" s="417" t="s">
        <v>10327</v>
      </c>
      <c r="D3938" s="417" t="s">
        <v>224</v>
      </c>
      <c r="E3938" s="423">
        <v>0.19023555847144341</v>
      </c>
      <c r="F3938" s="423">
        <v>7.4296406367813497E-2</v>
      </c>
      <c r="G3938" s="422">
        <v>378.57309522493011</v>
      </c>
      <c r="H3938" s="417" t="s">
        <v>2616</v>
      </c>
      <c r="I3938" s="417" t="s">
        <v>1392</v>
      </c>
      <c r="J3938" s="417" t="s">
        <v>8072</v>
      </c>
      <c r="K3938" s="417" t="s">
        <v>10328</v>
      </c>
      <c r="L3938" s="417"/>
      <c r="M3938" s="417" t="s">
        <v>28840</v>
      </c>
    </row>
    <row r="3939" spans="1:13" x14ac:dyDescent="0.25">
      <c r="A3939" s="417" t="s">
        <v>3385</v>
      </c>
      <c r="B3939" s="417" t="s">
        <v>3405</v>
      </c>
      <c r="C3939" s="417" t="s">
        <v>10329</v>
      </c>
      <c r="D3939" s="417" t="s">
        <v>224</v>
      </c>
      <c r="E3939" s="423">
        <v>0.54901062607777185</v>
      </c>
      <c r="F3939" s="423">
        <v>1.8081220317183101E-2</v>
      </c>
      <c r="G3939" s="422">
        <v>776.94787224965194</v>
      </c>
      <c r="H3939" s="417" t="s">
        <v>2616</v>
      </c>
      <c r="I3939" s="417" t="s">
        <v>1392</v>
      </c>
      <c r="J3939" s="417" t="s">
        <v>8072</v>
      </c>
      <c r="K3939" s="417" t="s">
        <v>10330</v>
      </c>
      <c r="L3939" s="417"/>
      <c r="M3939" s="417" t="s">
        <v>28840</v>
      </c>
    </row>
    <row r="3940" spans="1:13" x14ac:dyDescent="0.25">
      <c r="A3940" s="417" t="s">
        <v>3385</v>
      </c>
      <c r="B3940" s="417" t="s">
        <v>3405</v>
      </c>
      <c r="C3940" s="417" t="s">
        <v>10331</v>
      </c>
      <c r="D3940" s="417" t="s">
        <v>224</v>
      </c>
      <c r="E3940" s="423">
        <v>0.34434642213521249</v>
      </c>
      <c r="F3940" s="423">
        <v>5.3815552877379486E-3</v>
      </c>
      <c r="G3940" s="422">
        <v>446.6676216156784</v>
      </c>
      <c r="H3940" s="417" t="s">
        <v>2616</v>
      </c>
      <c r="I3940" s="417" t="s">
        <v>1392</v>
      </c>
      <c r="J3940" s="417" t="s">
        <v>8072</v>
      </c>
      <c r="K3940" s="417" t="s">
        <v>10332</v>
      </c>
      <c r="L3940" s="417"/>
      <c r="M3940" s="417" t="s">
        <v>28840</v>
      </c>
    </row>
    <row r="3941" spans="1:13" x14ac:dyDescent="0.25">
      <c r="A3941" s="417" t="s">
        <v>3385</v>
      </c>
      <c r="B3941" s="417" t="s">
        <v>3405</v>
      </c>
      <c r="C3941" s="417" t="s">
        <v>10333</v>
      </c>
      <c r="D3941" s="417" t="s">
        <v>224</v>
      </c>
      <c r="E3941" s="423">
        <v>0.21365783320071649</v>
      </c>
      <c r="F3941" s="423">
        <v>3.0261704780379161E-2</v>
      </c>
      <c r="G3941" s="422">
        <v>280.58599688841878</v>
      </c>
      <c r="H3941" s="417" t="s">
        <v>2616</v>
      </c>
      <c r="I3941" s="417" t="s">
        <v>1392</v>
      </c>
      <c r="J3941" s="417" t="s">
        <v>8072</v>
      </c>
      <c r="K3941" s="417" t="s">
        <v>10334</v>
      </c>
      <c r="L3941" s="417"/>
      <c r="M3941" s="417" t="s">
        <v>28840</v>
      </c>
    </row>
    <row r="3942" spans="1:13" x14ac:dyDescent="0.25">
      <c r="A3942" s="417" t="s">
        <v>3385</v>
      </c>
      <c r="B3942" s="417" t="s">
        <v>3405</v>
      </c>
      <c r="C3942" s="417" t="s">
        <v>10335</v>
      </c>
      <c r="D3942" s="417" t="s">
        <v>224</v>
      </c>
      <c r="E3942" s="423">
        <v>0.20816061608654021</v>
      </c>
      <c r="F3942" s="423">
        <v>3.0715103990829339E-2</v>
      </c>
      <c r="G3942" s="422">
        <v>501.0331014732073</v>
      </c>
      <c r="H3942" s="417" t="s">
        <v>2616</v>
      </c>
      <c r="I3942" s="417" t="s">
        <v>1392</v>
      </c>
      <c r="J3942" s="417" t="s">
        <v>8072</v>
      </c>
      <c r="K3942" s="417" t="s">
        <v>10336</v>
      </c>
      <c r="L3942" s="417"/>
      <c r="M3942" s="417" t="s">
        <v>28840</v>
      </c>
    </row>
    <row r="3943" spans="1:13" x14ac:dyDescent="0.25">
      <c r="A3943" s="417" t="s">
        <v>3385</v>
      </c>
      <c r="B3943" s="417" t="s">
        <v>3405</v>
      </c>
      <c r="C3943" s="417" t="s">
        <v>10337</v>
      </c>
      <c r="D3943" s="417" t="s">
        <v>224</v>
      </c>
      <c r="E3943" s="423">
        <v>0.82349324505595467</v>
      </c>
      <c r="F3943" s="423">
        <v>5.5864260781738867E-2</v>
      </c>
      <c r="G3943" s="422">
        <v>999.61255861271809</v>
      </c>
      <c r="H3943" s="417" t="s">
        <v>2616</v>
      </c>
      <c r="I3943" s="417" t="s">
        <v>1392</v>
      </c>
      <c r="J3943" s="417" t="s">
        <v>8072</v>
      </c>
      <c r="K3943" s="417" t="s">
        <v>10338</v>
      </c>
      <c r="L3943" s="417"/>
      <c r="M3943" s="417" t="s">
        <v>28840</v>
      </c>
    </row>
    <row r="3944" spans="1:13" x14ac:dyDescent="0.25">
      <c r="A3944" s="417" t="s">
        <v>3385</v>
      </c>
      <c r="B3944" s="417" t="s">
        <v>3405</v>
      </c>
      <c r="C3944" s="417" t="s">
        <v>10339</v>
      </c>
      <c r="D3944" s="417" t="s">
        <v>224</v>
      </c>
      <c r="E3944" s="423">
        <v>0.31637073888689032</v>
      </c>
      <c r="F3944" s="423">
        <v>1.375312847407636E-2</v>
      </c>
      <c r="G3944" s="422">
        <v>414.10929136700082</v>
      </c>
      <c r="H3944" s="417" t="s">
        <v>2616</v>
      </c>
      <c r="I3944" s="417" t="s">
        <v>1392</v>
      </c>
      <c r="J3944" s="417" t="s">
        <v>8072</v>
      </c>
      <c r="K3944" s="417" t="s">
        <v>10340</v>
      </c>
      <c r="L3944" s="417"/>
      <c r="M3944" s="417" t="s">
        <v>28840</v>
      </c>
    </row>
    <row r="3945" spans="1:13" x14ac:dyDescent="0.25">
      <c r="A3945" s="417" t="s">
        <v>3385</v>
      </c>
      <c r="B3945" s="417" t="s">
        <v>3405</v>
      </c>
      <c r="C3945" s="417" t="s">
        <v>10341</v>
      </c>
      <c r="D3945" s="417" t="s">
        <v>224</v>
      </c>
      <c r="E3945" s="423">
        <v>0.55019928087474324</v>
      </c>
      <c r="F3945" s="423">
        <v>1.501544263572144E-3</v>
      </c>
      <c r="G3945" s="422">
        <v>673.12160097270862</v>
      </c>
      <c r="H3945" s="417" t="s">
        <v>2616</v>
      </c>
      <c r="I3945" s="417" t="s">
        <v>1392</v>
      </c>
      <c r="J3945" s="417" t="s">
        <v>8072</v>
      </c>
      <c r="K3945" s="417" t="s">
        <v>10342</v>
      </c>
      <c r="L3945" s="417"/>
      <c r="M3945" s="417" t="s">
        <v>28840</v>
      </c>
    </row>
    <row r="3946" spans="1:13" x14ac:dyDescent="0.25">
      <c r="A3946" s="417" t="s">
        <v>3385</v>
      </c>
      <c r="B3946" s="417" t="s">
        <v>3405</v>
      </c>
      <c r="C3946" s="417" t="s">
        <v>10343</v>
      </c>
      <c r="D3946" s="417" t="s">
        <v>224</v>
      </c>
      <c r="E3946" s="423">
        <v>0.91113575582089446</v>
      </c>
      <c r="F3946" s="423">
        <v>1.9045064251889371E-2</v>
      </c>
      <c r="G3946" s="422">
        <v>1377.6292207250401</v>
      </c>
      <c r="H3946" s="417" t="s">
        <v>2616</v>
      </c>
      <c r="I3946" s="417" t="s">
        <v>1392</v>
      </c>
      <c r="J3946" s="417" t="s">
        <v>8072</v>
      </c>
      <c r="K3946" s="417" t="s">
        <v>10344</v>
      </c>
      <c r="L3946" s="417"/>
      <c r="M3946" s="417" t="s">
        <v>28840</v>
      </c>
    </row>
    <row r="3947" spans="1:13" x14ac:dyDescent="0.25">
      <c r="A3947" s="417" t="s">
        <v>3385</v>
      </c>
      <c r="B3947" s="417" t="s">
        <v>3405</v>
      </c>
      <c r="C3947" s="417" t="s">
        <v>10345</v>
      </c>
      <c r="D3947" s="417" t="s">
        <v>224</v>
      </c>
      <c r="E3947" s="423">
        <v>0.67576264795824381</v>
      </c>
      <c r="F3947" s="423">
        <v>2.2126019938836401E-3</v>
      </c>
      <c r="G3947" s="422">
        <v>893.49507698211039</v>
      </c>
      <c r="H3947" s="417" t="s">
        <v>2616</v>
      </c>
      <c r="I3947" s="417" t="s">
        <v>1392</v>
      </c>
      <c r="J3947" s="417" t="s">
        <v>8072</v>
      </c>
      <c r="K3947" s="417" t="s">
        <v>10346</v>
      </c>
      <c r="L3947" s="417"/>
      <c r="M3947" s="417" t="s">
        <v>28840</v>
      </c>
    </row>
    <row r="3948" spans="1:13" x14ac:dyDescent="0.25">
      <c r="A3948" s="417" t="s">
        <v>3385</v>
      </c>
      <c r="B3948" s="417" t="s">
        <v>3405</v>
      </c>
      <c r="C3948" s="417" t="s">
        <v>10347</v>
      </c>
      <c r="D3948" s="417" t="s">
        <v>224</v>
      </c>
      <c r="E3948" s="423">
        <v>0.5149792464368802</v>
      </c>
      <c r="F3948" s="423">
        <v>2.512403418879362E-3</v>
      </c>
      <c r="G3948" s="422">
        <v>662.29655388690367</v>
      </c>
      <c r="H3948" s="417" t="s">
        <v>2616</v>
      </c>
      <c r="I3948" s="417" t="s">
        <v>1392</v>
      </c>
      <c r="J3948" s="417" t="s">
        <v>8072</v>
      </c>
      <c r="K3948" s="417" t="s">
        <v>10348</v>
      </c>
      <c r="L3948" s="417"/>
      <c r="M3948" s="417" t="s">
        <v>28840</v>
      </c>
    </row>
    <row r="3949" spans="1:13" x14ac:dyDescent="0.25">
      <c r="A3949" s="417" t="s">
        <v>3385</v>
      </c>
      <c r="B3949" s="417" t="s">
        <v>3405</v>
      </c>
      <c r="C3949" s="417" t="s">
        <v>10349</v>
      </c>
      <c r="D3949" s="417" t="s">
        <v>224</v>
      </c>
      <c r="E3949" s="423">
        <v>2.7268412273439652E-2</v>
      </c>
      <c r="F3949" s="423">
        <v>7.3848821844355579E-6</v>
      </c>
      <c r="G3949" s="422">
        <v>35.287398994221697</v>
      </c>
      <c r="H3949" s="417" t="s">
        <v>2616</v>
      </c>
      <c r="I3949" s="417" t="s">
        <v>1392</v>
      </c>
      <c r="J3949" s="417" t="s">
        <v>8072</v>
      </c>
      <c r="K3949" s="417" t="s">
        <v>10350</v>
      </c>
      <c r="L3949" s="417"/>
      <c r="M3949" s="417" t="s">
        <v>28840</v>
      </c>
    </row>
    <row r="3950" spans="1:13" x14ac:dyDescent="0.25">
      <c r="A3950" s="417" t="s">
        <v>3385</v>
      </c>
      <c r="B3950" s="417" t="s">
        <v>3405</v>
      </c>
      <c r="C3950" s="417" t="s">
        <v>10351</v>
      </c>
      <c r="D3950" s="417" t="s">
        <v>224</v>
      </c>
      <c r="E3950" s="423">
        <v>0.3415678727415582</v>
      </c>
      <c r="F3950" s="423">
        <v>3.7464877574715519E-2</v>
      </c>
      <c r="G3950" s="422">
        <v>433.59978120557389</v>
      </c>
      <c r="H3950" s="417" t="s">
        <v>2616</v>
      </c>
      <c r="I3950" s="417" t="s">
        <v>1392</v>
      </c>
      <c r="J3950" s="417" t="s">
        <v>8072</v>
      </c>
      <c r="K3950" s="417" t="s">
        <v>10352</v>
      </c>
      <c r="L3950" s="417"/>
      <c r="M3950" s="417" t="s">
        <v>28840</v>
      </c>
    </row>
    <row r="3951" spans="1:13" x14ac:dyDescent="0.25">
      <c r="A3951" s="417" t="s">
        <v>3385</v>
      </c>
      <c r="B3951" s="417" t="s">
        <v>3405</v>
      </c>
      <c r="C3951" s="417" t="s">
        <v>10353</v>
      </c>
      <c r="D3951" s="417" t="s">
        <v>224</v>
      </c>
      <c r="E3951" s="423">
        <v>0.54911544061675344</v>
      </c>
      <c r="F3951" s="423">
        <v>3.2169952437417278E-2</v>
      </c>
      <c r="G3951" s="422">
        <v>765.59757462711434</v>
      </c>
      <c r="H3951" s="417" t="s">
        <v>2616</v>
      </c>
      <c r="I3951" s="417" t="s">
        <v>1392</v>
      </c>
      <c r="J3951" s="417" t="s">
        <v>8072</v>
      </c>
      <c r="K3951" s="417" t="s">
        <v>10354</v>
      </c>
      <c r="L3951" s="417"/>
      <c r="M3951" s="417" t="s">
        <v>28840</v>
      </c>
    </row>
    <row r="3952" spans="1:13" x14ac:dyDescent="0.25">
      <c r="A3952" s="417" t="s">
        <v>3385</v>
      </c>
      <c r="B3952" s="417" t="s">
        <v>3405</v>
      </c>
      <c r="C3952" s="417" t="s">
        <v>10355</v>
      </c>
      <c r="D3952" s="417" t="s">
        <v>224</v>
      </c>
      <c r="E3952" s="423">
        <v>0.54276384108113851</v>
      </c>
      <c r="F3952" s="423">
        <v>1.4331613757942389E-2</v>
      </c>
      <c r="G3952" s="422">
        <v>863.98966394497143</v>
      </c>
      <c r="H3952" s="417" t="s">
        <v>2616</v>
      </c>
      <c r="I3952" s="417" t="s">
        <v>1392</v>
      </c>
      <c r="J3952" s="417" t="s">
        <v>8072</v>
      </c>
      <c r="K3952" s="417" t="s">
        <v>10356</v>
      </c>
      <c r="L3952" s="417"/>
      <c r="M3952" s="417" t="s">
        <v>28840</v>
      </c>
    </row>
    <row r="3953" spans="1:13" x14ac:dyDescent="0.25">
      <c r="A3953" s="417" t="s">
        <v>3385</v>
      </c>
      <c r="B3953" s="417" t="s">
        <v>3405</v>
      </c>
      <c r="C3953" s="417" t="s">
        <v>10357</v>
      </c>
      <c r="D3953" s="417" t="s">
        <v>224</v>
      </c>
      <c r="E3953" s="423">
        <v>0.82226861946665675</v>
      </c>
      <c r="F3953" s="423">
        <v>2.4056169303241959E-3</v>
      </c>
      <c r="G3953" s="422">
        <v>1088.7973491757209</v>
      </c>
      <c r="H3953" s="417" t="s">
        <v>2616</v>
      </c>
      <c r="I3953" s="417" t="s">
        <v>1392</v>
      </c>
      <c r="J3953" s="417" t="s">
        <v>8072</v>
      </c>
      <c r="K3953" s="417" t="s">
        <v>10358</v>
      </c>
      <c r="L3953" s="417"/>
      <c r="M3953" s="417" t="s">
        <v>28840</v>
      </c>
    </row>
    <row r="3954" spans="1:13" x14ac:dyDescent="0.25">
      <c r="A3954" s="417" t="s">
        <v>3385</v>
      </c>
      <c r="B3954" s="417" t="s">
        <v>3405</v>
      </c>
      <c r="C3954" s="417" t="s">
        <v>10359</v>
      </c>
      <c r="D3954" s="417" t="s">
        <v>224</v>
      </c>
      <c r="E3954" s="423">
        <v>0.12154581487489199</v>
      </c>
      <c r="F3954" s="423">
        <v>6.058330500763396E-2</v>
      </c>
      <c r="G3954" s="422">
        <v>200.6387260950994</v>
      </c>
      <c r="H3954" s="417" t="s">
        <v>2616</v>
      </c>
      <c r="I3954" s="417" t="s">
        <v>1392</v>
      </c>
      <c r="J3954" s="417" t="s">
        <v>8072</v>
      </c>
      <c r="K3954" s="417" t="s">
        <v>10360</v>
      </c>
      <c r="L3954" s="417"/>
      <c r="M3954" s="417" t="s">
        <v>28840</v>
      </c>
    </row>
    <row r="3955" spans="1:13" x14ac:dyDescent="0.25">
      <c r="A3955" s="417" t="s">
        <v>3385</v>
      </c>
      <c r="B3955" s="417" t="s">
        <v>3405</v>
      </c>
      <c r="C3955" s="417" t="s">
        <v>10361</v>
      </c>
      <c r="D3955" s="417" t="s">
        <v>224</v>
      </c>
      <c r="E3955" s="423">
        <v>0.26815601148406709</v>
      </c>
      <c r="F3955" s="423">
        <v>9.9820470932230676E-2</v>
      </c>
      <c r="G3955" s="422">
        <v>460.03054263462042</v>
      </c>
      <c r="H3955" s="417" t="s">
        <v>2616</v>
      </c>
      <c r="I3955" s="417" t="s">
        <v>1392</v>
      </c>
      <c r="J3955" s="417" t="s">
        <v>8072</v>
      </c>
      <c r="K3955" s="417" t="s">
        <v>10362</v>
      </c>
      <c r="L3955" s="417"/>
      <c r="M3955" s="417" t="s">
        <v>28840</v>
      </c>
    </row>
    <row r="3956" spans="1:13" x14ac:dyDescent="0.25">
      <c r="A3956" s="417" t="s">
        <v>3385</v>
      </c>
      <c r="B3956" s="417" t="s">
        <v>3405</v>
      </c>
      <c r="C3956" s="417" t="s">
        <v>10363</v>
      </c>
      <c r="D3956" s="417" t="s">
        <v>224</v>
      </c>
      <c r="E3956" s="423">
        <v>0.120796084366735</v>
      </c>
      <c r="F3956" s="423">
        <v>8.1711674776425838E-2</v>
      </c>
      <c r="G3956" s="422">
        <v>172.61899758087981</v>
      </c>
      <c r="H3956" s="417" t="s">
        <v>2616</v>
      </c>
      <c r="I3956" s="417" t="s">
        <v>1392</v>
      </c>
      <c r="J3956" s="417" t="s">
        <v>8072</v>
      </c>
      <c r="K3956" s="417" t="s">
        <v>10364</v>
      </c>
      <c r="L3956" s="417"/>
      <c r="M3956" s="417" t="s">
        <v>28840</v>
      </c>
    </row>
    <row r="3957" spans="1:13" x14ac:dyDescent="0.25">
      <c r="A3957" s="417" t="s">
        <v>3385</v>
      </c>
      <c r="B3957" s="417" t="s">
        <v>3405</v>
      </c>
      <c r="C3957" s="417" t="s">
        <v>10365</v>
      </c>
      <c r="D3957" s="417" t="s">
        <v>224</v>
      </c>
      <c r="E3957" s="423">
        <v>0.81426291188749678</v>
      </c>
      <c r="F3957" s="423">
        <v>2.1099724343060888E-3</v>
      </c>
      <c r="G3957" s="422">
        <v>963.94604237001613</v>
      </c>
      <c r="H3957" s="417" t="s">
        <v>2616</v>
      </c>
      <c r="I3957" s="417" t="s">
        <v>1392</v>
      </c>
      <c r="J3957" s="417" t="s">
        <v>8072</v>
      </c>
      <c r="K3957" s="417" t="s">
        <v>10366</v>
      </c>
      <c r="L3957" s="417"/>
      <c r="M3957" s="417" t="s">
        <v>28840</v>
      </c>
    </row>
    <row r="3958" spans="1:13" x14ac:dyDescent="0.25">
      <c r="A3958" s="417" t="s">
        <v>3385</v>
      </c>
      <c r="B3958" s="417" t="s">
        <v>3405</v>
      </c>
      <c r="C3958" s="417" t="s">
        <v>10367</v>
      </c>
      <c r="D3958" s="417" t="s">
        <v>224</v>
      </c>
      <c r="E3958" s="423">
        <v>0.66910339210548087</v>
      </c>
      <c r="F3958" s="423">
        <v>8.0073141847169359E-3</v>
      </c>
      <c r="G3958" s="422">
        <v>1027.8103598459761</v>
      </c>
      <c r="H3958" s="417" t="s">
        <v>2616</v>
      </c>
      <c r="I3958" s="417" t="s">
        <v>1392</v>
      </c>
      <c r="J3958" s="417" t="s">
        <v>8072</v>
      </c>
      <c r="K3958" s="417" t="s">
        <v>10368</v>
      </c>
      <c r="L3958" s="417"/>
      <c r="M3958" s="417" t="s">
        <v>28840</v>
      </c>
    </row>
    <row r="3959" spans="1:13" x14ac:dyDescent="0.25">
      <c r="A3959" s="417" t="s">
        <v>3385</v>
      </c>
      <c r="B3959" s="417" t="s">
        <v>3405</v>
      </c>
      <c r="C3959" s="417" t="s">
        <v>10369</v>
      </c>
      <c r="D3959" s="417" t="s">
        <v>224</v>
      </c>
      <c r="E3959" s="423">
        <v>0.51487159258223691</v>
      </c>
      <c r="F3959" s="423">
        <v>8.998502986108806E-3</v>
      </c>
      <c r="G3959" s="422">
        <v>691.82989960102168</v>
      </c>
      <c r="H3959" s="417" t="s">
        <v>2616</v>
      </c>
      <c r="I3959" s="417" t="s">
        <v>1392</v>
      </c>
      <c r="J3959" s="417" t="s">
        <v>8072</v>
      </c>
      <c r="K3959" s="417" t="s">
        <v>10370</v>
      </c>
      <c r="L3959" s="417"/>
      <c r="M3959" s="417" t="s">
        <v>28840</v>
      </c>
    </row>
    <row r="3960" spans="1:13" x14ac:dyDescent="0.25">
      <c r="A3960" s="417" t="s">
        <v>3385</v>
      </c>
      <c r="B3960" s="417" t="s">
        <v>3405</v>
      </c>
      <c r="C3960" s="417" t="s">
        <v>10371</v>
      </c>
      <c r="D3960" s="417" t="s">
        <v>224</v>
      </c>
      <c r="E3960" s="423">
        <v>0.72998640276206639</v>
      </c>
      <c r="F3960" s="423">
        <v>7.523653734275341E-3</v>
      </c>
      <c r="G3960" s="422">
        <v>898.91398721857036</v>
      </c>
      <c r="H3960" s="417" t="s">
        <v>2616</v>
      </c>
      <c r="I3960" s="417" t="s">
        <v>1392</v>
      </c>
      <c r="J3960" s="417" t="s">
        <v>8072</v>
      </c>
      <c r="K3960" s="417" t="s">
        <v>10372</v>
      </c>
      <c r="L3960" s="417"/>
      <c r="M3960" s="417" t="s">
        <v>28840</v>
      </c>
    </row>
    <row r="3961" spans="1:13" x14ac:dyDescent="0.25">
      <c r="A3961" s="417" t="s">
        <v>3385</v>
      </c>
      <c r="B3961" s="417" t="s">
        <v>3405</v>
      </c>
      <c r="C3961" s="417" t="s">
        <v>10373</v>
      </c>
      <c r="D3961" s="417" t="s">
        <v>224</v>
      </c>
      <c r="E3961" s="423">
        <v>0.4384916538338971</v>
      </c>
      <c r="F3961" s="423">
        <v>1.995183680287606E-3</v>
      </c>
      <c r="G3961" s="422">
        <v>554.04623048796282</v>
      </c>
      <c r="H3961" s="417" t="s">
        <v>2616</v>
      </c>
      <c r="I3961" s="417" t="s">
        <v>1392</v>
      </c>
      <c r="J3961" s="417" t="s">
        <v>8072</v>
      </c>
      <c r="K3961" s="417" t="s">
        <v>10374</v>
      </c>
      <c r="L3961" s="417"/>
      <c r="M3961" s="417" t="s">
        <v>28840</v>
      </c>
    </row>
    <row r="3962" spans="1:13" x14ac:dyDescent="0.25">
      <c r="A3962" s="417" t="s">
        <v>3385</v>
      </c>
      <c r="B3962" s="417" t="s">
        <v>3405</v>
      </c>
      <c r="C3962" s="417" t="s">
        <v>10375</v>
      </c>
      <c r="D3962" s="417" t="s">
        <v>224</v>
      </c>
      <c r="E3962" s="423">
        <v>0.2745075160997697</v>
      </c>
      <c r="F3962" s="423">
        <v>3.9716370953174533E-2</v>
      </c>
      <c r="G3962" s="422">
        <v>372.93181442326778</v>
      </c>
      <c r="H3962" s="417" t="s">
        <v>2616</v>
      </c>
      <c r="I3962" s="417" t="s">
        <v>1392</v>
      </c>
      <c r="J3962" s="417" t="s">
        <v>8072</v>
      </c>
      <c r="K3962" s="417" t="s">
        <v>10376</v>
      </c>
      <c r="L3962" s="417"/>
      <c r="M3962" s="417" t="s">
        <v>28840</v>
      </c>
    </row>
    <row r="3963" spans="1:13" x14ac:dyDescent="0.25">
      <c r="A3963" s="417" t="s">
        <v>3385</v>
      </c>
      <c r="B3963" s="417" t="s">
        <v>3405</v>
      </c>
      <c r="C3963" s="417" t="s">
        <v>10377</v>
      </c>
      <c r="D3963" s="417" t="s">
        <v>224</v>
      </c>
      <c r="E3963" s="423">
        <v>4.0246149594766252E-2</v>
      </c>
      <c r="F3963" s="423">
        <v>3.0234682365191582E-4</v>
      </c>
      <c r="G3963" s="422">
        <v>54.974629002870167</v>
      </c>
      <c r="H3963" s="417" t="s">
        <v>2616</v>
      </c>
      <c r="I3963" s="417" t="s">
        <v>1392</v>
      </c>
      <c r="J3963" s="417" t="s">
        <v>8072</v>
      </c>
      <c r="K3963" s="417" t="s">
        <v>10378</v>
      </c>
      <c r="L3963" s="417"/>
      <c r="M3963" s="417" t="s">
        <v>28840</v>
      </c>
    </row>
    <row r="3964" spans="1:13" x14ac:dyDescent="0.25">
      <c r="A3964" s="417" t="s">
        <v>3385</v>
      </c>
      <c r="B3964" s="417" t="s">
        <v>3405</v>
      </c>
      <c r="C3964" s="417" t="s">
        <v>10379</v>
      </c>
      <c r="D3964" s="417" t="s">
        <v>224</v>
      </c>
      <c r="E3964" s="423">
        <v>0.11125534119159081</v>
      </c>
      <c r="F3964" s="423">
        <v>1.233517475068557E-2</v>
      </c>
      <c r="G3964" s="422">
        <v>209.05683720756909</v>
      </c>
      <c r="H3964" s="417" t="s">
        <v>2616</v>
      </c>
      <c r="I3964" s="417" t="s">
        <v>1392</v>
      </c>
      <c r="J3964" s="417" t="s">
        <v>8072</v>
      </c>
      <c r="K3964" s="417" t="s">
        <v>10380</v>
      </c>
      <c r="L3964" s="417"/>
      <c r="M3964" s="417" t="s">
        <v>28840</v>
      </c>
    </row>
    <row r="3965" spans="1:13" x14ac:dyDescent="0.25">
      <c r="A3965" s="417" t="s">
        <v>3385</v>
      </c>
      <c r="B3965" s="417" t="s">
        <v>3405</v>
      </c>
      <c r="C3965" s="417" t="s">
        <v>10381</v>
      </c>
      <c r="D3965" s="417" t="s">
        <v>224</v>
      </c>
      <c r="E3965" s="423">
        <v>0.25609498328914931</v>
      </c>
      <c r="F3965" s="423">
        <v>8.2065381704542143E-3</v>
      </c>
      <c r="G3965" s="422">
        <v>329.70330351113819</v>
      </c>
      <c r="H3965" s="417" t="s">
        <v>2616</v>
      </c>
      <c r="I3965" s="417" t="s">
        <v>1392</v>
      </c>
      <c r="J3965" s="417" t="s">
        <v>8072</v>
      </c>
      <c r="K3965" s="417" t="s">
        <v>10382</v>
      </c>
      <c r="L3965" s="417"/>
      <c r="M3965" s="417" t="s">
        <v>28840</v>
      </c>
    </row>
    <row r="3966" spans="1:13" x14ac:dyDescent="0.25">
      <c r="A3966" s="417" t="s">
        <v>3385</v>
      </c>
      <c r="B3966" s="417" t="s">
        <v>3405</v>
      </c>
      <c r="C3966" s="417" t="s">
        <v>10383</v>
      </c>
      <c r="D3966" s="417" t="s">
        <v>224</v>
      </c>
      <c r="E3966" s="423">
        <v>0.7674554856474044</v>
      </c>
      <c r="F3966" s="423">
        <v>1.0994544953741881E-2</v>
      </c>
      <c r="G3966" s="422">
        <v>927.42535372934935</v>
      </c>
      <c r="H3966" s="417" t="s">
        <v>2616</v>
      </c>
      <c r="I3966" s="417" t="s">
        <v>1392</v>
      </c>
      <c r="J3966" s="417" t="s">
        <v>8072</v>
      </c>
      <c r="K3966" s="417" t="s">
        <v>10384</v>
      </c>
      <c r="L3966" s="417"/>
      <c r="M3966" s="417" t="s">
        <v>28840</v>
      </c>
    </row>
    <row r="3967" spans="1:13" x14ac:dyDescent="0.25">
      <c r="A3967" s="417" t="s">
        <v>3385</v>
      </c>
      <c r="B3967" s="417" t="s">
        <v>3405</v>
      </c>
      <c r="C3967" s="417" t="s">
        <v>10385</v>
      </c>
      <c r="D3967" s="417" t="s">
        <v>224</v>
      </c>
      <c r="E3967" s="423">
        <v>0.50401674496945981</v>
      </c>
      <c r="F3967" s="423">
        <v>1.0849296995436439E-2</v>
      </c>
      <c r="G3967" s="422">
        <v>769.08148784368905</v>
      </c>
      <c r="H3967" s="417" t="s">
        <v>2616</v>
      </c>
      <c r="I3967" s="417" t="s">
        <v>1392</v>
      </c>
      <c r="J3967" s="417" t="s">
        <v>8072</v>
      </c>
      <c r="K3967" s="417" t="s">
        <v>10386</v>
      </c>
      <c r="L3967" s="417"/>
      <c r="M3967" s="417" t="s">
        <v>28840</v>
      </c>
    </row>
    <row r="3968" spans="1:13" x14ac:dyDescent="0.25">
      <c r="A3968" s="417" t="s">
        <v>3385</v>
      </c>
      <c r="B3968" s="417" t="s">
        <v>3405</v>
      </c>
      <c r="C3968" s="417" t="s">
        <v>10387</v>
      </c>
      <c r="D3968" s="417" t="s">
        <v>224</v>
      </c>
      <c r="E3968" s="423">
        <v>0.74176233982439588</v>
      </c>
      <c r="F3968" s="423">
        <v>3.7213040717716847E-2</v>
      </c>
      <c r="G3968" s="422">
        <v>949.61718557142365</v>
      </c>
      <c r="H3968" s="417" t="s">
        <v>2616</v>
      </c>
      <c r="I3968" s="417" t="s">
        <v>1392</v>
      </c>
      <c r="J3968" s="417" t="s">
        <v>8072</v>
      </c>
      <c r="K3968" s="417" t="s">
        <v>10388</v>
      </c>
      <c r="L3968" s="417"/>
      <c r="M3968" s="417" t="s">
        <v>28840</v>
      </c>
    </row>
    <row r="3969" spans="1:13" x14ac:dyDescent="0.25">
      <c r="A3969" s="417" t="s">
        <v>3385</v>
      </c>
      <c r="B3969" s="417" t="s">
        <v>3405</v>
      </c>
      <c r="C3969" s="417" t="s">
        <v>10389</v>
      </c>
      <c r="D3969" s="417" t="s">
        <v>224</v>
      </c>
      <c r="E3969" s="423">
        <v>0.17040648385796811</v>
      </c>
      <c r="F3969" s="423">
        <v>5.2560839010762757E-2</v>
      </c>
      <c r="G3969" s="422">
        <v>251.70744632270799</v>
      </c>
      <c r="H3969" s="417" t="s">
        <v>2616</v>
      </c>
      <c r="I3969" s="417" t="s">
        <v>1392</v>
      </c>
      <c r="J3969" s="417" t="s">
        <v>8072</v>
      </c>
      <c r="K3969" s="417" t="s">
        <v>10390</v>
      </c>
      <c r="L3969" s="417"/>
      <c r="M3969" s="417" t="s">
        <v>28840</v>
      </c>
    </row>
    <row r="3970" spans="1:13" x14ac:dyDescent="0.25">
      <c r="A3970" s="417" t="s">
        <v>3385</v>
      </c>
      <c r="B3970" s="417" t="s">
        <v>3405</v>
      </c>
      <c r="C3970" s="417" t="s">
        <v>10391</v>
      </c>
      <c r="D3970" s="417" t="s">
        <v>224</v>
      </c>
      <c r="E3970" s="423">
        <v>0.49202058644311653</v>
      </c>
      <c r="F3970" s="423">
        <v>1.177257560467631E-3</v>
      </c>
      <c r="G3970" s="422">
        <v>603.94707464357589</v>
      </c>
      <c r="H3970" s="417" t="s">
        <v>2616</v>
      </c>
      <c r="I3970" s="417" t="s">
        <v>1392</v>
      </c>
      <c r="J3970" s="417" t="s">
        <v>8072</v>
      </c>
      <c r="K3970" s="417" t="s">
        <v>10392</v>
      </c>
      <c r="L3970" s="417"/>
      <c r="M3970" s="417" t="s">
        <v>28840</v>
      </c>
    </row>
    <row r="3971" spans="1:13" x14ac:dyDescent="0.25">
      <c r="A3971" s="417" t="s">
        <v>3385</v>
      </c>
      <c r="B3971" s="417" t="s">
        <v>3405</v>
      </c>
      <c r="C3971" s="417" t="s">
        <v>10393</v>
      </c>
      <c r="D3971" s="417" t="s">
        <v>224</v>
      </c>
      <c r="E3971" s="423">
        <v>0.65317638308482862</v>
      </c>
      <c r="F3971" s="423">
        <v>2.7075908201877751E-3</v>
      </c>
      <c r="G3971" s="422">
        <v>796.45923575765767</v>
      </c>
      <c r="H3971" s="417" t="s">
        <v>2616</v>
      </c>
      <c r="I3971" s="417" t="s">
        <v>1392</v>
      </c>
      <c r="J3971" s="417" t="s">
        <v>8072</v>
      </c>
      <c r="K3971" s="417" t="s">
        <v>10394</v>
      </c>
      <c r="L3971" s="417"/>
      <c r="M3971" s="417" t="s">
        <v>28840</v>
      </c>
    </row>
    <row r="3972" spans="1:13" x14ac:dyDescent="0.25">
      <c r="A3972" s="417" t="s">
        <v>3385</v>
      </c>
      <c r="B3972" s="417" t="s">
        <v>3405</v>
      </c>
      <c r="C3972" s="417" t="s">
        <v>10395</v>
      </c>
      <c r="D3972" s="417" t="s">
        <v>224</v>
      </c>
      <c r="E3972" s="423">
        <v>0.69825811065913679</v>
      </c>
      <c r="F3972" s="423">
        <v>1.792855192459749E-2</v>
      </c>
      <c r="G3972" s="422">
        <v>946.39088127313585</v>
      </c>
      <c r="H3972" s="417" t="s">
        <v>2616</v>
      </c>
      <c r="I3972" s="417" t="s">
        <v>1392</v>
      </c>
      <c r="J3972" s="417" t="s">
        <v>8072</v>
      </c>
      <c r="K3972" s="417" t="s">
        <v>10396</v>
      </c>
      <c r="L3972" s="417"/>
      <c r="M3972" s="417" t="s">
        <v>28840</v>
      </c>
    </row>
    <row r="3973" spans="1:13" x14ac:dyDescent="0.25">
      <c r="A3973" s="417" t="s">
        <v>3385</v>
      </c>
      <c r="B3973" s="417" t="s">
        <v>3405</v>
      </c>
      <c r="C3973" s="417" t="s">
        <v>10397</v>
      </c>
      <c r="D3973" s="417" t="s">
        <v>224</v>
      </c>
      <c r="E3973" s="423">
        <v>0.30155691828636788</v>
      </c>
      <c r="F3973" s="423">
        <v>2.764891792734097E-2</v>
      </c>
      <c r="G3973" s="422">
        <v>551.64199709225272</v>
      </c>
      <c r="H3973" s="417" t="s">
        <v>2616</v>
      </c>
      <c r="I3973" s="417" t="s">
        <v>1392</v>
      </c>
      <c r="J3973" s="417" t="s">
        <v>8072</v>
      </c>
      <c r="K3973" s="417" t="s">
        <v>10398</v>
      </c>
      <c r="L3973" s="417"/>
      <c r="M3973" s="417" t="s">
        <v>28840</v>
      </c>
    </row>
    <row r="3974" spans="1:13" x14ac:dyDescent="0.25">
      <c r="A3974" s="417" t="s">
        <v>3385</v>
      </c>
      <c r="B3974" s="417" t="s">
        <v>3405</v>
      </c>
      <c r="C3974" s="417" t="s">
        <v>10399</v>
      </c>
      <c r="D3974" s="417" t="s">
        <v>224</v>
      </c>
      <c r="E3974" s="423">
        <v>0.2523974177217268</v>
      </c>
      <c r="F3974" s="423">
        <v>3.958199416747038E-2</v>
      </c>
      <c r="G3974" s="422">
        <v>358.66833880307752</v>
      </c>
      <c r="H3974" s="417" t="s">
        <v>2616</v>
      </c>
      <c r="I3974" s="417" t="s">
        <v>1392</v>
      </c>
      <c r="J3974" s="417" t="s">
        <v>8072</v>
      </c>
      <c r="K3974" s="417" t="s">
        <v>10400</v>
      </c>
      <c r="L3974" s="417"/>
      <c r="M3974" s="417" t="s">
        <v>28840</v>
      </c>
    </row>
    <row r="3975" spans="1:13" x14ac:dyDescent="0.25">
      <c r="A3975" s="417" t="s">
        <v>3385</v>
      </c>
      <c r="B3975" s="417" t="s">
        <v>3405</v>
      </c>
      <c r="C3975" s="417" t="s">
        <v>10401</v>
      </c>
      <c r="D3975" s="417" t="s">
        <v>224</v>
      </c>
      <c r="E3975" s="423">
        <v>0.58019816773286936</v>
      </c>
      <c r="F3975" s="423">
        <v>2.0678979320266091E-3</v>
      </c>
      <c r="G3975" s="422">
        <v>771.46807574204843</v>
      </c>
      <c r="H3975" s="417" t="s">
        <v>2616</v>
      </c>
      <c r="I3975" s="417" t="s">
        <v>1392</v>
      </c>
      <c r="J3975" s="417" t="s">
        <v>8072</v>
      </c>
      <c r="K3975" s="417" t="s">
        <v>10402</v>
      </c>
      <c r="L3975" s="417"/>
      <c r="M3975" s="417" t="s">
        <v>28840</v>
      </c>
    </row>
    <row r="3976" spans="1:13" x14ac:dyDescent="0.25">
      <c r="A3976" s="417" t="s">
        <v>3385</v>
      </c>
      <c r="B3976" s="417" t="s">
        <v>3405</v>
      </c>
      <c r="C3976" s="417" t="s">
        <v>10403</v>
      </c>
      <c r="D3976" s="417" t="s">
        <v>224</v>
      </c>
      <c r="E3976" s="423">
        <v>0.37393669943211472</v>
      </c>
      <c r="F3976" s="423">
        <v>9.0656523296560147E-3</v>
      </c>
      <c r="G3976" s="422">
        <v>572.58768770371341</v>
      </c>
      <c r="H3976" s="417" t="s">
        <v>2616</v>
      </c>
      <c r="I3976" s="417" t="s">
        <v>1392</v>
      </c>
      <c r="J3976" s="417" t="s">
        <v>8072</v>
      </c>
      <c r="K3976" s="417" t="s">
        <v>10404</v>
      </c>
      <c r="L3976" s="417"/>
      <c r="M3976" s="417" t="s">
        <v>28840</v>
      </c>
    </row>
    <row r="3977" spans="1:13" x14ac:dyDescent="0.25">
      <c r="A3977" s="417" t="s">
        <v>3385</v>
      </c>
      <c r="B3977" s="417" t="s">
        <v>3405</v>
      </c>
      <c r="C3977" s="417" t="s">
        <v>10405</v>
      </c>
      <c r="D3977" s="417" t="s">
        <v>224</v>
      </c>
      <c r="E3977" s="423">
        <v>0.27317031142947612</v>
      </c>
      <c r="F3977" s="423">
        <v>4.1878813848208116E-3</v>
      </c>
      <c r="G3977" s="422">
        <v>470.36998084369469</v>
      </c>
      <c r="H3977" s="417" t="s">
        <v>2616</v>
      </c>
      <c r="I3977" s="417" t="s">
        <v>1392</v>
      </c>
      <c r="J3977" s="417" t="s">
        <v>8072</v>
      </c>
      <c r="K3977" s="417" t="s">
        <v>10406</v>
      </c>
      <c r="L3977" s="417"/>
      <c r="M3977" s="417" t="s">
        <v>28840</v>
      </c>
    </row>
    <row r="3978" spans="1:13" x14ac:dyDescent="0.25">
      <c r="A3978" s="417" t="s">
        <v>3385</v>
      </c>
      <c r="B3978" s="417" t="s">
        <v>3405</v>
      </c>
      <c r="C3978" s="417" t="s">
        <v>10407</v>
      </c>
      <c r="D3978" s="417" t="s">
        <v>224</v>
      </c>
      <c r="E3978" s="423">
        <v>0.76244024076417605</v>
      </c>
      <c r="F3978" s="423">
        <v>5.3030126564206446E-3</v>
      </c>
      <c r="G3978" s="422">
        <v>1032.1800237722291</v>
      </c>
      <c r="H3978" s="417" t="s">
        <v>2616</v>
      </c>
      <c r="I3978" s="417" t="s">
        <v>1392</v>
      </c>
      <c r="J3978" s="417" t="s">
        <v>8072</v>
      </c>
      <c r="K3978" s="417" t="s">
        <v>10408</v>
      </c>
      <c r="L3978" s="417"/>
      <c r="M3978" s="417" t="s">
        <v>28840</v>
      </c>
    </row>
    <row r="3979" spans="1:13" x14ac:dyDescent="0.25">
      <c r="A3979" s="417" t="s">
        <v>3385</v>
      </c>
      <c r="B3979" s="417" t="s">
        <v>3405</v>
      </c>
      <c r="C3979" s="417" t="s">
        <v>10409</v>
      </c>
      <c r="D3979" s="417" t="s">
        <v>224</v>
      </c>
      <c r="E3979" s="423">
        <v>0.44608364112320448</v>
      </c>
      <c r="F3979" s="423">
        <v>2.430551216324781E-3</v>
      </c>
      <c r="G3979" s="422">
        <v>700.23429744118357</v>
      </c>
      <c r="H3979" s="417" t="s">
        <v>2616</v>
      </c>
      <c r="I3979" s="417" t="s">
        <v>1392</v>
      </c>
      <c r="J3979" s="417" t="s">
        <v>8072</v>
      </c>
      <c r="K3979" s="417" t="s">
        <v>10410</v>
      </c>
      <c r="L3979" s="417"/>
      <c r="M3979" s="417" t="s">
        <v>28840</v>
      </c>
    </row>
    <row r="3980" spans="1:13" x14ac:dyDescent="0.25">
      <c r="A3980" s="417" t="s">
        <v>3385</v>
      </c>
      <c r="B3980" s="417" t="s">
        <v>3405</v>
      </c>
      <c r="C3980" s="417" t="s">
        <v>10411</v>
      </c>
      <c r="D3980" s="417" t="s">
        <v>224</v>
      </c>
      <c r="E3980" s="423">
        <v>0.68279381702934061</v>
      </c>
      <c r="F3980" s="423">
        <v>2.00732033029571E-3</v>
      </c>
      <c r="G3980" s="422">
        <v>903.68142271055615</v>
      </c>
      <c r="H3980" s="417" t="s">
        <v>2616</v>
      </c>
      <c r="I3980" s="417" t="s">
        <v>1392</v>
      </c>
      <c r="J3980" s="417" t="s">
        <v>8072</v>
      </c>
      <c r="K3980" s="417" t="s">
        <v>10412</v>
      </c>
      <c r="L3980" s="417"/>
      <c r="M3980" s="417" t="s">
        <v>28840</v>
      </c>
    </row>
    <row r="3981" spans="1:13" x14ac:dyDescent="0.25">
      <c r="A3981" s="417" t="s">
        <v>3385</v>
      </c>
      <c r="B3981" s="417" t="s">
        <v>3405</v>
      </c>
      <c r="C3981" s="417" t="s">
        <v>10413</v>
      </c>
      <c r="D3981" s="417" t="s">
        <v>224</v>
      </c>
      <c r="E3981" s="423">
        <v>2.998220747348684E-2</v>
      </c>
      <c r="F3981" s="423">
        <v>4.0140172306046641E-2</v>
      </c>
      <c r="G3981" s="422">
        <v>207.45442260057311</v>
      </c>
      <c r="H3981" s="417" t="s">
        <v>2616</v>
      </c>
      <c r="I3981" s="417" t="s">
        <v>1392</v>
      </c>
      <c r="J3981" s="417" t="s">
        <v>8072</v>
      </c>
      <c r="K3981" s="417" t="s">
        <v>10414</v>
      </c>
      <c r="L3981" s="417"/>
      <c r="M3981" s="417" t="s">
        <v>28840</v>
      </c>
    </row>
    <row r="3982" spans="1:13" x14ac:dyDescent="0.25">
      <c r="A3982" s="417" t="s">
        <v>3385</v>
      </c>
      <c r="B3982" s="417" t="s">
        <v>3405</v>
      </c>
      <c r="C3982" s="417" t="s">
        <v>10415</v>
      </c>
      <c r="D3982" s="417" t="s">
        <v>224</v>
      </c>
      <c r="E3982" s="423">
        <v>0.55833453595695859</v>
      </c>
      <c r="F3982" s="423">
        <v>7.8931988080894952E-3</v>
      </c>
      <c r="G3982" s="422">
        <v>760.87675052165628</v>
      </c>
      <c r="H3982" s="417" t="s">
        <v>2616</v>
      </c>
      <c r="I3982" s="417" t="s">
        <v>1392</v>
      </c>
      <c r="J3982" s="417" t="s">
        <v>8072</v>
      </c>
      <c r="K3982" s="417" t="s">
        <v>10416</v>
      </c>
      <c r="L3982" s="417"/>
      <c r="M3982" s="417" t="s">
        <v>28840</v>
      </c>
    </row>
    <row r="3983" spans="1:13" x14ac:dyDescent="0.25">
      <c r="A3983" s="417" t="s">
        <v>3385</v>
      </c>
      <c r="B3983" s="417" t="s">
        <v>3405</v>
      </c>
      <c r="C3983" s="417" t="s">
        <v>10417</v>
      </c>
      <c r="D3983" s="417" t="s">
        <v>224</v>
      </c>
      <c r="E3983" s="423">
        <v>0.23214270492288669</v>
      </c>
      <c r="F3983" s="423">
        <v>1.6030571324880789E-2</v>
      </c>
      <c r="G3983" s="422">
        <v>462.83885525874831</v>
      </c>
      <c r="H3983" s="417" t="s">
        <v>2616</v>
      </c>
      <c r="I3983" s="417" t="s">
        <v>1392</v>
      </c>
      <c r="J3983" s="417" t="s">
        <v>8072</v>
      </c>
      <c r="K3983" s="417" t="s">
        <v>10418</v>
      </c>
      <c r="L3983" s="417"/>
      <c r="M3983" s="417" t="s">
        <v>28840</v>
      </c>
    </row>
    <row r="3984" spans="1:13" x14ac:dyDescent="0.25">
      <c r="A3984" s="417" t="s">
        <v>3385</v>
      </c>
      <c r="B3984" s="417" t="s">
        <v>3405</v>
      </c>
      <c r="C3984" s="417" t="s">
        <v>10419</v>
      </c>
      <c r="D3984" s="417" t="s">
        <v>224</v>
      </c>
      <c r="E3984" s="423">
        <v>0.1259592517130167</v>
      </c>
      <c r="F3984" s="423">
        <v>4.2043921437590663E-2</v>
      </c>
      <c r="G3984" s="422">
        <v>561.355833984691</v>
      </c>
      <c r="H3984" s="417" t="s">
        <v>2616</v>
      </c>
      <c r="I3984" s="417" t="s">
        <v>1392</v>
      </c>
      <c r="J3984" s="417" t="s">
        <v>8072</v>
      </c>
      <c r="K3984" s="417" t="s">
        <v>10420</v>
      </c>
      <c r="L3984" s="417"/>
      <c r="M3984" s="417" t="s">
        <v>28840</v>
      </c>
    </row>
    <row r="3985" spans="1:13" x14ac:dyDescent="0.25">
      <c r="A3985" s="417" t="s">
        <v>3385</v>
      </c>
      <c r="B3985" s="417" t="s">
        <v>3405</v>
      </c>
      <c r="C3985" s="417" t="s">
        <v>10421</v>
      </c>
      <c r="D3985" s="417" t="s">
        <v>224</v>
      </c>
      <c r="E3985" s="423">
        <v>0.5890908195672494</v>
      </c>
      <c r="F3985" s="423">
        <v>7.8256541696262186E-2</v>
      </c>
      <c r="G3985" s="422">
        <v>817.54230602298105</v>
      </c>
      <c r="H3985" s="417" t="s">
        <v>2616</v>
      </c>
      <c r="I3985" s="417" t="s">
        <v>1392</v>
      </c>
      <c r="J3985" s="417" t="s">
        <v>8072</v>
      </c>
      <c r="K3985" s="417" t="s">
        <v>10422</v>
      </c>
      <c r="L3985" s="417"/>
      <c r="M3985" s="417" t="s">
        <v>28840</v>
      </c>
    </row>
    <row r="3986" spans="1:13" x14ac:dyDescent="0.25">
      <c r="A3986" s="417" t="s">
        <v>3385</v>
      </c>
      <c r="B3986" s="417" t="s">
        <v>3405</v>
      </c>
      <c r="C3986" s="417" t="s">
        <v>10423</v>
      </c>
      <c r="D3986" s="417" t="s">
        <v>224</v>
      </c>
      <c r="E3986" s="423">
        <v>0.4822014659961309</v>
      </c>
      <c r="F3986" s="423">
        <v>1.1615756650082661E-3</v>
      </c>
      <c r="G3986" s="422">
        <v>593.71246755031484</v>
      </c>
      <c r="H3986" s="417" t="s">
        <v>2616</v>
      </c>
      <c r="I3986" s="417" t="s">
        <v>1392</v>
      </c>
      <c r="J3986" s="417" t="s">
        <v>8072</v>
      </c>
      <c r="K3986" s="417" t="s">
        <v>10424</v>
      </c>
      <c r="L3986" s="417"/>
      <c r="M3986" s="417" t="s">
        <v>28840</v>
      </c>
    </row>
    <row r="3987" spans="1:13" x14ac:dyDescent="0.25">
      <c r="A3987" s="417" t="s">
        <v>3385</v>
      </c>
      <c r="B3987" s="417" t="s">
        <v>3405</v>
      </c>
      <c r="C3987" s="417" t="s">
        <v>10425</v>
      </c>
      <c r="D3987" s="417" t="s">
        <v>224</v>
      </c>
      <c r="E3987" s="423">
        <v>0.51848480002843478</v>
      </c>
      <c r="F3987" s="423">
        <v>2.046975799792583E-2</v>
      </c>
      <c r="G3987" s="422">
        <v>646.02586725445008</v>
      </c>
      <c r="H3987" s="417" t="s">
        <v>2616</v>
      </c>
      <c r="I3987" s="417" t="s">
        <v>1392</v>
      </c>
      <c r="J3987" s="417" t="s">
        <v>8072</v>
      </c>
      <c r="K3987" s="417" t="s">
        <v>10426</v>
      </c>
      <c r="L3987" s="417"/>
      <c r="M3987" s="417" t="s">
        <v>28840</v>
      </c>
    </row>
    <row r="3988" spans="1:13" x14ac:dyDescent="0.25">
      <c r="A3988" s="417" t="s">
        <v>3385</v>
      </c>
      <c r="B3988" s="417" t="s">
        <v>3405</v>
      </c>
      <c r="C3988" s="417" t="s">
        <v>10427</v>
      </c>
      <c r="D3988" s="417" t="s">
        <v>224</v>
      </c>
      <c r="E3988" s="423">
        <v>0.65415650496443178</v>
      </c>
      <c r="F3988" s="423">
        <v>3.442406104854581E-3</v>
      </c>
      <c r="G3988" s="422">
        <v>873.66492865435771</v>
      </c>
      <c r="H3988" s="417" t="s">
        <v>2616</v>
      </c>
      <c r="I3988" s="417" t="s">
        <v>1392</v>
      </c>
      <c r="J3988" s="417" t="s">
        <v>8072</v>
      </c>
      <c r="K3988" s="417" t="s">
        <v>10428</v>
      </c>
      <c r="L3988" s="417"/>
      <c r="M3988" s="417" t="s">
        <v>28840</v>
      </c>
    </row>
    <row r="3989" spans="1:13" x14ac:dyDescent="0.25">
      <c r="A3989" s="417" t="s">
        <v>3385</v>
      </c>
      <c r="B3989" s="417" t="s">
        <v>3405</v>
      </c>
      <c r="C3989" s="417" t="s">
        <v>10429</v>
      </c>
      <c r="D3989" s="417" t="s">
        <v>224</v>
      </c>
      <c r="E3989" s="423">
        <v>0.36985899605316408</v>
      </c>
      <c r="F3989" s="423">
        <v>6.3798069554638461E-3</v>
      </c>
      <c r="G3989" s="422">
        <v>460.54278817406879</v>
      </c>
      <c r="H3989" s="417" t="s">
        <v>2616</v>
      </c>
      <c r="I3989" s="417" t="s">
        <v>1392</v>
      </c>
      <c r="J3989" s="417" t="s">
        <v>8072</v>
      </c>
      <c r="K3989" s="417" t="s">
        <v>10430</v>
      </c>
      <c r="L3989" s="417"/>
      <c r="M3989" s="417" t="s">
        <v>28840</v>
      </c>
    </row>
    <row r="3990" spans="1:13" x14ac:dyDescent="0.25">
      <c r="A3990" s="417" t="s">
        <v>3385</v>
      </c>
      <c r="B3990" s="417" t="s">
        <v>3405</v>
      </c>
      <c r="C3990" s="417" t="s">
        <v>10431</v>
      </c>
      <c r="D3990" s="417" t="s">
        <v>224</v>
      </c>
      <c r="E3990" s="423">
        <v>0.29811984638645678</v>
      </c>
      <c r="F3990" s="423">
        <v>9.5958118821599207E-3</v>
      </c>
      <c r="G3990" s="422">
        <v>665.10821812347149</v>
      </c>
      <c r="H3990" s="417" t="s">
        <v>2616</v>
      </c>
      <c r="I3990" s="417" t="s">
        <v>1392</v>
      </c>
      <c r="J3990" s="417" t="s">
        <v>8072</v>
      </c>
      <c r="K3990" s="417" t="s">
        <v>10432</v>
      </c>
      <c r="L3990" s="417"/>
      <c r="M3990" s="417" t="s">
        <v>28840</v>
      </c>
    </row>
    <row r="3991" spans="1:13" x14ac:dyDescent="0.25">
      <c r="A3991" s="417" t="s">
        <v>3385</v>
      </c>
      <c r="B3991" s="417" t="s">
        <v>3405</v>
      </c>
      <c r="C3991" s="417" t="s">
        <v>10433</v>
      </c>
      <c r="D3991" s="417" t="s">
        <v>224</v>
      </c>
      <c r="E3991" s="423">
        <v>0.4070326883986306</v>
      </c>
      <c r="F3991" s="423">
        <v>8.7455120389576535E-3</v>
      </c>
      <c r="G3991" s="422">
        <v>616.89617477893671</v>
      </c>
      <c r="H3991" s="417" t="s">
        <v>2616</v>
      </c>
      <c r="I3991" s="417" t="s">
        <v>1392</v>
      </c>
      <c r="J3991" s="417" t="s">
        <v>8072</v>
      </c>
      <c r="K3991" s="417" t="s">
        <v>10434</v>
      </c>
      <c r="L3991" s="417"/>
      <c r="M3991" s="417" t="s">
        <v>28840</v>
      </c>
    </row>
    <row r="3992" spans="1:13" x14ac:dyDescent="0.25">
      <c r="A3992" s="417" t="s">
        <v>3385</v>
      </c>
      <c r="B3992" s="417" t="s">
        <v>3405</v>
      </c>
      <c r="C3992" s="417" t="s">
        <v>10435</v>
      </c>
      <c r="D3992" s="417" t="s">
        <v>224</v>
      </c>
      <c r="E3992" s="423">
        <v>0.51391407730672545</v>
      </c>
      <c r="F3992" s="423">
        <v>9.8117636846676015E-3</v>
      </c>
      <c r="G3992" s="422">
        <v>626.3343228757102</v>
      </c>
      <c r="H3992" s="417" t="s">
        <v>2616</v>
      </c>
      <c r="I3992" s="417" t="s">
        <v>1392</v>
      </c>
      <c r="J3992" s="417" t="s">
        <v>8072</v>
      </c>
      <c r="K3992" s="417" t="s">
        <v>10436</v>
      </c>
      <c r="L3992" s="417"/>
      <c r="M3992" s="417" t="s">
        <v>28840</v>
      </c>
    </row>
    <row r="3993" spans="1:13" x14ac:dyDescent="0.25">
      <c r="A3993" s="417" t="s">
        <v>3385</v>
      </c>
      <c r="B3993" s="417" t="s">
        <v>3405</v>
      </c>
      <c r="C3993" s="417" t="s">
        <v>10437</v>
      </c>
      <c r="D3993" s="417" t="s">
        <v>224</v>
      </c>
      <c r="E3993" s="423">
        <v>0.9667723270914359</v>
      </c>
      <c r="F3993" s="423">
        <v>4.6257883419037887E-3</v>
      </c>
      <c r="G3993" s="422">
        <v>1157.6484124713861</v>
      </c>
      <c r="H3993" s="417" t="s">
        <v>2616</v>
      </c>
      <c r="I3993" s="417" t="s">
        <v>1392</v>
      </c>
      <c r="J3993" s="417" t="s">
        <v>8072</v>
      </c>
      <c r="K3993" s="417" t="s">
        <v>10438</v>
      </c>
      <c r="L3993" s="417"/>
      <c r="M3993" s="417" t="s">
        <v>28840</v>
      </c>
    </row>
    <row r="3994" spans="1:13" x14ac:dyDescent="0.25">
      <c r="A3994" s="417" t="s">
        <v>3385</v>
      </c>
      <c r="B3994" s="417" t="s">
        <v>3405</v>
      </c>
      <c r="C3994" s="417" t="s">
        <v>10439</v>
      </c>
      <c r="D3994" s="417" t="s">
        <v>224</v>
      </c>
      <c r="E3994" s="423">
        <v>2.143387763389476E-2</v>
      </c>
      <c r="F3994" s="423">
        <v>1.05020004520782E-2</v>
      </c>
      <c r="G3994" s="422">
        <v>232.6800806896363</v>
      </c>
      <c r="H3994" s="417" t="s">
        <v>2616</v>
      </c>
      <c r="I3994" s="417" t="s">
        <v>1392</v>
      </c>
      <c r="J3994" s="417" t="s">
        <v>8072</v>
      </c>
      <c r="K3994" s="417" t="s">
        <v>10440</v>
      </c>
      <c r="L3994" s="417"/>
      <c r="M3994" s="417" t="s">
        <v>28840</v>
      </c>
    </row>
    <row r="3995" spans="1:13" x14ac:dyDescent="0.25">
      <c r="A3995" s="417" t="s">
        <v>3385</v>
      </c>
      <c r="B3995" s="417" t="s">
        <v>3405</v>
      </c>
      <c r="C3995" s="417" t="s">
        <v>10441</v>
      </c>
      <c r="D3995" s="417" t="s">
        <v>224</v>
      </c>
      <c r="E3995" s="423">
        <v>5.4594923284008813E-2</v>
      </c>
      <c r="F3995" s="423">
        <v>4.4085167949138832E-2</v>
      </c>
      <c r="G3995" s="422">
        <v>181.90289882141599</v>
      </c>
      <c r="H3995" s="417" t="s">
        <v>2616</v>
      </c>
      <c r="I3995" s="417" t="s">
        <v>1392</v>
      </c>
      <c r="J3995" s="417" t="s">
        <v>8072</v>
      </c>
      <c r="K3995" s="417" t="s">
        <v>10442</v>
      </c>
      <c r="L3995" s="417"/>
      <c r="M3995" s="417" t="s">
        <v>28840</v>
      </c>
    </row>
    <row r="3996" spans="1:13" x14ac:dyDescent="0.25">
      <c r="A3996" s="417" t="s">
        <v>3385</v>
      </c>
      <c r="B3996" s="417" t="s">
        <v>3405</v>
      </c>
      <c r="C3996" s="417" t="s">
        <v>10443</v>
      </c>
      <c r="D3996" s="417" t="s">
        <v>224</v>
      </c>
      <c r="E3996" s="423">
        <v>2.8027894973500701E-2</v>
      </c>
      <c r="F3996" s="423">
        <v>1.3960419514068519E-3</v>
      </c>
      <c r="G3996" s="422">
        <v>72.323376951544503</v>
      </c>
      <c r="H3996" s="417" t="s">
        <v>2616</v>
      </c>
      <c r="I3996" s="417" t="s">
        <v>1392</v>
      </c>
      <c r="J3996" s="417" t="s">
        <v>9578</v>
      </c>
      <c r="K3996" s="417" t="s">
        <v>10444</v>
      </c>
      <c r="L3996" s="417"/>
      <c r="M3996" s="417" t="s">
        <v>28840</v>
      </c>
    </row>
    <row r="3997" spans="1:13" x14ac:dyDescent="0.25">
      <c r="A3997" s="417" t="s">
        <v>3385</v>
      </c>
      <c r="B3997" s="417" t="s">
        <v>3405</v>
      </c>
      <c r="C3997" s="417" t="s">
        <v>10445</v>
      </c>
      <c r="D3997" s="417" t="s">
        <v>224</v>
      </c>
      <c r="E3997" s="423">
        <v>2.3128777040853529E-2</v>
      </c>
      <c r="F3997" s="423">
        <v>1.1467631805664731E-3</v>
      </c>
      <c r="G3997" s="422">
        <v>63.264635496178322</v>
      </c>
      <c r="H3997" s="417" t="s">
        <v>2616</v>
      </c>
      <c r="I3997" s="417" t="s">
        <v>1392</v>
      </c>
      <c r="J3997" s="417" t="s">
        <v>9578</v>
      </c>
      <c r="K3997" s="417" t="s">
        <v>10446</v>
      </c>
      <c r="L3997" s="417"/>
      <c r="M3997" s="417" t="s">
        <v>28840</v>
      </c>
    </row>
    <row r="3998" spans="1:13" x14ac:dyDescent="0.25">
      <c r="A3998" s="417" t="s">
        <v>3385</v>
      </c>
      <c r="B3998" s="417" t="s">
        <v>3405</v>
      </c>
      <c r="C3998" s="417" t="s">
        <v>10447</v>
      </c>
      <c r="D3998" s="417" t="s">
        <v>224</v>
      </c>
      <c r="E3998" s="423">
        <v>3.1907584712538677E-2</v>
      </c>
      <c r="F3998" s="423">
        <v>1.591308187657917E-3</v>
      </c>
      <c r="G3998" s="422">
        <v>82.525399890279459</v>
      </c>
      <c r="H3998" s="417" t="s">
        <v>2616</v>
      </c>
      <c r="I3998" s="417" t="s">
        <v>1392</v>
      </c>
      <c r="J3998" s="417" t="s">
        <v>9578</v>
      </c>
      <c r="K3998" s="417" t="s">
        <v>10448</v>
      </c>
      <c r="L3998" s="417"/>
      <c r="M3998" s="417" t="s">
        <v>28840</v>
      </c>
    </row>
    <row r="3999" spans="1:13" x14ac:dyDescent="0.25">
      <c r="A3999" s="417" t="s">
        <v>3385</v>
      </c>
      <c r="B3999" s="417" t="s">
        <v>3405</v>
      </c>
      <c r="C3999" s="417" t="s">
        <v>10449</v>
      </c>
      <c r="D3999" s="417" t="s">
        <v>224</v>
      </c>
      <c r="E3999" s="423">
        <v>2.4274245452615681E-2</v>
      </c>
      <c r="F3999" s="423">
        <v>1.19120204687335E-3</v>
      </c>
      <c r="G3999" s="422">
        <v>68.676810787926712</v>
      </c>
      <c r="H3999" s="417" t="s">
        <v>2616</v>
      </c>
      <c r="I3999" s="417" t="s">
        <v>1392</v>
      </c>
      <c r="J3999" s="417" t="s">
        <v>9578</v>
      </c>
      <c r="K3999" s="417" t="s">
        <v>10450</v>
      </c>
      <c r="L3999" s="417"/>
      <c r="M3999" s="417" t="s">
        <v>28840</v>
      </c>
    </row>
    <row r="4000" spans="1:13" x14ac:dyDescent="0.25">
      <c r="A4000" s="417" t="s">
        <v>3385</v>
      </c>
      <c r="B4000" s="417" t="s">
        <v>3405</v>
      </c>
      <c r="C4000" s="417" t="s">
        <v>10451</v>
      </c>
      <c r="D4000" s="417" t="s">
        <v>224</v>
      </c>
      <c r="E4000" s="423">
        <v>2.9481043022916899E-2</v>
      </c>
      <c r="F4000" s="423">
        <v>1.4807442652757881E-3</v>
      </c>
      <c r="G4000" s="422">
        <v>75.574260542993144</v>
      </c>
      <c r="H4000" s="417" t="s">
        <v>2616</v>
      </c>
      <c r="I4000" s="417" t="s">
        <v>1392</v>
      </c>
      <c r="J4000" s="417" t="s">
        <v>9578</v>
      </c>
      <c r="K4000" s="417" t="s">
        <v>10452</v>
      </c>
      <c r="L4000" s="417"/>
      <c r="M4000" s="417" t="s">
        <v>28840</v>
      </c>
    </row>
    <row r="4001" spans="1:13" x14ac:dyDescent="0.25">
      <c r="A4001" s="417" t="s">
        <v>3385</v>
      </c>
      <c r="B4001" s="417" t="s">
        <v>3405</v>
      </c>
      <c r="C4001" s="417" t="s">
        <v>10453</v>
      </c>
      <c r="D4001" s="417" t="s">
        <v>224</v>
      </c>
      <c r="E4001" s="423">
        <v>1.7546831603134218E-2</v>
      </c>
      <c r="F4001" s="423">
        <v>8.5722476437128292E-4</v>
      </c>
      <c r="G4001" s="422">
        <v>54.270369691079239</v>
      </c>
      <c r="H4001" s="417" t="s">
        <v>2616</v>
      </c>
      <c r="I4001" s="417" t="s">
        <v>1392</v>
      </c>
      <c r="J4001" s="417" t="s">
        <v>9578</v>
      </c>
      <c r="K4001" s="417" t="s">
        <v>10454</v>
      </c>
      <c r="L4001" s="417"/>
      <c r="M4001" s="417" t="s">
        <v>28840</v>
      </c>
    </row>
    <row r="4002" spans="1:13" x14ac:dyDescent="0.25">
      <c r="A4002" s="417" t="s">
        <v>3385</v>
      </c>
      <c r="B4002" s="417" t="s">
        <v>3405</v>
      </c>
      <c r="C4002" s="417" t="s">
        <v>10455</v>
      </c>
      <c r="D4002" s="417" t="s">
        <v>224</v>
      </c>
      <c r="E4002" s="423">
        <v>2.9383511001397841E-2</v>
      </c>
      <c r="F4002" s="423">
        <v>1.440946397970908E-3</v>
      </c>
      <c r="G4002" s="422">
        <v>81.600940775523128</v>
      </c>
      <c r="H4002" s="417" t="s">
        <v>2616</v>
      </c>
      <c r="I4002" s="417" t="s">
        <v>1392</v>
      </c>
      <c r="J4002" s="417" t="s">
        <v>9578</v>
      </c>
      <c r="K4002" s="417" t="s">
        <v>10456</v>
      </c>
      <c r="L4002" s="417"/>
      <c r="M4002" s="417" t="s">
        <v>28840</v>
      </c>
    </row>
    <row r="4003" spans="1:13" x14ac:dyDescent="0.25">
      <c r="A4003" s="417" t="s">
        <v>3385</v>
      </c>
      <c r="B4003" s="417" t="s">
        <v>3405</v>
      </c>
      <c r="C4003" s="417" t="s">
        <v>10457</v>
      </c>
      <c r="D4003" s="417" t="s">
        <v>224</v>
      </c>
      <c r="E4003" s="423">
        <v>3.0466806039256819E-2</v>
      </c>
      <c r="F4003" s="423">
        <v>1.512105308903576E-3</v>
      </c>
      <c r="G4003" s="422">
        <v>81.117585267520013</v>
      </c>
      <c r="H4003" s="417" t="s">
        <v>2616</v>
      </c>
      <c r="I4003" s="417" t="s">
        <v>1392</v>
      </c>
      <c r="J4003" s="417" t="s">
        <v>9578</v>
      </c>
      <c r="K4003" s="417" t="s">
        <v>10458</v>
      </c>
      <c r="L4003" s="417"/>
      <c r="M4003" s="417" t="s">
        <v>28840</v>
      </c>
    </row>
    <row r="4004" spans="1:13" x14ac:dyDescent="0.25">
      <c r="A4004" s="417" t="s">
        <v>3385</v>
      </c>
      <c r="B4004" s="417" t="s">
        <v>3405</v>
      </c>
      <c r="C4004" s="417" t="s">
        <v>10459</v>
      </c>
      <c r="D4004" s="417" t="s">
        <v>224</v>
      </c>
      <c r="E4004" s="423">
        <v>3.1325821568911491E-2</v>
      </c>
      <c r="F4004" s="423">
        <v>1.5594042874768721E-3</v>
      </c>
      <c r="G4004" s="422">
        <v>81.941237788480422</v>
      </c>
      <c r="H4004" s="417" t="s">
        <v>2616</v>
      </c>
      <c r="I4004" s="417" t="s">
        <v>1392</v>
      </c>
      <c r="J4004" s="417" t="s">
        <v>9578</v>
      </c>
      <c r="K4004" s="417" t="s">
        <v>10460</v>
      </c>
      <c r="L4004" s="417"/>
      <c r="M4004" s="417" t="s">
        <v>28840</v>
      </c>
    </row>
    <row r="4005" spans="1:13" x14ac:dyDescent="0.25">
      <c r="A4005" s="417" t="s">
        <v>3385</v>
      </c>
      <c r="B4005" s="417" t="s">
        <v>3405</v>
      </c>
      <c r="C4005" s="417" t="s">
        <v>10461</v>
      </c>
      <c r="D4005" s="417" t="s">
        <v>224</v>
      </c>
      <c r="E4005" s="423">
        <v>2.9730879679330191E-2</v>
      </c>
      <c r="F4005" s="423">
        <v>1.4796576568734401E-3</v>
      </c>
      <c r="G4005" s="422">
        <v>78.368793261096172</v>
      </c>
      <c r="H4005" s="417" t="s">
        <v>2616</v>
      </c>
      <c r="I4005" s="417" t="s">
        <v>1392</v>
      </c>
      <c r="J4005" s="417" t="s">
        <v>9578</v>
      </c>
      <c r="K4005" s="417" t="s">
        <v>10462</v>
      </c>
      <c r="L4005" s="417"/>
      <c r="M4005" s="417" t="s">
        <v>28840</v>
      </c>
    </row>
    <row r="4006" spans="1:13" x14ac:dyDescent="0.25">
      <c r="A4006" s="417" t="s">
        <v>3385</v>
      </c>
      <c r="B4006" s="417" t="s">
        <v>3405</v>
      </c>
      <c r="C4006" s="417" t="s">
        <v>10463</v>
      </c>
      <c r="D4006" s="417" t="s">
        <v>224</v>
      </c>
      <c r="E4006" s="423">
        <v>1.9797967689637E-2</v>
      </c>
      <c r="F4006" s="423">
        <v>9.6856527841940776E-4</v>
      </c>
      <c r="G4006" s="422">
        <v>59.672058662746103</v>
      </c>
      <c r="H4006" s="417" t="s">
        <v>2616</v>
      </c>
      <c r="I4006" s="417" t="s">
        <v>1392</v>
      </c>
      <c r="J4006" s="417" t="s">
        <v>9578</v>
      </c>
      <c r="K4006" s="417" t="s">
        <v>10464</v>
      </c>
      <c r="L4006" s="417"/>
      <c r="M4006" s="417" t="s">
        <v>28840</v>
      </c>
    </row>
    <row r="4007" spans="1:13" x14ac:dyDescent="0.25">
      <c r="A4007" s="417" t="s">
        <v>3385</v>
      </c>
      <c r="B4007" s="417" t="s">
        <v>3405</v>
      </c>
      <c r="C4007" s="417" t="s">
        <v>10465</v>
      </c>
      <c r="D4007" s="417" t="s">
        <v>224</v>
      </c>
      <c r="E4007" s="423">
        <v>3.270920328020277E-2</v>
      </c>
      <c r="F4007" s="423">
        <v>1.638398950198543E-3</v>
      </c>
      <c r="G4007" s="422">
        <v>82.560225771902495</v>
      </c>
      <c r="H4007" s="417" t="s">
        <v>2616</v>
      </c>
      <c r="I4007" s="417" t="s">
        <v>1392</v>
      </c>
      <c r="J4007" s="417" t="s">
        <v>9578</v>
      </c>
      <c r="K4007" s="417" t="s">
        <v>10466</v>
      </c>
      <c r="L4007" s="417"/>
      <c r="M4007" s="417" t="s">
        <v>28840</v>
      </c>
    </row>
    <row r="4008" spans="1:13" x14ac:dyDescent="0.25">
      <c r="A4008" s="417" t="s">
        <v>3385</v>
      </c>
      <c r="B4008" s="417" t="s">
        <v>3405</v>
      </c>
      <c r="C4008" s="417" t="s">
        <v>10467</v>
      </c>
      <c r="D4008" s="417" t="s">
        <v>224</v>
      </c>
      <c r="E4008" s="423">
        <v>2.9677209114372029E-2</v>
      </c>
      <c r="F4008" s="423">
        <v>1.4719529217260771E-3</v>
      </c>
      <c r="G4008" s="422">
        <v>79.506102790278092</v>
      </c>
      <c r="H4008" s="417" t="s">
        <v>2616</v>
      </c>
      <c r="I4008" s="417" t="s">
        <v>1392</v>
      </c>
      <c r="J4008" s="417" t="s">
        <v>9578</v>
      </c>
      <c r="K4008" s="417" t="s">
        <v>10468</v>
      </c>
      <c r="L4008" s="417"/>
      <c r="M4008" s="417" t="s">
        <v>28840</v>
      </c>
    </row>
    <row r="4009" spans="1:13" x14ac:dyDescent="0.25">
      <c r="A4009" s="417" t="s">
        <v>3385</v>
      </c>
      <c r="B4009" s="417" t="s">
        <v>3405</v>
      </c>
      <c r="C4009" s="417" t="s">
        <v>10469</v>
      </c>
      <c r="D4009" s="417" t="s">
        <v>224</v>
      </c>
      <c r="E4009" s="423">
        <v>3.3927099132854258E-2</v>
      </c>
      <c r="F4009" s="423">
        <v>1.6838983855524249E-3</v>
      </c>
      <c r="G4009" s="422">
        <v>89.237817238913692</v>
      </c>
      <c r="H4009" s="417" t="s">
        <v>2616</v>
      </c>
      <c r="I4009" s="417" t="s">
        <v>1392</v>
      </c>
      <c r="J4009" s="417" t="s">
        <v>9578</v>
      </c>
      <c r="K4009" s="417" t="s">
        <v>10470</v>
      </c>
      <c r="L4009" s="417"/>
      <c r="M4009" s="417" t="s">
        <v>28840</v>
      </c>
    </row>
    <row r="4010" spans="1:13" x14ac:dyDescent="0.25">
      <c r="A4010" s="417" t="s">
        <v>3385</v>
      </c>
      <c r="B4010" s="417" t="s">
        <v>3405</v>
      </c>
      <c r="C4010" s="417" t="s">
        <v>10471</v>
      </c>
      <c r="D4010" s="417" t="s">
        <v>224</v>
      </c>
      <c r="E4010" s="423">
        <v>2.1741872611450708E-2</v>
      </c>
      <c r="F4010" s="423">
        <v>1.0790341010347021E-3</v>
      </c>
      <c r="G4010" s="422">
        <v>60.644433320561149</v>
      </c>
      <c r="H4010" s="417" t="s">
        <v>2616</v>
      </c>
      <c r="I4010" s="417" t="s">
        <v>1392</v>
      </c>
      <c r="J4010" s="417" t="s">
        <v>9578</v>
      </c>
      <c r="K4010" s="417" t="s">
        <v>10472</v>
      </c>
      <c r="L4010" s="417"/>
      <c r="M4010" s="417" t="s">
        <v>28840</v>
      </c>
    </row>
    <row r="4011" spans="1:13" x14ac:dyDescent="0.25">
      <c r="A4011" s="417" t="s">
        <v>3385</v>
      </c>
      <c r="B4011" s="417" t="s">
        <v>3405</v>
      </c>
      <c r="C4011" s="417" t="s">
        <v>10473</v>
      </c>
      <c r="D4011" s="417" t="s">
        <v>224</v>
      </c>
      <c r="E4011" s="423">
        <v>2.6375753887867271E-2</v>
      </c>
      <c r="F4011" s="423">
        <v>1.3090517621954581E-3</v>
      </c>
      <c r="G4011" s="422">
        <v>71.518067333079387</v>
      </c>
      <c r="H4011" s="417" t="s">
        <v>2616</v>
      </c>
      <c r="I4011" s="417" t="s">
        <v>1392</v>
      </c>
      <c r="J4011" s="417" t="s">
        <v>9578</v>
      </c>
      <c r="K4011" s="417" t="s">
        <v>10474</v>
      </c>
      <c r="L4011" s="417"/>
      <c r="M4011" s="417" t="s">
        <v>28840</v>
      </c>
    </row>
    <row r="4012" spans="1:13" x14ac:dyDescent="0.25">
      <c r="A4012" s="417" t="s">
        <v>3385</v>
      </c>
      <c r="B4012" s="417" t="s">
        <v>3405</v>
      </c>
      <c r="C4012" s="417" t="s">
        <v>10475</v>
      </c>
      <c r="D4012" s="417" t="s">
        <v>224</v>
      </c>
      <c r="E4012" s="423">
        <v>3.6126368097127347E-2</v>
      </c>
      <c r="F4012" s="423">
        <v>1.7929538758271199E-3</v>
      </c>
      <c r="G4012" s="422">
        <v>94.398006128660398</v>
      </c>
      <c r="H4012" s="417" t="s">
        <v>2616</v>
      </c>
      <c r="I4012" s="417" t="s">
        <v>1392</v>
      </c>
      <c r="J4012" s="417" t="s">
        <v>9578</v>
      </c>
      <c r="K4012" s="417" t="s">
        <v>10476</v>
      </c>
      <c r="L4012" s="417"/>
      <c r="M4012" s="417" t="s">
        <v>28840</v>
      </c>
    </row>
    <row r="4013" spans="1:13" x14ac:dyDescent="0.25">
      <c r="A4013" s="417" t="s">
        <v>3385</v>
      </c>
      <c r="B4013" s="417" t="s">
        <v>3405</v>
      </c>
      <c r="C4013" s="417" t="s">
        <v>10477</v>
      </c>
      <c r="D4013" s="417" t="s">
        <v>224</v>
      </c>
      <c r="E4013" s="423">
        <v>1.6754506833520599E-2</v>
      </c>
      <c r="F4013" s="423">
        <v>8.2488933763150618E-4</v>
      </c>
      <c r="G4013" s="422">
        <v>50.285635198752352</v>
      </c>
      <c r="H4013" s="417" t="s">
        <v>2616</v>
      </c>
      <c r="I4013" s="417" t="s">
        <v>1392</v>
      </c>
      <c r="J4013" s="417" t="s">
        <v>9578</v>
      </c>
      <c r="K4013" s="417" t="s">
        <v>10478</v>
      </c>
      <c r="L4013" s="417"/>
      <c r="M4013" s="417" t="s">
        <v>28840</v>
      </c>
    </row>
    <row r="4014" spans="1:13" x14ac:dyDescent="0.25">
      <c r="A4014" s="417" t="s">
        <v>3385</v>
      </c>
      <c r="B4014" s="417" t="s">
        <v>3405</v>
      </c>
      <c r="C4014" s="417" t="s">
        <v>10479</v>
      </c>
      <c r="D4014" s="417" t="s">
        <v>224</v>
      </c>
      <c r="E4014" s="423">
        <v>2.199657625655628E-2</v>
      </c>
      <c r="F4014" s="423">
        <v>1.0861641139698281E-3</v>
      </c>
      <c r="G4014" s="422">
        <v>62.662175971563691</v>
      </c>
      <c r="H4014" s="417" t="s">
        <v>2616</v>
      </c>
      <c r="I4014" s="417" t="s">
        <v>1392</v>
      </c>
      <c r="J4014" s="417" t="s">
        <v>9578</v>
      </c>
      <c r="K4014" s="417" t="s">
        <v>10480</v>
      </c>
      <c r="L4014" s="417"/>
      <c r="M4014" s="417" t="s">
        <v>28840</v>
      </c>
    </row>
    <row r="4015" spans="1:13" x14ac:dyDescent="0.25">
      <c r="A4015" s="417" t="s">
        <v>3385</v>
      </c>
      <c r="B4015" s="417" t="s">
        <v>3405</v>
      </c>
      <c r="C4015" s="417" t="s">
        <v>10481</v>
      </c>
      <c r="D4015" s="417" t="s">
        <v>224</v>
      </c>
      <c r="E4015" s="423">
        <v>2.7994665141061661E-2</v>
      </c>
      <c r="F4015" s="423">
        <v>1.4122562881810749E-3</v>
      </c>
      <c r="G4015" s="422">
        <v>75.145656078339755</v>
      </c>
      <c r="H4015" s="417" t="s">
        <v>2616</v>
      </c>
      <c r="I4015" s="417" t="s">
        <v>1392</v>
      </c>
      <c r="J4015" s="417" t="s">
        <v>9578</v>
      </c>
      <c r="K4015" s="417" t="s">
        <v>10482</v>
      </c>
      <c r="L4015" s="417"/>
      <c r="M4015" s="417" t="s">
        <v>28840</v>
      </c>
    </row>
    <row r="4016" spans="1:13" x14ac:dyDescent="0.25">
      <c r="A4016" s="417" t="s">
        <v>3385</v>
      </c>
      <c r="B4016" s="417" t="s">
        <v>3405</v>
      </c>
      <c r="C4016" s="417" t="s">
        <v>10483</v>
      </c>
      <c r="D4016" s="417" t="s">
        <v>224</v>
      </c>
      <c r="E4016" s="423">
        <v>2.5217958557176869E-2</v>
      </c>
      <c r="F4016" s="423">
        <v>1.2352964713606351E-3</v>
      </c>
      <c r="G4016" s="422">
        <v>72.67631972933151</v>
      </c>
      <c r="H4016" s="417" t="s">
        <v>2616</v>
      </c>
      <c r="I4016" s="417" t="s">
        <v>1392</v>
      </c>
      <c r="J4016" s="417" t="s">
        <v>9578</v>
      </c>
      <c r="K4016" s="417" t="s">
        <v>10484</v>
      </c>
      <c r="L4016" s="417"/>
      <c r="M4016" s="417" t="s">
        <v>28840</v>
      </c>
    </row>
    <row r="4017" spans="1:13" x14ac:dyDescent="0.25">
      <c r="A4017" s="417" t="s">
        <v>3385</v>
      </c>
      <c r="B4017" s="417" t="s">
        <v>3405</v>
      </c>
      <c r="C4017" s="417" t="s">
        <v>10485</v>
      </c>
      <c r="D4017" s="417" t="s">
        <v>224</v>
      </c>
      <c r="E4017" s="423">
        <v>3.1682205413681781E-2</v>
      </c>
      <c r="F4017" s="423">
        <v>1.5724525279935779E-3</v>
      </c>
      <c r="G4017" s="422">
        <v>83.96977343440517</v>
      </c>
      <c r="H4017" s="417" t="s">
        <v>2616</v>
      </c>
      <c r="I4017" s="417" t="s">
        <v>1392</v>
      </c>
      <c r="J4017" s="417" t="s">
        <v>9578</v>
      </c>
      <c r="K4017" s="417" t="s">
        <v>10486</v>
      </c>
      <c r="L4017" s="417"/>
      <c r="M4017" s="417" t="s">
        <v>28840</v>
      </c>
    </row>
    <row r="4018" spans="1:13" x14ac:dyDescent="0.25">
      <c r="A4018" s="417" t="s">
        <v>3385</v>
      </c>
      <c r="B4018" s="417" t="s">
        <v>3405</v>
      </c>
      <c r="C4018" s="417" t="s">
        <v>10487</v>
      </c>
      <c r="D4018" s="417" t="s">
        <v>224</v>
      </c>
      <c r="E4018" s="423">
        <v>1.7529390667358511E-2</v>
      </c>
      <c r="F4018" s="423">
        <v>8.578195801325607E-4</v>
      </c>
      <c r="G4018" s="422">
        <v>53.471726483893157</v>
      </c>
      <c r="H4018" s="417" t="s">
        <v>2616</v>
      </c>
      <c r="I4018" s="417" t="s">
        <v>1392</v>
      </c>
      <c r="J4018" s="417" t="s">
        <v>9578</v>
      </c>
      <c r="K4018" s="417" t="s">
        <v>10488</v>
      </c>
      <c r="L4018" s="417"/>
      <c r="M4018" s="417" t="s">
        <v>28840</v>
      </c>
    </row>
    <row r="4019" spans="1:13" x14ac:dyDescent="0.25">
      <c r="A4019" s="417" t="s">
        <v>3385</v>
      </c>
      <c r="B4019" s="417" t="s">
        <v>3405</v>
      </c>
      <c r="C4019" s="417" t="s">
        <v>10489</v>
      </c>
      <c r="D4019" s="417" t="s">
        <v>224</v>
      </c>
      <c r="E4019" s="423">
        <v>2.1307854172601021E-2</v>
      </c>
      <c r="F4019" s="423">
        <v>1.048697844779495E-3</v>
      </c>
      <c r="G4019" s="422">
        <v>61.448660774477403</v>
      </c>
      <c r="H4019" s="417" t="s">
        <v>2616</v>
      </c>
      <c r="I4019" s="417" t="s">
        <v>1392</v>
      </c>
      <c r="J4019" s="417" t="s">
        <v>9578</v>
      </c>
      <c r="K4019" s="417" t="s">
        <v>10490</v>
      </c>
      <c r="L4019" s="417"/>
      <c r="M4019" s="417" t="s">
        <v>28840</v>
      </c>
    </row>
    <row r="4020" spans="1:13" x14ac:dyDescent="0.25">
      <c r="A4020" s="417" t="s">
        <v>3385</v>
      </c>
      <c r="B4020" s="417" t="s">
        <v>3405</v>
      </c>
      <c r="C4020" s="417" t="s">
        <v>10491</v>
      </c>
      <c r="D4020" s="417" t="s">
        <v>224</v>
      </c>
      <c r="E4020" s="423">
        <v>3.0575464598341689E-2</v>
      </c>
      <c r="F4020" s="423">
        <v>1.513683141638361E-3</v>
      </c>
      <c r="G4020" s="422">
        <v>82.349764990834558</v>
      </c>
      <c r="H4020" s="417" t="s">
        <v>2616</v>
      </c>
      <c r="I4020" s="417" t="s">
        <v>1392</v>
      </c>
      <c r="J4020" s="417" t="s">
        <v>9578</v>
      </c>
      <c r="K4020" s="417" t="s">
        <v>10492</v>
      </c>
      <c r="L4020" s="417"/>
      <c r="M4020" s="417" t="s">
        <v>28840</v>
      </c>
    </row>
    <row r="4021" spans="1:13" x14ac:dyDescent="0.25">
      <c r="A4021" s="417" t="s">
        <v>3385</v>
      </c>
      <c r="B4021" s="417" t="s">
        <v>3405</v>
      </c>
      <c r="C4021" s="417" t="s">
        <v>10493</v>
      </c>
      <c r="D4021" s="417" t="s">
        <v>224</v>
      </c>
      <c r="E4021" s="423">
        <v>3.5021840144968903E-2</v>
      </c>
      <c r="F4021" s="423">
        <v>1.754100506802429E-3</v>
      </c>
      <c r="G4021" s="422">
        <v>87.716614526776937</v>
      </c>
      <c r="H4021" s="417" t="s">
        <v>2616</v>
      </c>
      <c r="I4021" s="417" t="s">
        <v>1392</v>
      </c>
      <c r="J4021" s="417" t="s">
        <v>9578</v>
      </c>
      <c r="K4021" s="417" t="s">
        <v>10494</v>
      </c>
      <c r="L4021" s="417"/>
      <c r="M4021" s="417" t="s">
        <v>28840</v>
      </c>
    </row>
    <row r="4022" spans="1:13" x14ac:dyDescent="0.25">
      <c r="A4022" s="417" t="s">
        <v>3385</v>
      </c>
      <c r="B4022" s="417" t="s">
        <v>3405</v>
      </c>
      <c r="C4022" s="417" t="s">
        <v>10495</v>
      </c>
      <c r="D4022" s="417" t="s">
        <v>224</v>
      </c>
      <c r="E4022" s="423">
        <v>2.3115292078685221E-2</v>
      </c>
      <c r="F4022" s="423">
        <v>1.14612726884335E-3</v>
      </c>
      <c r="G4022" s="422">
        <v>63.233688566246038</v>
      </c>
      <c r="H4022" s="417" t="s">
        <v>2616</v>
      </c>
      <c r="I4022" s="417" t="s">
        <v>1392</v>
      </c>
      <c r="J4022" s="417" t="s">
        <v>9578</v>
      </c>
      <c r="K4022" s="417" t="s">
        <v>10496</v>
      </c>
      <c r="L4022" s="417"/>
      <c r="M4022" s="417" t="s">
        <v>28840</v>
      </c>
    </row>
    <row r="4023" spans="1:13" x14ac:dyDescent="0.25">
      <c r="A4023" s="417" t="s">
        <v>3385</v>
      </c>
      <c r="B4023" s="417" t="s">
        <v>3405</v>
      </c>
      <c r="C4023" s="417" t="s">
        <v>10497</v>
      </c>
      <c r="D4023" s="417" t="s">
        <v>224</v>
      </c>
      <c r="E4023" s="423">
        <v>1.9953450454646939E-2</v>
      </c>
      <c r="F4023" s="423">
        <v>9.8344141358305153E-4</v>
      </c>
      <c r="G4023" s="422">
        <v>58.210490977601729</v>
      </c>
      <c r="H4023" s="417" t="s">
        <v>2616</v>
      </c>
      <c r="I4023" s="417" t="s">
        <v>1392</v>
      </c>
      <c r="J4023" s="417" t="s">
        <v>9578</v>
      </c>
      <c r="K4023" s="417" t="s">
        <v>10498</v>
      </c>
      <c r="L4023" s="417"/>
      <c r="M4023" s="417" t="s">
        <v>28840</v>
      </c>
    </row>
    <row r="4024" spans="1:13" x14ac:dyDescent="0.25">
      <c r="A4024" s="417" t="s">
        <v>3385</v>
      </c>
      <c r="B4024" s="417" t="s">
        <v>3405</v>
      </c>
      <c r="C4024" s="417" t="s">
        <v>10499</v>
      </c>
      <c r="D4024" s="417" t="s">
        <v>224</v>
      </c>
      <c r="E4024" s="423">
        <v>3.1660661112826873E-2</v>
      </c>
      <c r="F4024" s="423">
        <v>1.5839673921144309E-3</v>
      </c>
      <c r="G4024" s="422">
        <v>80.693849459033203</v>
      </c>
      <c r="H4024" s="417" t="s">
        <v>2616</v>
      </c>
      <c r="I4024" s="417" t="s">
        <v>1392</v>
      </c>
      <c r="J4024" s="417" t="s">
        <v>9578</v>
      </c>
      <c r="K4024" s="417" t="s">
        <v>10500</v>
      </c>
      <c r="L4024" s="417"/>
      <c r="M4024" s="417" t="s">
        <v>28840</v>
      </c>
    </row>
    <row r="4025" spans="1:13" x14ac:dyDescent="0.25">
      <c r="A4025" s="417" t="s">
        <v>3385</v>
      </c>
      <c r="B4025" s="417" t="s">
        <v>3405</v>
      </c>
      <c r="C4025" s="417" t="s">
        <v>10501</v>
      </c>
      <c r="D4025" s="417" t="s">
        <v>224</v>
      </c>
      <c r="E4025" s="423">
        <v>1.9671302051690959E-2</v>
      </c>
      <c r="F4025" s="423">
        <v>9.6439930654248346E-4</v>
      </c>
      <c r="G4025" s="422">
        <v>58.65466177270217</v>
      </c>
      <c r="H4025" s="417" t="s">
        <v>2616</v>
      </c>
      <c r="I4025" s="417" t="s">
        <v>1392</v>
      </c>
      <c r="J4025" s="417" t="s">
        <v>9578</v>
      </c>
      <c r="K4025" s="417" t="s">
        <v>10502</v>
      </c>
      <c r="L4025" s="417"/>
      <c r="M4025" s="417" t="s">
        <v>28840</v>
      </c>
    </row>
    <row r="4026" spans="1:13" x14ac:dyDescent="0.25">
      <c r="A4026" s="417" t="s">
        <v>3385</v>
      </c>
      <c r="B4026" s="417" t="s">
        <v>3405</v>
      </c>
      <c r="C4026" s="417" t="s">
        <v>10503</v>
      </c>
      <c r="D4026" s="417" t="s">
        <v>224</v>
      </c>
      <c r="E4026" s="423">
        <v>2.0259918628311498E-2</v>
      </c>
      <c r="F4026" s="423">
        <v>9.8961208090946333E-4</v>
      </c>
      <c r="G4026" s="422">
        <v>61.23417163429707</v>
      </c>
      <c r="H4026" s="417" t="s">
        <v>2616</v>
      </c>
      <c r="I4026" s="417" t="s">
        <v>1392</v>
      </c>
      <c r="J4026" s="417" t="s">
        <v>9578</v>
      </c>
      <c r="K4026" s="417" t="s">
        <v>10504</v>
      </c>
      <c r="L4026" s="417"/>
      <c r="M4026" s="417" t="s">
        <v>28840</v>
      </c>
    </row>
    <row r="4027" spans="1:13" x14ac:dyDescent="0.25">
      <c r="A4027" s="417" t="s">
        <v>3385</v>
      </c>
      <c r="B4027" s="417" t="s">
        <v>3405</v>
      </c>
      <c r="C4027" s="417" t="s">
        <v>10505</v>
      </c>
      <c r="D4027" s="417" t="s">
        <v>224</v>
      </c>
      <c r="E4027" s="423">
        <v>1.9239865675812508E-2</v>
      </c>
      <c r="F4027" s="423">
        <v>9.1653493065729796E-4</v>
      </c>
      <c r="G4027" s="422">
        <v>56.300939217898652</v>
      </c>
      <c r="H4027" s="417" t="s">
        <v>2616</v>
      </c>
      <c r="I4027" s="417" t="s">
        <v>1392</v>
      </c>
      <c r="J4027" s="417" t="s">
        <v>9578</v>
      </c>
      <c r="K4027" s="417" t="s">
        <v>10506</v>
      </c>
      <c r="L4027" s="417"/>
      <c r="M4027" s="417" t="s">
        <v>28840</v>
      </c>
    </row>
    <row r="4028" spans="1:13" x14ac:dyDescent="0.25">
      <c r="A4028" s="417" t="s">
        <v>3385</v>
      </c>
      <c r="B4028" s="417" t="s">
        <v>3405</v>
      </c>
      <c r="C4028" s="417" t="s">
        <v>10507</v>
      </c>
      <c r="D4028" s="417" t="s">
        <v>224</v>
      </c>
      <c r="E4028" s="423">
        <v>1.726807323695622E-2</v>
      </c>
      <c r="F4028" s="423">
        <v>8.4594790781100356E-4</v>
      </c>
      <c r="G4028" s="422">
        <v>52.835376407555472</v>
      </c>
      <c r="H4028" s="417" t="s">
        <v>2616</v>
      </c>
      <c r="I4028" s="417" t="s">
        <v>1392</v>
      </c>
      <c r="J4028" s="417" t="s">
        <v>9578</v>
      </c>
      <c r="K4028" s="417" t="s">
        <v>10508</v>
      </c>
      <c r="L4028" s="417"/>
      <c r="M4028" s="417" t="s">
        <v>28840</v>
      </c>
    </row>
    <row r="4029" spans="1:13" x14ac:dyDescent="0.25">
      <c r="A4029" s="417" t="s">
        <v>3385</v>
      </c>
      <c r="B4029" s="417" t="s">
        <v>3405</v>
      </c>
      <c r="C4029" s="417" t="s">
        <v>10509</v>
      </c>
      <c r="D4029" s="417" t="s">
        <v>224</v>
      </c>
      <c r="E4029" s="423">
        <v>1.011672759337398</v>
      </c>
      <c r="F4029" s="423">
        <v>4.5111540127997073E-3</v>
      </c>
      <c r="G4029" s="422">
        <v>1265.9750200509211</v>
      </c>
      <c r="H4029" s="417" t="s">
        <v>2616</v>
      </c>
      <c r="I4029" s="417" t="s">
        <v>1392</v>
      </c>
      <c r="J4029" s="417" t="s">
        <v>8072</v>
      </c>
      <c r="K4029" s="417" t="s">
        <v>10510</v>
      </c>
      <c r="L4029" s="417"/>
      <c r="M4029" s="417" t="s">
        <v>28840</v>
      </c>
    </row>
    <row r="4030" spans="1:13" x14ac:dyDescent="0.25">
      <c r="A4030" s="417" t="s">
        <v>3385</v>
      </c>
      <c r="B4030" s="417" t="s">
        <v>3405</v>
      </c>
      <c r="C4030" s="417" t="s">
        <v>10511</v>
      </c>
      <c r="D4030" s="417" t="s">
        <v>224</v>
      </c>
      <c r="E4030" s="423">
        <v>3.9576861897986398E-2</v>
      </c>
      <c r="F4030" s="423">
        <v>2.230269659040838E-3</v>
      </c>
      <c r="G4030" s="422">
        <v>97.364781817900223</v>
      </c>
      <c r="H4030" s="417" t="s">
        <v>2616</v>
      </c>
      <c r="I4030" s="417" t="s">
        <v>1392</v>
      </c>
      <c r="J4030" s="417" t="s">
        <v>3414</v>
      </c>
      <c r="K4030" s="417" t="s">
        <v>10512</v>
      </c>
      <c r="L4030" s="417"/>
      <c r="M4030" s="417" t="s">
        <v>28840</v>
      </c>
    </row>
    <row r="4031" spans="1:13" x14ac:dyDescent="0.25">
      <c r="A4031" s="417" t="s">
        <v>3385</v>
      </c>
      <c r="B4031" s="417" t="s">
        <v>3405</v>
      </c>
      <c r="C4031" s="417" t="s">
        <v>10513</v>
      </c>
      <c r="D4031" s="417" t="s">
        <v>224</v>
      </c>
      <c r="E4031" s="423">
        <v>2.6166828824977829E-2</v>
      </c>
      <c r="F4031" s="423">
        <v>1.368350276724816E-3</v>
      </c>
      <c r="G4031" s="422">
        <v>64.138061209873669</v>
      </c>
      <c r="H4031" s="417" t="s">
        <v>2616</v>
      </c>
      <c r="I4031" s="417" t="s">
        <v>1392</v>
      </c>
      <c r="J4031" s="417" t="s">
        <v>9578</v>
      </c>
      <c r="K4031" s="417" t="s">
        <v>10514</v>
      </c>
      <c r="L4031" s="417"/>
      <c r="M4031" s="417" t="s">
        <v>28840</v>
      </c>
    </row>
    <row r="4032" spans="1:13" x14ac:dyDescent="0.25">
      <c r="A4032" s="417" t="s">
        <v>3385</v>
      </c>
      <c r="B4032" s="417" t="s">
        <v>3405</v>
      </c>
      <c r="C4032" s="417" t="s">
        <v>10515</v>
      </c>
      <c r="D4032" s="417" t="s">
        <v>224</v>
      </c>
      <c r="E4032" s="423">
        <v>2.9583055656097701E-2</v>
      </c>
      <c r="F4032" s="423">
        <v>1.434662706442424E-3</v>
      </c>
      <c r="G4032" s="422">
        <v>69.553748769597689</v>
      </c>
      <c r="H4032" s="417" t="s">
        <v>2616</v>
      </c>
      <c r="I4032" s="417" t="s">
        <v>1392</v>
      </c>
      <c r="J4032" s="417" t="s">
        <v>9578</v>
      </c>
      <c r="K4032" s="417" t="s">
        <v>10516</v>
      </c>
      <c r="L4032" s="417"/>
      <c r="M4032" s="417" t="s">
        <v>28840</v>
      </c>
    </row>
    <row r="4033" spans="1:13" x14ac:dyDescent="0.25">
      <c r="A4033" s="417" t="s">
        <v>3385</v>
      </c>
      <c r="B4033" s="417" t="s">
        <v>3405</v>
      </c>
      <c r="C4033" s="417" t="s">
        <v>10517</v>
      </c>
      <c r="D4033" s="417" t="s">
        <v>224</v>
      </c>
      <c r="E4033" s="423">
        <v>2.9227606309655482E-2</v>
      </c>
      <c r="F4033" s="423">
        <v>1.4346459787345129E-3</v>
      </c>
      <c r="G4033" s="422">
        <v>67.244820469402583</v>
      </c>
      <c r="H4033" s="417" t="s">
        <v>2616</v>
      </c>
      <c r="I4033" s="417" t="s">
        <v>1392</v>
      </c>
      <c r="J4033" s="417" t="s">
        <v>9578</v>
      </c>
      <c r="K4033" s="417" t="s">
        <v>10518</v>
      </c>
      <c r="L4033" s="417"/>
      <c r="M4033" s="417" t="s">
        <v>28840</v>
      </c>
    </row>
    <row r="4034" spans="1:13" x14ac:dyDescent="0.25">
      <c r="A4034" s="417" t="s">
        <v>3385</v>
      </c>
      <c r="B4034" s="417" t="s">
        <v>3405</v>
      </c>
      <c r="C4034" s="417" t="s">
        <v>10519</v>
      </c>
      <c r="D4034" s="417" t="s">
        <v>224</v>
      </c>
      <c r="E4034" s="423">
        <v>2.898924012579716E-2</v>
      </c>
      <c r="F4034" s="423">
        <v>1.4056477629454569E-3</v>
      </c>
      <c r="G4034" s="422">
        <v>67.686312707602241</v>
      </c>
      <c r="H4034" s="417" t="s">
        <v>2616</v>
      </c>
      <c r="I4034" s="417" t="s">
        <v>1392</v>
      </c>
      <c r="J4034" s="417" t="s">
        <v>9578</v>
      </c>
      <c r="K4034" s="417" t="s">
        <v>10520</v>
      </c>
      <c r="L4034" s="417"/>
      <c r="M4034" s="417" t="s">
        <v>28840</v>
      </c>
    </row>
    <row r="4035" spans="1:13" x14ac:dyDescent="0.25">
      <c r="A4035" s="417" t="s">
        <v>3385</v>
      </c>
      <c r="B4035" s="417" t="s">
        <v>3405</v>
      </c>
      <c r="C4035" s="417" t="s">
        <v>10521</v>
      </c>
      <c r="D4035" s="417" t="s">
        <v>224</v>
      </c>
      <c r="E4035" s="423">
        <v>2.863445546516017E-2</v>
      </c>
      <c r="F4035" s="423">
        <v>1.405670143206554E-3</v>
      </c>
      <c r="G4035" s="422">
        <v>65.378699859541697</v>
      </c>
      <c r="H4035" s="417" t="s">
        <v>2616</v>
      </c>
      <c r="I4035" s="417" t="s">
        <v>1392</v>
      </c>
      <c r="J4035" s="417" t="s">
        <v>9578</v>
      </c>
      <c r="K4035" s="417" t="s">
        <v>10522</v>
      </c>
      <c r="L4035" s="417"/>
      <c r="M4035" s="417" t="s">
        <v>28840</v>
      </c>
    </row>
    <row r="4036" spans="1:13" x14ac:dyDescent="0.25">
      <c r="A4036" s="417" t="s">
        <v>3385</v>
      </c>
      <c r="B4036" s="417" t="s">
        <v>3405</v>
      </c>
      <c r="C4036" s="417" t="s">
        <v>10523</v>
      </c>
      <c r="D4036" s="417" t="s">
        <v>224</v>
      </c>
      <c r="E4036" s="423">
        <v>2.2079269160499199E-2</v>
      </c>
      <c r="F4036" s="423">
        <v>1.171024150604063E-3</v>
      </c>
      <c r="G4036" s="422">
        <v>69.552590993574412</v>
      </c>
      <c r="H4036" s="417" t="s">
        <v>2616</v>
      </c>
      <c r="I4036" s="417" t="s">
        <v>1392</v>
      </c>
      <c r="J4036" s="417" t="s">
        <v>9578</v>
      </c>
      <c r="K4036" s="417" t="s">
        <v>10524</v>
      </c>
      <c r="L4036" s="417"/>
      <c r="M4036" s="417" t="s">
        <v>28840</v>
      </c>
    </row>
    <row r="4037" spans="1:13" x14ac:dyDescent="0.25">
      <c r="A4037" s="417" t="s">
        <v>3385</v>
      </c>
      <c r="B4037" s="417" t="s">
        <v>3405</v>
      </c>
      <c r="C4037" s="417" t="s">
        <v>10525</v>
      </c>
      <c r="D4037" s="417" t="s">
        <v>224</v>
      </c>
      <c r="E4037" s="423">
        <v>3.4113420216264533E-2</v>
      </c>
      <c r="F4037" s="423">
        <v>1.650595229338779E-3</v>
      </c>
      <c r="G4037" s="422">
        <v>77.85297715445715</v>
      </c>
      <c r="H4037" s="417" t="s">
        <v>2616</v>
      </c>
      <c r="I4037" s="417" t="s">
        <v>1392</v>
      </c>
      <c r="J4037" s="417" t="s">
        <v>9578</v>
      </c>
      <c r="K4037" s="417" t="s">
        <v>10526</v>
      </c>
      <c r="L4037" s="417"/>
      <c r="M4037" s="417" t="s">
        <v>28840</v>
      </c>
    </row>
    <row r="4038" spans="1:13" x14ac:dyDescent="0.25">
      <c r="A4038" s="417" t="s">
        <v>3385</v>
      </c>
      <c r="B4038" s="417" t="s">
        <v>3405</v>
      </c>
      <c r="C4038" s="417" t="s">
        <v>10527</v>
      </c>
      <c r="D4038" s="417" t="s">
        <v>224</v>
      </c>
      <c r="E4038" s="423">
        <v>4.8384939573561402E-2</v>
      </c>
      <c r="F4038" s="423">
        <v>2.4098361816912062E-3</v>
      </c>
      <c r="G4038" s="422">
        <v>136.14232189674499</v>
      </c>
      <c r="H4038" s="417" t="s">
        <v>2616</v>
      </c>
      <c r="I4038" s="417" t="s">
        <v>1392</v>
      </c>
      <c r="J4038" s="417" t="s">
        <v>9578</v>
      </c>
      <c r="K4038" s="417" t="s">
        <v>10528</v>
      </c>
      <c r="L4038" s="417"/>
      <c r="M4038" s="417" t="s">
        <v>28840</v>
      </c>
    </row>
    <row r="4039" spans="1:13" x14ac:dyDescent="0.25">
      <c r="A4039" s="417" t="s">
        <v>3385</v>
      </c>
      <c r="B4039" s="417" t="s">
        <v>3405</v>
      </c>
      <c r="C4039" s="417" t="s">
        <v>10529</v>
      </c>
      <c r="D4039" s="417" t="s">
        <v>224</v>
      </c>
      <c r="E4039" s="423">
        <v>4.7992925778999267E-2</v>
      </c>
      <c r="F4039" s="423">
        <v>2.408780630271955E-3</v>
      </c>
      <c r="G4039" s="422">
        <v>132.92650706841599</v>
      </c>
      <c r="H4039" s="417" t="s">
        <v>2616</v>
      </c>
      <c r="I4039" s="417" t="s">
        <v>1392</v>
      </c>
      <c r="J4039" s="417" t="s">
        <v>9578</v>
      </c>
      <c r="K4039" s="417" t="s">
        <v>10530</v>
      </c>
      <c r="L4039" s="417"/>
      <c r="M4039" s="417" t="s">
        <v>28840</v>
      </c>
    </row>
    <row r="4040" spans="1:13" x14ac:dyDescent="0.25">
      <c r="A4040" s="417" t="s">
        <v>3385</v>
      </c>
      <c r="B4040" s="417" t="s">
        <v>3405</v>
      </c>
      <c r="C4040" s="417" t="s">
        <v>10531</v>
      </c>
      <c r="D4040" s="417" t="s">
        <v>224</v>
      </c>
      <c r="E4040" s="423">
        <v>4.3652287003629768E-2</v>
      </c>
      <c r="F4040" s="423">
        <v>2.248955722782556E-3</v>
      </c>
      <c r="G4040" s="422">
        <v>126.1066743136308</v>
      </c>
      <c r="H4040" s="417" t="s">
        <v>2616</v>
      </c>
      <c r="I4040" s="417" t="s">
        <v>1392</v>
      </c>
      <c r="J4040" s="417" t="s">
        <v>9578</v>
      </c>
      <c r="K4040" s="417" t="s">
        <v>10532</v>
      </c>
      <c r="L4040" s="417"/>
      <c r="M4040" s="417" t="s">
        <v>28840</v>
      </c>
    </row>
    <row r="4041" spans="1:13" x14ac:dyDescent="0.25">
      <c r="A4041" s="417" t="s">
        <v>3385</v>
      </c>
      <c r="B4041" s="417" t="s">
        <v>3405</v>
      </c>
      <c r="C4041" s="417" t="s">
        <v>10533</v>
      </c>
      <c r="D4041" s="417" t="s">
        <v>224</v>
      </c>
      <c r="E4041" s="423">
        <v>4.3624440378685111E-2</v>
      </c>
      <c r="F4041" s="423">
        <v>2.2602819839396362E-3</v>
      </c>
      <c r="G4041" s="422">
        <v>123.6630881312944</v>
      </c>
      <c r="H4041" s="417" t="s">
        <v>2616</v>
      </c>
      <c r="I4041" s="417" t="s">
        <v>1392</v>
      </c>
      <c r="J4041" s="417" t="s">
        <v>9578</v>
      </c>
      <c r="K4041" s="417" t="s">
        <v>10534</v>
      </c>
      <c r="L4041" s="417"/>
      <c r="M4041" s="417" t="s">
        <v>28840</v>
      </c>
    </row>
    <row r="4042" spans="1:13" x14ac:dyDescent="0.25">
      <c r="A4042" s="417" t="s">
        <v>3385</v>
      </c>
      <c r="B4042" s="417" t="s">
        <v>3405</v>
      </c>
      <c r="C4042" s="417" t="s">
        <v>10535</v>
      </c>
      <c r="D4042" s="417" t="s">
        <v>224</v>
      </c>
      <c r="E4042" s="423">
        <v>3.5018077280410891E-2</v>
      </c>
      <c r="F4042" s="423">
        <v>1.6864918658468079E-3</v>
      </c>
      <c r="G4042" s="422">
        <v>99.1172841768485</v>
      </c>
      <c r="H4042" s="417" t="s">
        <v>2616</v>
      </c>
      <c r="I4042" s="417" t="s">
        <v>1392</v>
      </c>
      <c r="J4042" s="417" t="s">
        <v>9578</v>
      </c>
      <c r="K4042" s="417" t="s">
        <v>10536</v>
      </c>
      <c r="L4042" s="417"/>
      <c r="M4042" s="417" t="s">
        <v>28840</v>
      </c>
    </row>
    <row r="4043" spans="1:13" x14ac:dyDescent="0.25">
      <c r="A4043" s="417" t="s">
        <v>3385</v>
      </c>
      <c r="B4043" s="417" t="s">
        <v>3405</v>
      </c>
      <c r="C4043" s="417" t="s">
        <v>10537</v>
      </c>
      <c r="D4043" s="417" t="s">
        <v>224</v>
      </c>
      <c r="E4043" s="423">
        <v>3.4655462256704912E-2</v>
      </c>
      <c r="F4043" s="423">
        <v>1.685806515681775E-3</v>
      </c>
      <c r="G4043" s="422">
        <v>96.795213481384835</v>
      </c>
      <c r="H4043" s="417" t="s">
        <v>2616</v>
      </c>
      <c r="I4043" s="417" t="s">
        <v>1392</v>
      </c>
      <c r="J4043" s="417" t="s">
        <v>9578</v>
      </c>
      <c r="K4043" s="417" t="s">
        <v>10538</v>
      </c>
      <c r="L4043" s="417"/>
      <c r="M4043" s="417" t="s">
        <v>28840</v>
      </c>
    </row>
    <row r="4044" spans="1:13" x14ac:dyDescent="0.25">
      <c r="A4044" s="417" t="s">
        <v>3385</v>
      </c>
      <c r="B4044" s="417" t="s">
        <v>3405</v>
      </c>
      <c r="C4044" s="417" t="s">
        <v>10539</v>
      </c>
      <c r="D4044" s="417" t="s">
        <v>224</v>
      </c>
      <c r="E4044" s="423">
        <v>3.897088658782475E-2</v>
      </c>
      <c r="F4044" s="423">
        <v>1.4998000700192401E-3</v>
      </c>
      <c r="G4044" s="422">
        <v>89.481726848435258</v>
      </c>
      <c r="H4044" s="417" t="s">
        <v>2616</v>
      </c>
      <c r="I4044" s="417" t="s">
        <v>1392</v>
      </c>
      <c r="J4044" s="417" t="s">
        <v>9578</v>
      </c>
      <c r="K4044" s="417" t="s">
        <v>10540</v>
      </c>
      <c r="L4044" s="417"/>
      <c r="M4044" s="417" t="s">
        <v>28840</v>
      </c>
    </row>
    <row r="4045" spans="1:13" x14ac:dyDescent="0.25">
      <c r="A4045" s="417" t="s">
        <v>3385</v>
      </c>
      <c r="B4045" s="417" t="s">
        <v>3405</v>
      </c>
      <c r="C4045" s="417" t="s">
        <v>10541</v>
      </c>
      <c r="D4045" s="417" t="s">
        <v>224</v>
      </c>
      <c r="E4045" s="423">
        <v>5.6556412158987483E-2</v>
      </c>
      <c r="F4045" s="423">
        <v>1.9978296305468561E-3</v>
      </c>
      <c r="G4045" s="422">
        <v>129.75442639836791</v>
      </c>
      <c r="H4045" s="417" t="s">
        <v>2616</v>
      </c>
      <c r="I4045" s="417" t="s">
        <v>1392</v>
      </c>
      <c r="J4045" s="417" t="s">
        <v>9578</v>
      </c>
      <c r="K4045" s="417" t="s">
        <v>10542</v>
      </c>
      <c r="L4045" s="417"/>
      <c r="M4045" s="417" t="s">
        <v>28840</v>
      </c>
    </row>
    <row r="4046" spans="1:13" x14ac:dyDescent="0.25">
      <c r="A4046" s="417" t="s">
        <v>3385</v>
      </c>
      <c r="B4046" s="417" t="s">
        <v>3405</v>
      </c>
      <c r="C4046" s="417" t="s">
        <v>10543</v>
      </c>
      <c r="D4046" s="417" t="s">
        <v>224</v>
      </c>
      <c r="E4046" s="423">
        <v>2.420280467698941E-2</v>
      </c>
      <c r="F4046" s="423">
        <v>1.0819123014541711E-3</v>
      </c>
      <c r="G4046" s="422">
        <v>75.128057055666517</v>
      </c>
      <c r="H4046" s="417" t="s">
        <v>2616</v>
      </c>
      <c r="I4046" s="417" t="s">
        <v>1392</v>
      </c>
      <c r="J4046" s="417" t="s">
        <v>9578</v>
      </c>
      <c r="K4046" s="417" t="s">
        <v>10544</v>
      </c>
      <c r="L4046" s="417"/>
      <c r="M4046" s="417" t="s">
        <v>28840</v>
      </c>
    </row>
    <row r="4047" spans="1:13" x14ac:dyDescent="0.25">
      <c r="A4047" s="417" t="s">
        <v>3385</v>
      </c>
      <c r="B4047" s="417" t="s">
        <v>3405</v>
      </c>
      <c r="C4047" s="417" t="s">
        <v>10545</v>
      </c>
      <c r="D4047" s="417" t="s">
        <v>224</v>
      </c>
      <c r="E4047" s="423">
        <v>2.4043383907151512E-2</v>
      </c>
      <c r="F4047" s="423">
        <v>1.084463111047826E-3</v>
      </c>
      <c r="G4047" s="422">
        <v>75.683372417796406</v>
      </c>
      <c r="H4047" s="417" t="s">
        <v>2616</v>
      </c>
      <c r="I4047" s="417" t="s">
        <v>1392</v>
      </c>
      <c r="J4047" s="417" t="s">
        <v>9578</v>
      </c>
      <c r="K4047" s="417" t="s">
        <v>10546</v>
      </c>
      <c r="L4047" s="417"/>
      <c r="M4047" s="417" t="s">
        <v>28840</v>
      </c>
    </row>
    <row r="4048" spans="1:13" x14ac:dyDescent="0.25">
      <c r="A4048" s="417" t="s">
        <v>3385</v>
      </c>
      <c r="B4048" s="417" t="s">
        <v>3405</v>
      </c>
      <c r="C4048" s="417" t="s">
        <v>10547</v>
      </c>
      <c r="D4048" s="417" t="s">
        <v>224</v>
      </c>
      <c r="E4048" s="423">
        <v>2.7516483849898781E-2</v>
      </c>
      <c r="F4048" s="423">
        <v>1.8335099245258739E-3</v>
      </c>
      <c r="G4048" s="422">
        <v>82.678693696292584</v>
      </c>
      <c r="H4048" s="417" t="s">
        <v>2616</v>
      </c>
      <c r="I4048" s="417" t="s">
        <v>1392</v>
      </c>
      <c r="J4048" s="417" t="s">
        <v>9578</v>
      </c>
      <c r="K4048" s="417" t="s">
        <v>10548</v>
      </c>
      <c r="L4048" s="417"/>
      <c r="M4048" s="417" t="s">
        <v>28840</v>
      </c>
    </row>
    <row r="4049" spans="1:13" x14ac:dyDescent="0.25">
      <c r="A4049" s="417" t="s">
        <v>3385</v>
      </c>
      <c r="B4049" s="417" t="s">
        <v>3405</v>
      </c>
      <c r="C4049" s="417" t="s">
        <v>10549</v>
      </c>
      <c r="D4049" s="417" t="s">
        <v>224</v>
      </c>
      <c r="E4049" s="423">
        <v>3.1465427862898993E-2</v>
      </c>
      <c r="F4049" s="423">
        <v>1.9562234265191082E-3</v>
      </c>
      <c r="G4049" s="422">
        <v>91.840230888749332</v>
      </c>
      <c r="H4049" s="417" t="s">
        <v>2616</v>
      </c>
      <c r="I4049" s="417" t="s">
        <v>1392</v>
      </c>
      <c r="J4049" s="417" t="s">
        <v>9578</v>
      </c>
      <c r="K4049" s="417" t="s">
        <v>10550</v>
      </c>
      <c r="L4049" s="417"/>
      <c r="M4049" s="417" t="s">
        <v>28840</v>
      </c>
    </row>
    <row r="4050" spans="1:13" x14ac:dyDescent="0.25">
      <c r="A4050" s="417" t="s">
        <v>3385</v>
      </c>
      <c r="B4050" s="417" t="s">
        <v>3405</v>
      </c>
      <c r="C4050" s="417" t="s">
        <v>10551</v>
      </c>
      <c r="D4050" s="417" t="s">
        <v>224</v>
      </c>
      <c r="E4050" s="423">
        <v>3.103737280284543E-2</v>
      </c>
      <c r="F4050" s="423">
        <v>1.6388436410208281E-3</v>
      </c>
      <c r="G4050" s="422">
        <v>91.223667590483657</v>
      </c>
      <c r="H4050" s="417" t="s">
        <v>2616</v>
      </c>
      <c r="I4050" s="417" t="s">
        <v>1392</v>
      </c>
      <c r="J4050" s="417" t="s">
        <v>9578</v>
      </c>
      <c r="K4050" s="417" t="s">
        <v>10552</v>
      </c>
      <c r="L4050" s="417"/>
      <c r="M4050" s="417" t="s">
        <v>28840</v>
      </c>
    </row>
    <row r="4051" spans="1:13" x14ac:dyDescent="0.25">
      <c r="A4051" s="417" t="s">
        <v>3385</v>
      </c>
      <c r="B4051" s="417" t="s">
        <v>3405</v>
      </c>
      <c r="C4051" s="417" t="s">
        <v>10553</v>
      </c>
      <c r="D4051" s="417" t="s">
        <v>224</v>
      </c>
      <c r="E4051" s="423">
        <v>3.4022653278481002E-2</v>
      </c>
      <c r="F4051" s="423">
        <v>1.7291805916131769E-3</v>
      </c>
      <c r="G4051" s="422">
        <v>98.503995441291408</v>
      </c>
      <c r="H4051" s="417" t="s">
        <v>2616</v>
      </c>
      <c r="I4051" s="417" t="s">
        <v>1392</v>
      </c>
      <c r="J4051" s="417" t="s">
        <v>9578</v>
      </c>
      <c r="K4051" s="417" t="s">
        <v>10554</v>
      </c>
      <c r="L4051" s="417"/>
      <c r="M4051" s="417" t="s">
        <v>28840</v>
      </c>
    </row>
    <row r="4052" spans="1:13" x14ac:dyDescent="0.25">
      <c r="A4052" s="417" t="s">
        <v>3385</v>
      </c>
      <c r="B4052" s="417" t="s">
        <v>3405</v>
      </c>
      <c r="C4052" s="417" t="s">
        <v>10555</v>
      </c>
      <c r="D4052" s="417" t="s">
        <v>224</v>
      </c>
      <c r="E4052" s="423">
        <v>4.0119135826018233E-2</v>
      </c>
      <c r="F4052" s="423">
        <v>3.2466464365512671E-3</v>
      </c>
      <c r="G4052" s="422">
        <v>99.417693702811917</v>
      </c>
      <c r="H4052" s="417" t="s">
        <v>2616</v>
      </c>
      <c r="I4052" s="417" t="s">
        <v>1392</v>
      </c>
      <c r="J4052" s="417" t="s">
        <v>9578</v>
      </c>
      <c r="K4052" s="417" t="s">
        <v>10556</v>
      </c>
      <c r="L4052" s="417"/>
      <c r="M4052" s="417" t="s">
        <v>28840</v>
      </c>
    </row>
    <row r="4053" spans="1:13" x14ac:dyDescent="0.25">
      <c r="A4053" s="417" t="s">
        <v>3385</v>
      </c>
      <c r="B4053" s="417" t="s">
        <v>3405</v>
      </c>
      <c r="C4053" s="417" t="s">
        <v>10557</v>
      </c>
      <c r="D4053" s="417" t="s">
        <v>224</v>
      </c>
      <c r="E4053" s="423">
        <v>4.5696555571584557E-2</v>
      </c>
      <c r="F4053" s="423">
        <v>3.4067645959745228E-3</v>
      </c>
      <c r="G4053" s="422">
        <v>112.94027280121161</v>
      </c>
      <c r="H4053" s="417" t="s">
        <v>2616</v>
      </c>
      <c r="I4053" s="417" t="s">
        <v>1392</v>
      </c>
      <c r="J4053" s="417" t="s">
        <v>9578</v>
      </c>
      <c r="K4053" s="417" t="s">
        <v>10558</v>
      </c>
      <c r="L4053" s="417"/>
      <c r="M4053" s="417" t="s">
        <v>28840</v>
      </c>
    </row>
    <row r="4054" spans="1:13" x14ac:dyDescent="0.25">
      <c r="A4054" s="417" t="s">
        <v>3385</v>
      </c>
      <c r="B4054" s="417" t="s">
        <v>3405</v>
      </c>
      <c r="C4054" s="417" t="s">
        <v>10559</v>
      </c>
      <c r="D4054" s="417" t="s">
        <v>224</v>
      </c>
      <c r="E4054" s="423">
        <v>3.0980974429938291E-2</v>
      </c>
      <c r="F4054" s="423">
        <v>1.641812006196054E-3</v>
      </c>
      <c r="G4054" s="422">
        <v>89.508638229578025</v>
      </c>
      <c r="H4054" s="417" t="s">
        <v>2616</v>
      </c>
      <c r="I4054" s="417" t="s">
        <v>1392</v>
      </c>
      <c r="J4054" s="417" t="s">
        <v>9578</v>
      </c>
      <c r="K4054" s="417" t="s">
        <v>10560</v>
      </c>
      <c r="L4054" s="417"/>
      <c r="M4054" s="417" t="s">
        <v>28840</v>
      </c>
    </row>
    <row r="4055" spans="1:13" x14ac:dyDescent="0.25">
      <c r="A4055" s="417" t="s">
        <v>3385</v>
      </c>
      <c r="B4055" s="417" t="s">
        <v>3405</v>
      </c>
      <c r="C4055" s="417" t="s">
        <v>10561</v>
      </c>
      <c r="D4055" s="417" t="s">
        <v>224</v>
      </c>
      <c r="E4055" s="423">
        <v>3.3736537604784587E-2</v>
      </c>
      <c r="F4055" s="423">
        <v>1.7251956778447371E-3</v>
      </c>
      <c r="G4055" s="422">
        <v>96.22876865428249</v>
      </c>
      <c r="H4055" s="417" t="s">
        <v>2616</v>
      </c>
      <c r="I4055" s="417" t="s">
        <v>1392</v>
      </c>
      <c r="J4055" s="417" t="s">
        <v>9578</v>
      </c>
      <c r="K4055" s="417" t="s">
        <v>10562</v>
      </c>
      <c r="L4055" s="417"/>
      <c r="M4055" s="417" t="s">
        <v>28840</v>
      </c>
    </row>
    <row r="4056" spans="1:13" x14ac:dyDescent="0.25">
      <c r="A4056" s="417" t="s">
        <v>3385</v>
      </c>
      <c r="B4056" s="417" t="s">
        <v>3405</v>
      </c>
      <c r="C4056" s="417" t="s">
        <v>10563</v>
      </c>
      <c r="D4056" s="417" t="s">
        <v>224</v>
      </c>
      <c r="E4056" s="423">
        <v>3.3517877374624368E-2</v>
      </c>
      <c r="F4056" s="423">
        <v>1.644378363265218E-3</v>
      </c>
      <c r="G4056" s="422">
        <v>74.529987878155538</v>
      </c>
      <c r="H4056" s="417" t="s">
        <v>2616</v>
      </c>
      <c r="I4056" s="417" t="s">
        <v>1392</v>
      </c>
      <c r="J4056" s="417" t="s">
        <v>9578</v>
      </c>
      <c r="K4056" s="417" t="s">
        <v>10564</v>
      </c>
      <c r="L4056" s="417"/>
      <c r="M4056" s="417" t="s">
        <v>28840</v>
      </c>
    </row>
    <row r="4057" spans="1:13" x14ac:dyDescent="0.25">
      <c r="A4057" s="417" t="s">
        <v>3385</v>
      </c>
      <c r="B4057" s="417" t="s">
        <v>3405</v>
      </c>
      <c r="C4057" s="417" t="s">
        <v>10565</v>
      </c>
      <c r="D4057" s="417" t="s">
        <v>224</v>
      </c>
      <c r="E4057" s="423">
        <v>4.1145653615970279E-2</v>
      </c>
      <c r="F4057" s="423">
        <v>2.0025579744192921E-3</v>
      </c>
      <c r="G4057" s="422">
        <v>135.78834709731211</v>
      </c>
      <c r="H4057" s="417" t="s">
        <v>2616</v>
      </c>
      <c r="I4057" s="417" t="s">
        <v>1392</v>
      </c>
      <c r="J4057" s="417" t="s">
        <v>9578</v>
      </c>
      <c r="K4057" s="417" t="s">
        <v>10566</v>
      </c>
      <c r="L4057" s="417"/>
      <c r="M4057" s="417" t="s">
        <v>28840</v>
      </c>
    </row>
    <row r="4058" spans="1:13" x14ac:dyDescent="0.25">
      <c r="A4058" s="417" t="s">
        <v>3385</v>
      </c>
      <c r="B4058" s="417" t="s">
        <v>3405</v>
      </c>
      <c r="C4058" s="417" t="s">
        <v>10567</v>
      </c>
      <c r="D4058" s="417" t="s">
        <v>224</v>
      </c>
      <c r="E4058" s="423">
        <v>2.2717692739235861E-2</v>
      </c>
      <c r="F4058" s="423">
        <v>1.10780900720331E-3</v>
      </c>
      <c r="G4058" s="422">
        <v>68.123153172107706</v>
      </c>
      <c r="H4058" s="417" t="s">
        <v>2616</v>
      </c>
      <c r="I4058" s="417" t="s">
        <v>1392</v>
      </c>
      <c r="J4058" s="417" t="s">
        <v>9578</v>
      </c>
      <c r="K4058" s="417" t="s">
        <v>10568</v>
      </c>
      <c r="L4058" s="417"/>
      <c r="M4058" s="417" t="s">
        <v>28840</v>
      </c>
    </row>
    <row r="4059" spans="1:13" x14ac:dyDescent="0.25">
      <c r="A4059" s="417" t="s">
        <v>3385</v>
      </c>
      <c r="B4059" s="417" t="s">
        <v>3405</v>
      </c>
      <c r="C4059" s="417" t="s">
        <v>10569</v>
      </c>
      <c r="D4059" s="417" t="s">
        <v>224</v>
      </c>
      <c r="E4059" s="423">
        <v>2.271472084456367E-2</v>
      </c>
      <c r="F4059" s="423">
        <v>1.107642130258735E-3</v>
      </c>
      <c r="G4059" s="422">
        <v>68.115114740117363</v>
      </c>
      <c r="H4059" s="417" t="s">
        <v>2616</v>
      </c>
      <c r="I4059" s="417" t="s">
        <v>1392</v>
      </c>
      <c r="J4059" s="417" t="s">
        <v>9578</v>
      </c>
      <c r="K4059" s="417" t="s">
        <v>10570</v>
      </c>
      <c r="L4059" s="417"/>
      <c r="M4059" s="417" t="s">
        <v>28840</v>
      </c>
    </row>
    <row r="4060" spans="1:13" x14ac:dyDescent="0.25">
      <c r="A4060" s="417" t="s">
        <v>3385</v>
      </c>
      <c r="B4060" s="417" t="s">
        <v>3405</v>
      </c>
      <c r="C4060" s="417" t="s">
        <v>10571</v>
      </c>
      <c r="D4060" s="417" t="s">
        <v>224</v>
      </c>
      <c r="E4060" s="423">
        <v>2.315853647880449E-2</v>
      </c>
      <c r="F4060" s="423">
        <v>1.252442589525364E-3</v>
      </c>
      <c r="G4060" s="422">
        <v>55.120755858743102</v>
      </c>
      <c r="H4060" s="417" t="s">
        <v>2616</v>
      </c>
      <c r="I4060" s="417" t="s">
        <v>1392</v>
      </c>
      <c r="J4060" s="417" t="s">
        <v>9578</v>
      </c>
      <c r="K4060" s="417" t="s">
        <v>10572</v>
      </c>
      <c r="L4060" s="417"/>
      <c r="M4060" s="417" t="s">
        <v>28840</v>
      </c>
    </row>
    <row r="4061" spans="1:13" x14ac:dyDescent="0.25">
      <c r="A4061" s="417" t="s">
        <v>3385</v>
      </c>
      <c r="B4061" s="417" t="s">
        <v>3405</v>
      </c>
      <c r="C4061" s="417" t="s">
        <v>10573</v>
      </c>
      <c r="D4061" s="417" t="s">
        <v>224</v>
      </c>
      <c r="E4061" s="423">
        <v>2.6130724273700241E-2</v>
      </c>
      <c r="F4061" s="423">
        <v>1.341532992432652E-3</v>
      </c>
      <c r="G4061" s="422">
        <v>62.37729899836598</v>
      </c>
      <c r="H4061" s="417" t="s">
        <v>2616</v>
      </c>
      <c r="I4061" s="417" t="s">
        <v>1392</v>
      </c>
      <c r="J4061" s="417" t="s">
        <v>9578</v>
      </c>
      <c r="K4061" s="417" t="s">
        <v>10574</v>
      </c>
      <c r="L4061" s="417"/>
      <c r="M4061" s="417" t="s">
        <v>28840</v>
      </c>
    </row>
    <row r="4062" spans="1:13" x14ac:dyDescent="0.25">
      <c r="A4062" s="417" t="s">
        <v>3385</v>
      </c>
      <c r="B4062" s="417" t="s">
        <v>3405</v>
      </c>
      <c r="C4062" s="417" t="s">
        <v>10575</v>
      </c>
      <c r="D4062" s="417" t="s">
        <v>224</v>
      </c>
      <c r="E4062" s="423">
        <v>2.310809057715504E-2</v>
      </c>
      <c r="F4062" s="423">
        <v>1.2559701086925269E-3</v>
      </c>
      <c r="G4062" s="422">
        <v>53.416591196388282</v>
      </c>
      <c r="H4062" s="417" t="s">
        <v>2616</v>
      </c>
      <c r="I4062" s="417" t="s">
        <v>1392</v>
      </c>
      <c r="J4062" s="417" t="s">
        <v>9578</v>
      </c>
      <c r="K4062" s="417" t="s">
        <v>10576</v>
      </c>
      <c r="L4062" s="417"/>
      <c r="M4062" s="417" t="s">
        <v>28840</v>
      </c>
    </row>
    <row r="4063" spans="1:13" x14ac:dyDescent="0.25">
      <c r="A4063" s="417" t="s">
        <v>3385</v>
      </c>
      <c r="B4063" s="417" t="s">
        <v>3405</v>
      </c>
      <c r="C4063" s="417" t="s">
        <v>10577</v>
      </c>
      <c r="D4063" s="417" t="s">
        <v>224</v>
      </c>
      <c r="E4063" s="423">
        <v>2.5851596377151679E-2</v>
      </c>
      <c r="F4063" s="423">
        <v>1.3382032431196571E-3</v>
      </c>
      <c r="G4063" s="422">
        <v>60.114834970218638</v>
      </c>
      <c r="H4063" s="417" t="s">
        <v>2616</v>
      </c>
      <c r="I4063" s="417" t="s">
        <v>1392</v>
      </c>
      <c r="J4063" s="417" t="s">
        <v>9578</v>
      </c>
      <c r="K4063" s="417" t="s">
        <v>10578</v>
      </c>
      <c r="L4063" s="417"/>
      <c r="M4063" s="417" t="s">
        <v>28840</v>
      </c>
    </row>
    <row r="4064" spans="1:13" x14ac:dyDescent="0.25">
      <c r="A4064" s="417" t="s">
        <v>3385</v>
      </c>
      <c r="B4064" s="417" t="s">
        <v>3405</v>
      </c>
      <c r="C4064" s="417" t="s">
        <v>10579</v>
      </c>
      <c r="D4064" s="417" t="s">
        <v>224</v>
      </c>
      <c r="E4064" s="423">
        <v>0.87830591788121881</v>
      </c>
      <c r="F4064" s="423">
        <v>7.7108720718389702E-3</v>
      </c>
      <c r="G4064" s="422">
        <v>1169.0170753659449</v>
      </c>
      <c r="H4064" s="417" t="s">
        <v>2616</v>
      </c>
      <c r="I4064" s="417" t="s">
        <v>1392</v>
      </c>
      <c r="J4064" s="417" t="s">
        <v>10580</v>
      </c>
      <c r="K4064" s="417" t="s">
        <v>10581</v>
      </c>
      <c r="L4064" s="417"/>
      <c r="M4064" s="417" t="s">
        <v>28840</v>
      </c>
    </row>
    <row r="4065" spans="1:13" x14ac:dyDescent="0.25">
      <c r="A4065" s="417" t="s">
        <v>3385</v>
      </c>
      <c r="B4065" s="417" t="s">
        <v>3405</v>
      </c>
      <c r="C4065" s="417" t="s">
        <v>10582</v>
      </c>
      <c r="D4065" s="417" t="s">
        <v>224</v>
      </c>
      <c r="E4065" s="423">
        <v>0.2663380585140922</v>
      </c>
      <c r="F4065" s="423">
        <v>7.6119066427443038E-3</v>
      </c>
      <c r="G4065" s="422">
        <v>541.60813677034503</v>
      </c>
      <c r="H4065" s="417" t="s">
        <v>2616</v>
      </c>
      <c r="I4065" s="417" t="s">
        <v>1392</v>
      </c>
      <c r="J4065" s="417" t="s">
        <v>10580</v>
      </c>
      <c r="K4065" s="417" t="s">
        <v>10583</v>
      </c>
      <c r="L4065" s="417"/>
      <c r="M4065" s="417" t="s">
        <v>28840</v>
      </c>
    </row>
    <row r="4066" spans="1:13" x14ac:dyDescent="0.25">
      <c r="A4066" s="417" t="s">
        <v>3385</v>
      </c>
      <c r="B4066" s="417" t="s">
        <v>3405</v>
      </c>
      <c r="C4066" s="417" t="s">
        <v>10584</v>
      </c>
      <c r="D4066" s="417" t="s">
        <v>224</v>
      </c>
      <c r="E4066" s="423">
        <v>0.39813732945174563</v>
      </c>
      <c r="F4066" s="423">
        <v>8.9446727082553759E-2</v>
      </c>
      <c r="G4066" s="422">
        <v>1875.235181220243</v>
      </c>
      <c r="H4066" s="417" t="s">
        <v>2616</v>
      </c>
      <c r="I4066" s="417" t="s">
        <v>1392</v>
      </c>
      <c r="J4066" s="417" t="s">
        <v>10580</v>
      </c>
      <c r="K4066" s="417" t="s">
        <v>10585</v>
      </c>
      <c r="L4066" s="417"/>
      <c r="M4066" s="417" t="s">
        <v>28840</v>
      </c>
    </row>
    <row r="4067" spans="1:13" x14ac:dyDescent="0.25">
      <c r="A4067" s="417" t="s">
        <v>3385</v>
      </c>
      <c r="B4067" s="417" t="s">
        <v>3405</v>
      </c>
      <c r="C4067" s="417" t="s">
        <v>10586</v>
      </c>
      <c r="D4067" s="417" t="s">
        <v>224</v>
      </c>
      <c r="E4067" s="423">
        <v>0.40945108503859828</v>
      </c>
      <c r="F4067" s="423">
        <v>9.2461672691709254E-2</v>
      </c>
      <c r="G4067" s="422">
        <v>1928.326991962603</v>
      </c>
      <c r="H4067" s="417" t="s">
        <v>2616</v>
      </c>
      <c r="I4067" s="417" t="s">
        <v>1392</v>
      </c>
      <c r="J4067" s="417" t="s">
        <v>10580</v>
      </c>
      <c r="K4067" s="417" t="s">
        <v>10587</v>
      </c>
      <c r="L4067" s="417"/>
      <c r="M4067" s="417" t="s">
        <v>28840</v>
      </c>
    </row>
    <row r="4068" spans="1:13" x14ac:dyDescent="0.25">
      <c r="A4068" s="417" t="s">
        <v>3385</v>
      </c>
      <c r="B4068" s="417" t="s">
        <v>3405</v>
      </c>
      <c r="C4068" s="417" t="s">
        <v>10588</v>
      </c>
      <c r="D4068" s="417" t="s">
        <v>224</v>
      </c>
      <c r="E4068" s="423">
        <v>0.1140586974340085</v>
      </c>
      <c r="F4068" s="423">
        <v>8.5488450595607984E-3</v>
      </c>
      <c r="G4068" s="422">
        <v>345.70691008544981</v>
      </c>
      <c r="H4068" s="417" t="s">
        <v>2616</v>
      </c>
      <c r="I4068" s="417" t="s">
        <v>1392</v>
      </c>
      <c r="J4068" s="417" t="s">
        <v>10580</v>
      </c>
      <c r="K4068" s="417" t="s">
        <v>10589</v>
      </c>
      <c r="L4068" s="417"/>
      <c r="M4068" s="417" t="s">
        <v>28840</v>
      </c>
    </row>
    <row r="4069" spans="1:13" x14ac:dyDescent="0.25">
      <c r="A4069" s="417" t="s">
        <v>3385</v>
      </c>
      <c r="B4069" s="417" t="s">
        <v>3405</v>
      </c>
      <c r="C4069" s="417" t="s">
        <v>10590</v>
      </c>
      <c r="D4069" s="417" t="s">
        <v>224</v>
      </c>
      <c r="E4069" s="423">
        <v>0.37341675521469558</v>
      </c>
      <c r="F4069" s="423">
        <v>7.9164183058243562E-2</v>
      </c>
      <c r="G4069" s="422">
        <v>1677.6830821389931</v>
      </c>
      <c r="H4069" s="417" t="s">
        <v>2616</v>
      </c>
      <c r="I4069" s="417" t="s">
        <v>1392</v>
      </c>
      <c r="J4069" s="417" t="s">
        <v>10580</v>
      </c>
      <c r="K4069" s="417" t="s">
        <v>10591</v>
      </c>
      <c r="L4069" s="417"/>
      <c r="M4069" s="417" t="s">
        <v>28840</v>
      </c>
    </row>
    <row r="4070" spans="1:13" x14ac:dyDescent="0.25">
      <c r="A4070" s="417" t="s">
        <v>3385</v>
      </c>
      <c r="B4070" s="417" t="s">
        <v>3405</v>
      </c>
      <c r="C4070" s="417" t="s">
        <v>10592</v>
      </c>
      <c r="D4070" s="417" t="s">
        <v>224</v>
      </c>
      <c r="E4070" s="423">
        <v>0.45645500723665122</v>
      </c>
      <c r="F4070" s="423">
        <v>7.4232802723045735E-2</v>
      </c>
      <c r="G4070" s="422">
        <v>1699.779221103699</v>
      </c>
      <c r="H4070" s="417" t="s">
        <v>2616</v>
      </c>
      <c r="I4070" s="417" t="s">
        <v>1392</v>
      </c>
      <c r="J4070" s="417" t="s">
        <v>10580</v>
      </c>
      <c r="K4070" s="417" t="s">
        <v>10593</v>
      </c>
      <c r="L4070" s="417"/>
      <c r="M4070" s="417" t="s">
        <v>28840</v>
      </c>
    </row>
    <row r="4071" spans="1:13" x14ac:dyDescent="0.25">
      <c r="A4071" s="417" t="s">
        <v>3385</v>
      </c>
      <c r="B4071" s="417" t="s">
        <v>3405</v>
      </c>
      <c r="C4071" s="417" t="s">
        <v>10594</v>
      </c>
      <c r="D4071" s="417" t="s">
        <v>224</v>
      </c>
      <c r="E4071" s="423">
        <v>0.61963600169617195</v>
      </c>
      <c r="F4071" s="423">
        <v>1.7628688021867071E-2</v>
      </c>
      <c r="G4071" s="422">
        <v>1450.2695679921151</v>
      </c>
      <c r="H4071" s="417" t="s">
        <v>2616</v>
      </c>
      <c r="I4071" s="417" t="s">
        <v>1392</v>
      </c>
      <c r="J4071" s="417" t="s">
        <v>10580</v>
      </c>
      <c r="K4071" s="417" t="s">
        <v>10595</v>
      </c>
      <c r="L4071" s="417"/>
      <c r="M4071" s="417" t="s">
        <v>28840</v>
      </c>
    </row>
    <row r="4072" spans="1:13" x14ac:dyDescent="0.25">
      <c r="A4072" s="417" t="s">
        <v>3385</v>
      </c>
      <c r="B4072" s="417" t="s">
        <v>3405</v>
      </c>
      <c r="C4072" s="417" t="s">
        <v>10596</v>
      </c>
      <c r="D4072" s="417" t="s">
        <v>224</v>
      </c>
      <c r="E4072" s="423">
        <v>0.5891887085284031</v>
      </c>
      <c r="F4072" s="423">
        <v>2.127486474963489E-2</v>
      </c>
      <c r="G4072" s="422">
        <v>1445.9063175254801</v>
      </c>
      <c r="H4072" s="417" t="s">
        <v>2616</v>
      </c>
      <c r="I4072" s="417" t="s">
        <v>1392</v>
      </c>
      <c r="J4072" s="417" t="s">
        <v>10580</v>
      </c>
      <c r="K4072" s="417" t="s">
        <v>10597</v>
      </c>
      <c r="L4072" s="417"/>
      <c r="M4072" s="417" t="s">
        <v>28840</v>
      </c>
    </row>
    <row r="4073" spans="1:13" x14ac:dyDescent="0.25">
      <c r="A4073" s="417" t="s">
        <v>3385</v>
      </c>
      <c r="B4073" s="417" t="s">
        <v>3405</v>
      </c>
      <c r="C4073" s="417" t="s">
        <v>10598</v>
      </c>
      <c r="D4073" s="417" t="s">
        <v>224</v>
      </c>
      <c r="E4073" s="423">
        <v>0.87370121717702176</v>
      </c>
      <c r="F4073" s="423">
        <v>5.0559794440078977E-3</v>
      </c>
      <c r="G4073" s="422">
        <v>1123.239465606812</v>
      </c>
      <c r="H4073" s="417" t="s">
        <v>2616</v>
      </c>
      <c r="I4073" s="417" t="s">
        <v>1392</v>
      </c>
      <c r="J4073" s="417" t="s">
        <v>10580</v>
      </c>
      <c r="K4073" s="417" t="s">
        <v>10599</v>
      </c>
      <c r="L4073" s="417"/>
      <c r="M4073" s="417" t="s">
        <v>28840</v>
      </c>
    </row>
    <row r="4074" spans="1:13" x14ac:dyDescent="0.25">
      <c r="A4074" s="417" t="s">
        <v>3385</v>
      </c>
      <c r="B4074" s="417" t="s">
        <v>3405</v>
      </c>
      <c r="C4074" s="417" t="s">
        <v>10600</v>
      </c>
      <c r="D4074" s="417" t="s">
        <v>224</v>
      </c>
      <c r="E4074" s="423">
        <v>0.85427717827737482</v>
      </c>
      <c r="F4074" s="423">
        <v>7.3820805883402039E-3</v>
      </c>
      <c r="G4074" s="422">
        <v>1120.4559051228371</v>
      </c>
      <c r="H4074" s="417" t="s">
        <v>2616</v>
      </c>
      <c r="I4074" s="417" t="s">
        <v>1392</v>
      </c>
      <c r="J4074" s="417" t="s">
        <v>10580</v>
      </c>
      <c r="K4074" s="417" t="s">
        <v>10601</v>
      </c>
      <c r="L4074" s="417"/>
      <c r="M4074" s="417" t="s">
        <v>28840</v>
      </c>
    </row>
    <row r="4075" spans="1:13" x14ac:dyDescent="0.25">
      <c r="A4075" s="417" t="s">
        <v>3385</v>
      </c>
      <c r="B4075" s="417" t="s">
        <v>3405</v>
      </c>
      <c r="C4075" s="417" t="s">
        <v>10602</v>
      </c>
      <c r="D4075" s="417" t="s">
        <v>224</v>
      </c>
      <c r="E4075" s="423">
        <v>0.42593554867482653</v>
      </c>
      <c r="F4075" s="423">
        <v>5.219192600184659E-3</v>
      </c>
      <c r="G4075" s="422">
        <v>676.04180595733408</v>
      </c>
      <c r="H4075" s="417" t="s">
        <v>2616</v>
      </c>
      <c r="I4075" s="417" t="s">
        <v>1392</v>
      </c>
      <c r="J4075" s="417" t="s">
        <v>10580</v>
      </c>
      <c r="K4075" s="417" t="s">
        <v>10603</v>
      </c>
      <c r="L4075" s="417"/>
      <c r="M4075" s="417" t="s">
        <v>28840</v>
      </c>
    </row>
    <row r="4076" spans="1:13" x14ac:dyDescent="0.25">
      <c r="A4076" s="417" t="s">
        <v>3385</v>
      </c>
      <c r="B4076" s="417" t="s">
        <v>3405</v>
      </c>
      <c r="C4076" s="417" t="s">
        <v>10604</v>
      </c>
      <c r="D4076" s="417" t="s">
        <v>224</v>
      </c>
      <c r="E4076" s="423">
        <v>0.40636854250803639</v>
      </c>
      <c r="F4076" s="423">
        <v>7.5064936236812181E-3</v>
      </c>
      <c r="G4076" s="422">
        <v>672.48795250015473</v>
      </c>
      <c r="H4076" s="417" t="s">
        <v>2616</v>
      </c>
      <c r="I4076" s="417" t="s">
        <v>1392</v>
      </c>
      <c r="J4076" s="417" t="s">
        <v>10580</v>
      </c>
      <c r="K4076" s="417" t="s">
        <v>10605</v>
      </c>
      <c r="L4076" s="417"/>
      <c r="M4076" s="417" t="s">
        <v>28840</v>
      </c>
    </row>
    <row r="4077" spans="1:13" x14ac:dyDescent="0.25">
      <c r="A4077" s="417" t="s">
        <v>3385</v>
      </c>
      <c r="B4077" s="417" t="s">
        <v>3405</v>
      </c>
      <c r="C4077" s="417" t="s">
        <v>10606</v>
      </c>
      <c r="D4077" s="417" t="s">
        <v>224</v>
      </c>
      <c r="E4077" s="423">
        <v>0.54117237528634832</v>
      </c>
      <c r="F4077" s="423">
        <v>9.9866411925753282E-2</v>
      </c>
      <c r="G4077" s="422">
        <v>2198.4171421858719</v>
      </c>
      <c r="H4077" s="417" t="s">
        <v>2616</v>
      </c>
      <c r="I4077" s="417" t="s">
        <v>1392</v>
      </c>
      <c r="J4077" s="417" t="s">
        <v>10580</v>
      </c>
      <c r="K4077" s="417" t="s">
        <v>10607</v>
      </c>
      <c r="L4077" s="417"/>
      <c r="M4077" s="417" t="s">
        <v>28840</v>
      </c>
    </row>
    <row r="4078" spans="1:13" x14ac:dyDescent="0.25">
      <c r="A4078" s="417" t="s">
        <v>3385</v>
      </c>
      <c r="B4078" s="417" t="s">
        <v>3405</v>
      </c>
      <c r="C4078" s="417" t="s">
        <v>10608</v>
      </c>
      <c r="D4078" s="417" t="s">
        <v>224</v>
      </c>
      <c r="E4078" s="423">
        <v>0.55278045319403635</v>
      </c>
      <c r="F4078" s="423">
        <v>0.1029597796644799</v>
      </c>
      <c r="G4078" s="422">
        <v>2252.8901904227209</v>
      </c>
      <c r="H4078" s="417" t="s">
        <v>2616</v>
      </c>
      <c r="I4078" s="417" t="s">
        <v>1392</v>
      </c>
      <c r="J4078" s="417" t="s">
        <v>10580</v>
      </c>
      <c r="K4078" s="417" t="s">
        <v>10609</v>
      </c>
      <c r="L4078" s="417"/>
      <c r="M4078" s="417" t="s">
        <v>28840</v>
      </c>
    </row>
    <row r="4079" spans="1:13" x14ac:dyDescent="0.25">
      <c r="A4079" s="417" t="s">
        <v>3385</v>
      </c>
      <c r="B4079" s="417" t="s">
        <v>3405</v>
      </c>
      <c r="C4079" s="417" t="s">
        <v>10610</v>
      </c>
      <c r="D4079" s="417" t="s">
        <v>224</v>
      </c>
      <c r="E4079" s="423">
        <v>0.51580770561235845</v>
      </c>
      <c r="F4079" s="423">
        <v>8.9316280190450653E-2</v>
      </c>
      <c r="G4079" s="422">
        <v>1995.7234718109571</v>
      </c>
      <c r="H4079" s="417" t="s">
        <v>2616</v>
      </c>
      <c r="I4079" s="417" t="s">
        <v>1392</v>
      </c>
      <c r="J4079" s="417" t="s">
        <v>10580</v>
      </c>
      <c r="K4079" s="417" t="s">
        <v>10611</v>
      </c>
      <c r="L4079" s="417"/>
      <c r="M4079" s="417" t="s">
        <v>28840</v>
      </c>
    </row>
    <row r="4080" spans="1:13" x14ac:dyDescent="0.25">
      <c r="A4080" s="417" t="s">
        <v>3385</v>
      </c>
      <c r="B4080" s="417" t="s">
        <v>3405</v>
      </c>
      <c r="C4080" s="417" t="s">
        <v>10612</v>
      </c>
      <c r="D4080" s="417" t="s">
        <v>224</v>
      </c>
      <c r="E4080" s="423">
        <v>0.60100338128386477</v>
      </c>
      <c r="F4080" s="423">
        <v>8.425677722827736E-2</v>
      </c>
      <c r="G4080" s="422">
        <v>2018.393686406635</v>
      </c>
      <c r="H4080" s="417" t="s">
        <v>2616</v>
      </c>
      <c r="I4080" s="417" t="s">
        <v>1392</v>
      </c>
      <c r="J4080" s="417" t="s">
        <v>10580</v>
      </c>
      <c r="K4080" s="417" t="s">
        <v>10613</v>
      </c>
      <c r="L4080" s="417"/>
      <c r="M4080" s="417" t="s">
        <v>28840</v>
      </c>
    </row>
    <row r="4081" spans="1:13" x14ac:dyDescent="0.25">
      <c r="A4081" s="417" t="s">
        <v>3385</v>
      </c>
      <c r="B4081" s="417" t="s">
        <v>3405</v>
      </c>
      <c r="C4081" s="417" t="s">
        <v>10614</v>
      </c>
      <c r="D4081" s="417" t="s">
        <v>224</v>
      </c>
      <c r="E4081" s="423">
        <v>0.73718834159906377</v>
      </c>
      <c r="F4081" s="423">
        <v>6.5331456392205512E-3</v>
      </c>
      <c r="G4081" s="422">
        <v>994.44724038266497</v>
      </c>
      <c r="H4081" s="417" t="s">
        <v>2616</v>
      </c>
      <c r="I4081" s="417" t="s">
        <v>1392</v>
      </c>
      <c r="J4081" s="417" t="s">
        <v>10580</v>
      </c>
      <c r="K4081" s="417" t="s">
        <v>10615</v>
      </c>
      <c r="L4081" s="417"/>
      <c r="M4081" s="417" t="s">
        <v>28840</v>
      </c>
    </row>
    <row r="4082" spans="1:13" x14ac:dyDescent="0.25">
      <c r="A4082" s="417" t="s">
        <v>3385</v>
      </c>
      <c r="B4082" s="417" t="s">
        <v>3405</v>
      </c>
      <c r="C4082" s="417" t="s">
        <v>10616</v>
      </c>
      <c r="D4082" s="417" t="s">
        <v>224</v>
      </c>
      <c r="E4082" s="423">
        <v>0.22458555674546579</v>
      </c>
      <c r="F4082" s="423">
        <v>6.4502492019459052E-3</v>
      </c>
      <c r="G4082" s="422">
        <v>468.91054189997988</v>
      </c>
      <c r="H4082" s="417" t="s">
        <v>2616</v>
      </c>
      <c r="I4082" s="417" t="s">
        <v>1392</v>
      </c>
      <c r="J4082" s="417" t="s">
        <v>10580</v>
      </c>
      <c r="K4082" s="417" t="s">
        <v>10617</v>
      </c>
      <c r="L4082" s="417"/>
      <c r="M4082" s="417" t="s">
        <v>28840</v>
      </c>
    </row>
    <row r="4083" spans="1:13" x14ac:dyDescent="0.25">
      <c r="A4083" s="417" t="s">
        <v>3385</v>
      </c>
      <c r="B4083" s="417" t="s">
        <v>3405</v>
      </c>
      <c r="C4083" s="417" t="s">
        <v>10618</v>
      </c>
      <c r="D4083" s="417" t="s">
        <v>224</v>
      </c>
      <c r="E4083" s="423">
        <v>0.33498461109431521</v>
      </c>
      <c r="F4083" s="423">
        <v>7.4997569471272535E-2</v>
      </c>
      <c r="G4083" s="422">
        <v>1585.996884617635</v>
      </c>
      <c r="H4083" s="417" t="s">
        <v>2616</v>
      </c>
      <c r="I4083" s="417" t="s">
        <v>1392</v>
      </c>
      <c r="J4083" s="417" t="s">
        <v>10580</v>
      </c>
      <c r="K4083" s="417" t="s">
        <v>10619</v>
      </c>
      <c r="L4083" s="417"/>
      <c r="M4083" s="417" t="s">
        <v>28840</v>
      </c>
    </row>
    <row r="4084" spans="1:13" x14ac:dyDescent="0.25">
      <c r="A4084" s="417" t="s">
        <v>3385</v>
      </c>
      <c r="B4084" s="417" t="s">
        <v>3405</v>
      </c>
      <c r="C4084" s="417" t="s">
        <v>10620</v>
      </c>
      <c r="D4084" s="417" t="s">
        <v>224</v>
      </c>
      <c r="E4084" s="423">
        <v>0.3444613557915166</v>
      </c>
      <c r="F4084" s="423">
        <v>7.752297909129735E-2</v>
      </c>
      <c r="G4084" s="422">
        <v>1630.468186981094</v>
      </c>
      <c r="H4084" s="417" t="s">
        <v>2616</v>
      </c>
      <c r="I4084" s="417" t="s">
        <v>1392</v>
      </c>
      <c r="J4084" s="417" t="s">
        <v>10580</v>
      </c>
      <c r="K4084" s="417" t="s">
        <v>10621</v>
      </c>
      <c r="L4084" s="417"/>
      <c r="M4084" s="417" t="s">
        <v>28840</v>
      </c>
    </row>
    <row r="4085" spans="1:13" x14ac:dyDescent="0.25">
      <c r="A4085" s="417" t="s">
        <v>3385</v>
      </c>
      <c r="B4085" s="417" t="s">
        <v>3405</v>
      </c>
      <c r="C4085" s="417" t="s">
        <v>10622</v>
      </c>
      <c r="D4085" s="417" t="s">
        <v>224</v>
      </c>
      <c r="E4085" s="423">
        <v>9.7031758985366742E-2</v>
      </c>
      <c r="F4085" s="423">
        <v>7.2350571530608422E-3</v>
      </c>
      <c r="G4085" s="422">
        <v>304.81775024072272</v>
      </c>
      <c r="H4085" s="417" t="s">
        <v>2616</v>
      </c>
      <c r="I4085" s="417" t="s">
        <v>1392</v>
      </c>
      <c r="J4085" s="417" t="s">
        <v>10580</v>
      </c>
      <c r="K4085" s="417" t="s">
        <v>10623</v>
      </c>
      <c r="L4085" s="417"/>
      <c r="M4085" s="417" t="s">
        <v>28840</v>
      </c>
    </row>
    <row r="4086" spans="1:13" x14ac:dyDescent="0.25">
      <c r="A4086" s="417" t="s">
        <v>3385</v>
      </c>
      <c r="B4086" s="417" t="s">
        <v>3405</v>
      </c>
      <c r="C4086" s="417" t="s">
        <v>10624</v>
      </c>
      <c r="D4086" s="417" t="s">
        <v>224</v>
      </c>
      <c r="E4086" s="423">
        <v>0.31427791090301849</v>
      </c>
      <c r="F4086" s="423">
        <v>6.6384599652398679E-2</v>
      </c>
      <c r="G4086" s="422">
        <v>1420.521277642928</v>
      </c>
      <c r="H4086" s="417" t="s">
        <v>2616</v>
      </c>
      <c r="I4086" s="417" t="s">
        <v>1392</v>
      </c>
      <c r="J4086" s="417" t="s">
        <v>10580</v>
      </c>
      <c r="K4086" s="417" t="s">
        <v>10625</v>
      </c>
      <c r="L4086" s="417"/>
      <c r="M4086" s="417" t="s">
        <v>28840</v>
      </c>
    </row>
    <row r="4087" spans="1:13" x14ac:dyDescent="0.25">
      <c r="A4087" s="417" t="s">
        <v>3385</v>
      </c>
      <c r="B4087" s="417" t="s">
        <v>3405</v>
      </c>
      <c r="C4087" s="417" t="s">
        <v>10626</v>
      </c>
      <c r="D4087" s="417" t="s">
        <v>224</v>
      </c>
      <c r="E4087" s="423">
        <v>0.38383326154440539</v>
      </c>
      <c r="F4087" s="423">
        <v>6.225392635763527E-2</v>
      </c>
      <c r="G4087" s="422">
        <v>1439.029666393001</v>
      </c>
      <c r="H4087" s="417" t="s">
        <v>2616</v>
      </c>
      <c r="I4087" s="417" t="s">
        <v>1392</v>
      </c>
      <c r="J4087" s="417" t="s">
        <v>10580</v>
      </c>
      <c r="K4087" s="417" t="s">
        <v>10627</v>
      </c>
      <c r="L4087" s="417"/>
      <c r="M4087" s="417" t="s">
        <v>28840</v>
      </c>
    </row>
    <row r="4088" spans="1:13" x14ac:dyDescent="0.25">
      <c r="A4088" s="417" t="s">
        <v>3385</v>
      </c>
      <c r="B4088" s="417" t="s">
        <v>3405</v>
      </c>
      <c r="C4088" s="417" t="s">
        <v>10628</v>
      </c>
      <c r="D4088" s="417" t="s">
        <v>224</v>
      </c>
      <c r="E4088" s="423">
        <v>0.52051859762937835</v>
      </c>
      <c r="F4088" s="423">
        <v>1.4840608191594421E-2</v>
      </c>
      <c r="G4088" s="422">
        <v>1230.0328348471201</v>
      </c>
      <c r="H4088" s="417" t="s">
        <v>2616</v>
      </c>
      <c r="I4088" s="417" t="s">
        <v>1392</v>
      </c>
      <c r="J4088" s="417" t="s">
        <v>10580</v>
      </c>
      <c r="K4088" s="417" t="s">
        <v>10629</v>
      </c>
      <c r="L4088" s="417"/>
      <c r="M4088" s="417" t="s">
        <v>28840</v>
      </c>
    </row>
    <row r="4089" spans="1:13" x14ac:dyDescent="0.25">
      <c r="A4089" s="417" t="s">
        <v>3385</v>
      </c>
      <c r="B4089" s="417" t="s">
        <v>3405</v>
      </c>
      <c r="C4089" s="417" t="s">
        <v>10630</v>
      </c>
      <c r="D4089" s="417" t="s">
        <v>224</v>
      </c>
      <c r="E4089" s="423">
        <v>0.49501502402193132</v>
      </c>
      <c r="F4089" s="423">
        <v>1.7894756077188281E-2</v>
      </c>
      <c r="G4089" s="422">
        <v>1226.378046676452</v>
      </c>
      <c r="H4089" s="417" t="s">
        <v>2616</v>
      </c>
      <c r="I4089" s="417" t="s">
        <v>1392</v>
      </c>
      <c r="J4089" s="417" t="s">
        <v>10580</v>
      </c>
      <c r="K4089" s="417" t="s">
        <v>10631</v>
      </c>
      <c r="L4089" s="417"/>
      <c r="M4089" s="417" t="s">
        <v>28840</v>
      </c>
    </row>
    <row r="4090" spans="1:13" x14ac:dyDescent="0.25">
      <c r="A4090" s="417" t="s">
        <v>3385</v>
      </c>
      <c r="B4090" s="417" t="s">
        <v>3405</v>
      </c>
      <c r="C4090" s="417" t="s">
        <v>10632</v>
      </c>
      <c r="D4090" s="417" t="s">
        <v>224</v>
      </c>
      <c r="E4090" s="423">
        <v>0.73333130502184263</v>
      </c>
      <c r="F4090" s="423">
        <v>4.309327289056402E-3</v>
      </c>
      <c r="G4090" s="422">
        <v>956.10253152463019</v>
      </c>
      <c r="H4090" s="417" t="s">
        <v>2616</v>
      </c>
      <c r="I4090" s="417" t="s">
        <v>1392</v>
      </c>
      <c r="J4090" s="417" t="s">
        <v>10580</v>
      </c>
      <c r="K4090" s="417" t="s">
        <v>10633</v>
      </c>
      <c r="L4090" s="417"/>
      <c r="M4090" s="417" t="s">
        <v>28840</v>
      </c>
    </row>
    <row r="4091" spans="1:13" x14ac:dyDescent="0.25">
      <c r="A4091" s="417" t="s">
        <v>3385</v>
      </c>
      <c r="B4091" s="417" t="s">
        <v>3405</v>
      </c>
      <c r="C4091" s="417" t="s">
        <v>10634</v>
      </c>
      <c r="D4091" s="417" t="s">
        <v>224</v>
      </c>
      <c r="E4091" s="423">
        <v>0.71706114263310738</v>
      </c>
      <c r="F4091" s="423">
        <v>6.2577399485580307E-3</v>
      </c>
      <c r="G4091" s="422">
        <v>953.77093702105822</v>
      </c>
      <c r="H4091" s="417" t="s">
        <v>2616</v>
      </c>
      <c r="I4091" s="417" t="s">
        <v>1392</v>
      </c>
      <c r="J4091" s="417" t="s">
        <v>10580</v>
      </c>
      <c r="K4091" s="417" t="s">
        <v>10635</v>
      </c>
      <c r="L4091" s="417"/>
      <c r="M4091" s="417" t="s">
        <v>28840</v>
      </c>
    </row>
    <row r="4092" spans="1:13" x14ac:dyDescent="0.25">
      <c r="A4092" s="417" t="s">
        <v>3385</v>
      </c>
      <c r="B4092" s="417" t="s">
        <v>3405</v>
      </c>
      <c r="C4092" s="417" t="s">
        <v>10636</v>
      </c>
      <c r="D4092" s="417" t="s">
        <v>224</v>
      </c>
      <c r="E4092" s="423">
        <v>0.35826924068928939</v>
      </c>
      <c r="F4092" s="423">
        <v>4.4460395643195448E-3</v>
      </c>
      <c r="G4092" s="422">
        <v>581.51624798494208</v>
      </c>
      <c r="H4092" s="417" t="s">
        <v>2616</v>
      </c>
      <c r="I4092" s="417" t="s">
        <v>1392</v>
      </c>
      <c r="J4092" s="417" t="s">
        <v>10580</v>
      </c>
      <c r="K4092" s="417" t="s">
        <v>10637</v>
      </c>
      <c r="L4092" s="417"/>
      <c r="M4092" s="417" t="s">
        <v>28840</v>
      </c>
    </row>
    <row r="4093" spans="1:13" x14ac:dyDescent="0.25">
      <c r="A4093" s="417" t="s">
        <v>3385</v>
      </c>
      <c r="B4093" s="417" t="s">
        <v>3405</v>
      </c>
      <c r="C4093" s="417" t="s">
        <v>10638</v>
      </c>
      <c r="D4093" s="417" t="s">
        <v>224</v>
      </c>
      <c r="E4093" s="423">
        <v>0.34187932458496939</v>
      </c>
      <c r="F4093" s="423">
        <v>6.3619520689940914E-3</v>
      </c>
      <c r="G4093" s="422">
        <v>578.53943517533628</v>
      </c>
      <c r="H4093" s="417" t="s">
        <v>2616</v>
      </c>
      <c r="I4093" s="417" t="s">
        <v>1392</v>
      </c>
      <c r="J4093" s="417" t="s">
        <v>10580</v>
      </c>
      <c r="K4093" s="417" t="s">
        <v>10639</v>
      </c>
      <c r="L4093" s="417"/>
      <c r="M4093" s="417" t="s">
        <v>28840</v>
      </c>
    </row>
    <row r="4094" spans="1:13" x14ac:dyDescent="0.25">
      <c r="A4094" s="417" t="s">
        <v>3385</v>
      </c>
      <c r="B4094" s="417" t="s">
        <v>3405</v>
      </c>
      <c r="C4094" s="417" t="s">
        <v>10640</v>
      </c>
      <c r="D4094" s="417" t="s">
        <v>224</v>
      </c>
      <c r="E4094" s="423">
        <v>0.45478083365163352</v>
      </c>
      <c r="F4094" s="423">
        <v>8.3725248788522402E-2</v>
      </c>
      <c r="G4094" s="422">
        <v>1856.679383286224</v>
      </c>
      <c r="H4094" s="417" t="s">
        <v>2616</v>
      </c>
      <c r="I4094" s="417" t="s">
        <v>1392</v>
      </c>
      <c r="J4094" s="417" t="s">
        <v>10580</v>
      </c>
      <c r="K4094" s="417" t="s">
        <v>10641</v>
      </c>
      <c r="L4094" s="417"/>
      <c r="M4094" s="417" t="s">
        <v>28840</v>
      </c>
    </row>
    <row r="4095" spans="1:13" x14ac:dyDescent="0.25">
      <c r="A4095" s="417" t="s">
        <v>3385</v>
      </c>
      <c r="B4095" s="417" t="s">
        <v>3405</v>
      </c>
      <c r="C4095" s="417" t="s">
        <v>10642</v>
      </c>
      <c r="D4095" s="417" t="s">
        <v>224</v>
      </c>
      <c r="E4095" s="423">
        <v>0.46450415064432082</v>
      </c>
      <c r="F4095" s="423">
        <v>8.6316357381876624E-2</v>
      </c>
      <c r="G4095" s="422">
        <v>1902.307862896708</v>
      </c>
      <c r="H4095" s="417" t="s">
        <v>2616</v>
      </c>
      <c r="I4095" s="417" t="s">
        <v>1392</v>
      </c>
      <c r="J4095" s="417" t="s">
        <v>10580</v>
      </c>
      <c r="K4095" s="417" t="s">
        <v>10643</v>
      </c>
      <c r="L4095" s="417"/>
      <c r="M4095" s="417" t="s">
        <v>28840</v>
      </c>
    </row>
    <row r="4096" spans="1:13" x14ac:dyDescent="0.25">
      <c r="A4096" s="417" t="s">
        <v>3385</v>
      </c>
      <c r="B4096" s="417" t="s">
        <v>3405</v>
      </c>
      <c r="C4096" s="417" t="s">
        <v>10644</v>
      </c>
      <c r="D4096" s="417" t="s">
        <v>224</v>
      </c>
      <c r="E4096" s="423">
        <v>0.43353453540390402</v>
      </c>
      <c r="F4096" s="423">
        <v>7.4888104527518873E-2</v>
      </c>
      <c r="G4096" s="422">
        <v>1686.896370784777</v>
      </c>
      <c r="H4096" s="417" t="s">
        <v>2616</v>
      </c>
      <c r="I4096" s="417" t="s">
        <v>1392</v>
      </c>
      <c r="J4096" s="417" t="s">
        <v>10580</v>
      </c>
      <c r="K4096" s="417" t="s">
        <v>10645</v>
      </c>
      <c r="L4096" s="417"/>
      <c r="M4096" s="417" t="s">
        <v>28840</v>
      </c>
    </row>
    <row r="4097" spans="1:13" x14ac:dyDescent="0.25">
      <c r="A4097" s="417" t="s">
        <v>3385</v>
      </c>
      <c r="B4097" s="417" t="s">
        <v>3405</v>
      </c>
      <c r="C4097" s="417" t="s">
        <v>10646</v>
      </c>
      <c r="D4097" s="417" t="s">
        <v>224</v>
      </c>
      <c r="E4097" s="423">
        <v>0.50489729170995612</v>
      </c>
      <c r="F4097" s="423">
        <v>7.06500951282346E-2</v>
      </c>
      <c r="G4097" s="422">
        <v>1705.885705469916</v>
      </c>
      <c r="H4097" s="417" t="s">
        <v>2616</v>
      </c>
      <c r="I4097" s="417" t="s">
        <v>1392</v>
      </c>
      <c r="J4097" s="417" t="s">
        <v>10580</v>
      </c>
      <c r="K4097" s="417" t="s">
        <v>10647</v>
      </c>
      <c r="L4097" s="417"/>
      <c r="M4097" s="417" t="s">
        <v>28840</v>
      </c>
    </row>
    <row r="4098" spans="1:13" x14ac:dyDescent="0.25">
      <c r="A4098" s="417" t="s">
        <v>3385</v>
      </c>
      <c r="B4098" s="417" t="s">
        <v>3405</v>
      </c>
      <c r="C4098" s="417" t="s">
        <v>10648</v>
      </c>
      <c r="D4098" s="417" t="s">
        <v>224</v>
      </c>
      <c r="E4098" s="423">
        <v>0.73900621767202845</v>
      </c>
      <c r="F4098" s="423">
        <v>6.5570444000870439E-3</v>
      </c>
      <c r="G4098" s="422">
        <v>983.5545844141991</v>
      </c>
      <c r="H4098" s="417" t="s">
        <v>2616</v>
      </c>
      <c r="I4098" s="417" t="s">
        <v>1392</v>
      </c>
      <c r="J4098" s="417" t="s">
        <v>10580</v>
      </c>
      <c r="K4098" s="417" t="s">
        <v>10649</v>
      </c>
      <c r="L4098" s="417"/>
      <c r="M4098" s="417" t="s">
        <v>28840</v>
      </c>
    </row>
    <row r="4099" spans="1:13" x14ac:dyDescent="0.25">
      <c r="A4099" s="417" t="s">
        <v>3385</v>
      </c>
      <c r="B4099" s="417" t="s">
        <v>3405</v>
      </c>
      <c r="C4099" s="417" t="s">
        <v>10650</v>
      </c>
      <c r="D4099" s="417" t="s">
        <v>224</v>
      </c>
      <c r="E4099" s="423">
        <v>0.22482464490436371</v>
      </c>
      <c r="F4099" s="423">
        <v>6.473892646556751E-3</v>
      </c>
      <c r="G4099" s="422">
        <v>456.39926183112948</v>
      </c>
      <c r="H4099" s="417" t="s">
        <v>2616</v>
      </c>
      <c r="I4099" s="417" t="s">
        <v>1392</v>
      </c>
      <c r="J4099" s="417" t="s">
        <v>10580</v>
      </c>
      <c r="K4099" s="417" t="s">
        <v>10651</v>
      </c>
      <c r="L4099" s="417"/>
      <c r="M4099" s="417" t="s">
        <v>28840</v>
      </c>
    </row>
    <row r="4100" spans="1:13" x14ac:dyDescent="0.25">
      <c r="A4100" s="417" t="s">
        <v>3385</v>
      </c>
      <c r="B4100" s="417" t="s">
        <v>3405</v>
      </c>
      <c r="C4100" s="417" t="s">
        <v>10652</v>
      </c>
      <c r="D4100" s="417" t="s">
        <v>224</v>
      </c>
      <c r="E4100" s="423">
        <v>0.33556372250998218</v>
      </c>
      <c r="F4100" s="423">
        <v>7.5232334839650417E-2</v>
      </c>
      <c r="G4100" s="422">
        <v>1576.926167267163</v>
      </c>
      <c r="H4100" s="417" t="s">
        <v>2616</v>
      </c>
      <c r="I4100" s="417" t="s">
        <v>1392</v>
      </c>
      <c r="J4100" s="417" t="s">
        <v>10580</v>
      </c>
      <c r="K4100" s="417" t="s">
        <v>10653</v>
      </c>
      <c r="L4100" s="417"/>
      <c r="M4100" s="417" t="s">
        <v>28840</v>
      </c>
    </row>
    <row r="4101" spans="1:13" x14ac:dyDescent="0.25">
      <c r="A4101" s="417" t="s">
        <v>3385</v>
      </c>
      <c r="B4101" s="417" t="s">
        <v>3405</v>
      </c>
      <c r="C4101" s="417" t="s">
        <v>10654</v>
      </c>
      <c r="D4101" s="417" t="s">
        <v>224</v>
      </c>
      <c r="E4101" s="423">
        <v>0.34506965475268447</v>
      </c>
      <c r="F4101" s="423">
        <v>7.7765522571396364E-2</v>
      </c>
      <c r="G4101" s="422">
        <v>1621.5344284085299</v>
      </c>
      <c r="H4101" s="417" t="s">
        <v>2616</v>
      </c>
      <c r="I4101" s="417" t="s">
        <v>1392</v>
      </c>
      <c r="J4101" s="417" t="s">
        <v>10580</v>
      </c>
      <c r="K4101" s="417" t="s">
        <v>10655</v>
      </c>
      <c r="L4101" s="417"/>
      <c r="M4101" s="417" t="s">
        <v>28840</v>
      </c>
    </row>
    <row r="4102" spans="1:13" x14ac:dyDescent="0.25">
      <c r="A4102" s="417" t="s">
        <v>3385</v>
      </c>
      <c r="B4102" s="417" t="s">
        <v>3405</v>
      </c>
      <c r="C4102" s="417" t="s">
        <v>10656</v>
      </c>
      <c r="D4102" s="417" t="s">
        <v>224</v>
      </c>
      <c r="E4102" s="423">
        <v>9.6877988541542309E-2</v>
      </c>
      <c r="F4102" s="423">
        <v>7.2611177617625559E-3</v>
      </c>
      <c r="G4102" s="422">
        <v>291.80107407579038</v>
      </c>
      <c r="H4102" s="417" t="s">
        <v>2616</v>
      </c>
      <c r="I4102" s="417" t="s">
        <v>1392</v>
      </c>
      <c r="J4102" s="417" t="s">
        <v>10580</v>
      </c>
      <c r="K4102" s="417" t="s">
        <v>10657</v>
      </c>
      <c r="L4102" s="417"/>
      <c r="M4102" s="417" t="s">
        <v>28840</v>
      </c>
    </row>
    <row r="4103" spans="1:13" x14ac:dyDescent="0.25">
      <c r="A4103" s="417" t="s">
        <v>3385</v>
      </c>
      <c r="B4103" s="417" t="s">
        <v>3405</v>
      </c>
      <c r="C4103" s="417" t="s">
        <v>10658</v>
      </c>
      <c r="D4103" s="417" t="s">
        <v>224</v>
      </c>
      <c r="E4103" s="423">
        <v>0.31479324658532182</v>
      </c>
      <c r="F4103" s="423">
        <v>6.659283754958957E-2</v>
      </c>
      <c r="G4103" s="422">
        <v>1410.940894943488</v>
      </c>
      <c r="H4103" s="417" t="s">
        <v>2616</v>
      </c>
      <c r="I4103" s="417" t="s">
        <v>1392</v>
      </c>
      <c r="J4103" s="417" t="s">
        <v>10580</v>
      </c>
      <c r="K4103" s="417" t="s">
        <v>10659</v>
      </c>
      <c r="L4103" s="417"/>
      <c r="M4103" s="417" t="s">
        <v>28840</v>
      </c>
    </row>
    <row r="4104" spans="1:13" x14ac:dyDescent="0.25">
      <c r="A4104" s="417" t="s">
        <v>3385</v>
      </c>
      <c r="B4104" s="417" t="s">
        <v>3405</v>
      </c>
      <c r="C4104" s="417" t="s">
        <v>10660</v>
      </c>
      <c r="D4104" s="417" t="s">
        <v>224</v>
      </c>
      <c r="E4104" s="423">
        <v>0.38456282357744592</v>
      </c>
      <c r="F4104" s="423">
        <v>6.2449442010447137E-2</v>
      </c>
      <c r="G4104" s="422">
        <v>1429.5063258742409</v>
      </c>
      <c r="H4104" s="417" t="s">
        <v>2616</v>
      </c>
      <c r="I4104" s="417" t="s">
        <v>1392</v>
      </c>
      <c r="J4104" s="417" t="s">
        <v>10580</v>
      </c>
      <c r="K4104" s="417" t="s">
        <v>10661</v>
      </c>
      <c r="L4104" s="417"/>
      <c r="M4104" s="417" t="s">
        <v>28840</v>
      </c>
    </row>
    <row r="4105" spans="1:13" x14ac:dyDescent="0.25">
      <c r="A4105" s="417" t="s">
        <v>3385</v>
      </c>
      <c r="B4105" s="417" t="s">
        <v>3405</v>
      </c>
      <c r="C4105" s="417" t="s">
        <v>10662</v>
      </c>
      <c r="D4105" s="417" t="s">
        <v>224</v>
      </c>
      <c r="E4105" s="423">
        <v>0.521669143089462</v>
      </c>
      <c r="F4105" s="423">
        <v>1.4890093473134899E-2</v>
      </c>
      <c r="G4105" s="422">
        <v>1219.865768958462</v>
      </c>
      <c r="H4105" s="417" t="s">
        <v>2616</v>
      </c>
      <c r="I4105" s="417" t="s">
        <v>1392</v>
      </c>
      <c r="J4105" s="417" t="s">
        <v>10580</v>
      </c>
      <c r="K4105" s="417" t="s">
        <v>10663</v>
      </c>
      <c r="L4105" s="417"/>
      <c r="M4105" s="417" t="s">
        <v>28840</v>
      </c>
    </row>
    <row r="4106" spans="1:13" x14ac:dyDescent="0.25">
      <c r="A4106" s="417" t="s">
        <v>3385</v>
      </c>
      <c r="B4106" s="417" t="s">
        <v>3405</v>
      </c>
      <c r="C4106" s="417" t="s">
        <v>10664</v>
      </c>
      <c r="D4106" s="417" t="s">
        <v>224</v>
      </c>
      <c r="E4106" s="423">
        <v>0.49608701993877369</v>
      </c>
      <c r="F4106" s="423">
        <v>1.7953647965581038E-2</v>
      </c>
      <c r="G4106" s="422">
        <v>1216.199721910222</v>
      </c>
      <c r="H4106" s="417" t="s">
        <v>2616</v>
      </c>
      <c r="I4106" s="417" t="s">
        <v>1392</v>
      </c>
      <c r="J4106" s="417" t="s">
        <v>10580</v>
      </c>
      <c r="K4106" s="417" t="s">
        <v>10665</v>
      </c>
      <c r="L4106" s="417"/>
      <c r="M4106" s="417" t="s">
        <v>28840</v>
      </c>
    </row>
    <row r="4107" spans="1:13" x14ac:dyDescent="0.25">
      <c r="A4107" s="417" t="s">
        <v>3385</v>
      </c>
      <c r="B4107" s="417" t="s">
        <v>3405</v>
      </c>
      <c r="C4107" s="417" t="s">
        <v>10666</v>
      </c>
      <c r="D4107" s="417" t="s">
        <v>224</v>
      </c>
      <c r="E4107" s="423">
        <v>0.73513730166253832</v>
      </c>
      <c r="F4107" s="423">
        <v>4.3263768141396479E-3</v>
      </c>
      <c r="G4107" s="422">
        <v>945.09177505923424</v>
      </c>
      <c r="H4107" s="417" t="s">
        <v>2616</v>
      </c>
      <c r="I4107" s="417" t="s">
        <v>1392</v>
      </c>
      <c r="J4107" s="417" t="s">
        <v>10580</v>
      </c>
      <c r="K4107" s="417" t="s">
        <v>10667</v>
      </c>
      <c r="L4107" s="417"/>
      <c r="M4107" s="417" t="s">
        <v>28840</v>
      </c>
    </row>
    <row r="4108" spans="1:13" x14ac:dyDescent="0.25">
      <c r="A4108" s="417" t="s">
        <v>3385</v>
      </c>
      <c r="B4108" s="417" t="s">
        <v>3405</v>
      </c>
      <c r="C4108" s="417" t="s">
        <v>10668</v>
      </c>
      <c r="D4108" s="417" t="s">
        <v>224</v>
      </c>
      <c r="E4108" s="423">
        <v>0.71881702799180158</v>
      </c>
      <c r="F4108" s="423">
        <v>6.2807904755807116E-3</v>
      </c>
      <c r="G4108" s="422">
        <v>942.75299995059879</v>
      </c>
      <c r="H4108" s="417" t="s">
        <v>2616</v>
      </c>
      <c r="I4108" s="417" t="s">
        <v>1392</v>
      </c>
      <c r="J4108" s="417" t="s">
        <v>10580</v>
      </c>
      <c r="K4108" s="417" t="s">
        <v>10669</v>
      </c>
      <c r="L4108" s="417"/>
      <c r="M4108" s="417" t="s">
        <v>28840</v>
      </c>
    </row>
    <row r="4109" spans="1:13" x14ac:dyDescent="0.25">
      <c r="A4109" s="417" t="s">
        <v>3385</v>
      </c>
      <c r="B4109" s="417" t="s">
        <v>3405</v>
      </c>
      <c r="C4109" s="417" t="s">
        <v>10670</v>
      </c>
      <c r="D4109" s="417" t="s">
        <v>224</v>
      </c>
      <c r="E4109" s="423">
        <v>0.35892006713918001</v>
      </c>
      <c r="F4109" s="423">
        <v>4.4635101556053406E-3</v>
      </c>
      <c r="G4109" s="422">
        <v>569.35178706926035</v>
      </c>
      <c r="H4109" s="417" t="s">
        <v>2616</v>
      </c>
      <c r="I4109" s="417" t="s">
        <v>1392</v>
      </c>
      <c r="J4109" s="417" t="s">
        <v>10580</v>
      </c>
      <c r="K4109" s="417" t="s">
        <v>10671</v>
      </c>
      <c r="L4109" s="417"/>
      <c r="M4109" s="417" t="s">
        <v>28840</v>
      </c>
    </row>
    <row r="4110" spans="1:13" x14ac:dyDescent="0.25">
      <c r="A4110" s="417" t="s">
        <v>3385</v>
      </c>
      <c r="B4110" s="417" t="s">
        <v>3405</v>
      </c>
      <c r="C4110" s="417" t="s">
        <v>10672</v>
      </c>
      <c r="D4110" s="417" t="s">
        <v>224</v>
      </c>
      <c r="E4110" s="423">
        <v>0.34247967110008543</v>
      </c>
      <c r="F4110" s="423">
        <v>6.3853235637625757E-3</v>
      </c>
      <c r="G4110" s="422">
        <v>566.36580535112421</v>
      </c>
      <c r="H4110" s="417" t="s">
        <v>2616</v>
      </c>
      <c r="I4110" s="417" t="s">
        <v>1392</v>
      </c>
      <c r="J4110" s="417" t="s">
        <v>10580</v>
      </c>
      <c r="K4110" s="417" t="s">
        <v>10673</v>
      </c>
      <c r="L4110" s="417"/>
      <c r="M4110" s="417" t="s">
        <v>28840</v>
      </c>
    </row>
    <row r="4111" spans="1:13" x14ac:dyDescent="0.25">
      <c r="A4111" s="417" t="s">
        <v>3385</v>
      </c>
      <c r="B4111" s="417" t="s">
        <v>3405</v>
      </c>
      <c r="C4111" s="417" t="s">
        <v>10674</v>
      </c>
      <c r="D4111" s="417" t="s">
        <v>224</v>
      </c>
      <c r="E4111" s="423">
        <v>0.45576423233616048</v>
      </c>
      <c r="F4111" s="423">
        <v>8.3987652747568128E-2</v>
      </c>
      <c r="G4111" s="422">
        <v>1848.507780357621</v>
      </c>
      <c r="H4111" s="417" t="s">
        <v>2616</v>
      </c>
      <c r="I4111" s="417" t="s">
        <v>1392</v>
      </c>
      <c r="J4111" s="417" t="s">
        <v>10580</v>
      </c>
      <c r="K4111" s="417" t="s">
        <v>10675</v>
      </c>
      <c r="L4111" s="417"/>
      <c r="M4111" s="417" t="s">
        <v>28840</v>
      </c>
    </row>
    <row r="4112" spans="1:13" x14ac:dyDescent="0.25">
      <c r="A4112" s="417" t="s">
        <v>3385</v>
      </c>
      <c r="B4112" s="417" t="s">
        <v>3405</v>
      </c>
      <c r="C4112" s="417" t="s">
        <v>10676</v>
      </c>
      <c r="D4112" s="417" t="s">
        <v>224</v>
      </c>
      <c r="E4112" s="423">
        <v>0.4655174500755519</v>
      </c>
      <c r="F4112" s="423">
        <v>8.6586729557606115E-2</v>
      </c>
      <c r="G4112" s="422">
        <v>1894.27654647741</v>
      </c>
      <c r="H4112" s="417" t="s">
        <v>2616</v>
      </c>
      <c r="I4112" s="417" t="s">
        <v>1392</v>
      </c>
      <c r="J4112" s="417" t="s">
        <v>10580</v>
      </c>
      <c r="K4112" s="417" t="s">
        <v>10677</v>
      </c>
      <c r="L4112" s="417"/>
      <c r="M4112" s="417" t="s">
        <v>28840</v>
      </c>
    </row>
    <row r="4113" spans="1:13" x14ac:dyDescent="0.25">
      <c r="A4113" s="417" t="s">
        <v>3385</v>
      </c>
      <c r="B4113" s="417" t="s">
        <v>3405</v>
      </c>
      <c r="C4113" s="417" t="s">
        <v>10678</v>
      </c>
      <c r="D4113" s="417" t="s">
        <v>224</v>
      </c>
      <c r="E4113" s="423">
        <v>0.43445259646450241</v>
      </c>
      <c r="F4113" s="423">
        <v>7.5123332345150021E-2</v>
      </c>
      <c r="G4113" s="422">
        <v>1678.202634682842</v>
      </c>
      <c r="H4113" s="417" t="s">
        <v>2616</v>
      </c>
      <c r="I4113" s="417" t="s">
        <v>1392</v>
      </c>
      <c r="J4113" s="417" t="s">
        <v>10580</v>
      </c>
      <c r="K4113" s="417" t="s">
        <v>10679</v>
      </c>
      <c r="L4113" s="417"/>
      <c r="M4113" s="417" t="s">
        <v>28840</v>
      </c>
    </row>
    <row r="4114" spans="1:13" x14ac:dyDescent="0.25">
      <c r="A4114" s="417" t="s">
        <v>3385</v>
      </c>
      <c r="B4114" s="417" t="s">
        <v>3405</v>
      </c>
      <c r="C4114" s="417" t="s">
        <v>10680</v>
      </c>
      <c r="D4114" s="417" t="s">
        <v>224</v>
      </c>
      <c r="E4114" s="423">
        <v>0.50603480945361545</v>
      </c>
      <c r="F4114" s="423">
        <v>7.087229015650609E-2</v>
      </c>
      <c r="G4114" s="422">
        <v>1697.2503491357099</v>
      </c>
      <c r="H4114" s="417" t="s">
        <v>2616</v>
      </c>
      <c r="I4114" s="417" t="s">
        <v>1392</v>
      </c>
      <c r="J4114" s="417" t="s">
        <v>10580</v>
      </c>
      <c r="K4114" s="417" t="s">
        <v>10681</v>
      </c>
      <c r="L4114" s="417"/>
      <c r="M4114" s="417" t="s">
        <v>28840</v>
      </c>
    </row>
    <row r="4115" spans="1:13" x14ac:dyDescent="0.25">
      <c r="A4115" s="417" t="s">
        <v>3385</v>
      </c>
      <c r="B4115" s="417" t="s">
        <v>3405</v>
      </c>
      <c r="C4115" s="417" t="s">
        <v>10682</v>
      </c>
      <c r="D4115" s="417" t="s">
        <v>224</v>
      </c>
      <c r="E4115" s="423">
        <v>1.155471855984977</v>
      </c>
      <c r="F4115" s="423">
        <v>0.16165023478325641</v>
      </c>
      <c r="G4115" s="422">
        <v>3611.0138830579581</v>
      </c>
      <c r="H4115" s="417" t="s">
        <v>2616</v>
      </c>
      <c r="I4115" s="417" t="s">
        <v>1392</v>
      </c>
      <c r="J4115" s="417" t="s">
        <v>10580</v>
      </c>
      <c r="K4115" s="417" t="s">
        <v>10683</v>
      </c>
      <c r="L4115" s="417"/>
      <c r="M4115" s="417" t="s">
        <v>28840</v>
      </c>
    </row>
    <row r="4116" spans="1:13" x14ac:dyDescent="0.25">
      <c r="A4116" s="417" t="s">
        <v>3385</v>
      </c>
      <c r="B4116" s="417" t="s">
        <v>3405</v>
      </c>
      <c r="C4116" s="417" t="s">
        <v>10684</v>
      </c>
      <c r="D4116" s="417" t="s">
        <v>224</v>
      </c>
      <c r="E4116" s="423">
        <v>1.2293231263227791</v>
      </c>
      <c r="F4116" s="423">
        <v>0.90797426950844107</v>
      </c>
      <c r="G4116" s="422">
        <v>3830.278718965144</v>
      </c>
      <c r="H4116" s="417" t="s">
        <v>2616</v>
      </c>
      <c r="I4116" s="417" t="s">
        <v>1392</v>
      </c>
      <c r="J4116" s="417" t="s">
        <v>10580</v>
      </c>
      <c r="K4116" s="417" t="s">
        <v>10685</v>
      </c>
      <c r="L4116" s="417"/>
      <c r="M4116" s="417" t="s">
        <v>28840</v>
      </c>
    </row>
    <row r="4117" spans="1:13" x14ac:dyDescent="0.25">
      <c r="A4117" s="417" t="s">
        <v>3385</v>
      </c>
      <c r="B4117" s="417" t="s">
        <v>3405</v>
      </c>
      <c r="C4117" s="417" t="s">
        <v>10686</v>
      </c>
      <c r="D4117" s="417" t="s">
        <v>224</v>
      </c>
      <c r="E4117" s="423">
        <v>1.1462624115227531</v>
      </c>
      <c r="F4117" s="423">
        <v>0.22273342952666811</v>
      </c>
      <c r="G4117" s="422">
        <v>3614.0440857167782</v>
      </c>
      <c r="H4117" s="417" t="s">
        <v>2616</v>
      </c>
      <c r="I4117" s="417" t="s">
        <v>1392</v>
      </c>
      <c r="J4117" s="417" t="s">
        <v>10580</v>
      </c>
      <c r="K4117" s="417" t="s">
        <v>10687</v>
      </c>
      <c r="L4117" s="417"/>
      <c r="M4117" s="417" t="s">
        <v>28840</v>
      </c>
    </row>
    <row r="4118" spans="1:13" x14ac:dyDescent="0.25">
      <c r="A4118" s="417" t="s">
        <v>3385</v>
      </c>
      <c r="B4118" s="417" t="s">
        <v>3405</v>
      </c>
      <c r="C4118" s="417" t="s">
        <v>10688</v>
      </c>
      <c r="D4118" s="417" t="s">
        <v>224</v>
      </c>
      <c r="E4118" s="423">
        <v>0.92529566501358929</v>
      </c>
      <c r="F4118" s="423">
        <v>0.22176644887866931</v>
      </c>
      <c r="G4118" s="422">
        <v>3335.8547660692911</v>
      </c>
      <c r="H4118" s="417" t="s">
        <v>2616</v>
      </c>
      <c r="I4118" s="417" t="s">
        <v>1392</v>
      </c>
      <c r="J4118" s="417" t="s">
        <v>10580</v>
      </c>
      <c r="K4118" s="417" t="s">
        <v>10689</v>
      </c>
      <c r="L4118" s="417"/>
      <c r="M4118" s="417" t="s">
        <v>28840</v>
      </c>
    </row>
    <row r="4119" spans="1:13" x14ac:dyDescent="0.25">
      <c r="A4119" s="417" t="s">
        <v>3385</v>
      </c>
      <c r="B4119" s="417" t="s">
        <v>3405</v>
      </c>
      <c r="C4119" s="417" t="s">
        <v>10690</v>
      </c>
      <c r="D4119" s="417" t="s">
        <v>224</v>
      </c>
      <c r="E4119" s="423">
        <v>0.85268100886248122</v>
      </c>
      <c r="F4119" s="423">
        <v>0.7992673595786185</v>
      </c>
      <c r="G4119" s="422">
        <v>1792.778614652246</v>
      </c>
      <c r="H4119" s="417" t="s">
        <v>2616</v>
      </c>
      <c r="I4119" s="417" t="s">
        <v>1392</v>
      </c>
      <c r="J4119" s="417" t="s">
        <v>10580</v>
      </c>
      <c r="K4119" s="417" t="s">
        <v>10691</v>
      </c>
      <c r="L4119" s="417"/>
      <c r="M4119" s="417" t="s">
        <v>28840</v>
      </c>
    </row>
    <row r="4120" spans="1:13" x14ac:dyDescent="0.25">
      <c r="A4120" s="417" t="s">
        <v>3385</v>
      </c>
      <c r="B4120" s="417" t="s">
        <v>3405</v>
      </c>
      <c r="C4120" s="417" t="s">
        <v>10692</v>
      </c>
      <c r="D4120" s="417" t="s">
        <v>224</v>
      </c>
      <c r="E4120" s="423">
        <v>3.4772360877584972E-2</v>
      </c>
      <c r="F4120" s="423">
        <v>2.9794296358441479E-2</v>
      </c>
      <c r="G4120" s="422">
        <v>636.02782245729304</v>
      </c>
      <c r="H4120" s="417" t="s">
        <v>2616</v>
      </c>
      <c r="I4120" s="417" t="s">
        <v>1392</v>
      </c>
      <c r="J4120" s="417" t="s">
        <v>7898</v>
      </c>
      <c r="K4120" s="417" t="s">
        <v>10693</v>
      </c>
      <c r="L4120" s="417"/>
      <c r="M4120" s="417" t="s">
        <v>28840</v>
      </c>
    </row>
    <row r="4121" spans="1:13" x14ac:dyDescent="0.25">
      <c r="A4121" s="417" t="s">
        <v>3385</v>
      </c>
      <c r="B4121" s="417" t="s">
        <v>3405</v>
      </c>
      <c r="C4121" s="417" t="s">
        <v>10694</v>
      </c>
      <c r="D4121" s="417" t="s">
        <v>224</v>
      </c>
      <c r="E4121" s="423">
        <v>1.8201986705935071E-2</v>
      </c>
      <c r="F4121" s="423">
        <v>1.110105166845821E-2</v>
      </c>
      <c r="G4121" s="422">
        <v>164.32964491920109</v>
      </c>
      <c r="H4121" s="417" t="s">
        <v>2616</v>
      </c>
      <c r="I4121" s="417" t="s">
        <v>1392</v>
      </c>
      <c r="J4121" s="417" t="s">
        <v>7898</v>
      </c>
      <c r="K4121" s="417" t="s">
        <v>10695</v>
      </c>
      <c r="L4121" s="417"/>
      <c r="M4121" s="417" t="s">
        <v>28840</v>
      </c>
    </row>
    <row r="4122" spans="1:13" x14ac:dyDescent="0.25">
      <c r="A4122" s="417" t="s">
        <v>3385</v>
      </c>
      <c r="B4122" s="417" t="s">
        <v>2627</v>
      </c>
      <c r="C4122" s="417" t="s">
        <v>10696</v>
      </c>
      <c r="D4122" s="417" t="s">
        <v>88</v>
      </c>
      <c r="E4122" s="423">
        <v>10.19906788987412</v>
      </c>
      <c r="F4122" s="423">
        <v>0.51658858886645098</v>
      </c>
      <c r="G4122" s="422">
        <v>41999.972021867077</v>
      </c>
      <c r="H4122" s="417" t="s">
        <v>2616</v>
      </c>
      <c r="I4122" s="417" t="s">
        <v>1392</v>
      </c>
      <c r="J4122" s="417" t="s">
        <v>3970</v>
      </c>
      <c r="K4122" s="417" t="s">
        <v>10697</v>
      </c>
      <c r="L4122" s="417"/>
      <c r="M4122" s="417" t="s">
        <v>28840</v>
      </c>
    </row>
    <row r="4123" spans="1:13" x14ac:dyDescent="0.25">
      <c r="A4123" s="417" t="s">
        <v>3385</v>
      </c>
      <c r="B4123" s="417" t="s">
        <v>2627</v>
      </c>
      <c r="C4123" s="417" t="s">
        <v>10698</v>
      </c>
      <c r="D4123" s="417" t="s">
        <v>88</v>
      </c>
      <c r="E4123" s="423">
        <v>14.573054660318981</v>
      </c>
      <c r="F4123" s="423">
        <v>0.96263526231739704</v>
      </c>
      <c r="G4123" s="422">
        <v>34520.570862846973</v>
      </c>
      <c r="H4123" s="417" t="s">
        <v>2616</v>
      </c>
      <c r="I4123" s="417" t="s">
        <v>1392</v>
      </c>
      <c r="J4123" s="417" t="s">
        <v>3896</v>
      </c>
      <c r="K4123" s="417" t="s">
        <v>10699</v>
      </c>
      <c r="L4123" s="417"/>
      <c r="M4123" s="417" t="s">
        <v>28840</v>
      </c>
    </row>
    <row r="4124" spans="1:13" x14ac:dyDescent="0.25">
      <c r="A4124" s="417" t="s">
        <v>3385</v>
      </c>
      <c r="B4124" s="417" t="s">
        <v>2437</v>
      </c>
      <c r="C4124" s="417" t="s">
        <v>10700</v>
      </c>
      <c r="D4124" s="417" t="s">
        <v>88</v>
      </c>
      <c r="E4124" s="423">
        <v>3.85653600685293</v>
      </c>
      <c r="F4124" s="423">
        <v>0.20963117445316451</v>
      </c>
      <c r="G4124" s="422">
        <v>7302.1201408968482</v>
      </c>
      <c r="H4124" s="417" t="s">
        <v>2616</v>
      </c>
      <c r="I4124" s="417" t="s">
        <v>1392</v>
      </c>
      <c r="J4124" s="417" t="s">
        <v>3871</v>
      </c>
      <c r="K4124" s="417" t="s">
        <v>10701</v>
      </c>
      <c r="L4124" s="417"/>
      <c r="M4124" s="417" t="s">
        <v>28840</v>
      </c>
    </row>
    <row r="4125" spans="1:13" x14ac:dyDescent="0.25">
      <c r="A4125" s="417" t="s">
        <v>3385</v>
      </c>
      <c r="B4125" s="417" t="s">
        <v>2627</v>
      </c>
      <c r="C4125" s="417" t="s">
        <v>10702</v>
      </c>
      <c r="D4125" s="417" t="s">
        <v>88</v>
      </c>
      <c r="E4125" s="423">
        <v>0.83192519289629963</v>
      </c>
      <c r="F4125" s="423">
        <v>9.3439533827355897E-2</v>
      </c>
      <c r="G4125" s="422">
        <v>2138.9344205679008</v>
      </c>
      <c r="H4125" s="417" t="s">
        <v>2616</v>
      </c>
      <c r="I4125" s="417" t="s">
        <v>1392</v>
      </c>
      <c r="J4125" s="417" t="s">
        <v>3896</v>
      </c>
      <c r="K4125" s="417" t="s">
        <v>10703</v>
      </c>
      <c r="L4125" s="417"/>
      <c r="M4125" s="417" t="s">
        <v>28840</v>
      </c>
    </row>
    <row r="4126" spans="1:13" x14ac:dyDescent="0.25">
      <c r="A4126" s="417" t="s">
        <v>3385</v>
      </c>
      <c r="B4126" s="417" t="s">
        <v>2437</v>
      </c>
      <c r="C4126" s="417" t="s">
        <v>10704</v>
      </c>
      <c r="D4126" s="417" t="s">
        <v>88</v>
      </c>
      <c r="E4126" s="423">
        <v>3.5469031401468181</v>
      </c>
      <c r="F4126" s="423">
        <v>0.18580042042337769</v>
      </c>
      <c r="G4126" s="422">
        <v>6674.378496939823</v>
      </c>
      <c r="H4126" s="417" t="s">
        <v>2616</v>
      </c>
      <c r="I4126" s="417" t="s">
        <v>1392</v>
      </c>
      <c r="J4126" s="417" t="s">
        <v>3871</v>
      </c>
      <c r="K4126" s="417" t="s">
        <v>10705</v>
      </c>
      <c r="L4126" s="417"/>
      <c r="M4126" s="417" t="s">
        <v>28840</v>
      </c>
    </row>
    <row r="4127" spans="1:13" x14ac:dyDescent="0.25">
      <c r="A4127" s="417" t="s">
        <v>3385</v>
      </c>
      <c r="B4127" s="417" t="s">
        <v>2627</v>
      </c>
      <c r="C4127" s="417" t="s">
        <v>10706</v>
      </c>
      <c r="D4127" s="417" t="s">
        <v>88</v>
      </c>
      <c r="E4127" s="423">
        <v>3.883448381742078</v>
      </c>
      <c r="F4127" s="423">
        <v>0.21232526219137221</v>
      </c>
      <c r="G4127" s="422">
        <v>7359.9762917620374</v>
      </c>
      <c r="H4127" s="417" t="s">
        <v>2616</v>
      </c>
      <c r="I4127" s="417" t="s">
        <v>1392</v>
      </c>
      <c r="J4127" s="417" t="s">
        <v>3899</v>
      </c>
      <c r="K4127" s="417" t="s">
        <v>10707</v>
      </c>
      <c r="L4127" s="417"/>
      <c r="M4127" s="417" t="s">
        <v>28840</v>
      </c>
    </row>
    <row r="4128" spans="1:13" x14ac:dyDescent="0.25">
      <c r="A4128" s="417" t="s">
        <v>3385</v>
      </c>
      <c r="B4128" s="417" t="s">
        <v>2437</v>
      </c>
      <c r="C4128" s="417" t="s">
        <v>10708</v>
      </c>
      <c r="D4128" s="417" t="s">
        <v>88</v>
      </c>
      <c r="E4128" s="423">
        <v>3.579113613940196</v>
      </c>
      <c r="F4128" s="423">
        <v>0.18889833208213039</v>
      </c>
      <c r="G4128" s="422">
        <v>6740.1298438506137</v>
      </c>
      <c r="H4128" s="417" t="s">
        <v>2616</v>
      </c>
      <c r="I4128" s="417" t="s">
        <v>1392</v>
      </c>
      <c r="J4128" s="417" t="s">
        <v>3871</v>
      </c>
      <c r="K4128" s="417" t="s">
        <v>10709</v>
      </c>
      <c r="L4128" s="417"/>
      <c r="M4128" s="417" t="s">
        <v>28840</v>
      </c>
    </row>
    <row r="4129" spans="1:13" x14ac:dyDescent="0.25">
      <c r="A4129" s="417" t="s">
        <v>3385</v>
      </c>
      <c r="B4129" s="417" t="s">
        <v>2437</v>
      </c>
      <c r="C4129" s="417" t="s">
        <v>10710</v>
      </c>
      <c r="D4129" s="417" t="s">
        <v>88</v>
      </c>
      <c r="E4129" s="423">
        <v>3.5469031401468181</v>
      </c>
      <c r="F4129" s="423">
        <v>0.18580042042337769</v>
      </c>
      <c r="G4129" s="422">
        <v>6674.378496939823</v>
      </c>
      <c r="H4129" s="417" t="s">
        <v>2616</v>
      </c>
      <c r="I4129" s="417" t="s">
        <v>1392</v>
      </c>
      <c r="J4129" s="417" t="s">
        <v>3871</v>
      </c>
      <c r="K4129" s="417" t="s">
        <v>10711</v>
      </c>
      <c r="L4129" s="417"/>
      <c r="M4129" s="417" t="s">
        <v>28840</v>
      </c>
    </row>
    <row r="4130" spans="1:13" x14ac:dyDescent="0.25">
      <c r="A4130" s="417" t="s">
        <v>3385</v>
      </c>
      <c r="B4130" s="417" t="s">
        <v>2627</v>
      </c>
      <c r="C4130" s="417" t="s">
        <v>10712</v>
      </c>
      <c r="D4130" s="417" t="s">
        <v>989</v>
      </c>
      <c r="E4130" s="423">
        <v>90973.16182258309</v>
      </c>
      <c r="F4130" s="423">
        <v>2905.7467321413369</v>
      </c>
      <c r="G4130" s="422">
        <v>239456488.20494801</v>
      </c>
      <c r="H4130" s="417" t="s">
        <v>2616</v>
      </c>
      <c r="I4130" s="417" t="s">
        <v>1392</v>
      </c>
      <c r="J4130" s="417" t="s">
        <v>3809</v>
      </c>
      <c r="K4130" s="417" t="s">
        <v>10713</v>
      </c>
      <c r="L4130" s="417"/>
      <c r="M4130" s="417" t="s">
        <v>28840</v>
      </c>
    </row>
    <row r="4131" spans="1:13" x14ac:dyDescent="0.25">
      <c r="A4131" s="417" t="s">
        <v>3385</v>
      </c>
      <c r="B4131" s="417" t="s">
        <v>2627</v>
      </c>
      <c r="C4131" s="417" t="s">
        <v>10714</v>
      </c>
      <c r="D4131" s="417" t="s">
        <v>989</v>
      </c>
      <c r="E4131" s="423">
        <v>315000.67816026328</v>
      </c>
      <c r="F4131" s="423">
        <v>10387.7510380808</v>
      </c>
      <c r="G4131" s="422">
        <v>654894832.46249449</v>
      </c>
      <c r="H4131" s="417" t="s">
        <v>2616</v>
      </c>
      <c r="I4131" s="417" t="s">
        <v>1392</v>
      </c>
      <c r="J4131" s="417" t="s">
        <v>3809</v>
      </c>
      <c r="K4131" s="417" t="s">
        <v>10715</v>
      </c>
      <c r="L4131" s="417"/>
      <c r="M4131" s="417" t="s">
        <v>28840</v>
      </c>
    </row>
    <row r="4132" spans="1:13" x14ac:dyDescent="0.25">
      <c r="A4132" s="417" t="s">
        <v>3385</v>
      </c>
      <c r="B4132" s="417" t="s">
        <v>2627</v>
      </c>
      <c r="C4132" s="417" t="s">
        <v>10716</v>
      </c>
      <c r="D4132" s="417" t="s">
        <v>989</v>
      </c>
      <c r="E4132" s="423">
        <v>74645.061922755733</v>
      </c>
      <c r="F4132" s="423">
        <v>2422.9794942504709</v>
      </c>
      <c r="G4132" s="422">
        <v>176106966.155386</v>
      </c>
      <c r="H4132" s="417" t="s">
        <v>2616</v>
      </c>
      <c r="I4132" s="417" t="s">
        <v>1392</v>
      </c>
      <c r="J4132" s="417" t="s">
        <v>3809</v>
      </c>
      <c r="K4132" s="417" t="s">
        <v>10717</v>
      </c>
      <c r="L4132" s="417"/>
      <c r="M4132" s="417" t="s">
        <v>28840</v>
      </c>
    </row>
    <row r="4133" spans="1:13" x14ac:dyDescent="0.25">
      <c r="A4133" s="417" t="s">
        <v>3385</v>
      </c>
      <c r="B4133" s="417" t="s">
        <v>2627</v>
      </c>
      <c r="C4133" s="417" t="s">
        <v>10718</v>
      </c>
      <c r="D4133" s="417" t="s">
        <v>989</v>
      </c>
      <c r="E4133" s="423">
        <v>204609.23491553211</v>
      </c>
      <c r="F4133" s="423">
        <v>6745.5346866412401</v>
      </c>
      <c r="G4133" s="422">
        <v>354929589.74912119</v>
      </c>
      <c r="H4133" s="417" t="s">
        <v>2616</v>
      </c>
      <c r="I4133" s="417" t="s">
        <v>1392</v>
      </c>
      <c r="J4133" s="417" t="s">
        <v>3809</v>
      </c>
      <c r="K4133" s="417" t="s">
        <v>10719</v>
      </c>
      <c r="L4133" s="417"/>
      <c r="M4133" s="417" t="s">
        <v>28840</v>
      </c>
    </row>
    <row r="4134" spans="1:13" x14ac:dyDescent="0.25">
      <c r="A4134" s="417" t="s">
        <v>3385</v>
      </c>
      <c r="B4134" s="417" t="s">
        <v>2627</v>
      </c>
      <c r="C4134" s="417" t="s">
        <v>10720</v>
      </c>
      <c r="D4134" s="417" t="s">
        <v>989</v>
      </c>
      <c r="E4134" s="423">
        <v>173259.64212917181</v>
      </c>
      <c r="F4134" s="423">
        <v>5356.5614951433217</v>
      </c>
      <c r="G4134" s="422">
        <v>405597242.24339658</v>
      </c>
      <c r="H4134" s="417" t="s">
        <v>2616</v>
      </c>
      <c r="I4134" s="417" t="s">
        <v>1392</v>
      </c>
      <c r="J4134" s="417" t="s">
        <v>3809</v>
      </c>
      <c r="K4134" s="417" t="s">
        <v>10721</v>
      </c>
      <c r="L4134" s="417"/>
      <c r="M4134" s="417" t="s">
        <v>28840</v>
      </c>
    </row>
    <row r="4135" spans="1:13" x14ac:dyDescent="0.25">
      <c r="A4135" s="417" t="s">
        <v>3385</v>
      </c>
      <c r="B4135" s="417" t="s">
        <v>2627</v>
      </c>
      <c r="C4135" s="417" t="s">
        <v>10722</v>
      </c>
      <c r="D4135" s="417" t="s">
        <v>989</v>
      </c>
      <c r="E4135" s="423">
        <v>272771.35198414302</v>
      </c>
      <c r="F4135" s="423">
        <v>8858.5735217091969</v>
      </c>
      <c r="G4135" s="422">
        <v>455846114.54361552</v>
      </c>
      <c r="H4135" s="417" t="s">
        <v>2616</v>
      </c>
      <c r="I4135" s="417" t="s">
        <v>1392</v>
      </c>
      <c r="J4135" s="417" t="s">
        <v>3809</v>
      </c>
      <c r="K4135" s="417" t="s">
        <v>10723</v>
      </c>
      <c r="L4135" s="417"/>
      <c r="M4135" s="417" t="s">
        <v>28840</v>
      </c>
    </row>
    <row r="4136" spans="1:13" x14ac:dyDescent="0.25">
      <c r="A4136" s="417" t="s">
        <v>3385</v>
      </c>
      <c r="B4136" s="417" t="s">
        <v>2627</v>
      </c>
      <c r="C4136" s="417" t="s">
        <v>10724</v>
      </c>
      <c r="D4136" s="417" t="s">
        <v>88</v>
      </c>
      <c r="E4136" s="423">
        <v>5.4593984423798867</v>
      </c>
      <c r="F4136" s="423">
        <v>0.47917464430085771</v>
      </c>
      <c r="G4136" s="422">
        <v>13311.64200516697</v>
      </c>
      <c r="H4136" s="417" t="s">
        <v>2616</v>
      </c>
      <c r="I4136" s="417" t="s">
        <v>1392</v>
      </c>
      <c r="J4136" s="417" t="s">
        <v>3896</v>
      </c>
      <c r="K4136" s="417" t="s">
        <v>10725</v>
      </c>
      <c r="L4136" s="417"/>
      <c r="M4136" s="417" t="s">
        <v>28840</v>
      </c>
    </row>
    <row r="4137" spans="1:13" x14ac:dyDescent="0.25">
      <c r="A4137" s="417" t="s">
        <v>3385</v>
      </c>
      <c r="B4137" s="417" t="s">
        <v>2627</v>
      </c>
      <c r="C4137" s="417" t="s">
        <v>648</v>
      </c>
      <c r="D4137" s="417" t="s">
        <v>989</v>
      </c>
      <c r="E4137" s="423">
        <v>15473.67061725697</v>
      </c>
      <c r="F4137" s="423">
        <v>528.71393787057241</v>
      </c>
      <c r="G4137" s="422">
        <v>57097912.138295271</v>
      </c>
      <c r="H4137" s="417" t="s">
        <v>2616</v>
      </c>
      <c r="I4137" s="417"/>
      <c r="J4137" s="417" t="s">
        <v>2631</v>
      </c>
      <c r="K4137" s="417" t="s">
        <v>10726</v>
      </c>
      <c r="L4137" s="417"/>
      <c r="M4137" s="417" t="s">
        <v>28840</v>
      </c>
    </row>
    <row r="4138" spans="1:13" x14ac:dyDescent="0.25">
      <c r="A4138" s="417" t="s">
        <v>3385</v>
      </c>
      <c r="B4138" s="417" t="s">
        <v>2627</v>
      </c>
      <c r="C4138" s="417" t="s">
        <v>10727</v>
      </c>
      <c r="D4138" s="417" t="s">
        <v>989</v>
      </c>
      <c r="E4138" s="423">
        <v>250580144.26794389</v>
      </c>
      <c r="F4138" s="423">
        <v>34478892.357934132</v>
      </c>
      <c r="G4138" s="422">
        <v>608540641621.56873</v>
      </c>
      <c r="H4138" s="417" t="s">
        <v>2616</v>
      </c>
      <c r="I4138" s="417" t="s">
        <v>1392</v>
      </c>
      <c r="J4138" s="417" t="s">
        <v>2631</v>
      </c>
      <c r="K4138" s="417" t="s">
        <v>10728</v>
      </c>
      <c r="L4138" s="417"/>
      <c r="M4138" s="417" t="s">
        <v>28840</v>
      </c>
    </row>
    <row r="4139" spans="1:13" x14ac:dyDescent="0.25">
      <c r="A4139" s="417" t="s">
        <v>3385</v>
      </c>
      <c r="B4139" s="417" t="s">
        <v>2627</v>
      </c>
      <c r="C4139" s="417" t="s">
        <v>996</v>
      </c>
      <c r="D4139" s="417" t="s">
        <v>88</v>
      </c>
      <c r="E4139" s="423">
        <v>457.59129962572649</v>
      </c>
      <c r="F4139" s="423">
        <v>15.391652202360991</v>
      </c>
      <c r="G4139" s="422">
        <v>2846095.6622150629</v>
      </c>
      <c r="H4139" s="417" t="s">
        <v>2616</v>
      </c>
      <c r="I4139" s="417" t="s">
        <v>28841</v>
      </c>
      <c r="J4139" s="417" t="s">
        <v>3899</v>
      </c>
      <c r="K4139" s="417" t="s">
        <v>10729</v>
      </c>
      <c r="L4139" s="417"/>
      <c r="M4139" s="417" t="s">
        <v>28840</v>
      </c>
    </row>
    <row r="4140" spans="1:13" x14ac:dyDescent="0.25">
      <c r="A4140" s="417" t="s">
        <v>3385</v>
      </c>
      <c r="B4140" s="417" t="s">
        <v>2627</v>
      </c>
      <c r="C4140" s="417" t="s">
        <v>997</v>
      </c>
      <c r="D4140" s="417" t="s">
        <v>88</v>
      </c>
      <c r="E4140" s="423">
        <v>44.891841202933954</v>
      </c>
      <c r="F4140" s="423">
        <v>2.0134389717004479</v>
      </c>
      <c r="G4140" s="422">
        <v>241620.39302254099</v>
      </c>
      <c r="H4140" s="417" t="s">
        <v>2616</v>
      </c>
      <c r="I4140" s="417" t="s">
        <v>28841</v>
      </c>
      <c r="J4140" s="417" t="s">
        <v>3899</v>
      </c>
      <c r="K4140" s="417" t="s">
        <v>10730</v>
      </c>
      <c r="L4140" s="417"/>
      <c r="M4140" s="417" t="s">
        <v>28840</v>
      </c>
    </row>
    <row r="4141" spans="1:13" x14ac:dyDescent="0.25">
      <c r="A4141" s="417" t="s">
        <v>3385</v>
      </c>
      <c r="B4141" s="417" t="s">
        <v>2627</v>
      </c>
      <c r="C4141" s="417" t="s">
        <v>10731</v>
      </c>
      <c r="D4141" s="417" t="s">
        <v>88</v>
      </c>
      <c r="E4141" s="423">
        <v>181.08266248716379</v>
      </c>
      <c r="F4141" s="423">
        <v>6.4282493377331944</v>
      </c>
      <c r="G4141" s="422">
        <v>1101097.231881992</v>
      </c>
      <c r="H4141" s="417" t="s">
        <v>2616</v>
      </c>
      <c r="I4141" s="417" t="s">
        <v>1392</v>
      </c>
      <c r="J4141" s="417" t="s">
        <v>3899</v>
      </c>
      <c r="K4141" s="417" t="s">
        <v>10732</v>
      </c>
      <c r="L4141" s="417"/>
      <c r="M4141" s="417" t="s">
        <v>28840</v>
      </c>
    </row>
    <row r="4142" spans="1:13" x14ac:dyDescent="0.25">
      <c r="A4142" s="417" t="s">
        <v>3385</v>
      </c>
      <c r="B4142" s="417" t="s">
        <v>2627</v>
      </c>
      <c r="C4142" s="417" t="s">
        <v>10733</v>
      </c>
      <c r="D4142" s="417" t="s">
        <v>989</v>
      </c>
      <c r="E4142" s="423">
        <v>27.66110971832553</v>
      </c>
      <c r="F4142" s="423">
        <v>3.1570782916288578</v>
      </c>
      <c r="G4142" s="422">
        <v>84501.451434595947</v>
      </c>
      <c r="H4142" s="417" t="s">
        <v>2616</v>
      </c>
      <c r="I4142" s="417" t="s">
        <v>1392</v>
      </c>
      <c r="J4142" s="417" t="s">
        <v>2628</v>
      </c>
      <c r="K4142" s="417" t="s">
        <v>10734</v>
      </c>
      <c r="L4142" s="417"/>
      <c r="M4142" s="417" t="s">
        <v>28840</v>
      </c>
    </row>
    <row r="4143" spans="1:13" x14ac:dyDescent="0.25">
      <c r="A4143" s="417" t="s">
        <v>3385</v>
      </c>
      <c r="B4143" s="417" t="s">
        <v>2627</v>
      </c>
      <c r="C4143" s="417" t="s">
        <v>10735</v>
      </c>
      <c r="D4143" s="417" t="s">
        <v>989</v>
      </c>
      <c r="E4143" s="423">
        <v>1.9472488211424519</v>
      </c>
      <c r="F4143" s="423">
        <v>7.240922870050312E-2</v>
      </c>
      <c r="G4143" s="422">
        <v>26826.68983420734</v>
      </c>
      <c r="H4143" s="417" t="s">
        <v>2616</v>
      </c>
      <c r="I4143" s="417" t="s">
        <v>1392</v>
      </c>
      <c r="J4143" s="417" t="s">
        <v>2628</v>
      </c>
      <c r="K4143" s="417" t="s">
        <v>10736</v>
      </c>
      <c r="L4143" s="417"/>
      <c r="M4143" s="417" t="s">
        <v>28840</v>
      </c>
    </row>
    <row r="4144" spans="1:13" x14ac:dyDescent="0.25">
      <c r="A4144" s="417" t="s">
        <v>3385</v>
      </c>
      <c r="B4144" s="417" t="s">
        <v>2627</v>
      </c>
      <c r="C4144" s="417" t="s">
        <v>10737</v>
      </c>
      <c r="D4144" s="417" t="s">
        <v>88</v>
      </c>
      <c r="E4144" s="423">
        <v>18.540372593592931</v>
      </c>
      <c r="F4144" s="423">
        <v>0.97167926704997543</v>
      </c>
      <c r="G4144" s="422">
        <v>83171.430650341412</v>
      </c>
      <c r="H4144" s="417" t="s">
        <v>2616</v>
      </c>
      <c r="I4144" s="417" t="s">
        <v>1392</v>
      </c>
      <c r="J4144" s="417" t="s">
        <v>3699</v>
      </c>
      <c r="K4144" s="417" t="s">
        <v>10738</v>
      </c>
      <c r="L4144" s="417"/>
      <c r="M4144" s="417" t="s">
        <v>28840</v>
      </c>
    </row>
    <row r="4145" spans="1:13" x14ac:dyDescent="0.25">
      <c r="A4145" s="417" t="s">
        <v>3385</v>
      </c>
      <c r="B4145" s="417" t="s">
        <v>2627</v>
      </c>
      <c r="C4145" s="417" t="s">
        <v>10739</v>
      </c>
      <c r="D4145" s="417" t="s">
        <v>88</v>
      </c>
      <c r="E4145" s="423">
        <v>5.5221430892510508</v>
      </c>
      <c r="F4145" s="423">
        <v>2.9886026368486879E-2</v>
      </c>
      <c r="G4145" s="422">
        <v>17968.959768914759</v>
      </c>
      <c r="H4145" s="417" t="s">
        <v>2616</v>
      </c>
      <c r="I4145" s="417" t="s">
        <v>1392</v>
      </c>
      <c r="J4145" s="417" t="s">
        <v>3499</v>
      </c>
      <c r="K4145" s="417" t="s">
        <v>10740</v>
      </c>
      <c r="L4145" s="417"/>
      <c r="M4145" s="417" t="s">
        <v>28840</v>
      </c>
    </row>
    <row r="4146" spans="1:13" x14ac:dyDescent="0.25">
      <c r="A4146" s="417" t="s">
        <v>3385</v>
      </c>
      <c r="B4146" s="417" t="s">
        <v>3655</v>
      </c>
      <c r="C4146" s="417" t="s">
        <v>10741</v>
      </c>
      <c r="D4146" s="417" t="s">
        <v>563</v>
      </c>
      <c r="E4146" s="423">
        <v>4.9250113598068106</v>
      </c>
      <c r="F4146" s="423">
        <v>0.5528758292443976</v>
      </c>
      <c r="G4146" s="422">
        <v>12081.15284006736</v>
      </c>
      <c r="H4146" s="417" t="s">
        <v>2616</v>
      </c>
      <c r="I4146" s="417" t="s">
        <v>1392</v>
      </c>
      <c r="J4146" s="417" t="s">
        <v>3902</v>
      </c>
      <c r="K4146" s="417" t="s">
        <v>10742</v>
      </c>
      <c r="L4146" s="417"/>
      <c r="M4146" s="417" t="s">
        <v>28840</v>
      </c>
    </row>
    <row r="4147" spans="1:13" x14ac:dyDescent="0.25">
      <c r="A4147" s="417" t="s">
        <v>3385</v>
      </c>
      <c r="B4147" s="417" t="s">
        <v>2437</v>
      </c>
      <c r="C4147" s="417" t="s">
        <v>10743</v>
      </c>
      <c r="D4147" s="417" t="s">
        <v>88</v>
      </c>
      <c r="E4147" s="423">
        <v>7.4438122190384712</v>
      </c>
      <c r="F4147" s="423">
        <v>0.22625650928137411</v>
      </c>
      <c r="G4147" s="422">
        <v>14518.92910286543</v>
      </c>
      <c r="H4147" s="417" t="s">
        <v>2616</v>
      </c>
      <c r="I4147" s="417" t="s">
        <v>1392</v>
      </c>
      <c r="J4147" s="417" t="s">
        <v>3871</v>
      </c>
      <c r="K4147" s="417" t="s">
        <v>10744</v>
      </c>
      <c r="L4147" s="417"/>
      <c r="M4147" s="417" t="s">
        <v>28840</v>
      </c>
    </row>
    <row r="4148" spans="1:13" x14ac:dyDescent="0.25">
      <c r="A4148" s="417" t="s">
        <v>3385</v>
      </c>
      <c r="B4148" s="417" t="s">
        <v>2437</v>
      </c>
      <c r="C4148" s="417" t="s">
        <v>10745</v>
      </c>
      <c r="D4148" s="417" t="s">
        <v>88</v>
      </c>
      <c r="E4148" s="423">
        <v>4.3315478546563249</v>
      </c>
      <c r="F4148" s="423">
        <v>0.34968302706738869</v>
      </c>
      <c r="G4148" s="422">
        <v>77998.012056363805</v>
      </c>
      <c r="H4148" s="417" t="s">
        <v>2616</v>
      </c>
      <c r="I4148" s="417" t="s">
        <v>1392</v>
      </c>
      <c r="J4148" s="417" t="s">
        <v>3871</v>
      </c>
      <c r="K4148" s="417" t="s">
        <v>10746</v>
      </c>
      <c r="L4148" s="417"/>
      <c r="M4148" s="417" t="s">
        <v>28840</v>
      </c>
    </row>
    <row r="4149" spans="1:13" x14ac:dyDescent="0.25">
      <c r="A4149" s="417" t="s">
        <v>3385</v>
      </c>
      <c r="B4149" s="417" t="s">
        <v>2437</v>
      </c>
      <c r="C4149" s="417" t="s">
        <v>10747</v>
      </c>
      <c r="D4149" s="417" t="s">
        <v>989</v>
      </c>
      <c r="E4149" s="423">
        <v>0.28242746122544587</v>
      </c>
      <c r="F4149" s="423">
        <v>9.254317333505074E-3</v>
      </c>
      <c r="G4149" s="422">
        <v>560.59704588850309</v>
      </c>
      <c r="H4149" s="417" t="s">
        <v>2616</v>
      </c>
      <c r="I4149" s="417" t="s">
        <v>1392</v>
      </c>
      <c r="J4149" s="417" t="s">
        <v>3871</v>
      </c>
      <c r="K4149" s="417" t="s">
        <v>10748</v>
      </c>
      <c r="L4149" s="417"/>
      <c r="M4149" s="417" t="s">
        <v>28840</v>
      </c>
    </row>
    <row r="4150" spans="1:13" x14ac:dyDescent="0.25">
      <c r="A4150" s="417" t="s">
        <v>3385</v>
      </c>
      <c r="B4150" s="417" t="s">
        <v>3655</v>
      </c>
      <c r="C4150" s="417" t="s">
        <v>10749</v>
      </c>
      <c r="D4150" s="417" t="s">
        <v>989</v>
      </c>
      <c r="E4150" s="423">
        <v>1.769235902978284</v>
      </c>
      <c r="F4150" s="423">
        <v>4.5752984225341707E-2</v>
      </c>
      <c r="G4150" s="422">
        <v>3690.0294757122151</v>
      </c>
      <c r="H4150" s="417" t="s">
        <v>2616</v>
      </c>
      <c r="I4150" s="417" t="s">
        <v>1392</v>
      </c>
      <c r="J4150" s="417" t="s">
        <v>10750</v>
      </c>
      <c r="K4150" s="417" t="s">
        <v>10751</v>
      </c>
      <c r="L4150" s="417"/>
      <c r="M4150" s="417" t="s">
        <v>28840</v>
      </c>
    </row>
    <row r="4151" spans="1:13" x14ac:dyDescent="0.25">
      <c r="A4151" s="417" t="s">
        <v>3385</v>
      </c>
      <c r="B4151" s="417" t="s">
        <v>2627</v>
      </c>
      <c r="C4151" s="417" t="s">
        <v>10752</v>
      </c>
      <c r="D4151" s="417" t="s">
        <v>989</v>
      </c>
      <c r="E4151" s="423">
        <v>110765.371972543</v>
      </c>
      <c r="F4151" s="423">
        <v>4538.4240359714586</v>
      </c>
      <c r="G4151" s="422">
        <v>236131696.11679921</v>
      </c>
      <c r="H4151" s="417" t="s">
        <v>2616</v>
      </c>
      <c r="I4151" s="417" t="s">
        <v>1392</v>
      </c>
      <c r="J4151" s="417" t="s">
        <v>4016</v>
      </c>
      <c r="K4151" s="417" t="s">
        <v>10753</v>
      </c>
      <c r="L4151" s="417"/>
      <c r="M4151" s="417" t="s">
        <v>28840</v>
      </c>
    </row>
    <row r="4152" spans="1:13" x14ac:dyDescent="0.25">
      <c r="A4152" s="417" t="s">
        <v>3385</v>
      </c>
      <c r="B4152" s="417" t="s">
        <v>2627</v>
      </c>
      <c r="C4152" s="417" t="s">
        <v>10754</v>
      </c>
      <c r="D4152" s="417" t="s">
        <v>88</v>
      </c>
      <c r="E4152" s="423">
        <v>2.782588283365969</v>
      </c>
      <c r="F4152" s="423">
        <v>0.15068144542120571</v>
      </c>
      <c r="G4152" s="422">
        <v>5301.8197802644909</v>
      </c>
      <c r="H4152" s="417" t="s">
        <v>2616</v>
      </c>
      <c r="I4152" s="417" t="s">
        <v>1392</v>
      </c>
      <c r="J4152" s="417" t="s">
        <v>3396</v>
      </c>
      <c r="K4152" s="417" t="s">
        <v>10755</v>
      </c>
      <c r="L4152" s="417"/>
      <c r="M4152" s="417" t="s">
        <v>28840</v>
      </c>
    </row>
    <row r="4153" spans="1:13" x14ac:dyDescent="0.25">
      <c r="A4153" s="417" t="s">
        <v>3385</v>
      </c>
      <c r="B4153" s="417" t="s">
        <v>2627</v>
      </c>
      <c r="C4153" s="417" t="s">
        <v>10756</v>
      </c>
      <c r="D4153" s="417" t="s">
        <v>88</v>
      </c>
      <c r="E4153" s="423">
        <v>3.4803425548137081</v>
      </c>
      <c r="F4153" s="423">
        <v>1.9445879364099101E-2</v>
      </c>
      <c r="G4153" s="422">
        <v>7549.9668846460681</v>
      </c>
      <c r="H4153" s="417" t="s">
        <v>2616</v>
      </c>
      <c r="I4153" s="417" t="s">
        <v>1392</v>
      </c>
      <c r="J4153" s="417" t="s">
        <v>3396</v>
      </c>
      <c r="K4153" s="417" t="s">
        <v>10757</v>
      </c>
      <c r="L4153" s="417"/>
      <c r="M4153" s="417" t="s">
        <v>28840</v>
      </c>
    </row>
    <row r="4154" spans="1:13" x14ac:dyDescent="0.25">
      <c r="A4154" s="417" t="s">
        <v>3385</v>
      </c>
      <c r="B4154" s="417" t="s">
        <v>2627</v>
      </c>
      <c r="C4154" s="417" t="s">
        <v>10758</v>
      </c>
      <c r="D4154" s="417" t="s">
        <v>88</v>
      </c>
      <c r="E4154" s="423">
        <v>2.7868345765277209</v>
      </c>
      <c r="F4154" s="423">
        <v>7.0737811508887194E-3</v>
      </c>
      <c r="G4154" s="422">
        <v>6136.7092197119</v>
      </c>
      <c r="H4154" s="417" t="s">
        <v>2616</v>
      </c>
      <c r="I4154" s="417" t="s">
        <v>1392</v>
      </c>
      <c r="J4154" s="417" t="s">
        <v>3396</v>
      </c>
      <c r="K4154" s="417" t="s">
        <v>10759</v>
      </c>
      <c r="L4154" s="417"/>
      <c r="M4154" s="417" t="s">
        <v>28840</v>
      </c>
    </row>
    <row r="4155" spans="1:13" x14ac:dyDescent="0.25">
      <c r="A4155" s="417" t="s">
        <v>3385</v>
      </c>
      <c r="B4155" s="417" t="s">
        <v>2627</v>
      </c>
      <c r="C4155" s="417" t="s">
        <v>10760</v>
      </c>
      <c r="D4155" s="417" t="s">
        <v>88</v>
      </c>
      <c r="E4155" s="423">
        <v>6.8776132304448234</v>
      </c>
      <c r="F4155" s="423">
        <v>1.195151067922133E-2</v>
      </c>
      <c r="G4155" s="422">
        <v>15141.374683876729</v>
      </c>
      <c r="H4155" s="417" t="s">
        <v>2616</v>
      </c>
      <c r="I4155" s="417" t="s">
        <v>1392</v>
      </c>
      <c r="J4155" s="417" t="s">
        <v>3396</v>
      </c>
      <c r="K4155" s="417" t="s">
        <v>10761</v>
      </c>
      <c r="L4155" s="417"/>
      <c r="M4155" s="417" t="s">
        <v>28840</v>
      </c>
    </row>
    <row r="4156" spans="1:13" x14ac:dyDescent="0.25">
      <c r="A4156" s="417" t="s">
        <v>3385</v>
      </c>
      <c r="B4156" s="417" t="s">
        <v>2627</v>
      </c>
      <c r="C4156" s="417" t="s">
        <v>965</v>
      </c>
      <c r="D4156" s="417" t="s">
        <v>88</v>
      </c>
      <c r="E4156" s="423">
        <v>18.586117939678029</v>
      </c>
      <c r="F4156" s="423">
        <v>1.272372608679142</v>
      </c>
      <c r="G4156" s="422">
        <v>67359.196589687606</v>
      </c>
      <c r="H4156" s="417" t="s">
        <v>2616</v>
      </c>
      <c r="I4156" s="417" t="s">
        <v>28841</v>
      </c>
      <c r="J4156" s="417" t="s">
        <v>3396</v>
      </c>
      <c r="K4156" s="417" t="s">
        <v>10762</v>
      </c>
      <c r="L4156" s="417"/>
      <c r="M4156" s="417" t="s">
        <v>28840</v>
      </c>
    </row>
    <row r="4157" spans="1:13" x14ac:dyDescent="0.25">
      <c r="A4157" s="417" t="s">
        <v>3385</v>
      </c>
      <c r="B4157" s="417" t="s">
        <v>2437</v>
      </c>
      <c r="C4157" s="417" t="s">
        <v>10763</v>
      </c>
      <c r="D4157" s="417" t="s">
        <v>88</v>
      </c>
      <c r="E4157" s="423">
        <v>3.670185351753569</v>
      </c>
      <c r="F4157" s="423">
        <v>0.20186684640817101</v>
      </c>
      <c r="G4157" s="422">
        <v>9648.7559328816278</v>
      </c>
      <c r="H4157" s="417" t="s">
        <v>2616</v>
      </c>
      <c r="I4157" s="417" t="s">
        <v>1392</v>
      </c>
      <c r="J4157" s="417" t="s">
        <v>3845</v>
      </c>
      <c r="K4157" s="417" t="s">
        <v>10764</v>
      </c>
      <c r="L4157" s="417"/>
      <c r="M4157" s="417" t="s">
        <v>28840</v>
      </c>
    </row>
    <row r="4158" spans="1:13" x14ac:dyDescent="0.25">
      <c r="A4158" s="417" t="s">
        <v>3385</v>
      </c>
      <c r="B4158" s="417" t="s">
        <v>2627</v>
      </c>
      <c r="C4158" s="417" t="s">
        <v>10765</v>
      </c>
      <c r="D4158" s="417" t="s">
        <v>88</v>
      </c>
      <c r="E4158" s="423">
        <v>2.0825128519302809</v>
      </c>
      <c r="F4158" s="423">
        <v>2.5129499999999999E-2</v>
      </c>
      <c r="G4158" s="422">
        <v>3519.628451584832</v>
      </c>
      <c r="H4158" s="417" t="s">
        <v>2616</v>
      </c>
      <c r="I4158" s="417" t="s">
        <v>1392</v>
      </c>
      <c r="J4158" s="417" t="s">
        <v>3396</v>
      </c>
      <c r="K4158" s="417" t="s">
        <v>10766</v>
      </c>
      <c r="L4158" s="417"/>
      <c r="M4158" s="417" t="s">
        <v>28840</v>
      </c>
    </row>
    <row r="4159" spans="1:13" x14ac:dyDescent="0.25">
      <c r="A4159" s="417" t="s">
        <v>3385</v>
      </c>
      <c r="B4159" s="417" t="s">
        <v>2627</v>
      </c>
      <c r="C4159" s="417" t="s">
        <v>10767</v>
      </c>
      <c r="D4159" s="417" t="s">
        <v>989</v>
      </c>
      <c r="E4159" s="423">
        <v>4523804.4861185411</v>
      </c>
      <c r="F4159" s="423">
        <v>186829.06241162139</v>
      </c>
      <c r="G4159" s="422">
        <v>12887639496.150009</v>
      </c>
      <c r="H4159" s="417" t="s">
        <v>2616</v>
      </c>
      <c r="I4159" s="417" t="s">
        <v>1392</v>
      </c>
      <c r="J4159" s="417" t="s">
        <v>3836</v>
      </c>
      <c r="K4159" s="417" t="s">
        <v>10768</v>
      </c>
      <c r="L4159" s="417"/>
      <c r="M4159" s="417" t="s">
        <v>28840</v>
      </c>
    </row>
    <row r="4160" spans="1:13" x14ac:dyDescent="0.25">
      <c r="A4160" s="417" t="s">
        <v>3385</v>
      </c>
      <c r="B4160" s="417" t="s">
        <v>2627</v>
      </c>
      <c r="C4160" s="417" t="s">
        <v>10769</v>
      </c>
      <c r="D4160" s="417" t="s">
        <v>88</v>
      </c>
      <c r="E4160" s="423">
        <v>1.5686121745565389</v>
      </c>
      <c r="F4160" s="423">
        <v>2.5736779826484559E-2</v>
      </c>
      <c r="G4160" s="422">
        <v>3089.1883214853692</v>
      </c>
      <c r="H4160" s="417" t="s">
        <v>2616</v>
      </c>
      <c r="I4160" s="417" t="s">
        <v>1392</v>
      </c>
      <c r="J4160" s="417" t="s">
        <v>3396</v>
      </c>
      <c r="K4160" s="417" t="s">
        <v>10770</v>
      </c>
      <c r="L4160" s="417"/>
      <c r="M4160" s="417" t="s">
        <v>28840</v>
      </c>
    </row>
    <row r="4161" spans="1:13" x14ac:dyDescent="0.25">
      <c r="A4161" s="417" t="s">
        <v>3385</v>
      </c>
      <c r="B4161" s="417" t="s">
        <v>2437</v>
      </c>
      <c r="C4161" s="417" t="s">
        <v>10771</v>
      </c>
      <c r="D4161" s="417" t="s">
        <v>88</v>
      </c>
      <c r="E4161" s="423">
        <v>0.38271713772017929</v>
      </c>
      <c r="F4161" s="423">
        <v>3.2162936340701571</v>
      </c>
      <c r="G4161" s="422">
        <v>896.37463651103963</v>
      </c>
      <c r="H4161" s="417" t="s">
        <v>2616</v>
      </c>
      <c r="I4161" s="417" t="s">
        <v>1392</v>
      </c>
      <c r="J4161" s="417" t="s">
        <v>10772</v>
      </c>
      <c r="K4161" s="417" t="s">
        <v>10773</v>
      </c>
      <c r="L4161" s="417"/>
      <c r="M4161" s="417" t="s">
        <v>28840</v>
      </c>
    </row>
    <row r="4162" spans="1:13" x14ac:dyDescent="0.25">
      <c r="A4162" s="417" t="s">
        <v>3385</v>
      </c>
      <c r="B4162" s="417" t="s">
        <v>2627</v>
      </c>
      <c r="C4162" s="417" t="s">
        <v>10774</v>
      </c>
      <c r="D4162" s="417" t="s">
        <v>88</v>
      </c>
      <c r="E4162" s="423">
        <v>1.898026028126544</v>
      </c>
      <c r="F4162" s="423">
        <v>2.55533930775607</v>
      </c>
      <c r="G4162" s="422">
        <v>12195.66164599574</v>
      </c>
      <c r="H4162" s="417" t="s">
        <v>2616</v>
      </c>
      <c r="I4162" s="417" t="s">
        <v>1392</v>
      </c>
      <c r="J4162" s="417" t="s">
        <v>10775</v>
      </c>
      <c r="K4162" s="417" t="s">
        <v>10776</v>
      </c>
      <c r="L4162" s="417"/>
      <c r="M4162" s="417" t="s">
        <v>28840</v>
      </c>
    </row>
    <row r="4163" spans="1:13" x14ac:dyDescent="0.25">
      <c r="A4163" s="417" t="s">
        <v>3385</v>
      </c>
      <c r="B4163" s="417" t="s">
        <v>2627</v>
      </c>
      <c r="C4163" s="417" t="s">
        <v>10777</v>
      </c>
      <c r="D4163" s="417" t="s">
        <v>88</v>
      </c>
      <c r="E4163" s="423">
        <v>0.49704213462958369</v>
      </c>
      <c r="F4163" s="423">
        <v>1.355627636348457</v>
      </c>
      <c r="G4163" s="422">
        <v>2231.9777996703042</v>
      </c>
      <c r="H4163" s="417" t="s">
        <v>2616</v>
      </c>
      <c r="I4163" s="417" t="s">
        <v>1392</v>
      </c>
      <c r="J4163" s="417" t="s">
        <v>10775</v>
      </c>
      <c r="K4163" s="417" t="s">
        <v>10778</v>
      </c>
      <c r="L4163" s="417"/>
      <c r="M4163" s="417" t="s">
        <v>28840</v>
      </c>
    </row>
    <row r="4164" spans="1:13" x14ac:dyDescent="0.25">
      <c r="A4164" s="417" t="s">
        <v>3385</v>
      </c>
      <c r="B4164" s="417" t="s">
        <v>2627</v>
      </c>
      <c r="C4164" s="417" t="s">
        <v>10779</v>
      </c>
      <c r="D4164" s="417" t="s">
        <v>88</v>
      </c>
      <c r="E4164" s="423">
        <v>2.0660832494840249</v>
      </c>
      <c r="F4164" s="423">
        <v>2.524927243743222</v>
      </c>
      <c r="G4164" s="422">
        <v>13849.776377090629</v>
      </c>
      <c r="H4164" s="417" t="s">
        <v>2616</v>
      </c>
      <c r="I4164" s="417" t="s">
        <v>1392</v>
      </c>
      <c r="J4164" s="417" t="s">
        <v>10775</v>
      </c>
      <c r="K4164" s="417" t="s">
        <v>10780</v>
      </c>
      <c r="L4164" s="417"/>
      <c r="M4164" s="417" t="s">
        <v>28840</v>
      </c>
    </row>
    <row r="4165" spans="1:13" x14ac:dyDescent="0.25">
      <c r="A4165" s="417" t="s">
        <v>3385</v>
      </c>
      <c r="B4165" s="417" t="s">
        <v>2627</v>
      </c>
      <c r="C4165" s="417" t="s">
        <v>10781</v>
      </c>
      <c r="D4165" s="417" t="s">
        <v>88</v>
      </c>
      <c r="E4165" s="423">
        <v>0.69946998217078182</v>
      </c>
      <c r="F4165" s="423">
        <v>0.55924532530603133</v>
      </c>
      <c r="G4165" s="422">
        <v>2696.1045067686568</v>
      </c>
      <c r="H4165" s="417" t="s">
        <v>2616</v>
      </c>
      <c r="I4165" s="417" t="s">
        <v>1392</v>
      </c>
      <c r="J4165" s="417" t="s">
        <v>10775</v>
      </c>
      <c r="K4165" s="417" t="s">
        <v>10782</v>
      </c>
      <c r="L4165" s="417"/>
      <c r="M4165" s="417" t="s">
        <v>28840</v>
      </c>
    </row>
    <row r="4166" spans="1:13" x14ac:dyDescent="0.25">
      <c r="A4166" s="417" t="s">
        <v>3385</v>
      </c>
      <c r="B4166" s="417" t="s">
        <v>2627</v>
      </c>
      <c r="C4166" s="417" t="s">
        <v>10783</v>
      </c>
      <c r="D4166" s="417" t="s">
        <v>88</v>
      </c>
      <c r="E4166" s="423">
        <v>0.4237607753211875</v>
      </c>
      <c r="F4166" s="423">
        <v>4.6995477161329839</v>
      </c>
      <c r="G4166" s="422">
        <v>21440.430721206671</v>
      </c>
      <c r="H4166" s="417" t="s">
        <v>2616</v>
      </c>
      <c r="I4166" s="417" t="s">
        <v>1392</v>
      </c>
      <c r="J4166" s="417" t="s">
        <v>10775</v>
      </c>
      <c r="K4166" s="417" t="s">
        <v>10784</v>
      </c>
      <c r="L4166" s="417"/>
      <c r="M4166" s="417" t="s">
        <v>28840</v>
      </c>
    </row>
    <row r="4167" spans="1:13" x14ac:dyDescent="0.25">
      <c r="A4167" s="417" t="s">
        <v>3385</v>
      </c>
      <c r="B4167" s="417" t="s">
        <v>2627</v>
      </c>
      <c r="C4167" s="417" t="s">
        <v>10785</v>
      </c>
      <c r="D4167" s="417" t="s">
        <v>88</v>
      </c>
      <c r="E4167" s="423">
        <v>0.45171906573209808</v>
      </c>
      <c r="F4167" s="423">
        <v>3.387870735267855</v>
      </c>
      <c r="G4167" s="422">
        <v>17439.27783086964</v>
      </c>
      <c r="H4167" s="417" t="s">
        <v>2616</v>
      </c>
      <c r="I4167" s="417" t="s">
        <v>1392</v>
      </c>
      <c r="J4167" s="417" t="s">
        <v>10775</v>
      </c>
      <c r="K4167" s="417" t="s">
        <v>10786</v>
      </c>
      <c r="L4167" s="417"/>
      <c r="M4167" s="417" t="s">
        <v>28840</v>
      </c>
    </row>
    <row r="4168" spans="1:13" x14ac:dyDescent="0.25">
      <c r="A4168" s="417" t="s">
        <v>3385</v>
      </c>
      <c r="B4168" s="417" t="s">
        <v>2627</v>
      </c>
      <c r="C4168" s="417" t="s">
        <v>10787</v>
      </c>
      <c r="D4168" s="417" t="s">
        <v>88</v>
      </c>
      <c r="E4168" s="423">
        <v>0.59396834792464248</v>
      </c>
      <c r="F4168" s="423">
        <v>4.6827510573972351</v>
      </c>
      <c r="G4168" s="422">
        <v>5123.2644129961618</v>
      </c>
      <c r="H4168" s="417" t="s">
        <v>2616</v>
      </c>
      <c r="I4168" s="417" t="s">
        <v>1392</v>
      </c>
      <c r="J4168" s="417" t="s">
        <v>10775</v>
      </c>
      <c r="K4168" s="417" t="s">
        <v>10788</v>
      </c>
      <c r="L4168" s="417"/>
      <c r="M4168" s="417" t="s">
        <v>28840</v>
      </c>
    </row>
    <row r="4169" spans="1:13" x14ac:dyDescent="0.25">
      <c r="A4169" s="417" t="s">
        <v>3385</v>
      </c>
      <c r="B4169" s="417" t="s">
        <v>2627</v>
      </c>
      <c r="C4169" s="417" t="s">
        <v>10789</v>
      </c>
      <c r="D4169" s="417" t="s">
        <v>88</v>
      </c>
      <c r="E4169" s="423">
        <v>0.34402472164875342</v>
      </c>
      <c r="F4169" s="423">
        <v>-1.1450969861489211</v>
      </c>
      <c r="G4169" s="422">
        <v>633.77019023406262</v>
      </c>
      <c r="H4169" s="417" t="s">
        <v>2616</v>
      </c>
      <c r="I4169" s="417" t="s">
        <v>1392</v>
      </c>
      <c r="J4169" s="417" t="s">
        <v>10775</v>
      </c>
      <c r="K4169" s="417" t="s">
        <v>10790</v>
      </c>
      <c r="L4169" s="417"/>
      <c r="M4169" s="417" t="s">
        <v>28840</v>
      </c>
    </row>
    <row r="4170" spans="1:13" x14ac:dyDescent="0.25">
      <c r="A4170" s="417" t="s">
        <v>3385</v>
      </c>
      <c r="B4170" s="417" t="s">
        <v>2627</v>
      </c>
      <c r="C4170" s="417" t="s">
        <v>10791</v>
      </c>
      <c r="D4170" s="417" t="s">
        <v>88</v>
      </c>
      <c r="E4170" s="423">
        <v>0.63582998445439554</v>
      </c>
      <c r="F4170" s="423">
        <v>5.1674253228220559</v>
      </c>
      <c r="G4170" s="422">
        <v>1484.56321729866</v>
      </c>
      <c r="H4170" s="417" t="s">
        <v>2616</v>
      </c>
      <c r="I4170" s="417" t="s">
        <v>1392</v>
      </c>
      <c r="J4170" s="417" t="s">
        <v>10775</v>
      </c>
      <c r="K4170" s="417" t="s">
        <v>10792</v>
      </c>
      <c r="L4170" s="417"/>
      <c r="M4170" s="417" t="s">
        <v>28840</v>
      </c>
    </row>
    <row r="4171" spans="1:13" x14ac:dyDescent="0.25">
      <c r="A4171" s="417" t="s">
        <v>3385</v>
      </c>
      <c r="B4171" s="417" t="s">
        <v>2627</v>
      </c>
      <c r="C4171" s="417" t="s">
        <v>10793</v>
      </c>
      <c r="D4171" s="417" t="s">
        <v>88</v>
      </c>
      <c r="E4171" s="423">
        <v>0.42851592084198747</v>
      </c>
      <c r="F4171" s="423">
        <v>4.4765974650577052</v>
      </c>
      <c r="G4171" s="422">
        <v>20760.34785970072</v>
      </c>
      <c r="H4171" s="417" t="s">
        <v>2616</v>
      </c>
      <c r="I4171" s="417" t="s">
        <v>1392</v>
      </c>
      <c r="J4171" s="417" t="s">
        <v>10775</v>
      </c>
      <c r="K4171" s="417" t="s">
        <v>10794</v>
      </c>
      <c r="L4171" s="417"/>
      <c r="M4171" s="417" t="s">
        <v>28840</v>
      </c>
    </row>
    <row r="4172" spans="1:13" x14ac:dyDescent="0.25">
      <c r="A4172" s="417" t="s">
        <v>3385</v>
      </c>
      <c r="B4172" s="417" t="s">
        <v>2627</v>
      </c>
      <c r="C4172" s="417" t="s">
        <v>10795</v>
      </c>
      <c r="D4172" s="417" t="s">
        <v>88</v>
      </c>
      <c r="E4172" s="423">
        <v>0.54849832499186335</v>
      </c>
      <c r="F4172" s="423">
        <v>0.97750796376772908</v>
      </c>
      <c r="G4172" s="422">
        <v>2266.1310744681291</v>
      </c>
      <c r="H4172" s="417" t="s">
        <v>2616</v>
      </c>
      <c r="I4172" s="417" t="s">
        <v>1392</v>
      </c>
      <c r="J4172" s="417" t="s">
        <v>10775</v>
      </c>
      <c r="K4172" s="417" t="s">
        <v>10796</v>
      </c>
      <c r="L4172" s="417"/>
      <c r="M4172" s="417" t="s">
        <v>28840</v>
      </c>
    </row>
    <row r="4173" spans="1:13" x14ac:dyDescent="0.25">
      <c r="A4173" s="417" t="s">
        <v>3385</v>
      </c>
      <c r="B4173" s="417" t="s">
        <v>2627</v>
      </c>
      <c r="C4173" s="417" t="s">
        <v>10797</v>
      </c>
      <c r="D4173" s="417" t="s">
        <v>88</v>
      </c>
      <c r="E4173" s="423">
        <v>0.59618613763638417</v>
      </c>
      <c r="F4173" s="423">
        <v>4.8325353290394739</v>
      </c>
      <c r="G4173" s="422">
        <v>5150.4051133346929</v>
      </c>
      <c r="H4173" s="417" t="s">
        <v>2616</v>
      </c>
      <c r="I4173" s="417" t="s">
        <v>1392</v>
      </c>
      <c r="J4173" s="417" t="s">
        <v>10775</v>
      </c>
      <c r="K4173" s="417" t="s">
        <v>10798</v>
      </c>
      <c r="L4173" s="417"/>
      <c r="M4173" s="417" t="s">
        <v>28840</v>
      </c>
    </row>
    <row r="4174" spans="1:13" x14ac:dyDescent="0.25">
      <c r="A4174" s="417" t="s">
        <v>3385</v>
      </c>
      <c r="B4174" s="417" t="s">
        <v>2627</v>
      </c>
      <c r="C4174" s="417" t="s">
        <v>10799</v>
      </c>
      <c r="D4174" s="417" t="s">
        <v>88</v>
      </c>
      <c r="E4174" s="423">
        <v>1.698905890816643</v>
      </c>
      <c r="F4174" s="423">
        <v>2.1954269759127532</v>
      </c>
      <c r="G4174" s="422">
        <v>10149.7251388241</v>
      </c>
      <c r="H4174" s="417" t="s">
        <v>2616</v>
      </c>
      <c r="I4174" s="417" t="s">
        <v>1392</v>
      </c>
      <c r="J4174" s="417" t="s">
        <v>4200</v>
      </c>
      <c r="K4174" s="417" t="s">
        <v>10800</v>
      </c>
      <c r="L4174" s="417"/>
      <c r="M4174" s="417" t="s">
        <v>28840</v>
      </c>
    </row>
    <row r="4175" spans="1:13" x14ac:dyDescent="0.25">
      <c r="A4175" s="417" t="s">
        <v>3385</v>
      </c>
      <c r="B4175" s="417" t="s">
        <v>2627</v>
      </c>
      <c r="C4175" s="417" t="s">
        <v>10801</v>
      </c>
      <c r="D4175" s="417" t="s">
        <v>88</v>
      </c>
      <c r="E4175" s="423">
        <v>1.9826477592251119</v>
      </c>
      <c r="F4175" s="423">
        <v>2.5557958494522528</v>
      </c>
      <c r="G4175" s="422">
        <v>12302.74398747013</v>
      </c>
      <c r="H4175" s="417" t="s">
        <v>2616</v>
      </c>
      <c r="I4175" s="417" t="s">
        <v>1392</v>
      </c>
      <c r="J4175" s="417" t="s">
        <v>10775</v>
      </c>
      <c r="K4175" s="417" t="s">
        <v>10802</v>
      </c>
      <c r="L4175" s="417"/>
      <c r="M4175" s="417" t="s">
        <v>28840</v>
      </c>
    </row>
    <row r="4176" spans="1:13" x14ac:dyDescent="0.25">
      <c r="A4176" s="417" t="s">
        <v>3385</v>
      </c>
      <c r="B4176" s="417" t="s">
        <v>2627</v>
      </c>
      <c r="C4176" s="417" t="s">
        <v>10803</v>
      </c>
      <c r="D4176" s="417" t="s">
        <v>88</v>
      </c>
      <c r="E4176" s="423">
        <v>0.578149868443815</v>
      </c>
      <c r="F4176" s="423">
        <v>0.9803454155598319</v>
      </c>
      <c r="G4176" s="422">
        <v>2332.2360941091092</v>
      </c>
      <c r="H4176" s="417" t="s">
        <v>2616</v>
      </c>
      <c r="I4176" s="417" t="s">
        <v>1392</v>
      </c>
      <c r="J4176" s="417" t="s">
        <v>10775</v>
      </c>
      <c r="K4176" s="417" t="s">
        <v>10804</v>
      </c>
      <c r="L4176" s="417"/>
      <c r="M4176" s="417" t="s">
        <v>28840</v>
      </c>
    </row>
    <row r="4177" spans="1:13" x14ac:dyDescent="0.25">
      <c r="A4177" s="417" t="s">
        <v>3385</v>
      </c>
      <c r="B4177" s="417" t="s">
        <v>2627</v>
      </c>
      <c r="C4177" s="417" t="s">
        <v>10805</v>
      </c>
      <c r="D4177" s="417" t="s">
        <v>88</v>
      </c>
      <c r="E4177" s="423">
        <v>0.56260304564441055</v>
      </c>
      <c r="F4177" s="423">
        <v>4.484876099624949</v>
      </c>
      <c r="G4177" s="422">
        <v>21110.91053358572</v>
      </c>
      <c r="H4177" s="417" t="s">
        <v>2616</v>
      </c>
      <c r="I4177" s="417" t="s">
        <v>1392</v>
      </c>
      <c r="J4177" s="417" t="s">
        <v>10775</v>
      </c>
      <c r="K4177" s="417" t="s">
        <v>10806</v>
      </c>
      <c r="L4177" s="417"/>
      <c r="M4177" s="417" t="s">
        <v>28840</v>
      </c>
    </row>
    <row r="4178" spans="1:13" x14ac:dyDescent="0.25">
      <c r="A4178" s="417" t="s">
        <v>3385</v>
      </c>
      <c r="B4178" s="417" t="s">
        <v>2627</v>
      </c>
      <c r="C4178" s="417" t="s">
        <v>10807</v>
      </c>
      <c r="D4178" s="417" t="s">
        <v>88</v>
      </c>
      <c r="E4178" s="423">
        <v>1.768251367038181</v>
      </c>
      <c r="F4178" s="423">
        <v>2.2026998571373171</v>
      </c>
      <c r="G4178" s="422">
        <v>10300.00211839304</v>
      </c>
      <c r="H4178" s="417" t="s">
        <v>2616</v>
      </c>
      <c r="I4178" s="417" t="s">
        <v>1392</v>
      </c>
      <c r="J4178" s="417" t="s">
        <v>10775</v>
      </c>
      <c r="K4178" s="417" t="s">
        <v>10808</v>
      </c>
      <c r="L4178" s="417"/>
      <c r="M4178" s="417" t="s">
        <v>28840</v>
      </c>
    </row>
    <row r="4179" spans="1:13" x14ac:dyDescent="0.25">
      <c r="A4179" s="417" t="s">
        <v>3385</v>
      </c>
      <c r="B4179" s="417" t="s">
        <v>2627</v>
      </c>
      <c r="C4179" s="417" t="s">
        <v>10809</v>
      </c>
      <c r="D4179" s="417" t="s">
        <v>88</v>
      </c>
      <c r="E4179" s="423">
        <v>0.45172130131274951</v>
      </c>
      <c r="F4179" s="423">
        <v>3.3879055708133028</v>
      </c>
      <c r="G4179" s="422">
        <v>17439.39095928226</v>
      </c>
      <c r="H4179" s="417" t="s">
        <v>2616</v>
      </c>
      <c r="I4179" s="417" t="s">
        <v>1392</v>
      </c>
      <c r="J4179" s="417" t="s">
        <v>10775</v>
      </c>
      <c r="K4179" s="417" t="s">
        <v>10810</v>
      </c>
      <c r="L4179" s="417"/>
      <c r="M4179" s="417" t="s">
        <v>28840</v>
      </c>
    </row>
    <row r="4180" spans="1:13" x14ac:dyDescent="0.25">
      <c r="A4180" s="417" t="s">
        <v>3385</v>
      </c>
      <c r="B4180" s="417" t="s">
        <v>2627</v>
      </c>
      <c r="C4180" s="417" t="s">
        <v>10811</v>
      </c>
      <c r="D4180" s="417" t="s">
        <v>88</v>
      </c>
      <c r="E4180" s="423">
        <v>0.78638303657819686</v>
      </c>
      <c r="F4180" s="423">
        <v>5.17688120694201</v>
      </c>
      <c r="G4180" s="422">
        <v>1748.8700504681781</v>
      </c>
      <c r="H4180" s="417" t="s">
        <v>2616</v>
      </c>
      <c r="I4180" s="417" t="s">
        <v>1392</v>
      </c>
      <c r="J4180" s="417" t="s">
        <v>10775</v>
      </c>
      <c r="K4180" s="417" t="s">
        <v>10812</v>
      </c>
      <c r="L4180" s="417"/>
      <c r="M4180" s="417" t="s">
        <v>28840</v>
      </c>
    </row>
    <row r="4181" spans="1:13" x14ac:dyDescent="0.25">
      <c r="A4181" s="417" t="s">
        <v>3385</v>
      </c>
      <c r="B4181" s="417" t="s">
        <v>2627</v>
      </c>
      <c r="C4181" s="417" t="s">
        <v>10813</v>
      </c>
      <c r="D4181" s="417" t="s">
        <v>88</v>
      </c>
      <c r="E4181" s="423">
        <v>0.71794985689708557</v>
      </c>
      <c r="F4181" s="423">
        <v>5.1681798655146141</v>
      </c>
      <c r="G4181" s="422">
        <v>1589.095041186484</v>
      </c>
      <c r="H4181" s="417" t="s">
        <v>2616</v>
      </c>
      <c r="I4181" s="417" t="s">
        <v>1392</v>
      </c>
      <c r="J4181" s="417" t="s">
        <v>10775</v>
      </c>
      <c r="K4181" s="417" t="s">
        <v>10814</v>
      </c>
      <c r="L4181" s="417"/>
      <c r="M4181" s="417" t="s">
        <v>28840</v>
      </c>
    </row>
    <row r="4182" spans="1:13" x14ac:dyDescent="0.25">
      <c r="A4182" s="417" t="s">
        <v>3385</v>
      </c>
      <c r="B4182" s="417" t="s">
        <v>2437</v>
      </c>
      <c r="C4182" s="417" t="s">
        <v>10815</v>
      </c>
      <c r="D4182" s="417" t="s">
        <v>88</v>
      </c>
      <c r="E4182" s="423">
        <v>0.39369898806943449</v>
      </c>
      <c r="F4182" s="423">
        <v>3.217623187370231</v>
      </c>
      <c r="G4182" s="422">
        <v>918.83963692456928</v>
      </c>
      <c r="H4182" s="417" t="s">
        <v>2616</v>
      </c>
      <c r="I4182" s="417" t="s">
        <v>1392</v>
      </c>
      <c r="J4182" s="417" t="s">
        <v>10772</v>
      </c>
      <c r="K4182" s="417" t="s">
        <v>10816</v>
      </c>
      <c r="L4182" s="417"/>
      <c r="M4182" s="417" t="s">
        <v>28840</v>
      </c>
    </row>
    <row r="4183" spans="1:13" x14ac:dyDescent="0.25">
      <c r="A4183" s="417" t="s">
        <v>3385</v>
      </c>
      <c r="B4183" s="417" t="s">
        <v>2437</v>
      </c>
      <c r="C4183" s="417" t="s">
        <v>10817</v>
      </c>
      <c r="D4183" s="417" t="s">
        <v>88</v>
      </c>
      <c r="E4183" s="423">
        <v>0.3936989880700984</v>
      </c>
      <c r="F4183" s="423">
        <v>3.217623187370279</v>
      </c>
      <c r="G4183" s="422">
        <v>918.83963688411211</v>
      </c>
      <c r="H4183" s="417" t="s">
        <v>2616</v>
      </c>
      <c r="I4183" s="417" t="s">
        <v>1392</v>
      </c>
      <c r="J4183" s="417" t="s">
        <v>10772</v>
      </c>
      <c r="K4183" s="417" t="s">
        <v>10818</v>
      </c>
      <c r="L4183" s="417"/>
      <c r="M4183" s="417" t="s">
        <v>28840</v>
      </c>
    </row>
    <row r="4184" spans="1:13" x14ac:dyDescent="0.25">
      <c r="A4184" s="417" t="s">
        <v>3385</v>
      </c>
      <c r="B4184" s="417" t="s">
        <v>2627</v>
      </c>
      <c r="C4184" s="417" t="s">
        <v>10819</v>
      </c>
      <c r="D4184" s="417" t="s">
        <v>88</v>
      </c>
      <c r="E4184" s="423">
        <v>1.9013677056277161</v>
      </c>
      <c r="F4184" s="423">
        <v>0.23885664542708601</v>
      </c>
      <c r="G4184" s="422">
        <v>6879.6960593515623</v>
      </c>
      <c r="H4184" s="417" t="s">
        <v>2616</v>
      </c>
      <c r="I4184" s="417" t="s">
        <v>1392</v>
      </c>
      <c r="J4184" s="417" t="s">
        <v>3695</v>
      </c>
      <c r="K4184" s="417" t="s">
        <v>10820</v>
      </c>
      <c r="L4184" s="417"/>
      <c r="M4184" s="417" t="s">
        <v>28840</v>
      </c>
    </row>
    <row r="4185" spans="1:13" x14ac:dyDescent="0.25">
      <c r="A4185" s="417" t="s">
        <v>3385</v>
      </c>
      <c r="B4185" s="417" t="s">
        <v>2627</v>
      </c>
      <c r="C4185" s="417" t="s">
        <v>10821</v>
      </c>
      <c r="D4185" s="417" t="s">
        <v>88</v>
      </c>
      <c r="E4185" s="423">
        <v>3.5885585017855979</v>
      </c>
      <c r="F4185" s="423">
        <v>2.9012751735366882</v>
      </c>
      <c r="G4185" s="422">
        <v>10246.592953092761</v>
      </c>
      <c r="H4185" s="417" t="s">
        <v>2616</v>
      </c>
      <c r="I4185" s="417" t="s">
        <v>1392</v>
      </c>
      <c r="J4185" s="417" t="s">
        <v>3695</v>
      </c>
      <c r="K4185" s="417" t="s">
        <v>10822</v>
      </c>
      <c r="L4185" s="417"/>
      <c r="M4185" s="417" t="s">
        <v>28840</v>
      </c>
    </row>
    <row r="4186" spans="1:13" x14ac:dyDescent="0.25">
      <c r="A4186" s="417" t="s">
        <v>3385</v>
      </c>
      <c r="B4186" s="417" t="s">
        <v>2627</v>
      </c>
      <c r="C4186" s="417" t="s">
        <v>976</v>
      </c>
      <c r="D4186" s="417" t="s">
        <v>88</v>
      </c>
      <c r="E4186" s="423">
        <v>2.8689454765236762</v>
      </c>
      <c r="F4186" s="423">
        <v>8.0927084329957835E-2</v>
      </c>
      <c r="G4186" s="422">
        <v>5001.0109405545472</v>
      </c>
      <c r="H4186" s="417" t="s">
        <v>2616</v>
      </c>
      <c r="I4186" s="417" t="s">
        <v>28841</v>
      </c>
      <c r="J4186" s="417" t="s">
        <v>3695</v>
      </c>
      <c r="K4186" s="417" t="s">
        <v>10823</v>
      </c>
      <c r="L4186" s="417"/>
      <c r="M4186" s="417" t="s">
        <v>28840</v>
      </c>
    </row>
    <row r="4187" spans="1:13" x14ac:dyDescent="0.25">
      <c r="A4187" s="417" t="s">
        <v>3385</v>
      </c>
      <c r="B4187" s="417" t="s">
        <v>2627</v>
      </c>
      <c r="C4187" s="417" t="s">
        <v>10824</v>
      </c>
      <c r="D4187" s="417" t="s">
        <v>88</v>
      </c>
      <c r="E4187" s="423">
        <v>2.051863446653599</v>
      </c>
      <c r="F4187" s="423">
        <v>0.19044564394185151</v>
      </c>
      <c r="G4187" s="422">
        <v>6133.0176916356768</v>
      </c>
      <c r="H4187" s="417" t="s">
        <v>2616</v>
      </c>
      <c r="I4187" s="417" t="s">
        <v>1392</v>
      </c>
      <c r="J4187" s="417" t="s">
        <v>3695</v>
      </c>
      <c r="K4187" s="417" t="s">
        <v>10825</v>
      </c>
      <c r="L4187" s="417"/>
      <c r="M4187" s="417" t="s">
        <v>28840</v>
      </c>
    </row>
    <row r="4188" spans="1:13" x14ac:dyDescent="0.25">
      <c r="A4188" s="417" t="s">
        <v>3385</v>
      </c>
      <c r="B4188" s="417" t="s">
        <v>2627</v>
      </c>
      <c r="C4188" s="417" t="s">
        <v>10826</v>
      </c>
      <c r="D4188" s="417" t="s">
        <v>88</v>
      </c>
      <c r="E4188" s="423">
        <v>3.2321528178067309</v>
      </c>
      <c r="F4188" s="423">
        <v>2.0547186142841771</v>
      </c>
      <c r="G4188" s="422">
        <v>8489.7292423175531</v>
      </c>
      <c r="H4188" s="417" t="s">
        <v>2616</v>
      </c>
      <c r="I4188" s="417" t="s">
        <v>1392</v>
      </c>
      <c r="J4188" s="417" t="s">
        <v>3695</v>
      </c>
      <c r="K4188" s="417" t="s">
        <v>10827</v>
      </c>
      <c r="L4188" s="417"/>
      <c r="M4188" s="417" t="s">
        <v>28840</v>
      </c>
    </row>
    <row r="4189" spans="1:13" x14ac:dyDescent="0.25">
      <c r="A4189" s="417" t="s">
        <v>3385</v>
      </c>
      <c r="B4189" s="417" t="s">
        <v>2627</v>
      </c>
      <c r="C4189" s="417" t="s">
        <v>10828</v>
      </c>
      <c r="D4189" s="417" t="s">
        <v>88</v>
      </c>
      <c r="E4189" s="423">
        <v>2.6466525102328049</v>
      </c>
      <c r="F4189" s="423">
        <v>7.8169031288834678E-2</v>
      </c>
      <c r="G4189" s="422">
        <v>4662.829810805526</v>
      </c>
      <c r="H4189" s="417" t="s">
        <v>2616</v>
      </c>
      <c r="I4189" s="417" t="s">
        <v>1392</v>
      </c>
      <c r="J4189" s="417" t="s">
        <v>3695</v>
      </c>
      <c r="K4189" s="417" t="s">
        <v>10829</v>
      </c>
      <c r="L4189" s="417"/>
      <c r="M4189" s="417" t="s">
        <v>28840</v>
      </c>
    </row>
    <row r="4190" spans="1:13" x14ac:dyDescent="0.25">
      <c r="A4190" s="417" t="s">
        <v>3385</v>
      </c>
      <c r="B4190" s="417" t="s">
        <v>2627</v>
      </c>
      <c r="C4190" s="417" t="s">
        <v>10830</v>
      </c>
      <c r="D4190" s="417" t="s">
        <v>88</v>
      </c>
      <c r="E4190" s="423">
        <v>2.7203532639326649</v>
      </c>
      <c r="F4190" s="423">
        <v>0.92591349637990772</v>
      </c>
      <c r="G4190" s="422">
        <v>6915.9504225237351</v>
      </c>
      <c r="H4190" s="417" t="s">
        <v>2616</v>
      </c>
      <c r="I4190" s="417" t="s">
        <v>1392</v>
      </c>
      <c r="J4190" s="417" t="s">
        <v>3695</v>
      </c>
      <c r="K4190" s="417" t="s">
        <v>10831</v>
      </c>
      <c r="L4190" s="417"/>
      <c r="M4190" s="417" t="s">
        <v>28840</v>
      </c>
    </row>
    <row r="4191" spans="1:13" x14ac:dyDescent="0.25">
      <c r="A4191" s="417" t="s">
        <v>3385</v>
      </c>
      <c r="B4191" s="417" t="s">
        <v>2627</v>
      </c>
      <c r="C4191" s="417" t="s">
        <v>10832</v>
      </c>
      <c r="D4191" s="417" t="s">
        <v>88</v>
      </c>
      <c r="E4191" s="423">
        <v>1.392077429732635</v>
      </c>
      <c r="F4191" s="423">
        <v>2.1843463401514589E-2</v>
      </c>
      <c r="G4191" s="422">
        <v>2372.4526015537449</v>
      </c>
      <c r="H4191" s="417" t="s">
        <v>2616</v>
      </c>
      <c r="I4191" s="417" t="s">
        <v>1392</v>
      </c>
      <c r="J4191" s="417" t="s">
        <v>3396</v>
      </c>
      <c r="K4191" s="417" t="s">
        <v>10833</v>
      </c>
      <c r="L4191" s="417"/>
      <c r="M4191" s="417" t="s">
        <v>28840</v>
      </c>
    </row>
    <row r="4192" spans="1:13" x14ac:dyDescent="0.25">
      <c r="A4192" s="417" t="s">
        <v>3385</v>
      </c>
      <c r="B4192" s="417" t="s">
        <v>2627</v>
      </c>
      <c r="C4192" s="417" t="s">
        <v>10834</v>
      </c>
      <c r="D4192" s="417" t="s">
        <v>88</v>
      </c>
      <c r="E4192" s="423">
        <v>3.0446726016752161</v>
      </c>
      <c r="F4192" s="423">
        <v>7.0279290825140048E-2</v>
      </c>
      <c r="G4192" s="422">
        <v>5296.9707580554723</v>
      </c>
      <c r="H4192" s="417" t="s">
        <v>2616</v>
      </c>
      <c r="I4192" s="417" t="s">
        <v>1392</v>
      </c>
      <c r="J4192" s="417" t="s">
        <v>3396</v>
      </c>
      <c r="K4192" s="417" t="s">
        <v>10835</v>
      </c>
      <c r="L4192" s="417"/>
      <c r="M4192" s="417" t="s">
        <v>28840</v>
      </c>
    </row>
    <row r="4193" spans="1:13" x14ac:dyDescent="0.25">
      <c r="A4193" s="417" t="s">
        <v>3385</v>
      </c>
      <c r="B4193" s="417" t="s">
        <v>2627</v>
      </c>
      <c r="C4193" s="417" t="s">
        <v>10836</v>
      </c>
      <c r="D4193" s="417" t="s">
        <v>88</v>
      </c>
      <c r="E4193" s="423">
        <v>2.3235399135482742</v>
      </c>
      <c r="F4193" s="423">
        <v>3.1050058607954879E-2</v>
      </c>
      <c r="G4193" s="422">
        <v>3803.0149793555311</v>
      </c>
      <c r="H4193" s="417" t="s">
        <v>2616</v>
      </c>
      <c r="I4193" s="417" t="s">
        <v>1392</v>
      </c>
      <c r="J4193" s="417" t="s">
        <v>3396</v>
      </c>
      <c r="K4193" s="417" t="s">
        <v>10837</v>
      </c>
      <c r="L4193" s="417"/>
      <c r="M4193" s="417" t="s">
        <v>28840</v>
      </c>
    </row>
    <row r="4194" spans="1:13" x14ac:dyDescent="0.25">
      <c r="A4194" s="417" t="s">
        <v>3385</v>
      </c>
      <c r="B4194" s="417" t="s">
        <v>2627</v>
      </c>
      <c r="C4194" s="417" t="s">
        <v>10838</v>
      </c>
      <c r="D4194" s="417" t="s">
        <v>88</v>
      </c>
      <c r="E4194" s="423">
        <v>1.478309764678112</v>
      </c>
      <c r="F4194" s="423">
        <v>1.0408198622084071</v>
      </c>
      <c r="G4194" s="422">
        <v>5976.2589821232441</v>
      </c>
      <c r="H4194" s="417" t="s">
        <v>2616</v>
      </c>
      <c r="I4194" s="417" t="s">
        <v>1392</v>
      </c>
      <c r="J4194" s="417" t="s">
        <v>4823</v>
      </c>
      <c r="K4194" s="417" t="s">
        <v>10839</v>
      </c>
      <c r="L4194" s="417"/>
      <c r="M4194" s="417" t="s">
        <v>28840</v>
      </c>
    </row>
    <row r="4195" spans="1:13" x14ac:dyDescent="0.25">
      <c r="A4195" s="417" t="s">
        <v>3385</v>
      </c>
      <c r="B4195" s="417" t="s">
        <v>2627</v>
      </c>
      <c r="C4195" s="417" t="s">
        <v>10840</v>
      </c>
      <c r="D4195" s="417" t="s">
        <v>88</v>
      </c>
      <c r="E4195" s="423">
        <v>5.3893994748187382</v>
      </c>
      <c r="F4195" s="423">
        <v>0.10898268747515651</v>
      </c>
      <c r="G4195" s="422">
        <v>8077.8279368967242</v>
      </c>
      <c r="H4195" s="417" t="s">
        <v>2616</v>
      </c>
      <c r="I4195" s="417" t="s">
        <v>1392</v>
      </c>
      <c r="J4195" s="417" t="s">
        <v>3403</v>
      </c>
      <c r="K4195" s="417" t="s">
        <v>10841</v>
      </c>
      <c r="L4195" s="417"/>
      <c r="M4195" s="417" t="s">
        <v>28840</v>
      </c>
    </row>
    <row r="4196" spans="1:13" x14ac:dyDescent="0.25">
      <c r="A4196" s="417" t="s">
        <v>3385</v>
      </c>
      <c r="B4196" s="417" t="s">
        <v>2627</v>
      </c>
      <c r="C4196" s="417" t="s">
        <v>10842</v>
      </c>
      <c r="D4196" s="417" t="s">
        <v>88</v>
      </c>
      <c r="E4196" s="423">
        <v>1.4951465789978631</v>
      </c>
      <c r="F4196" s="423">
        <v>4.6039384122395562E-2</v>
      </c>
      <c r="G4196" s="422">
        <v>2707.853633421108</v>
      </c>
      <c r="H4196" s="417" t="s">
        <v>2616</v>
      </c>
      <c r="I4196" s="417" t="s">
        <v>1392</v>
      </c>
      <c r="J4196" s="417" t="s">
        <v>3396</v>
      </c>
      <c r="K4196" s="417" t="s">
        <v>10843</v>
      </c>
      <c r="L4196" s="417"/>
      <c r="M4196" s="417" t="s">
        <v>28840</v>
      </c>
    </row>
    <row r="4197" spans="1:13" x14ac:dyDescent="0.25">
      <c r="A4197" s="417" t="s">
        <v>3385</v>
      </c>
      <c r="B4197" s="417" t="s">
        <v>2627</v>
      </c>
      <c r="C4197" s="417" t="s">
        <v>10844</v>
      </c>
      <c r="D4197" s="417" t="s">
        <v>88</v>
      </c>
      <c r="E4197" s="423">
        <v>1.1008325430205439</v>
      </c>
      <c r="F4197" s="423">
        <v>6.7930399748743098E-2</v>
      </c>
      <c r="G4197" s="422">
        <v>2510.1749532302651</v>
      </c>
      <c r="H4197" s="417" t="s">
        <v>2616</v>
      </c>
      <c r="I4197" s="417" t="s">
        <v>1392</v>
      </c>
      <c r="J4197" s="417" t="s">
        <v>3396</v>
      </c>
      <c r="K4197" s="417" t="s">
        <v>10845</v>
      </c>
      <c r="L4197" s="417"/>
      <c r="M4197" s="417" t="s">
        <v>28840</v>
      </c>
    </row>
    <row r="4198" spans="1:13" x14ac:dyDescent="0.25">
      <c r="A4198" s="417" t="s">
        <v>3385</v>
      </c>
      <c r="B4198" s="417" t="s">
        <v>2627</v>
      </c>
      <c r="C4198" s="417" t="s">
        <v>10846</v>
      </c>
      <c r="D4198" s="417" t="s">
        <v>88</v>
      </c>
      <c r="E4198" s="423">
        <v>2.304776108469305</v>
      </c>
      <c r="F4198" s="423">
        <v>6.2436207303629733E-2</v>
      </c>
      <c r="G4198" s="422">
        <v>6226.3720998617646</v>
      </c>
      <c r="H4198" s="417" t="s">
        <v>2616</v>
      </c>
      <c r="I4198" s="417" t="s">
        <v>1392</v>
      </c>
      <c r="J4198" s="417" t="s">
        <v>3396</v>
      </c>
      <c r="K4198" s="417" t="s">
        <v>10847</v>
      </c>
      <c r="L4198" s="417"/>
      <c r="M4198" s="417" t="s">
        <v>28840</v>
      </c>
    </row>
    <row r="4199" spans="1:13" x14ac:dyDescent="0.25">
      <c r="A4199" s="417" t="s">
        <v>3385</v>
      </c>
      <c r="B4199" s="417" t="s">
        <v>2627</v>
      </c>
      <c r="C4199" s="417" t="s">
        <v>10848</v>
      </c>
      <c r="D4199" s="417" t="s">
        <v>88</v>
      </c>
      <c r="E4199" s="423">
        <v>1.8350839543481019</v>
      </c>
      <c r="F4199" s="423">
        <v>0.1087352763436433</v>
      </c>
      <c r="G4199" s="422">
        <v>2848.9483186417278</v>
      </c>
      <c r="H4199" s="417" t="s">
        <v>2616</v>
      </c>
      <c r="I4199" s="417" t="s">
        <v>1392</v>
      </c>
      <c r="J4199" s="417" t="s">
        <v>3396</v>
      </c>
      <c r="K4199" s="417" t="s">
        <v>10849</v>
      </c>
      <c r="L4199" s="417"/>
      <c r="M4199" s="417" t="s">
        <v>28840</v>
      </c>
    </row>
    <row r="4200" spans="1:13" x14ac:dyDescent="0.25">
      <c r="A4200" s="417" t="s">
        <v>3385</v>
      </c>
      <c r="B4200" s="417" t="s">
        <v>2627</v>
      </c>
      <c r="C4200" s="417" t="s">
        <v>10850</v>
      </c>
      <c r="D4200" s="417" t="s">
        <v>88</v>
      </c>
      <c r="E4200" s="423">
        <v>2.035571981778014</v>
      </c>
      <c r="F4200" s="423">
        <v>5.478786798081306E-2</v>
      </c>
      <c r="G4200" s="422">
        <v>3660.84765768033</v>
      </c>
      <c r="H4200" s="417" t="s">
        <v>2616</v>
      </c>
      <c r="I4200" s="417" t="s">
        <v>1392</v>
      </c>
      <c r="J4200" s="417" t="s">
        <v>3396</v>
      </c>
      <c r="K4200" s="417" t="s">
        <v>10851</v>
      </c>
      <c r="L4200" s="417"/>
      <c r="M4200" s="417" t="s">
        <v>28840</v>
      </c>
    </row>
    <row r="4201" spans="1:13" x14ac:dyDescent="0.25">
      <c r="A4201" s="417" t="s">
        <v>3385</v>
      </c>
      <c r="B4201" s="417" t="s">
        <v>2627</v>
      </c>
      <c r="C4201" s="417" t="s">
        <v>1016</v>
      </c>
      <c r="D4201" s="417" t="s">
        <v>88</v>
      </c>
      <c r="E4201" s="423">
        <v>2.4379675688657421</v>
      </c>
      <c r="F4201" s="423">
        <v>6.0268349343905681E-2</v>
      </c>
      <c r="G4201" s="422">
        <v>4477.5069847027962</v>
      </c>
      <c r="H4201" s="417" t="s">
        <v>2616</v>
      </c>
      <c r="I4201" s="417" t="s">
        <v>28841</v>
      </c>
      <c r="J4201" s="417" t="s">
        <v>10852</v>
      </c>
      <c r="K4201" s="417" t="s">
        <v>10853</v>
      </c>
      <c r="L4201" s="417"/>
      <c r="M4201" s="417" t="s">
        <v>28840</v>
      </c>
    </row>
    <row r="4202" spans="1:13" x14ac:dyDescent="0.25">
      <c r="A4202" s="417" t="s">
        <v>3385</v>
      </c>
      <c r="B4202" s="417" t="s">
        <v>2627</v>
      </c>
      <c r="C4202" s="417" t="s">
        <v>10854</v>
      </c>
      <c r="D4202" s="417" t="s">
        <v>88</v>
      </c>
      <c r="E4202" s="423">
        <v>1.900205027641261</v>
      </c>
      <c r="F4202" s="423">
        <v>2.8142535626157369E-2</v>
      </c>
      <c r="G4202" s="422">
        <v>3488.869194481249</v>
      </c>
      <c r="H4202" s="417" t="s">
        <v>2616</v>
      </c>
      <c r="I4202" s="417" t="s">
        <v>1392</v>
      </c>
      <c r="J4202" s="417" t="s">
        <v>3396</v>
      </c>
      <c r="K4202" s="417" t="s">
        <v>10855</v>
      </c>
      <c r="L4202" s="417"/>
      <c r="M4202" s="417" t="s">
        <v>28840</v>
      </c>
    </row>
    <row r="4203" spans="1:13" x14ac:dyDescent="0.25">
      <c r="A4203" s="417" t="s">
        <v>3385</v>
      </c>
      <c r="B4203" s="417" t="s">
        <v>2627</v>
      </c>
      <c r="C4203" s="417" t="s">
        <v>10856</v>
      </c>
      <c r="D4203" s="417" t="s">
        <v>88</v>
      </c>
      <c r="E4203" s="423">
        <v>4.587233521275305</v>
      </c>
      <c r="F4203" s="423">
        <v>0.25933617224404409</v>
      </c>
      <c r="G4203" s="422">
        <v>14449.64005812781</v>
      </c>
      <c r="H4203" s="417" t="s">
        <v>2616</v>
      </c>
      <c r="I4203" s="417" t="s">
        <v>1392</v>
      </c>
      <c r="J4203" s="417" t="s">
        <v>3396</v>
      </c>
      <c r="K4203" s="417" t="s">
        <v>10857</v>
      </c>
      <c r="L4203" s="417"/>
      <c r="M4203" s="417" t="s">
        <v>28840</v>
      </c>
    </row>
    <row r="4204" spans="1:13" x14ac:dyDescent="0.25">
      <c r="A4204" s="417" t="s">
        <v>3385</v>
      </c>
      <c r="B4204" s="417" t="s">
        <v>2627</v>
      </c>
      <c r="C4204" s="417" t="s">
        <v>1017</v>
      </c>
      <c r="D4204" s="417" t="s">
        <v>88</v>
      </c>
      <c r="E4204" s="423">
        <v>2.8768034319111129</v>
      </c>
      <c r="F4204" s="423">
        <v>0.10288764495459229</v>
      </c>
      <c r="G4204" s="422">
        <v>5253.1939225392434</v>
      </c>
      <c r="H4204" s="417" t="s">
        <v>2616</v>
      </c>
      <c r="I4204" s="417" t="s">
        <v>28841</v>
      </c>
      <c r="J4204" s="417" t="s">
        <v>10852</v>
      </c>
      <c r="K4204" s="417" t="s">
        <v>10858</v>
      </c>
      <c r="L4204" s="417"/>
      <c r="M4204" s="417" t="s">
        <v>28840</v>
      </c>
    </row>
    <row r="4205" spans="1:13" x14ac:dyDescent="0.25">
      <c r="A4205" s="417" t="s">
        <v>3385</v>
      </c>
      <c r="B4205" s="417" t="s">
        <v>2627</v>
      </c>
      <c r="C4205" s="417" t="s">
        <v>10859</v>
      </c>
      <c r="D4205" s="417" t="s">
        <v>83</v>
      </c>
      <c r="E4205" s="423">
        <v>0</v>
      </c>
      <c r="F4205" s="423">
        <v>0</v>
      </c>
      <c r="G4205" s="422">
        <v>251040</v>
      </c>
      <c r="H4205" s="417" t="s">
        <v>2616</v>
      </c>
      <c r="I4205" s="417" t="s">
        <v>1392</v>
      </c>
      <c r="J4205" s="417" t="s">
        <v>3995</v>
      </c>
      <c r="K4205" s="417" t="s">
        <v>10860</v>
      </c>
      <c r="L4205" s="417"/>
      <c r="M4205" s="417" t="s">
        <v>28840</v>
      </c>
    </row>
    <row r="4206" spans="1:13" x14ac:dyDescent="0.25">
      <c r="A4206" s="417" t="s">
        <v>3385</v>
      </c>
      <c r="B4206" s="417" t="s">
        <v>2627</v>
      </c>
      <c r="C4206" s="417" t="s">
        <v>10861</v>
      </c>
      <c r="D4206" s="417" t="s">
        <v>989</v>
      </c>
      <c r="E4206" s="423">
        <v>4.5881622496362153</v>
      </c>
      <c r="F4206" s="423">
        <v>2.1964175106682151</v>
      </c>
      <c r="G4206" s="422">
        <v>9850.0990850737635</v>
      </c>
      <c r="H4206" s="417" t="s">
        <v>2616</v>
      </c>
      <c r="I4206" s="417" t="s">
        <v>1392</v>
      </c>
      <c r="J4206" s="417" t="s">
        <v>10862</v>
      </c>
      <c r="K4206" s="417" t="s">
        <v>10863</v>
      </c>
      <c r="L4206" s="417"/>
      <c r="M4206" s="417" t="s">
        <v>28840</v>
      </c>
    </row>
    <row r="4207" spans="1:13" x14ac:dyDescent="0.25">
      <c r="A4207" s="417" t="s">
        <v>3385</v>
      </c>
      <c r="B4207" s="417" t="s">
        <v>2437</v>
      </c>
      <c r="C4207" s="417" t="s">
        <v>10864</v>
      </c>
      <c r="D4207" s="417" t="s">
        <v>989</v>
      </c>
      <c r="E4207" s="423">
        <v>27813.91631532578</v>
      </c>
      <c r="F4207" s="423">
        <v>1448.320958904608</v>
      </c>
      <c r="G4207" s="422">
        <v>90077089.760672778</v>
      </c>
      <c r="H4207" s="417" t="s">
        <v>2616</v>
      </c>
      <c r="I4207" s="417" t="s">
        <v>1392</v>
      </c>
      <c r="J4207" s="417" t="s">
        <v>4167</v>
      </c>
      <c r="K4207" s="417" t="s">
        <v>10865</v>
      </c>
      <c r="L4207" s="417"/>
      <c r="M4207" s="417" t="s">
        <v>28840</v>
      </c>
    </row>
    <row r="4208" spans="1:13" x14ac:dyDescent="0.25">
      <c r="A4208" s="417" t="s">
        <v>3385</v>
      </c>
      <c r="B4208" s="417" t="s">
        <v>2437</v>
      </c>
      <c r="C4208" s="417" t="s">
        <v>10866</v>
      </c>
      <c r="D4208" s="417" t="s">
        <v>989</v>
      </c>
      <c r="E4208" s="423">
        <v>42769.70812444231</v>
      </c>
      <c r="F4208" s="423">
        <v>2204.2026229714302</v>
      </c>
      <c r="G4208" s="422">
        <v>139741350.20763639</v>
      </c>
      <c r="H4208" s="417" t="s">
        <v>2616</v>
      </c>
      <c r="I4208" s="417" t="s">
        <v>1392</v>
      </c>
      <c r="J4208" s="417" t="s">
        <v>4167</v>
      </c>
      <c r="K4208" s="417" t="s">
        <v>10867</v>
      </c>
      <c r="L4208" s="417"/>
      <c r="M4208" s="417" t="s">
        <v>28840</v>
      </c>
    </row>
    <row r="4209" spans="1:13" x14ac:dyDescent="0.25">
      <c r="A4209" s="417" t="s">
        <v>3385</v>
      </c>
      <c r="B4209" s="417" t="s">
        <v>3405</v>
      </c>
      <c r="C4209" s="417" t="s">
        <v>10868</v>
      </c>
      <c r="D4209" s="417" t="s">
        <v>563</v>
      </c>
      <c r="E4209" s="423">
        <v>64.858162899595428</v>
      </c>
      <c r="F4209" s="423">
        <v>12.29252626027364</v>
      </c>
      <c r="G4209" s="422">
        <v>182537.24380030399</v>
      </c>
      <c r="H4209" s="417" t="s">
        <v>2616</v>
      </c>
      <c r="I4209" s="417" t="s">
        <v>1392</v>
      </c>
      <c r="J4209" s="417" t="s">
        <v>10869</v>
      </c>
      <c r="K4209" s="417" t="s">
        <v>10870</v>
      </c>
      <c r="L4209" s="417"/>
      <c r="M4209" s="417" t="s">
        <v>28840</v>
      </c>
    </row>
    <row r="4210" spans="1:13" x14ac:dyDescent="0.25">
      <c r="A4210" s="417" t="s">
        <v>3385</v>
      </c>
      <c r="B4210" s="417" t="s">
        <v>2437</v>
      </c>
      <c r="C4210" s="417" t="s">
        <v>10871</v>
      </c>
      <c r="D4210" s="417" t="s">
        <v>83</v>
      </c>
      <c r="E4210" s="423">
        <v>0.57038171124134407</v>
      </c>
      <c r="F4210" s="423">
        <v>3.4521843024148777E-2</v>
      </c>
      <c r="G4210" s="422">
        <v>1056.4382921866979</v>
      </c>
      <c r="H4210" s="417" t="s">
        <v>2616</v>
      </c>
      <c r="I4210" s="417" t="s">
        <v>1392</v>
      </c>
      <c r="J4210" s="417" t="s">
        <v>10872</v>
      </c>
      <c r="K4210" s="417" t="s">
        <v>10873</v>
      </c>
      <c r="L4210" s="417"/>
      <c r="M4210" s="417" t="s">
        <v>28840</v>
      </c>
    </row>
    <row r="4211" spans="1:13" x14ac:dyDescent="0.25">
      <c r="A4211" s="417" t="s">
        <v>3385</v>
      </c>
      <c r="B4211" s="417" t="s">
        <v>2437</v>
      </c>
      <c r="C4211" s="417" t="s">
        <v>10874</v>
      </c>
      <c r="D4211" s="417" t="s">
        <v>83</v>
      </c>
      <c r="E4211" s="423">
        <v>0.42787370684570991</v>
      </c>
      <c r="F4211" s="423">
        <v>1.073184257965706E-2</v>
      </c>
      <c r="G4211" s="422">
        <v>679.27944038182181</v>
      </c>
      <c r="H4211" s="417" t="s">
        <v>2616</v>
      </c>
      <c r="I4211" s="417" t="s">
        <v>1392</v>
      </c>
      <c r="J4211" s="417" t="s">
        <v>4138</v>
      </c>
      <c r="K4211" s="417" t="s">
        <v>10875</v>
      </c>
      <c r="L4211" s="417"/>
      <c r="M4211" s="417" t="s">
        <v>28840</v>
      </c>
    </row>
    <row r="4212" spans="1:13" x14ac:dyDescent="0.25">
      <c r="A4212" s="417" t="s">
        <v>3385</v>
      </c>
      <c r="B4212" s="417" t="s">
        <v>2437</v>
      </c>
      <c r="C4212" s="417" t="s">
        <v>10876</v>
      </c>
      <c r="D4212" s="417" t="s">
        <v>83</v>
      </c>
      <c r="E4212" s="423">
        <v>0.38739121685884581</v>
      </c>
      <c r="F4212" s="423">
        <v>9.5404101520297265E-3</v>
      </c>
      <c r="G4212" s="422">
        <v>606.40058435757726</v>
      </c>
      <c r="H4212" s="417" t="s">
        <v>2616</v>
      </c>
      <c r="I4212" s="417" t="s">
        <v>1392</v>
      </c>
      <c r="J4212" s="417" t="s">
        <v>4342</v>
      </c>
      <c r="K4212" s="417" t="s">
        <v>10877</v>
      </c>
      <c r="L4212" s="417"/>
      <c r="M4212" s="417" t="s">
        <v>28840</v>
      </c>
    </row>
    <row r="4213" spans="1:13" x14ac:dyDescent="0.25">
      <c r="A4213" s="417" t="s">
        <v>3385</v>
      </c>
      <c r="B4213" s="417" t="s">
        <v>2437</v>
      </c>
      <c r="C4213" s="417" t="s">
        <v>10878</v>
      </c>
      <c r="D4213" s="417" t="s">
        <v>83</v>
      </c>
      <c r="E4213" s="423">
        <v>4.0482489966079067E-2</v>
      </c>
      <c r="F4213" s="423">
        <v>1.191432421422407E-3</v>
      </c>
      <c r="G4213" s="422">
        <v>72.878856071357404</v>
      </c>
      <c r="H4213" s="417" t="s">
        <v>2616</v>
      </c>
      <c r="I4213" s="417" t="s">
        <v>1392</v>
      </c>
      <c r="J4213" s="417" t="s">
        <v>4342</v>
      </c>
      <c r="K4213" s="417" t="s">
        <v>10879</v>
      </c>
      <c r="L4213" s="417"/>
      <c r="M4213" s="417" t="s">
        <v>28840</v>
      </c>
    </row>
    <row r="4214" spans="1:13" x14ac:dyDescent="0.25">
      <c r="A4214" s="417" t="s">
        <v>3385</v>
      </c>
      <c r="B4214" s="417" t="s">
        <v>2437</v>
      </c>
      <c r="C4214" s="417" t="s">
        <v>10880</v>
      </c>
      <c r="D4214" s="417" t="s">
        <v>83</v>
      </c>
      <c r="E4214" s="423">
        <v>0.38739121685884581</v>
      </c>
      <c r="F4214" s="423">
        <v>9.5404101520297265E-3</v>
      </c>
      <c r="G4214" s="422">
        <v>606.40058435757726</v>
      </c>
      <c r="H4214" s="417" t="s">
        <v>2616</v>
      </c>
      <c r="I4214" s="417" t="s">
        <v>1392</v>
      </c>
      <c r="J4214" s="417" t="s">
        <v>4342</v>
      </c>
      <c r="K4214" s="417" t="s">
        <v>10881</v>
      </c>
      <c r="L4214" s="417"/>
      <c r="M4214" s="417" t="s">
        <v>28840</v>
      </c>
    </row>
    <row r="4215" spans="1:13" x14ac:dyDescent="0.25">
      <c r="A4215" s="417" t="s">
        <v>3385</v>
      </c>
      <c r="B4215" s="417" t="s">
        <v>2437</v>
      </c>
      <c r="C4215" s="417" t="s">
        <v>10882</v>
      </c>
      <c r="D4215" s="417" t="s">
        <v>83</v>
      </c>
      <c r="E4215" s="423">
        <v>0.427950102412952</v>
      </c>
      <c r="F4215" s="423">
        <v>1.0733676363530689E-2</v>
      </c>
      <c r="G4215" s="422">
        <v>679.1140430616889</v>
      </c>
      <c r="H4215" s="417" t="s">
        <v>2616</v>
      </c>
      <c r="I4215" s="417" t="s">
        <v>1392</v>
      </c>
      <c r="J4215" s="417" t="s">
        <v>4138</v>
      </c>
      <c r="K4215" s="417" t="s">
        <v>10883</v>
      </c>
      <c r="L4215" s="417"/>
      <c r="M4215" s="417" t="s">
        <v>28840</v>
      </c>
    </row>
    <row r="4216" spans="1:13" x14ac:dyDescent="0.25">
      <c r="A4216" s="417" t="s">
        <v>3385</v>
      </c>
      <c r="B4216" s="417" t="s">
        <v>2437</v>
      </c>
      <c r="C4216" s="417" t="s">
        <v>10884</v>
      </c>
      <c r="D4216" s="417" t="s">
        <v>83</v>
      </c>
      <c r="E4216" s="423">
        <v>0.38746760356091631</v>
      </c>
      <c r="F4216" s="423">
        <v>9.5422428974093147E-3</v>
      </c>
      <c r="G4216" s="422">
        <v>606.23516579459681</v>
      </c>
      <c r="H4216" s="417" t="s">
        <v>2616</v>
      </c>
      <c r="I4216" s="417" t="s">
        <v>1392</v>
      </c>
      <c r="J4216" s="417" t="s">
        <v>4342</v>
      </c>
      <c r="K4216" s="417" t="s">
        <v>10885</v>
      </c>
      <c r="L4216" s="417"/>
      <c r="M4216" s="417" t="s">
        <v>28840</v>
      </c>
    </row>
    <row r="4217" spans="1:13" x14ac:dyDescent="0.25">
      <c r="A4217" s="417" t="s">
        <v>3385</v>
      </c>
      <c r="B4217" s="417" t="s">
        <v>3405</v>
      </c>
      <c r="C4217" s="417" t="s">
        <v>10886</v>
      </c>
      <c r="D4217" s="417" t="s">
        <v>83</v>
      </c>
      <c r="E4217" s="423">
        <v>0.52989922127507483</v>
      </c>
      <c r="F4217" s="423">
        <v>3.3330410602716742E-2</v>
      </c>
      <c r="G4217" s="422">
        <v>983.55943614553587</v>
      </c>
      <c r="H4217" s="417" t="s">
        <v>2616</v>
      </c>
      <c r="I4217" s="417" t="s">
        <v>1392</v>
      </c>
      <c r="J4217" s="417" t="s">
        <v>3905</v>
      </c>
      <c r="K4217" s="417" t="s">
        <v>10887</v>
      </c>
      <c r="L4217" s="417"/>
      <c r="M4217" s="417" t="s">
        <v>28840</v>
      </c>
    </row>
    <row r="4218" spans="1:13" x14ac:dyDescent="0.25">
      <c r="A4218" s="417" t="s">
        <v>3385</v>
      </c>
      <c r="B4218" s="417" t="s">
        <v>2437</v>
      </c>
      <c r="C4218" s="417" t="s">
        <v>10888</v>
      </c>
      <c r="D4218" s="417" t="s">
        <v>83</v>
      </c>
      <c r="E4218" s="423">
        <v>0.41677474070782811</v>
      </c>
      <c r="F4218" s="423">
        <v>1.045575115336143E-2</v>
      </c>
      <c r="G4218" s="422">
        <v>681.34135659409344</v>
      </c>
      <c r="H4218" s="417" t="s">
        <v>2616</v>
      </c>
      <c r="I4218" s="417" t="s">
        <v>1392</v>
      </c>
      <c r="J4218" s="417" t="s">
        <v>4138</v>
      </c>
      <c r="K4218" s="417" t="s">
        <v>10889</v>
      </c>
      <c r="L4218" s="417"/>
      <c r="M4218" s="417" t="s">
        <v>28840</v>
      </c>
    </row>
    <row r="4219" spans="1:13" x14ac:dyDescent="0.25">
      <c r="A4219" s="417" t="s">
        <v>3385</v>
      </c>
      <c r="B4219" s="417" t="s">
        <v>2437</v>
      </c>
      <c r="C4219" s="417" t="s">
        <v>10890</v>
      </c>
      <c r="D4219" s="417" t="s">
        <v>83</v>
      </c>
      <c r="E4219" s="423">
        <v>0.37629225073847489</v>
      </c>
      <c r="F4219" s="423">
        <v>9.264318731862297E-3</v>
      </c>
      <c r="G4219" s="422">
        <v>608.46250049746209</v>
      </c>
      <c r="H4219" s="417" t="s">
        <v>2616</v>
      </c>
      <c r="I4219" s="417" t="s">
        <v>1392</v>
      </c>
      <c r="J4219" s="417" t="s">
        <v>4342</v>
      </c>
      <c r="K4219" s="417" t="s">
        <v>10891</v>
      </c>
      <c r="L4219" s="417"/>
      <c r="M4219" s="417" t="s">
        <v>28840</v>
      </c>
    </row>
    <row r="4220" spans="1:13" x14ac:dyDescent="0.25">
      <c r="A4220" s="417" t="s">
        <v>3385</v>
      </c>
      <c r="B4220" s="417" t="s">
        <v>2437</v>
      </c>
      <c r="C4220" s="417" t="s">
        <v>10892</v>
      </c>
      <c r="D4220" s="417" t="s">
        <v>83</v>
      </c>
      <c r="E4220" s="423">
        <v>0.55570659865553818</v>
      </c>
      <c r="F4220" s="423">
        <v>3.3975536120083402E-2</v>
      </c>
      <c r="G4220" s="422">
        <v>1028.620896124489</v>
      </c>
      <c r="H4220" s="417" t="s">
        <v>2616</v>
      </c>
      <c r="I4220" s="417" t="s">
        <v>1392</v>
      </c>
      <c r="J4220" s="417" t="s">
        <v>10872</v>
      </c>
      <c r="K4220" s="417" t="s">
        <v>10893</v>
      </c>
      <c r="L4220" s="417"/>
      <c r="M4220" s="417" t="s">
        <v>28840</v>
      </c>
    </row>
    <row r="4221" spans="1:13" x14ac:dyDescent="0.25">
      <c r="A4221" s="417" t="s">
        <v>3385</v>
      </c>
      <c r="B4221" s="417" t="s">
        <v>2627</v>
      </c>
      <c r="C4221" s="417" t="s">
        <v>10894</v>
      </c>
      <c r="D4221" s="417" t="s">
        <v>989</v>
      </c>
      <c r="E4221" s="423">
        <v>10.93572224431305</v>
      </c>
      <c r="F4221" s="423">
        <v>0.33444441681368131</v>
      </c>
      <c r="G4221" s="422">
        <v>30678.18543417714</v>
      </c>
      <c r="H4221" s="417" t="s">
        <v>2616</v>
      </c>
      <c r="I4221" s="417" t="s">
        <v>1392</v>
      </c>
      <c r="J4221" s="417" t="s">
        <v>3667</v>
      </c>
      <c r="K4221" s="417" t="s">
        <v>10895</v>
      </c>
      <c r="L4221" s="417"/>
      <c r="M4221" s="417" t="s">
        <v>28840</v>
      </c>
    </row>
    <row r="4222" spans="1:13" x14ac:dyDescent="0.25">
      <c r="A4222" s="417" t="s">
        <v>3385</v>
      </c>
      <c r="B4222" s="417" t="s">
        <v>2627</v>
      </c>
      <c r="C4222" s="417" t="s">
        <v>10896</v>
      </c>
      <c r="D4222" s="417" t="s">
        <v>989</v>
      </c>
      <c r="E4222" s="423">
        <v>57.791239442504761</v>
      </c>
      <c r="F4222" s="423">
        <v>1.8524691883045481</v>
      </c>
      <c r="G4222" s="422">
        <v>116442.16186614511</v>
      </c>
      <c r="H4222" s="417" t="s">
        <v>2616</v>
      </c>
      <c r="I4222" s="417" t="s">
        <v>1392</v>
      </c>
      <c r="J4222" s="417" t="s">
        <v>3667</v>
      </c>
      <c r="K4222" s="417" t="s">
        <v>10897</v>
      </c>
      <c r="L4222" s="417"/>
      <c r="M4222" s="417" t="s">
        <v>28840</v>
      </c>
    </row>
    <row r="4223" spans="1:13" x14ac:dyDescent="0.25">
      <c r="A4223" s="417" t="s">
        <v>3385</v>
      </c>
      <c r="B4223" s="417" t="s">
        <v>2627</v>
      </c>
      <c r="C4223" s="417" t="s">
        <v>10898</v>
      </c>
      <c r="D4223" s="417" t="s">
        <v>563</v>
      </c>
      <c r="E4223" s="423">
        <v>3.216431059172463</v>
      </c>
      <c r="F4223" s="423">
        <v>9.6909366806701203E-2</v>
      </c>
      <c r="G4223" s="422">
        <v>11005.061077816101</v>
      </c>
      <c r="H4223" s="417" t="s">
        <v>2616</v>
      </c>
      <c r="I4223" s="417" t="s">
        <v>1392</v>
      </c>
      <c r="J4223" s="417" t="s">
        <v>10899</v>
      </c>
      <c r="K4223" s="417" t="s">
        <v>10900</v>
      </c>
      <c r="L4223" s="417"/>
      <c r="M4223" s="417" t="s">
        <v>28840</v>
      </c>
    </row>
    <row r="4224" spans="1:13" x14ac:dyDescent="0.25">
      <c r="A4224" s="417" t="s">
        <v>3385</v>
      </c>
      <c r="B4224" s="417" t="s">
        <v>2627</v>
      </c>
      <c r="C4224" s="417" t="s">
        <v>10901</v>
      </c>
      <c r="D4224" s="417" t="s">
        <v>563</v>
      </c>
      <c r="E4224" s="423">
        <v>1.133120842138567</v>
      </c>
      <c r="F4224" s="423">
        <v>3.4419611807382143E-2</v>
      </c>
      <c r="G4224" s="422">
        <v>4412.6385470332216</v>
      </c>
      <c r="H4224" s="417" t="s">
        <v>2616</v>
      </c>
      <c r="I4224" s="417" t="s">
        <v>1392</v>
      </c>
      <c r="J4224" s="417" t="s">
        <v>10899</v>
      </c>
      <c r="K4224" s="417" t="s">
        <v>10902</v>
      </c>
      <c r="L4224" s="417"/>
      <c r="M4224" s="417" t="s">
        <v>28840</v>
      </c>
    </row>
    <row r="4225" spans="1:13" x14ac:dyDescent="0.25">
      <c r="A4225" s="417" t="s">
        <v>3385</v>
      </c>
      <c r="B4225" s="417" t="s">
        <v>2627</v>
      </c>
      <c r="C4225" s="417" t="s">
        <v>10903</v>
      </c>
      <c r="D4225" s="417" t="s">
        <v>989</v>
      </c>
      <c r="E4225" s="423">
        <v>1.9330834679792019</v>
      </c>
      <c r="F4225" s="423">
        <v>7.7415399184854378E-2</v>
      </c>
      <c r="G4225" s="422">
        <v>4983.5861903933064</v>
      </c>
      <c r="H4225" s="417" t="s">
        <v>2616</v>
      </c>
      <c r="I4225" s="417" t="s">
        <v>1392</v>
      </c>
      <c r="J4225" s="417" t="s">
        <v>3667</v>
      </c>
      <c r="K4225" s="417" t="s">
        <v>10904</v>
      </c>
      <c r="L4225" s="417"/>
      <c r="M4225" s="417" t="s">
        <v>28840</v>
      </c>
    </row>
    <row r="4226" spans="1:13" x14ac:dyDescent="0.25">
      <c r="A4226" s="417" t="s">
        <v>3385</v>
      </c>
      <c r="B4226" s="417" t="s">
        <v>2437</v>
      </c>
      <c r="C4226" s="417" t="s">
        <v>10905</v>
      </c>
      <c r="D4226" s="417" t="s">
        <v>88</v>
      </c>
      <c r="E4226" s="423">
        <v>1.6299999999999999E-3</v>
      </c>
      <c r="F4226" s="423">
        <v>0</v>
      </c>
      <c r="G4226" s="422">
        <v>1.63</v>
      </c>
      <c r="H4226" s="417" t="s">
        <v>2616</v>
      </c>
      <c r="I4226" s="417" t="s">
        <v>1392</v>
      </c>
      <c r="J4226" s="417" t="s">
        <v>4531</v>
      </c>
      <c r="K4226" s="417" t="s">
        <v>10906</v>
      </c>
      <c r="L4226" s="417"/>
      <c r="M4226" s="417" t="s">
        <v>28840</v>
      </c>
    </row>
    <row r="4227" spans="1:13" x14ac:dyDescent="0.25">
      <c r="A4227" s="417" t="s">
        <v>3385</v>
      </c>
      <c r="B4227" s="417" t="s">
        <v>2437</v>
      </c>
      <c r="C4227" s="417" t="s">
        <v>10907</v>
      </c>
      <c r="D4227" s="417" t="s">
        <v>88</v>
      </c>
      <c r="E4227" s="423">
        <v>1.683615497959853</v>
      </c>
      <c r="F4227" s="423">
        <v>1.2925756946279329E-2</v>
      </c>
      <c r="G4227" s="422">
        <v>6285.6326556908652</v>
      </c>
      <c r="H4227" s="417" t="s">
        <v>2616</v>
      </c>
      <c r="I4227" s="417" t="s">
        <v>1392</v>
      </c>
      <c r="J4227" s="417" t="s">
        <v>4531</v>
      </c>
      <c r="K4227" s="417" t="s">
        <v>10908</v>
      </c>
      <c r="L4227" s="417"/>
      <c r="M4227" s="417" t="s">
        <v>28840</v>
      </c>
    </row>
    <row r="4228" spans="1:13" x14ac:dyDescent="0.25">
      <c r="A4228" s="417" t="s">
        <v>3385</v>
      </c>
      <c r="B4228" s="417" t="s">
        <v>2437</v>
      </c>
      <c r="C4228" s="417" t="s">
        <v>10909</v>
      </c>
      <c r="D4228" s="417" t="s">
        <v>88</v>
      </c>
      <c r="E4228" s="423">
        <v>5.308119382219199</v>
      </c>
      <c r="F4228" s="423">
        <v>0.35461497384411461</v>
      </c>
      <c r="G4228" s="422">
        <v>38786.859847185937</v>
      </c>
      <c r="H4228" s="417" t="s">
        <v>2616</v>
      </c>
      <c r="I4228" s="417" t="s">
        <v>1392</v>
      </c>
      <c r="J4228" s="417" t="s">
        <v>4414</v>
      </c>
      <c r="K4228" s="417" t="s">
        <v>10910</v>
      </c>
      <c r="L4228" s="417"/>
      <c r="M4228" s="417" t="s">
        <v>28840</v>
      </c>
    </row>
    <row r="4229" spans="1:13" x14ac:dyDescent="0.25">
      <c r="A4229" s="417" t="s">
        <v>3385</v>
      </c>
      <c r="B4229" s="417" t="s">
        <v>2627</v>
      </c>
      <c r="C4229" s="417" t="s">
        <v>10911</v>
      </c>
      <c r="D4229" s="417" t="s">
        <v>88</v>
      </c>
      <c r="E4229" s="423">
        <v>0.34482139372367332</v>
      </c>
      <c r="F4229" s="423">
        <v>7.5088909222952834E-3</v>
      </c>
      <c r="G4229" s="422">
        <v>468.18871822889139</v>
      </c>
      <c r="H4229" s="417" t="s">
        <v>2616</v>
      </c>
      <c r="I4229" s="417" t="s">
        <v>1392</v>
      </c>
      <c r="J4229" s="417" t="s">
        <v>3860</v>
      </c>
      <c r="K4229" s="417" t="s">
        <v>10912</v>
      </c>
      <c r="L4229" s="417"/>
      <c r="M4229" s="417" t="s">
        <v>28840</v>
      </c>
    </row>
    <row r="4230" spans="1:13" x14ac:dyDescent="0.25">
      <c r="A4230" s="417" t="s">
        <v>3385</v>
      </c>
      <c r="B4230" s="417" t="s">
        <v>2627</v>
      </c>
      <c r="C4230" s="417" t="s">
        <v>10913</v>
      </c>
      <c r="D4230" s="417" t="s">
        <v>88</v>
      </c>
      <c r="E4230" s="423">
        <v>1.032342378521067</v>
      </c>
      <c r="F4230" s="423">
        <v>2.3709638977268278E-2</v>
      </c>
      <c r="G4230" s="422">
        <v>1408.053615482951</v>
      </c>
      <c r="H4230" s="417" t="s">
        <v>2616</v>
      </c>
      <c r="I4230" s="417" t="s">
        <v>1392</v>
      </c>
      <c r="J4230" s="417" t="s">
        <v>3860</v>
      </c>
      <c r="K4230" s="417" t="s">
        <v>10914</v>
      </c>
      <c r="L4230" s="417"/>
      <c r="M4230" s="417" t="s">
        <v>28840</v>
      </c>
    </row>
    <row r="4231" spans="1:13" x14ac:dyDescent="0.25">
      <c r="A4231" s="417" t="s">
        <v>3385</v>
      </c>
      <c r="B4231" s="417" t="s">
        <v>2627</v>
      </c>
      <c r="C4231" s="417" t="s">
        <v>10915</v>
      </c>
      <c r="D4231" s="417" t="s">
        <v>88</v>
      </c>
      <c r="E4231" s="423">
        <v>0.36684548571155923</v>
      </c>
      <c r="F4231" s="423">
        <v>9.1104272090123083E-3</v>
      </c>
      <c r="G4231" s="422">
        <v>620.62982708337279</v>
      </c>
      <c r="H4231" s="417" t="s">
        <v>2616</v>
      </c>
      <c r="I4231" s="417" t="s">
        <v>1392</v>
      </c>
      <c r="J4231" s="417" t="s">
        <v>3860</v>
      </c>
      <c r="K4231" s="417" t="s">
        <v>10916</v>
      </c>
      <c r="L4231" s="417"/>
      <c r="M4231" s="417" t="s">
        <v>28840</v>
      </c>
    </row>
    <row r="4232" spans="1:13" x14ac:dyDescent="0.25">
      <c r="A4232" s="417" t="s">
        <v>3385</v>
      </c>
      <c r="B4232" s="417" t="s">
        <v>3405</v>
      </c>
      <c r="C4232" s="417" t="s">
        <v>10917</v>
      </c>
      <c r="D4232" s="417" t="s">
        <v>989</v>
      </c>
      <c r="E4232" s="423">
        <v>18.86387069657329</v>
      </c>
      <c r="F4232" s="423">
        <v>1.6236250062016111</v>
      </c>
      <c r="G4232" s="422">
        <v>35254.518968596341</v>
      </c>
      <c r="H4232" s="417" t="s">
        <v>2616</v>
      </c>
      <c r="I4232" s="417" t="s">
        <v>1392</v>
      </c>
      <c r="J4232" s="417" t="s">
        <v>10869</v>
      </c>
      <c r="K4232" s="417" t="s">
        <v>10918</v>
      </c>
      <c r="L4232" s="417"/>
      <c r="M4232" s="417" t="s">
        <v>28840</v>
      </c>
    </row>
    <row r="4233" spans="1:13" x14ac:dyDescent="0.25">
      <c r="A4233" s="417" t="s">
        <v>3385</v>
      </c>
      <c r="B4233" s="417" t="s">
        <v>3405</v>
      </c>
      <c r="C4233" s="417" t="s">
        <v>10919</v>
      </c>
      <c r="D4233" s="417" t="s">
        <v>989</v>
      </c>
      <c r="E4233" s="423">
        <v>44.943835776456609</v>
      </c>
      <c r="F4233" s="423">
        <v>5.0927636466742472</v>
      </c>
      <c r="G4233" s="422">
        <v>84358.022807838221</v>
      </c>
      <c r="H4233" s="417" t="s">
        <v>2616</v>
      </c>
      <c r="I4233" s="417" t="s">
        <v>1392</v>
      </c>
      <c r="J4233" s="417" t="s">
        <v>10869</v>
      </c>
      <c r="K4233" s="417" t="s">
        <v>10920</v>
      </c>
      <c r="L4233" s="417"/>
      <c r="M4233" s="417" t="s">
        <v>28840</v>
      </c>
    </row>
    <row r="4234" spans="1:13" x14ac:dyDescent="0.25">
      <c r="A4234" s="417" t="s">
        <v>3385</v>
      </c>
      <c r="B4234" s="417" t="s">
        <v>2627</v>
      </c>
      <c r="C4234" s="417" t="s">
        <v>10921</v>
      </c>
      <c r="D4234" s="417" t="s">
        <v>989</v>
      </c>
      <c r="E4234" s="423">
        <v>4400506.48513621</v>
      </c>
      <c r="F4234" s="423">
        <v>651928.24663087679</v>
      </c>
      <c r="G4234" s="422">
        <v>10445423889.3279</v>
      </c>
      <c r="H4234" s="417" t="s">
        <v>2616</v>
      </c>
      <c r="I4234" s="417" t="s">
        <v>1392</v>
      </c>
      <c r="J4234" s="417" t="s">
        <v>10922</v>
      </c>
      <c r="K4234" s="417" t="s">
        <v>10923</v>
      </c>
      <c r="L4234" s="417"/>
      <c r="M4234" s="417" t="s">
        <v>28840</v>
      </c>
    </row>
    <row r="4235" spans="1:13" x14ac:dyDescent="0.25">
      <c r="A4235" s="417" t="s">
        <v>3385</v>
      </c>
      <c r="B4235" s="417" t="s">
        <v>2627</v>
      </c>
      <c r="C4235" s="417" t="s">
        <v>10924</v>
      </c>
      <c r="D4235" s="417" t="s">
        <v>88</v>
      </c>
      <c r="E4235" s="423">
        <v>2.170102963448536</v>
      </c>
      <c r="F4235" s="423">
        <v>5.8286750209115022E-2</v>
      </c>
      <c r="G4235" s="422">
        <v>3382.277680732077</v>
      </c>
      <c r="H4235" s="417" t="s">
        <v>2616</v>
      </c>
      <c r="I4235" s="417" t="s">
        <v>1392</v>
      </c>
      <c r="J4235" s="417" t="s">
        <v>3633</v>
      </c>
      <c r="K4235" s="417" t="s">
        <v>10925</v>
      </c>
      <c r="L4235" s="417"/>
      <c r="M4235" s="417" t="s">
        <v>28840</v>
      </c>
    </row>
    <row r="4236" spans="1:13" x14ac:dyDescent="0.25">
      <c r="A4236" s="417" t="s">
        <v>3385</v>
      </c>
      <c r="B4236" s="417" t="s">
        <v>2627</v>
      </c>
      <c r="C4236" s="417" t="s">
        <v>10926</v>
      </c>
      <c r="D4236" s="417" t="s">
        <v>3936</v>
      </c>
      <c r="E4236" s="423">
        <v>322643.28999318677</v>
      </c>
      <c r="F4236" s="423">
        <v>11737.484709343231</v>
      </c>
      <c r="G4236" s="422">
        <v>1255959151.2784891</v>
      </c>
      <c r="H4236" s="417" t="s">
        <v>2616</v>
      </c>
      <c r="I4236" s="417" t="s">
        <v>1392</v>
      </c>
      <c r="J4236" s="417" t="s">
        <v>3937</v>
      </c>
      <c r="K4236" s="417" t="s">
        <v>10927</v>
      </c>
      <c r="L4236" s="417"/>
      <c r="M4236" s="417" t="s">
        <v>28840</v>
      </c>
    </row>
    <row r="4237" spans="1:13" x14ac:dyDescent="0.25">
      <c r="A4237" s="417" t="s">
        <v>3385</v>
      </c>
      <c r="B4237" s="417" t="s">
        <v>2627</v>
      </c>
      <c r="C4237" s="417" t="s">
        <v>10928</v>
      </c>
      <c r="D4237" s="417" t="s">
        <v>989</v>
      </c>
      <c r="E4237" s="423">
        <v>10.32603900941627</v>
      </c>
      <c r="F4237" s="423">
        <v>0.40269950285572059</v>
      </c>
      <c r="G4237" s="422">
        <v>23496.220061833581</v>
      </c>
      <c r="H4237" s="417" t="s">
        <v>2616</v>
      </c>
      <c r="I4237" s="417" t="s">
        <v>1392</v>
      </c>
      <c r="J4237" s="417" t="s">
        <v>3699</v>
      </c>
      <c r="K4237" s="417" t="s">
        <v>10929</v>
      </c>
      <c r="L4237" s="417"/>
      <c r="M4237" s="417" t="s">
        <v>28840</v>
      </c>
    </row>
    <row r="4238" spans="1:13" x14ac:dyDescent="0.25">
      <c r="A4238" s="417" t="s">
        <v>3385</v>
      </c>
      <c r="B4238" s="417" t="s">
        <v>3655</v>
      </c>
      <c r="C4238" s="417" t="s">
        <v>10930</v>
      </c>
      <c r="D4238" s="417" t="s">
        <v>88</v>
      </c>
      <c r="E4238" s="423">
        <v>0.3606298340796692</v>
      </c>
      <c r="F4238" s="423">
        <v>3.8470889256253027E-2</v>
      </c>
      <c r="G4238" s="422">
        <v>629.59589040599701</v>
      </c>
      <c r="H4238" s="417" t="s">
        <v>2616</v>
      </c>
      <c r="I4238" s="417" t="s">
        <v>1392</v>
      </c>
      <c r="J4238" s="417" t="s">
        <v>4473</v>
      </c>
      <c r="K4238" s="417" t="s">
        <v>10931</v>
      </c>
      <c r="L4238" s="417"/>
      <c r="M4238" s="417" t="s">
        <v>28840</v>
      </c>
    </row>
    <row r="4239" spans="1:13" x14ac:dyDescent="0.25">
      <c r="A4239" s="417" t="s">
        <v>3385</v>
      </c>
      <c r="B4239" s="417" t="s">
        <v>3655</v>
      </c>
      <c r="C4239" s="417" t="s">
        <v>10932</v>
      </c>
      <c r="D4239" s="417" t="s">
        <v>88</v>
      </c>
      <c r="E4239" s="423">
        <v>0.25416809184397487</v>
      </c>
      <c r="F4239" s="423">
        <v>2.1699823250282409E-2</v>
      </c>
      <c r="G4239" s="422">
        <v>460.02410102355719</v>
      </c>
      <c r="H4239" s="417" t="s">
        <v>2616</v>
      </c>
      <c r="I4239" s="417" t="s">
        <v>1392</v>
      </c>
      <c r="J4239" s="417" t="s">
        <v>4473</v>
      </c>
      <c r="K4239" s="417" t="s">
        <v>10933</v>
      </c>
      <c r="L4239" s="417"/>
      <c r="M4239" s="417" t="s">
        <v>28840</v>
      </c>
    </row>
    <row r="4240" spans="1:13" x14ac:dyDescent="0.25">
      <c r="A4240" s="417" t="s">
        <v>3385</v>
      </c>
      <c r="B4240" s="417" t="s">
        <v>2627</v>
      </c>
      <c r="C4240" s="417" t="s">
        <v>10934</v>
      </c>
      <c r="D4240" s="417" t="s">
        <v>563</v>
      </c>
      <c r="E4240" s="423">
        <v>19.051842405843392</v>
      </c>
      <c r="F4240" s="423">
        <v>0.42507803560065138</v>
      </c>
      <c r="G4240" s="422">
        <v>38617.47766490819</v>
      </c>
      <c r="H4240" s="417" t="s">
        <v>2616</v>
      </c>
      <c r="I4240" s="417" t="s">
        <v>1392</v>
      </c>
      <c r="J4240" s="417" t="s">
        <v>3433</v>
      </c>
      <c r="K4240" s="417" t="s">
        <v>10935</v>
      </c>
      <c r="L4240" s="417"/>
      <c r="M4240" s="417" t="s">
        <v>28840</v>
      </c>
    </row>
    <row r="4241" spans="1:13" x14ac:dyDescent="0.25">
      <c r="A4241" s="417" t="s">
        <v>3385</v>
      </c>
      <c r="B4241" s="417" t="s">
        <v>2627</v>
      </c>
      <c r="C4241" s="417" t="s">
        <v>10936</v>
      </c>
      <c r="D4241" s="417" t="s">
        <v>563</v>
      </c>
      <c r="E4241" s="423">
        <v>19.885948028924989</v>
      </c>
      <c r="F4241" s="423">
        <v>0.55085030245837685</v>
      </c>
      <c r="G4241" s="422">
        <v>40102.231781822593</v>
      </c>
      <c r="H4241" s="417" t="s">
        <v>2616</v>
      </c>
      <c r="I4241" s="417" t="s">
        <v>1392</v>
      </c>
      <c r="J4241" s="417" t="s">
        <v>3433</v>
      </c>
      <c r="K4241" s="417" t="s">
        <v>10937</v>
      </c>
      <c r="L4241" s="417"/>
      <c r="M4241" s="417" t="s">
        <v>28840</v>
      </c>
    </row>
    <row r="4242" spans="1:13" x14ac:dyDescent="0.25">
      <c r="A4242" s="417" t="s">
        <v>3385</v>
      </c>
      <c r="B4242" s="417" t="s">
        <v>2627</v>
      </c>
      <c r="C4242" s="417" t="s">
        <v>10938</v>
      </c>
      <c r="D4242" s="417" t="s">
        <v>563</v>
      </c>
      <c r="E4242" s="423">
        <v>48.466509320393627</v>
      </c>
      <c r="F4242" s="423">
        <v>1.480403989234377</v>
      </c>
      <c r="G4242" s="422">
        <v>100493.5745473953</v>
      </c>
      <c r="H4242" s="417" t="s">
        <v>2616</v>
      </c>
      <c r="I4242" s="417" t="s">
        <v>1392</v>
      </c>
      <c r="J4242" s="417" t="s">
        <v>3433</v>
      </c>
      <c r="K4242" s="417" t="s">
        <v>10939</v>
      </c>
      <c r="L4242" s="417"/>
      <c r="M4242" s="417" t="s">
        <v>28840</v>
      </c>
    </row>
    <row r="4243" spans="1:13" x14ac:dyDescent="0.25">
      <c r="A4243" s="417" t="s">
        <v>3385</v>
      </c>
      <c r="B4243" s="417" t="s">
        <v>2627</v>
      </c>
      <c r="C4243" s="417" t="s">
        <v>10940</v>
      </c>
      <c r="D4243" s="417" t="s">
        <v>563</v>
      </c>
      <c r="E4243" s="423">
        <v>51.619326636707392</v>
      </c>
      <c r="F4243" s="423">
        <v>1.571706865639789</v>
      </c>
      <c r="G4243" s="422">
        <v>106771.0831705318</v>
      </c>
      <c r="H4243" s="417" t="s">
        <v>2616</v>
      </c>
      <c r="I4243" s="417" t="s">
        <v>1392</v>
      </c>
      <c r="J4243" s="417" t="s">
        <v>3433</v>
      </c>
      <c r="K4243" s="417" t="s">
        <v>10941</v>
      </c>
      <c r="L4243" s="417"/>
      <c r="M4243" s="417" t="s">
        <v>28840</v>
      </c>
    </row>
    <row r="4244" spans="1:13" x14ac:dyDescent="0.25">
      <c r="A4244" s="417" t="s">
        <v>3385</v>
      </c>
      <c r="B4244" s="417" t="s">
        <v>2627</v>
      </c>
      <c r="C4244" s="417" t="s">
        <v>10942</v>
      </c>
      <c r="D4244" s="417" t="s">
        <v>563</v>
      </c>
      <c r="E4244" s="423">
        <v>43.737703104924293</v>
      </c>
      <c r="F4244" s="423">
        <v>1.343493098582389</v>
      </c>
      <c r="G4244" s="422">
        <v>91078.079088074563</v>
      </c>
      <c r="H4244" s="417" t="s">
        <v>2616</v>
      </c>
      <c r="I4244" s="417" t="s">
        <v>1392</v>
      </c>
      <c r="J4244" s="417" t="s">
        <v>3433</v>
      </c>
      <c r="K4244" s="417" t="s">
        <v>10943</v>
      </c>
      <c r="L4244" s="417"/>
      <c r="M4244" s="417" t="s">
        <v>28840</v>
      </c>
    </row>
    <row r="4245" spans="1:13" x14ac:dyDescent="0.25">
      <c r="A4245" s="417" t="s">
        <v>3385</v>
      </c>
      <c r="B4245" s="417" t="s">
        <v>2627</v>
      </c>
      <c r="C4245" s="417" t="s">
        <v>10944</v>
      </c>
      <c r="D4245" s="417" t="s">
        <v>563</v>
      </c>
      <c r="E4245" s="423">
        <v>2.484123790605278</v>
      </c>
      <c r="F4245" s="423">
        <v>0.13350390006487631</v>
      </c>
      <c r="G4245" s="422">
        <v>5579.3519346004241</v>
      </c>
      <c r="H4245" s="417" t="s">
        <v>2616</v>
      </c>
      <c r="I4245" s="417" t="s">
        <v>1392</v>
      </c>
      <c r="J4245" s="417" t="s">
        <v>3433</v>
      </c>
      <c r="K4245" s="417" t="s">
        <v>10945</v>
      </c>
      <c r="L4245" s="417"/>
      <c r="M4245" s="417" t="s">
        <v>28840</v>
      </c>
    </row>
    <row r="4246" spans="1:13" x14ac:dyDescent="0.25">
      <c r="A4246" s="417" t="s">
        <v>3385</v>
      </c>
      <c r="B4246" s="417" t="s">
        <v>2627</v>
      </c>
      <c r="C4246" s="417" t="s">
        <v>10946</v>
      </c>
      <c r="D4246" s="417" t="s">
        <v>563</v>
      </c>
      <c r="E4246" s="423">
        <v>29.126605538063881</v>
      </c>
      <c r="F4246" s="423">
        <v>1.0213146272261391</v>
      </c>
      <c r="G4246" s="422">
        <v>61616.946497193872</v>
      </c>
      <c r="H4246" s="417" t="s">
        <v>2616</v>
      </c>
      <c r="I4246" s="417" t="s">
        <v>1392</v>
      </c>
      <c r="J4246" s="417" t="s">
        <v>3433</v>
      </c>
      <c r="K4246" s="417" t="s">
        <v>10947</v>
      </c>
      <c r="L4246" s="417"/>
      <c r="M4246" s="417" t="s">
        <v>28840</v>
      </c>
    </row>
    <row r="4247" spans="1:13" x14ac:dyDescent="0.25">
      <c r="A4247" s="417" t="s">
        <v>3385</v>
      </c>
      <c r="B4247" s="417" t="s">
        <v>2627</v>
      </c>
      <c r="C4247" s="417" t="s">
        <v>10948</v>
      </c>
      <c r="D4247" s="417" t="s">
        <v>563</v>
      </c>
      <c r="E4247" s="423">
        <v>36.465853406841667</v>
      </c>
      <c r="F4247" s="423">
        <v>1.252664425299054</v>
      </c>
      <c r="G4247" s="422">
        <v>77793.492297761622</v>
      </c>
      <c r="H4247" s="417" t="s">
        <v>2616</v>
      </c>
      <c r="I4247" s="417" t="s">
        <v>1392</v>
      </c>
      <c r="J4247" s="417" t="s">
        <v>3433</v>
      </c>
      <c r="K4247" s="417" t="s">
        <v>10949</v>
      </c>
      <c r="L4247" s="417"/>
      <c r="M4247" s="417" t="s">
        <v>28840</v>
      </c>
    </row>
    <row r="4248" spans="1:13" x14ac:dyDescent="0.25">
      <c r="A4248" s="417" t="s">
        <v>3385</v>
      </c>
      <c r="B4248" s="417" t="s">
        <v>2627</v>
      </c>
      <c r="C4248" s="417" t="s">
        <v>10950</v>
      </c>
      <c r="D4248" s="417" t="s">
        <v>563</v>
      </c>
      <c r="E4248" s="423">
        <v>72.949868586994043</v>
      </c>
      <c r="F4248" s="423">
        <v>2.4440995796027072</v>
      </c>
      <c r="G4248" s="422">
        <v>155182.31961710131</v>
      </c>
      <c r="H4248" s="417" t="s">
        <v>2616</v>
      </c>
      <c r="I4248" s="417" t="s">
        <v>1392</v>
      </c>
      <c r="J4248" s="417" t="s">
        <v>3433</v>
      </c>
      <c r="K4248" s="417" t="s">
        <v>10951</v>
      </c>
      <c r="L4248" s="417"/>
      <c r="M4248" s="417" t="s">
        <v>28840</v>
      </c>
    </row>
    <row r="4249" spans="1:13" x14ac:dyDescent="0.25">
      <c r="A4249" s="417" t="s">
        <v>3385</v>
      </c>
      <c r="B4249" s="417" t="s">
        <v>2627</v>
      </c>
      <c r="C4249" s="417" t="s">
        <v>10952</v>
      </c>
      <c r="D4249" s="417" t="s">
        <v>563</v>
      </c>
      <c r="E4249" s="423">
        <v>25.44485086634052</v>
      </c>
      <c r="F4249" s="423">
        <v>0.89493689129038956</v>
      </c>
      <c r="G4249" s="422">
        <v>56091.53435837719</v>
      </c>
      <c r="H4249" s="417" t="s">
        <v>2616</v>
      </c>
      <c r="I4249" s="417" t="s">
        <v>1392</v>
      </c>
      <c r="J4249" s="417" t="s">
        <v>3433</v>
      </c>
      <c r="K4249" s="417" t="s">
        <v>10953</v>
      </c>
      <c r="L4249" s="417"/>
      <c r="M4249" s="417" t="s">
        <v>28840</v>
      </c>
    </row>
    <row r="4250" spans="1:13" x14ac:dyDescent="0.25">
      <c r="A4250" s="417" t="s">
        <v>3385</v>
      </c>
      <c r="B4250" s="417" t="s">
        <v>2627</v>
      </c>
      <c r="C4250" s="417" t="s">
        <v>10954</v>
      </c>
      <c r="D4250" s="417" t="s">
        <v>563</v>
      </c>
      <c r="E4250" s="423">
        <v>35.586535174076403</v>
      </c>
      <c r="F4250" s="423">
        <v>0.99504474245996399</v>
      </c>
      <c r="G4250" s="422">
        <v>78699.471464039758</v>
      </c>
      <c r="H4250" s="417" t="s">
        <v>2616</v>
      </c>
      <c r="I4250" s="417" t="s">
        <v>1392</v>
      </c>
      <c r="J4250" s="417" t="s">
        <v>3433</v>
      </c>
      <c r="K4250" s="417" t="s">
        <v>10955</v>
      </c>
      <c r="L4250" s="417"/>
      <c r="M4250" s="417" t="s">
        <v>28840</v>
      </c>
    </row>
    <row r="4251" spans="1:13" x14ac:dyDescent="0.25">
      <c r="A4251" s="417" t="s">
        <v>3385</v>
      </c>
      <c r="B4251" s="417" t="s">
        <v>2627</v>
      </c>
      <c r="C4251" s="417" t="s">
        <v>10956</v>
      </c>
      <c r="D4251" s="417" t="s">
        <v>563</v>
      </c>
      <c r="E4251" s="423">
        <v>12.160419912627759</v>
      </c>
      <c r="F4251" s="423">
        <v>3.863279030097754</v>
      </c>
      <c r="G4251" s="422">
        <v>29900.97482217666</v>
      </c>
      <c r="H4251" s="417" t="s">
        <v>2616</v>
      </c>
      <c r="I4251" s="417" t="s">
        <v>1392</v>
      </c>
      <c r="J4251" s="417" t="s">
        <v>3433</v>
      </c>
      <c r="K4251" s="417" t="s">
        <v>10957</v>
      </c>
      <c r="L4251" s="417"/>
      <c r="M4251" s="417" t="s">
        <v>28840</v>
      </c>
    </row>
    <row r="4252" spans="1:13" x14ac:dyDescent="0.25">
      <c r="A4252" s="417" t="s">
        <v>3385</v>
      </c>
      <c r="B4252" s="417" t="s">
        <v>2627</v>
      </c>
      <c r="C4252" s="417" t="s">
        <v>10958</v>
      </c>
      <c r="D4252" s="417" t="s">
        <v>989</v>
      </c>
      <c r="E4252" s="423">
        <v>18457535.497662149</v>
      </c>
      <c r="F4252" s="423">
        <v>680467.23523413006</v>
      </c>
      <c r="G4252" s="422">
        <v>39518698738.00946</v>
      </c>
      <c r="H4252" s="417" t="s">
        <v>2616</v>
      </c>
      <c r="I4252" s="417" t="s">
        <v>1392</v>
      </c>
      <c r="J4252" s="417" t="s">
        <v>3711</v>
      </c>
      <c r="K4252" s="417" t="s">
        <v>10959</v>
      </c>
      <c r="L4252" s="417"/>
      <c r="M4252" s="417" t="s">
        <v>28840</v>
      </c>
    </row>
    <row r="4253" spans="1:13" x14ac:dyDescent="0.25">
      <c r="A4253" s="417" t="s">
        <v>3385</v>
      </c>
      <c r="B4253" s="417" t="s">
        <v>2627</v>
      </c>
      <c r="C4253" s="417" t="s">
        <v>10960</v>
      </c>
      <c r="D4253" s="417" t="s">
        <v>989</v>
      </c>
      <c r="E4253" s="423">
        <v>8282351.1633688323</v>
      </c>
      <c r="F4253" s="423">
        <v>150458.83762743039</v>
      </c>
      <c r="G4253" s="422">
        <v>14583140287.563829</v>
      </c>
      <c r="H4253" s="417" t="s">
        <v>2616</v>
      </c>
      <c r="I4253" s="417" t="s">
        <v>1392</v>
      </c>
      <c r="J4253" s="417" t="s">
        <v>3711</v>
      </c>
      <c r="K4253" s="417" t="s">
        <v>10961</v>
      </c>
      <c r="L4253" s="417"/>
      <c r="M4253" s="417" t="s">
        <v>28840</v>
      </c>
    </row>
    <row r="4254" spans="1:13" x14ac:dyDescent="0.25">
      <c r="A4254" s="417" t="s">
        <v>3385</v>
      </c>
      <c r="B4254" s="417" t="s">
        <v>2627</v>
      </c>
      <c r="C4254" s="417" t="s">
        <v>10962</v>
      </c>
      <c r="D4254" s="417" t="s">
        <v>989</v>
      </c>
      <c r="E4254" s="423">
        <v>141739.78097211031</v>
      </c>
      <c r="F4254" s="423">
        <v>4195.7072972977403</v>
      </c>
      <c r="G4254" s="422">
        <v>421706237.9081282</v>
      </c>
      <c r="H4254" s="417" t="s">
        <v>2616</v>
      </c>
      <c r="I4254" s="417" t="s">
        <v>1392</v>
      </c>
      <c r="J4254" s="417" t="s">
        <v>10963</v>
      </c>
      <c r="K4254" s="417" t="s">
        <v>10964</v>
      </c>
      <c r="L4254" s="417"/>
      <c r="M4254" s="417" t="s">
        <v>28840</v>
      </c>
    </row>
    <row r="4255" spans="1:13" x14ac:dyDescent="0.25">
      <c r="A4255" s="417" t="s">
        <v>3385</v>
      </c>
      <c r="B4255" s="417" t="s">
        <v>2627</v>
      </c>
      <c r="C4255" s="417" t="s">
        <v>10965</v>
      </c>
      <c r="D4255" s="417" t="s">
        <v>989</v>
      </c>
      <c r="E4255" s="423">
        <v>899042.44949630753</v>
      </c>
      <c r="F4255" s="423">
        <v>66352.278435367771</v>
      </c>
      <c r="G4255" s="422">
        <v>1898917685.734252</v>
      </c>
      <c r="H4255" s="417" t="s">
        <v>2616</v>
      </c>
      <c r="I4255" s="417" t="s">
        <v>1392</v>
      </c>
      <c r="J4255" s="417" t="s">
        <v>3711</v>
      </c>
      <c r="K4255" s="417" t="s">
        <v>10966</v>
      </c>
      <c r="L4255" s="417"/>
      <c r="M4255" s="417" t="s">
        <v>28840</v>
      </c>
    </row>
    <row r="4256" spans="1:13" x14ac:dyDescent="0.25">
      <c r="A4256" s="417" t="s">
        <v>3385</v>
      </c>
      <c r="B4256" s="417" t="s">
        <v>2627</v>
      </c>
      <c r="C4256" s="417" t="s">
        <v>10967</v>
      </c>
      <c r="D4256" s="417" t="s">
        <v>88</v>
      </c>
      <c r="E4256" s="423">
        <v>5.2852984725386616</v>
      </c>
      <c r="F4256" s="423">
        <v>0.31504110002327579</v>
      </c>
      <c r="G4256" s="422">
        <v>13849.70010222553</v>
      </c>
      <c r="H4256" s="417" t="s">
        <v>2616</v>
      </c>
      <c r="I4256" s="417" t="s">
        <v>1392</v>
      </c>
      <c r="J4256" s="417" t="s">
        <v>10922</v>
      </c>
      <c r="K4256" s="417" t="s">
        <v>10968</v>
      </c>
      <c r="L4256" s="417"/>
      <c r="M4256" s="417" t="s">
        <v>28840</v>
      </c>
    </row>
    <row r="4257" spans="1:13" x14ac:dyDescent="0.25">
      <c r="A4257" s="417" t="s">
        <v>3385</v>
      </c>
      <c r="B4257" s="417" t="s">
        <v>2627</v>
      </c>
      <c r="C4257" s="417" t="s">
        <v>10969</v>
      </c>
      <c r="D4257" s="417" t="s">
        <v>989</v>
      </c>
      <c r="E4257" s="423">
        <v>613952.80339987448</v>
      </c>
      <c r="F4257" s="423">
        <v>24434.78491520249</v>
      </c>
      <c r="G4257" s="422">
        <v>1381594501.062669</v>
      </c>
      <c r="H4257" s="417" t="s">
        <v>2616</v>
      </c>
      <c r="I4257" s="417" t="s">
        <v>1392</v>
      </c>
      <c r="J4257" s="417" t="s">
        <v>4294</v>
      </c>
      <c r="K4257" s="417" t="s">
        <v>10970</v>
      </c>
      <c r="L4257" s="417"/>
      <c r="M4257" s="417" t="s">
        <v>28840</v>
      </c>
    </row>
    <row r="4258" spans="1:13" x14ac:dyDescent="0.25">
      <c r="A4258" s="417" t="s">
        <v>3385</v>
      </c>
      <c r="B4258" s="417" t="s">
        <v>2627</v>
      </c>
      <c r="C4258" s="417" t="s">
        <v>10971</v>
      </c>
      <c r="D4258" s="417" t="s">
        <v>88</v>
      </c>
      <c r="E4258" s="423">
        <v>9.2792775211481864</v>
      </c>
      <c r="F4258" s="423">
        <v>0.37665708560893779</v>
      </c>
      <c r="G4258" s="422">
        <v>28358.575479572031</v>
      </c>
      <c r="H4258" s="417" t="s">
        <v>2616</v>
      </c>
      <c r="I4258" s="417" t="s">
        <v>1392</v>
      </c>
      <c r="J4258" s="417" t="s">
        <v>3970</v>
      </c>
      <c r="K4258" s="417" t="s">
        <v>10972</v>
      </c>
      <c r="L4258" s="417"/>
      <c r="M4258" s="417" t="s">
        <v>28840</v>
      </c>
    </row>
    <row r="4259" spans="1:13" x14ac:dyDescent="0.25">
      <c r="A4259" s="417" t="s">
        <v>3385</v>
      </c>
      <c r="B4259" s="417" t="s">
        <v>2437</v>
      </c>
      <c r="C4259" s="417" t="s">
        <v>10973</v>
      </c>
      <c r="D4259" s="417" t="s">
        <v>88</v>
      </c>
      <c r="E4259" s="423">
        <v>4.027198732207142E-2</v>
      </c>
      <c r="F4259" s="423">
        <v>5.1699309039230272E-3</v>
      </c>
      <c r="G4259" s="422">
        <v>126.28480758126619</v>
      </c>
      <c r="H4259" s="417" t="s">
        <v>2616</v>
      </c>
      <c r="I4259" s="417" t="s">
        <v>1392</v>
      </c>
      <c r="J4259" s="417" t="s">
        <v>10772</v>
      </c>
      <c r="K4259" s="417" t="s">
        <v>10974</v>
      </c>
      <c r="L4259" s="417"/>
      <c r="M4259" s="417" t="s">
        <v>28840</v>
      </c>
    </row>
    <row r="4260" spans="1:13" x14ac:dyDescent="0.25">
      <c r="A4260" s="417" t="s">
        <v>3385</v>
      </c>
      <c r="B4260" s="417" t="s">
        <v>2627</v>
      </c>
      <c r="C4260" s="417" t="s">
        <v>10975</v>
      </c>
      <c r="D4260" s="417" t="s">
        <v>88</v>
      </c>
      <c r="E4260" s="423">
        <v>2.0226006059735888</v>
      </c>
      <c r="F4260" s="423">
        <v>1.7474825802690059</v>
      </c>
      <c r="G4260" s="422">
        <v>10272.207222308771</v>
      </c>
      <c r="H4260" s="417" t="s">
        <v>2616</v>
      </c>
      <c r="I4260" s="417" t="s">
        <v>1392</v>
      </c>
      <c r="J4260" s="417" t="s">
        <v>3396</v>
      </c>
      <c r="K4260" s="417" t="s">
        <v>10976</v>
      </c>
      <c r="L4260" s="417"/>
      <c r="M4260" s="417" t="s">
        <v>28840</v>
      </c>
    </row>
    <row r="4261" spans="1:13" x14ac:dyDescent="0.25">
      <c r="A4261" s="417" t="s">
        <v>3385</v>
      </c>
      <c r="B4261" s="417" t="s">
        <v>2627</v>
      </c>
      <c r="C4261" s="417" t="s">
        <v>10977</v>
      </c>
      <c r="D4261" s="417" t="s">
        <v>88</v>
      </c>
      <c r="E4261" s="423">
        <v>1.4109682685885669</v>
      </c>
      <c r="F4261" s="423">
        <v>0.25049890439157591</v>
      </c>
      <c r="G4261" s="422">
        <v>6628.3622121200569</v>
      </c>
      <c r="H4261" s="417" t="s">
        <v>2616</v>
      </c>
      <c r="I4261" s="417" t="s">
        <v>1392</v>
      </c>
      <c r="J4261" s="417" t="s">
        <v>3695</v>
      </c>
      <c r="K4261" s="417" t="s">
        <v>10978</v>
      </c>
      <c r="L4261" s="417"/>
      <c r="M4261" s="417" t="s">
        <v>28840</v>
      </c>
    </row>
    <row r="4262" spans="1:13" x14ac:dyDescent="0.25">
      <c r="A4262" s="417" t="s">
        <v>3385</v>
      </c>
      <c r="B4262" s="417" t="s">
        <v>2627</v>
      </c>
      <c r="C4262" s="417" t="s">
        <v>977</v>
      </c>
      <c r="D4262" s="417" t="s">
        <v>88</v>
      </c>
      <c r="E4262" s="423">
        <v>2.3762235665660731</v>
      </c>
      <c r="F4262" s="423">
        <v>1.207780379018675</v>
      </c>
      <c r="G4262" s="422">
        <v>6990.0789228493022</v>
      </c>
      <c r="H4262" s="417" t="s">
        <v>2616</v>
      </c>
      <c r="I4262" s="417" t="s">
        <v>28841</v>
      </c>
      <c r="J4262" s="417" t="s">
        <v>3695</v>
      </c>
      <c r="K4262" s="417" t="s">
        <v>10979</v>
      </c>
      <c r="L4262" s="417"/>
      <c r="M4262" s="417" t="s">
        <v>28840</v>
      </c>
    </row>
    <row r="4263" spans="1:13" x14ac:dyDescent="0.25">
      <c r="A4263" s="417" t="s">
        <v>3385</v>
      </c>
      <c r="B4263" s="417" t="s">
        <v>2627</v>
      </c>
      <c r="C4263" s="417" t="s">
        <v>10980</v>
      </c>
      <c r="D4263" s="417" t="s">
        <v>88</v>
      </c>
      <c r="E4263" s="423">
        <v>3.4055740208838841</v>
      </c>
      <c r="F4263" s="423">
        <v>3.4051479424653261</v>
      </c>
      <c r="G4263" s="422">
        <v>10608.603760323531</v>
      </c>
      <c r="H4263" s="417" t="s">
        <v>2616</v>
      </c>
      <c r="I4263" s="417" t="s">
        <v>1392</v>
      </c>
      <c r="J4263" s="417" t="s">
        <v>3695</v>
      </c>
      <c r="K4263" s="417" t="s">
        <v>10981</v>
      </c>
      <c r="L4263" s="417"/>
      <c r="M4263" s="417" t="s">
        <v>28840</v>
      </c>
    </row>
    <row r="4264" spans="1:13" x14ac:dyDescent="0.25">
      <c r="A4264" s="417" t="s">
        <v>3385</v>
      </c>
      <c r="B4264" s="417" t="s">
        <v>2627</v>
      </c>
      <c r="C4264" s="417" t="s">
        <v>10982</v>
      </c>
      <c r="D4264" s="417" t="s">
        <v>88</v>
      </c>
      <c r="E4264" s="423">
        <v>2.1906689967606972</v>
      </c>
      <c r="F4264" s="423">
        <v>1.108088938831705</v>
      </c>
      <c r="G4264" s="422">
        <v>6373.714855187266</v>
      </c>
      <c r="H4264" s="417" t="s">
        <v>2616</v>
      </c>
      <c r="I4264" s="417" t="s">
        <v>1392</v>
      </c>
      <c r="J4264" s="417" t="s">
        <v>3695</v>
      </c>
      <c r="K4264" s="417" t="s">
        <v>10983</v>
      </c>
      <c r="L4264" s="417"/>
      <c r="M4264" s="417" t="s">
        <v>28840</v>
      </c>
    </row>
    <row r="4265" spans="1:13" x14ac:dyDescent="0.25">
      <c r="A4265" s="417" t="s">
        <v>3385</v>
      </c>
      <c r="B4265" s="417" t="s">
        <v>2627</v>
      </c>
      <c r="C4265" s="417" t="s">
        <v>10984</v>
      </c>
      <c r="D4265" s="417" t="s">
        <v>88</v>
      </c>
      <c r="E4265" s="423">
        <v>2.4976829755515788</v>
      </c>
      <c r="F4265" s="423">
        <v>6.7385730615977302E-2</v>
      </c>
      <c r="G4265" s="422">
        <v>4349.6348398627133</v>
      </c>
      <c r="H4265" s="417" t="s">
        <v>2616</v>
      </c>
      <c r="I4265" s="417" t="s">
        <v>1392</v>
      </c>
      <c r="J4265" s="417" t="s">
        <v>3695</v>
      </c>
      <c r="K4265" s="417" t="s">
        <v>10985</v>
      </c>
      <c r="L4265" s="417"/>
      <c r="M4265" s="417" t="s">
        <v>28840</v>
      </c>
    </row>
    <row r="4266" spans="1:13" x14ac:dyDescent="0.25">
      <c r="A4266" s="417" t="s">
        <v>3385</v>
      </c>
      <c r="B4266" s="417" t="s">
        <v>2627</v>
      </c>
      <c r="C4266" s="417" t="s">
        <v>10986</v>
      </c>
      <c r="D4266" s="417" t="s">
        <v>88</v>
      </c>
      <c r="E4266" s="423">
        <v>1.364472650184261</v>
      </c>
      <c r="F4266" s="423">
        <v>0.30482697954285748</v>
      </c>
      <c r="G4266" s="422">
        <v>8218.9574184622288</v>
      </c>
      <c r="H4266" s="417" t="s">
        <v>2616</v>
      </c>
      <c r="I4266" s="417" t="s">
        <v>1392</v>
      </c>
      <c r="J4266" s="417" t="s">
        <v>3396</v>
      </c>
      <c r="K4266" s="417" t="s">
        <v>10987</v>
      </c>
      <c r="L4266" s="417"/>
      <c r="M4266" s="417" t="s">
        <v>28840</v>
      </c>
    </row>
    <row r="4267" spans="1:13" x14ac:dyDescent="0.25">
      <c r="A4267" s="417" t="s">
        <v>3385</v>
      </c>
      <c r="B4267" s="417" t="s">
        <v>2627</v>
      </c>
      <c r="C4267" s="417" t="s">
        <v>10988</v>
      </c>
      <c r="D4267" s="417" t="s">
        <v>88</v>
      </c>
      <c r="E4267" s="423">
        <v>4.2220740157394037</v>
      </c>
      <c r="F4267" s="423">
        <v>4.8421465193799236</v>
      </c>
      <c r="G4267" s="422">
        <v>13952.426278500991</v>
      </c>
      <c r="H4267" s="417" t="s">
        <v>2616</v>
      </c>
      <c r="I4267" s="417" t="s">
        <v>1392</v>
      </c>
      <c r="J4267" s="417" t="s">
        <v>3396</v>
      </c>
      <c r="K4267" s="417" t="s">
        <v>10989</v>
      </c>
      <c r="L4267" s="417"/>
      <c r="M4267" s="417" t="s">
        <v>28840</v>
      </c>
    </row>
    <row r="4268" spans="1:13" x14ac:dyDescent="0.25">
      <c r="A4268" s="417" t="s">
        <v>3385</v>
      </c>
      <c r="B4268" s="417" t="s">
        <v>2627</v>
      </c>
      <c r="C4268" s="417" t="s">
        <v>10990</v>
      </c>
      <c r="D4268" s="417" t="s">
        <v>88</v>
      </c>
      <c r="E4268" s="423">
        <v>2.436694336330393</v>
      </c>
      <c r="F4268" s="423">
        <v>1.506675168714938</v>
      </c>
      <c r="G4268" s="422">
        <v>7837.5931338766914</v>
      </c>
      <c r="H4268" s="417" t="s">
        <v>2616</v>
      </c>
      <c r="I4268" s="417" t="s">
        <v>1392</v>
      </c>
      <c r="J4268" s="417" t="s">
        <v>3396</v>
      </c>
      <c r="K4268" s="417" t="s">
        <v>10991</v>
      </c>
      <c r="L4268" s="417"/>
      <c r="M4268" s="417" t="s">
        <v>28840</v>
      </c>
    </row>
    <row r="4269" spans="1:13" x14ac:dyDescent="0.25">
      <c r="A4269" s="417" t="s">
        <v>3385</v>
      </c>
      <c r="B4269" s="417" t="s">
        <v>2627</v>
      </c>
      <c r="C4269" s="417" t="s">
        <v>10992</v>
      </c>
      <c r="D4269" s="417" t="s">
        <v>88</v>
      </c>
      <c r="E4269" s="423">
        <v>2.9213705245037009</v>
      </c>
      <c r="F4269" s="423">
        <v>6.0252234269778007E-2</v>
      </c>
      <c r="G4269" s="422">
        <v>4910.8298759711488</v>
      </c>
      <c r="H4269" s="417" t="s">
        <v>2616</v>
      </c>
      <c r="I4269" s="417" t="s">
        <v>1392</v>
      </c>
      <c r="J4269" s="417" t="s">
        <v>3396</v>
      </c>
      <c r="K4269" s="417" t="s">
        <v>10993</v>
      </c>
      <c r="L4269" s="417"/>
      <c r="M4269" s="417" t="s">
        <v>28840</v>
      </c>
    </row>
    <row r="4270" spans="1:13" x14ac:dyDescent="0.25">
      <c r="A4270" s="417" t="s">
        <v>3385</v>
      </c>
      <c r="B4270" s="417" t="s">
        <v>2627</v>
      </c>
      <c r="C4270" s="417" t="s">
        <v>1064</v>
      </c>
      <c r="D4270" s="417" t="s">
        <v>88</v>
      </c>
      <c r="E4270" s="423">
        <v>0.90304285340873436</v>
      </c>
      <c r="F4270" s="423">
        <v>1.017885586877275E-2</v>
      </c>
      <c r="G4270" s="422">
        <v>4517.6013084079104</v>
      </c>
      <c r="H4270" s="417" t="s">
        <v>2616</v>
      </c>
      <c r="I4270" s="417" t="s">
        <v>28841</v>
      </c>
      <c r="J4270" s="417" t="s">
        <v>4047</v>
      </c>
      <c r="K4270" s="417" t="s">
        <v>10994</v>
      </c>
      <c r="L4270" s="417"/>
      <c r="M4270" s="417" t="s">
        <v>28840</v>
      </c>
    </row>
    <row r="4271" spans="1:13" x14ac:dyDescent="0.25">
      <c r="A4271" s="417" t="s">
        <v>3385</v>
      </c>
      <c r="B4271" s="417" t="s">
        <v>2627</v>
      </c>
      <c r="C4271" s="417" t="s">
        <v>10995</v>
      </c>
      <c r="D4271" s="417" t="s">
        <v>88</v>
      </c>
      <c r="E4271" s="423">
        <v>3.4293644627977307E-2</v>
      </c>
      <c r="F4271" s="423">
        <v>1.98357E-4</v>
      </c>
      <c r="G4271" s="422">
        <v>86.689003244342729</v>
      </c>
      <c r="H4271" s="417" t="s">
        <v>2616</v>
      </c>
      <c r="I4271" s="417" t="s">
        <v>1392</v>
      </c>
      <c r="J4271" s="417" t="s">
        <v>3860</v>
      </c>
      <c r="K4271" s="417" t="s">
        <v>10996</v>
      </c>
      <c r="L4271" s="417"/>
      <c r="M4271" s="417" t="s">
        <v>28840</v>
      </c>
    </row>
    <row r="4272" spans="1:13" x14ac:dyDescent="0.25">
      <c r="A4272" s="417" t="s">
        <v>3385</v>
      </c>
      <c r="B4272" s="417" t="s">
        <v>2627</v>
      </c>
      <c r="C4272" s="417" t="s">
        <v>10997</v>
      </c>
      <c r="D4272" s="417" t="s">
        <v>88</v>
      </c>
      <c r="E4272" s="423">
        <v>1.218807564498142</v>
      </c>
      <c r="F4272" s="423">
        <v>5.6456520958090332E-2</v>
      </c>
      <c r="G4272" s="422">
        <v>3713.0027058418891</v>
      </c>
      <c r="H4272" s="417" t="s">
        <v>2616</v>
      </c>
      <c r="I4272" s="417" t="s">
        <v>1392</v>
      </c>
      <c r="J4272" s="417" t="s">
        <v>4544</v>
      </c>
      <c r="K4272" s="417" t="s">
        <v>10998</v>
      </c>
      <c r="L4272" s="417"/>
      <c r="M4272" s="417" t="s">
        <v>28840</v>
      </c>
    </row>
    <row r="4273" spans="1:13" x14ac:dyDescent="0.25">
      <c r="A4273" s="417" t="s">
        <v>3385</v>
      </c>
      <c r="B4273" s="417" t="s">
        <v>2627</v>
      </c>
      <c r="C4273" s="417" t="s">
        <v>10999</v>
      </c>
      <c r="D4273" s="417" t="s">
        <v>88</v>
      </c>
      <c r="E4273" s="423">
        <v>1.581160316023037</v>
      </c>
      <c r="F4273" s="423">
        <v>6.3766528070277245E-2</v>
      </c>
      <c r="G4273" s="422">
        <v>10261.673596816579</v>
      </c>
      <c r="H4273" s="417" t="s">
        <v>2616</v>
      </c>
      <c r="I4273" s="417" t="s">
        <v>1392</v>
      </c>
      <c r="J4273" s="417" t="s">
        <v>3703</v>
      </c>
      <c r="K4273" s="417" t="s">
        <v>11000</v>
      </c>
      <c r="L4273" s="417"/>
      <c r="M4273" s="417" t="s">
        <v>28840</v>
      </c>
    </row>
    <row r="4274" spans="1:13" x14ac:dyDescent="0.25">
      <c r="A4274" s="417" t="s">
        <v>3385</v>
      </c>
      <c r="B4274" s="417" t="s">
        <v>2627</v>
      </c>
      <c r="C4274" s="417" t="s">
        <v>1075</v>
      </c>
      <c r="D4274" s="417" t="s">
        <v>88</v>
      </c>
      <c r="E4274" s="423">
        <v>1.702172346688722</v>
      </c>
      <c r="F4274" s="423">
        <v>6.9355412134536013E-2</v>
      </c>
      <c r="G4274" s="422">
        <v>10616.05740827075</v>
      </c>
      <c r="H4274" s="417" t="s">
        <v>2616</v>
      </c>
      <c r="I4274" s="417" t="s">
        <v>28841</v>
      </c>
      <c r="J4274" s="417" t="s">
        <v>3703</v>
      </c>
      <c r="K4274" s="417" t="s">
        <v>11001</v>
      </c>
      <c r="L4274" s="417"/>
      <c r="M4274" s="417" t="s">
        <v>28840</v>
      </c>
    </row>
    <row r="4275" spans="1:13" x14ac:dyDescent="0.25">
      <c r="A4275" s="417" t="s">
        <v>3385</v>
      </c>
      <c r="B4275" s="417" t="s">
        <v>2627</v>
      </c>
      <c r="C4275" s="417" t="s">
        <v>1076</v>
      </c>
      <c r="D4275" s="417" t="s">
        <v>88</v>
      </c>
      <c r="E4275" s="423">
        <v>0.68008597565902773</v>
      </c>
      <c r="F4275" s="423">
        <v>5.3760142026657527E-2</v>
      </c>
      <c r="G4275" s="422">
        <v>4887.4688170224663</v>
      </c>
      <c r="H4275" s="417" t="s">
        <v>2616</v>
      </c>
      <c r="I4275" s="417" t="s">
        <v>28841</v>
      </c>
      <c r="J4275" s="417" t="s">
        <v>3703</v>
      </c>
      <c r="K4275" s="417" t="s">
        <v>11002</v>
      </c>
      <c r="L4275" s="417"/>
      <c r="M4275" s="417" t="s">
        <v>28840</v>
      </c>
    </row>
    <row r="4276" spans="1:13" x14ac:dyDescent="0.25">
      <c r="A4276" s="417" t="s">
        <v>3385</v>
      </c>
      <c r="B4276" s="417" t="s">
        <v>2627</v>
      </c>
      <c r="C4276" s="417" t="s">
        <v>1077</v>
      </c>
      <c r="D4276" s="417" t="s">
        <v>88</v>
      </c>
      <c r="E4276" s="423">
        <v>8.6304474451807618</v>
      </c>
      <c r="F4276" s="423">
        <v>0.22113122388490669</v>
      </c>
      <c r="G4276" s="422">
        <v>16800.243686138951</v>
      </c>
      <c r="H4276" s="417" t="s">
        <v>2616</v>
      </c>
      <c r="I4276" s="417" t="s">
        <v>28841</v>
      </c>
      <c r="J4276" s="417" t="s">
        <v>3703</v>
      </c>
      <c r="K4276" s="417" t="s">
        <v>11003</v>
      </c>
      <c r="L4276" s="417"/>
      <c r="M4276" s="417" t="s">
        <v>28840</v>
      </c>
    </row>
    <row r="4277" spans="1:13" x14ac:dyDescent="0.25">
      <c r="A4277" s="417" t="s">
        <v>3385</v>
      </c>
      <c r="B4277" s="417" t="s">
        <v>3655</v>
      </c>
      <c r="C4277" s="417" t="s">
        <v>11004</v>
      </c>
      <c r="D4277" s="417" t="s">
        <v>1052</v>
      </c>
      <c r="E4277" s="423">
        <v>27.068473376204231</v>
      </c>
      <c r="F4277" s="423">
        <v>0.94991629758856577</v>
      </c>
      <c r="G4277" s="422">
        <v>50593.690581362891</v>
      </c>
      <c r="H4277" s="417" t="s">
        <v>2616</v>
      </c>
      <c r="I4277" s="417" t="s">
        <v>1392</v>
      </c>
      <c r="J4277" s="417" t="s">
        <v>3918</v>
      </c>
      <c r="K4277" s="417" t="s">
        <v>11005</v>
      </c>
      <c r="L4277" s="417"/>
      <c r="M4277" s="417" t="s">
        <v>28840</v>
      </c>
    </row>
    <row r="4278" spans="1:13" x14ac:dyDescent="0.25">
      <c r="A4278" s="417" t="s">
        <v>3385</v>
      </c>
      <c r="B4278" s="417" t="s">
        <v>2437</v>
      </c>
      <c r="C4278" s="417" t="s">
        <v>11006</v>
      </c>
      <c r="D4278" s="417" t="s">
        <v>88</v>
      </c>
      <c r="E4278" s="423">
        <v>51.810783000220077</v>
      </c>
      <c r="F4278" s="423">
        <v>1.358911257112132</v>
      </c>
      <c r="G4278" s="422">
        <v>123972.98958940939</v>
      </c>
      <c r="H4278" s="417" t="s">
        <v>2616</v>
      </c>
      <c r="I4278" s="417" t="s">
        <v>1392</v>
      </c>
      <c r="J4278" s="417" t="s">
        <v>4531</v>
      </c>
      <c r="K4278" s="417" t="s">
        <v>11007</v>
      </c>
      <c r="L4278" s="417"/>
      <c r="M4278" s="417" t="s">
        <v>28840</v>
      </c>
    </row>
    <row r="4279" spans="1:13" x14ac:dyDescent="0.25">
      <c r="A4279" s="417" t="s">
        <v>3385</v>
      </c>
      <c r="B4279" s="417" t="s">
        <v>2437</v>
      </c>
      <c r="C4279" s="417" t="s">
        <v>11008</v>
      </c>
      <c r="D4279" s="417" t="s">
        <v>88</v>
      </c>
      <c r="E4279" s="423">
        <v>37.073519860917891</v>
      </c>
      <c r="F4279" s="423">
        <v>1.001846036049316</v>
      </c>
      <c r="G4279" s="422">
        <v>83600.686222012897</v>
      </c>
      <c r="H4279" s="417" t="s">
        <v>2616</v>
      </c>
      <c r="I4279" s="417" t="s">
        <v>1392</v>
      </c>
      <c r="J4279" s="417" t="s">
        <v>4531</v>
      </c>
      <c r="K4279" s="417" t="s">
        <v>11009</v>
      </c>
      <c r="L4279" s="417"/>
      <c r="M4279" s="417" t="s">
        <v>28840</v>
      </c>
    </row>
    <row r="4280" spans="1:13" x14ac:dyDescent="0.25">
      <c r="A4280" s="417" t="s">
        <v>3385</v>
      </c>
      <c r="B4280" s="417" t="s">
        <v>2437</v>
      </c>
      <c r="C4280" s="417" t="s">
        <v>11010</v>
      </c>
      <c r="D4280" s="417" t="s">
        <v>88</v>
      </c>
      <c r="E4280" s="423">
        <v>4.2416556207197047</v>
      </c>
      <c r="F4280" s="423">
        <v>2.9466303103835811E-2</v>
      </c>
      <c r="G4280" s="422">
        <v>6007.3345827627281</v>
      </c>
      <c r="H4280" s="417" t="s">
        <v>2616</v>
      </c>
      <c r="I4280" s="417" t="s">
        <v>1392</v>
      </c>
      <c r="J4280" s="417" t="s">
        <v>4531</v>
      </c>
      <c r="K4280" s="417" t="s">
        <v>11011</v>
      </c>
      <c r="L4280" s="417"/>
      <c r="M4280" s="417" t="s">
        <v>28840</v>
      </c>
    </row>
    <row r="4281" spans="1:13" x14ac:dyDescent="0.25">
      <c r="A4281" s="417" t="s">
        <v>3385</v>
      </c>
      <c r="B4281" s="417" t="s">
        <v>2437</v>
      </c>
      <c r="C4281" s="417" t="s">
        <v>11012</v>
      </c>
      <c r="D4281" s="417" t="s">
        <v>88</v>
      </c>
      <c r="E4281" s="423">
        <v>10.996349481072141</v>
      </c>
      <c r="F4281" s="423">
        <v>0.33920118534547389</v>
      </c>
      <c r="G4281" s="422">
        <v>18094.167851181381</v>
      </c>
      <c r="H4281" s="417" t="s">
        <v>2616</v>
      </c>
      <c r="I4281" s="417" t="s">
        <v>1392</v>
      </c>
      <c r="J4281" s="417" t="s">
        <v>4531</v>
      </c>
      <c r="K4281" s="417" t="s">
        <v>11013</v>
      </c>
      <c r="L4281" s="417"/>
      <c r="M4281" s="417" t="s">
        <v>28840</v>
      </c>
    </row>
    <row r="4282" spans="1:13" x14ac:dyDescent="0.25">
      <c r="A4282" s="417" t="s">
        <v>3385</v>
      </c>
      <c r="B4282" s="417" t="s">
        <v>2437</v>
      </c>
      <c r="C4282" s="417" t="s">
        <v>11014</v>
      </c>
      <c r="D4282" s="417" t="s">
        <v>88</v>
      </c>
      <c r="E4282" s="423">
        <v>50.496670559430207</v>
      </c>
      <c r="F4282" s="423">
        <v>1.324146015727538</v>
      </c>
      <c r="G4282" s="422">
        <v>120785.2419401817</v>
      </c>
      <c r="H4282" s="417" t="s">
        <v>2616</v>
      </c>
      <c r="I4282" s="417" t="s">
        <v>1392</v>
      </c>
      <c r="J4282" s="417" t="s">
        <v>4531</v>
      </c>
      <c r="K4282" s="417" t="s">
        <v>11015</v>
      </c>
      <c r="L4282" s="417"/>
      <c r="M4282" s="417" t="s">
        <v>28840</v>
      </c>
    </row>
    <row r="4283" spans="1:13" x14ac:dyDescent="0.25">
      <c r="A4283" s="417" t="s">
        <v>3385</v>
      </c>
      <c r="B4283" s="417" t="s">
        <v>2437</v>
      </c>
      <c r="C4283" s="417" t="s">
        <v>11016</v>
      </c>
      <c r="D4283" s="417" t="s">
        <v>88</v>
      </c>
      <c r="E4283" s="423">
        <v>51.518151421868957</v>
      </c>
      <c r="F4283" s="423">
        <v>1.3490781952829261</v>
      </c>
      <c r="G4283" s="422">
        <v>123206.2296812688</v>
      </c>
      <c r="H4283" s="417" t="s">
        <v>2616</v>
      </c>
      <c r="I4283" s="417" t="s">
        <v>1392</v>
      </c>
      <c r="J4283" s="417" t="s">
        <v>4531</v>
      </c>
      <c r="K4283" s="417" t="s">
        <v>11017</v>
      </c>
      <c r="L4283" s="417"/>
      <c r="M4283" s="417" t="s">
        <v>28840</v>
      </c>
    </row>
    <row r="4284" spans="1:13" x14ac:dyDescent="0.25">
      <c r="A4284" s="417" t="s">
        <v>3385</v>
      </c>
      <c r="B4284" s="417" t="s">
        <v>2437</v>
      </c>
      <c r="C4284" s="417" t="s">
        <v>11018</v>
      </c>
      <c r="D4284" s="417" t="s">
        <v>88</v>
      </c>
      <c r="E4284" s="423">
        <v>50.797938995310318</v>
      </c>
      <c r="F4284" s="423">
        <v>1.3325132804550579</v>
      </c>
      <c r="G4284" s="422">
        <v>121531.8742313033</v>
      </c>
      <c r="H4284" s="417" t="s">
        <v>2616</v>
      </c>
      <c r="I4284" s="417" t="s">
        <v>1392</v>
      </c>
      <c r="J4284" s="417" t="s">
        <v>4531</v>
      </c>
      <c r="K4284" s="417" t="s">
        <v>11019</v>
      </c>
      <c r="L4284" s="417"/>
      <c r="M4284" s="417" t="s">
        <v>28840</v>
      </c>
    </row>
    <row r="4285" spans="1:13" x14ac:dyDescent="0.25">
      <c r="A4285" s="417" t="s">
        <v>3385</v>
      </c>
      <c r="B4285" s="417" t="s">
        <v>2437</v>
      </c>
      <c r="C4285" s="417" t="s">
        <v>11020</v>
      </c>
      <c r="D4285" s="417" t="s">
        <v>88</v>
      </c>
      <c r="E4285" s="423">
        <v>11.113481739675629</v>
      </c>
      <c r="F4285" s="423">
        <v>0.34142854629257041</v>
      </c>
      <c r="G4285" s="422">
        <v>18286.770175443158</v>
      </c>
      <c r="H4285" s="417" t="s">
        <v>2616</v>
      </c>
      <c r="I4285" s="417" t="s">
        <v>1392</v>
      </c>
      <c r="J4285" s="417" t="s">
        <v>4531</v>
      </c>
      <c r="K4285" s="417" t="s">
        <v>11021</v>
      </c>
      <c r="L4285" s="417"/>
      <c r="M4285" s="417" t="s">
        <v>28840</v>
      </c>
    </row>
    <row r="4286" spans="1:13" x14ac:dyDescent="0.25">
      <c r="A4286" s="417" t="s">
        <v>3385</v>
      </c>
      <c r="B4286" s="417" t="s">
        <v>2437</v>
      </c>
      <c r="C4286" s="417" t="s">
        <v>11022</v>
      </c>
      <c r="D4286" s="417" t="s">
        <v>88</v>
      </c>
      <c r="E4286" s="423">
        <v>6.6685803123793566</v>
      </c>
      <c r="F4286" s="423">
        <v>0.20885901913896571</v>
      </c>
      <c r="G4286" s="422">
        <v>11018.994938219899</v>
      </c>
      <c r="H4286" s="417" t="s">
        <v>2616</v>
      </c>
      <c r="I4286" s="417" t="s">
        <v>1392</v>
      </c>
      <c r="J4286" s="417" t="s">
        <v>4531</v>
      </c>
      <c r="K4286" s="417" t="s">
        <v>11023</v>
      </c>
      <c r="L4286" s="417"/>
      <c r="M4286" s="417" t="s">
        <v>28840</v>
      </c>
    </row>
    <row r="4287" spans="1:13" x14ac:dyDescent="0.25">
      <c r="A4287" s="417" t="s">
        <v>3385</v>
      </c>
      <c r="B4287" s="417" t="s">
        <v>2437</v>
      </c>
      <c r="C4287" s="417" t="s">
        <v>11024</v>
      </c>
      <c r="D4287" s="417" t="s">
        <v>88</v>
      </c>
      <c r="E4287" s="423">
        <v>11.07207884646124</v>
      </c>
      <c r="F4287" s="423">
        <v>0.34097012673507021</v>
      </c>
      <c r="G4287" s="422">
        <v>18218.74917525105</v>
      </c>
      <c r="H4287" s="417" t="s">
        <v>2616</v>
      </c>
      <c r="I4287" s="417" t="s">
        <v>1392</v>
      </c>
      <c r="J4287" s="417" t="s">
        <v>4531</v>
      </c>
      <c r="K4287" s="417" t="s">
        <v>11025</v>
      </c>
      <c r="L4287" s="417"/>
      <c r="M4287" s="417" t="s">
        <v>28840</v>
      </c>
    </row>
    <row r="4288" spans="1:13" x14ac:dyDescent="0.25">
      <c r="A4288" s="417" t="s">
        <v>3385</v>
      </c>
      <c r="B4288" s="417" t="s">
        <v>2437</v>
      </c>
      <c r="C4288" s="417" t="s">
        <v>11026</v>
      </c>
      <c r="D4288" s="417" t="s">
        <v>88</v>
      </c>
      <c r="E4288" s="423">
        <v>50.009807270039687</v>
      </c>
      <c r="F4288" s="423">
        <v>1.309744866226757</v>
      </c>
      <c r="G4288" s="422">
        <v>119607.7120522156</v>
      </c>
      <c r="H4288" s="417" t="s">
        <v>2616</v>
      </c>
      <c r="I4288" s="417" t="s">
        <v>1392</v>
      </c>
      <c r="J4288" s="417" t="s">
        <v>4531</v>
      </c>
      <c r="K4288" s="417" t="s">
        <v>11027</v>
      </c>
      <c r="L4288" s="417"/>
      <c r="M4288" s="417" t="s">
        <v>28840</v>
      </c>
    </row>
    <row r="4289" spans="1:13" x14ac:dyDescent="0.25">
      <c r="A4289" s="417" t="s">
        <v>3385</v>
      </c>
      <c r="B4289" s="417" t="s">
        <v>2437</v>
      </c>
      <c r="C4289" s="417" t="s">
        <v>11028</v>
      </c>
      <c r="D4289" s="417" t="s">
        <v>88</v>
      </c>
      <c r="E4289" s="423">
        <v>12.4332982044176</v>
      </c>
      <c r="F4289" s="423">
        <v>0.38289250990983598</v>
      </c>
      <c r="G4289" s="422">
        <v>20518.394424951159</v>
      </c>
      <c r="H4289" s="417" t="s">
        <v>2616</v>
      </c>
      <c r="I4289" s="417" t="s">
        <v>1392</v>
      </c>
      <c r="J4289" s="417" t="s">
        <v>4531</v>
      </c>
      <c r="K4289" s="417" t="s">
        <v>11029</v>
      </c>
      <c r="L4289" s="417"/>
      <c r="M4289" s="417" t="s">
        <v>28840</v>
      </c>
    </row>
    <row r="4290" spans="1:13" x14ac:dyDescent="0.25">
      <c r="A4290" s="417" t="s">
        <v>3385</v>
      </c>
      <c r="B4290" s="417" t="s">
        <v>2437</v>
      </c>
      <c r="C4290" s="417" t="s">
        <v>11030</v>
      </c>
      <c r="D4290" s="417" t="s">
        <v>88</v>
      </c>
      <c r="E4290" s="423">
        <v>6.5361176767653211</v>
      </c>
      <c r="F4290" s="423">
        <v>4.5012623733432483E-2</v>
      </c>
      <c r="G4290" s="422">
        <v>9231.0032967563129</v>
      </c>
      <c r="H4290" s="417" t="s">
        <v>2616</v>
      </c>
      <c r="I4290" s="417" t="s">
        <v>1392</v>
      </c>
      <c r="J4290" s="417" t="s">
        <v>4531</v>
      </c>
      <c r="K4290" s="417" t="s">
        <v>11031</v>
      </c>
      <c r="L4290" s="417"/>
      <c r="M4290" s="417" t="s">
        <v>28840</v>
      </c>
    </row>
    <row r="4291" spans="1:13" x14ac:dyDescent="0.25">
      <c r="A4291" s="417" t="s">
        <v>3385</v>
      </c>
      <c r="B4291" s="417" t="s">
        <v>2437</v>
      </c>
      <c r="C4291" s="417" t="s">
        <v>11032</v>
      </c>
      <c r="D4291" s="417" t="s">
        <v>88</v>
      </c>
      <c r="E4291" s="423">
        <v>11.09749585171256</v>
      </c>
      <c r="F4291" s="423">
        <v>0.34250673312702068</v>
      </c>
      <c r="G4291" s="422">
        <v>18287.58272535924</v>
      </c>
      <c r="H4291" s="417" t="s">
        <v>2616</v>
      </c>
      <c r="I4291" s="417" t="s">
        <v>1392</v>
      </c>
      <c r="J4291" s="417" t="s">
        <v>4531</v>
      </c>
      <c r="K4291" s="417" t="s">
        <v>11033</v>
      </c>
      <c r="L4291" s="417"/>
      <c r="M4291" s="417" t="s">
        <v>28840</v>
      </c>
    </row>
    <row r="4292" spans="1:13" x14ac:dyDescent="0.25">
      <c r="A4292" s="417" t="s">
        <v>3385</v>
      </c>
      <c r="B4292" s="417" t="s">
        <v>2437</v>
      </c>
      <c r="C4292" s="417" t="s">
        <v>11034</v>
      </c>
      <c r="D4292" s="417" t="s">
        <v>88</v>
      </c>
      <c r="E4292" s="423">
        <v>46.734851589806681</v>
      </c>
      <c r="F4292" s="423">
        <v>1.2259678051894181</v>
      </c>
      <c r="G4292" s="422">
        <v>111811.3398030931</v>
      </c>
      <c r="H4292" s="417" t="s">
        <v>2616</v>
      </c>
      <c r="I4292" s="417" t="s">
        <v>1392</v>
      </c>
      <c r="J4292" s="417" t="s">
        <v>4531</v>
      </c>
      <c r="K4292" s="417" t="s">
        <v>11035</v>
      </c>
      <c r="L4292" s="417"/>
      <c r="M4292" s="417" t="s">
        <v>28840</v>
      </c>
    </row>
    <row r="4293" spans="1:13" x14ac:dyDescent="0.25">
      <c r="A4293" s="417" t="s">
        <v>3385</v>
      </c>
      <c r="B4293" s="417" t="s">
        <v>2437</v>
      </c>
      <c r="C4293" s="417" t="s">
        <v>11036</v>
      </c>
      <c r="D4293" s="417" t="s">
        <v>88</v>
      </c>
      <c r="E4293" s="423">
        <v>11.092612787831261</v>
      </c>
      <c r="F4293" s="423">
        <v>0.34218894273044309</v>
      </c>
      <c r="G4293" s="422">
        <v>18274.357518620371</v>
      </c>
      <c r="H4293" s="417" t="s">
        <v>2616</v>
      </c>
      <c r="I4293" s="417" t="s">
        <v>1392</v>
      </c>
      <c r="J4293" s="417" t="s">
        <v>4531</v>
      </c>
      <c r="K4293" s="417" t="s">
        <v>11037</v>
      </c>
      <c r="L4293" s="417"/>
      <c r="M4293" s="417" t="s">
        <v>28840</v>
      </c>
    </row>
    <row r="4294" spans="1:13" x14ac:dyDescent="0.25">
      <c r="A4294" s="417" t="s">
        <v>3385</v>
      </c>
      <c r="B4294" s="417" t="s">
        <v>2627</v>
      </c>
      <c r="C4294" s="417" t="s">
        <v>11038</v>
      </c>
      <c r="D4294" s="417" t="s">
        <v>88</v>
      </c>
      <c r="E4294" s="423">
        <v>0.61815474014135374</v>
      </c>
      <c r="F4294" s="423">
        <v>8.2389506286708755E-2</v>
      </c>
      <c r="G4294" s="422">
        <v>976.67928236779994</v>
      </c>
      <c r="H4294" s="417" t="s">
        <v>2616</v>
      </c>
      <c r="I4294" s="417" t="s">
        <v>1392</v>
      </c>
      <c r="J4294" s="417" t="s">
        <v>3616</v>
      </c>
      <c r="K4294" s="417" t="s">
        <v>11039</v>
      </c>
      <c r="L4294" s="417"/>
      <c r="M4294" s="417" t="s">
        <v>28840</v>
      </c>
    </row>
    <row r="4295" spans="1:13" x14ac:dyDescent="0.25">
      <c r="A4295" s="417" t="s">
        <v>3385</v>
      </c>
      <c r="B4295" s="417" t="s">
        <v>2627</v>
      </c>
      <c r="C4295" s="417" t="s">
        <v>11040</v>
      </c>
      <c r="D4295" s="417" t="s">
        <v>88</v>
      </c>
      <c r="E4295" s="423">
        <v>1.0034259363446489</v>
      </c>
      <c r="F4295" s="423">
        <v>8.8375852342645389E-2</v>
      </c>
      <c r="G4295" s="422">
        <v>1444.403701762031</v>
      </c>
      <c r="H4295" s="417" t="s">
        <v>2616</v>
      </c>
      <c r="I4295" s="417" t="s">
        <v>1392</v>
      </c>
      <c r="J4295" s="417" t="s">
        <v>3616</v>
      </c>
      <c r="K4295" s="417" t="s">
        <v>11041</v>
      </c>
      <c r="L4295" s="417"/>
      <c r="M4295" s="417" t="s">
        <v>28840</v>
      </c>
    </row>
    <row r="4296" spans="1:13" x14ac:dyDescent="0.25">
      <c r="A4296" s="417" t="s">
        <v>3385</v>
      </c>
      <c r="B4296" s="417" t="s">
        <v>2627</v>
      </c>
      <c r="C4296" s="417" t="s">
        <v>11042</v>
      </c>
      <c r="D4296" s="417" t="s">
        <v>88</v>
      </c>
      <c r="E4296" s="423">
        <v>1.0296039381219659</v>
      </c>
      <c r="F4296" s="423">
        <v>9.313599178230525E-2</v>
      </c>
      <c r="G4296" s="422">
        <v>1485.435947415448</v>
      </c>
      <c r="H4296" s="417" t="s">
        <v>2616</v>
      </c>
      <c r="I4296" s="417" t="s">
        <v>1392</v>
      </c>
      <c r="J4296" s="417" t="s">
        <v>3616</v>
      </c>
      <c r="K4296" s="417" t="s">
        <v>11043</v>
      </c>
      <c r="L4296" s="417"/>
      <c r="M4296" s="417" t="s">
        <v>28840</v>
      </c>
    </row>
    <row r="4297" spans="1:13" x14ac:dyDescent="0.25">
      <c r="A4297" s="417" t="s">
        <v>3385</v>
      </c>
      <c r="B4297" s="417" t="s">
        <v>2627</v>
      </c>
      <c r="C4297" s="417" t="s">
        <v>11044</v>
      </c>
      <c r="D4297" s="417" t="s">
        <v>88</v>
      </c>
      <c r="E4297" s="423">
        <v>0.94234393188852617</v>
      </c>
      <c r="F4297" s="423">
        <v>7.7268860595414157E-2</v>
      </c>
      <c r="G4297" s="422">
        <v>1348.661780260828</v>
      </c>
      <c r="H4297" s="417" t="s">
        <v>2616</v>
      </c>
      <c r="I4297" s="417" t="s">
        <v>1392</v>
      </c>
      <c r="J4297" s="417" t="s">
        <v>3616</v>
      </c>
      <c r="K4297" s="417" t="s">
        <v>11045</v>
      </c>
      <c r="L4297" s="417"/>
      <c r="M4297" s="417" t="s">
        <v>28840</v>
      </c>
    </row>
    <row r="4298" spans="1:13" x14ac:dyDescent="0.25">
      <c r="A4298" s="417" t="s">
        <v>3385</v>
      </c>
      <c r="B4298" s="417" t="s">
        <v>2627</v>
      </c>
      <c r="C4298" s="417" t="s">
        <v>11046</v>
      </c>
      <c r="D4298" s="417" t="s">
        <v>88</v>
      </c>
      <c r="E4298" s="423">
        <v>0.66867006084058012</v>
      </c>
      <c r="F4298" s="423">
        <v>8.2274615721264349E-2</v>
      </c>
      <c r="G4298" s="422">
        <v>1023.9590743516439</v>
      </c>
      <c r="H4298" s="417" t="s">
        <v>2616</v>
      </c>
      <c r="I4298" s="417" t="s">
        <v>1392</v>
      </c>
      <c r="J4298" s="417" t="s">
        <v>3616</v>
      </c>
      <c r="K4298" s="417" t="s">
        <v>11047</v>
      </c>
      <c r="L4298" s="417"/>
      <c r="M4298" s="417" t="s">
        <v>28840</v>
      </c>
    </row>
    <row r="4299" spans="1:13" x14ac:dyDescent="0.25">
      <c r="A4299" s="417" t="s">
        <v>3385</v>
      </c>
      <c r="B4299" s="417" t="s">
        <v>2627</v>
      </c>
      <c r="C4299" s="417" t="s">
        <v>11048</v>
      </c>
      <c r="D4299" s="417" t="s">
        <v>83</v>
      </c>
      <c r="E4299" s="423">
        <v>58.498091886218347</v>
      </c>
      <c r="F4299" s="423">
        <v>53.42876007042495</v>
      </c>
      <c r="G4299" s="422">
        <v>129657.31311206501</v>
      </c>
      <c r="H4299" s="417" t="s">
        <v>2616</v>
      </c>
      <c r="I4299" s="417" t="s">
        <v>1392</v>
      </c>
      <c r="J4299" s="417" t="s">
        <v>10862</v>
      </c>
      <c r="K4299" s="417" t="s">
        <v>11049</v>
      </c>
      <c r="L4299" s="417"/>
      <c r="M4299" s="417" t="s">
        <v>28840</v>
      </c>
    </row>
    <row r="4300" spans="1:13" x14ac:dyDescent="0.25">
      <c r="A4300" s="417" t="s">
        <v>3385</v>
      </c>
      <c r="B4300" s="417" t="s">
        <v>2627</v>
      </c>
      <c r="C4300" s="417" t="s">
        <v>11050</v>
      </c>
      <c r="D4300" s="417" t="s">
        <v>83</v>
      </c>
      <c r="E4300" s="423">
        <v>796.37212937660706</v>
      </c>
      <c r="F4300" s="423">
        <v>446.63615973662252</v>
      </c>
      <c r="G4300" s="422">
        <v>1377719.000882796</v>
      </c>
      <c r="H4300" s="417" t="s">
        <v>2616</v>
      </c>
      <c r="I4300" s="417" t="s">
        <v>1392</v>
      </c>
      <c r="J4300" s="417" t="s">
        <v>4016</v>
      </c>
      <c r="K4300" s="417" t="s">
        <v>11051</v>
      </c>
      <c r="L4300" s="417"/>
      <c r="M4300" s="417" t="s">
        <v>28840</v>
      </c>
    </row>
    <row r="4301" spans="1:13" x14ac:dyDescent="0.25">
      <c r="A4301" s="417" t="s">
        <v>3385</v>
      </c>
      <c r="B4301" s="417" t="s">
        <v>2627</v>
      </c>
      <c r="C4301" s="417" t="s">
        <v>1003</v>
      </c>
      <c r="D4301" s="417" t="s">
        <v>88</v>
      </c>
      <c r="E4301" s="423">
        <v>0.94952435816114056</v>
      </c>
      <c r="F4301" s="423">
        <v>0.48005562473913233</v>
      </c>
      <c r="G4301" s="422">
        <v>1660.7156658859481</v>
      </c>
      <c r="H4301" s="417" t="s">
        <v>2616</v>
      </c>
      <c r="I4301" s="417" t="s">
        <v>28841</v>
      </c>
      <c r="J4301" s="417" t="s">
        <v>11052</v>
      </c>
      <c r="K4301" s="417" t="s">
        <v>11053</v>
      </c>
      <c r="L4301" s="417"/>
      <c r="M4301" s="417" t="s">
        <v>28840</v>
      </c>
    </row>
    <row r="4302" spans="1:13" x14ac:dyDescent="0.25">
      <c r="A4302" s="417" t="s">
        <v>3385</v>
      </c>
      <c r="B4302" s="417" t="s">
        <v>2627</v>
      </c>
      <c r="C4302" s="417" t="s">
        <v>11054</v>
      </c>
      <c r="D4302" s="417" t="s">
        <v>88</v>
      </c>
      <c r="E4302" s="423">
        <v>0.94952435816114056</v>
      </c>
      <c r="F4302" s="423">
        <v>0.48005562473913233</v>
      </c>
      <c r="G4302" s="422">
        <v>1639.992865885948</v>
      </c>
      <c r="H4302" s="417" t="s">
        <v>2616</v>
      </c>
      <c r="I4302" s="417" t="s">
        <v>1392</v>
      </c>
      <c r="J4302" s="417" t="s">
        <v>11052</v>
      </c>
      <c r="K4302" s="417" t="s">
        <v>11055</v>
      </c>
      <c r="L4302" s="417"/>
      <c r="M4302" s="417" t="s">
        <v>28840</v>
      </c>
    </row>
    <row r="4303" spans="1:13" x14ac:dyDescent="0.25">
      <c r="A4303" s="417" t="s">
        <v>3385</v>
      </c>
      <c r="B4303" s="417" t="s">
        <v>2627</v>
      </c>
      <c r="C4303" s="417" t="s">
        <v>11056</v>
      </c>
      <c r="D4303" s="417" t="s">
        <v>88</v>
      </c>
      <c r="E4303" s="423">
        <v>0.59918764389307122</v>
      </c>
      <c r="F4303" s="423">
        <v>0.39548870120656349</v>
      </c>
      <c r="G4303" s="422">
        <v>1171.1754817587009</v>
      </c>
      <c r="H4303" s="417" t="s">
        <v>2616</v>
      </c>
      <c r="I4303" s="417" t="s">
        <v>1392</v>
      </c>
      <c r="J4303" s="417" t="s">
        <v>11052</v>
      </c>
      <c r="K4303" s="417" t="s">
        <v>11057</v>
      </c>
      <c r="L4303" s="417"/>
      <c r="M4303" s="417" t="s">
        <v>28840</v>
      </c>
    </row>
    <row r="4304" spans="1:13" x14ac:dyDescent="0.25">
      <c r="A4304" s="417" t="s">
        <v>3385</v>
      </c>
      <c r="B4304" s="417" t="s">
        <v>2627</v>
      </c>
      <c r="C4304" s="417" t="s">
        <v>11058</v>
      </c>
      <c r="D4304" s="417" t="s">
        <v>88</v>
      </c>
      <c r="E4304" s="423">
        <v>0.59918764389307122</v>
      </c>
      <c r="F4304" s="423">
        <v>0.39548870120656349</v>
      </c>
      <c r="G4304" s="422">
        <v>1150.841881758701</v>
      </c>
      <c r="H4304" s="417" t="s">
        <v>2616</v>
      </c>
      <c r="I4304" s="417" t="s">
        <v>1392</v>
      </c>
      <c r="J4304" s="417" t="s">
        <v>11052</v>
      </c>
      <c r="K4304" s="417" t="s">
        <v>11059</v>
      </c>
      <c r="L4304" s="417"/>
      <c r="M4304" s="417" t="s">
        <v>28840</v>
      </c>
    </row>
    <row r="4305" spans="1:13" x14ac:dyDescent="0.25">
      <c r="A4305" s="417" t="s">
        <v>3385</v>
      </c>
      <c r="B4305" s="417" t="s">
        <v>2627</v>
      </c>
      <c r="C4305" s="417" t="s">
        <v>11060</v>
      </c>
      <c r="D4305" s="417" t="s">
        <v>83</v>
      </c>
      <c r="E4305" s="423">
        <v>133.99215656967169</v>
      </c>
      <c r="F4305" s="423">
        <v>66.143429990867659</v>
      </c>
      <c r="G4305" s="422">
        <v>233400.15347076661</v>
      </c>
      <c r="H4305" s="417" t="s">
        <v>2616</v>
      </c>
      <c r="I4305" s="417" t="s">
        <v>1392</v>
      </c>
      <c r="J4305" s="417" t="s">
        <v>4016</v>
      </c>
      <c r="K4305" s="417" t="s">
        <v>11061</v>
      </c>
      <c r="L4305" s="417"/>
      <c r="M4305" s="417" t="s">
        <v>28840</v>
      </c>
    </row>
    <row r="4306" spans="1:13" x14ac:dyDescent="0.25">
      <c r="A4306" s="417" t="s">
        <v>3385</v>
      </c>
      <c r="B4306" s="417" t="s">
        <v>3655</v>
      </c>
      <c r="C4306" s="417" t="s">
        <v>11062</v>
      </c>
      <c r="D4306" s="417" t="s">
        <v>989</v>
      </c>
      <c r="E4306" s="423">
        <v>129935935.0113983</v>
      </c>
      <c r="F4306" s="423">
        <v>11529138.382504759</v>
      </c>
      <c r="G4306" s="422">
        <v>253603970641.16171</v>
      </c>
      <c r="H4306" s="417" t="s">
        <v>2616</v>
      </c>
      <c r="I4306" s="417" t="s">
        <v>1392</v>
      </c>
      <c r="J4306" s="417" t="s">
        <v>11063</v>
      </c>
      <c r="K4306" s="417" t="s">
        <v>11064</v>
      </c>
      <c r="L4306" s="417"/>
      <c r="M4306" s="417" t="s">
        <v>28840</v>
      </c>
    </row>
    <row r="4307" spans="1:13" x14ac:dyDescent="0.25">
      <c r="A4307" s="417" t="s">
        <v>3385</v>
      </c>
      <c r="B4307" s="417" t="s">
        <v>3655</v>
      </c>
      <c r="C4307" s="417" t="s">
        <v>11065</v>
      </c>
      <c r="D4307" s="417" t="s">
        <v>989</v>
      </c>
      <c r="E4307" s="423">
        <v>127335442.3285881</v>
      </c>
      <c r="F4307" s="423">
        <v>13581528.695853529</v>
      </c>
      <c r="G4307" s="422">
        <v>323953759187.35968</v>
      </c>
      <c r="H4307" s="417" t="s">
        <v>2616</v>
      </c>
      <c r="I4307" s="417" t="s">
        <v>1392</v>
      </c>
      <c r="J4307" s="417" t="s">
        <v>11063</v>
      </c>
      <c r="K4307" s="417" t="s">
        <v>11066</v>
      </c>
      <c r="L4307" s="417"/>
      <c r="M4307" s="417" t="s">
        <v>28840</v>
      </c>
    </row>
    <row r="4308" spans="1:13" x14ac:dyDescent="0.25">
      <c r="A4308" s="417" t="s">
        <v>3385</v>
      </c>
      <c r="B4308" s="417" t="s">
        <v>2627</v>
      </c>
      <c r="C4308" s="417" t="s">
        <v>11067</v>
      </c>
      <c r="D4308" s="417" t="s">
        <v>88</v>
      </c>
      <c r="E4308" s="423">
        <v>2.0238364093840548</v>
      </c>
      <c r="F4308" s="423">
        <v>2.7735755000000001E-2</v>
      </c>
      <c r="G4308" s="422">
        <v>3379.074797258384</v>
      </c>
      <c r="H4308" s="417" t="s">
        <v>2616</v>
      </c>
      <c r="I4308" s="417" t="s">
        <v>1392</v>
      </c>
      <c r="J4308" s="417" t="s">
        <v>6523</v>
      </c>
      <c r="K4308" s="417" t="s">
        <v>11068</v>
      </c>
      <c r="L4308" s="417"/>
      <c r="M4308" s="417" t="s">
        <v>28840</v>
      </c>
    </row>
    <row r="4309" spans="1:13" x14ac:dyDescent="0.25">
      <c r="A4309" s="417" t="s">
        <v>3385</v>
      </c>
      <c r="B4309" s="417" t="s">
        <v>2627</v>
      </c>
      <c r="C4309" s="417" t="s">
        <v>11069</v>
      </c>
      <c r="D4309" s="417" t="s">
        <v>88</v>
      </c>
      <c r="E4309" s="423">
        <v>0.6896164284653219</v>
      </c>
      <c r="F4309" s="423">
        <v>3.7805315030000002E-2</v>
      </c>
      <c r="G4309" s="422">
        <v>2646.9398822185781</v>
      </c>
      <c r="H4309" s="417" t="s">
        <v>2616</v>
      </c>
      <c r="I4309" s="417" t="s">
        <v>1392</v>
      </c>
      <c r="J4309" s="417" t="s">
        <v>6523</v>
      </c>
      <c r="K4309" s="417" t="s">
        <v>11070</v>
      </c>
      <c r="L4309" s="417"/>
      <c r="M4309" s="417" t="s">
        <v>28840</v>
      </c>
    </row>
    <row r="4310" spans="1:13" x14ac:dyDescent="0.25">
      <c r="A4310" s="417" t="s">
        <v>3385</v>
      </c>
      <c r="B4310" s="417" t="s">
        <v>2627</v>
      </c>
      <c r="C4310" s="417" t="s">
        <v>11071</v>
      </c>
      <c r="D4310" s="417" t="s">
        <v>88</v>
      </c>
      <c r="E4310" s="423">
        <v>0.59251726438206553</v>
      </c>
      <c r="F4310" s="423">
        <v>4.145200181E-2</v>
      </c>
      <c r="G4310" s="422">
        <v>1196.8064188451769</v>
      </c>
      <c r="H4310" s="417" t="s">
        <v>2616</v>
      </c>
      <c r="I4310" s="417" t="s">
        <v>1392</v>
      </c>
      <c r="J4310" s="417" t="s">
        <v>6523</v>
      </c>
      <c r="K4310" s="417" t="s">
        <v>11072</v>
      </c>
      <c r="L4310" s="417"/>
      <c r="M4310" s="417" t="s">
        <v>28840</v>
      </c>
    </row>
    <row r="4311" spans="1:13" x14ac:dyDescent="0.25">
      <c r="A4311" s="417" t="s">
        <v>3385</v>
      </c>
      <c r="B4311" s="417" t="s">
        <v>2627</v>
      </c>
      <c r="C4311" s="417" t="s">
        <v>11073</v>
      </c>
      <c r="D4311" s="417" t="s">
        <v>989</v>
      </c>
      <c r="E4311" s="423">
        <v>14.97318652147538</v>
      </c>
      <c r="F4311" s="423">
        <v>0.50307291657562603</v>
      </c>
      <c r="G4311" s="422">
        <v>47327.843849961122</v>
      </c>
      <c r="H4311" s="417" t="s">
        <v>2616</v>
      </c>
      <c r="I4311" s="417" t="s">
        <v>1392</v>
      </c>
      <c r="J4311" s="417" t="s">
        <v>7620</v>
      </c>
      <c r="K4311" s="417" t="s">
        <v>11074</v>
      </c>
      <c r="L4311" s="417"/>
      <c r="M4311" s="417" t="s">
        <v>28840</v>
      </c>
    </row>
    <row r="4312" spans="1:13" x14ac:dyDescent="0.25">
      <c r="A4312" s="417" t="s">
        <v>3385</v>
      </c>
      <c r="B4312" s="417" t="s">
        <v>2627</v>
      </c>
      <c r="C4312" s="417" t="s">
        <v>11075</v>
      </c>
      <c r="D4312" s="417" t="s">
        <v>989</v>
      </c>
      <c r="E4312" s="423">
        <v>18.87692483545052</v>
      </c>
      <c r="F4312" s="423">
        <v>0.63170194196401586</v>
      </c>
      <c r="G4312" s="422">
        <v>58603.397075975729</v>
      </c>
      <c r="H4312" s="417" t="s">
        <v>2616</v>
      </c>
      <c r="I4312" s="417" t="s">
        <v>1392</v>
      </c>
      <c r="J4312" s="417" t="s">
        <v>7620</v>
      </c>
      <c r="K4312" s="417" t="s">
        <v>11076</v>
      </c>
      <c r="L4312" s="417"/>
      <c r="M4312" s="417" t="s">
        <v>28840</v>
      </c>
    </row>
    <row r="4313" spans="1:13" x14ac:dyDescent="0.25">
      <c r="A4313" s="417" t="s">
        <v>3385</v>
      </c>
      <c r="B4313" s="417" t="s">
        <v>2627</v>
      </c>
      <c r="C4313" s="417" t="s">
        <v>11077</v>
      </c>
      <c r="D4313" s="417" t="s">
        <v>989</v>
      </c>
      <c r="E4313" s="423">
        <v>30978170.55631955</v>
      </c>
      <c r="F4313" s="423">
        <v>6507600.6945763836</v>
      </c>
      <c r="G4313" s="422">
        <v>91372546221.054031</v>
      </c>
      <c r="H4313" s="417" t="s">
        <v>2616</v>
      </c>
      <c r="I4313" s="417" t="s">
        <v>1392</v>
      </c>
      <c r="J4313" s="417" t="s">
        <v>11078</v>
      </c>
      <c r="K4313" s="417" t="s">
        <v>11079</v>
      </c>
      <c r="L4313" s="417"/>
      <c r="M4313" s="417" t="s">
        <v>28840</v>
      </c>
    </row>
    <row r="4314" spans="1:13" x14ac:dyDescent="0.25">
      <c r="A4314" s="417" t="s">
        <v>3385</v>
      </c>
      <c r="B4314" s="417" t="s">
        <v>2627</v>
      </c>
      <c r="C4314" s="417" t="s">
        <v>999</v>
      </c>
      <c r="D4314" s="417" t="s">
        <v>88</v>
      </c>
      <c r="E4314" s="423">
        <v>1.0822198715285869</v>
      </c>
      <c r="F4314" s="423">
        <v>3.4402082782123658E-2</v>
      </c>
      <c r="G4314" s="422">
        <v>1658.562305547304</v>
      </c>
      <c r="H4314" s="417" t="s">
        <v>2616</v>
      </c>
      <c r="I4314" s="417" t="s">
        <v>28841</v>
      </c>
      <c r="J4314" s="417" t="s">
        <v>11080</v>
      </c>
      <c r="K4314" s="417" t="s">
        <v>11081</v>
      </c>
      <c r="L4314" s="417"/>
      <c r="M4314" s="417" t="s">
        <v>28840</v>
      </c>
    </row>
    <row r="4315" spans="1:13" x14ac:dyDescent="0.25">
      <c r="A4315" s="417" t="s">
        <v>3385</v>
      </c>
      <c r="B4315" s="417" t="s">
        <v>2627</v>
      </c>
      <c r="C4315" s="417" t="s">
        <v>11082</v>
      </c>
      <c r="D4315" s="417" t="s">
        <v>88</v>
      </c>
      <c r="E4315" s="423">
        <v>0.99667679929388786</v>
      </c>
      <c r="F4315" s="423">
        <v>2.5325438950447181E-2</v>
      </c>
      <c r="G4315" s="422">
        <v>1480.847002216613</v>
      </c>
      <c r="H4315" s="417" t="s">
        <v>2616</v>
      </c>
      <c r="I4315" s="417" t="s">
        <v>1392</v>
      </c>
      <c r="J4315" s="417" t="s">
        <v>11080</v>
      </c>
      <c r="K4315" s="417" t="s">
        <v>11083</v>
      </c>
      <c r="L4315" s="417"/>
      <c r="M4315" s="417" t="s">
        <v>28840</v>
      </c>
    </row>
    <row r="4316" spans="1:13" x14ac:dyDescent="0.25">
      <c r="A4316" s="417" t="s">
        <v>3385</v>
      </c>
      <c r="B4316" s="417" t="s">
        <v>3405</v>
      </c>
      <c r="C4316" s="417" t="s">
        <v>11084</v>
      </c>
      <c r="D4316" s="417" t="s">
        <v>563</v>
      </c>
      <c r="E4316" s="423">
        <v>56.326774077766203</v>
      </c>
      <c r="F4316" s="423">
        <v>3.1421565390845112</v>
      </c>
      <c r="G4316" s="422">
        <v>146541.1660687674</v>
      </c>
      <c r="H4316" s="417" t="s">
        <v>2616</v>
      </c>
      <c r="I4316" s="417" t="s">
        <v>1392</v>
      </c>
      <c r="J4316" s="417" t="s">
        <v>3414</v>
      </c>
      <c r="K4316" s="417" t="s">
        <v>11085</v>
      </c>
      <c r="L4316" s="417"/>
      <c r="M4316" s="417" t="s">
        <v>28840</v>
      </c>
    </row>
    <row r="4317" spans="1:13" x14ac:dyDescent="0.25">
      <c r="A4317" s="417" t="s">
        <v>3385</v>
      </c>
      <c r="B4317" s="417" t="s">
        <v>3405</v>
      </c>
      <c r="C4317" s="417" t="s">
        <v>11086</v>
      </c>
      <c r="D4317" s="417" t="s">
        <v>563</v>
      </c>
      <c r="E4317" s="423">
        <v>67.408613492615487</v>
      </c>
      <c r="F4317" s="423">
        <v>3.488243603138387</v>
      </c>
      <c r="G4317" s="422">
        <v>164261.41528676791</v>
      </c>
      <c r="H4317" s="417" t="s">
        <v>2616</v>
      </c>
      <c r="I4317" s="417" t="s">
        <v>1392</v>
      </c>
      <c r="J4317" s="417" t="s">
        <v>10869</v>
      </c>
      <c r="K4317" s="417" t="s">
        <v>11087</v>
      </c>
      <c r="L4317" s="417"/>
      <c r="M4317" s="417" t="s">
        <v>28840</v>
      </c>
    </row>
    <row r="4318" spans="1:13" x14ac:dyDescent="0.25">
      <c r="A4318" s="417" t="s">
        <v>3385</v>
      </c>
      <c r="B4318" s="417" t="s">
        <v>3405</v>
      </c>
      <c r="C4318" s="417" t="s">
        <v>11088</v>
      </c>
      <c r="D4318" s="417" t="s">
        <v>563</v>
      </c>
      <c r="E4318" s="423">
        <v>59.131081258262277</v>
      </c>
      <c r="F4318" s="423">
        <v>3.6493585381822689</v>
      </c>
      <c r="G4318" s="422">
        <v>206627.40959413181</v>
      </c>
      <c r="H4318" s="417" t="s">
        <v>2616</v>
      </c>
      <c r="I4318" s="417" t="s">
        <v>1392</v>
      </c>
      <c r="J4318" s="417" t="s">
        <v>10869</v>
      </c>
      <c r="K4318" s="417" t="s">
        <v>11089</v>
      </c>
      <c r="L4318" s="417"/>
      <c r="M4318" s="417" t="s">
        <v>28840</v>
      </c>
    </row>
    <row r="4319" spans="1:13" x14ac:dyDescent="0.25">
      <c r="A4319" s="417" t="s">
        <v>3385</v>
      </c>
      <c r="B4319" s="417" t="s">
        <v>2627</v>
      </c>
      <c r="C4319" s="417" t="s">
        <v>11090</v>
      </c>
      <c r="D4319" s="417" t="s">
        <v>563</v>
      </c>
      <c r="E4319" s="423">
        <v>25.914963246843531</v>
      </c>
      <c r="F4319" s="423">
        <v>0.54610698284387982</v>
      </c>
      <c r="G4319" s="422">
        <v>44940.01150767853</v>
      </c>
      <c r="H4319" s="417" t="s">
        <v>2616</v>
      </c>
      <c r="I4319" s="417" t="s">
        <v>1392</v>
      </c>
      <c r="J4319" s="417" t="s">
        <v>3433</v>
      </c>
      <c r="K4319" s="417" t="s">
        <v>11091</v>
      </c>
      <c r="L4319" s="417"/>
      <c r="M4319" s="417" t="s">
        <v>28840</v>
      </c>
    </row>
    <row r="4320" spans="1:13" x14ac:dyDescent="0.25">
      <c r="A4320" s="417" t="s">
        <v>3385</v>
      </c>
      <c r="B4320" s="417" t="s">
        <v>2627</v>
      </c>
      <c r="C4320" s="417" t="s">
        <v>11092</v>
      </c>
      <c r="D4320" s="417" t="s">
        <v>88</v>
      </c>
      <c r="E4320" s="423">
        <v>0.76954812458311272</v>
      </c>
      <c r="F4320" s="423">
        <v>1.4845969949999999E-2</v>
      </c>
      <c r="G4320" s="422">
        <v>4799.6612404896086</v>
      </c>
      <c r="H4320" s="417" t="s">
        <v>2616</v>
      </c>
      <c r="I4320" s="417" t="s">
        <v>1392</v>
      </c>
      <c r="J4320" s="417" t="s">
        <v>6523</v>
      </c>
      <c r="K4320" s="417" t="s">
        <v>11093</v>
      </c>
      <c r="L4320" s="417"/>
      <c r="M4320" s="417" t="s">
        <v>28840</v>
      </c>
    </row>
    <row r="4321" spans="1:13" x14ac:dyDescent="0.25">
      <c r="A4321" s="417" t="s">
        <v>3385</v>
      </c>
      <c r="B4321" s="417" t="s">
        <v>2627</v>
      </c>
      <c r="C4321" s="417" t="s">
        <v>11094</v>
      </c>
      <c r="D4321" s="417" t="s">
        <v>88</v>
      </c>
      <c r="E4321" s="423">
        <v>0.13456974849578729</v>
      </c>
      <c r="F4321" s="423">
        <v>2.5971274369999998E-3</v>
      </c>
      <c r="G4321" s="422">
        <v>1384.7996922944999</v>
      </c>
      <c r="H4321" s="417" t="s">
        <v>2616</v>
      </c>
      <c r="I4321" s="417" t="s">
        <v>1392</v>
      </c>
      <c r="J4321" s="417" t="s">
        <v>6523</v>
      </c>
      <c r="K4321" s="417" t="s">
        <v>11095</v>
      </c>
      <c r="L4321" s="417"/>
      <c r="M4321" s="417" t="s">
        <v>28840</v>
      </c>
    </row>
    <row r="4322" spans="1:13" x14ac:dyDescent="0.25">
      <c r="A4322" s="417" t="s">
        <v>3385</v>
      </c>
      <c r="B4322" s="417" t="s">
        <v>2627</v>
      </c>
      <c r="C4322" s="417" t="s">
        <v>11096</v>
      </c>
      <c r="D4322" s="417" t="s">
        <v>88</v>
      </c>
      <c r="E4322" s="423">
        <v>0.74651655287336072</v>
      </c>
      <c r="F4322" s="423">
        <v>0.1201283429</v>
      </c>
      <c r="G4322" s="422">
        <v>2509.4995202191189</v>
      </c>
      <c r="H4322" s="417" t="s">
        <v>2616</v>
      </c>
      <c r="I4322" s="417" t="s">
        <v>1392</v>
      </c>
      <c r="J4322" s="417" t="s">
        <v>6523</v>
      </c>
      <c r="K4322" s="417" t="s">
        <v>11097</v>
      </c>
      <c r="L4322" s="417"/>
      <c r="M4322" s="417" t="s">
        <v>28840</v>
      </c>
    </row>
    <row r="4323" spans="1:13" x14ac:dyDescent="0.25">
      <c r="A4323" s="417" t="s">
        <v>3385</v>
      </c>
      <c r="B4323" s="417" t="s">
        <v>2627</v>
      </c>
      <c r="C4323" s="417" t="s">
        <v>11098</v>
      </c>
      <c r="D4323" s="417" t="s">
        <v>88</v>
      </c>
      <c r="E4323" s="423">
        <v>0.77501277157374038</v>
      </c>
      <c r="F4323" s="423">
        <v>0.12244423403</v>
      </c>
      <c r="G4323" s="422">
        <v>2573.6856827846582</v>
      </c>
      <c r="H4323" s="417" t="s">
        <v>2616</v>
      </c>
      <c r="I4323" s="417" t="s">
        <v>1392</v>
      </c>
      <c r="J4323" s="417" t="s">
        <v>6523</v>
      </c>
      <c r="K4323" s="417" t="s">
        <v>11099</v>
      </c>
      <c r="L4323" s="417"/>
      <c r="M4323" s="417" t="s">
        <v>28840</v>
      </c>
    </row>
    <row r="4324" spans="1:13" x14ac:dyDescent="0.25">
      <c r="A4324" s="417" t="s">
        <v>3385</v>
      </c>
      <c r="B4324" s="417" t="s">
        <v>2627</v>
      </c>
      <c r="C4324" s="417" t="s">
        <v>11100</v>
      </c>
      <c r="D4324" s="417" t="s">
        <v>88</v>
      </c>
      <c r="E4324" s="423">
        <v>1.1825836337156781</v>
      </c>
      <c r="F4324" s="423">
        <v>0.15008381265000001</v>
      </c>
      <c r="G4324" s="422">
        <v>3087.4529501163538</v>
      </c>
      <c r="H4324" s="417" t="s">
        <v>2616</v>
      </c>
      <c r="I4324" s="417" t="s">
        <v>1392</v>
      </c>
      <c r="J4324" s="417" t="s">
        <v>6523</v>
      </c>
      <c r="K4324" s="417" t="s">
        <v>11101</v>
      </c>
      <c r="L4324" s="417"/>
      <c r="M4324" s="417" t="s">
        <v>28840</v>
      </c>
    </row>
    <row r="4325" spans="1:13" x14ac:dyDescent="0.25">
      <c r="A4325" s="417" t="s">
        <v>3385</v>
      </c>
      <c r="B4325" s="417" t="s">
        <v>2627</v>
      </c>
      <c r="C4325" s="417" t="s">
        <v>11102</v>
      </c>
      <c r="D4325" s="417" t="s">
        <v>88</v>
      </c>
      <c r="E4325" s="423">
        <v>1.2154405278128499</v>
      </c>
      <c r="F4325" s="423">
        <v>0.15269926845000001</v>
      </c>
      <c r="G4325" s="422">
        <v>3157.418655844172</v>
      </c>
      <c r="H4325" s="417" t="s">
        <v>2616</v>
      </c>
      <c r="I4325" s="417" t="s">
        <v>1392</v>
      </c>
      <c r="J4325" s="417" t="s">
        <v>6523</v>
      </c>
      <c r="K4325" s="417" t="s">
        <v>11103</v>
      </c>
      <c r="L4325" s="417"/>
      <c r="M4325" s="417" t="s">
        <v>28840</v>
      </c>
    </row>
    <row r="4326" spans="1:13" x14ac:dyDescent="0.25">
      <c r="A4326" s="417" t="s">
        <v>3385</v>
      </c>
      <c r="B4326" s="417" t="s">
        <v>2627</v>
      </c>
      <c r="C4326" s="417" t="s">
        <v>11104</v>
      </c>
      <c r="D4326" s="417" t="s">
        <v>88</v>
      </c>
      <c r="E4326" s="423">
        <v>0.49585714727756719</v>
      </c>
      <c r="F4326" s="423">
        <v>1.114509998E-2</v>
      </c>
      <c r="G4326" s="422">
        <v>4756.4516236622003</v>
      </c>
      <c r="H4326" s="417" t="s">
        <v>2616</v>
      </c>
      <c r="I4326" s="417" t="s">
        <v>1392</v>
      </c>
      <c r="J4326" s="417" t="s">
        <v>6523</v>
      </c>
      <c r="K4326" s="417" t="s">
        <v>11105</v>
      </c>
      <c r="L4326" s="417"/>
      <c r="M4326" s="417" t="s">
        <v>28840</v>
      </c>
    </row>
    <row r="4327" spans="1:13" x14ac:dyDescent="0.25">
      <c r="A4327" s="417" t="s">
        <v>3385</v>
      </c>
      <c r="B4327" s="417" t="s">
        <v>2627</v>
      </c>
      <c r="C4327" s="417" t="s">
        <v>11106</v>
      </c>
      <c r="D4327" s="417" t="s">
        <v>88</v>
      </c>
      <c r="E4327" s="423">
        <v>0.120228821625276</v>
      </c>
      <c r="F4327" s="423">
        <v>2.702315065E-3</v>
      </c>
      <c r="G4327" s="422">
        <v>1153.2808772050901</v>
      </c>
      <c r="H4327" s="417" t="s">
        <v>2616</v>
      </c>
      <c r="I4327" s="417" t="s">
        <v>1392</v>
      </c>
      <c r="J4327" s="417" t="s">
        <v>6523</v>
      </c>
      <c r="K4327" s="417" t="s">
        <v>11107</v>
      </c>
      <c r="L4327" s="417"/>
      <c r="M4327" s="417" t="s">
        <v>28840</v>
      </c>
    </row>
    <row r="4328" spans="1:13" x14ac:dyDescent="0.25">
      <c r="A4328" s="417" t="s">
        <v>3385</v>
      </c>
      <c r="B4328" s="417" t="s">
        <v>2627</v>
      </c>
      <c r="C4328" s="417" t="s">
        <v>11108</v>
      </c>
      <c r="D4328" s="417" t="s">
        <v>88</v>
      </c>
      <c r="E4328" s="423">
        <v>1.419562869165312E-2</v>
      </c>
      <c r="F4328" s="423">
        <v>3.1906709160000002E-4</v>
      </c>
      <c r="G4328" s="422">
        <v>136.16990549457341</v>
      </c>
      <c r="H4328" s="417" t="s">
        <v>2616</v>
      </c>
      <c r="I4328" s="417" t="s">
        <v>1392</v>
      </c>
      <c r="J4328" s="417" t="s">
        <v>6523</v>
      </c>
      <c r="K4328" s="417" t="s">
        <v>11109</v>
      </c>
      <c r="L4328" s="417"/>
      <c r="M4328" s="417" t="s">
        <v>28840</v>
      </c>
    </row>
    <row r="4329" spans="1:13" x14ac:dyDescent="0.25">
      <c r="A4329" s="417" t="s">
        <v>3385</v>
      </c>
      <c r="B4329" s="417" t="s">
        <v>2627</v>
      </c>
      <c r="C4329" s="417" t="s">
        <v>11110</v>
      </c>
      <c r="D4329" s="417" t="s">
        <v>88</v>
      </c>
      <c r="E4329" s="423">
        <v>0.21290132231787101</v>
      </c>
      <c r="F4329" s="423">
        <v>4.7852621900000003E-3</v>
      </c>
      <c r="G4329" s="422">
        <v>2042.2309873591621</v>
      </c>
      <c r="H4329" s="417" t="s">
        <v>2616</v>
      </c>
      <c r="I4329" s="417" t="s">
        <v>1392</v>
      </c>
      <c r="J4329" s="417" t="s">
        <v>6523</v>
      </c>
      <c r="K4329" s="417" t="s">
        <v>11111</v>
      </c>
      <c r="L4329" s="417"/>
      <c r="M4329" s="417" t="s">
        <v>28840</v>
      </c>
    </row>
    <row r="4330" spans="1:13" x14ac:dyDescent="0.25">
      <c r="A4330" s="417" t="s">
        <v>3385</v>
      </c>
      <c r="B4330" s="417" t="s">
        <v>3655</v>
      </c>
      <c r="C4330" s="417" t="s">
        <v>11112</v>
      </c>
      <c r="D4330" s="417" t="s">
        <v>88</v>
      </c>
      <c r="E4330" s="423">
        <v>3.5780617016115581</v>
      </c>
      <c r="F4330" s="423">
        <v>0.28834562328670399</v>
      </c>
      <c r="G4330" s="422">
        <v>6366.2555291481276</v>
      </c>
      <c r="H4330" s="417" t="s">
        <v>2616</v>
      </c>
      <c r="I4330" s="417" t="s">
        <v>1392</v>
      </c>
      <c r="J4330" s="417" t="s">
        <v>4473</v>
      </c>
      <c r="K4330" s="417" t="s">
        <v>11113</v>
      </c>
      <c r="L4330" s="417"/>
      <c r="M4330" s="417" t="s">
        <v>28840</v>
      </c>
    </row>
    <row r="4331" spans="1:13" x14ac:dyDescent="0.25">
      <c r="A4331" s="417" t="s">
        <v>3385</v>
      </c>
      <c r="B4331" s="417" t="s">
        <v>2627</v>
      </c>
      <c r="C4331" s="417" t="s">
        <v>1019</v>
      </c>
      <c r="D4331" s="417" t="s">
        <v>88</v>
      </c>
      <c r="E4331" s="423">
        <v>3.1968041643773661</v>
      </c>
      <c r="F4331" s="423">
        <v>0.1112965900632544</v>
      </c>
      <c r="G4331" s="422">
        <v>5090.1579081451564</v>
      </c>
      <c r="H4331" s="417" t="s">
        <v>2616</v>
      </c>
      <c r="I4331" s="417" t="s">
        <v>28841</v>
      </c>
      <c r="J4331" s="417" t="s">
        <v>10852</v>
      </c>
      <c r="K4331" s="417" t="s">
        <v>11114</v>
      </c>
      <c r="L4331" s="417"/>
      <c r="M4331" s="417" t="s">
        <v>28840</v>
      </c>
    </row>
    <row r="4332" spans="1:13" x14ac:dyDescent="0.25">
      <c r="A4332" s="417" t="s">
        <v>3385</v>
      </c>
      <c r="B4332" s="417" t="s">
        <v>2627</v>
      </c>
      <c r="C4332" s="417" t="s">
        <v>11115</v>
      </c>
      <c r="D4332" s="417" t="s">
        <v>4315</v>
      </c>
      <c r="E4332" s="423">
        <v>0.8661757714793038</v>
      </c>
      <c r="F4332" s="423">
        <v>4.0880583635093892E-2</v>
      </c>
      <c r="G4332" s="422">
        <v>1600.912602433413</v>
      </c>
      <c r="H4332" s="417" t="s">
        <v>2616</v>
      </c>
      <c r="I4332" s="417" t="s">
        <v>1392</v>
      </c>
      <c r="J4332" s="417" t="s">
        <v>3667</v>
      </c>
      <c r="K4332" s="417" t="s">
        <v>11116</v>
      </c>
      <c r="L4332" s="417"/>
      <c r="M4332" s="417" t="s">
        <v>28840</v>
      </c>
    </row>
    <row r="4333" spans="1:13" x14ac:dyDescent="0.25">
      <c r="A4333" s="417" t="s">
        <v>3385</v>
      </c>
      <c r="B4333" s="417" t="s">
        <v>2627</v>
      </c>
      <c r="C4333" s="417" t="s">
        <v>11117</v>
      </c>
      <c r="D4333" s="417" t="s">
        <v>88</v>
      </c>
      <c r="E4333" s="423">
        <v>1.063061708240719</v>
      </c>
      <c r="F4333" s="423">
        <v>3.3422557368525049E-2</v>
      </c>
      <c r="G4333" s="422">
        <v>1663.8327565736549</v>
      </c>
      <c r="H4333" s="417" t="s">
        <v>2616</v>
      </c>
      <c r="I4333" s="417" t="s">
        <v>1392</v>
      </c>
      <c r="J4333" s="417" t="s">
        <v>4815</v>
      </c>
      <c r="K4333" s="417" t="s">
        <v>11118</v>
      </c>
      <c r="L4333" s="417"/>
      <c r="M4333" s="417" t="s">
        <v>28840</v>
      </c>
    </row>
    <row r="4334" spans="1:13" x14ac:dyDescent="0.25">
      <c r="A4334" s="417" t="s">
        <v>3385</v>
      </c>
      <c r="B4334" s="417" t="s">
        <v>2627</v>
      </c>
      <c r="C4334" s="417" t="s">
        <v>11119</v>
      </c>
      <c r="D4334" s="417" t="s">
        <v>88</v>
      </c>
      <c r="E4334" s="423">
        <v>1.2017757387369661</v>
      </c>
      <c r="F4334" s="423">
        <v>4.7531229163546421E-2</v>
      </c>
      <c r="G4334" s="422">
        <v>2008.2909048119579</v>
      </c>
      <c r="H4334" s="417" t="s">
        <v>2616</v>
      </c>
      <c r="I4334" s="417" t="s">
        <v>1392</v>
      </c>
      <c r="J4334" s="417" t="s">
        <v>11080</v>
      </c>
      <c r="K4334" s="417" t="s">
        <v>11120</v>
      </c>
      <c r="L4334" s="417"/>
      <c r="M4334" s="417" t="s">
        <v>28840</v>
      </c>
    </row>
    <row r="4335" spans="1:13" x14ac:dyDescent="0.25">
      <c r="A4335" s="417" t="s">
        <v>3385</v>
      </c>
      <c r="B4335" s="417" t="s">
        <v>2627</v>
      </c>
      <c r="C4335" s="417" t="s">
        <v>11121</v>
      </c>
      <c r="D4335" s="417" t="s">
        <v>88</v>
      </c>
      <c r="E4335" s="423">
        <v>1.1243310968204649</v>
      </c>
      <c r="F4335" s="423">
        <v>3.9954663532016488E-2</v>
      </c>
      <c r="G4335" s="422">
        <v>1861.9819171652659</v>
      </c>
      <c r="H4335" s="417" t="s">
        <v>2616</v>
      </c>
      <c r="I4335" s="417" t="s">
        <v>1392</v>
      </c>
      <c r="J4335" s="417" t="s">
        <v>11080</v>
      </c>
      <c r="K4335" s="417" t="s">
        <v>11122</v>
      </c>
      <c r="L4335" s="417"/>
      <c r="M4335" s="417" t="s">
        <v>28840</v>
      </c>
    </row>
    <row r="4336" spans="1:13" x14ac:dyDescent="0.25">
      <c r="A4336" s="417" t="s">
        <v>3385</v>
      </c>
      <c r="B4336" s="417" t="s">
        <v>2627</v>
      </c>
      <c r="C4336" s="417" t="s">
        <v>11123</v>
      </c>
      <c r="D4336" s="417" t="s">
        <v>4315</v>
      </c>
      <c r="E4336" s="423">
        <v>0.4624299994306903</v>
      </c>
      <c r="F4336" s="423">
        <v>1.8239675048735748E-2</v>
      </c>
      <c r="G4336" s="422">
        <v>883.62184495968881</v>
      </c>
      <c r="H4336" s="417" t="s">
        <v>2616</v>
      </c>
      <c r="I4336" s="417" t="s">
        <v>1392</v>
      </c>
      <c r="J4336" s="417" t="s">
        <v>4347</v>
      </c>
      <c r="K4336" s="417" t="s">
        <v>11124</v>
      </c>
      <c r="L4336" s="417"/>
      <c r="M4336" s="417" t="s">
        <v>28840</v>
      </c>
    </row>
    <row r="4337" spans="1:13" x14ac:dyDescent="0.25">
      <c r="A4337" s="417" t="s">
        <v>3385</v>
      </c>
      <c r="B4337" s="417" t="s">
        <v>2627</v>
      </c>
      <c r="C4337" s="417" t="s">
        <v>11125</v>
      </c>
      <c r="D4337" s="417" t="s">
        <v>563</v>
      </c>
      <c r="E4337" s="423">
        <v>10.98559364453528</v>
      </c>
      <c r="F4337" s="423">
        <v>0.1165884858793218</v>
      </c>
      <c r="G4337" s="422">
        <v>33356.83550749968</v>
      </c>
      <c r="H4337" s="417" t="s">
        <v>2616</v>
      </c>
      <c r="I4337" s="417" t="s">
        <v>1392</v>
      </c>
      <c r="J4337" s="417" t="s">
        <v>11126</v>
      </c>
      <c r="K4337" s="417" t="s">
        <v>11127</v>
      </c>
      <c r="L4337" s="417"/>
      <c r="M4337" s="417" t="s">
        <v>28840</v>
      </c>
    </row>
    <row r="4338" spans="1:13" x14ac:dyDescent="0.25">
      <c r="A4338" s="417" t="s">
        <v>3385</v>
      </c>
      <c r="B4338" s="417" t="s">
        <v>2627</v>
      </c>
      <c r="C4338" s="417" t="s">
        <v>11128</v>
      </c>
      <c r="D4338" s="417" t="s">
        <v>563</v>
      </c>
      <c r="E4338" s="423">
        <v>9.8457677740033382</v>
      </c>
      <c r="F4338" s="423">
        <v>0.19643833933911339</v>
      </c>
      <c r="G4338" s="422">
        <v>21130.69074748164</v>
      </c>
      <c r="H4338" s="417" t="s">
        <v>2616</v>
      </c>
      <c r="I4338" s="417" t="s">
        <v>1392</v>
      </c>
      <c r="J4338" s="417" t="s">
        <v>11126</v>
      </c>
      <c r="K4338" s="417" t="s">
        <v>11129</v>
      </c>
      <c r="L4338" s="417"/>
      <c r="M4338" s="417" t="s">
        <v>28840</v>
      </c>
    </row>
    <row r="4339" spans="1:13" x14ac:dyDescent="0.25">
      <c r="A4339" s="417" t="s">
        <v>3385</v>
      </c>
      <c r="B4339" s="417" t="s">
        <v>2627</v>
      </c>
      <c r="C4339" s="417" t="s">
        <v>11130</v>
      </c>
      <c r="D4339" s="417" t="s">
        <v>563</v>
      </c>
      <c r="E4339" s="423">
        <v>3.026091561902303</v>
      </c>
      <c r="F4339" s="423">
        <v>0.10654877446173459</v>
      </c>
      <c r="G4339" s="422">
        <v>13053.89188255483</v>
      </c>
      <c r="H4339" s="417" t="s">
        <v>2616</v>
      </c>
      <c r="I4339" s="417" t="s">
        <v>1392</v>
      </c>
      <c r="J4339" s="417" t="s">
        <v>11126</v>
      </c>
      <c r="K4339" s="417" t="s">
        <v>11131</v>
      </c>
      <c r="L4339" s="417"/>
      <c r="M4339" s="417" t="s">
        <v>28840</v>
      </c>
    </row>
    <row r="4340" spans="1:13" x14ac:dyDescent="0.25">
      <c r="A4340" s="417" t="s">
        <v>3385</v>
      </c>
      <c r="B4340" s="417" t="s">
        <v>2627</v>
      </c>
      <c r="C4340" s="417" t="s">
        <v>11132</v>
      </c>
      <c r="D4340" s="417" t="s">
        <v>563</v>
      </c>
      <c r="E4340" s="423">
        <v>1.6126508825413759</v>
      </c>
      <c r="F4340" s="423">
        <v>0.2335936451410256</v>
      </c>
      <c r="G4340" s="422">
        <v>3412.8175651029869</v>
      </c>
      <c r="H4340" s="417" t="s">
        <v>2616</v>
      </c>
      <c r="I4340" s="417" t="s">
        <v>1392</v>
      </c>
      <c r="J4340" s="417" t="s">
        <v>11126</v>
      </c>
      <c r="K4340" s="417" t="s">
        <v>11133</v>
      </c>
      <c r="L4340" s="417"/>
      <c r="M4340" s="417" t="s">
        <v>28840</v>
      </c>
    </row>
    <row r="4341" spans="1:13" x14ac:dyDescent="0.25">
      <c r="A4341" s="417" t="s">
        <v>3385</v>
      </c>
      <c r="B4341" s="417" t="s">
        <v>2627</v>
      </c>
      <c r="C4341" s="417" t="s">
        <v>11134</v>
      </c>
      <c r="D4341" s="417" t="s">
        <v>563</v>
      </c>
      <c r="E4341" s="423">
        <v>7.1127630392490211</v>
      </c>
      <c r="F4341" s="423">
        <v>3.4063183073106051</v>
      </c>
      <c r="G4341" s="422">
        <v>12906.100793616961</v>
      </c>
      <c r="H4341" s="417" t="s">
        <v>2616</v>
      </c>
      <c r="I4341" s="417" t="s">
        <v>1392</v>
      </c>
      <c r="J4341" s="417" t="s">
        <v>11126</v>
      </c>
      <c r="K4341" s="417" t="s">
        <v>11135</v>
      </c>
      <c r="L4341" s="417"/>
      <c r="M4341" s="417" t="s">
        <v>28840</v>
      </c>
    </row>
    <row r="4342" spans="1:13" x14ac:dyDescent="0.25">
      <c r="A4342" s="417" t="s">
        <v>3385</v>
      </c>
      <c r="B4342" s="417" t="s">
        <v>2627</v>
      </c>
      <c r="C4342" s="417" t="s">
        <v>11136</v>
      </c>
      <c r="D4342" s="417" t="s">
        <v>563</v>
      </c>
      <c r="E4342" s="423">
        <v>4.3479786709017381</v>
      </c>
      <c r="F4342" s="423">
        <v>0.33921582667265487</v>
      </c>
      <c r="G4342" s="422">
        <v>7689.5471875636858</v>
      </c>
      <c r="H4342" s="417" t="s">
        <v>2616</v>
      </c>
      <c r="I4342" s="417" t="s">
        <v>1392</v>
      </c>
      <c r="J4342" s="417" t="s">
        <v>11126</v>
      </c>
      <c r="K4342" s="417" t="s">
        <v>11137</v>
      </c>
      <c r="L4342" s="417"/>
      <c r="M4342" s="417" t="s">
        <v>28840</v>
      </c>
    </row>
    <row r="4343" spans="1:13" x14ac:dyDescent="0.25">
      <c r="A4343" s="417" t="s">
        <v>3385</v>
      </c>
      <c r="B4343" s="417" t="s">
        <v>2627</v>
      </c>
      <c r="C4343" s="417" t="s">
        <v>11138</v>
      </c>
      <c r="D4343" s="417" t="s">
        <v>563</v>
      </c>
      <c r="E4343" s="423">
        <v>14.450107968508719</v>
      </c>
      <c r="F4343" s="423">
        <v>0.30656098142035332</v>
      </c>
      <c r="G4343" s="422">
        <v>24881.88246160878</v>
      </c>
      <c r="H4343" s="417" t="s">
        <v>2616</v>
      </c>
      <c r="I4343" s="417" t="s">
        <v>1392</v>
      </c>
      <c r="J4343" s="417" t="s">
        <v>11126</v>
      </c>
      <c r="K4343" s="417" t="s">
        <v>11139</v>
      </c>
      <c r="L4343" s="417"/>
      <c r="M4343" s="417" t="s">
        <v>28840</v>
      </c>
    </row>
    <row r="4344" spans="1:13" x14ac:dyDescent="0.25">
      <c r="A4344" s="417" t="s">
        <v>3385</v>
      </c>
      <c r="B4344" s="417" t="s">
        <v>2627</v>
      </c>
      <c r="C4344" s="417" t="s">
        <v>11140</v>
      </c>
      <c r="D4344" s="417" t="s">
        <v>563</v>
      </c>
      <c r="E4344" s="423">
        <v>15.26484185351435</v>
      </c>
      <c r="F4344" s="423">
        <v>0.73780693957588284</v>
      </c>
      <c r="G4344" s="422">
        <v>23721.331982083211</v>
      </c>
      <c r="H4344" s="417" t="s">
        <v>2616</v>
      </c>
      <c r="I4344" s="417" t="s">
        <v>1392</v>
      </c>
      <c r="J4344" s="417" t="s">
        <v>11126</v>
      </c>
      <c r="K4344" s="417" t="s">
        <v>11141</v>
      </c>
      <c r="L4344" s="417"/>
      <c r="M4344" s="417" t="s">
        <v>28840</v>
      </c>
    </row>
    <row r="4345" spans="1:13" x14ac:dyDescent="0.25">
      <c r="A4345" s="417" t="s">
        <v>3385</v>
      </c>
      <c r="B4345" s="417" t="s">
        <v>2627</v>
      </c>
      <c r="C4345" s="417" t="s">
        <v>11142</v>
      </c>
      <c r="D4345" s="417" t="s">
        <v>563</v>
      </c>
      <c r="E4345" s="423">
        <v>15.00662645339003</v>
      </c>
      <c r="F4345" s="423">
        <v>0.75227650220731079</v>
      </c>
      <c r="G4345" s="422">
        <v>23642.235516848661</v>
      </c>
      <c r="H4345" s="417" t="s">
        <v>2616</v>
      </c>
      <c r="I4345" s="417" t="s">
        <v>1392</v>
      </c>
      <c r="J4345" s="417" t="s">
        <v>11126</v>
      </c>
      <c r="K4345" s="417" t="s">
        <v>11143</v>
      </c>
      <c r="L4345" s="417"/>
      <c r="M4345" s="417" t="s">
        <v>28840</v>
      </c>
    </row>
    <row r="4346" spans="1:13" x14ac:dyDescent="0.25">
      <c r="A4346" s="417" t="s">
        <v>3385</v>
      </c>
      <c r="B4346" s="417" t="s">
        <v>2627</v>
      </c>
      <c r="C4346" s="417" t="s">
        <v>11144</v>
      </c>
      <c r="D4346" s="417" t="s">
        <v>563</v>
      </c>
      <c r="E4346" s="423">
        <v>7.7248536428782826</v>
      </c>
      <c r="F4346" s="423">
        <v>4.4590880332601204</v>
      </c>
      <c r="G4346" s="422">
        <v>13531.65676044901</v>
      </c>
      <c r="H4346" s="417" t="s">
        <v>2616</v>
      </c>
      <c r="I4346" s="417" t="s">
        <v>1392</v>
      </c>
      <c r="J4346" s="417" t="s">
        <v>11126</v>
      </c>
      <c r="K4346" s="417" t="s">
        <v>11145</v>
      </c>
      <c r="L4346" s="417"/>
      <c r="M4346" s="417" t="s">
        <v>28840</v>
      </c>
    </row>
    <row r="4347" spans="1:13" x14ac:dyDescent="0.25">
      <c r="A4347" s="417" t="s">
        <v>3385</v>
      </c>
      <c r="B4347" s="417" t="s">
        <v>2627</v>
      </c>
      <c r="C4347" s="417" t="s">
        <v>11146</v>
      </c>
      <c r="D4347" s="417" t="s">
        <v>563</v>
      </c>
      <c r="E4347" s="423">
        <v>5.3585897655864168</v>
      </c>
      <c r="F4347" s="423">
        <v>0.94877880945505921</v>
      </c>
      <c r="G4347" s="422">
        <v>14616.32396874587</v>
      </c>
      <c r="H4347" s="417" t="s">
        <v>2616</v>
      </c>
      <c r="I4347" s="417" t="s">
        <v>1392</v>
      </c>
      <c r="J4347" s="417" t="s">
        <v>11126</v>
      </c>
      <c r="K4347" s="417" t="s">
        <v>11147</v>
      </c>
      <c r="L4347" s="417"/>
      <c r="M4347" s="417" t="s">
        <v>28840</v>
      </c>
    </row>
    <row r="4348" spans="1:13" x14ac:dyDescent="0.25">
      <c r="A4348" s="417" t="s">
        <v>3385</v>
      </c>
      <c r="B4348" s="417" t="s">
        <v>2627</v>
      </c>
      <c r="C4348" s="417" t="s">
        <v>11148</v>
      </c>
      <c r="D4348" s="417" t="s">
        <v>563</v>
      </c>
      <c r="E4348" s="423">
        <v>3.525117911909021</v>
      </c>
      <c r="F4348" s="423">
        <v>1.9858097151834739</v>
      </c>
      <c r="G4348" s="422">
        <v>9417.9184345533176</v>
      </c>
      <c r="H4348" s="417" t="s">
        <v>2616</v>
      </c>
      <c r="I4348" s="417" t="s">
        <v>1392</v>
      </c>
      <c r="J4348" s="417" t="s">
        <v>11126</v>
      </c>
      <c r="K4348" s="417" t="s">
        <v>11149</v>
      </c>
      <c r="L4348" s="417"/>
      <c r="M4348" s="417" t="s">
        <v>28840</v>
      </c>
    </row>
    <row r="4349" spans="1:13" x14ac:dyDescent="0.25">
      <c r="A4349" s="417" t="s">
        <v>3385</v>
      </c>
      <c r="B4349" s="417" t="s">
        <v>2627</v>
      </c>
      <c r="C4349" s="417" t="s">
        <v>11150</v>
      </c>
      <c r="D4349" s="417" t="s">
        <v>563</v>
      </c>
      <c r="E4349" s="423">
        <v>3.5251179114827722</v>
      </c>
      <c r="F4349" s="423">
        <v>1.985809715184254</v>
      </c>
      <c r="G4349" s="422">
        <v>9192.93843470721</v>
      </c>
      <c r="H4349" s="417" t="s">
        <v>2616</v>
      </c>
      <c r="I4349" s="417" t="s">
        <v>1392</v>
      </c>
      <c r="J4349" s="417" t="s">
        <v>11126</v>
      </c>
      <c r="K4349" s="417" t="s">
        <v>11151</v>
      </c>
      <c r="L4349" s="417"/>
      <c r="M4349" s="417" t="s">
        <v>28840</v>
      </c>
    </row>
    <row r="4350" spans="1:13" x14ac:dyDescent="0.25">
      <c r="A4350" s="417" t="s">
        <v>3385</v>
      </c>
      <c r="B4350" s="417" t="s">
        <v>2627</v>
      </c>
      <c r="C4350" s="417" t="s">
        <v>11152</v>
      </c>
      <c r="D4350" s="417" t="s">
        <v>563</v>
      </c>
      <c r="E4350" s="423">
        <v>8.9342194908435371</v>
      </c>
      <c r="F4350" s="423">
        <v>1.994794524816883</v>
      </c>
      <c r="G4350" s="422">
        <v>17821.562365689959</v>
      </c>
      <c r="H4350" s="417" t="s">
        <v>2616</v>
      </c>
      <c r="I4350" s="417" t="s">
        <v>1392</v>
      </c>
      <c r="J4350" s="417" t="s">
        <v>11126</v>
      </c>
      <c r="K4350" s="417" t="s">
        <v>11153</v>
      </c>
      <c r="L4350" s="417"/>
      <c r="M4350" s="417" t="s">
        <v>28840</v>
      </c>
    </row>
    <row r="4351" spans="1:13" x14ac:dyDescent="0.25">
      <c r="A4351" s="417" t="s">
        <v>3385</v>
      </c>
      <c r="B4351" s="417" t="s">
        <v>2627</v>
      </c>
      <c r="C4351" s="417" t="s">
        <v>11154</v>
      </c>
      <c r="D4351" s="417" t="s">
        <v>563</v>
      </c>
      <c r="E4351" s="423">
        <v>5.814361076775473</v>
      </c>
      <c r="F4351" s="423">
        <v>0.1138294560664047</v>
      </c>
      <c r="G4351" s="422">
        <v>8771.5351206119867</v>
      </c>
      <c r="H4351" s="417" t="s">
        <v>2616</v>
      </c>
      <c r="I4351" s="417" t="s">
        <v>1392</v>
      </c>
      <c r="J4351" s="417" t="s">
        <v>11126</v>
      </c>
      <c r="K4351" s="417" t="s">
        <v>11155</v>
      </c>
      <c r="L4351" s="417"/>
      <c r="M4351" s="417" t="s">
        <v>28840</v>
      </c>
    </row>
    <row r="4352" spans="1:13" x14ac:dyDescent="0.25">
      <c r="A4352" s="417" t="s">
        <v>3385</v>
      </c>
      <c r="B4352" s="417" t="s">
        <v>2627</v>
      </c>
      <c r="C4352" s="417" t="s">
        <v>11156</v>
      </c>
      <c r="D4352" s="417" t="s">
        <v>563</v>
      </c>
      <c r="E4352" s="423">
        <v>7.4665709860605043</v>
      </c>
      <c r="F4352" s="423">
        <v>6.3660443571687582</v>
      </c>
      <c r="G4352" s="422">
        <v>18090.533055831169</v>
      </c>
      <c r="H4352" s="417" t="s">
        <v>2616</v>
      </c>
      <c r="I4352" s="417" t="s">
        <v>1392</v>
      </c>
      <c r="J4352" s="417" t="s">
        <v>11126</v>
      </c>
      <c r="K4352" s="417" t="s">
        <v>11157</v>
      </c>
      <c r="L4352" s="417"/>
      <c r="M4352" s="417" t="s">
        <v>28840</v>
      </c>
    </row>
    <row r="4353" spans="1:13" x14ac:dyDescent="0.25">
      <c r="A4353" s="417" t="s">
        <v>3385</v>
      </c>
      <c r="B4353" s="417" t="s">
        <v>2627</v>
      </c>
      <c r="C4353" s="417" t="s">
        <v>11158</v>
      </c>
      <c r="D4353" s="417" t="s">
        <v>563</v>
      </c>
      <c r="E4353" s="423">
        <v>7.4665709861518232</v>
      </c>
      <c r="F4353" s="423">
        <v>6.3660443572084233</v>
      </c>
      <c r="G4353" s="422">
        <v>17713.55505499705</v>
      </c>
      <c r="H4353" s="417" t="s">
        <v>2616</v>
      </c>
      <c r="I4353" s="417" t="s">
        <v>1392</v>
      </c>
      <c r="J4353" s="417" t="s">
        <v>11126</v>
      </c>
      <c r="K4353" s="417" t="s">
        <v>11159</v>
      </c>
      <c r="L4353" s="417"/>
      <c r="M4353" s="417" t="s">
        <v>28840</v>
      </c>
    </row>
    <row r="4354" spans="1:13" x14ac:dyDescent="0.25">
      <c r="A4354" s="417" t="s">
        <v>3385</v>
      </c>
      <c r="B4354" s="417" t="s">
        <v>2627</v>
      </c>
      <c r="C4354" s="417" t="s">
        <v>11160</v>
      </c>
      <c r="D4354" s="417" t="s">
        <v>563</v>
      </c>
      <c r="E4354" s="423">
        <v>6.4949738331986744</v>
      </c>
      <c r="F4354" s="423">
        <v>3.636587654088594</v>
      </c>
      <c r="G4354" s="422">
        <v>14823.28572143836</v>
      </c>
      <c r="H4354" s="417" t="s">
        <v>2616</v>
      </c>
      <c r="I4354" s="417" t="s">
        <v>1392</v>
      </c>
      <c r="J4354" s="417" t="s">
        <v>11126</v>
      </c>
      <c r="K4354" s="417" t="s">
        <v>11161</v>
      </c>
      <c r="L4354" s="417"/>
      <c r="M4354" s="417" t="s">
        <v>28840</v>
      </c>
    </row>
    <row r="4355" spans="1:13" x14ac:dyDescent="0.25">
      <c r="A4355" s="417" t="s">
        <v>3385</v>
      </c>
      <c r="B4355" s="417" t="s">
        <v>2627</v>
      </c>
      <c r="C4355" s="417" t="s">
        <v>11162</v>
      </c>
      <c r="D4355" s="417" t="s">
        <v>563</v>
      </c>
      <c r="E4355" s="423">
        <v>6.4949738331199747</v>
      </c>
      <c r="F4355" s="423">
        <v>3.6365876540871702</v>
      </c>
      <c r="G4355" s="422">
        <v>14609.83611459289</v>
      </c>
      <c r="H4355" s="417" t="s">
        <v>2616</v>
      </c>
      <c r="I4355" s="417" t="s">
        <v>1392</v>
      </c>
      <c r="J4355" s="417" t="s">
        <v>11126</v>
      </c>
      <c r="K4355" s="417" t="s">
        <v>11163</v>
      </c>
      <c r="L4355" s="417"/>
      <c r="M4355" s="417" t="s">
        <v>28840</v>
      </c>
    </row>
    <row r="4356" spans="1:13" x14ac:dyDescent="0.25">
      <c r="A4356" s="417" t="s">
        <v>3385</v>
      </c>
      <c r="B4356" s="417" t="s">
        <v>2627</v>
      </c>
      <c r="C4356" s="417" t="s">
        <v>11164</v>
      </c>
      <c r="D4356" s="417" t="s">
        <v>563</v>
      </c>
      <c r="E4356" s="423">
        <v>5.4098809631614602</v>
      </c>
      <c r="F4356" s="423">
        <v>0.52849438215656686</v>
      </c>
      <c r="G4356" s="422">
        <v>9591.2025665579476</v>
      </c>
      <c r="H4356" s="417" t="s">
        <v>2616</v>
      </c>
      <c r="I4356" s="417" t="s">
        <v>1392</v>
      </c>
      <c r="J4356" s="417" t="s">
        <v>11126</v>
      </c>
      <c r="K4356" s="417" t="s">
        <v>11165</v>
      </c>
      <c r="L4356" s="417"/>
      <c r="M4356" s="417" t="s">
        <v>28840</v>
      </c>
    </row>
    <row r="4357" spans="1:13" x14ac:dyDescent="0.25">
      <c r="A4357" s="417" t="s">
        <v>3385</v>
      </c>
      <c r="B4357" s="417" t="s">
        <v>2627</v>
      </c>
      <c r="C4357" s="417" t="s">
        <v>11166</v>
      </c>
      <c r="D4357" s="417" t="s">
        <v>563</v>
      </c>
      <c r="E4357" s="423">
        <v>7.44249110061347</v>
      </c>
      <c r="F4357" s="423">
        <v>0.44397047730484118</v>
      </c>
      <c r="G4357" s="422">
        <v>12828.058246552981</v>
      </c>
      <c r="H4357" s="417" t="s">
        <v>2616</v>
      </c>
      <c r="I4357" s="417" t="s">
        <v>1392</v>
      </c>
      <c r="J4357" s="417" t="s">
        <v>11126</v>
      </c>
      <c r="K4357" s="417" t="s">
        <v>11167</v>
      </c>
      <c r="L4357" s="417"/>
      <c r="M4357" s="417" t="s">
        <v>28840</v>
      </c>
    </row>
    <row r="4358" spans="1:13" x14ac:dyDescent="0.25">
      <c r="A4358" s="417" t="s">
        <v>3385</v>
      </c>
      <c r="B4358" s="417" t="s">
        <v>2627</v>
      </c>
      <c r="C4358" s="417" t="s">
        <v>11168</v>
      </c>
      <c r="D4358" s="417" t="s">
        <v>563</v>
      </c>
      <c r="E4358" s="423">
        <v>15.70846025185576</v>
      </c>
      <c r="F4358" s="423">
        <v>0.97250859886039465</v>
      </c>
      <c r="G4358" s="422">
        <v>23713.07911899704</v>
      </c>
      <c r="H4358" s="417" t="s">
        <v>2616</v>
      </c>
      <c r="I4358" s="417" t="s">
        <v>1392</v>
      </c>
      <c r="J4358" s="417" t="s">
        <v>11126</v>
      </c>
      <c r="K4358" s="417" t="s">
        <v>11169</v>
      </c>
      <c r="L4358" s="417"/>
      <c r="M4358" s="417" t="s">
        <v>28840</v>
      </c>
    </row>
    <row r="4359" spans="1:13" x14ac:dyDescent="0.25">
      <c r="A4359" s="417" t="s">
        <v>3385</v>
      </c>
      <c r="B4359" s="417" t="s">
        <v>2627</v>
      </c>
      <c r="C4359" s="417" t="s">
        <v>11170</v>
      </c>
      <c r="D4359" s="417" t="s">
        <v>563</v>
      </c>
      <c r="E4359" s="423">
        <v>10.319222042715969</v>
      </c>
      <c r="F4359" s="423">
        <v>9.4447254982958376E-2</v>
      </c>
      <c r="G4359" s="422">
        <v>14554.28854919924</v>
      </c>
      <c r="H4359" s="417" t="s">
        <v>2616</v>
      </c>
      <c r="I4359" s="417" t="s">
        <v>1392</v>
      </c>
      <c r="J4359" s="417" t="s">
        <v>11126</v>
      </c>
      <c r="K4359" s="417" t="s">
        <v>11171</v>
      </c>
      <c r="L4359" s="417"/>
      <c r="M4359" s="417" t="s">
        <v>28840</v>
      </c>
    </row>
    <row r="4360" spans="1:13" x14ac:dyDescent="0.25">
      <c r="A4360" s="417" t="s">
        <v>3385</v>
      </c>
      <c r="B4360" s="417" t="s">
        <v>2627</v>
      </c>
      <c r="C4360" s="417" t="s">
        <v>11172</v>
      </c>
      <c r="D4360" s="417" t="s">
        <v>563</v>
      </c>
      <c r="E4360" s="423">
        <v>12.552815681046519</v>
      </c>
      <c r="F4360" s="423">
        <v>0.19664908203482059</v>
      </c>
      <c r="G4360" s="422">
        <v>15559.85331370172</v>
      </c>
      <c r="H4360" s="417" t="s">
        <v>2616</v>
      </c>
      <c r="I4360" s="417" t="s">
        <v>1392</v>
      </c>
      <c r="J4360" s="417" t="s">
        <v>11126</v>
      </c>
      <c r="K4360" s="417" t="s">
        <v>11173</v>
      </c>
      <c r="L4360" s="417"/>
      <c r="M4360" s="417" t="s">
        <v>28840</v>
      </c>
    </row>
    <row r="4361" spans="1:13" x14ac:dyDescent="0.25">
      <c r="A4361" s="417" t="s">
        <v>3385</v>
      </c>
      <c r="B4361" s="417" t="s">
        <v>2627</v>
      </c>
      <c r="C4361" s="417" t="s">
        <v>11174</v>
      </c>
      <c r="D4361" s="417" t="s">
        <v>88</v>
      </c>
      <c r="E4361" s="423">
        <v>22.442252589367769</v>
      </c>
      <c r="F4361" s="423">
        <v>9.8790381318328555E-2</v>
      </c>
      <c r="G4361" s="422">
        <v>34297.328519114562</v>
      </c>
      <c r="H4361" s="417" t="s">
        <v>2616</v>
      </c>
      <c r="I4361" s="417" t="s">
        <v>1392</v>
      </c>
      <c r="J4361" s="417" t="s">
        <v>4538</v>
      </c>
      <c r="K4361" s="417" t="s">
        <v>11175</v>
      </c>
      <c r="L4361" s="417"/>
      <c r="M4361" s="417" t="s">
        <v>28840</v>
      </c>
    </row>
    <row r="4362" spans="1:13" x14ac:dyDescent="0.25">
      <c r="A4362" s="417" t="s">
        <v>3385</v>
      </c>
      <c r="B4362" s="417" t="s">
        <v>2627</v>
      </c>
      <c r="C4362" s="417" t="s">
        <v>11176</v>
      </c>
      <c r="D4362" s="417" t="s">
        <v>88</v>
      </c>
      <c r="E4362" s="423">
        <v>6.6642540309839191</v>
      </c>
      <c r="F4362" s="423">
        <v>0.71720688779348341</v>
      </c>
      <c r="G4362" s="422">
        <v>14381.04490122559</v>
      </c>
      <c r="H4362" s="417" t="s">
        <v>2616</v>
      </c>
      <c r="I4362" s="417" t="s">
        <v>1392</v>
      </c>
      <c r="J4362" s="417" t="s">
        <v>3932</v>
      </c>
      <c r="K4362" s="417" t="s">
        <v>11177</v>
      </c>
      <c r="L4362" s="417"/>
      <c r="M4362" s="417" t="s">
        <v>28840</v>
      </c>
    </row>
    <row r="4363" spans="1:13" x14ac:dyDescent="0.25">
      <c r="A4363" s="417" t="s">
        <v>3385</v>
      </c>
      <c r="B4363" s="417" t="s">
        <v>2627</v>
      </c>
      <c r="C4363" s="417" t="s">
        <v>11178</v>
      </c>
      <c r="D4363" s="417" t="s">
        <v>88</v>
      </c>
      <c r="E4363" s="423">
        <v>0.1170593675153864</v>
      </c>
      <c r="F4363" s="423">
        <v>7.7175270931408302E-3</v>
      </c>
      <c r="G4363" s="422">
        <v>248.888625588454</v>
      </c>
      <c r="H4363" s="417" t="s">
        <v>2616</v>
      </c>
      <c r="I4363" s="417" t="s">
        <v>1392</v>
      </c>
      <c r="J4363" s="417" t="s">
        <v>3749</v>
      </c>
      <c r="K4363" s="417" t="s">
        <v>11179</v>
      </c>
      <c r="L4363" s="417"/>
      <c r="M4363" s="417" t="s">
        <v>28840</v>
      </c>
    </row>
    <row r="4364" spans="1:13" x14ac:dyDescent="0.25">
      <c r="A4364" s="417" t="s">
        <v>3385</v>
      </c>
      <c r="B4364" s="417" t="s">
        <v>2627</v>
      </c>
      <c r="C4364" s="417" t="s">
        <v>951</v>
      </c>
      <c r="D4364" s="417" t="s">
        <v>88</v>
      </c>
      <c r="E4364" s="423">
        <v>1.008480045929651</v>
      </c>
      <c r="F4364" s="423">
        <v>2.6968928739702851E-2</v>
      </c>
      <c r="G4364" s="422">
        <v>14692.447793738471</v>
      </c>
      <c r="H4364" s="417" t="s">
        <v>2616</v>
      </c>
      <c r="I4364" s="417" t="s">
        <v>28841</v>
      </c>
      <c r="J4364" s="417" t="s">
        <v>4333</v>
      </c>
      <c r="K4364" s="417" t="s">
        <v>11180</v>
      </c>
      <c r="L4364" s="417"/>
      <c r="M4364" s="417" t="s">
        <v>28840</v>
      </c>
    </row>
    <row r="4365" spans="1:13" x14ac:dyDescent="0.25">
      <c r="A4365" s="417" t="s">
        <v>3385</v>
      </c>
      <c r="B4365" s="417" t="s">
        <v>2627</v>
      </c>
      <c r="C4365" s="417" t="s">
        <v>11181</v>
      </c>
      <c r="D4365" s="417" t="s">
        <v>88</v>
      </c>
      <c r="E4365" s="423">
        <v>0.96342170924933024</v>
      </c>
      <c r="F4365" s="423">
        <v>3.6495353087577412E-2</v>
      </c>
      <c r="G4365" s="422">
        <v>6964.8565038497281</v>
      </c>
      <c r="H4365" s="417" t="s">
        <v>2616</v>
      </c>
      <c r="I4365" s="417" t="s">
        <v>1392</v>
      </c>
      <c r="J4365" s="417" t="s">
        <v>4333</v>
      </c>
      <c r="K4365" s="417" t="s">
        <v>11182</v>
      </c>
      <c r="L4365" s="417"/>
      <c r="M4365" s="417" t="s">
        <v>28840</v>
      </c>
    </row>
    <row r="4366" spans="1:13" x14ac:dyDescent="0.25">
      <c r="A4366" s="417" t="s">
        <v>3385</v>
      </c>
      <c r="B4366" s="417" t="s">
        <v>2627</v>
      </c>
      <c r="C4366" s="417" t="s">
        <v>11183</v>
      </c>
      <c r="D4366" s="417" t="s">
        <v>88</v>
      </c>
      <c r="E4366" s="423">
        <v>0.93695887627177044</v>
      </c>
      <c r="F4366" s="423">
        <v>4.2090237210755173E-2</v>
      </c>
      <c r="G4366" s="422">
        <v>2426.429872222408</v>
      </c>
      <c r="H4366" s="417" t="s">
        <v>2616</v>
      </c>
      <c r="I4366" s="417" t="s">
        <v>1392</v>
      </c>
      <c r="J4366" s="417" t="s">
        <v>4333</v>
      </c>
      <c r="K4366" s="417" t="s">
        <v>11184</v>
      </c>
      <c r="L4366" s="417"/>
      <c r="M4366" s="417" t="s">
        <v>28840</v>
      </c>
    </row>
    <row r="4367" spans="1:13" x14ac:dyDescent="0.25">
      <c r="A4367" s="417" t="s">
        <v>3385</v>
      </c>
      <c r="B4367" s="417" t="s">
        <v>2627</v>
      </c>
      <c r="C4367" s="417" t="s">
        <v>11185</v>
      </c>
      <c r="D4367" s="417" t="s">
        <v>88</v>
      </c>
      <c r="E4367" s="423">
        <v>2.078376837147605</v>
      </c>
      <c r="F4367" s="423">
        <v>3.2444569422768459E-2</v>
      </c>
      <c r="G4367" s="422">
        <v>3986.0589323914242</v>
      </c>
      <c r="H4367" s="417" t="s">
        <v>2616</v>
      </c>
      <c r="I4367" s="417" t="s">
        <v>1392</v>
      </c>
      <c r="J4367" s="417" t="s">
        <v>3633</v>
      </c>
      <c r="K4367" s="417" t="s">
        <v>11186</v>
      </c>
      <c r="L4367" s="417"/>
      <c r="M4367" s="417" t="s">
        <v>28840</v>
      </c>
    </row>
    <row r="4368" spans="1:13" x14ac:dyDescent="0.25">
      <c r="A4368" s="417" t="s">
        <v>3385</v>
      </c>
      <c r="B4368" s="417" t="s">
        <v>2627</v>
      </c>
      <c r="C4368" s="417" t="s">
        <v>11187</v>
      </c>
      <c r="D4368" s="417" t="s">
        <v>989</v>
      </c>
      <c r="E4368" s="423">
        <v>19046049.19760799</v>
      </c>
      <c r="F4368" s="423">
        <v>3663568.3558813701</v>
      </c>
      <c r="G4368" s="422">
        <v>42645418240.351059</v>
      </c>
      <c r="H4368" s="417" t="s">
        <v>2616</v>
      </c>
      <c r="I4368" s="417" t="s">
        <v>1392</v>
      </c>
      <c r="J4368" s="417" t="s">
        <v>11188</v>
      </c>
      <c r="K4368" s="417" t="s">
        <v>11189</v>
      </c>
      <c r="L4368" s="417"/>
      <c r="M4368" s="417" t="s">
        <v>28840</v>
      </c>
    </row>
    <row r="4369" spans="1:13" x14ac:dyDescent="0.25">
      <c r="A4369" s="417" t="s">
        <v>3385</v>
      </c>
      <c r="B4369" s="417" t="s">
        <v>2627</v>
      </c>
      <c r="C4369" s="417" t="s">
        <v>11190</v>
      </c>
      <c r="D4369" s="417" t="s">
        <v>88</v>
      </c>
      <c r="E4369" s="423">
        <v>1.427462761098506</v>
      </c>
      <c r="F4369" s="423">
        <v>0.14678473872933789</v>
      </c>
      <c r="G4369" s="422">
        <v>2366.6569091212668</v>
      </c>
      <c r="H4369" s="417" t="s">
        <v>2616</v>
      </c>
      <c r="I4369" s="417" t="s">
        <v>1392</v>
      </c>
      <c r="J4369" s="417" t="s">
        <v>5182</v>
      </c>
      <c r="K4369" s="417" t="s">
        <v>11191</v>
      </c>
      <c r="L4369" s="417"/>
      <c r="M4369" s="417" t="s">
        <v>28840</v>
      </c>
    </row>
    <row r="4370" spans="1:13" x14ac:dyDescent="0.25">
      <c r="A4370" s="417" t="s">
        <v>3385</v>
      </c>
      <c r="B4370" s="417" t="s">
        <v>2627</v>
      </c>
      <c r="C4370" s="417" t="s">
        <v>928</v>
      </c>
      <c r="D4370" s="417" t="s">
        <v>88</v>
      </c>
      <c r="E4370" s="423">
        <v>1.284678108481359</v>
      </c>
      <c r="F4370" s="423">
        <v>0.1073572306904334</v>
      </c>
      <c r="G4370" s="422">
        <v>1936.9790077266209</v>
      </c>
      <c r="H4370" s="417" t="s">
        <v>2616</v>
      </c>
      <c r="I4370" s="417" t="s">
        <v>28841</v>
      </c>
      <c r="J4370" s="417" t="s">
        <v>5182</v>
      </c>
      <c r="K4370" s="417" t="s">
        <v>11192</v>
      </c>
      <c r="L4370" s="417"/>
      <c r="M4370" s="417" t="s">
        <v>28840</v>
      </c>
    </row>
    <row r="4371" spans="1:13" x14ac:dyDescent="0.25">
      <c r="A4371" s="417" t="s">
        <v>3385</v>
      </c>
      <c r="B4371" s="417" t="s">
        <v>3655</v>
      </c>
      <c r="C4371" s="417" t="s">
        <v>11193</v>
      </c>
      <c r="D4371" s="417" t="s">
        <v>88</v>
      </c>
      <c r="E4371" s="423">
        <v>0.5003352871106943</v>
      </c>
      <c r="F4371" s="423">
        <v>2.7641895086866972E-2</v>
      </c>
      <c r="G4371" s="422">
        <v>1002.099462025137</v>
      </c>
      <c r="H4371" s="417" t="s">
        <v>2616</v>
      </c>
      <c r="I4371" s="417" t="s">
        <v>1392</v>
      </c>
      <c r="J4371" s="417" t="s">
        <v>4473</v>
      </c>
      <c r="K4371" s="417" t="s">
        <v>11194</v>
      </c>
      <c r="L4371" s="417"/>
      <c r="M4371" s="417" t="s">
        <v>28840</v>
      </c>
    </row>
    <row r="4372" spans="1:13" x14ac:dyDescent="0.25">
      <c r="A4372" s="417" t="s">
        <v>3385</v>
      </c>
      <c r="B4372" s="417" t="s">
        <v>2627</v>
      </c>
      <c r="C4372" s="417" t="s">
        <v>11195</v>
      </c>
      <c r="D4372" s="417" t="s">
        <v>88</v>
      </c>
      <c r="E4372" s="423">
        <v>4.0172979507170303E-2</v>
      </c>
      <c r="F4372" s="423">
        <v>5.0628477088528244E-4</v>
      </c>
      <c r="G4372" s="422">
        <v>231.49455383370929</v>
      </c>
      <c r="H4372" s="417" t="s">
        <v>2616</v>
      </c>
      <c r="I4372" s="417" t="s">
        <v>1392</v>
      </c>
      <c r="J4372" s="417" t="s">
        <v>4047</v>
      </c>
      <c r="K4372" s="417" t="s">
        <v>11196</v>
      </c>
      <c r="L4372" s="417"/>
      <c r="M4372" s="417" t="s">
        <v>28840</v>
      </c>
    </row>
    <row r="4373" spans="1:13" x14ac:dyDescent="0.25">
      <c r="A4373" s="417" t="s">
        <v>3385</v>
      </c>
      <c r="B4373" s="417" t="s">
        <v>3655</v>
      </c>
      <c r="C4373" s="417" t="s">
        <v>11197</v>
      </c>
      <c r="D4373" s="417" t="s">
        <v>83</v>
      </c>
      <c r="E4373" s="423">
        <v>0.68747691881766337</v>
      </c>
      <c r="F4373" s="423">
        <v>3.0579782653802651E-2</v>
      </c>
      <c r="G4373" s="422">
        <v>1298.7420754435841</v>
      </c>
      <c r="H4373" s="417" t="s">
        <v>2616</v>
      </c>
      <c r="I4373" s="417" t="s">
        <v>1392</v>
      </c>
      <c r="J4373" s="417" t="s">
        <v>3918</v>
      </c>
      <c r="K4373" s="417" t="s">
        <v>11198</v>
      </c>
      <c r="L4373" s="417"/>
      <c r="M4373" s="417" t="s">
        <v>28840</v>
      </c>
    </row>
    <row r="4374" spans="1:13" x14ac:dyDescent="0.25">
      <c r="A4374" s="417" t="s">
        <v>3385</v>
      </c>
      <c r="B4374" s="417" t="s">
        <v>3655</v>
      </c>
      <c r="C4374" s="417" t="s">
        <v>11199</v>
      </c>
      <c r="D4374" s="417" t="s">
        <v>88</v>
      </c>
      <c r="E4374" s="423">
        <v>1.129588593528813</v>
      </c>
      <c r="F4374" s="423">
        <v>1.0313453576267351</v>
      </c>
      <c r="G4374" s="422">
        <v>2412.3127519620798</v>
      </c>
      <c r="H4374" s="417" t="s">
        <v>2616</v>
      </c>
      <c r="I4374" s="417" t="s">
        <v>1392</v>
      </c>
      <c r="J4374" s="417" t="s">
        <v>11200</v>
      </c>
      <c r="K4374" s="417" t="s">
        <v>11201</v>
      </c>
      <c r="L4374" s="417"/>
      <c r="M4374" s="417" t="s">
        <v>28840</v>
      </c>
    </row>
    <row r="4375" spans="1:13" x14ac:dyDescent="0.25">
      <c r="A4375" s="417" t="s">
        <v>3385</v>
      </c>
      <c r="B4375" s="417" t="s">
        <v>2627</v>
      </c>
      <c r="C4375" s="417" t="s">
        <v>11202</v>
      </c>
      <c r="D4375" s="417" t="s">
        <v>989</v>
      </c>
      <c r="E4375" s="423">
        <v>87857.640697371869</v>
      </c>
      <c r="F4375" s="423">
        <v>4142.6881398348633</v>
      </c>
      <c r="G4375" s="422">
        <v>182578580.13642159</v>
      </c>
      <c r="H4375" s="417" t="s">
        <v>2616</v>
      </c>
      <c r="I4375" s="417" t="s">
        <v>1392</v>
      </c>
      <c r="J4375" s="417" t="s">
        <v>4016</v>
      </c>
      <c r="K4375" s="417" t="s">
        <v>11203</v>
      </c>
      <c r="L4375" s="417"/>
      <c r="M4375" s="417" t="s">
        <v>28840</v>
      </c>
    </row>
    <row r="4376" spans="1:13" x14ac:dyDescent="0.25">
      <c r="A4376" s="417" t="s">
        <v>3385</v>
      </c>
      <c r="B4376" s="417" t="s">
        <v>2627</v>
      </c>
      <c r="C4376" s="417" t="s">
        <v>11204</v>
      </c>
      <c r="D4376" s="417" t="s">
        <v>88</v>
      </c>
      <c r="E4376" s="423">
        <v>1.3041800806668149</v>
      </c>
      <c r="F4376" s="423">
        <v>2.248112131305726E-2</v>
      </c>
      <c r="G4376" s="422">
        <v>2089.0220642580221</v>
      </c>
      <c r="H4376" s="417" t="s">
        <v>2616</v>
      </c>
      <c r="I4376" s="417" t="s">
        <v>1392</v>
      </c>
      <c r="J4376" s="417" t="s">
        <v>3396</v>
      </c>
      <c r="K4376" s="417" t="s">
        <v>11205</v>
      </c>
      <c r="L4376" s="417"/>
      <c r="M4376" s="417" t="s">
        <v>28840</v>
      </c>
    </row>
    <row r="4377" spans="1:13" x14ac:dyDescent="0.25">
      <c r="A4377" s="417" t="s">
        <v>3385</v>
      </c>
      <c r="B4377" s="417" t="s">
        <v>2627</v>
      </c>
      <c r="C4377" s="417" t="s">
        <v>11206</v>
      </c>
      <c r="D4377" s="417" t="s">
        <v>88</v>
      </c>
      <c r="E4377" s="423">
        <v>1.391902423664757</v>
      </c>
      <c r="F4377" s="423">
        <v>2.184074777201591E-2</v>
      </c>
      <c r="G4377" s="422">
        <v>2372.1534745600979</v>
      </c>
      <c r="H4377" s="417" t="s">
        <v>2616</v>
      </c>
      <c r="I4377" s="417" t="s">
        <v>1392</v>
      </c>
      <c r="J4377" s="417" t="s">
        <v>3596</v>
      </c>
      <c r="K4377" s="417" t="s">
        <v>11207</v>
      </c>
      <c r="L4377" s="417"/>
      <c r="M4377" s="417" t="s">
        <v>28840</v>
      </c>
    </row>
    <row r="4378" spans="1:13" x14ac:dyDescent="0.25">
      <c r="A4378" s="417" t="s">
        <v>3385</v>
      </c>
      <c r="B4378" s="417" t="s">
        <v>2627</v>
      </c>
      <c r="C4378" s="417" t="s">
        <v>11208</v>
      </c>
      <c r="D4378" s="417" t="s">
        <v>88</v>
      </c>
      <c r="E4378" s="423">
        <v>2.9681117684407039</v>
      </c>
      <c r="F4378" s="423">
        <v>7.824650593677604E-2</v>
      </c>
      <c r="G4378" s="422">
        <v>4541.9165238200112</v>
      </c>
      <c r="H4378" s="417" t="s">
        <v>2616</v>
      </c>
      <c r="I4378" s="417" t="s">
        <v>1392</v>
      </c>
      <c r="J4378" s="417" t="s">
        <v>3596</v>
      </c>
      <c r="K4378" s="417" t="s">
        <v>11209</v>
      </c>
      <c r="L4378" s="417"/>
      <c r="M4378" s="417" t="s">
        <v>28840</v>
      </c>
    </row>
    <row r="4379" spans="1:13" x14ac:dyDescent="0.25">
      <c r="A4379" s="417" t="s">
        <v>3385</v>
      </c>
      <c r="B4379" s="417" t="s">
        <v>2627</v>
      </c>
      <c r="C4379" s="417" t="s">
        <v>975</v>
      </c>
      <c r="D4379" s="417" t="s">
        <v>88</v>
      </c>
      <c r="E4379" s="423">
        <v>2.4794868713987528</v>
      </c>
      <c r="F4379" s="423">
        <v>6.076072089465262E-2</v>
      </c>
      <c r="G4379" s="422">
        <v>3869.2899792536709</v>
      </c>
      <c r="H4379" s="417" t="s">
        <v>2616</v>
      </c>
      <c r="I4379" s="417" t="s">
        <v>28841</v>
      </c>
      <c r="J4379" s="417" t="s">
        <v>3596</v>
      </c>
      <c r="K4379" s="417" t="s">
        <v>11210</v>
      </c>
      <c r="L4379" s="417"/>
      <c r="M4379" s="417" t="s">
        <v>28840</v>
      </c>
    </row>
    <row r="4380" spans="1:13" x14ac:dyDescent="0.25">
      <c r="A4380" s="417" t="s">
        <v>3385</v>
      </c>
      <c r="B4380" s="417" t="s">
        <v>2627</v>
      </c>
      <c r="C4380" s="417" t="s">
        <v>11211</v>
      </c>
      <c r="D4380" s="417" t="s">
        <v>989</v>
      </c>
      <c r="E4380" s="423">
        <v>62861.634901780402</v>
      </c>
      <c r="F4380" s="423">
        <v>2640.9599674163501</v>
      </c>
      <c r="G4380" s="422">
        <v>130398631.73065659</v>
      </c>
      <c r="H4380" s="417" t="s">
        <v>2616</v>
      </c>
      <c r="I4380" s="417" t="s">
        <v>1392</v>
      </c>
      <c r="J4380" s="417" t="s">
        <v>4016</v>
      </c>
      <c r="K4380" s="417" t="s">
        <v>11212</v>
      </c>
      <c r="L4380" s="417"/>
      <c r="M4380" s="417" t="s">
        <v>28840</v>
      </c>
    </row>
    <row r="4381" spans="1:13" x14ac:dyDescent="0.25">
      <c r="A4381" s="417" t="s">
        <v>3385</v>
      </c>
      <c r="B4381" s="417" t="s">
        <v>2627</v>
      </c>
      <c r="C4381" s="417" t="s">
        <v>11213</v>
      </c>
      <c r="D4381" s="417" t="s">
        <v>4427</v>
      </c>
      <c r="E4381" s="423">
        <v>49.590365308861053</v>
      </c>
      <c r="F4381" s="423">
        <v>1.8742564981728611</v>
      </c>
      <c r="G4381" s="422">
        <v>76668.066804001573</v>
      </c>
      <c r="H4381" s="417" t="s">
        <v>2616</v>
      </c>
      <c r="I4381" s="417" t="s">
        <v>1392</v>
      </c>
      <c r="J4381" s="417" t="s">
        <v>4016</v>
      </c>
      <c r="K4381" s="417" t="s">
        <v>11214</v>
      </c>
      <c r="L4381" s="417"/>
      <c r="M4381" s="417" t="s">
        <v>28840</v>
      </c>
    </row>
    <row r="4382" spans="1:13" x14ac:dyDescent="0.25">
      <c r="A4382" s="417" t="s">
        <v>3385</v>
      </c>
      <c r="B4382" s="417" t="s">
        <v>2627</v>
      </c>
      <c r="C4382" s="417" t="s">
        <v>11215</v>
      </c>
      <c r="D4382" s="417" t="s">
        <v>563</v>
      </c>
      <c r="E4382" s="423">
        <v>19.087001839987579</v>
      </c>
      <c r="F4382" s="423">
        <v>7.5766943375122562</v>
      </c>
      <c r="G4382" s="422">
        <v>36053.640414830443</v>
      </c>
      <c r="H4382" s="417" t="s">
        <v>2616</v>
      </c>
      <c r="I4382" s="417" t="s">
        <v>1392</v>
      </c>
      <c r="J4382" s="417" t="s">
        <v>6259</v>
      </c>
      <c r="K4382" s="417" t="s">
        <v>11216</v>
      </c>
      <c r="L4382" s="417"/>
      <c r="M4382" s="417" t="s">
        <v>28840</v>
      </c>
    </row>
    <row r="4383" spans="1:13" x14ac:dyDescent="0.25">
      <c r="A4383" s="417" t="s">
        <v>3385</v>
      </c>
      <c r="B4383" s="417" t="s">
        <v>2627</v>
      </c>
      <c r="C4383" s="417" t="s">
        <v>11217</v>
      </c>
      <c r="D4383" s="417" t="s">
        <v>563</v>
      </c>
      <c r="E4383" s="423">
        <v>19.087001839987579</v>
      </c>
      <c r="F4383" s="423">
        <v>7.5766943375122562</v>
      </c>
      <c r="G4383" s="422">
        <v>36028.664414830433</v>
      </c>
      <c r="H4383" s="417" t="s">
        <v>2616</v>
      </c>
      <c r="I4383" s="417" t="s">
        <v>1392</v>
      </c>
      <c r="J4383" s="417" t="s">
        <v>6259</v>
      </c>
      <c r="K4383" s="417" t="s">
        <v>11218</v>
      </c>
      <c r="L4383" s="417"/>
      <c r="M4383" s="417" t="s">
        <v>28840</v>
      </c>
    </row>
    <row r="4384" spans="1:13" x14ac:dyDescent="0.25">
      <c r="A4384" s="417" t="s">
        <v>3385</v>
      </c>
      <c r="B4384" s="417" t="s">
        <v>2627</v>
      </c>
      <c r="C4384" s="417" t="s">
        <v>11219</v>
      </c>
      <c r="D4384" s="417" t="s">
        <v>563</v>
      </c>
      <c r="E4384" s="423">
        <v>41.375173400532653</v>
      </c>
      <c r="F4384" s="423">
        <v>7.7363985205139887</v>
      </c>
      <c r="G4384" s="422">
        <v>70293.738171451128</v>
      </c>
      <c r="H4384" s="417" t="s">
        <v>2616</v>
      </c>
      <c r="I4384" s="417" t="s">
        <v>1392</v>
      </c>
      <c r="J4384" s="417" t="s">
        <v>6259</v>
      </c>
      <c r="K4384" s="417" t="s">
        <v>11220</v>
      </c>
      <c r="L4384" s="417"/>
      <c r="M4384" s="417" t="s">
        <v>28840</v>
      </c>
    </row>
    <row r="4385" spans="1:13" x14ac:dyDescent="0.25">
      <c r="A4385" s="417" t="s">
        <v>3385</v>
      </c>
      <c r="B4385" s="417" t="s">
        <v>2627</v>
      </c>
      <c r="C4385" s="417" t="s">
        <v>11221</v>
      </c>
      <c r="D4385" s="417" t="s">
        <v>563</v>
      </c>
      <c r="E4385" s="423">
        <v>41.375173400232242</v>
      </c>
      <c r="F4385" s="423">
        <v>7.7363985204432622</v>
      </c>
      <c r="G4385" s="422">
        <v>70251.458184960618</v>
      </c>
      <c r="H4385" s="417" t="s">
        <v>2616</v>
      </c>
      <c r="I4385" s="417" t="s">
        <v>1392</v>
      </c>
      <c r="J4385" s="417" t="s">
        <v>6259</v>
      </c>
      <c r="K4385" s="417" t="s">
        <v>11222</v>
      </c>
      <c r="L4385" s="417"/>
      <c r="M4385" s="417" t="s">
        <v>28840</v>
      </c>
    </row>
    <row r="4386" spans="1:13" x14ac:dyDescent="0.25">
      <c r="A4386" s="417" t="s">
        <v>3385</v>
      </c>
      <c r="B4386" s="417" t="s">
        <v>2437</v>
      </c>
      <c r="C4386" s="417" t="s">
        <v>11223</v>
      </c>
      <c r="D4386" s="417" t="s">
        <v>88</v>
      </c>
      <c r="E4386" s="423">
        <v>3.9920695818577649</v>
      </c>
      <c r="F4386" s="423">
        <v>0.24322698953646979</v>
      </c>
      <c r="G4386" s="422">
        <v>7834.4394229836744</v>
      </c>
      <c r="H4386" s="417" t="s">
        <v>2616</v>
      </c>
      <c r="I4386" s="417" t="s">
        <v>1392</v>
      </c>
      <c r="J4386" s="417" t="s">
        <v>4414</v>
      </c>
      <c r="K4386" s="417" t="s">
        <v>11224</v>
      </c>
      <c r="L4386" s="417"/>
      <c r="M4386" s="417" t="s">
        <v>28840</v>
      </c>
    </row>
    <row r="4387" spans="1:13" x14ac:dyDescent="0.25">
      <c r="A4387" s="417" t="s">
        <v>3385</v>
      </c>
      <c r="B4387" s="417" t="s">
        <v>3655</v>
      </c>
      <c r="C4387" s="417" t="s">
        <v>11225</v>
      </c>
      <c r="D4387" s="417" t="s">
        <v>88</v>
      </c>
      <c r="E4387" s="423">
        <v>0.1203386826238568</v>
      </c>
      <c r="F4387" s="423">
        <v>2.6561851149052431E-2</v>
      </c>
      <c r="G4387" s="422">
        <v>548.82491474069309</v>
      </c>
      <c r="H4387" s="417" t="s">
        <v>2616</v>
      </c>
      <c r="I4387" s="417" t="s">
        <v>1392</v>
      </c>
      <c r="J4387" s="417" t="s">
        <v>4479</v>
      </c>
      <c r="K4387" s="417" t="s">
        <v>11226</v>
      </c>
      <c r="L4387" s="417"/>
      <c r="M4387" s="417" t="s">
        <v>28840</v>
      </c>
    </row>
    <row r="4388" spans="1:13" x14ac:dyDescent="0.25">
      <c r="A4388" s="417" t="s">
        <v>3385</v>
      </c>
      <c r="B4388" s="417" t="s">
        <v>2437</v>
      </c>
      <c r="C4388" s="417" t="s">
        <v>11227</v>
      </c>
      <c r="D4388" s="417" t="s">
        <v>989</v>
      </c>
      <c r="E4388" s="423">
        <v>804.91837408846425</v>
      </c>
      <c r="F4388" s="423">
        <v>27.403180656102581</v>
      </c>
      <c r="G4388" s="422">
        <v>4776958.4674184704</v>
      </c>
      <c r="H4388" s="417" t="s">
        <v>2616</v>
      </c>
      <c r="I4388" s="417" t="s">
        <v>1392</v>
      </c>
      <c r="J4388" s="417" t="s">
        <v>4375</v>
      </c>
      <c r="K4388" s="417" t="s">
        <v>11228</v>
      </c>
      <c r="L4388" s="417"/>
      <c r="M4388" s="417" t="s">
        <v>28840</v>
      </c>
    </row>
    <row r="4389" spans="1:13" x14ac:dyDescent="0.25">
      <c r="A4389" s="417" t="s">
        <v>3385</v>
      </c>
      <c r="B4389" s="417" t="s">
        <v>2627</v>
      </c>
      <c r="C4389" s="417" t="s">
        <v>11229</v>
      </c>
      <c r="D4389" s="417" t="s">
        <v>88</v>
      </c>
      <c r="E4389" s="423">
        <v>1.289132230062066</v>
      </c>
      <c r="F4389" s="423">
        <v>3.3055972012993227E-2</v>
      </c>
      <c r="G4389" s="422">
        <v>5742.8975104887313</v>
      </c>
      <c r="H4389" s="417" t="s">
        <v>2616</v>
      </c>
      <c r="I4389" s="417" t="s">
        <v>1392</v>
      </c>
      <c r="J4389" s="417" t="s">
        <v>3896</v>
      </c>
      <c r="K4389" s="417" t="s">
        <v>11230</v>
      </c>
      <c r="L4389" s="417"/>
      <c r="M4389" s="417" t="s">
        <v>28840</v>
      </c>
    </row>
    <row r="4390" spans="1:13" x14ac:dyDescent="0.25">
      <c r="A4390" s="417" t="s">
        <v>3385</v>
      </c>
      <c r="B4390" s="417" t="s">
        <v>2627</v>
      </c>
      <c r="C4390" s="417" t="s">
        <v>11231</v>
      </c>
      <c r="D4390" s="417" t="s">
        <v>989</v>
      </c>
      <c r="E4390" s="423">
        <v>49.816908020346979</v>
      </c>
      <c r="F4390" s="423">
        <v>2.0875477302091898</v>
      </c>
      <c r="G4390" s="422">
        <v>104513.36691382161</v>
      </c>
      <c r="H4390" s="417" t="s">
        <v>2616</v>
      </c>
      <c r="I4390" s="417" t="s">
        <v>1392</v>
      </c>
      <c r="J4390" s="417" t="s">
        <v>3809</v>
      </c>
      <c r="K4390" s="417" t="s">
        <v>11232</v>
      </c>
      <c r="L4390" s="417"/>
      <c r="M4390" s="417" t="s">
        <v>28840</v>
      </c>
    </row>
    <row r="4391" spans="1:13" x14ac:dyDescent="0.25">
      <c r="A4391" s="417" t="s">
        <v>3385</v>
      </c>
      <c r="B4391" s="417" t="s">
        <v>2627</v>
      </c>
      <c r="C4391" s="417" t="s">
        <v>11233</v>
      </c>
      <c r="D4391" s="417" t="s">
        <v>989</v>
      </c>
      <c r="E4391" s="423">
        <v>34.296451352007139</v>
      </c>
      <c r="F4391" s="423">
        <v>1.296961208849341</v>
      </c>
      <c r="G4391" s="422">
        <v>227224.51262437791</v>
      </c>
      <c r="H4391" s="417" t="s">
        <v>2616</v>
      </c>
      <c r="I4391" s="417" t="s">
        <v>1392</v>
      </c>
      <c r="J4391" s="417" t="s">
        <v>3809</v>
      </c>
      <c r="K4391" s="417" t="s">
        <v>11234</v>
      </c>
      <c r="L4391" s="417"/>
      <c r="M4391" s="417" t="s">
        <v>28840</v>
      </c>
    </row>
    <row r="4392" spans="1:13" x14ac:dyDescent="0.25">
      <c r="A4392" s="417" t="s">
        <v>3385</v>
      </c>
      <c r="B4392" s="417" t="s">
        <v>2627</v>
      </c>
      <c r="C4392" s="417" t="s">
        <v>11235</v>
      </c>
      <c r="D4392" s="417" t="s">
        <v>989</v>
      </c>
      <c r="E4392" s="423">
        <v>230.31913148627419</v>
      </c>
      <c r="F4392" s="423">
        <v>8.913454572418571</v>
      </c>
      <c r="G4392" s="422">
        <v>1300395.976901636</v>
      </c>
      <c r="H4392" s="417" t="s">
        <v>2616</v>
      </c>
      <c r="I4392" s="417" t="s">
        <v>1392</v>
      </c>
      <c r="J4392" s="417" t="s">
        <v>3809</v>
      </c>
      <c r="K4392" s="417" t="s">
        <v>11236</v>
      </c>
      <c r="L4392" s="417"/>
      <c r="M4392" s="417" t="s">
        <v>28840</v>
      </c>
    </row>
    <row r="4393" spans="1:13" x14ac:dyDescent="0.25">
      <c r="A4393" s="417" t="s">
        <v>3385</v>
      </c>
      <c r="B4393" s="417" t="s">
        <v>2627</v>
      </c>
      <c r="C4393" s="417" t="s">
        <v>11237</v>
      </c>
      <c r="D4393" s="417" t="s">
        <v>88</v>
      </c>
      <c r="E4393" s="423">
        <v>3078.3797627153631</v>
      </c>
      <c r="F4393" s="423">
        <v>54.639561036556053</v>
      </c>
      <c r="G4393" s="422">
        <v>53334355.956992783</v>
      </c>
      <c r="H4393" s="417" t="s">
        <v>2616</v>
      </c>
      <c r="I4393" s="417" t="s">
        <v>1392</v>
      </c>
      <c r="J4393" s="417" t="s">
        <v>11238</v>
      </c>
      <c r="K4393" s="417" t="s">
        <v>11239</v>
      </c>
      <c r="L4393" s="417"/>
      <c r="M4393" s="417" t="s">
        <v>28840</v>
      </c>
    </row>
    <row r="4394" spans="1:13" x14ac:dyDescent="0.25">
      <c r="A4394" s="417" t="s">
        <v>3385</v>
      </c>
      <c r="B4394" s="417" t="s">
        <v>2627</v>
      </c>
      <c r="C4394" s="417" t="s">
        <v>11240</v>
      </c>
      <c r="D4394" s="417" t="s">
        <v>88</v>
      </c>
      <c r="E4394" s="423">
        <v>2110.170683838116</v>
      </c>
      <c r="F4394" s="423">
        <v>53.445680103221058</v>
      </c>
      <c r="G4394" s="422">
        <v>57341300.519191727</v>
      </c>
      <c r="H4394" s="417" t="s">
        <v>2616</v>
      </c>
      <c r="I4394" s="417" t="s">
        <v>1392</v>
      </c>
      <c r="J4394" s="417" t="s">
        <v>11238</v>
      </c>
      <c r="K4394" s="417" t="s">
        <v>11241</v>
      </c>
      <c r="L4394" s="417"/>
      <c r="M4394" s="417" t="s">
        <v>28840</v>
      </c>
    </row>
    <row r="4395" spans="1:13" x14ac:dyDescent="0.25">
      <c r="A4395" s="417" t="s">
        <v>3385</v>
      </c>
      <c r="B4395" s="417" t="s">
        <v>2627</v>
      </c>
      <c r="C4395" s="417" t="s">
        <v>11242</v>
      </c>
      <c r="D4395" s="417" t="s">
        <v>88</v>
      </c>
      <c r="E4395" s="423">
        <v>1490.8565999731641</v>
      </c>
      <c r="F4395" s="423">
        <v>48.361142654798023</v>
      </c>
      <c r="G4395" s="422">
        <v>55951120.295662567</v>
      </c>
      <c r="H4395" s="417" t="s">
        <v>2616</v>
      </c>
      <c r="I4395" s="417" t="s">
        <v>1392</v>
      </c>
      <c r="J4395" s="417" t="s">
        <v>11238</v>
      </c>
      <c r="K4395" s="417" t="s">
        <v>11243</v>
      </c>
      <c r="L4395" s="417"/>
      <c r="M4395" s="417" t="s">
        <v>28840</v>
      </c>
    </row>
    <row r="4396" spans="1:13" x14ac:dyDescent="0.25">
      <c r="A4396" s="417" t="s">
        <v>3385</v>
      </c>
      <c r="B4396" s="417" t="s">
        <v>2627</v>
      </c>
      <c r="C4396" s="417" t="s">
        <v>11244</v>
      </c>
      <c r="D4396" s="417" t="s">
        <v>88</v>
      </c>
      <c r="E4396" s="423">
        <v>1945.9943440952859</v>
      </c>
      <c r="F4396" s="423">
        <v>49.491469546660483</v>
      </c>
      <c r="G4396" s="422">
        <v>52961833.079376802</v>
      </c>
      <c r="H4396" s="417" t="s">
        <v>2616</v>
      </c>
      <c r="I4396" s="417" t="s">
        <v>1392</v>
      </c>
      <c r="J4396" s="417" t="s">
        <v>11238</v>
      </c>
      <c r="K4396" s="417" t="s">
        <v>11245</v>
      </c>
      <c r="L4396" s="417"/>
      <c r="M4396" s="417" t="s">
        <v>28840</v>
      </c>
    </row>
    <row r="4397" spans="1:13" x14ac:dyDescent="0.25">
      <c r="A4397" s="417" t="s">
        <v>3385</v>
      </c>
      <c r="B4397" s="417" t="s">
        <v>2627</v>
      </c>
      <c r="C4397" s="417" t="s">
        <v>11246</v>
      </c>
      <c r="D4397" s="417" t="s">
        <v>88</v>
      </c>
      <c r="E4397" s="423">
        <v>2908.9487476894178</v>
      </c>
      <c r="F4397" s="423">
        <v>51.710970569045386</v>
      </c>
      <c r="G4397" s="422">
        <v>50374953.98035945</v>
      </c>
      <c r="H4397" s="417" t="s">
        <v>2616</v>
      </c>
      <c r="I4397" s="417" t="s">
        <v>1392</v>
      </c>
      <c r="J4397" s="417" t="s">
        <v>11238</v>
      </c>
      <c r="K4397" s="417" t="s">
        <v>11247</v>
      </c>
      <c r="L4397" s="417"/>
      <c r="M4397" s="417" t="s">
        <v>28840</v>
      </c>
    </row>
    <row r="4398" spans="1:13" x14ac:dyDescent="0.25">
      <c r="A4398" s="417" t="s">
        <v>3385</v>
      </c>
      <c r="B4398" s="417" t="s">
        <v>2627</v>
      </c>
      <c r="C4398" s="417" t="s">
        <v>11248</v>
      </c>
      <c r="D4398" s="417" t="s">
        <v>88</v>
      </c>
      <c r="E4398" s="423">
        <v>1639.5654888662509</v>
      </c>
      <c r="F4398" s="423">
        <v>57.519308306933027</v>
      </c>
      <c r="G4398" s="422">
        <v>52883911.201015793</v>
      </c>
      <c r="H4398" s="417" t="s">
        <v>2616</v>
      </c>
      <c r="I4398" s="417" t="s">
        <v>1392</v>
      </c>
      <c r="J4398" s="417" t="s">
        <v>11238</v>
      </c>
      <c r="K4398" s="417" t="s">
        <v>11249</v>
      </c>
      <c r="L4398" s="417"/>
      <c r="M4398" s="417" t="s">
        <v>28840</v>
      </c>
    </row>
    <row r="4399" spans="1:13" x14ac:dyDescent="0.25">
      <c r="A4399" s="417" t="s">
        <v>3385</v>
      </c>
      <c r="B4399" s="417" t="s">
        <v>3405</v>
      </c>
      <c r="C4399" s="417" t="s">
        <v>11250</v>
      </c>
      <c r="D4399" s="417" t="s">
        <v>73</v>
      </c>
      <c r="E4399" s="423">
        <v>8.9690742193201542E-2</v>
      </c>
      <c r="F4399" s="423">
        <v>5.6415052986593401E-3</v>
      </c>
      <c r="G4399" s="422">
        <v>166.47727016440649</v>
      </c>
      <c r="H4399" s="417" t="s">
        <v>2616</v>
      </c>
      <c r="I4399" s="417" t="s">
        <v>1392</v>
      </c>
      <c r="J4399" s="417" t="s">
        <v>11251</v>
      </c>
      <c r="K4399" s="417" t="s">
        <v>11252</v>
      </c>
      <c r="L4399" s="417"/>
      <c r="M4399" s="417" t="s">
        <v>28840</v>
      </c>
    </row>
    <row r="4400" spans="1:13" x14ac:dyDescent="0.25">
      <c r="A4400" s="417" t="s">
        <v>3385</v>
      </c>
      <c r="B4400" s="417" t="s">
        <v>2437</v>
      </c>
      <c r="C4400" s="417" t="s">
        <v>11253</v>
      </c>
      <c r="D4400" s="417" t="s">
        <v>73</v>
      </c>
      <c r="E4400" s="423">
        <v>9.0089702841489094E-2</v>
      </c>
      <c r="F4400" s="423">
        <v>2.2186685659811509E-3</v>
      </c>
      <c r="G4400" s="422">
        <v>141.02139147324141</v>
      </c>
      <c r="H4400" s="417" t="s">
        <v>2616</v>
      </c>
      <c r="I4400" s="417" t="s">
        <v>1392</v>
      </c>
      <c r="J4400" s="417" t="s">
        <v>4342</v>
      </c>
      <c r="K4400" s="417" t="s">
        <v>11254</v>
      </c>
      <c r="L4400" s="417"/>
      <c r="M4400" s="417" t="s">
        <v>28840</v>
      </c>
    </row>
    <row r="4401" spans="1:13" x14ac:dyDescent="0.25">
      <c r="A4401" s="417" t="s">
        <v>3385</v>
      </c>
      <c r="B4401" s="417" t="s">
        <v>2437</v>
      </c>
      <c r="C4401" s="417" t="s">
        <v>11255</v>
      </c>
      <c r="D4401" s="417" t="s">
        <v>73</v>
      </c>
      <c r="E4401" s="423">
        <v>0.21660073177180669</v>
      </c>
      <c r="F4401" s="423">
        <v>2.3063604057717109E-4</v>
      </c>
      <c r="G4401" s="422">
        <v>247.1848694058298</v>
      </c>
      <c r="H4401" s="417" t="s">
        <v>2616</v>
      </c>
      <c r="I4401" s="417" t="s">
        <v>1392</v>
      </c>
      <c r="J4401" s="417" t="s">
        <v>11256</v>
      </c>
      <c r="K4401" s="417" t="s">
        <v>11257</v>
      </c>
      <c r="L4401" s="417"/>
      <c r="M4401" s="417" t="s">
        <v>28840</v>
      </c>
    </row>
    <row r="4402" spans="1:13" x14ac:dyDescent="0.25">
      <c r="A4402" s="417" t="s">
        <v>3385</v>
      </c>
      <c r="B4402" s="417" t="s">
        <v>2437</v>
      </c>
      <c r="C4402" s="417" t="s">
        <v>11258</v>
      </c>
      <c r="D4402" s="417" t="s">
        <v>88</v>
      </c>
      <c r="E4402" s="423">
        <v>0.80757816471034216</v>
      </c>
      <c r="F4402" s="423">
        <v>0.12014463984195919</v>
      </c>
      <c r="G4402" s="422">
        <v>1664.456729241854</v>
      </c>
      <c r="H4402" s="417" t="s">
        <v>2616</v>
      </c>
      <c r="I4402" s="417" t="s">
        <v>1392</v>
      </c>
      <c r="J4402" s="417" t="s">
        <v>4167</v>
      </c>
      <c r="K4402" s="417" t="s">
        <v>11259</v>
      </c>
      <c r="L4402" s="417"/>
      <c r="M4402" s="417" t="s">
        <v>28840</v>
      </c>
    </row>
    <row r="4403" spans="1:13" x14ac:dyDescent="0.25">
      <c r="A4403" s="417" t="s">
        <v>3385</v>
      </c>
      <c r="B4403" s="417" t="s">
        <v>2437</v>
      </c>
      <c r="C4403" s="417" t="s">
        <v>11260</v>
      </c>
      <c r="D4403" s="417" t="s">
        <v>88</v>
      </c>
      <c r="E4403" s="423">
        <v>0.80360645485485505</v>
      </c>
      <c r="F4403" s="423">
        <v>0.26506698774035459</v>
      </c>
      <c r="G4403" s="422">
        <v>1969.254258173155</v>
      </c>
      <c r="H4403" s="417" t="s">
        <v>2616</v>
      </c>
      <c r="I4403" s="417" t="s">
        <v>1392</v>
      </c>
      <c r="J4403" s="417" t="s">
        <v>4167</v>
      </c>
      <c r="K4403" s="417" t="s">
        <v>11261</v>
      </c>
      <c r="L4403" s="417"/>
      <c r="M4403" s="417" t="s">
        <v>28840</v>
      </c>
    </row>
    <row r="4404" spans="1:13" x14ac:dyDescent="0.25">
      <c r="A4404" s="417" t="s">
        <v>3385</v>
      </c>
      <c r="B4404" s="417" t="s">
        <v>2437</v>
      </c>
      <c r="C4404" s="417" t="s">
        <v>11262</v>
      </c>
      <c r="D4404" s="417" t="s">
        <v>88</v>
      </c>
      <c r="E4404" s="423">
        <v>1.078950980488715</v>
      </c>
      <c r="F4404" s="423">
        <v>0.2614918657047765</v>
      </c>
      <c r="G4404" s="422">
        <v>1909.9489881910561</v>
      </c>
      <c r="H4404" s="417" t="s">
        <v>2616</v>
      </c>
      <c r="I4404" s="417" t="s">
        <v>1392</v>
      </c>
      <c r="J4404" s="417" t="s">
        <v>4167</v>
      </c>
      <c r="K4404" s="417" t="s">
        <v>11263</v>
      </c>
      <c r="L4404" s="417"/>
      <c r="M4404" s="417" t="s">
        <v>28840</v>
      </c>
    </row>
    <row r="4405" spans="1:13" x14ac:dyDescent="0.25">
      <c r="A4405" s="417" t="s">
        <v>3385</v>
      </c>
      <c r="B4405" s="417" t="s">
        <v>2437</v>
      </c>
      <c r="C4405" s="417" t="s">
        <v>11264</v>
      </c>
      <c r="D4405" s="417" t="s">
        <v>88</v>
      </c>
      <c r="E4405" s="423">
        <v>0.97736734805845626</v>
      </c>
      <c r="F4405" s="423">
        <v>0.11223723539895079</v>
      </c>
      <c r="G4405" s="422">
        <v>1876.632030744857</v>
      </c>
      <c r="H4405" s="417" t="s">
        <v>2616</v>
      </c>
      <c r="I4405" s="417" t="s">
        <v>1392</v>
      </c>
      <c r="J4405" s="417" t="s">
        <v>4167</v>
      </c>
      <c r="K4405" s="417" t="s">
        <v>11265</v>
      </c>
      <c r="L4405" s="417"/>
      <c r="M4405" s="417" t="s">
        <v>28840</v>
      </c>
    </row>
    <row r="4406" spans="1:13" x14ac:dyDescent="0.25">
      <c r="A4406" s="417" t="s">
        <v>3385</v>
      </c>
      <c r="B4406" s="417" t="s">
        <v>2437</v>
      </c>
      <c r="C4406" s="417" t="s">
        <v>11266</v>
      </c>
      <c r="D4406" s="417" t="s">
        <v>88</v>
      </c>
      <c r="E4406" s="423">
        <v>0.94936261423166945</v>
      </c>
      <c r="F4406" s="423">
        <v>0.1247533972230488</v>
      </c>
      <c r="G4406" s="422">
        <v>1999.720763020149</v>
      </c>
      <c r="H4406" s="417" t="s">
        <v>2616</v>
      </c>
      <c r="I4406" s="417" t="s">
        <v>1392</v>
      </c>
      <c r="J4406" s="417" t="s">
        <v>4167</v>
      </c>
      <c r="K4406" s="417" t="s">
        <v>11267</v>
      </c>
      <c r="L4406" s="417"/>
      <c r="M4406" s="417" t="s">
        <v>28840</v>
      </c>
    </row>
    <row r="4407" spans="1:13" x14ac:dyDescent="0.25">
      <c r="A4407" s="417" t="s">
        <v>3385</v>
      </c>
      <c r="B4407" s="417" t="s">
        <v>2437</v>
      </c>
      <c r="C4407" s="417" t="s">
        <v>11268</v>
      </c>
      <c r="D4407" s="417" t="s">
        <v>88</v>
      </c>
      <c r="E4407" s="423">
        <v>0.93890968735675528</v>
      </c>
      <c r="F4407" s="423">
        <v>0.20012649184411649</v>
      </c>
      <c r="G4407" s="422">
        <v>1980.5884232047019</v>
      </c>
      <c r="H4407" s="417" t="s">
        <v>2616</v>
      </c>
      <c r="I4407" s="417" t="s">
        <v>1392</v>
      </c>
      <c r="J4407" s="417" t="s">
        <v>4167</v>
      </c>
      <c r="K4407" s="417" t="s">
        <v>11269</v>
      </c>
      <c r="L4407" s="417"/>
      <c r="M4407" s="417" t="s">
        <v>28840</v>
      </c>
    </row>
    <row r="4408" spans="1:13" x14ac:dyDescent="0.25">
      <c r="A4408" s="417" t="s">
        <v>3385</v>
      </c>
      <c r="B4408" s="417" t="s">
        <v>2437</v>
      </c>
      <c r="C4408" s="417" t="s">
        <v>11270</v>
      </c>
      <c r="D4408" s="417" t="s">
        <v>88</v>
      </c>
      <c r="E4408" s="423">
        <v>41.078586968977689</v>
      </c>
      <c r="F4408" s="423">
        <v>1.1052305548303469</v>
      </c>
      <c r="G4408" s="422">
        <v>97518.428877067854</v>
      </c>
      <c r="H4408" s="417" t="s">
        <v>2616</v>
      </c>
      <c r="I4408" s="417" t="s">
        <v>1392</v>
      </c>
      <c r="J4408" s="417" t="s">
        <v>4531</v>
      </c>
      <c r="K4408" s="417" t="s">
        <v>11271</v>
      </c>
      <c r="L4408" s="417"/>
      <c r="M4408" s="417" t="s">
        <v>28840</v>
      </c>
    </row>
    <row r="4409" spans="1:13" x14ac:dyDescent="0.25">
      <c r="A4409" s="417" t="s">
        <v>3385</v>
      </c>
      <c r="B4409" s="417" t="s">
        <v>2437</v>
      </c>
      <c r="C4409" s="417" t="s">
        <v>11272</v>
      </c>
      <c r="D4409" s="417" t="s">
        <v>88</v>
      </c>
      <c r="E4409" s="423">
        <v>11.80180585494444</v>
      </c>
      <c r="F4409" s="423">
        <v>0.28428057961913</v>
      </c>
      <c r="G4409" s="422">
        <v>27427.95829628751</v>
      </c>
      <c r="H4409" s="417" t="s">
        <v>2616</v>
      </c>
      <c r="I4409" s="417" t="s">
        <v>1392</v>
      </c>
      <c r="J4409" s="417" t="s">
        <v>4531</v>
      </c>
      <c r="K4409" s="417" t="s">
        <v>11273</v>
      </c>
      <c r="L4409" s="417"/>
      <c r="M4409" s="417" t="s">
        <v>28840</v>
      </c>
    </row>
    <row r="4410" spans="1:13" x14ac:dyDescent="0.25">
      <c r="A4410" s="417" t="s">
        <v>3385</v>
      </c>
      <c r="B4410" s="417" t="s">
        <v>2437</v>
      </c>
      <c r="C4410" s="417" t="s">
        <v>11274</v>
      </c>
      <c r="D4410" s="417" t="s">
        <v>88</v>
      </c>
      <c r="E4410" s="423">
        <v>17.78264216127932</v>
      </c>
      <c r="F4410" s="423">
        <v>0.43783317798832061</v>
      </c>
      <c r="G4410" s="422">
        <v>41253.583420887953</v>
      </c>
      <c r="H4410" s="417" t="s">
        <v>2616</v>
      </c>
      <c r="I4410" s="417" t="s">
        <v>1392</v>
      </c>
      <c r="J4410" s="417" t="s">
        <v>4531</v>
      </c>
      <c r="K4410" s="417" t="s">
        <v>11275</v>
      </c>
      <c r="L4410" s="417"/>
      <c r="M4410" s="417" t="s">
        <v>28840</v>
      </c>
    </row>
    <row r="4411" spans="1:13" x14ac:dyDescent="0.25">
      <c r="A4411" s="417" t="s">
        <v>3385</v>
      </c>
      <c r="B4411" s="417" t="s">
        <v>2437</v>
      </c>
      <c r="C4411" s="417" t="s">
        <v>11276</v>
      </c>
      <c r="D4411" s="417" t="s">
        <v>88</v>
      </c>
      <c r="E4411" s="423">
        <v>6.3330947550159973</v>
      </c>
      <c r="F4411" s="423">
        <v>0.27723128858950008</v>
      </c>
      <c r="G4411" s="422">
        <v>14973.300096036921</v>
      </c>
      <c r="H4411" s="417" t="s">
        <v>2616</v>
      </c>
      <c r="I4411" s="417" t="s">
        <v>1392</v>
      </c>
      <c r="J4411" s="417" t="s">
        <v>11277</v>
      </c>
      <c r="K4411" s="417" t="s">
        <v>11278</v>
      </c>
      <c r="L4411" s="417"/>
      <c r="M4411" s="417" t="s">
        <v>28840</v>
      </c>
    </row>
    <row r="4412" spans="1:13" x14ac:dyDescent="0.25">
      <c r="A4412" s="417" t="s">
        <v>3385</v>
      </c>
      <c r="B4412" s="417" t="s">
        <v>2437</v>
      </c>
      <c r="C4412" s="417" t="s">
        <v>11279</v>
      </c>
      <c r="D4412" s="417" t="s">
        <v>88</v>
      </c>
      <c r="E4412" s="423">
        <v>12.651343548460961</v>
      </c>
      <c r="F4412" s="423">
        <v>0.50501556418501914</v>
      </c>
      <c r="G4412" s="422">
        <v>26945.767001021901</v>
      </c>
      <c r="H4412" s="417" t="s">
        <v>2616</v>
      </c>
      <c r="I4412" s="417" t="s">
        <v>1392</v>
      </c>
      <c r="J4412" s="417" t="s">
        <v>4414</v>
      </c>
      <c r="K4412" s="417" t="s">
        <v>11280</v>
      </c>
      <c r="L4412" s="417"/>
      <c r="M4412" s="417" t="s">
        <v>28840</v>
      </c>
    </row>
    <row r="4413" spans="1:13" x14ac:dyDescent="0.25">
      <c r="A4413" s="417" t="s">
        <v>3385</v>
      </c>
      <c r="B4413" s="417" t="s">
        <v>2627</v>
      </c>
      <c r="C4413" s="417" t="s">
        <v>11281</v>
      </c>
      <c r="D4413" s="417" t="s">
        <v>88</v>
      </c>
      <c r="E4413" s="423">
        <v>1.0336421362194581</v>
      </c>
      <c r="F4413" s="423">
        <v>2.8530828652182389E-2</v>
      </c>
      <c r="G4413" s="422">
        <v>1904.580619778156</v>
      </c>
      <c r="H4413" s="417" t="s">
        <v>2616</v>
      </c>
      <c r="I4413" s="417" t="s">
        <v>1392</v>
      </c>
      <c r="J4413" s="417" t="s">
        <v>3896</v>
      </c>
      <c r="K4413" s="417" t="s">
        <v>11282</v>
      </c>
      <c r="L4413" s="417"/>
      <c r="M4413" s="417" t="s">
        <v>28840</v>
      </c>
    </row>
    <row r="4414" spans="1:13" x14ac:dyDescent="0.25">
      <c r="A4414" s="417" t="s">
        <v>3385</v>
      </c>
      <c r="B4414" s="417" t="s">
        <v>3405</v>
      </c>
      <c r="C4414" s="417" t="s">
        <v>11283</v>
      </c>
      <c r="D4414" s="417" t="s">
        <v>989</v>
      </c>
      <c r="E4414" s="423">
        <v>2099.495917959448</v>
      </c>
      <c r="F4414" s="423">
        <v>65.475171123404834</v>
      </c>
      <c r="G4414" s="422">
        <v>4034704.1794760991</v>
      </c>
      <c r="H4414" s="417" t="s">
        <v>2616</v>
      </c>
      <c r="I4414" s="417" t="s">
        <v>1392</v>
      </c>
      <c r="J4414" s="417" t="s">
        <v>11284</v>
      </c>
      <c r="K4414" s="417" t="s">
        <v>11285</v>
      </c>
      <c r="L4414" s="417"/>
      <c r="M4414" s="417" t="s">
        <v>28840</v>
      </c>
    </row>
    <row r="4415" spans="1:13" x14ac:dyDescent="0.25">
      <c r="A4415" s="417" t="s">
        <v>3385</v>
      </c>
      <c r="B4415" s="417" t="s">
        <v>3405</v>
      </c>
      <c r="C4415" s="417" t="s">
        <v>11286</v>
      </c>
      <c r="D4415" s="417" t="s">
        <v>989</v>
      </c>
      <c r="E4415" s="423">
        <v>3787.0083155017828</v>
      </c>
      <c r="F4415" s="423">
        <v>120.5445195620383</v>
      </c>
      <c r="G4415" s="422">
        <v>7208334.6954444749</v>
      </c>
      <c r="H4415" s="417" t="s">
        <v>2616</v>
      </c>
      <c r="I4415" s="417" t="s">
        <v>1392</v>
      </c>
      <c r="J4415" s="417" t="s">
        <v>11284</v>
      </c>
      <c r="K4415" s="417" t="s">
        <v>11287</v>
      </c>
      <c r="L4415" s="417"/>
      <c r="M4415" s="417" t="s">
        <v>28840</v>
      </c>
    </row>
    <row r="4416" spans="1:13" x14ac:dyDescent="0.25">
      <c r="A4416" s="417" t="s">
        <v>3385</v>
      </c>
      <c r="B4416" s="417" t="s">
        <v>3405</v>
      </c>
      <c r="C4416" s="417" t="s">
        <v>11288</v>
      </c>
      <c r="D4416" s="417" t="s">
        <v>989</v>
      </c>
      <c r="E4416" s="423">
        <v>835.74130924889482</v>
      </c>
      <c r="F4416" s="423">
        <v>27.171846776291058</v>
      </c>
      <c r="G4416" s="422">
        <v>1555563.4122990719</v>
      </c>
      <c r="H4416" s="417" t="s">
        <v>2616</v>
      </c>
      <c r="I4416" s="417" t="s">
        <v>1392</v>
      </c>
      <c r="J4416" s="417" t="s">
        <v>11284</v>
      </c>
      <c r="K4416" s="417" t="s">
        <v>11289</v>
      </c>
      <c r="L4416" s="417"/>
      <c r="M4416" s="417" t="s">
        <v>28840</v>
      </c>
    </row>
    <row r="4417" spans="1:13" x14ac:dyDescent="0.25">
      <c r="A4417" s="417" t="s">
        <v>3385</v>
      </c>
      <c r="B4417" s="417" t="s">
        <v>3405</v>
      </c>
      <c r="C4417" s="417" t="s">
        <v>11290</v>
      </c>
      <c r="D4417" s="417" t="s">
        <v>989</v>
      </c>
      <c r="E4417" s="423">
        <v>2099.4959179943048</v>
      </c>
      <c r="F4417" s="423">
        <v>65.475171122575105</v>
      </c>
      <c r="G4417" s="422">
        <v>4075918.7787714461</v>
      </c>
      <c r="H4417" s="417" t="s">
        <v>2616</v>
      </c>
      <c r="I4417" s="417" t="s">
        <v>1392</v>
      </c>
      <c r="J4417" s="417" t="s">
        <v>11284</v>
      </c>
      <c r="K4417" s="417" t="s">
        <v>11291</v>
      </c>
      <c r="L4417" s="417"/>
      <c r="M4417" s="417" t="s">
        <v>28840</v>
      </c>
    </row>
    <row r="4418" spans="1:13" x14ac:dyDescent="0.25">
      <c r="A4418" s="417" t="s">
        <v>3385</v>
      </c>
      <c r="B4418" s="417" t="s">
        <v>3405</v>
      </c>
      <c r="C4418" s="417" t="s">
        <v>11292</v>
      </c>
      <c r="D4418" s="417" t="s">
        <v>989</v>
      </c>
      <c r="E4418" s="423">
        <v>3787.0083156009032</v>
      </c>
      <c r="F4418" s="423">
        <v>120.54451956174491</v>
      </c>
      <c r="G4418" s="422">
        <v>7263598.295325242</v>
      </c>
      <c r="H4418" s="417" t="s">
        <v>2616</v>
      </c>
      <c r="I4418" s="417" t="s">
        <v>1392</v>
      </c>
      <c r="J4418" s="417" t="s">
        <v>11284</v>
      </c>
      <c r="K4418" s="417" t="s">
        <v>11293</v>
      </c>
      <c r="L4418" s="417"/>
      <c r="M4418" s="417" t="s">
        <v>28840</v>
      </c>
    </row>
    <row r="4419" spans="1:13" x14ac:dyDescent="0.25">
      <c r="A4419" s="417" t="s">
        <v>3385</v>
      </c>
      <c r="B4419" s="417" t="s">
        <v>3405</v>
      </c>
      <c r="C4419" s="417" t="s">
        <v>11294</v>
      </c>
      <c r="D4419" s="417" t="s">
        <v>989</v>
      </c>
      <c r="E4419" s="423">
        <v>834.32690683235649</v>
      </c>
      <c r="F4419" s="423">
        <v>27.073662969712849</v>
      </c>
      <c r="G4419" s="422">
        <v>1566085.1286967271</v>
      </c>
      <c r="H4419" s="417" t="s">
        <v>2616</v>
      </c>
      <c r="I4419" s="417" t="s">
        <v>1392</v>
      </c>
      <c r="J4419" s="417" t="s">
        <v>11284</v>
      </c>
      <c r="K4419" s="417" t="s">
        <v>11295</v>
      </c>
      <c r="L4419" s="417"/>
      <c r="M4419" s="417" t="s">
        <v>28840</v>
      </c>
    </row>
    <row r="4420" spans="1:13" x14ac:dyDescent="0.25">
      <c r="A4420" s="417" t="s">
        <v>3385</v>
      </c>
      <c r="B4420" s="417" t="s">
        <v>3405</v>
      </c>
      <c r="C4420" s="417" t="s">
        <v>11296</v>
      </c>
      <c r="D4420" s="417" t="s">
        <v>989</v>
      </c>
      <c r="E4420" s="423">
        <v>2099.4959179943039</v>
      </c>
      <c r="F4420" s="423">
        <v>65.475171122574949</v>
      </c>
      <c r="G4420" s="422">
        <v>4088191.178774809</v>
      </c>
      <c r="H4420" s="417" t="s">
        <v>2616</v>
      </c>
      <c r="I4420" s="417" t="s">
        <v>1392</v>
      </c>
      <c r="J4420" s="417" t="s">
        <v>11284</v>
      </c>
      <c r="K4420" s="417" t="s">
        <v>11297</v>
      </c>
      <c r="L4420" s="417"/>
      <c r="M4420" s="417" t="s">
        <v>28840</v>
      </c>
    </row>
    <row r="4421" spans="1:13" x14ac:dyDescent="0.25">
      <c r="A4421" s="417" t="s">
        <v>3385</v>
      </c>
      <c r="B4421" s="417" t="s">
        <v>3405</v>
      </c>
      <c r="C4421" s="417" t="s">
        <v>11298</v>
      </c>
      <c r="D4421" s="417" t="s">
        <v>989</v>
      </c>
      <c r="E4421" s="423">
        <v>3787.0083156009032</v>
      </c>
      <c r="F4421" s="423">
        <v>120.54451956174491</v>
      </c>
      <c r="G4421" s="422">
        <v>7284463.8953247722</v>
      </c>
      <c r="H4421" s="417" t="s">
        <v>2616</v>
      </c>
      <c r="I4421" s="417" t="s">
        <v>1392</v>
      </c>
      <c r="J4421" s="417" t="s">
        <v>11284</v>
      </c>
      <c r="K4421" s="417" t="s">
        <v>11299</v>
      </c>
      <c r="L4421" s="417"/>
      <c r="M4421" s="417" t="s">
        <v>28840</v>
      </c>
    </row>
    <row r="4422" spans="1:13" x14ac:dyDescent="0.25">
      <c r="A4422" s="417" t="s">
        <v>3385</v>
      </c>
      <c r="B4422" s="417" t="s">
        <v>3405</v>
      </c>
      <c r="C4422" s="417" t="s">
        <v>11300</v>
      </c>
      <c r="D4422" s="417" t="s">
        <v>989</v>
      </c>
      <c r="E4422" s="423">
        <v>834.22518194883298</v>
      </c>
      <c r="F4422" s="423">
        <v>27.061035296995531</v>
      </c>
      <c r="G4422" s="422">
        <v>1572449.401554286</v>
      </c>
      <c r="H4422" s="417" t="s">
        <v>2616</v>
      </c>
      <c r="I4422" s="417" t="s">
        <v>1392</v>
      </c>
      <c r="J4422" s="417" t="s">
        <v>11284</v>
      </c>
      <c r="K4422" s="417" t="s">
        <v>11301</v>
      </c>
      <c r="L4422" s="417"/>
      <c r="M4422" s="417" t="s">
        <v>28840</v>
      </c>
    </row>
    <row r="4423" spans="1:13" x14ac:dyDescent="0.25">
      <c r="A4423" s="417" t="s">
        <v>3385</v>
      </c>
      <c r="B4423" s="417" t="s">
        <v>3405</v>
      </c>
      <c r="C4423" s="417" t="s">
        <v>11302</v>
      </c>
      <c r="D4423" s="417" t="s">
        <v>989</v>
      </c>
      <c r="E4423" s="423">
        <v>2723.1079366895551</v>
      </c>
      <c r="F4423" s="423">
        <v>133.62569580906279</v>
      </c>
      <c r="G4423" s="422">
        <v>5720582.8781525958</v>
      </c>
      <c r="H4423" s="417" t="s">
        <v>2616</v>
      </c>
      <c r="I4423" s="417" t="s">
        <v>1392</v>
      </c>
      <c r="J4423" s="417" t="s">
        <v>11284</v>
      </c>
      <c r="K4423" s="417" t="s">
        <v>11303</v>
      </c>
      <c r="L4423" s="417"/>
      <c r="M4423" s="417" t="s">
        <v>28840</v>
      </c>
    </row>
    <row r="4424" spans="1:13" x14ac:dyDescent="0.25">
      <c r="A4424" s="417" t="s">
        <v>3385</v>
      </c>
      <c r="B4424" s="417" t="s">
        <v>3405</v>
      </c>
      <c r="C4424" s="417" t="s">
        <v>11304</v>
      </c>
      <c r="D4424" s="417" t="s">
        <v>989</v>
      </c>
      <c r="E4424" s="423">
        <v>28811.33570156413</v>
      </c>
      <c r="F4424" s="423">
        <v>1569.1719565350149</v>
      </c>
      <c r="G4424" s="422">
        <v>62320928.423068583</v>
      </c>
      <c r="H4424" s="417" t="s">
        <v>2616</v>
      </c>
      <c r="I4424" s="417" t="s">
        <v>1392</v>
      </c>
      <c r="J4424" s="417" t="s">
        <v>11284</v>
      </c>
      <c r="K4424" s="417" t="s">
        <v>11305</v>
      </c>
      <c r="L4424" s="417"/>
      <c r="M4424" s="417" t="s">
        <v>28840</v>
      </c>
    </row>
    <row r="4425" spans="1:13" x14ac:dyDescent="0.25">
      <c r="A4425" s="417" t="s">
        <v>3385</v>
      </c>
      <c r="B4425" s="417" t="s">
        <v>3405</v>
      </c>
      <c r="C4425" s="417" t="s">
        <v>11306</v>
      </c>
      <c r="D4425" s="417" t="s">
        <v>989</v>
      </c>
      <c r="E4425" s="423">
        <v>5990.3050159171826</v>
      </c>
      <c r="F4425" s="423">
        <v>300.34885549946119</v>
      </c>
      <c r="G4425" s="422">
        <v>12785652.93027186</v>
      </c>
      <c r="H4425" s="417" t="s">
        <v>2616</v>
      </c>
      <c r="I4425" s="417" t="s">
        <v>1392</v>
      </c>
      <c r="J4425" s="417" t="s">
        <v>11284</v>
      </c>
      <c r="K4425" s="417" t="s">
        <v>11307</v>
      </c>
      <c r="L4425" s="417"/>
      <c r="M4425" s="417" t="s">
        <v>28840</v>
      </c>
    </row>
    <row r="4426" spans="1:13" x14ac:dyDescent="0.25">
      <c r="A4426" s="417" t="s">
        <v>3385</v>
      </c>
      <c r="B4426" s="417" t="s">
        <v>3405</v>
      </c>
      <c r="C4426" s="417" t="s">
        <v>11308</v>
      </c>
      <c r="D4426" s="417" t="s">
        <v>989</v>
      </c>
      <c r="E4426" s="423">
        <v>71622.234276295188</v>
      </c>
      <c r="F4426" s="423">
        <v>2789.916998266508</v>
      </c>
      <c r="G4426" s="422">
        <v>144659930.8831436</v>
      </c>
      <c r="H4426" s="417" t="s">
        <v>2616</v>
      </c>
      <c r="I4426" s="417" t="s">
        <v>1392</v>
      </c>
      <c r="J4426" s="417" t="s">
        <v>11284</v>
      </c>
      <c r="K4426" s="417" t="s">
        <v>11309</v>
      </c>
      <c r="L4426" s="417"/>
      <c r="M4426" s="417" t="s">
        <v>28840</v>
      </c>
    </row>
    <row r="4427" spans="1:13" x14ac:dyDescent="0.25">
      <c r="A4427" s="417" t="s">
        <v>3385</v>
      </c>
      <c r="B4427" s="417" t="s">
        <v>3405</v>
      </c>
      <c r="C4427" s="417" t="s">
        <v>11310</v>
      </c>
      <c r="D4427" s="417" t="s">
        <v>989</v>
      </c>
      <c r="E4427" s="423">
        <v>11443.24530339426</v>
      </c>
      <c r="F4427" s="423">
        <v>440.34532311904672</v>
      </c>
      <c r="G4427" s="422">
        <v>31614096.320870951</v>
      </c>
      <c r="H4427" s="417" t="s">
        <v>2616</v>
      </c>
      <c r="I4427" s="417" t="s">
        <v>1392</v>
      </c>
      <c r="J4427" s="417" t="s">
        <v>11284</v>
      </c>
      <c r="K4427" s="417" t="s">
        <v>11311</v>
      </c>
      <c r="L4427" s="417"/>
      <c r="M4427" s="417" t="s">
        <v>28840</v>
      </c>
    </row>
    <row r="4428" spans="1:13" x14ac:dyDescent="0.25">
      <c r="A4428" s="417" t="s">
        <v>3385</v>
      </c>
      <c r="B4428" s="417" t="s">
        <v>3405</v>
      </c>
      <c r="C4428" s="417" t="s">
        <v>11312</v>
      </c>
      <c r="D4428" s="417" t="s">
        <v>989</v>
      </c>
      <c r="E4428" s="423">
        <v>292336.36326466041</v>
      </c>
      <c r="F4428" s="423">
        <v>10242.745644473371</v>
      </c>
      <c r="G4428" s="422">
        <v>652813004.90936542</v>
      </c>
      <c r="H4428" s="417" t="s">
        <v>2616</v>
      </c>
      <c r="I4428" s="417" t="s">
        <v>1392</v>
      </c>
      <c r="J4428" s="417" t="s">
        <v>11284</v>
      </c>
      <c r="K4428" s="417" t="s">
        <v>11313</v>
      </c>
      <c r="L4428" s="417"/>
      <c r="M4428" s="417" t="s">
        <v>28840</v>
      </c>
    </row>
    <row r="4429" spans="1:13" x14ac:dyDescent="0.25">
      <c r="A4429" s="417" t="s">
        <v>3385</v>
      </c>
      <c r="B4429" s="417" t="s">
        <v>3405</v>
      </c>
      <c r="C4429" s="417" t="s">
        <v>11314</v>
      </c>
      <c r="D4429" s="417" t="s">
        <v>989</v>
      </c>
      <c r="E4429" s="423">
        <v>11103.168298893281</v>
      </c>
      <c r="F4429" s="423">
        <v>612.28646712841282</v>
      </c>
      <c r="G4429" s="422">
        <v>24524768.071597349</v>
      </c>
      <c r="H4429" s="417" t="s">
        <v>2616</v>
      </c>
      <c r="I4429" s="417" t="s">
        <v>1392</v>
      </c>
      <c r="J4429" s="417" t="s">
        <v>11284</v>
      </c>
      <c r="K4429" s="417" t="s">
        <v>11315</v>
      </c>
      <c r="L4429" s="417"/>
      <c r="M4429" s="417" t="s">
        <v>28840</v>
      </c>
    </row>
    <row r="4430" spans="1:13" x14ac:dyDescent="0.25">
      <c r="A4430" s="417" t="s">
        <v>3385</v>
      </c>
      <c r="B4430" s="417" t="s">
        <v>3405</v>
      </c>
      <c r="C4430" s="417" t="s">
        <v>11316</v>
      </c>
      <c r="D4430" s="417" t="s">
        <v>989</v>
      </c>
      <c r="E4430" s="423">
        <v>74393.591763436489</v>
      </c>
      <c r="F4430" s="423">
        <v>2969.8582998039778</v>
      </c>
      <c r="G4430" s="422">
        <v>151685943.35397959</v>
      </c>
      <c r="H4430" s="417" t="s">
        <v>2616</v>
      </c>
      <c r="I4430" s="417" t="s">
        <v>1392</v>
      </c>
      <c r="J4430" s="417" t="s">
        <v>11284</v>
      </c>
      <c r="K4430" s="417" t="s">
        <v>11317</v>
      </c>
      <c r="L4430" s="417"/>
      <c r="M4430" s="417" t="s">
        <v>28840</v>
      </c>
    </row>
    <row r="4431" spans="1:13" x14ac:dyDescent="0.25">
      <c r="A4431" s="417" t="s">
        <v>3385</v>
      </c>
      <c r="B4431" s="417" t="s">
        <v>3405</v>
      </c>
      <c r="C4431" s="417" t="s">
        <v>11318</v>
      </c>
      <c r="D4431" s="417" t="s">
        <v>989</v>
      </c>
      <c r="E4431" s="423">
        <v>24658.589323599132</v>
      </c>
      <c r="F4431" s="423">
        <v>1291.5380910234719</v>
      </c>
      <c r="G4431" s="422">
        <v>53359212.072703287</v>
      </c>
      <c r="H4431" s="417" t="s">
        <v>2616</v>
      </c>
      <c r="I4431" s="417" t="s">
        <v>1392</v>
      </c>
      <c r="J4431" s="417" t="s">
        <v>11284</v>
      </c>
      <c r="K4431" s="417" t="s">
        <v>11319</v>
      </c>
      <c r="L4431" s="417"/>
      <c r="M4431" s="417" t="s">
        <v>28840</v>
      </c>
    </row>
    <row r="4432" spans="1:13" x14ac:dyDescent="0.25">
      <c r="A4432" s="417" t="s">
        <v>3385</v>
      </c>
      <c r="B4432" s="417" t="s">
        <v>3405</v>
      </c>
      <c r="C4432" s="417" t="s">
        <v>11320</v>
      </c>
      <c r="D4432" s="417" t="s">
        <v>989</v>
      </c>
      <c r="E4432" s="423">
        <v>296425.59125534148</v>
      </c>
      <c r="F4432" s="423">
        <v>10508.25372797513</v>
      </c>
      <c r="G4432" s="422">
        <v>683278695.9296335</v>
      </c>
      <c r="H4432" s="417" t="s">
        <v>2616</v>
      </c>
      <c r="I4432" s="417" t="s">
        <v>1392</v>
      </c>
      <c r="J4432" s="417" t="s">
        <v>11284</v>
      </c>
      <c r="K4432" s="417" t="s">
        <v>11321</v>
      </c>
      <c r="L4432" s="417"/>
      <c r="M4432" s="417" t="s">
        <v>28840</v>
      </c>
    </row>
    <row r="4433" spans="1:13" x14ac:dyDescent="0.25">
      <c r="A4433" s="417" t="s">
        <v>3385</v>
      </c>
      <c r="B4433" s="417" t="s">
        <v>3405</v>
      </c>
      <c r="C4433" s="417" t="s">
        <v>11322</v>
      </c>
      <c r="D4433" s="417" t="s">
        <v>989</v>
      </c>
      <c r="E4433" s="423">
        <v>12661.63944865476</v>
      </c>
      <c r="F4433" s="423">
        <v>713.4765759828241</v>
      </c>
      <c r="G4433" s="422">
        <v>28231032.352327731</v>
      </c>
      <c r="H4433" s="417" t="s">
        <v>2616</v>
      </c>
      <c r="I4433" s="417" t="s">
        <v>1392</v>
      </c>
      <c r="J4433" s="417" t="s">
        <v>11284</v>
      </c>
      <c r="K4433" s="417" t="s">
        <v>11323</v>
      </c>
      <c r="L4433" s="417"/>
      <c r="M4433" s="417" t="s">
        <v>28840</v>
      </c>
    </row>
    <row r="4434" spans="1:13" x14ac:dyDescent="0.25">
      <c r="A4434" s="417" t="s">
        <v>3385</v>
      </c>
      <c r="B4434" s="417" t="s">
        <v>3405</v>
      </c>
      <c r="C4434" s="417" t="s">
        <v>11324</v>
      </c>
      <c r="D4434" s="417" t="s">
        <v>989</v>
      </c>
      <c r="E4434" s="423">
        <v>75525.194329837628</v>
      </c>
      <c r="F4434" s="423">
        <v>3043.3276469328989</v>
      </c>
      <c r="G4434" s="422">
        <v>154653734.3364467</v>
      </c>
      <c r="H4434" s="417" t="s">
        <v>2616</v>
      </c>
      <c r="I4434" s="417" t="s">
        <v>1392</v>
      </c>
      <c r="J4434" s="417" t="s">
        <v>11284</v>
      </c>
      <c r="K4434" s="417" t="s">
        <v>11325</v>
      </c>
      <c r="L4434" s="417"/>
      <c r="M4434" s="417" t="s">
        <v>28840</v>
      </c>
    </row>
    <row r="4435" spans="1:13" x14ac:dyDescent="0.25">
      <c r="A4435" s="417" t="s">
        <v>3385</v>
      </c>
      <c r="B4435" s="417" t="s">
        <v>3405</v>
      </c>
      <c r="C4435" s="417" t="s">
        <v>11326</v>
      </c>
      <c r="D4435" s="417" t="s">
        <v>989</v>
      </c>
      <c r="E4435" s="423">
        <v>25727.344277631491</v>
      </c>
      <c r="F4435" s="423">
        <v>1360.922525511905</v>
      </c>
      <c r="G4435" s="422">
        <v>55922647.35154102</v>
      </c>
      <c r="H4435" s="417" t="s">
        <v>2616</v>
      </c>
      <c r="I4435" s="417" t="s">
        <v>1392</v>
      </c>
      <c r="J4435" s="417" t="s">
        <v>11284</v>
      </c>
      <c r="K4435" s="417" t="s">
        <v>11327</v>
      </c>
      <c r="L4435" s="417"/>
      <c r="M4435" s="417" t="s">
        <v>28840</v>
      </c>
    </row>
    <row r="4436" spans="1:13" x14ac:dyDescent="0.25">
      <c r="A4436" s="417" t="s">
        <v>3385</v>
      </c>
      <c r="B4436" s="417" t="s">
        <v>3405</v>
      </c>
      <c r="C4436" s="417" t="s">
        <v>11328</v>
      </c>
      <c r="D4436" s="417" t="s">
        <v>989</v>
      </c>
      <c r="E4436" s="423">
        <v>298076.67804903869</v>
      </c>
      <c r="F4436" s="423">
        <v>10615.44901436906</v>
      </c>
      <c r="G4436" s="422">
        <v>695787333.48856354</v>
      </c>
      <c r="H4436" s="417" t="s">
        <v>2616</v>
      </c>
      <c r="I4436" s="417" t="s">
        <v>1392</v>
      </c>
      <c r="J4436" s="417" t="s">
        <v>11284</v>
      </c>
      <c r="K4436" s="417" t="s">
        <v>11329</v>
      </c>
      <c r="L4436" s="417"/>
      <c r="M4436" s="417" t="s">
        <v>28840</v>
      </c>
    </row>
    <row r="4437" spans="1:13" x14ac:dyDescent="0.25">
      <c r="A4437" s="417" t="s">
        <v>3385</v>
      </c>
      <c r="B4437" s="417" t="s">
        <v>3405</v>
      </c>
      <c r="C4437" s="417" t="s">
        <v>11330</v>
      </c>
      <c r="D4437" s="417" t="s">
        <v>989</v>
      </c>
      <c r="E4437" s="423">
        <v>13295.36770368287</v>
      </c>
      <c r="F4437" s="423">
        <v>754.6238734172789</v>
      </c>
      <c r="G4437" s="422">
        <v>29738189.655383412</v>
      </c>
      <c r="H4437" s="417" t="s">
        <v>2616</v>
      </c>
      <c r="I4437" s="417" t="s">
        <v>1392</v>
      </c>
      <c r="J4437" s="417" t="s">
        <v>11284</v>
      </c>
      <c r="K4437" s="417" t="s">
        <v>11331</v>
      </c>
      <c r="L4437" s="417"/>
      <c r="M4437" s="417" t="s">
        <v>28840</v>
      </c>
    </row>
    <row r="4438" spans="1:13" x14ac:dyDescent="0.25">
      <c r="A4438" s="417" t="s">
        <v>3385</v>
      </c>
      <c r="B4438" s="417" t="s">
        <v>2627</v>
      </c>
      <c r="C4438" s="417" t="s">
        <v>11332</v>
      </c>
      <c r="D4438" s="417" t="s">
        <v>88</v>
      </c>
      <c r="E4438" s="423">
        <v>0</v>
      </c>
      <c r="F4438" s="423">
        <v>0</v>
      </c>
      <c r="G4438" s="422">
        <v>6.3E-2</v>
      </c>
      <c r="H4438" s="417" t="s">
        <v>2616</v>
      </c>
      <c r="I4438" s="417" t="s">
        <v>1392</v>
      </c>
      <c r="J4438" s="417" t="s">
        <v>3915</v>
      </c>
      <c r="K4438" s="417" t="s">
        <v>11333</v>
      </c>
      <c r="L4438" s="417"/>
      <c r="M4438" s="417" t="s">
        <v>28840</v>
      </c>
    </row>
    <row r="4439" spans="1:13" x14ac:dyDescent="0.25">
      <c r="A4439" s="417" t="s">
        <v>3385</v>
      </c>
      <c r="B4439" s="417" t="s">
        <v>2627</v>
      </c>
      <c r="C4439" s="417" t="s">
        <v>11334</v>
      </c>
      <c r="D4439" s="417" t="s">
        <v>88</v>
      </c>
      <c r="E4439" s="423">
        <v>196.18153754663271</v>
      </c>
      <c r="F4439" s="423">
        <v>3.9074291688404341</v>
      </c>
      <c r="G4439" s="422">
        <v>312384.20006558741</v>
      </c>
      <c r="H4439" s="417" t="s">
        <v>2616</v>
      </c>
      <c r="I4439" s="417" t="s">
        <v>1392</v>
      </c>
      <c r="J4439" s="417" t="s">
        <v>3915</v>
      </c>
      <c r="K4439" s="417" t="s">
        <v>11335</v>
      </c>
      <c r="L4439" s="417"/>
      <c r="M4439" s="417" t="s">
        <v>28840</v>
      </c>
    </row>
    <row r="4440" spans="1:13" x14ac:dyDescent="0.25">
      <c r="A4440" s="417" t="s">
        <v>3385</v>
      </c>
      <c r="B4440" s="417" t="s">
        <v>2627</v>
      </c>
      <c r="C4440" s="417" t="s">
        <v>1096</v>
      </c>
      <c r="D4440" s="417" t="s">
        <v>88</v>
      </c>
      <c r="E4440" s="423">
        <v>204.7258098046598</v>
      </c>
      <c r="F4440" s="423">
        <v>3.9239049313492829</v>
      </c>
      <c r="G4440" s="422">
        <v>322178.21218020632</v>
      </c>
      <c r="H4440" s="417" t="s">
        <v>2616</v>
      </c>
      <c r="I4440" s="417" t="s">
        <v>28841</v>
      </c>
      <c r="J4440" s="417" t="s">
        <v>3915</v>
      </c>
      <c r="K4440" s="417" t="s">
        <v>11336</v>
      </c>
      <c r="L4440" s="417"/>
      <c r="M4440" s="417" t="s">
        <v>28840</v>
      </c>
    </row>
    <row r="4441" spans="1:13" x14ac:dyDescent="0.25">
      <c r="A4441" s="417" t="s">
        <v>3385</v>
      </c>
      <c r="B4441" s="417" t="s">
        <v>2437</v>
      </c>
      <c r="C4441" s="417" t="s">
        <v>11337</v>
      </c>
      <c r="D4441" s="417" t="s">
        <v>989</v>
      </c>
      <c r="E4441" s="423">
        <v>104198307.8244582</v>
      </c>
      <c r="F4441" s="423">
        <v>5085878.5985097745</v>
      </c>
      <c r="G4441" s="422">
        <v>256887947137.3176</v>
      </c>
      <c r="H4441" s="417" t="s">
        <v>2616</v>
      </c>
      <c r="I4441" s="417" t="s">
        <v>1392</v>
      </c>
      <c r="J4441" s="417" t="s">
        <v>11338</v>
      </c>
      <c r="K4441" s="417" t="s">
        <v>11339</v>
      </c>
      <c r="L4441" s="417"/>
      <c r="M4441" s="417" t="s">
        <v>28840</v>
      </c>
    </row>
    <row r="4442" spans="1:13" x14ac:dyDescent="0.25">
      <c r="A4442" s="417" t="s">
        <v>3385</v>
      </c>
      <c r="B4442" s="417" t="s">
        <v>3405</v>
      </c>
      <c r="C4442" s="417" t="s">
        <v>576</v>
      </c>
      <c r="D4442" s="417" t="s">
        <v>989</v>
      </c>
      <c r="E4442" s="423">
        <v>441.55082747034191</v>
      </c>
      <c r="F4442" s="423">
        <v>11.45625692363839</v>
      </c>
      <c r="G4442" s="422">
        <v>1145893.708209855</v>
      </c>
      <c r="H4442" s="417" t="s">
        <v>2616</v>
      </c>
      <c r="I4442" s="417" t="s">
        <v>28985</v>
      </c>
      <c r="J4442" s="417" t="s">
        <v>11340</v>
      </c>
      <c r="K4442" s="417" t="s">
        <v>11341</v>
      </c>
      <c r="L4442" s="417"/>
      <c r="M4442" s="417" t="s">
        <v>28840</v>
      </c>
    </row>
    <row r="4443" spans="1:13" x14ac:dyDescent="0.25">
      <c r="A4443" s="417" t="s">
        <v>3385</v>
      </c>
      <c r="B4443" s="417" t="s">
        <v>3405</v>
      </c>
      <c r="C4443" s="417" t="s">
        <v>11342</v>
      </c>
      <c r="D4443" s="417" t="s">
        <v>989</v>
      </c>
      <c r="E4443" s="423">
        <v>1931.889545686834</v>
      </c>
      <c r="F4443" s="423">
        <v>50.124057295892243</v>
      </c>
      <c r="G4443" s="422">
        <v>5020826.8152424647</v>
      </c>
      <c r="H4443" s="417" t="s">
        <v>2616</v>
      </c>
      <c r="I4443" s="417" t="s">
        <v>1392</v>
      </c>
      <c r="J4443" s="417" t="s">
        <v>11340</v>
      </c>
      <c r="K4443" s="417" t="s">
        <v>11343</v>
      </c>
      <c r="L4443" s="417"/>
      <c r="M4443" s="417" t="s">
        <v>28840</v>
      </c>
    </row>
    <row r="4444" spans="1:13" x14ac:dyDescent="0.25">
      <c r="A4444" s="417" t="s">
        <v>3385</v>
      </c>
      <c r="B4444" s="417" t="s">
        <v>3405</v>
      </c>
      <c r="C4444" s="417" t="s">
        <v>579</v>
      </c>
      <c r="D4444" s="417" t="s">
        <v>989</v>
      </c>
      <c r="E4444" s="423">
        <v>819.45897922339839</v>
      </c>
      <c r="F4444" s="423">
        <v>21.423531780723529</v>
      </c>
      <c r="G4444" s="422">
        <v>2129593.4918091921</v>
      </c>
      <c r="H4444" s="417" t="s">
        <v>2616</v>
      </c>
      <c r="I4444" s="417" t="s">
        <v>28985</v>
      </c>
      <c r="J4444" s="417" t="s">
        <v>11340</v>
      </c>
      <c r="K4444" s="417" t="s">
        <v>11344</v>
      </c>
      <c r="L4444" s="417"/>
      <c r="M4444" s="417" t="s">
        <v>28840</v>
      </c>
    </row>
    <row r="4445" spans="1:13" x14ac:dyDescent="0.25">
      <c r="A4445" s="417" t="s">
        <v>3385</v>
      </c>
      <c r="B4445" s="417" t="s">
        <v>3405</v>
      </c>
      <c r="C4445" s="417" t="s">
        <v>11345</v>
      </c>
      <c r="D4445" s="417" t="s">
        <v>989</v>
      </c>
      <c r="E4445" s="423">
        <v>59687402.403400771</v>
      </c>
      <c r="F4445" s="423">
        <v>1444750.269073253</v>
      </c>
      <c r="G4445" s="422">
        <v>115170164767.384</v>
      </c>
      <c r="H4445" s="417" t="s">
        <v>2616</v>
      </c>
      <c r="I4445" s="417" t="s">
        <v>1392</v>
      </c>
      <c r="J4445" s="417" t="s">
        <v>3588</v>
      </c>
      <c r="K4445" s="417" t="s">
        <v>11346</v>
      </c>
      <c r="L4445" s="417"/>
      <c r="M4445" s="417" t="s">
        <v>28840</v>
      </c>
    </row>
    <row r="4446" spans="1:13" x14ac:dyDescent="0.25">
      <c r="A4446" s="417" t="s">
        <v>3385</v>
      </c>
      <c r="B4446" s="417" t="s">
        <v>2437</v>
      </c>
      <c r="C4446" s="417" t="s">
        <v>11347</v>
      </c>
      <c r="D4446" s="417" t="s">
        <v>989</v>
      </c>
      <c r="E4446" s="423">
        <v>3.4605009735705461</v>
      </c>
      <c r="F4446" s="423">
        <v>8.4775339651529336E-2</v>
      </c>
      <c r="G4446" s="422">
        <v>7847.7158390048462</v>
      </c>
      <c r="H4446" s="417" t="s">
        <v>2616</v>
      </c>
      <c r="I4446" s="417" t="s">
        <v>1392</v>
      </c>
      <c r="J4446" s="417" t="s">
        <v>3845</v>
      </c>
      <c r="K4446" s="417" t="s">
        <v>11348</v>
      </c>
      <c r="L4446" s="417"/>
      <c r="M4446" s="417" t="s">
        <v>28840</v>
      </c>
    </row>
    <row r="4447" spans="1:13" x14ac:dyDescent="0.25">
      <c r="A4447" s="417" t="s">
        <v>3385</v>
      </c>
      <c r="B4447" s="417" t="s">
        <v>3405</v>
      </c>
      <c r="C4447" s="417" t="s">
        <v>11349</v>
      </c>
      <c r="D4447" s="417" t="s">
        <v>989</v>
      </c>
      <c r="E4447" s="423">
        <v>4333.0030118500299</v>
      </c>
      <c r="F4447" s="423">
        <v>79.1961338446864</v>
      </c>
      <c r="G4447" s="422">
        <v>9590128.6268502567</v>
      </c>
      <c r="H4447" s="417" t="s">
        <v>2616</v>
      </c>
      <c r="I4447" s="417" t="s">
        <v>1392</v>
      </c>
      <c r="J4447" s="417" t="s">
        <v>3588</v>
      </c>
      <c r="K4447" s="417" t="s">
        <v>11350</v>
      </c>
      <c r="L4447" s="417"/>
      <c r="M4447" s="417" t="s">
        <v>28840</v>
      </c>
    </row>
    <row r="4448" spans="1:13" x14ac:dyDescent="0.25">
      <c r="A4448" s="417" t="s">
        <v>3385</v>
      </c>
      <c r="B4448" s="417" t="s">
        <v>3405</v>
      </c>
      <c r="C4448" s="417" t="s">
        <v>11351</v>
      </c>
      <c r="D4448" s="417" t="s">
        <v>989</v>
      </c>
      <c r="E4448" s="423">
        <v>186.14583001281471</v>
      </c>
      <c r="F4448" s="423">
        <v>2.246127719763086</v>
      </c>
      <c r="G4448" s="422">
        <v>332156.82697284478</v>
      </c>
      <c r="H4448" s="417" t="s">
        <v>2616</v>
      </c>
      <c r="I4448" s="417" t="s">
        <v>1392</v>
      </c>
      <c r="J4448" s="417" t="s">
        <v>3588</v>
      </c>
      <c r="K4448" s="417" t="s">
        <v>11352</v>
      </c>
      <c r="L4448" s="417"/>
      <c r="M4448" s="417" t="s">
        <v>28840</v>
      </c>
    </row>
    <row r="4449" spans="1:13" x14ac:dyDescent="0.25">
      <c r="A4449" s="417" t="s">
        <v>3385</v>
      </c>
      <c r="B4449" s="417" t="s">
        <v>3405</v>
      </c>
      <c r="C4449" s="417" t="s">
        <v>11353</v>
      </c>
      <c r="D4449" s="417" t="s">
        <v>989</v>
      </c>
      <c r="E4449" s="423">
        <v>4648204.2060758593</v>
      </c>
      <c r="F4449" s="423">
        <v>125882.29478075571</v>
      </c>
      <c r="G4449" s="422">
        <v>9569805933.389183</v>
      </c>
      <c r="H4449" s="417" t="s">
        <v>2616</v>
      </c>
      <c r="I4449" s="417" t="s">
        <v>1392</v>
      </c>
      <c r="J4449" s="417" t="s">
        <v>11354</v>
      </c>
      <c r="K4449" s="417" t="s">
        <v>11355</v>
      </c>
      <c r="L4449" s="417"/>
      <c r="M4449" s="417" t="s">
        <v>28840</v>
      </c>
    </row>
    <row r="4450" spans="1:13" x14ac:dyDescent="0.25">
      <c r="A4450" s="417" t="s">
        <v>3385</v>
      </c>
      <c r="B4450" s="417" t="s">
        <v>3405</v>
      </c>
      <c r="C4450" s="417" t="s">
        <v>11356</v>
      </c>
      <c r="D4450" s="417" t="s">
        <v>989</v>
      </c>
      <c r="E4450" s="423">
        <v>13942234.967342939</v>
      </c>
      <c r="F4450" s="423">
        <v>377494.04323531769</v>
      </c>
      <c r="G4450" s="422">
        <v>28705922591.227821</v>
      </c>
      <c r="H4450" s="417" t="s">
        <v>2616</v>
      </c>
      <c r="I4450" s="417" t="s">
        <v>1392</v>
      </c>
      <c r="J4450" s="417" t="s">
        <v>11354</v>
      </c>
      <c r="K4450" s="417" t="s">
        <v>11357</v>
      </c>
      <c r="L4450" s="417"/>
      <c r="M4450" s="417" t="s">
        <v>28840</v>
      </c>
    </row>
    <row r="4451" spans="1:13" x14ac:dyDescent="0.25">
      <c r="A4451" s="417" t="s">
        <v>3385</v>
      </c>
      <c r="B4451" s="417" t="s">
        <v>3405</v>
      </c>
      <c r="C4451" s="417" t="s">
        <v>11358</v>
      </c>
      <c r="D4451" s="417" t="s">
        <v>989</v>
      </c>
      <c r="E4451" s="423">
        <v>300674.75382056378</v>
      </c>
      <c r="F4451" s="423">
        <v>8329.4447060388884</v>
      </c>
      <c r="G4451" s="422">
        <v>607151098.76590776</v>
      </c>
      <c r="H4451" s="417" t="s">
        <v>2616</v>
      </c>
      <c r="I4451" s="417" t="s">
        <v>1392</v>
      </c>
      <c r="J4451" s="417" t="s">
        <v>11359</v>
      </c>
      <c r="K4451" s="417" t="s">
        <v>11360</v>
      </c>
      <c r="L4451" s="417"/>
      <c r="M4451" s="417" t="s">
        <v>28840</v>
      </c>
    </row>
    <row r="4452" spans="1:13" x14ac:dyDescent="0.25">
      <c r="A4452" s="417" t="s">
        <v>3385</v>
      </c>
      <c r="B4452" s="417" t="s">
        <v>2437</v>
      </c>
      <c r="C4452" s="417" t="s">
        <v>11361</v>
      </c>
      <c r="D4452" s="417" t="s">
        <v>88</v>
      </c>
      <c r="E4452" s="423">
        <v>4.1145621412748374</v>
      </c>
      <c r="F4452" s="423">
        <v>0.28969520185738118</v>
      </c>
      <c r="G4452" s="422">
        <v>8134.0771086115456</v>
      </c>
      <c r="H4452" s="417" t="s">
        <v>2616</v>
      </c>
      <c r="I4452" s="417" t="s">
        <v>1392</v>
      </c>
      <c r="J4452" s="417" t="s">
        <v>4414</v>
      </c>
      <c r="K4452" s="417" t="s">
        <v>11362</v>
      </c>
      <c r="L4452" s="417"/>
      <c r="M4452" s="417" t="s">
        <v>28840</v>
      </c>
    </row>
    <row r="4453" spans="1:13" x14ac:dyDescent="0.25">
      <c r="A4453" s="417" t="s">
        <v>3385</v>
      </c>
      <c r="B4453" s="417" t="s">
        <v>3405</v>
      </c>
      <c r="C4453" s="417" t="s">
        <v>11363</v>
      </c>
      <c r="D4453" s="417" t="s">
        <v>989</v>
      </c>
      <c r="E4453" s="423">
        <v>3149.1560349637298</v>
      </c>
      <c r="F4453" s="423">
        <v>57.107353262762288</v>
      </c>
      <c r="G4453" s="422">
        <v>10950394.661883989</v>
      </c>
      <c r="H4453" s="417" t="s">
        <v>2616</v>
      </c>
      <c r="I4453" s="417" t="s">
        <v>1392</v>
      </c>
      <c r="J4453" s="417" t="s">
        <v>3588</v>
      </c>
      <c r="K4453" s="417" t="s">
        <v>11364</v>
      </c>
      <c r="L4453" s="417"/>
      <c r="M4453" s="417" t="s">
        <v>28840</v>
      </c>
    </row>
    <row r="4454" spans="1:13" x14ac:dyDescent="0.25">
      <c r="A4454" s="417" t="s">
        <v>3385</v>
      </c>
      <c r="B4454" s="417" t="s">
        <v>3405</v>
      </c>
      <c r="C4454" s="417" t="s">
        <v>11365</v>
      </c>
      <c r="D4454" s="417" t="s">
        <v>989</v>
      </c>
      <c r="E4454" s="423">
        <v>50.669463040725716</v>
      </c>
      <c r="F4454" s="423">
        <v>0.82504933760324983</v>
      </c>
      <c r="G4454" s="422">
        <v>123739.5837174272</v>
      </c>
      <c r="H4454" s="417" t="s">
        <v>2616</v>
      </c>
      <c r="I4454" s="417" t="s">
        <v>1392</v>
      </c>
      <c r="J4454" s="417" t="s">
        <v>3588</v>
      </c>
      <c r="K4454" s="417" t="s">
        <v>11366</v>
      </c>
      <c r="L4454" s="417"/>
      <c r="M4454" s="417" t="s">
        <v>28840</v>
      </c>
    </row>
    <row r="4455" spans="1:13" x14ac:dyDescent="0.25">
      <c r="A4455" s="417" t="s">
        <v>3385</v>
      </c>
      <c r="B4455" s="417" t="s">
        <v>2437</v>
      </c>
      <c r="C4455" s="417" t="s">
        <v>11367</v>
      </c>
      <c r="D4455" s="417" t="s">
        <v>88</v>
      </c>
      <c r="E4455" s="423">
        <v>5.8481391494486026</v>
      </c>
      <c r="F4455" s="423">
        <v>0.16223708353278529</v>
      </c>
      <c r="G4455" s="422">
        <v>23312.81494830122</v>
      </c>
      <c r="H4455" s="417" t="s">
        <v>2616</v>
      </c>
      <c r="I4455" s="417" t="s">
        <v>1392</v>
      </c>
      <c r="J4455" s="417" t="s">
        <v>4342</v>
      </c>
      <c r="K4455" s="417" t="s">
        <v>11368</v>
      </c>
      <c r="L4455" s="417"/>
      <c r="M4455" s="417" t="s">
        <v>28840</v>
      </c>
    </row>
    <row r="4456" spans="1:13" x14ac:dyDescent="0.25">
      <c r="A4456" s="417" t="s">
        <v>3385</v>
      </c>
      <c r="B4456" s="417" t="s">
        <v>2437</v>
      </c>
      <c r="C4456" s="417" t="s">
        <v>11369</v>
      </c>
      <c r="D4456" s="417" t="s">
        <v>88</v>
      </c>
      <c r="E4456" s="423">
        <v>2.3393787014042919E-2</v>
      </c>
      <c r="F4456" s="423">
        <v>5.6066062783142112E-3</v>
      </c>
      <c r="G4456" s="422">
        <v>109.51694057063879</v>
      </c>
      <c r="H4456" s="417" t="s">
        <v>2616</v>
      </c>
      <c r="I4456" s="417" t="s">
        <v>1392</v>
      </c>
      <c r="J4456" s="417" t="s">
        <v>4944</v>
      </c>
      <c r="K4456" s="417" t="s">
        <v>11370</v>
      </c>
      <c r="L4456" s="417"/>
      <c r="M4456" s="417" t="s">
        <v>28840</v>
      </c>
    </row>
    <row r="4457" spans="1:13" x14ac:dyDescent="0.25">
      <c r="A4457" s="417" t="s">
        <v>3385</v>
      </c>
      <c r="B4457" s="417" t="s">
        <v>2623</v>
      </c>
      <c r="C4457" s="417" t="s">
        <v>11371</v>
      </c>
      <c r="D4457" s="417" t="s">
        <v>88</v>
      </c>
      <c r="E4457" s="423">
        <v>2.001759391237197E-2</v>
      </c>
      <c r="F4457" s="423">
        <v>7.3453773222369265E-4</v>
      </c>
      <c r="G4457" s="422">
        <v>29.300382799052471</v>
      </c>
      <c r="H4457" s="417" t="s">
        <v>2616</v>
      </c>
      <c r="I4457" s="417" t="s">
        <v>1392</v>
      </c>
      <c r="J4457" s="417" t="s">
        <v>2624</v>
      </c>
      <c r="K4457" s="417" t="s">
        <v>11372</v>
      </c>
      <c r="L4457" s="417"/>
      <c r="M4457" s="417" t="s">
        <v>28840</v>
      </c>
    </row>
    <row r="4458" spans="1:13" x14ac:dyDescent="0.25">
      <c r="A4458" s="417" t="s">
        <v>3385</v>
      </c>
      <c r="B4458" s="417" t="s">
        <v>2623</v>
      </c>
      <c r="C4458" s="417" t="s">
        <v>11373</v>
      </c>
      <c r="D4458" s="417" t="s">
        <v>88</v>
      </c>
      <c r="E4458" s="423">
        <v>2.0079976867221062E-2</v>
      </c>
      <c r="F4458" s="423">
        <v>2.200620733325409E-3</v>
      </c>
      <c r="G4458" s="422">
        <v>40.33832279956804</v>
      </c>
      <c r="H4458" s="417" t="s">
        <v>2616</v>
      </c>
      <c r="I4458" s="417" t="s">
        <v>1392</v>
      </c>
      <c r="J4458" s="417" t="s">
        <v>2624</v>
      </c>
      <c r="K4458" s="417" t="s">
        <v>11374</v>
      </c>
      <c r="L4458" s="417"/>
      <c r="M4458" s="417" t="s">
        <v>28840</v>
      </c>
    </row>
    <row r="4459" spans="1:13" x14ac:dyDescent="0.25">
      <c r="A4459" s="417" t="s">
        <v>3385</v>
      </c>
      <c r="B4459" s="417" t="s">
        <v>2627</v>
      </c>
      <c r="C4459" s="417" t="s">
        <v>11375</v>
      </c>
      <c r="D4459" s="417" t="s">
        <v>88</v>
      </c>
      <c r="E4459" s="423">
        <v>5.2488014288307329E-2</v>
      </c>
      <c r="F4459" s="423">
        <v>1.0704518162097649E-2</v>
      </c>
      <c r="G4459" s="422">
        <v>94.402132677865367</v>
      </c>
      <c r="H4459" s="417" t="s">
        <v>2616</v>
      </c>
      <c r="I4459" s="417" t="s">
        <v>1392</v>
      </c>
      <c r="J4459" s="417" t="s">
        <v>11376</v>
      </c>
      <c r="K4459" s="417" t="s">
        <v>11377</v>
      </c>
      <c r="L4459" s="417"/>
      <c r="M4459" s="417" t="s">
        <v>28840</v>
      </c>
    </row>
    <row r="4460" spans="1:13" x14ac:dyDescent="0.25">
      <c r="A4460" s="417" t="s">
        <v>3385</v>
      </c>
      <c r="B4460" s="417" t="s">
        <v>2627</v>
      </c>
      <c r="C4460" s="417" t="s">
        <v>11378</v>
      </c>
      <c r="D4460" s="417" t="s">
        <v>989</v>
      </c>
      <c r="E4460" s="423">
        <v>329726.33815798938</v>
      </c>
      <c r="F4460" s="423">
        <v>106012.4925819046</v>
      </c>
      <c r="G4460" s="422">
        <v>1070091848.748041</v>
      </c>
      <c r="H4460" s="417" t="s">
        <v>2616</v>
      </c>
      <c r="I4460" s="417" t="s">
        <v>1392</v>
      </c>
      <c r="J4460" s="417" t="s">
        <v>11078</v>
      </c>
      <c r="K4460" s="417" t="s">
        <v>11379</v>
      </c>
      <c r="L4460" s="417"/>
      <c r="M4460" s="417" t="s">
        <v>28840</v>
      </c>
    </row>
    <row r="4461" spans="1:13" x14ac:dyDescent="0.25">
      <c r="A4461" s="417" t="s">
        <v>3385</v>
      </c>
      <c r="B4461" s="417" t="s">
        <v>2627</v>
      </c>
      <c r="C4461" s="417" t="s">
        <v>11380</v>
      </c>
      <c r="D4461" s="417" t="s">
        <v>563</v>
      </c>
      <c r="E4461" s="423">
        <v>13.784561147269869</v>
      </c>
      <c r="F4461" s="423">
        <v>0.33646498643083272</v>
      </c>
      <c r="G4461" s="422">
        <v>21919.288332426651</v>
      </c>
      <c r="H4461" s="417" t="s">
        <v>2616</v>
      </c>
      <c r="I4461" s="417" t="s">
        <v>1392</v>
      </c>
      <c r="J4461" s="417" t="s">
        <v>11381</v>
      </c>
      <c r="K4461" s="417" t="s">
        <v>11382</v>
      </c>
      <c r="L4461" s="417"/>
      <c r="M4461" s="417" t="s">
        <v>28840</v>
      </c>
    </row>
    <row r="4462" spans="1:13" x14ac:dyDescent="0.25">
      <c r="A4462" s="417" t="s">
        <v>3385</v>
      </c>
      <c r="B4462" s="417" t="s">
        <v>2627</v>
      </c>
      <c r="C4462" s="417" t="s">
        <v>11383</v>
      </c>
      <c r="D4462" s="417" t="s">
        <v>563</v>
      </c>
      <c r="E4462" s="423">
        <v>15.63596694384826</v>
      </c>
      <c r="F4462" s="423">
        <v>0.48806651472962281</v>
      </c>
      <c r="G4462" s="422">
        <v>25251.197714925642</v>
      </c>
      <c r="H4462" s="417" t="s">
        <v>2616</v>
      </c>
      <c r="I4462" s="417" t="s">
        <v>1392</v>
      </c>
      <c r="J4462" s="417" t="s">
        <v>11381</v>
      </c>
      <c r="K4462" s="417" t="s">
        <v>11384</v>
      </c>
      <c r="L4462" s="417"/>
      <c r="M4462" s="417" t="s">
        <v>28840</v>
      </c>
    </row>
    <row r="4463" spans="1:13" x14ac:dyDescent="0.25">
      <c r="A4463" s="417" t="s">
        <v>3385</v>
      </c>
      <c r="B4463" s="417" t="s">
        <v>2627</v>
      </c>
      <c r="C4463" s="417" t="s">
        <v>11385</v>
      </c>
      <c r="D4463" s="417" t="s">
        <v>563</v>
      </c>
      <c r="E4463" s="423">
        <v>7.2332218134308041E-2</v>
      </c>
      <c r="F4463" s="423">
        <v>2.5450943844748389E-2</v>
      </c>
      <c r="G4463" s="422">
        <v>148.47128036827149</v>
      </c>
      <c r="H4463" s="417" t="s">
        <v>2616</v>
      </c>
      <c r="I4463" s="417" t="s">
        <v>1392</v>
      </c>
      <c r="J4463" s="417" t="s">
        <v>11381</v>
      </c>
      <c r="K4463" s="417" t="s">
        <v>11386</v>
      </c>
      <c r="L4463" s="417"/>
      <c r="M4463" s="417" t="s">
        <v>28840</v>
      </c>
    </row>
    <row r="4464" spans="1:13" x14ac:dyDescent="0.25">
      <c r="A4464" s="417" t="s">
        <v>3385</v>
      </c>
      <c r="B4464" s="417" t="s">
        <v>2627</v>
      </c>
      <c r="C4464" s="417" t="s">
        <v>11387</v>
      </c>
      <c r="D4464" s="417" t="s">
        <v>563</v>
      </c>
      <c r="E4464" s="423">
        <v>1.0345037233886669</v>
      </c>
      <c r="F4464" s="423">
        <v>0.1029093216139139</v>
      </c>
      <c r="G4464" s="422">
        <v>1981.000107310103</v>
      </c>
      <c r="H4464" s="417" t="s">
        <v>2616</v>
      </c>
      <c r="I4464" s="417" t="s">
        <v>1392</v>
      </c>
      <c r="J4464" s="417" t="s">
        <v>11381</v>
      </c>
      <c r="K4464" s="417" t="s">
        <v>11388</v>
      </c>
      <c r="L4464" s="417"/>
      <c r="M4464" s="417" t="s">
        <v>28840</v>
      </c>
    </row>
    <row r="4465" spans="1:13" x14ac:dyDescent="0.25">
      <c r="A4465" s="417" t="s">
        <v>3385</v>
      </c>
      <c r="B4465" s="417" t="s">
        <v>2627</v>
      </c>
      <c r="C4465" s="417" t="s">
        <v>1018</v>
      </c>
      <c r="D4465" s="417" t="s">
        <v>88</v>
      </c>
      <c r="E4465" s="423">
        <v>8.611861359378965</v>
      </c>
      <c r="F4465" s="423">
        <v>0.10124651942751819</v>
      </c>
      <c r="G4465" s="422">
        <v>11973.880219904289</v>
      </c>
      <c r="H4465" s="417" t="s">
        <v>2616</v>
      </c>
      <c r="I4465" s="417" t="s">
        <v>28841</v>
      </c>
      <c r="J4465" s="417" t="s">
        <v>10852</v>
      </c>
      <c r="K4465" s="417" t="s">
        <v>11389</v>
      </c>
      <c r="L4465" s="417"/>
      <c r="M4465" s="417" t="s">
        <v>28840</v>
      </c>
    </row>
    <row r="4466" spans="1:13" x14ac:dyDescent="0.25">
      <c r="A4466" s="417" t="s">
        <v>3385</v>
      </c>
      <c r="B4466" s="417" t="s">
        <v>2627</v>
      </c>
      <c r="C4466" s="417" t="s">
        <v>11390</v>
      </c>
      <c r="D4466" s="417" t="s">
        <v>88</v>
      </c>
      <c r="E4466" s="423">
        <v>4.3084895385106847</v>
      </c>
      <c r="F4466" s="423">
        <v>0.1076086650182376</v>
      </c>
      <c r="G4466" s="422">
        <v>7012.3790880211882</v>
      </c>
      <c r="H4466" s="417" t="s">
        <v>2616</v>
      </c>
      <c r="I4466" s="417" t="s">
        <v>1392</v>
      </c>
      <c r="J4466" s="417" t="s">
        <v>10852</v>
      </c>
      <c r="K4466" s="417" t="s">
        <v>11391</v>
      </c>
      <c r="L4466" s="417"/>
      <c r="M4466" s="417" t="s">
        <v>28840</v>
      </c>
    </row>
    <row r="4467" spans="1:13" x14ac:dyDescent="0.25">
      <c r="A4467" s="417" t="s">
        <v>3385</v>
      </c>
      <c r="B4467" s="417" t="s">
        <v>2627</v>
      </c>
      <c r="C4467" s="417" t="s">
        <v>11392</v>
      </c>
      <c r="D4467" s="417" t="s">
        <v>88</v>
      </c>
      <c r="E4467" s="423">
        <v>2.3078777759977611</v>
      </c>
      <c r="F4467" s="423">
        <v>7.4106305959565591E-2</v>
      </c>
      <c r="G4467" s="422">
        <v>4148.7743648497144</v>
      </c>
      <c r="H4467" s="417" t="s">
        <v>2616</v>
      </c>
      <c r="I4467" s="417" t="s">
        <v>1392</v>
      </c>
      <c r="J4467" s="417" t="s">
        <v>11080</v>
      </c>
      <c r="K4467" s="417" t="s">
        <v>11393</v>
      </c>
      <c r="L4467" s="417"/>
      <c r="M4467" s="417" t="s">
        <v>28840</v>
      </c>
    </row>
    <row r="4468" spans="1:13" x14ac:dyDescent="0.25">
      <c r="A4468" s="417" t="s">
        <v>3385</v>
      </c>
      <c r="B4468" s="417" t="s">
        <v>2627</v>
      </c>
      <c r="C4468" s="417" t="s">
        <v>11394</v>
      </c>
      <c r="D4468" s="417" t="s">
        <v>989</v>
      </c>
      <c r="E4468" s="423">
        <v>157675526.2804215</v>
      </c>
      <c r="F4468" s="423">
        <v>18641690.546854351</v>
      </c>
      <c r="G4468" s="422">
        <v>341036114391.4704</v>
      </c>
      <c r="H4468" s="417" t="s">
        <v>2616</v>
      </c>
      <c r="I4468" s="417" t="s">
        <v>1392</v>
      </c>
      <c r="J4468" s="417" t="s">
        <v>11395</v>
      </c>
      <c r="K4468" s="417" t="s">
        <v>11396</v>
      </c>
      <c r="L4468" s="417"/>
      <c r="M4468" s="417" t="s">
        <v>28840</v>
      </c>
    </row>
    <row r="4469" spans="1:13" x14ac:dyDescent="0.25">
      <c r="A4469" s="417" t="s">
        <v>3385</v>
      </c>
      <c r="B4469" s="417" t="s">
        <v>2627</v>
      </c>
      <c r="C4469" s="417" t="s">
        <v>11397</v>
      </c>
      <c r="D4469" s="417" t="s">
        <v>989</v>
      </c>
      <c r="E4469" s="423">
        <v>2214857.3958069058</v>
      </c>
      <c r="F4469" s="423">
        <v>162302.44867115829</v>
      </c>
      <c r="G4469" s="422">
        <v>5300511909.2567015</v>
      </c>
      <c r="H4469" s="417" t="s">
        <v>2616</v>
      </c>
      <c r="I4469" s="417" t="s">
        <v>1392</v>
      </c>
      <c r="J4469" s="417" t="s">
        <v>11398</v>
      </c>
      <c r="K4469" s="417" t="s">
        <v>11399</v>
      </c>
      <c r="L4469" s="417"/>
      <c r="M4469" s="417" t="s">
        <v>28840</v>
      </c>
    </row>
    <row r="4470" spans="1:13" x14ac:dyDescent="0.25">
      <c r="A4470" s="417" t="s">
        <v>3385</v>
      </c>
      <c r="B4470" s="417" t="s">
        <v>2627</v>
      </c>
      <c r="C4470" s="417" t="s">
        <v>11400</v>
      </c>
      <c r="D4470" s="417" t="s">
        <v>989</v>
      </c>
      <c r="E4470" s="423">
        <v>24234885.85560175</v>
      </c>
      <c r="F4470" s="423">
        <v>7791918.2047882155</v>
      </c>
      <c r="G4470" s="422">
        <v>61599050853.693153</v>
      </c>
      <c r="H4470" s="417" t="s">
        <v>2616</v>
      </c>
      <c r="I4470" s="417" t="s">
        <v>1392</v>
      </c>
      <c r="J4470" s="417" t="s">
        <v>11078</v>
      </c>
      <c r="K4470" s="417" t="s">
        <v>11401</v>
      </c>
      <c r="L4470" s="417"/>
      <c r="M4470" s="417" t="s">
        <v>28840</v>
      </c>
    </row>
    <row r="4471" spans="1:13" x14ac:dyDescent="0.25">
      <c r="A4471" s="417" t="s">
        <v>3385</v>
      </c>
      <c r="B4471" s="417" t="s">
        <v>2627</v>
      </c>
      <c r="C4471" s="417" t="s">
        <v>11402</v>
      </c>
      <c r="D4471" s="417" t="s">
        <v>88</v>
      </c>
      <c r="E4471" s="423">
        <v>2.2830721695107128</v>
      </c>
      <c r="F4471" s="423">
        <v>0.16056731014219039</v>
      </c>
      <c r="G4471" s="422">
        <v>3782.2686941038241</v>
      </c>
      <c r="H4471" s="417" t="s">
        <v>2616</v>
      </c>
      <c r="I4471" s="417" t="s">
        <v>1392</v>
      </c>
      <c r="J4471" s="417" t="s">
        <v>11080</v>
      </c>
      <c r="K4471" s="417" t="s">
        <v>11403</v>
      </c>
      <c r="L4471" s="417"/>
      <c r="M4471" s="417" t="s">
        <v>28840</v>
      </c>
    </row>
    <row r="4472" spans="1:13" x14ac:dyDescent="0.25">
      <c r="A4472" s="417" t="s">
        <v>3385</v>
      </c>
      <c r="B4472" s="417" t="s">
        <v>2627</v>
      </c>
      <c r="C4472" s="417" t="s">
        <v>926</v>
      </c>
      <c r="D4472" s="417" t="s">
        <v>88</v>
      </c>
      <c r="E4472" s="423">
        <v>1.4611164644987451</v>
      </c>
      <c r="F4472" s="423">
        <v>0.1076384043816354</v>
      </c>
      <c r="G4472" s="422">
        <v>3029.9832828461408</v>
      </c>
      <c r="H4472" s="417" t="s">
        <v>2616</v>
      </c>
      <c r="I4472" s="417" t="s">
        <v>28841</v>
      </c>
      <c r="J4472" s="417" t="s">
        <v>5182</v>
      </c>
      <c r="K4472" s="417" t="s">
        <v>11404</v>
      </c>
      <c r="L4472" s="417"/>
      <c r="M4472" s="417" t="s">
        <v>28840</v>
      </c>
    </row>
    <row r="4473" spans="1:13" x14ac:dyDescent="0.25">
      <c r="A4473" s="417" t="s">
        <v>3385</v>
      </c>
      <c r="B4473" s="417" t="s">
        <v>2627</v>
      </c>
      <c r="C4473" s="417" t="s">
        <v>11405</v>
      </c>
      <c r="D4473" s="417" t="s">
        <v>88</v>
      </c>
      <c r="E4473" s="423">
        <v>0.82933604836512986</v>
      </c>
      <c r="F4473" s="423">
        <v>0.19545623540000001</v>
      </c>
      <c r="G4473" s="422">
        <v>1580.135515164307</v>
      </c>
      <c r="H4473" s="417" t="s">
        <v>2616</v>
      </c>
      <c r="I4473" s="417" t="s">
        <v>1392</v>
      </c>
      <c r="J4473" s="417" t="s">
        <v>3627</v>
      </c>
      <c r="K4473" s="417" t="s">
        <v>11406</v>
      </c>
      <c r="L4473" s="417"/>
      <c r="M4473" s="417" t="s">
        <v>28840</v>
      </c>
    </row>
    <row r="4474" spans="1:13" x14ac:dyDescent="0.25">
      <c r="A4474" s="417" t="s">
        <v>3385</v>
      </c>
      <c r="B4474" s="417" t="s">
        <v>2627</v>
      </c>
      <c r="C4474" s="417" t="s">
        <v>11407</v>
      </c>
      <c r="D4474" s="417" t="s">
        <v>88</v>
      </c>
      <c r="E4474" s="423">
        <v>0.96749022445794119</v>
      </c>
      <c r="F4474" s="423">
        <v>0.19604490771999999</v>
      </c>
      <c r="G4474" s="422">
        <v>1711.5469205563711</v>
      </c>
      <c r="H4474" s="417" t="s">
        <v>2616</v>
      </c>
      <c r="I4474" s="417" t="s">
        <v>1392</v>
      </c>
      <c r="J4474" s="417" t="s">
        <v>3627</v>
      </c>
      <c r="K4474" s="417" t="s">
        <v>11408</v>
      </c>
      <c r="L4474" s="417"/>
      <c r="M4474" s="417" t="s">
        <v>28840</v>
      </c>
    </row>
    <row r="4475" spans="1:13" x14ac:dyDescent="0.25">
      <c r="A4475" s="417" t="s">
        <v>3385</v>
      </c>
      <c r="B4475" s="417" t="s">
        <v>2627</v>
      </c>
      <c r="C4475" s="417" t="s">
        <v>11409</v>
      </c>
      <c r="D4475" s="417" t="s">
        <v>88</v>
      </c>
      <c r="E4475" s="423">
        <v>1.050607443231157</v>
      </c>
      <c r="F4475" s="423">
        <v>0.20709828811503739</v>
      </c>
      <c r="G4475" s="422">
        <v>1862.8701568041399</v>
      </c>
      <c r="H4475" s="417" t="s">
        <v>2616</v>
      </c>
      <c r="I4475" s="417" t="s">
        <v>1392</v>
      </c>
      <c r="J4475" s="417" t="s">
        <v>3627</v>
      </c>
      <c r="K4475" s="417" t="s">
        <v>11410</v>
      </c>
      <c r="L4475" s="417"/>
      <c r="M4475" s="417" t="s">
        <v>28840</v>
      </c>
    </row>
    <row r="4476" spans="1:13" x14ac:dyDescent="0.25">
      <c r="A4476" s="417" t="s">
        <v>3385</v>
      </c>
      <c r="B4476" s="417" t="s">
        <v>2627</v>
      </c>
      <c r="C4476" s="417" t="s">
        <v>11411</v>
      </c>
      <c r="D4476" s="417" t="s">
        <v>88</v>
      </c>
      <c r="E4476" s="423">
        <v>1.082510277940175</v>
      </c>
      <c r="F4476" s="423">
        <v>3.7476601399999997E-2</v>
      </c>
      <c r="G4476" s="422">
        <v>1942.9750978245979</v>
      </c>
      <c r="H4476" s="417" t="s">
        <v>2616</v>
      </c>
      <c r="I4476" s="417" t="s">
        <v>1392</v>
      </c>
      <c r="J4476" s="417" t="s">
        <v>3627</v>
      </c>
      <c r="K4476" s="417" t="s">
        <v>11412</v>
      </c>
      <c r="L4476" s="417"/>
      <c r="M4476" s="417" t="s">
        <v>28840</v>
      </c>
    </row>
    <row r="4477" spans="1:13" x14ac:dyDescent="0.25">
      <c r="A4477" s="417" t="s">
        <v>3385</v>
      </c>
      <c r="B4477" s="417" t="s">
        <v>2627</v>
      </c>
      <c r="C4477" s="417" t="s">
        <v>11413</v>
      </c>
      <c r="D4477" s="417" t="s">
        <v>88</v>
      </c>
      <c r="E4477" s="423">
        <v>3.514635480308085E-2</v>
      </c>
      <c r="F4477" s="423">
        <v>3.437449214072622E-3</v>
      </c>
      <c r="G4477" s="422">
        <v>67.613877996758788</v>
      </c>
      <c r="H4477" s="417" t="s">
        <v>2616</v>
      </c>
      <c r="I4477" s="417" t="s">
        <v>1392</v>
      </c>
      <c r="J4477" s="417" t="s">
        <v>11376</v>
      </c>
      <c r="K4477" s="417" t="s">
        <v>11414</v>
      </c>
      <c r="L4477" s="417"/>
      <c r="M4477" s="417" t="s">
        <v>28840</v>
      </c>
    </row>
    <row r="4478" spans="1:13" x14ac:dyDescent="0.25">
      <c r="A4478" s="417" t="s">
        <v>3385</v>
      </c>
      <c r="B4478" s="417" t="s">
        <v>2627</v>
      </c>
      <c r="C4478" s="417" t="s">
        <v>11415</v>
      </c>
      <c r="D4478" s="417" t="s">
        <v>563</v>
      </c>
      <c r="E4478" s="423">
        <v>28.971597066101861</v>
      </c>
      <c r="F4478" s="423">
        <v>0.85603119020801088</v>
      </c>
      <c r="G4478" s="422">
        <v>48760.19020310678</v>
      </c>
      <c r="H4478" s="417" t="s">
        <v>2616</v>
      </c>
      <c r="I4478" s="417" t="s">
        <v>1392</v>
      </c>
      <c r="J4478" s="417" t="s">
        <v>11080</v>
      </c>
      <c r="K4478" s="417" t="s">
        <v>11416</v>
      </c>
      <c r="L4478" s="417"/>
      <c r="M4478" s="417" t="s">
        <v>28840</v>
      </c>
    </row>
    <row r="4479" spans="1:13" x14ac:dyDescent="0.25">
      <c r="A4479" s="417" t="s">
        <v>3385</v>
      </c>
      <c r="B4479" s="417" t="s">
        <v>2627</v>
      </c>
      <c r="C4479" s="417" t="s">
        <v>11417</v>
      </c>
      <c r="D4479" s="417" t="s">
        <v>563</v>
      </c>
      <c r="E4479" s="423">
        <v>46.982844818391257</v>
      </c>
      <c r="F4479" s="423">
        <v>2.2034305977072441</v>
      </c>
      <c r="G4479" s="422">
        <v>81422.53854495057</v>
      </c>
      <c r="H4479" s="417" t="s">
        <v>2616</v>
      </c>
      <c r="I4479" s="417" t="s">
        <v>1392</v>
      </c>
      <c r="J4479" s="417" t="s">
        <v>4815</v>
      </c>
      <c r="K4479" s="417" t="s">
        <v>11418</v>
      </c>
      <c r="L4479" s="417"/>
      <c r="M4479" s="417" t="s">
        <v>28840</v>
      </c>
    </row>
    <row r="4480" spans="1:13" x14ac:dyDescent="0.25">
      <c r="A4480" s="417" t="s">
        <v>3385</v>
      </c>
      <c r="B4480" s="417" t="s">
        <v>2627</v>
      </c>
      <c r="C4480" s="417" t="s">
        <v>11419</v>
      </c>
      <c r="D4480" s="417" t="s">
        <v>563</v>
      </c>
      <c r="E4480" s="423">
        <v>78.924976108845613</v>
      </c>
      <c r="F4480" s="423">
        <v>3.7526443253668309</v>
      </c>
      <c r="G4480" s="422">
        <v>136884.41053435381</v>
      </c>
      <c r="H4480" s="417" t="s">
        <v>2616</v>
      </c>
      <c r="I4480" s="417" t="s">
        <v>1392</v>
      </c>
      <c r="J4480" s="417" t="s">
        <v>4815</v>
      </c>
      <c r="K4480" s="417" t="s">
        <v>11420</v>
      </c>
      <c r="L4480" s="417"/>
      <c r="M4480" s="417" t="s">
        <v>28840</v>
      </c>
    </row>
    <row r="4481" spans="1:13" x14ac:dyDescent="0.25">
      <c r="A4481" s="417" t="s">
        <v>3385</v>
      </c>
      <c r="B4481" s="417" t="s">
        <v>2627</v>
      </c>
      <c r="C4481" s="417" t="s">
        <v>11421</v>
      </c>
      <c r="D4481" s="417" t="s">
        <v>563</v>
      </c>
      <c r="E4481" s="423">
        <v>42.18932667335848</v>
      </c>
      <c r="F4481" s="423">
        <v>1.9747132832112511</v>
      </c>
      <c r="G4481" s="422">
        <v>71150.729201433394</v>
      </c>
      <c r="H4481" s="417" t="s">
        <v>2616</v>
      </c>
      <c r="I4481" s="417" t="s">
        <v>1392</v>
      </c>
      <c r="J4481" s="417" t="s">
        <v>4815</v>
      </c>
      <c r="K4481" s="417" t="s">
        <v>11422</v>
      </c>
      <c r="L4481" s="417"/>
      <c r="M4481" s="417" t="s">
        <v>28840</v>
      </c>
    </row>
    <row r="4482" spans="1:13" x14ac:dyDescent="0.25">
      <c r="A4482" s="417" t="s">
        <v>3385</v>
      </c>
      <c r="B4482" s="417" t="s">
        <v>2627</v>
      </c>
      <c r="C4482" s="417" t="s">
        <v>11423</v>
      </c>
      <c r="D4482" s="417" t="s">
        <v>563</v>
      </c>
      <c r="E4482" s="423">
        <v>39.683632304006551</v>
      </c>
      <c r="F4482" s="423">
        <v>1.636897774963562</v>
      </c>
      <c r="G4482" s="422">
        <v>65652.718841356444</v>
      </c>
      <c r="H4482" s="417" t="s">
        <v>2616</v>
      </c>
      <c r="I4482" s="417" t="s">
        <v>1392</v>
      </c>
      <c r="J4482" s="417" t="s">
        <v>4815</v>
      </c>
      <c r="K4482" s="417" t="s">
        <v>11424</v>
      </c>
      <c r="L4482" s="417"/>
      <c r="M4482" s="417" t="s">
        <v>28840</v>
      </c>
    </row>
    <row r="4483" spans="1:13" x14ac:dyDescent="0.25">
      <c r="A4483" s="417" t="s">
        <v>3385</v>
      </c>
      <c r="B4483" s="417" t="s">
        <v>2627</v>
      </c>
      <c r="C4483" s="417" t="s">
        <v>11425</v>
      </c>
      <c r="D4483" s="417" t="s">
        <v>563</v>
      </c>
      <c r="E4483" s="423">
        <v>71.668689274697712</v>
      </c>
      <c r="F4483" s="423">
        <v>3.1861863959136758</v>
      </c>
      <c r="G4483" s="422">
        <v>121168.9966536914</v>
      </c>
      <c r="H4483" s="417" t="s">
        <v>2616</v>
      </c>
      <c r="I4483" s="417" t="s">
        <v>1392</v>
      </c>
      <c r="J4483" s="417" t="s">
        <v>4815</v>
      </c>
      <c r="K4483" s="417" t="s">
        <v>11426</v>
      </c>
      <c r="L4483" s="417"/>
      <c r="M4483" s="417" t="s">
        <v>28840</v>
      </c>
    </row>
    <row r="4484" spans="1:13" x14ac:dyDescent="0.25">
      <c r="A4484" s="417" t="s">
        <v>3385</v>
      </c>
      <c r="B4484" s="417" t="s">
        <v>2627</v>
      </c>
      <c r="C4484" s="417" t="s">
        <v>11427</v>
      </c>
      <c r="D4484" s="417" t="s">
        <v>563</v>
      </c>
      <c r="E4484" s="423">
        <v>65.713489375338597</v>
      </c>
      <c r="F4484" s="423">
        <v>3.363172148457251</v>
      </c>
      <c r="G4484" s="422">
        <v>112654.7155722598</v>
      </c>
      <c r="H4484" s="417" t="s">
        <v>2616</v>
      </c>
      <c r="I4484" s="417" t="s">
        <v>1392</v>
      </c>
      <c r="J4484" s="417" t="s">
        <v>4815</v>
      </c>
      <c r="K4484" s="417" t="s">
        <v>11428</v>
      </c>
      <c r="L4484" s="417"/>
      <c r="M4484" s="417" t="s">
        <v>28840</v>
      </c>
    </row>
    <row r="4485" spans="1:13" x14ac:dyDescent="0.25">
      <c r="A4485" s="417" t="s">
        <v>3385</v>
      </c>
      <c r="B4485" s="417" t="s">
        <v>2627</v>
      </c>
      <c r="C4485" s="417" t="s">
        <v>11429</v>
      </c>
      <c r="D4485" s="417" t="s">
        <v>563</v>
      </c>
      <c r="E4485" s="423">
        <v>74.93861823420481</v>
      </c>
      <c r="F4485" s="423">
        <v>3.5782465548342648</v>
      </c>
      <c r="G4485" s="422">
        <v>133420.61690581229</v>
      </c>
      <c r="H4485" s="417" t="s">
        <v>2616</v>
      </c>
      <c r="I4485" s="417" t="s">
        <v>1392</v>
      </c>
      <c r="J4485" s="417" t="s">
        <v>4815</v>
      </c>
      <c r="K4485" s="417" t="s">
        <v>11430</v>
      </c>
      <c r="L4485" s="417"/>
      <c r="M4485" s="417" t="s">
        <v>28840</v>
      </c>
    </row>
    <row r="4486" spans="1:13" x14ac:dyDescent="0.25">
      <c r="A4486" s="417" t="s">
        <v>3385</v>
      </c>
      <c r="B4486" s="417" t="s">
        <v>2627</v>
      </c>
      <c r="C4486" s="417" t="s">
        <v>11431</v>
      </c>
      <c r="D4486" s="417" t="s">
        <v>563</v>
      </c>
      <c r="E4486" s="423">
        <v>100.8395271031212</v>
      </c>
      <c r="F4486" s="423">
        <v>4.6696274897364214</v>
      </c>
      <c r="G4486" s="422">
        <v>175379.36295981909</v>
      </c>
      <c r="H4486" s="417" t="s">
        <v>2616</v>
      </c>
      <c r="I4486" s="417" t="s">
        <v>1392</v>
      </c>
      <c r="J4486" s="417" t="s">
        <v>4815</v>
      </c>
      <c r="K4486" s="417" t="s">
        <v>11432</v>
      </c>
      <c r="L4486" s="417"/>
      <c r="M4486" s="417" t="s">
        <v>28840</v>
      </c>
    </row>
    <row r="4487" spans="1:13" x14ac:dyDescent="0.25">
      <c r="A4487" s="417" t="s">
        <v>3385</v>
      </c>
      <c r="B4487" s="417" t="s">
        <v>2627</v>
      </c>
      <c r="C4487" s="417" t="s">
        <v>11433</v>
      </c>
      <c r="D4487" s="417" t="s">
        <v>563</v>
      </c>
      <c r="E4487" s="423">
        <v>60.383500113866717</v>
      </c>
      <c r="F4487" s="423">
        <v>2.442157723391349</v>
      </c>
      <c r="G4487" s="422">
        <v>101895.5737236275</v>
      </c>
      <c r="H4487" s="417" t="s">
        <v>2616</v>
      </c>
      <c r="I4487" s="417" t="s">
        <v>1392</v>
      </c>
      <c r="J4487" s="417" t="s">
        <v>4815</v>
      </c>
      <c r="K4487" s="417" t="s">
        <v>11434</v>
      </c>
      <c r="L4487" s="417"/>
      <c r="M4487" s="417" t="s">
        <v>28840</v>
      </c>
    </row>
    <row r="4488" spans="1:13" x14ac:dyDescent="0.25">
      <c r="A4488" s="417" t="s">
        <v>3385</v>
      </c>
      <c r="B4488" s="417" t="s">
        <v>2627</v>
      </c>
      <c r="C4488" s="417" t="s">
        <v>11435</v>
      </c>
      <c r="D4488" s="417" t="s">
        <v>563</v>
      </c>
      <c r="E4488" s="423">
        <v>92.3291280195631</v>
      </c>
      <c r="F4488" s="423">
        <v>3.964639698342586</v>
      </c>
      <c r="G4488" s="422">
        <v>157339.35262841379</v>
      </c>
      <c r="H4488" s="417" t="s">
        <v>2616</v>
      </c>
      <c r="I4488" s="417" t="s">
        <v>1392</v>
      </c>
      <c r="J4488" s="417" t="s">
        <v>4815</v>
      </c>
      <c r="K4488" s="417" t="s">
        <v>11436</v>
      </c>
      <c r="L4488" s="417"/>
      <c r="M4488" s="417" t="s">
        <v>28840</v>
      </c>
    </row>
    <row r="4489" spans="1:13" x14ac:dyDescent="0.25">
      <c r="A4489" s="417" t="s">
        <v>3385</v>
      </c>
      <c r="B4489" s="417" t="s">
        <v>2627</v>
      </c>
      <c r="C4489" s="417" t="s">
        <v>11437</v>
      </c>
      <c r="D4489" s="417" t="s">
        <v>563</v>
      </c>
      <c r="E4489" s="423">
        <v>82.202460659468656</v>
      </c>
      <c r="F4489" s="423">
        <v>4.1454436611187386</v>
      </c>
      <c r="G4489" s="422">
        <v>149150.30522970631</v>
      </c>
      <c r="H4489" s="417" t="s">
        <v>2616</v>
      </c>
      <c r="I4489" s="417" t="s">
        <v>1392</v>
      </c>
      <c r="J4489" s="417" t="s">
        <v>4815</v>
      </c>
      <c r="K4489" s="417" t="s">
        <v>11438</v>
      </c>
      <c r="L4489" s="417"/>
      <c r="M4489" s="417" t="s">
        <v>28840</v>
      </c>
    </row>
    <row r="4490" spans="1:13" x14ac:dyDescent="0.25">
      <c r="A4490" s="417" t="s">
        <v>3385</v>
      </c>
      <c r="B4490" s="417" t="s">
        <v>2437</v>
      </c>
      <c r="C4490" s="417" t="s">
        <v>11439</v>
      </c>
      <c r="D4490" s="417" t="s">
        <v>88</v>
      </c>
      <c r="E4490" s="423">
        <v>1.7078907497015461</v>
      </c>
      <c r="F4490" s="423">
        <v>5.9088384087484798E-2</v>
      </c>
      <c r="G4490" s="422">
        <v>4324.7190737601659</v>
      </c>
      <c r="H4490" s="417" t="s">
        <v>2616</v>
      </c>
      <c r="I4490" s="417" t="s">
        <v>1392</v>
      </c>
      <c r="J4490" s="417" t="s">
        <v>4414</v>
      </c>
      <c r="K4490" s="417" t="s">
        <v>11440</v>
      </c>
      <c r="L4490" s="417"/>
      <c r="M4490" s="417" t="s">
        <v>28840</v>
      </c>
    </row>
    <row r="4491" spans="1:13" x14ac:dyDescent="0.25">
      <c r="A4491" s="417" t="s">
        <v>3385</v>
      </c>
      <c r="B4491" s="417" t="s">
        <v>2437</v>
      </c>
      <c r="C4491" s="417" t="s">
        <v>11441</v>
      </c>
      <c r="D4491" s="417" t="s">
        <v>88</v>
      </c>
      <c r="E4491" s="423">
        <v>4.4366790545718251</v>
      </c>
      <c r="F4491" s="423">
        <v>0.10986099203214079</v>
      </c>
      <c r="G4491" s="422">
        <v>8080.7050359526138</v>
      </c>
      <c r="H4491" s="417" t="s">
        <v>2616</v>
      </c>
      <c r="I4491" s="417" t="s">
        <v>1392</v>
      </c>
      <c r="J4491" s="417" t="s">
        <v>4342</v>
      </c>
      <c r="K4491" s="417" t="s">
        <v>11442</v>
      </c>
      <c r="L4491" s="417"/>
      <c r="M4491" s="417" t="s">
        <v>28840</v>
      </c>
    </row>
    <row r="4492" spans="1:13" x14ac:dyDescent="0.25">
      <c r="A4492" s="417" t="s">
        <v>3385</v>
      </c>
      <c r="B4492" s="417" t="s">
        <v>2437</v>
      </c>
      <c r="C4492" s="417" t="s">
        <v>11443</v>
      </c>
      <c r="D4492" s="417" t="s">
        <v>88</v>
      </c>
      <c r="E4492" s="423">
        <v>4.2578258964141149</v>
      </c>
      <c r="F4492" s="423">
        <v>0.21335655051388361</v>
      </c>
      <c r="G4492" s="422">
        <v>8766.605574524885</v>
      </c>
      <c r="H4492" s="417" t="s">
        <v>2616</v>
      </c>
      <c r="I4492" s="417" t="s">
        <v>1392</v>
      </c>
      <c r="J4492" s="417" t="s">
        <v>4342</v>
      </c>
      <c r="K4492" s="417" t="s">
        <v>11444</v>
      </c>
      <c r="L4492" s="417"/>
      <c r="M4492" s="417" t="s">
        <v>28840</v>
      </c>
    </row>
    <row r="4493" spans="1:13" x14ac:dyDescent="0.25">
      <c r="A4493" s="417" t="s">
        <v>3385</v>
      </c>
      <c r="B4493" s="417" t="s">
        <v>2627</v>
      </c>
      <c r="C4493" s="417" t="s">
        <v>11445</v>
      </c>
      <c r="D4493" s="417" t="s">
        <v>83</v>
      </c>
      <c r="E4493" s="423">
        <v>84.959498039122337</v>
      </c>
      <c r="F4493" s="423">
        <v>187.01746916693449</v>
      </c>
      <c r="G4493" s="422">
        <v>271753.35652403883</v>
      </c>
      <c r="H4493" s="417" t="s">
        <v>2616</v>
      </c>
      <c r="I4493" s="417" t="s">
        <v>1392</v>
      </c>
      <c r="J4493" s="417" t="s">
        <v>4016</v>
      </c>
      <c r="K4493" s="417" t="s">
        <v>11446</v>
      </c>
      <c r="L4493" s="417"/>
      <c r="M4493" s="417" t="s">
        <v>28840</v>
      </c>
    </row>
    <row r="4494" spans="1:13" x14ac:dyDescent="0.25">
      <c r="A4494" s="417" t="s">
        <v>3385</v>
      </c>
      <c r="B4494" s="417" t="s">
        <v>2627</v>
      </c>
      <c r="C4494" s="417" t="s">
        <v>11447</v>
      </c>
      <c r="D4494" s="417" t="s">
        <v>83</v>
      </c>
      <c r="E4494" s="423">
        <v>116.29841786480701</v>
      </c>
      <c r="F4494" s="423">
        <v>180.64652658830451</v>
      </c>
      <c r="G4494" s="422">
        <v>299114.88853000861</v>
      </c>
      <c r="H4494" s="417" t="s">
        <v>2616</v>
      </c>
      <c r="I4494" s="417" t="s">
        <v>1392</v>
      </c>
      <c r="J4494" s="417" t="s">
        <v>4016</v>
      </c>
      <c r="K4494" s="417" t="s">
        <v>11448</v>
      </c>
      <c r="L4494" s="417"/>
      <c r="M4494" s="417" t="s">
        <v>28840</v>
      </c>
    </row>
    <row r="4495" spans="1:13" x14ac:dyDescent="0.25">
      <c r="A4495" s="417" t="s">
        <v>3385</v>
      </c>
      <c r="B4495" s="417" t="s">
        <v>2627</v>
      </c>
      <c r="C4495" s="417" t="s">
        <v>11449</v>
      </c>
      <c r="D4495" s="417" t="s">
        <v>83</v>
      </c>
      <c r="E4495" s="423">
        <v>84.959498039122337</v>
      </c>
      <c r="F4495" s="423">
        <v>187.01746916693449</v>
      </c>
      <c r="G4495" s="422">
        <v>263759.60572403879</v>
      </c>
      <c r="H4495" s="417" t="s">
        <v>2616</v>
      </c>
      <c r="I4495" s="417" t="s">
        <v>1392</v>
      </c>
      <c r="J4495" s="417" t="s">
        <v>4016</v>
      </c>
      <c r="K4495" s="417" t="s">
        <v>11450</v>
      </c>
      <c r="L4495" s="417"/>
      <c r="M4495" s="417" t="s">
        <v>28840</v>
      </c>
    </row>
    <row r="4496" spans="1:13" x14ac:dyDescent="0.25">
      <c r="A4496" s="417" t="s">
        <v>3385</v>
      </c>
      <c r="B4496" s="417" t="s">
        <v>2627</v>
      </c>
      <c r="C4496" s="417" t="s">
        <v>11451</v>
      </c>
      <c r="D4496" s="417" t="s">
        <v>83</v>
      </c>
      <c r="E4496" s="423">
        <v>109.1558803961933</v>
      </c>
      <c r="F4496" s="423">
        <v>182.84776824414399</v>
      </c>
      <c r="G4496" s="422">
        <v>296431.3255867103</v>
      </c>
      <c r="H4496" s="417" t="s">
        <v>2616</v>
      </c>
      <c r="I4496" s="417" t="s">
        <v>1392</v>
      </c>
      <c r="J4496" s="417" t="s">
        <v>4016</v>
      </c>
      <c r="K4496" s="417" t="s">
        <v>11452</v>
      </c>
      <c r="L4496" s="417"/>
      <c r="M4496" s="417" t="s">
        <v>28840</v>
      </c>
    </row>
    <row r="4497" spans="1:13" x14ac:dyDescent="0.25">
      <c r="A4497" s="417" t="s">
        <v>3385</v>
      </c>
      <c r="B4497" s="417" t="s">
        <v>2627</v>
      </c>
      <c r="C4497" s="417" t="s">
        <v>11453</v>
      </c>
      <c r="D4497" s="417" t="s">
        <v>83</v>
      </c>
      <c r="E4497" s="423">
        <v>109.1558803961933</v>
      </c>
      <c r="F4497" s="423">
        <v>182.84776824414399</v>
      </c>
      <c r="G4497" s="422">
        <v>288217.38278671028</v>
      </c>
      <c r="H4497" s="417" t="s">
        <v>2616</v>
      </c>
      <c r="I4497" s="417" t="s">
        <v>1392</v>
      </c>
      <c r="J4497" s="417" t="s">
        <v>4016</v>
      </c>
      <c r="K4497" s="417" t="s">
        <v>11454</v>
      </c>
      <c r="L4497" s="417"/>
      <c r="M4497" s="417" t="s">
        <v>28840</v>
      </c>
    </row>
    <row r="4498" spans="1:13" x14ac:dyDescent="0.25">
      <c r="A4498" s="417" t="s">
        <v>3385</v>
      </c>
      <c r="B4498" s="417" t="s">
        <v>2627</v>
      </c>
      <c r="C4498" s="417" t="s">
        <v>1004</v>
      </c>
      <c r="D4498" s="417" t="s">
        <v>83</v>
      </c>
      <c r="E4498" s="423">
        <v>87.409431612098047</v>
      </c>
      <c r="F4498" s="423">
        <v>187.26892723501501</v>
      </c>
      <c r="G4498" s="422">
        <v>275664.62165705982</v>
      </c>
      <c r="H4498" s="417" t="s">
        <v>2616</v>
      </c>
      <c r="I4498" s="417" t="s">
        <v>28841</v>
      </c>
      <c r="J4498" s="417" t="s">
        <v>4016</v>
      </c>
      <c r="K4498" s="417" t="s">
        <v>11455</v>
      </c>
      <c r="L4498" s="417"/>
      <c r="M4498" s="417" t="s">
        <v>28840</v>
      </c>
    </row>
    <row r="4499" spans="1:13" x14ac:dyDescent="0.25">
      <c r="A4499" s="417" t="s">
        <v>3385</v>
      </c>
      <c r="B4499" s="417" t="s">
        <v>2627</v>
      </c>
      <c r="C4499" s="417" t="s">
        <v>11456</v>
      </c>
      <c r="D4499" s="417" t="s">
        <v>83</v>
      </c>
      <c r="E4499" s="423">
        <v>84.687283145467404</v>
      </c>
      <c r="F4499" s="423">
        <v>186.98952938037681</v>
      </c>
      <c r="G4499" s="422">
        <v>271318.77223810978</v>
      </c>
      <c r="H4499" s="417" t="s">
        <v>2616</v>
      </c>
      <c r="I4499" s="417" t="s">
        <v>1392</v>
      </c>
      <c r="J4499" s="417" t="s">
        <v>4016</v>
      </c>
      <c r="K4499" s="417" t="s">
        <v>11457</v>
      </c>
      <c r="L4499" s="417"/>
      <c r="M4499" s="417" t="s">
        <v>28840</v>
      </c>
    </row>
    <row r="4500" spans="1:13" x14ac:dyDescent="0.25">
      <c r="A4500" s="417" t="s">
        <v>3385</v>
      </c>
      <c r="B4500" s="417" t="s">
        <v>2627</v>
      </c>
      <c r="C4500" s="417" t="s">
        <v>11458</v>
      </c>
      <c r="D4500" s="417" t="s">
        <v>83</v>
      </c>
      <c r="E4500" s="423">
        <v>120.6828053135453</v>
      </c>
      <c r="F4500" s="423">
        <v>185.4376205084663</v>
      </c>
      <c r="G4500" s="422">
        <v>316815.94144080539</v>
      </c>
      <c r="H4500" s="417" t="s">
        <v>2616</v>
      </c>
      <c r="I4500" s="417" t="s">
        <v>1392</v>
      </c>
      <c r="J4500" s="417" t="s">
        <v>4016</v>
      </c>
      <c r="K4500" s="417" t="s">
        <v>11459</v>
      </c>
      <c r="L4500" s="417"/>
      <c r="M4500" s="417" t="s">
        <v>28840</v>
      </c>
    </row>
    <row r="4501" spans="1:13" x14ac:dyDescent="0.25">
      <c r="A4501" s="417" t="s">
        <v>3385</v>
      </c>
      <c r="B4501" s="417" t="s">
        <v>2627</v>
      </c>
      <c r="C4501" s="417" t="s">
        <v>11460</v>
      </c>
      <c r="D4501" s="417" t="s">
        <v>83</v>
      </c>
      <c r="E4501" s="423">
        <v>79.353084237292776</v>
      </c>
      <c r="F4501" s="423">
        <v>122.80368613251579</v>
      </c>
      <c r="G4501" s="422">
        <v>254119.79365753409</v>
      </c>
      <c r="H4501" s="417" t="s">
        <v>2616</v>
      </c>
      <c r="I4501" s="417" t="s">
        <v>1392</v>
      </c>
      <c r="J4501" s="417" t="s">
        <v>4016</v>
      </c>
      <c r="K4501" s="417" t="s">
        <v>11461</v>
      </c>
      <c r="L4501" s="417"/>
      <c r="M4501" s="417" t="s">
        <v>28840</v>
      </c>
    </row>
    <row r="4502" spans="1:13" x14ac:dyDescent="0.25">
      <c r="A4502" s="417" t="s">
        <v>3385</v>
      </c>
      <c r="B4502" s="417" t="s">
        <v>2627</v>
      </c>
      <c r="C4502" s="417" t="s">
        <v>11462</v>
      </c>
      <c r="D4502" s="417" t="s">
        <v>83</v>
      </c>
      <c r="E4502" s="423">
        <v>110.20894659536459</v>
      </c>
      <c r="F4502" s="423">
        <v>164.6554470430375</v>
      </c>
      <c r="G4502" s="422">
        <v>302348.25025564327</v>
      </c>
      <c r="H4502" s="417" t="s">
        <v>2616</v>
      </c>
      <c r="I4502" s="417" t="s">
        <v>1392</v>
      </c>
      <c r="J4502" s="417" t="s">
        <v>4016</v>
      </c>
      <c r="K4502" s="417" t="s">
        <v>11463</v>
      </c>
      <c r="L4502" s="417"/>
      <c r="M4502" s="417" t="s">
        <v>28840</v>
      </c>
    </row>
    <row r="4503" spans="1:13" x14ac:dyDescent="0.25">
      <c r="A4503" s="417" t="s">
        <v>3385</v>
      </c>
      <c r="B4503" s="417" t="s">
        <v>2627</v>
      </c>
      <c r="C4503" s="417" t="s">
        <v>11464</v>
      </c>
      <c r="D4503" s="417" t="s">
        <v>83</v>
      </c>
      <c r="E4503" s="423">
        <v>110.20894659536459</v>
      </c>
      <c r="F4503" s="423">
        <v>164.6554470430375</v>
      </c>
      <c r="G4503" s="422">
        <v>294154.86785564339</v>
      </c>
      <c r="H4503" s="417" t="s">
        <v>2616</v>
      </c>
      <c r="I4503" s="417" t="s">
        <v>1392</v>
      </c>
      <c r="J4503" s="417" t="s">
        <v>4016</v>
      </c>
      <c r="K4503" s="417" t="s">
        <v>11465</v>
      </c>
      <c r="L4503" s="417"/>
      <c r="M4503" s="417" t="s">
        <v>28840</v>
      </c>
    </row>
    <row r="4504" spans="1:13" x14ac:dyDescent="0.25">
      <c r="A4504" s="417" t="s">
        <v>3385</v>
      </c>
      <c r="B4504" s="417" t="s">
        <v>2627</v>
      </c>
      <c r="C4504" s="417" t="s">
        <v>11466</v>
      </c>
      <c r="D4504" s="417" t="s">
        <v>83</v>
      </c>
      <c r="E4504" s="423">
        <v>81.803017889546723</v>
      </c>
      <c r="F4504" s="423">
        <v>123.0551442012291</v>
      </c>
      <c r="G4504" s="422">
        <v>258031.05825897571</v>
      </c>
      <c r="H4504" s="417" t="s">
        <v>2616</v>
      </c>
      <c r="I4504" s="417" t="s">
        <v>1392</v>
      </c>
      <c r="J4504" s="417" t="s">
        <v>4016</v>
      </c>
      <c r="K4504" s="417" t="s">
        <v>11467</v>
      </c>
      <c r="L4504" s="417"/>
      <c r="M4504" s="417" t="s">
        <v>28840</v>
      </c>
    </row>
    <row r="4505" spans="1:13" x14ac:dyDescent="0.25">
      <c r="A4505" s="417" t="s">
        <v>3385</v>
      </c>
      <c r="B4505" s="417" t="s">
        <v>2627</v>
      </c>
      <c r="C4505" s="417" t="s">
        <v>11468</v>
      </c>
      <c r="D4505" s="417" t="s">
        <v>83</v>
      </c>
      <c r="E4505" s="423">
        <v>79.080869278350121</v>
      </c>
      <c r="F4505" s="423">
        <v>122.775746344693</v>
      </c>
      <c r="G4505" s="422">
        <v>253685.2083724752</v>
      </c>
      <c r="H4505" s="417" t="s">
        <v>2616</v>
      </c>
      <c r="I4505" s="417" t="s">
        <v>1392</v>
      </c>
      <c r="J4505" s="417" t="s">
        <v>4016</v>
      </c>
      <c r="K4505" s="417" t="s">
        <v>11469</v>
      </c>
      <c r="L4505" s="417"/>
      <c r="M4505" s="417" t="s">
        <v>28840</v>
      </c>
    </row>
    <row r="4506" spans="1:13" x14ac:dyDescent="0.25">
      <c r="A4506" s="417" t="s">
        <v>3385</v>
      </c>
      <c r="B4506" s="417" t="s">
        <v>2627</v>
      </c>
      <c r="C4506" s="417" t="s">
        <v>11470</v>
      </c>
      <c r="D4506" s="417" t="s">
        <v>989</v>
      </c>
      <c r="E4506" s="423">
        <v>2844208.013123841</v>
      </c>
      <c r="F4506" s="423">
        <v>544874.41647726158</v>
      </c>
      <c r="G4506" s="422">
        <v>6235277289.6186953</v>
      </c>
      <c r="H4506" s="417" t="s">
        <v>2616</v>
      </c>
      <c r="I4506" s="417" t="s">
        <v>1392</v>
      </c>
      <c r="J4506" s="417" t="s">
        <v>4016</v>
      </c>
      <c r="K4506" s="417" t="s">
        <v>11471</v>
      </c>
      <c r="L4506" s="417"/>
      <c r="M4506" s="417" t="s">
        <v>28840</v>
      </c>
    </row>
    <row r="4507" spans="1:13" x14ac:dyDescent="0.25">
      <c r="A4507" s="417" t="s">
        <v>3385</v>
      </c>
      <c r="B4507" s="417" t="s">
        <v>2627</v>
      </c>
      <c r="C4507" s="417" t="s">
        <v>11472</v>
      </c>
      <c r="D4507" s="417" t="s">
        <v>88</v>
      </c>
      <c r="E4507" s="423">
        <v>0.46363017142156471</v>
      </c>
      <c r="F4507" s="423">
        <v>3.069130920149024</v>
      </c>
      <c r="G4507" s="422">
        <v>3340.855543401623</v>
      </c>
      <c r="H4507" s="417" t="s">
        <v>2616</v>
      </c>
      <c r="I4507" s="417" t="s">
        <v>1392</v>
      </c>
      <c r="J4507" s="417" t="s">
        <v>3396</v>
      </c>
      <c r="K4507" s="417" t="s">
        <v>11473</v>
      </c>
      <c r="L4507" s="417"/>
      <c r="M4507" s="417" t="s">
        <v>28840</v>
      </c>
    </row>
    <row r="4508" spans="1:13" x14ac:dyDescent="0.25">
      <c r="A4508" s="417" t="s">
        <v>3385</v>
      </c>
      <c r="B4508" s="417" t="s">
        <v>2627</v>
      </c>
      <c r="C4508" s="417" t="s">
        <v>11474</v>
      </c>
      <c r="D4508" s="417" t="s">
        <v>88</v>
      </c>
      <c r="E4508" s="423">
        <v>7.4835797637047702E-2</v>
      </c>
      <c r="F4508" s="423">
        <v>2.1139363473351871</v>
      </c>
      <c r="G4508" s="422">
        <v>130.3244726179451</v>
      </c>
      <c r="H4508" s="417" t="s">
        <v>2616</v>
      </c>
      <c r="I4508" s="417" t="s">
        <v>1392</v>
      </c>
      <c r="J4508" s="417" t="s">
        <v>3396</v>
      </c>
      <c r="K4508" s="417" t="s">
        <v>11475</v>
      </c>
      <c r="L4508" s="417"/>
      <c r="M4508" s="417" t="s">
        <v>28840</v>
      </c>
    </row>
    <row r="4509" spans="1:13" x14ac:dyDescent="0.25">
      <c r="A4509" s="417" t="s">
        <v>3385</v>
      </c>
      <c r="B4509" s="417" t="s">
        <v>2627</v>
      </c>
      <c r="C4509" s="417" t="s">
        <v>1056</v>
      </c>
      <c r="D4509" s="417" t="s">
        <v>88</v>
      </c>
      <c r="E4509" s="423">
        <v>7.9388269321912874</v>
      </c>
      <c r="F4509" s="423">
        <v>0.4804909305486359</v>
      </c>
      <c r="G4509" s="422">
        <v>26486.71826242112</v>
      </c>
      <c r="H4509" s="417" t="s">
        <v>2616</v>
      </c>
      <c r="I4509" s="417" t="s">
        <v>28841</v>
      </c>
      <c r="J4509" s="417" t="s">
        <v>3387</v>
      </c>
      <c r="K4509" s="417" t="s">
        <v>11476</v>
      </c>
      <c r="L4509" s="417"/>
      <c r="M4509" s="417" t="s">
        <v>28840</v>
      </c>
    </row>
    <row r="4510" spans="1:13" x14ac:dyDescent="0.25">
      <c r="A4510" s="417" t="s">
        <v>3385</v>
      </c>
      <c r="B4510" s="417" t="s">
        <v>2627</v>
      </c>
      <c r="C4510" s="417" t="s">
        <v>11477</v>
      </c>
      <c r="D4510" s="417" t="s">
        <v>88</v>
      </c>
      <c r="E4510" s="423">
        <v>8.1456389554053796</v>
      </c>
      <c r="F4510" s="423">
        <v>0.49430260627137429</v>
      </c>
      <c r="G4510" s="422">
        <v>26638.56489711651</v>
      </c>
      <c r="H4510" s="417" t="s">
        <v>2616</v>
      </c>
      <c r="I4510" s="417" t="s">
        <v>1392</v>
      </c>
      <c r="J4510" s="417" t="s">
        <v>3387</v>
      </c>
      <c r="K4510" s="417" t="s">
        <v>11478</v>
      </c>
      <c r="L4510" s="417"/>
      <c r="M4510" s="417" t="s">
        <v>28840</v>
      </c>
    </row>
    <row r="4511" spans="1:13" x14ac:dyDescent="0.25">
      <c r="A4511" s="417" t="s">
        <v>3385</v>
      </c>
      <c r="B4511" s="417" t="s">
        <v>2627</v>
      </c>
      <c r="C4511" s="417" t="s">
        <v>11479</v>
      </c>
      <c r="D4511" s="417" t="s">
        <v>88</v>
      </c>
      <c r="E4511" s="423">
        <v>14110.12414796956</v>
      </c>
      <c r="F4511" s="423">
        <v>404.94286401043502</v>
      </c>
      <c r="G4511" s="422">
        <v>351913811.69572139</v>
      </c>
      <c r="H4511" s="417" t="s">
        <v>2616</v>
      </c>
      <c r="I4511" s="417" t="s">
        <v>1392</v>
      </c>
      <c r="J4511" s="417" t="s">
        <v>3915</v>
      </c>
      <c r="K4511" s="417" t="s">
        <v>11480</v>
      </c>
      <c r="L4511" s="417"/>
      <c r="M4511" s="417" t="s">
        <v>28840</v>
      </c>
    </row>
    <row r="4512" spans="1:13" x14ac:dyDescent="0.25">
      <c r="A4512" s="417" t="s">
        <v>3385</v>
      </c>
      <c r="B4512" s="417" t="s">
        <v>2627</v>
      </c>
      <c r="C4512" s="417" t="s">
        <v>11481</v>
      </c>
      <c r="D4512" s="417" t="s">
        <v>88</v>
      </c>
      <c r="E4512" s="423">
        <v>8971.1951363757653</v>
      </c>
      <c r="F4512" s="423">
        <v>1198.0094817831221</v>
      </c>
      <c r="G4512" s="422">
        <v>253585968.1388931</v>
      </c>
      <c r="H4512" s="417" t="s">
        <v>2616</v>
      </c>
      <c r="I4512" s="417" t="s">
        <v>1392</v>
      </c>
      <c r="J4512" s="417" t="s">
        <v>3915</v>
      </c>
      <c r="K4512" s="417" t="s">
        <v>11482</v>
      </c>
      <c r="L4512" s="417"/>
      <c r="M4512" s="417" t="s">
        <v>28840</v>
      </c>
    </row>
    <row r="4513" spans="1:13" x14ac:dyDescent="0.25">
      <c r="A4513" s="417" t="s">
        <v>3385</v>
      </c>
      <c r="B4513" s="417" t="s">
        <v>2627</v>
      </c>
      <c r="C4513" s="417" t="s">
        <v>11483</v>
      </c>
      <c r="D4513" s="417" t="s">
        <v>88</v>
      </c>
      <c r="E4513" s="423">
        <v>16529.452293219889</v>
      </c>
      <c r="F4513" s="423">
        <v>975.74385650495731</v>
      </c>
      <c r="G4513" s="422">
        <v>265636181.22965929</v>
      </c>
      <c r="H4513" s="417" t="s">
        <v>2616</v>
      </c>
      <c r="I4513" s="417" t="s">
        <v>1392</v>
      </c>
      <c r="J4513" s="417" t="s">
        <v>3915</v>
      </c>
      <c r="K4513" s="417" t="s">
        <v>11484</v>
      </c>
      <c r="L4513" s="417"/>
      <c r="M4513" s="417" t="s">
        <v>28840</v>
      </c>
    </row>
    <row r="4514" spans="1:13" x14ac:dyDescent="0.25">
      <c r="A4514" s="417" t="s">
        <v>3385</v>
      </c>
      <c r="B4514" s="417" t="s">
        <v>2627</v>
      </c>
      <c r="C4514" s="417" t="s">
        <v>11485</v>
      </c>
      <c r="D4514" s="417" t="s">
        <v>88</v>
      </c>
      <c r="E4514" s="423">
        <v>15181.739506905369</v>
      </c>
      <c r="F4514" s="423">
        <v>532.16159818952235</v>
      </c>
      <c r="G4514" s="422">
        <v>262971599.68726519</v>
      </c>
      <c r="H4514" s="417" t="s">
        <v>2616</v>
      </c>
      <c r="I4514" s="417" t="s">
        <v>1392</v>
      </c>
      <c r="J4514" s="417" t="s">
        <v>3915</v>
      </c>
      <c r="K4514" s="417" t="s">
        <v>11486</v>
      </c>
      <c r="L4514" s="417"/>
      <c r="M4514" s="417" t="s">
        <v>28840</v>
      </c>
    </row>
    <row r="4515" spans="1:13" x14ac:dyDescent="0.25">
      <c r="A4515" s="417" t="s">
        <v>3385</v>
      </c>
      <c r="B4515" s="417" t="s">
        <v>2627</v>
      </c>
      <c r="C4515" s="417" t="s">
        <v>11487</v>
      </c>
      <c r="D4515" s="417" t="s">
        <v>88</v>
      </c>
      <c r="E4515" s="423">
        <v>13931.701573323609</v>
      </c>
      <c r="F4515" s="423">
        <v>142.3523031758547</v>
      </c>
      <c r="G4515" s="422">
        <v>233124826.42110959</v>
      </c>
      <c r="H4515" s="417" t="s">
        <v>2616</v>
      </c>
      <c r="I4515" s="417" t="s">
        <v>1392</v>
      </c>
      <c r="J4515" s="417" t="s">
        <v>3915</v>
      </c>
      <c r="K4515" s="417" t="s">
        <v>11488</v>
      </c>
      <c r="L4515" s="417"/>
      <c r="M4515" s="417" t="s">
        <v>28840</v>
      </c>
    </row>
    <row r="4516" spans="1:13" x14ac:dyDescent="0.25">
      <c r="A4516" s="417" t="s">
        <v>3385</v>
      </c>
      <c r="B4516" s="417" t="s">
        <v>2627</v>
      </c>
      <c r="C4516" s="417" t="s">
        <v>1097</v>
      </c>
      <c r="D4516" s="417" t="s">
        <v>88</v>
      </c>
      <c r="E4516" s="423">
        <v>13368.261584093851</v>
      </c>
      <c r="F4516" s="423">
        <v>455.58665247592762</v>
      </c>
      <c r="G4516" s="422">
        <v>188412434.21402901</v>
      </c>
      <c r="H4516" s="417" t="s">
        <v>2616</v>
      </c>
      <c r="I4516" s="417" t="s">
        <v>28841</v>
      </c>
      <c r="J4516" s="417" t="s">
        <v>3915</v>
      </c>
      <c r="K4516" s="417" t="s">
        <v>11489</v>
      </c>
      <c r="L4516" s="417"/>
      <c r="M4516" s="417" t="s">
        <v>28840</v>
      </c>
    </row>
    <row r="4517" spans="1:13" x14ac:dyDescent="0.25">
      <c r="A4517" s="417" t="s">
        <v>3385</v>
      </c>
      <c r="B4517" s="417" t="s">
        <v>2627</v>
      </c>
      <c r="C4517" s="417" t="s">
        <v>11490</v>
      </c>
      <c r="D4517" s="417" t="s">
        <v>88</v>
      </c>
      <c r="E4517" s="423">
        <v>43016.091843710987</v>
      </c>
      <c r="F4517" s="423">
        <v>1220.58453423782</v>
      </c>
      <c r="G4517" s="422">
        <v>309492354.07801378</v>
      </c>
      <c r="H4517" s="417" t="s">
        <v>2616</v>
      </c>
      <c r="I4517" s="417" t="s">
        <v>1392</v>
      </c>
      <c r="J4517" s="417" t="s">
        <v>3915</v>
      </c>
      <c r="K4517" s="417" t="s">
        <v>11491</v>
      </c>
      <c r="L4517" s="417"/>
      <c r="M4517" s="417" t="s">
        <v>28840</v>
      </c>
    </row>
    <row r="4518" spans="1:13" x14ac:dyDescent="0.25">
      <c r="A4518" s="417" t="s">
        <v>3385</v>
      </c>
      <c r="B4518" s="417" t="s">
        <v>2627</v>
      </c>
      <c r="C4518" s="417" t="s">
        <v>11492</v>
      </c>
      <c r="D4518" s="417" t="s">
        <v>88</v>
      </c>
      <c r="E4518" s="423">
        <v>6856.8663866264096</v>
      </c>
      <c r="F4518" s="423">
        <v>487.98523493107211</v>
      </c>
      <c r="G4518" s="422">
        <v>259413567.27619839</v>
      </c>
      <c r="H4518" s="417" t="s">
        <v>2616</v>
      </c>
      <c r="I4518" s="417" t="s">
        <v>1392</v>
      </c>
      <c r="J4518" s="417" t="s">
        <v>3915</v>
      </c>
      <c r="K4518" s="417" t="s">
        <v>11493</v>
      </c>
      <c r="L4518" s="417"/>
      <c r="M4518" s="417" t="s">
        <v>28840</v>
      </c>
    </row>
    <row r="4519" spans="1:13" x14ac:dyDescent="0.25">
      <c r="A4519" s="417" t="s">
        <v>3385</v>
      </c>
      <c r="B4519" s="417" t="s">
        <v>2627</v>
      </c>
      <c r="C4519" s="417" t="s">
        <v>11494</v>
      </c>
      <c r="D4519" s="417" t="s">
        <v>88</v>
      </c>
      <c r="E4519" s="423">
        <v>39701.948288832798</v>
      </c>
      <c r="F4519" s="423">
        <v>712.86863259929885</v>
      </c>
      <c r="G4519" s="422">
        <v>285467299.2104128</v>
      </c>
      <c r="H4519" s="417" t="s">
        <v>2616</v>
      </c>
      <c r="I4519" s="417" t="s">
        <v>1392</v>
      </c>
      <c r="J4519" s="417" t="s">
        <v>3915</v>
      </c>
      <c r="K4519" s="417" t="s">
        <v>11495</v>
      </c>
      <c r="L4519" s="417"/>
      <c r="M4519" s="417" t="s">
        <v>28840</v>
      </c>
    </row>
    <row r="4520" spans="1:13" x14ac:dyDescent="0.25">
      <c r="A4520" s="417" t="s">
        <v>3385</v>
      </c>
      <c r="B4520" s="417" t="s">
        <v>2627</v>
      </c>
      <c r="C4520" s="417" t="s">
        <v>11496</v>
      </c>
      <c r="D4520" s="417" t="s">
        <v>88</v>
      </c>
      <c r="E4520" s="423">
        <v>3006.2271439633419</v>
      </c>
      <c r="F4520" s="423">
        <v>560.29049059308545</v>
      </c>
      <c r="G4520" s="422">
        <v>235694626.36598751</v>
      </c>
      <c r="H4520" s="417" t="s">
        <v>2616</v>
      </c>
      <c r="I4520" s="417" t="s">
        <v>1392</v>
      </c>
      <c r="J4520" s="417" t="s">
        <v>3915</v>
      </c>
      <c r="K4520" s="417" t="s">
        <v>11497</v>
      </c>
      <c r="L4520" s="417"/>
      <c r="M4520" s="417" t="s">
        <v>28840</v>
      </c>
    </row>
    <row r="4521" spans="1:13" x14ac:dyDescent="0.25">
      <c r="A4521" s="417" t="s">
        <v>3385</v>
      </c>
      <c r="B4521" s="417" t="s">
        <v>2627</v>
      </c>
      <c r="C4521" s="417" t="s">
        <v>11498</v>
      </c>
      <c r="D4521" s="417" t="s">
        <v>88</v>
      </c>
      <c r="E4521" s="423">
        <v>8216.8469608052746</v>
      </c>
      <c r="F4521" s="423">
        <v>646.79283987351369</v>
      </c>
      <c r="G4521" s="422">
        <v>248696792.55149829</v>
      </c>
      <c r="H4521" s="417" t="s">
        <v>2616</v>
      </c>
      <c r="I4521" s="417" t="s">
        <v>1392</v>
      </c>
      <c r="J4521" s="417" t="s">
        <v>3915</v>
      </c>
      <c r="K4521" s="417" t="s">
        <v>11499</v>
      </c>
      <c r="L4521" s="417"/>
      <c r="M4521" s="417" t="s">
        <v>28840</v>
      </c>
    </row>
    <row r="4522" spans="1:13" x14ac:dyDescent="0.25">
      <c r="A4522" s="417" t="s">
        <v>3385</v>
      </c>
      <c r="B4522" s="417" t="s">
        <v>2627</v>
      </c>
      <c r="C4522" s="417" t="s">
        <v>11500</v>
      </c>
      <c r="D4522" s="417" t="s">
        <v>88</v>
      </c>
      <c r="E4522" s="423">
        <v>18934.669355641781</v>
      </c>
      <c r="F4522" s="423">
        <v>655.92234133315321</v>
      </c>
      <c r="G4522" s="422">
        <v>272120752.69235629</v>
      </c>
      <c r="H4522" s="417" t="s">
        <v>2616</v>
      </c>
      <c r="I4522" s="417" t="s">
        <v>1392</v>
      </c>
      <c r="J4522" s="417" t="s">
        <v>3915</v>
      </c>
      <c r="K4522" s="417" t="s">
        <v>11501</v>
      </c>
      <c r="L4522" s="417"/>
      <c r="M4522" s="417" t="s">
        <v>28840</v>
      </c>
    </row>
    <row r="4523" spans="1:13" x14ac:dyDescent="0.25">
      <c r="A4523" s="417" t="s">
        <v>3385</v>
      </c>
      <c r="B4523" s="417" t="s">
        <v>2627</v>
      </c>
      <c r="C4523" s="417" t="s">
        <v>11502</v>
      </c>
      <c r="D4523" s="417" t="s">
        <v>88</v>
      </c>
      <c r="E4523" s="423">
        <v>916.98082755889857</v>
      </c>
      <c r="F4523" s="423">
        <v>10.5983602447298</v>
      </c>
      <c r="G4523" s="422">
        <v>2441219.2060988029</v>
      </c>
      <c r="H4523" s="417" t="s">
        <v>2616</v>
      </c>
      <c r="I4523" s="417" t="s">
        <v>1392</v>
      </c>
      <c r="J4523" s="417" t="s">
        <v>3915</v>
      </c>
      <c r="K4523" s="417" t="s">
        <v>11503</v>
      </c>
      <c r="L4523" s="417"/>
      <c r="M4523" s="417" t="s">
        <v>28840</v>
      </c>
    </row>
    <row r="4524" spans="1:13" x14ac:dyDescent="0.25">
      <c r="A4524" s="417" t="s">
        <v>3385</v>
      </c>
      <c r="B4524" s="417" t="s">
        <v>2437</v>
      </c>
      <c r="C4524" s="417" t="s">
        <v>11504</v>
      </c>
      <c r="D4524" s="417" t="s">
        <v>989</v>
      </c>
      <c r="E4524" s="423">
        <v>58009.945749240003</v>
      </c>
      <c r="F4524" s="423">
        <v>1737.259519140732</v>
      </c>
      <c r="G4524" s="422">
        <v>114498225.5843429</v>
      </c>
      <c r="H4524" s="417" t="s">
        <v>2616</v>
      </c>
      <c r="I4524" s="417" t="s">
        <v>1392</v>
      </c>
      <c r="J4524" s="417" t="s">
        <v>5056</v>
      </c>
      <c r="K4524" s="417" t="s">
        <v>11505</v>
      </c>
      <c r="L4524" s="417"/>
      <c r="M4524" s="417" t="s">
        <v>28840</v>
      </c>
    </row>
    <row r="4525" spans="1:13" x14ac:dyDescent="0.25">
      <c r="A4525" s="417" t="s">
        <v>3385</v>
      </c>
      <c r="B4525" s="417" t="s">
        <v>3655</v>
      </c>
      <c r="C4525" s="417" t="s">
        <v>11506</v>
      </c>
      <c r="D4525" s="417" t="s">
        <v>88</v>
      </c>
      <c r="E4525" s="423">
        <v>0.58664148254161519</v>
      </c>
      <c r="F4525" s="423">
        <v>2.5817161094235149E-2</v>
      </c>
      <c r="G4525" s="422">
        <v>1516.3937353562501</v>
      </c>
      <c r="H4525" s="417" t="s">
        <v>2616</v>
      </c>
      <c r="I4525" s="417" t="s">
        <v>1392</v>
      </c>
      <c r="J4525" s="417" t="s">
        <v>3918</v>
      </c>
      <c r="K4525" s="417" t="s">
        <v>11507</v>
      </c>
      <c r="L4525" s="417"/>
      <c r="M4525" s="417" t="s">
        <v>28840</v>
      </c>
    </row>
    <row r="4526" spans="1:13" x14ac:dyDescent="0.25">
      <c r="A4526" s="417" t="s">
        <v>3385</v>
      </c>
      <c r="B4526" s="417" t="s">
        <v>3655</v>
      </c>
      <c r="C4526" s="417" t="s">
        <v>11508</v>
      </c>
      <c r="D4526" s="417" t="s">
        <v>88</v>
      </c>
      <c r="E4526" s="423">
        <v>0.77675549224362905</v>
      </c>
      <c r="F4526" s="423">
        <v>2.635655536051152E-2</v>
      </c>
      <c r="G4526" s="422">
        <v>1749.8532939211491</v>
      </c>
      <c r="H4526" s="417" t="s">
        <v>2616</v>
      </c>
      <c r="I4526" s="417" t="s">
        <v>1392</v>
      </c>
      <c r="J4526" s="417" t="s">
        <v>3918</v>
      </c>
      <c r="K4526" s="417" t="s">
        <v>11509</v>
      </c>
      <c r="L4526" s="417"/>
      <c r="M4526" s="417" t="s">
        <v>28840</v>
      </c>
    </row>
    <row r="4527" spans="1:13" x14ac:dyDescent="0.25">
      <c r="A4527" s="417" t="s">
        <v>3385</v>
      </c>
      <c r="B4527" s="417" t="s">
        <v>2627</v>
      </c>
      <c r="C4527" s="417" t="s">
        <v>1061</v>
      </c>
      <c r="D4527" s="417" t="s">
        <v>88</v>
      </c>
      <c r="E4527" s="423">
        <v>0.52916244590956407</v>
      </c>
      <c r="F4527" s="423">
        <v>5.3782547394727919E-3</v>
      </c>
      <c r="G4527" s="422">
        <v>3845.6205987213089</v>
      </c>
      <c r="H4527" s="417" t="s">
        <v>2616</v>
      </c>
      <c r="I4527" s="417" t="s">
        <v>28841</v>
      </c>
      <c r="J4527" s="417" t="s">
        <v>4047</v>
      </c>
      <c r="K4527" s="417" t="s">
        <v>11510</v>
      </c>
      <c r="L4527" s="417"/>
      <c r="M4527" s="417" t="s">
        <v>28840</v>
      </c>
    </row>
    <row r="4528" spans="1:13" x14ac:dyDescent="0.25">
      <c r="A4528" s="417" t="s">
        <v>3385</v>
      </c>
      <c r="B4528" s="417" t="s">
        <v>2627</v>
      </c>
      <c r="C4528" s="417" t="s">
        <v>11511</v>
      </c>
      <c r="D4528" s="417" t="s">
        <v>88</v>
      </c>
      <c r="E4528" s="423">
        <v>0.57948035329706471</v>
      </c>
      <c r="F4528" s="423">
        <v>9.6649906164305889E-3</v>
      </c>
      <c r="G4528" s="422">
        <v>3945.0041437464502</v>
      </c>
      <c r="H4528" s="417" t="s">
        <v>2616</v>
      </c>
      <c r="I4528" s="417" t="s">
        <v>1392</v>
      </c>
      <c r="J4528" s="417" t="s">
        <v>11512</v>
      </c>
      <c r="K4528" s="417" t="s">
        <v>11513</v>
      </c>
      <c r="L4528" s="417"/>
      <c r="M4528" s="417" t="s">
        <v>28840</v>
      </c>
    </row>
    <row r="4529" spans="1:13" x14ac:dyDescent="0.25">
      <c r="A4529" s="417" t="s">
        <v>3385</v>
      </c>
      <c r="B4529" s="417" t="s">
        <v>2627</v>
      </c>
      <c r="C4529" s="417" t="s">
        <v>11514</v>
      </c>
      <c r="D4529" s="417" t="s">
        <v>88</v>
      </c>
      <c r="E4529" s="423">
        <v>0.41502581462436883</v>
      </c>
      <c r="F4529" s="423">
        <v>4.9998368362956149E-3</v>
      </c>
      <c r="G4529" s="422">
        <v>2799.8308223293152</v>
      </c>
      <c r="H4529" s="417" t="s">
        <v>2616</v>
      </c>
      <c r="I4529" s="417" t="s">
        <v>1392</v>
      </c>
      <c r="J4529" s="417" t="s">
        <v>4047</v>
      </c>
      <c r="K4529" s="417" t="s">
        <v>11515</v>
      </c>
      <c r="L4529" s="417"/>
      <c r="M4529" s="417" t="s">
        <v>28840</v>
      </c>
    </row>
    <row r="4530" spans="1:13" x14ac:dyDescent="0.25">
      <c r="A4530" s="417" t="s">
        <v>3385</v>
      </c>
      <c r="B4530" s="417" t="s">
        <v>2627</v>
      </c>
      <c r="C4530" s="417" t="s">
        <v>11516</v>
      </c>
      <c r="D4530" s="417" t="s">
        <v>88</v>
      </c>
      <c r="E4530" s="423">
        <v>5.4343844886754977E-2</v>
      </c>
      <c r="F4530" s="423">
        <v>2.5377912331057918E-3</v>
      </c>
      <c r="G4530" s="422">
        <v>110.52420877850049</v>
      </c>
      <c r="H4530" s="417" t="s">
        <v>2616</v>
      </c>
      <c r="I4530" s="417" t="s">
        <v>1392</v>
      </c>
      <c r="J4530" s="417" t="s">
        <v>11517</v>
      </c>
      <c r="K4530" s="417" t="s">
        <v>11518</v>
      </c>
      <c r="L4530" s="417"/>
      <c r="M4530" s="417" t="s">
        <v>28840</v>
      </c>
    </row>
    <row r="4531" spans="1:13" x14ac:dyDescent="0.25">
      <c r="A4531" s="417" t="s">
        <v>3385</v>
      </c>
      <c r="B4531" s="417" t="s">
        <v>2627</v>
      </c>
      <c r="C4531" s="417" t="s">
        <v>11519</v>
      </c>
      <c r="D4531" s="417" t="s">
        <v>88</v>
      </c>
      <c r="E4531" s="423">
        <v>5.4526933834236693E-2</v>
      </c>
      <c r="F4531" s="423">
        <v>2.540830095965689E-3</v>
      </c>
      <c r="G4531" s="422">
        <v>112.2081638877855</v>
      </c>
      <c r="H4531" s="417" t="s">
        <v>2616</v>
      </c>
      <c r="I4531" s="417" t="s">
        <v>1392</v>
      </c>
      <c r="J4531" s="417" t="s">
        <v>3627</v>
      </c>
      <c r="K4531" s="417" t="s">
        <v>11520</v>
      </c>
      <c r="L4531" s="417"/>
      <c r="M4531" s="417" t="s">
        <v>28840</v>
      </c>
    </row>
    <row r="4532" spans="1:13" x14ac:dyDescent="0.25">
      <c r="A4532" s="417" t="s">
        <v>3385</v>
      </c>
      <c r="B4532" s="417" t="s">
        <v>2627</v>
      </c>
      <c r="C4532" s="417" t="s">
        <v>11521</v>
      </c>
      <c r="D4532" s="417" t="s">
        <v>88</v>
      </c>
      <c r="E4532" s="423">
        <v>6.3077770140303538E-2</v>
      </c>
      <c r="F4532" s="423">
        <v>2.6692621105038148E-3</v>
      </c>
      <c r="G4532" s="422">
        <v>124.80640185481271</v>
      </c>
      <c r="H4532" s="417" t="s">
        <v>2616</v>
      </c>
      <c r="I4532" s="417" t="s">
        <v>1392</v>
      </c>
      <c r="J4532" s="417" t="s">
        <v>3627</v>
      </c>
      <c r="K4532" s="417" t="s">
        <v>11522</v>
      </c>
      <c r="L4532" s="417"/>
      <c r="M4532" s="417" t="s">
        <v>28840</v>
      </c>
    </row>
    <row r="4533" spans="1:13" x14ac:dyDescent="0.25">
      <c r="A4533" s="417" t="s">
        <v>3385</v>
      </c>
      <c r="B4533" s="417" t="s">
        <v>2627</v>
      </c>
      <c r="C4533" s="417" t="s">
        <v>939</v>
      </c>
      <c r="D4533" s="417" t="s">
        <v>88</v>
      </c>
      <c r="E4533" s="423">
        <v>2.0885296404746501E-2</v>
      </c>
      <c r="F4533" s="423">
        <v>1.2088816888831211E-3</v>
      </c>
      <c r="G4533" s="422">
        <v>44.861930792010547</v>
      </c>
      <c r="H4533" s="417" t="s">
        <v>2616</v>
      </c>
      <c r="I4533" s="417" t="s">
        <v>28841</v>
      </c>
      <c r="J4533" s="417" t="s">
        <v>3742</v>
      </c>
      <c r="K4533" s="417" t="s">
        <v>11523</v>
      </c>
      <c r="L4533" s="417"/>
      <c r="M4533" s="417" t="s">
        <v>28840</v>
      </c>
    </row>
    <row r="4534" spans="1:13" x14ac:dyDescent="0.25">
      <c r="A4534" s="417" t="s">
        <v>3385</v>
      </c>
      <c r="B4534" s="417" t="s">
        <v>2627</v>
      </c>
      <c r="C4534" s="417" t="s">
        <v>11524</v>
      </c>
      <c r="D4534" s="417" t="s">
        <v>88</v>
      </c>
      <c r="E4534" s="423">
        <v>1.852683794359645</v>
      </c>
      <c r="F4534" s="423">
        <v>3.7604834269359497E-2</v>
      </c>
      <c r="G4534" s="422">
        <v>16034.817587908159</v>
      </c>
      <c r="H4534" s="417" t="s">
        <v>2616</v>
      </c>
      <c r="I4534" s="417" t="s">
        <v>1392</v>
      </c>
      <c r="J4534" s="417" t="s">
        <v>3742</v>
      </c>
      <c r="K4534" s="417" t="s">
        <v>11525</v>
      </c>
      <c r="L4534" s="417"/>
      <c r="M4534" s="417" t="s">
        <v>28840</v>
      </c>
    </row>
    <row r="4535" spans="1:13" x14ac:dyDescent="0.25">
      <c r="A4535" s="417" t="s">
        <v>3385</v>
      </c>
      <c r="B4535" s="417" t="s">
        <v>2627</v>
      </c>
      <c r="C4535" s="417" t="s">
        <v>11526</v>
      </c>
      <c r="D4535" s="417" t="s">
        <v>88</v>
      </c>
      <c r="E4535" s="423">
        <v>0.1969209655395959</v>
      </c>
      <c r="F4535" s="423">
        <v>3.0227819241381462E-3</v>
      </c>
      <c r="G4535" s="422">
        <v>1208.239838060043</v>
      </c>
      <c r="H4535" s="417" t="s">
        <v>2616</v>
      </c>
      <c r="I4535" s="417" t="s">
        <v>1392</v>
      </c>
      <c r="J4535" s="417" t="s">
        <v>11512</v>
      </c>
      <c r="K4535" s="417" t="s">
        <v>11527</v>
      </c>
      <c r="L4535" s="417"/>
      <c r="M4535" s="417" t="s">
        <v>28840</v>
      </c>
    </row>
    <row r="4536" spans="1:13" x14ac:dyDescent="0.25">
      <c r="A4536" s="417" t="s">
        <v>3385</v>
      </c>
      <c r="B4536" s="417" t="s">
        <v>2627</v>
      </c>
      <c r="C4536" s="417" t="s">
        <v>11528</v>
      </c>
      <c r="D4536" s="417" t="s">
        <v>88</v>
      </c>
      <c r="E4536" s="423">
        <v>9.2291496338564649E-2</v>
      </c>
      <c r="F4536" s="423">
        <v>2.0805421251649499E-3</v>
      </c>
      <c r="G4536" s="422">
        <v>1497.7123950328489</v>
      </c>
      <c r="H4536" s="417" t="s">
        <v>2616</v>
      </c>
      <c r="I4536" s="417" t="s">
        <v>1392</v>
      </c>
      <c r="J4536" s="417" t="s">
        <v>4047</v>
      </c>
      <c r="K4536" s="417" t="s">
        <v>11529</v>
      </c>
      <c r="L4536" s="417"/>
      <c r="M4536" s="417" t="s">
        <v>28840</v>
      </c>
    </row>
    <row r="4537" spans="1:13" x14ac:dyDescent="0.25">
      <c r="A4537" s="417" t="s">
        <v>3385</v>
      </c>
      <c r="B4537" s="417" t="s">
        <v>2627</v>
      </c>
      <c r="C4537" s="417" t="s">
        <v>11530</v>
      </c>
      <c r="D4537" s="417" t="s">
        <v>88</v>
      </c>
      <c r="E4537" s="423">
        <v>0.1747615589452661</v>
      </c>
      <c r="F4537" s="423">
        <v>2.7021135326393501E-3</v>
      </c>
      <c r="G4537" s="422">
        <v>966.06182914645126</v>
      </c>
      <c r="H4537" s="417" t="s">
        <v>2616</v>
      </c>
      <c r="I4537" s="417" t="s">
        <v>1392</v>
      </c>
      <c r="J4537" s="417" t="s">
        <v>11512</v>
      </c>
      <c r="K4537" s="417" t="s">
        <v>11531</v>
      </c>
      <c r="L4537" s="417"/>
      <c r="M4537" s="417" t="s">
        <v>28840</v>
      </c>
    </row>
    <row r="4538" spans="1:13" x14ac:dyDescent="0.25">
      <c r="A4538" s="417" t="s">
        <v>3385</v>
      </c>
      <c r="B4538" s="417" t="s">
        <v>2627</v>
      </c>
      <c r="C4538" s="417" t="s">
        <v>11532</v>
      </c>
      <c r="D4538" s="417" t="s">
        <v>88</v>
      </c>
      <c r="E4538" s="423">
        <v>1.850008867435182</v>
      </c>
      <c r="F4538" s="423">
        <v>3.5118653550689667E-2</v>
      </c>
      <c r="G4538" s="422">
        <v>6884.5697328550214</v>
      </c>
      <c r="H4538" s="417" t="s">
        <v>2616</v>
      </c>
      <c r="I4538" s="417" t="s">
        <v>1392</v>
      </c>
      <c r="J4538" s="417" t="s">
        <v>4054</v>
      </c>
      <c r="K4538" s="417" t="s">
        <v>11533</v>
      </c>
      <c r="L4538" s="417"/>
      <c r="M4538" s="417" t="s">
        <v>28840</v>
      </c>
    </row>
    <row r="4539" spans="1:13" x14ac:dyDescent="0.25">
      <c r="A4539" s="417" t="s">
        <v>3385</v>
      </c>
      <c r="B4539" s="417" t="s">
        <v>2627</v>
      </c>
      <c r="C4539" s="417" t="s">
        <v>11534</v>
      </c>
      <c r="D4539" s="417" t="s">
        <v>88</v>
      </c>
      <c r="E4539" s="423">
        <v>2.0289506311316359</v>
      </c>
      <c r="F4539" s="423">
        <v>5.4246116268320918E-2</v>
      </c>
      <c r="G4539" s="422">
        <v>7242.9988607793184</v>
      </c>
      <c r="H4539" s="417" t="s">
        <v>2616</v>
      </c>
      <c r="I4539" s="417" t="s">
        <v>1392</v>
      </c>
      <c r="J4539" s="417" t="s">
        <v>4054</v>
      </c>
      <c r="K4539" s="417" t="s">
        <v>11535</v>
      </c>
      <c r="L4539" s="417"/>
      <c r="M4539" s="417" t="s">
        <v>28840</v>
      </c>
    </row>
    <row r="4540" spans="1:13" x14ac:dyDescent="0.25">
      <c r="A4540" s="417" t="s">
        <v>3385</v>
      </c>
      <c r="B4540" s="417" t="s">
        <v>2627</v>
      </c>
      <c r="C4540" s="417" t="s">
        <v>11536</v>
      </c>
      <c r="D4540" s="417" t="s">
        <v>88</v>
      </c>
      <c r="E4540" s="423">
        <v>1.552328017134238</v>
      </c>
      <c r="F4540" s="423">
        <v>4.4506729759190483E-2</v>
      </c>
      <c r="G4540" s="422">
        <v>9374.9591568305241</v>
      </c>
      <c r="H4540" s="417" t="s">
        <v>2616</v>
      </c>
      <c r="I4540" s="417" t="s">
        <v>1392</v>
      </c>
      <c r="J4540" s="417" t="s">
        <v>4054</v>
      </c>
      <c r="K4540" s="417" t="s">
        <v>11537</v>
      </c>
      <c r="L4540" s="417"/>
      <c r="M4540" s="417" t="s">
        <v>28840</v>
      </c>
    </row>
    <row r="4541" spans="1:13" x14ac:dyDescent="0.25">
      <c r="A4541" s="417" t="s">
        <v>3385</v>
      </c>
      <c r="B4541" s="417" t="s">
        <v>2627</v>
      </c>
      <c r="C4541" s="417" t="s">
        <v>11538</v>
      </c>
      <c r="D4541" s="417" t="s">
        <v>88</v>
      </c>
      <c r="E4541" s="423">
        <v>4.2417808594768392E-3</v>
      </c>
      <c r="F4541" s="423">
        <v>3.5259865729793312E-4</v>
      </c>
      <c r="G4541" s="422">
        <v>39.558391701965142</v>
      </c>
      <c r="H4541" s="417" t="s">
        <v>2616</v>
      </c>
      <c r="I4541" s="417" t="s">
        <v>1392</v>
      </c>
      <c r="J4541" s="417" t="s">
        <v>3860</v>
      </c>
      <c r="K4541" s="417" t="s">
        <v>11539</v>
      </c>
      <c r="L4541" s="417"/>
      <c r="M4541" s="417" t="s">
        <v>28840</v>
      </c>
    </row>
    <row r="4542" spans="1:13" x14ac:dyDescent="0.25">
      <c r="A4542" s="417" t="s">
        <v>3385</v>
      </c>
      <c r="B4542" s="417" t="s">
        <v>2627</v>
      </c>
      <c r="C4542" s="417" t="s">
        <v>1117</v>
      </c>
      <c r="D4542" s="417" t="s">
        <v>88</v>
      </c>
      <c r="E4542" s="423">
        <v>4.8318507816877696E-3</v>
      </c>
      <c r="F4542" s="423">
        <v>4.0995307349416129E-4</v>
      </c>
      <c r="G4542" s="422">
        <v>40.676696244288507</v>
      </c>
      <c r="H4542" s="417" t="s">
        <v>2616</v>
      </c>
      <c r="I4542" s="417" t="s">
        <v>28841</v>
      </c>
      <c r="J4542" s="417" t="s">
        <v>3627</v>
      </c>
      <c r="K4542" s="417" t="s">
        <v>11540</v>
      </c>
      <c r="L4542" s="417"/>
      <c r="M4542" s="417" t="s">
        <v>28840</v>
      </c>
    </row>
    <row r="4543" spans="1:13" x14ac:dyDescent="0.25">
      <c r="A4543" s="417" t="s">
        <v>3385</v>
      </c>
      <c r="B4543" s="417" t="s">
        <v>2627</v>
      </c>
      <c r="C4543" s="417" t="s">
        <v>11541</v>
      </c>
      <c r="D4543" s="417" t="s">
        <v>88</v>
      </c>
      <c r="E4543" s="423">
        <v>4.8318507816877696E-3</v>
      </c>
      <c r="F4543" s="423">
        <v>4.0995307349416129E-4</v>
      </c>
      <c r="G4543" s="422">
        <v>24.548696244288521</v>
      </c>
      <c r="H4543" s="417" t="s">
        <v>2616</v>
      </c>
      <c r="I4543" s="417" t="s">
        <v>1392</v>
      </c>
      <c r="J4543" s="417" t="s">
        <v>3627</v>
      </c>
      <c r="K4543" s="417" t="s">
        <v>11542</v>
      </c>
      <c r="L4543" s="417"/>
      <c r="M4543" s="417" t="s">
        <v>28840</v>
      </c>
    </row>
    <row r="4544" spans="1:13" x14ac:dyDescent="0.25">
      <c r="A4544" s="417" t="s">
        <v>3385</v>
      </c>
      <c r="B4544" s="417" t="s">
        <v>2627</v>
      </c>
      <c r="C4544" s="417" t="s">
        <v>11543</v>
      </c>
      <c r="D4544" s="417" t="s">
        <v>88</v>
      </c>
      <c r="E4544" s="423">
        <v>2.5069432393169449E-3</v>
      </c>
      <c r="F4544" s="423">
        <v>1.3707462974617171E-4</v>
      </c>
      <c r="G4544" s="422">
        <v>34.43204248769635</v>
      </c>
      <c r="H4544" s="417" t="s">
        <v>2616</v>
      </c>
      <c r="I4544" s="417" t="s">
        <v>1392</v>
      </c>
      <c r="J4544" s="417" t="s">
        <v>3860</v>
      </c>
      <c r="K4544" s="417" t="s">
        <v>11544</v>
      </c>
      <c r="L4544" s="417"/>
      <c r="M4544" s="417" t="s">
        <v>28840</v>
      </c>
    </row>
    <row r="4545" spans="1:13" x14ac:dyDescent="0.25">
      <c r="A4545" s="417" t="s">
        <v>3385</v>
      </c>
      <c r="B4545" s="417" t="s">
        <v>2627</v>
      </c>
      <c r="C4545" s="417" t="s">
        <v>11545</v>
      </c>
      <c r="D4545" s="417" t="s">
        <v>88</v>
      </c>
      <c r="E4545" s="423">
        <v>3.097013158438691E-3</v>
      </c>
      <c r="F4545" s="423">
        <v>1.9442904534275351E-4</v>
      </c>
      <c r="G4545" s="422">
        <v>35.550347004066808</v>
      </c>
      <c r="H4545" s="417" t="s">
        <v>2616</v>
      </c>
      <c r="I4545" s="417" t="s">
        <v>1392</v>
      </c>
      <c r="J4545" s="417" t="s">
        <v>3627</v>
      </c>
      <c r="K4545" s="417" t="s">
        <v>11546</v>
      </c>
      <c r="L4545" s="417"/>
      <c r="M4545" s="417" t="s">
        <v>28840</v>
      </c>
    </row>
    <row r="4546" spans="1:13" x14ac:dyDescent="0.25">
      <c r="A4546" s="417" t="s">
        <v>3385</v>
      </c>
      <c r="B4546" s="417" t="s">
        <v>2627</v>
      </c>
      <c r="C4546" s="417" t="s">
        <v>11547</v>
      </c>
      <c r="D4546" s="417" t="s">
        <v>88</v>
      </c>
      <c r="E4546" s="423">
        <v>3.097013158438691E-3</v>
      </c>
      <c r="F4546" s="423">
        <v>1.9442904534275351E-4</v>
      </c>
      <c r="G4546" s="422">
        <v>19.422347004066811</v>
      </c>
      <c r="H4546" s="417" t="s">
        <v>2616</v>
      </c>
      <c r="I4546" s="417" t="s">
        <v>1392</v>
      </c>
      <c r="J4546" s="417" t="s">
        <v>3627</v>
      </c>
      <c r="K4546" s="417" t="s">
        <v>11548</v>
      </c>
      <c r="L4546" s="417"/>
      <c r="M4546" s="417" t="s">
        <v>28840</v>
      </c>
    </row>
    <row r="4547" spans="1:13" x14ac:dyDescent="0.25">
      <c r="A4547" s="417" t="s">
        <v>3385</v>
      </c>
      <c r="B4547" s="417" t="s">
        <v>2627</v>
      </c>
      <c r="C4547" s="417" t="s">
        <v>11549</v>
      </c>
      <c r="D4547" s="417" t="s">
        <v>88</v>
      </c>
      <c r="E4547" s="423">
        <v>2.8712591372046831E-3</v>
      </c>
      <c r="F4547" s="423">
        <v>1.8233467521121911E-4</v>
      </c>
      <c r="G4547" s="422">
        <v>35.508575801714343</v>
      </c>
      <c r="H4547" s="417" t="s">
        <v>2616</v>
      </c>
      <c r="I4547" s="417" t="s">
        <v>1392</v>
      </c>
      <c r="J4547" s="417" t="s">
        <v>3860</v>
      </c>
      <c r="K4547" s="417" t="s">
        <v>11550</v>
      </c>
      <c r="L4547" s="417"/>
      <c r="M4547" s="417" t="s">
        <v>28840</v>
      </c>
    </row>
    <row r="4548" spans="1:13" x14ac:dyDescent="0.25">
      <c r="A4548" s="417" t="s">
        <v>3385</v>
      </c>
      <c r="B4548" s="417" t="s">
        <v>2627</v>
      </c>
      <c r="C4548" s="417" t="s">
        <v>11551</v>
      </c>
      <c r="D4548" s="417" t="s">
        <v>88</v>
      </c>
      <c r="E4548" s="423">
        <v>0.2941336093864993</v>
      </c>
      <c r="F4548" s="423">
        <v>1.1456584869825171E-2</v>
      </c>
      <c r="G4548" s="422">
        <v>1311.119908497094</v>
      </c>
      <c r="H4548" s="417" t="s">
        <v>2616</v>
      </c>
      <c r="I4548" s="417" t="s">
        <v>1392</v>
      </c>
      <c r="J4548" s="417" t="s">
        <v>11552</v>
      </c>
      <c r="K4548" s="417" t="s">
        <v>11553</v>
      </c>
      <c r="L4548" s="417"/>
      <c r="M4548" s="417" t="s">
        <v>28840</v>
      </c>
    </row>
    <row r="4549" spans="1:13" x14ac:dyDescent="0.25">
      <c r="A4549" s="417" t="s">
        <v>3385</v>
      </c>
      <c r="B4549" s="417" t="s">
        <v>2627</v>
      </c>
      <c r="C4549" s="417" t="s">
        <v>11554</v>
      </c>
      <c r="D4549" s="417" t="s">
        <v>88</v>
      </c>
      <c r="E4549" s="423">
        <v>0.18362326033916229</v>
      </c>
      <c r="F4549" s="423">
        <v>3.621225880116102E-3</v>
      </c>
      <c r="G4549" s="422">
        <v>1868.443343936942</v>
      </c>
      <c r="H4549" s="417" t="s">
        <v>2616</v>
      </c>
      <c r="I4549" s="417" t="s">
        <v>1392</v>
      </c>
      <c r="J4549" s="417" t="s">
        <v>11552</v>
      </c>
      <c r="K4549" s="417" t="s">
        <v>11555</v>
      </c>
      <c r="L4549" s="417"/>
      <c r="M4549" s="417" t="s">
        <v>28840</v>
      </c>
    </row>
    <row r="4550" spans="1:13" x14ac:dyDescent="0.25">
      <c r="A4550" s="417" t="s">
        <v>3385</v>
      </c>
      <c r="B4550" s="417" t="s">
        <v>2627</v>
      </c>
      <c r="C4550" s="417" t="s">
        <v>11556</v>
      </c>
      <c r="D4550" s="417" t="s">
        <v>88</v>
      </c>
      <c r="E4550" s="423">
        <v>0.19005940447683459</v>
      </c>
      <c r="F4550" s="423">
        <v>4.2783907565340212E-3</v>
      </c>
      <c r="G4550" s="422">
        <v>2186.649255993826</v>
      </c>
      <c r="H4550" s="417" t="s">
        <v>2616</v>
      </c>
      <c r="I4550" s="417" t="s">
        <v>1392</v>
      </c>
      <c r="J4550" s="417" t="s">
        <v>11552</v>
      </c>
      <c r="K4550" s="417" t="s">
        <v>11557</v>
      </c>
      <c r="L4550" s="417"/>
      <c r="M4550" s="417" t="s">
        <v>28840</v>
      </c>
    </row>
    <row r="4551" spans="1:13" x14ac:dyDescent="0.25">
      <c r="A4551" s="417" t="s">
        <v>3385</v>
      </c>
      <c r="B4551" s="417" t="s">
        <v>2627</v>
      </c>
      <c r="C4551" s="417" t="s">
        <v>11558</v>
      </c>
      <c r="D4551" s="417" t="s">
        <v>1052</v>
      </c>
      <c r="E4551" s="423">
        <v>908.47176327592013</v>
      </c>
      <c r="F4551" s="423">
        <v>7.6030307348104724</v>
      </c>
      <c r="G4551" s="422">
        <v>8881002.3778906129</v>
      </c>
      <c r="H4551" s="417" t="s">
        <v>2616</v>
      </c>
      <c r="I4551" s="417" t="s">
        <v>1392</v>
      </c>
      <c r="J4551" s="417" t="s">
        <v>4047</v>
      </c>
      <c r="K4551" s="417" t="s">
        <v>11559</v>
      </c>
      <c r="L4551" s="417"/>
      <c r="M4551" s="417" t="s">
        <v>28840</v>
      </c>
    </row>
    <row r="4552" spans="1:13" x14ac:dyDescent="0.25">
      <c r="A4552" s="417" t="s">
        <v>3385</v>
      </c>
      <c r="B4552" s="417" t="s">
        <v>2627</v>
      </c>
      <c r="C4552" s="417" t="s">
        <v>1051</v>
      </c>
      <c r="D4552" s="417" t="s">
        <v>1052</v>
      </c>
      <c r="E4552" s="423">
        <v>908.47176978380401</v>
      </c>
      <c r="F4552" s="423">
        <v>7.60302897944762</v>
      </c>
      <c r="G4552" s="422">
        <v>8014625.5999323865</v>
      </c>
      <c r="H4552" s="417" t="s">
        <v>2616</v>
      </c>
      <c r="I4552" s="417" t="s">
        <v>28841</v>
      </c>
      <c r="J4552" s="417" t="s">
        <v>4047</v>
      </c>
      <c r="K4552" s="417" t="s">
        <v>11560</v>
      </c>
      <c r="L4552" s="417"/>
      <c r="M4552" s="417" t="s">
        <v>28840</v>
      </c>
    </row>
    <row r="4553" spans="1:13" x14ac:dyDescent="0.25">
      <c r="A4553" s="417" t="s">
        <v>3385</v>
      </c>
      <c r="B4553" s="417" t="s">
        <v>2627</v>
      </c>
      <c r="C4553" s="417" t="s">
        <v>11561</v>
      </c>
      <c r="D4553" s="417" t="s">
        <v>1052</v>
      </c>
      <c r="E4553" s="423">
        <v>908.47180336314352</v>
      </c>
      <c r="F4553" s="423">
        <v>7.6030370601109247</v>
      </c>
      <c r="G4553" s="422">
        <v>7521519.5840415182</v>
      </c>
      <c r="H4553" s="417" t="s">
        <v>2616</v>
      </c>
      <c r="I4553" s="417" t="s">
        <v>1392</v>
      </c>
      <c r="J4553" s="417" t="s">
        <v>4047</v>
      </c>
      <c r="K4553" s="417" t="s">
        <v>11562</v>
      </c>
      <c r="L4553" s="417"/>
      <c r="M4553" s="417" t="s">
        <v>28840</v>
      </c>
    </row>
    <row r="4554" spans="1:13" x14ac:dyDescent="0.25">
      <c r="A4554" s="417" t="s">
        <v>3385</v>
      </c>
      <c r="B4554" s="417" t="s">
        <v>2627</v>
      </c>
      <c r="C4554" s="417" t="s">
        <v>11563</v>
      </c>
      <c r="D4554" s="417" t="s">
        <v>1052</v>
      </c>
      <c r="E4554" s="423">
        <v>908.47179118712631</v>
      </c>
      <c r="F4554" s="423">
        <v>7.6030343976986359</v>
      </c>
      <c r="G4554" s="422">
        <v>8433382.4514655229</v>
      </c>
      <c r="H4554" s="417" t="s">
        <v>2616</v>
      </c>
      <c r="I4554" s="417" t="s">
        <v>1392</v>
      </c>
      <c r="J4554" s="417" t="s">
        <v>4047</v>
      </c>
      <c r="K4554" s="417" t="s">
        <v>11564</v>
      </c>
      <c r="L4554" s="417"/>
      <c r="M4554" s="417" t="s">
        <v>28840</v>
      </c>
    </row>
    <row r="4555" spans="1:13" x14ac:dyDescent="0.25">
      <c r="A4555" s="417" t="s">
        <v>3385</v>
      </c>
      <c r="B4555" s="417" t="s">
        <v>2627</v>
      </c>
      <c r="C4555" s="417" t="s">
        <v>11565</v>
      </c>
      <c r="D4555" s="417" t="s">
        <v>1052</v>
      </c>
      <c r="E4555" s="423">
        <v>494.23419067918383</v>
      </c>
      <c r="F4555" s="423">
        <v>4.5076757033926871</v>
      </c>
      <c r="G4555" s="422">
        <v>5702971.5682296008</v>
      </c>
      <c r="H4555" s="417" t="s">
        <v>2616</v>
      </c>
      <c r="I4555" s="417" t="s">
        <v>1392</v>
      </c>
      <c r="J4555" s="417" t="s">
        <v>4047</v>
      </c>
      <c r="K4555" s="417" t="s">
        <v>11566</v>
      </c>
      <c r="L4555" s="417"/>
      <c r="M4555" s="417" t="s">
        <v>28840</v>
      </c>
    </row>
    <row r="4556" spans="1:13" x14ac:dyDescent="0.25">
      <c r="A4556" s="417" t="s">
        <v>3385</v>
      </c>
      <c r="B4556" s="417" t="s">
        <v>2627</v>
      </c>
      <c r="C4556" s="417" t="s">
        <v>11567</v>
      </c>
      <c r="D4556" s="417" t="s">
        <v>1052</v>
      </c>
      <c r="E4556" s="423">
        <v>494.23419067918383</v>
      </c>
      <c r="F4556" s="423">
        <v>4.5076757033926871</v>
      </c>
      <c r="G4556" s="422">
        <v>4368488.6682296004</v>
      </c>
      <c r="H4556" s="417" t="s">
        <v>2616</v>
      </c>
      <c r="I4556" s="417" t="s">
        <v>1392</v>
      </c>
      <c r="J4556" s="417" t="s">
        <v>4047</v>
      </c>
      <c r="K4556" s="417" t="s">
        <v>11568</v>
      </c>
      <c r="L4556" s="417"/>
      <c r="M4556" s="417" t="s">
        <v>28840</v>
      </c>
    </row>
    <row r="4557" spans="1:13" x14ac:dyDescent="0.25">
      <c r="A4557" s="417" t="s">
        <v>3385</v>
      </c>
      <c r="B4557" s="417" t="s">
        <v>2627</v>
      </c>
      <c r="C4557" s="417" t="s">
        <v>11569</v>
      </c>
      <c r="D4557" s="417" t="s">
        <v>1052</v>
      </c>
      <c r="E4557" s="423">
        <v>494.23419067918383</v>
      </c>
      <c r="F4557" s="423">
        <v>4.5076757033926871</v>
      </c>
      <c r="G4557" s="422">
        <v>5263684.5682296008</v>
      </c>
      <c r="H4557" s="417" t="s">
        <v>2616</v>
      </c>
      <c r="I4557" s="417" t="s">
        <v>1392</v>
      </c>
      <c r="J4557" s="417" t="s">
        <v>4047</v>
      </c>
      <c r="K4557" s="417" t="s">
        <v>11570</v>
      </c>
      <c r="L4557" s="417"/>
      <c r="M4557" s="417" t="s">
        <v>28840</v>
      </c>
    </row>
    <row r="4558" spans="1:13" x14ac:dyDescent="0.25">
      <c r="A4558" s="417" t="s">
        <v>3385</v>
      </c>
      <c r="B4558" s="417" t="s">
        <v>2627</v>
      </c>
      <c r="C4558" s="417" t="s">
        <v>11571</v>
      </c>
      <c r="D4558" s="417" t="s">
        <v>593</v>
      </c>
      <c r="E4558" s="423">
        <v>4.5182917894681012</v>
      </c>
      <c r="F4558" s="423">
        <v>0.47467485669139831</v>
      </c>
      <c r="G4558" s="422">
        <v>9849.9554828609944</v>
      </c>
      <c r="H4558" s="417" t="s">
        <v>2616</v>
      </c>
      <c r="I4558" s="417" t="s">
        <v>1392</v>
      </c>
      <c r="J4558" s="417" t="s">
        <v>11572</v>
      </c>
      <c r="K4558" s="417" t="s">
        <v>11573</v>
      </c>
      <c r="L4558" s="417"/>
      <c r="M4558" s="417" t="s">
        <v>28840</v>
      </c>
    </row>
    <row r="4559" spans="1:13" x14ac:dyDescent="0.25">
      <c r="A4559" s="417" t="s">
        <v>3385</v>
      </c>
      <c r="B4559" s="417" t="s">
        <v>2627</v>
      </c>
      <c r="C4559" s="417" t="s">
        <v>11574</v>
      </c>
      <c r="D4559" s="417" t="s">
        <v>88</v>
      </c>
      <c r="E4559" s="423">
        <v>5.3978824403925582E-2</v>
      </c>
      <c r="F4559" s="423">
        <v>3.6616592987926029E-3</v>
      </c>
      <c r="G4559" s="422">
        <v>99.351119171895462</v>
      </c>
      <c r="H4559" s="417" t="s">
        <v>2616</v>
      </c>
      <c r="I4559" s="417" t="s">
        <v>1392</v>
      </c>
      <c r="J4559" s="417" t="s">
        <v>4614</v>
      </c>
      <c r="K4559" s="417" t="s">
        <v>11575</v>
      </c>
      <c r="L4559" s="417"/>
      <c r="M4559" s="417" t="s">
        <v>28840</v>
      </c>
    </row>
    <row r="4560" spans="1:13" x14ac:dyDescent="0.25">
      <c r="A4560" s="417" t="s">
        <v>3385</v>
      </c>
      <c r="B4560" s="417" t="s">
        <v>2627</v>
      </c>
      <c r="C4560" s="417" t="s">
        <v>11576</v>
      </c>
      <c r="D4560" s="417" t="s">
        <v>88</v>
      </c>
      <c r="E4560" s="423">
        <v>9.8127489205570448E-2</v>
      </c>
      <c r="F4560" s="423">
        <v>5.085553215835756E-3</v>
      </c>
      <c r="G4560" s="422">
        <v>183.07427122870291</v>
      </c>
      <c r="H4560" s="417" t="s">
        <v>2616</v>
      </c>
      <c r="I4560" s="417" t="s">
        <v>1392</v>
      </c>
      <c r="J4560" s="417" t="s">
        <v>4614</v>
      </c>
      <c r="K4560" s="417" t="s">
        <v>11577</v>
      </c>
      <c r="L4560" s="417"/>
      <c r="M4560" s="417" t="s">
        <v>28840</v>
      </c>
    </row>
    <row r="4561" spans="1:13" x14ac:dyDescent="0.25">
      <c r="A4561" s="417" t="s">
        <v>3385</v>
      </c>
      <c r="B4561" s="417" t="s">
        <v>2627</v>
      </c>
      <c r="C4561" s="417" t="s">
        <v>11578</v>
      </c>
      <c r="D4561" s="417" t="s">
        <v>563</v>
      </c>
      <c r="E4561" s="423">
        <v>2.8525517015446722</v>
      </c>
      <c r="F4561" s="423">
        <v>0.14228089631022911</v>
      </c>
      <c r="G4561" s="422">
        <v>4860.144376813384</v>
      </c>
      <c r="H4561" s="417" t="s">
        <v>2616</v>
      </c>
      <c r="I4561" s="417" t="s">
        <v>1392</v>
      </c>
      <c r="J4561" s="417" t="s">
        <v>7714</v>
      </c>
      <c r="K4561" s="417" t="s">
        <v>11579</v>
      </c>
      <c r="L4561" s="417"/>
      <c r="M4561" s="417" t="s">
        <v>28840</v>
      </c>
    </row>
    <row r="4562" spans="1:13" x14ac:dyDescent="0.25">
      <c r="A4562" s="417" t="s">
        <v>3385</v>
      </c>
      <c r="B4562" s="417" t="s">
        <v>2627</v>
      </c>
      <c r="C4562" s="417" t="s">
        <v>11580</v>
      </c>
      <c r="D4562" s="417" t="s">
        <v>563</v>
      </c>
      <c r="E4562" s="423">
        <v>12.36074564861466</v>
      </c>
      <c r="F4562" s="423">
        <v>0.61653373917194387</v>
      </c>
      <c r="G4562" s="422">
        <v>21060.086500440619</v>
      </c>
      <c r="H4562" s="417" t="s">
        <v>2616</v>
      </c>
      <c r="I4562" s="417" t="s">
        <v>1392</v>
      </c>
      <c r="J4562" s="417" t="s">
        <v>7714</v>
      </c>
      <c r="K4562" s="417" t="s">
        <v>11581</v>
      </c>
      <c r="L4562" s="417"/>
      <c r="M4562" s="417" t="s">
        <v>28840</v>
      </c>
    </row>
    <row r="4563" spans="1:13" x14ac:dyDescent="0.25">
      <c r="A4563" s="417" t="s">
        <v>3385</v>
      </c>
      <c r="B4563" s="417" t="s">
        <v>2627</v>
      </c>
      <c r="C4563" s="417" t="s">
        <v>11582</v>
      </c>
      <c r="D4563" s="417" t="s">
        <v>563</v>
      </c>
      <c r="E4563" s="423">
        <v>4.9443379467534463</v>
      </c>
      <c r="F4563" s="423">
        <v>0.2466156197528811</v>
      </c>
      <c r="G4563" s="422">
        <v>8424.1030545307131</v>
      </c>
      <c r="H4563" s="417" t="s">
        <v>2616</v>
      </c>
      <c r="I4563" s="417" t="s">
        <v>1392</v>
      </c>
      <c r="J4563" s="417" t="s">
        <v>7714</v>
      </c>
      <c r="K4563" s="417" t="s">
        <v>11583</v>
      </c>
      <c r="L4563" s="417"/>
      <c r="M4563" s="417" t="s">
        <v>28840</v>
      </c>
    </row>
    <row r="4564" spans="1:13" x14ac:dyDescent="0.25">
      <c r="A4564" s="417" t="s">
        <v>3385</v>
      </c>
      <c r="B4564" s="417" t="s">
        <v>2627</v>
      </c>
      <c r="C4564" s="417" t="s">
        <v>11584</v>
      </c>
      <c r="D4564" s="417" t="s">
        <v>4315</v>
      </c>
      <c r="E4564" s="423">
        <v>9.5520989965441316</v>
      </c>
      <c r="F4564" s="423">
        <v>0.3634506152458189</v>
      </c>
      <c r="G4564" s="422">
        <v>15505.26230437933</v>
      </c>
      <c r="H4564" s="417" t="s">
        <v>2616</v>
      </c>
      <c r="I4564" s="417" t="s">
        <v>1392</v>
      </c>
      <c r="J4564" s="417" t="s">
        <v>3667</v>
      </c>
      <c r="K4564" s="417" t="s">
        <v>11585</v>
      </c>
      <c r="L4564" s="417"/>
      <c r="M4564" s="417" t="s">
        <v>28840</v>
      </c>
    </row>
    <row r="4565" spans="1:13" x14ac:dyDescent="0.25">
      <c r="A4565" s="417" t="s">
        <v>3385</v>
      </c>
      <c r="B4565" s="417" t="s">
        <v>2627</v>
      </c>
      <c r="C4565" s="417" t="s">
        <v>11586</v>
      </c>
      <c r="D4565" s="417" t="s">
        <v>88</v>
      </c>
      <c r="E4565" s="423">
        <v>0.2335105447415903</v>
      </c>
      <c r="F4565" s="423">
        <v>4.2209539554058208E-3</v>
      </c>
      <c r="G4565" s="422">
        <v>299.69951445216083</v>
      </c>
      <c r="H4565" s="417" t="s">
        <v>2616</v>
      </c>
      <c r="I4565" s="417" t="s">
        <v>1392</v>
      </c>
      <c r="J4565" s="417" t="s">
        <v>3855</v>
      </c>
      <c r="K4565" s="417" t="s">
        <v>11587</v>
      </c>
      <c r="L4565" s="417"/>
      <c r="M4565" s="417" t="s">
        <v>28840</v>
      </c>
    </row>
    <row r="4566" spans="1:13" x14ac:dyDescent="0.25">
      <c r="A4566" s="417" t="s">
        <v>3385</v>
      </c>
      <c r="B4566" s="417" t="s">
        <v>2627</v>
      </c>
      <c r="C4566" s="417" t="s">
        <v>11588</v>
      </c>
      <c r="D4566" s="417" t="s">
        <v>563</v>
      </c>
      <c r="E4566" s="423">
        <v>22.54714358465948</v>
      </c>
      <c r="F4566" s="423">
        <v>0.19752114400000001</v>
      </c>
      <c r="G4566" s="422">
        <v>34609.625441169381</v>
      </c>
      <c r="H4566" s="417" t="s">
        <v>2616</v>
      </c>
      <c r="I4566" s="417" t="s">
        <v>1392</v>
      </c>
      <c r="J4566" s="417" t="s">
        <v>3855</v>
      </c>
      <c r="K4566" s="417" t="s">
        <v>11589</v>
      </c>
      <c r="L4566" s="417"/>
      <c r="M4566" s="417" t="s">
        <v>28840</v>
      </c>
    </row>
    <row r="4567" spans="1:13" x14ac:dyDescent="0.25">
      <c r="A4567" s="417" t="s">
        <v>3385</v>
      </c>
      <c r="B4567" s="417" t="s">
        <v>2627</v>
      </c>
      <c r="C4567" s="417" t="s">
        <v>11590</v>
      </c>
      <c r="D4567" s="417" t="s">
        <v>563</v>
      </c>
      <c r="E4567" s="423">
        <v>25.186756266491301</v>
      </c>
      <c r="F4567" s="423">
        <v>0.28355729044471129</v>
      </c>
      <c r="G4567" s="422">
        <v>38883.286529428136</v>
      </c>
      <c r="H4567" s="417" t="s">
        <v>2616</v>
      </c>
      <c r="I4567" s="417" t="s">
        <v>1392</v>
      </c>
      <c r="J4567" s="417" t="s">
        <v>3855</v>
      </c>
      <c r="K4567" s="417" t="s">
        <v>11591</v>
      </c>
      <c r="L4567" s="417"/>
      <c r="M4567" s="417" t="s">
        <v>28840</v>
      </c>
    </row>
    <row r="4568" spans="1:13" x14ac:dyDescent="0.25">
      <c r="A4568" s="417" t="s">
        <v>3385</v>
      </c>
      <c r="B4568" s="417" t="s">
        <v>2627</v>
      </c>
      <c r="C4568" s="417" t="s">
        <v>11592</v>
      </c>
      <c r="D4568" s="417" t="s">
        <v>563</v>
      </c>
      <c r="E4568" s="423">
        <v>2.8088729315564089E-2</v>
      </c>
      <c r="F4568" s="423">
        <v>1.344646800186719E-2</v>
      </c>
      <c r="G4568" s="422">
        <v>60.302306653666697</v>
      </c>
      <c r="H4568" s="417" t="s">
        <v>2616</v>
      </c>
      <c r="I4568" s="417" t="s">
        <v>1392</v>
      </c>
      <c r="J4568" s="417" t="s">
        <v>3855</v>
      </c>
      <c r="K4568" s="417" t="s">
        <v>11593</v>
      </c>
      <c r="L4568" s="417"/>
      <c r="M4568" s="417" t="s">
        <v>28840</v>
      </c>
    </row>
    <row r="4569" spans="1:13" x14ac:dyDescent="0.25">
      <c r="A4569" s="417" t="s">
        <v>3385</v>
      </c>
      <c r="B4569" s="417" t="s">
        <v>2627</v>
      </c>
      <c r="C4569" s="417" t="s">
        <v>11594</v>
      </c>
      <c r="D4569" s="417" t="s">
        <v>563</v>
      </c>
      <c r="E4569" s="423">
        <v>6.6825322427403462</v>
      </c>
      <c r="F4569" s="423">
        <v>0.66475822559108599</v>
      </c>
      <c r="G4569" s="422">
        <v>12796.56785309089</v>
      </c>
      <c r="H4569" s="417" t="s">
        <v>2616</v>
      </c>
      <c r="I4569" s="417" t="s">
        <v>1392</v>
      </c>
      <c r="J4569" s="417" t="s">
        <v>3855</v>
      </c>
      <c r="K4569" s="417" t="s">
        <v>11595</v>
      </c>
      <c r="L4569" s="417"/>
      <c r="M4569" s="417" t="s">
        <v>28840</v>
      </c>
    </row>
    <row r="4570" spans="1:13" x14ac:dyDescent="0.25">
      <c r="A4570" s="417" t="s">
        <v>3385</v>
      </c>
      <c r="B4570" s="417" t="s">
        <v>2627</v>
      </c>
      <c r="C4570" s="417" t="s">
        <v>11596</v>
      </c>
      <c r="D4570" s="417" t="s">
        <v>88</v>
      </c>
      <c r="E4570" s="423">
        <v>0.28282827143014982</v>
      </c>
      <c r="F4570" s="423">
        <v>1.4458985534758989E-2</v>
      </c>
      <c r="G4570" s="422">
        <v>503.19164533569767</v>
      </c>
      <c r="H4570" s="417" t="s">
        <v>2616</v>
      </c>
      <c r="I4570" s="417" t="s">
        <v>1392</v>
      </c>
      <c r="J4570" s="417" t="s">
        <v>3616</v>
      </c>
      <c r="K4570" s="417" t="s">
        <v>11597</v>
      </c>
      <c r="L4570" s="417"/>
      <c r="M4570" s="417" t="s">
        <v>28840</v>
      </c>
    </row>
    <row r="4571" spans="1:13" x14ac:dyDescent="0.25">
      <c r="A4571" s="417" t="s">
        <v>3385</v>
      </c>
      <c r="B4571" s="417" t="s">
        <v>2627</v>
      </c>
      <c r="C4571" s="417" t="s">
        <v>11598</v>
      </c>
      <c r="D4571" s="417" t="s">
        <v>563</v>
      </c>
      <c r="E4571" s="423">
        <v>4.6222134112187323</v>
      </c>
      <c r="F4571" s="423">
        <v>0.133834705</v>
      </c>
      <c r="G4571" s="422">
        <v>6690.6630224853616</v>
      </c>
      <c r="H4571" s="417" t="s">
        <v>2616</v>
      </c>
      <c r="I4571" s="417" t="s">
        <v>1392</v>
      </c>
      <c r="J4571" s="417" t="s">
        <v>3855</v>
      </c>
      <c r="K4571" s="417" t="s">
        <v>11599</v>
      </c>
      <c r="L4571" s="417"/>
      <c r="M4571" s="417" t="s">
        <v>28840</v>
      </c>
    </row>
    <row r="4572" spans="1:13" x14ac:dyDescent="0.25">
      <c r="A4572" s="417" t="s">
        <v>3385</v>
      </c>
      <c r="B4572" s="417" t="s">
        <v>2627</v>
      </c>
      <c r="C4572" s="417" t="s">
        <v>11600</v>
      </c>
      <c r="D4572" s="417" t="s">
        <v>563</v>
      </c>
      <c r="E4572" s="423">
        <v>5.5961150594330933</v>
      </c>
      <c r="F4572" s="423">
        <v>0.2319834529904217</v>
      </c>
      <c r="G4572" s="422">
        <v>8556.3899303973267</v>
      </c>
      <c r="H4572" s="417" t="s">
        <v>2616</v>
      </c>
      <c r="I4572" s="417" t="s">
        <v>1392</v>
      </c>
      <c r="J4572" s="417" t="s">
        <v>3855</v>
      </c>
      <c r="K4572" s="417" t="s">
        <v>11601</v>
      </c>
      <c r="L4572" s="417"/>
      <c r="M4572" s="417" t="s">
        <v>28840</v>
      </c>
    </row>
    <row r="4573" spans="1:13" x14ac:dyDescent="0.25">
      <c r="A4573" s="417" t="s">
        <v>3385</v>
      </c>
      <c r="B4573" s="417" t="s">
        <v>2627</v>
      </c>
      <c r="C4573" s="417" t="s">
        <v>11602</v>
      </c>
      <c r="D4573" s="417" t="s">
        <v>563</v>
      </c>
      <c r="E4573" s="423">
        <v>0.97055825444445276</v>
      </c>
      <c r="F4573" s="423">
        <v>9.6548218551766277E-2</v>
      </c>
      <c r="G4573" s="422">
        <v>1858.549140809346</v>
      </c>
      <c r="H4573" s="417" t="s">
        <v>2616</v>
      </c>
      <c r="I4573" s="417" t="s">
        <v>1392</v>
      </c>
      <c r="J4573" s="417" t="s">
        <v>3855</v>
      </c>
      <c r="K4573" s="417" t="s">
        <v>11603</v>
      </c>
      <c r="L4573" s="417"/>
      <c r="M4573" s="417" t="s">
        <v>28840</v>
      </c>
    </row>
    <row r="4574" spans="1:13" x14ac:dyDescent="0.25">
      <c r="A4574" s="417" t="s">
        <v>3385</v>
      </c>
      <c r="B4574" s="417" t="s">
        <v>2623</v>
      </c>
      <c r="C4574" s="417" t="s">
        <v>11604</v>
      </c>
      <c r="D4574" s="417" t="s">
        <v>88</v>
      </c>
      <c r="E4574" s="423">
        <v>0.22909542851532819</v>
      </c>
      <c r="F4574" s="423">
        <v>5.511947577991929E-2</v>
      </c>
      <c r="G4574" s="422">
        <v>379.29529239833721</v>
      </c>
      <c r="H4574" s="417" t="s">
        <v>2616</v>
      </c>
      <c r="I4574" s="417" t="s">
        <v>1392</v>
      </c>
      <c r="J4574" s="417" t="s">
        <v>4364</v>
      </c>
      <c r="K4574" s="417" t="s">
        <v>11605</v>
      </c>
      <c r="L4574" s="417"/>
      <c r="M4574" s="417" t="s">
        <v>28840</v>
      </c>
    </row>
    <row r="4575" spans="1:13" x14ac:dyDescent="0.25">
      <c r="A4575" s="417" t="s">
        <v>3385</v>
      </c>
      <c r="B4575" s="417" t="s">
        <v>2627</v>
      </c>
      <c r="C4575" s="417" t="s">
        <v>11606</v>
      </c>
      <c r="D4575" s="417" t="s">
        <v>88</v>
      </c>
      <c r="E4575" s="423">
        <v>0.16828733386995059</v>
      </c>
      <c r="F4575" s="423">
        <v>1.0106181259999999E-2</v>
      </c>
      <c r="G4575" s="422">
        <v>241.8584335925097</v>
      </c>
      <c r="H4575" s="417" t="s">
        <v>2616</v>
      </c>
      <c r="I4575" s="417" t="s">
        <v>1392</v>
      </c>
      <c r="J4575" s="417" t="s">
        <v>3619</v>
      </c>
      <c r="K4575" s="417" t="s">
        <v>11607</v>
      </c>
      <c r="L4575" s="417"/>
      <c r="M4575" s="417" t="s">
        <v>28840</v>
      </c>
    </row>
    <row r="4576" spans="1:13" x14ac:dyDescent="0.25">
      <c r="A4576" s="417" t="s">
        <v>3385</v>
      </c>
      <c r="B4576" s="417" t="s">
        <v>2627</v>
      </c>
      <c r="C4576" s="417" t="s">
        <v>11608</v>
      </c>
      <c r="D4576" s="417" t="s">
        <v>88</v>
      </c>
      <c r="E4576" s="423">
        <v>0.1452167959505484</v>
      </c>
      <c r="F4576" s="423">
        <v>8.7241411863752342E-3</v>
      </c>
      <c r="G4576" s="422">
        <v>208.7431784728054</v>
      </c>
      <c r="H4576" s="417" t="s">
        <v>2616</v>
      </c>
      <c r="I4576" s="417" t="s">
        <v>1392</v>
      </c>
      <c r="J4576" s="417" t="s">
        <v>3619</v>
      </c>
      <c r="K4576" s="417" t="s">
        <v>11609</v>
      </c>
      <c r="L4576" s="417"/>
      <c r="M4576" s="417" t="s">
        <v>28840</v>
      </c>
    </row>
    <row r="4577" spans="1:13" x14ac:dyDescent="0.25">
      <c r="A4577" s="417" t="s">
        <v>3385</v>
      </c>
      <c r="B4577" s="417" t="s">
        <v>2627</v>
      </c>
      <c r="C4577" s="417" t="s">
        <v>11610</v>
      </c>
      <c r="D4577" s="417" t="s">
        <v>563</v>
      </c>
      <c r="E4577" s="423">
        <v>3.3433938323940461E-3</v>
      </c>
      <c r="F4577" s="423">
        <v>1.6005294400428559E-3</v>
      </c>
      <c r="G4577" s="422">
        <v>7.1777672037136391</v>
      </c>
      <c r="H4577" s="417" t="s">
        <v>2616</v>
      </c>
      <c r="I4577" s="417" t="s">
        <v>1392</v>
      </c>
      <c r="J4577" s="417" t="s">
        <v>3855</v>
      </c>
      <c r="K4577" s="417" t="s">
        <v>11611</v>
      </c>
      <c r="L4577" s="417"/>
      <c r="M4577" s="417" t="s">
        <v>28840</v>
      </c>
    </row>
    <row r="4578" spans="1:13" x14ac:dyDescent="0.25">
      <c r="A4578" s="417" t="s">
        <v>3385</v>
      </c>
      <c r="B4578" s="417" t="s">
        <v>2627</v>
      </c>
      <c r="C4578" s="417" t="s">
        <v>11612</v>
      </c>
      <c r="D4578" s="417" t="s">
        <v>563</v>
      </c>
      <c r="E4578" s="423">
        <v>2.2683114411033198</v>
      </c>
      <c r="F4578" s="423">
        <v>0.111019491</v>
      </c>
      <c r="G4578" s="422">
        <v>3474.3765979080499</v>
      </c>
      <c r="H4578" s="417" t="s">
        <v>2616</v>
      </c>
      <c r="I4578" s="417" t="s">
        <v>1392</v>
      </c>
      <c r="J4578" s="417" t="s">
        <v>3855</v>
      </c>
      <c r="K4578" s="417" t="s">
        <v>11613</v>
      </c>
      <c r="L4578" s="417"/>
      <c r="M4578" s="417" t="s">
        <v>28840</v>
      </c>
    </row>
    <row r="4579" spans="1:13" x14ac:dyDescent="0.25">
      <c r="A4579" s="417" t="s">
        <v>3385</v>
      </c>
      <c r="B4579" s="417" t="s">
        <v>2627</v>
      </c>
      <c r="C4579" s="417" t="s">
        <v>11614</v>
      </c>
      <c r="D4579" s="417" t="s">
        <v>563</v>
      </c>
      <c r="E4579" s="423">
        <v>3.017096345982818</v>
      </c>
      <c r="F4579" s="423">
        <v>0.18905612537063979</v>
      </c>
      <c r="G4579" s="422">
        <v>4913.7457865910874</v>
      </c>
      <c r="H4579" s="417" t="s">
        <v>2616</v>
      </c>
      <c r="I4579" s="417" t="s">
        <v>1392</v>
      </c>
      <c r="J4579" s="417" t="s">
        <v>3855</v>
      </c>
      <c r="K4579" s="417" t="s">
        <v>11615</v>
      </c>
      <c r="L4579" s="417"/>
      <c r="M4579" s="417" t="s">
        <v>28840</v>
      </c>
    </row>
    <row r="4580" spans="1:13" x14ac:dyDescent="0.25">
      <c r="A4580" s="417" t="s">
        <v>3385</v>
      </c>
      <c r="B4580" s="417" t="s">
        <v>2627</v>
      </c>
      <c r="C4580" s="417" t="s">
        <v>11616</v>
      </c>
      <c r="D4580" s="417" t="s">
        <v>563</v>
      </c>
      <c r="E4580" s="423">
        <v>0.74544151094520672</v>
      </c>
      <c r="F4580" s="423">
        <v>7.6436104928945786E-2</v>
      </c>
      <c r="G4580" s="422">
        <v>1432.1914216222519</v>
      </c>
      <c r="H4580" s="417" t="s">
        <v>2616</v>
      </c>
      <c r="I4580" s="417" t="s">
        <v>1392</v>
      </c>
      <c r="J4580" s="417" t="s">
        <v>3855</v>
      </c>
      <c r="K4580" s="417" t="s">
        <v>11617</v>
      </c>
      <c r="L4580" s="417"/>
      <c r="M4580" s="417" t="s">
        <v>28840</v>
      </c>
    </row>
    <row r="4581" spans="1:13" x14ac:dyDescent="0.25">
      <c r="A4581" s="417" t="s">
        <v>3385</v>
      </c>
      <c r="B4581" s="417" t="s">
        <v>2627</v>
      </c>
      <c r="C4581" s="417" t="s">
        <v>11618</v>
      </c>
      <c r="D4581" s="417" t="s">
        <v>88</v>
      </c>
      <c r="E4581" s="423">
        <v>0.16330660190336149</v>
      </c>
      <c r="F4581" s="423">
        <v>1.024485529E-2</v>
      </c>
      <c r="G4581" s="422">
        <v>235.08879804229281</v>
      </c>
      <c r="H4581" s="417" t="s">
        <v>2616</v>
      </c>
      <c r="I4581" s="417" t="s">
        <v>1392</v>
      </c>
      <c r="J4581" s="417" t="s">
        <v>3619</v>
      </c>
      <c r="K4581" s="417" t="s">
        <v>11619</v>
      </c>
      <c r="L4581" s="417"/>
      <c r="M4581" s="417" t="s">
        <v>28840</v>
      </c>
    </row>
    <row r="4582" spans="1:13" x14ac:dyDescent="0.25">
      <c r="A4582" s="417" t="s">
        <v>3385</v>
      </c>
      <c r="B4582" s="417" t="s">
        <v>2627</v>
      </c>
      <c r="C4582" s="417" t="s">
        <v>11620</v>
      </c>
      <c r="D4582" s="417" t="s">
        <v>88</v>
      </c>
      <c r="E4582" s="423">
        <v>0.13812918131671931</v>
      </c>
      <c r="F4582" s="423">
        <v>8.6691664632423341E-3</v>
      </c>
      <c r="G4582" s="422">
        <v>198.89075903944479</v>
      </c>
      <c r="H4582" s="417" t="s">
        <v>2616</v>
      </c>
      <c r="I4582" s="417" t="s">
        <v>1392</v>
      </c>
      <c r="J4582" s="417" t="s">
        <v>3619</v>
      </c>
      <c r="K4582" s="417" t="s">
        <v>11621</v>
      </c>
      <c r="L4582" s="417"/>
      <c r="M4582" s="417" t="s">
        <v>28840</v>
      </c>
    </row>
    <row r="4583" spans="1:13" x14ac:dyDescent="0.25">
      <c r="A4583" s="417" t="s">
        <v>3385</v>
      </c>
      <c r="B4583" s="417" t="s">
        <v>2623</v>
      </c>
      <c r="C4583" s="417" t="s">
        <v>11622</v>
      </c>
      <c r="D4583" s="417" t="s">
        <v>88</v>
      </c>
      <c r="E4583" s="423">
        <v>1.3678976962699849E-2</v>
      </c>
      <c r="F4583" s="423">
        <v>0.26264083212836908</v>
      </c>
      <c r="G4583" s="422">
        <v>41.603805044937687</v>
      </c>
      <c r="H4583" s="417" t="s">
        <v>2616</v>
      </c>
      <c r="I4583" s="417" t="s">
        <v>1392</v>
      </c>
      <c r="J4583" s="417" t="s">
        <v>4364</v>
      </c>
      <c r="K4583" s="417" t="s">
        <v>11623</v>
      </c>
      <c r="L4583" s="417"/>
      <c r="M4583" s="417" t="s">
        <v>28840</v>
      </c>
    </row>
    <row r="4584" spans="1:13" x14ac:dyDescent="0.25">
      <c r="A4584" s="417" t="s">
        <v>3385</v>
      </c>
      <c r="B4584" s="417" t="s">
        <v>2627</v>
      </c>
      <c r="C4584" s="417" t="s">
        <v>11624</v>
      </c>
      <c r="D4584" s="417" t="s">
        <v>88</v>
      </c>
      <c r="E4584" s="423">
        <v>0.10578884757902531</v>
      </c>
      <c r="F4584" s="423">
        <v>2.7733491330954149E-3</v>
      </c>
      <c r="G4584" s="422">
        <v>139.75111520435539</v>
      </c>
      <c r="H4584" s="417" t="s">
        <v>2616</v>
      </c>
      <c r="I4584" s="417" t="s">
        <v>1392</v>
      </c>
      <c r="J4584" s="417" t="s">
        <v>3855</v>
      </c>
      <c r="K4584" s="417" t="s">
        <v>11625</v>
      </c>
      <c r="L4584" s="417"/>
      <c r="M4584" s="417" t="s">
        <v>28840</v>
      </c>
    </row>
    <row r="4585" spans="1:13" x14ac:dyDescent="0.25">
      <c r="A4585" s="417" t="s">
        <v>3385</v>
      </c>
      <c r="B4585" s="417" t="s">
        <v>2627</v>
      </c>
      <c r="C4585" s="417" t="s">
        <v>11626</v>
      </c>
      <c r="D4585" s="417" t="s">
        <v>88</v>
      </c>
      <c r="E4585" s="423">
        <v>0.1035089374926612</v>
      </c>
      <c r="F4585" s="423">
        <v>1.9751153948730912E-3</v>
      </c>
      <c r="G4585" s="422">
        <v>233.3349447522593</v>
      </c>
      <c r="H4585" s="417" t="s">
        <v>2616</v>
      </c>
      <c r="I4585" s="417" t="s">
        <v>1392</v>
      </c>
      <c r="J4585" s="417" t="s">
        <v>3855</v>
      </c>
      <c r="K4585" s="417" t="s">
        <v>11627</v>
      </c>
      <c r="L4585" s="417"/>
      <c r="M4585" s="417" t="s">
        <v>28840</v>
      </c>
    </row>
    <row r="4586" spans="1:13" x14ac:dyDescent="0.25">
      <c r="A4586" s="417" t="s">
        <v>3385</v>
      </c>
      <c r="B4586" s="417" t="s">
        <v>2627</v>
      </c>
      <c r="C4586" s="417" t="s">
        <v>11628</v>
      </c>
      <c r="D4586" s="417" t="s">
        <v>88</v>
      </c>
      <c r="E4586" s="423">
        <v>2.2103450916052978E-3</v>
      </c>
      <c r="F4586" s="423">
        <v>7.7506208989496254E-5</v>
      </c>
      <c r="G4586" s="422">
        <v>82.677241355605645</v>
      </c>
      <c r="H4586" s="417" t="s">
        <v>2616</v>
      </c>
      <c r="I4586" s="417" t="s">
        <v>1392</v>
      </c>
      <c r="J4586" s="417" t="s">
        <v>3860</v>
      </c>
      <c r="K4586" s="417" t="s">
        <v>11629</v>
      </c>
      <c r="L4586" s="417"/>
      <c r="M4586" s="417" t="s">
        <v>28840</v>
      </c>
    </row>
    <row r="4587" spans="1:13" x14ac:dyDescent="0.25">
      <c r="A4587" s="417" t="s">
        <v>3385</v>
      </c>
      <c r="B4587" s="417" t="s">
        <v>3405</v>
      </c>
      <c r="C4587" s="417" t="s">
        <v>11630</v>
      </c>
      <c r="D4587" s="417" t="s">
        <v>73</v>
      </c>
      <c r="E4587" s="423">
        <v>0.1046714911078809</v>
      </c>
      <c r="F4587" s="423">
        <v>3.9809639604387837E-4</v>
      </c>
      <c r="G4587" s="422">
        <v>204.90378232044611</v>
      </c>
      <c r="H4587" s="417" t="s">
        <v>2616</v>
      </c>
      <c r="I4587" s="417" t="s">
        <v>1392</v>
      </c>
      <c r="J4587" s="417" t="s">
        <v>3905</v>
      </c>
      <c r="K4587" s="417" t="s">
        <v>11631</v>
      </c>
      <c r="L4587" s="417"/>
      <c r="M4587" s="417" t="s">
        <v>28840</v>
      </c>
    </row>
    <row r="4588" spans="1:13" x14ac:dyDescent="0.25">
      <c r="A4588" s="417" t="s">
        <v>3385</v>
      </c>
      <c r="B4588" s="417" t="s">
        <v>3405</v>
      </c>
      <c r="C4588" s="417" t="s">
        <v>11632</v>
      </c>
      <c r="D4588" s="417" t="s">
        <v>73</v>
      </c>
      <c r="E4588" s="423">
        <v>0.10823416822742329</v>
      </c>
      <c r="F4588" s="423">
        <v>4.2154242204633729E-4</v>
      </c>
      <c r="G4588" s="422">
        <v>212.09446135949341</v>
      </c>
      <c r="H4588" s="417" t="s">
        <v>2616</v>
      </c>
      <c r="I4588" s="417" t="s">
        <v>1392</v>
      </c>
      <c r="J4588" s="417" t="s">
        <v>3908</v>
      </c>
      <c r="K4588" s="417" t="s">
        <v>11633</v>
      </c>
      <c r="L4588" s="417"/>
      <c r="M4588" s="417" t="s">
        <v>28840</v>
      </c>
    </row>
    <row r="4589" spans="1:13" x14ac:dyDescent="0.25">
      <c r="A4589" s="417" t="s">
        <v>3385</v>
      </c>
      <c r="B4589" s="417" t="s">
        <v>2627</v>
      </c>
      <c r="C4589" s="417" t="s">
        <v>11634</v>
      </c>
      <c r="D4589" s="417" t="s">
        <v>989</v>
      </c>
      <c r="E4589" s="423">
        <v>23331631.403188892</v>
      </c>
      <c r="F4589" s="423">
        <v>702784.67612775834</v>
      </c>
      <c r="G4589" s="422">
        <v>42365329237.697891</v>
      </c>
      <c r="H4589" s="417" t="s">
        <v>2616</v>
      </c>
      <c r="I4589" s="417" t="s">
        <v>1392</v>
      </c>
      <c r="J4589" s="417" t="s">
        <v>11635</v>
      </c>
      <c r="K4589" s="417" t="s">
        <v>11636</v>
      </c>
      <c r="L4589" s="417"/>
      <c r="M4589" s="417" t="s">
        <v>28840</v>
      </c>
    </row>
    <row r="4590" spans="1:13" x14ac:dyDescent="0.25">
      <c r="A4590" s="417" t="s">
        <v>3385</v>
      </c>
      <c r="B4590" s="417" t="s">
        <v>2627</v>
      </c>
      <c r="C4590" s="417" t="s">
        <v>11637</v>
      </c>
      <c r="D4590" s="417" t="s">
        <v>73</v>
      </c>
      <c r="E4590" s="423">
        <v>1.4896493941109911E-2</v>
      </c>
      <c r="F4590" s="423">
        <v>3.3412413607418029E-4</v>
      </c>
      <c r="G4590" s="422">
        <v>34.251355288767698</v>
      </c>
      <c r="H4590" s="417" t="s">
        <v>2616</v>
      </c>
      <c r="I4590" s="417" t="s">
        <v>1392</v>
      </c>
      <c r="J4590" s="417" t="s">
        <v>11638</v>
      </c>
      <c r="K4590" s="417" t="s">
        <v>11639</v>
      </c>
      <c r="L4590" s="417"/>
      <c r="M4590" s="417" t="s">
        <v>28840</v>
      </c>
    </row>
    <row r="4591" spans="1:13" x14ac:dyDescent="0.25">
      <c r="A4591" s="417" t="s">
        <v>3385</v>
      </c>
      <c r="B4591" s="417" t="s">
        <v>2627</v>
      </c>
      <c r="C4591" s="417" t="s">
        <v>11640</v>
      </c>
      <c r="D4591" s="417" t="s">
        <v>989</v>
      </c>
      <c r="E4591" s="423">
        <v>466422262.85545373</v>
      </c>
      <c r="F4591" s="423">
        <v>14043815.825698821</v>
      </c>
      <c r="G4591" s="422">
        <v>847014437577.78369</v>
      </c>
      <c r="H4591" s="417" t="s">
        <v>2616</v>
      </c>
      <c r="I4591" s="417" t="s">
        <v>1392</v>
      </c>
      <c r="J4591" s="417" t="s">
        <v>11635</v>
      </c>
      <c r="K4591" s="417" t="s">
        <v>11641</v>
      </c>
      <c r="L4591" s="417"/>
      <c r="M4591" s="417" t="s">
        <v>28840</v>
      </c>
    </row>
    <row r="4592" spans="1:13" x14ac:dyDescent="0.25">
      <c r="A4592" s="417" t="s">
        <v>3385</v>
      </c>
      <c r="B4592" s="417" t="s">
        <v>2627</v>
      </c>
      <c r="C4592" s="417" t="s">
        <v>11642</v>
      </c>
      <c r="D4592" s="417" t="s">
        <v>73</v>
      </c>
      <c r="E4592" s="423">
        <v>2.7521548840072189E-2</v>
      </c>
      <c r="F4592" s="423">
        <v>5.2560152725694654E-4</v>
      </c>
      <c r="G4592" s="422">
        <v>374.68010909471531</v>
      </c>
      <c r="H4592" s="417" t="s">
        <v>2616</v>
      </c>
      <c r="I4592" s="417" t="s">
        <v>1392</v>
      </c>
      <c r="J4592" s="417" t="s">
        <v>11638</v>
      </c>
      <c r="K4592" s="417" t="s">
        <v>11643</v>
      </c>
      <c r="L4592" s="417"/>
      <c r="M4592" s="417" t="s">
        <v>28840</v>
      </c>
    </row>
    <row r="4593" spans="1:13" x14ac:dyDescent="0.25">
      <c r="A4593" s="417" t="s">
        <v>3385</v>
      </c>
      <c r="B4593" s="417" t="s">
        <v>2627</v>
      </c>
      <c r="C4593" s="417" t="s">
        <v>11644</v>
      </c>
      <c r="D4593" s="417" t="s">
        <v>73</v>
      </c>
      <c r="E4593" s="423">
        <v>2.2072887224288809E-2</v>
      </c>
      <c r="F4593" s="423">
        <v>5.2512808057584692E-4</v>
      </c>
      <c r="G4593" s="422">
        <v>49.491065706756288</v>
      </c>
      <c r="H4593" s="417" t="s">
        <v>2616</v>
      </c>
      <c r="I4593" s="417" t="s">
        <v>1392</v>
      </c>
      <c r="J4593" s="417" t="s">
        <v>11638</v>
      </c>
      <c r="K4593" s="417" t="s">
        <v>11645</v>
      </c>
      <c r="L4593" s="417"/>
      <c r="M4593" s="417" t="s">
        <v>28840</v>
      </c>
    </row>
    <row r="4594" spans="1:13" x14ac:dyDescent="0.25">
      <c r="A4594" s="417" t="s">
        <v>3385</v>
      </c>
      <c r="B4594" s="417" t="s">
        <v>3405</v>
      </c>
      <c r="C4594" s="417" t="s">
        <v>11646</v>
      </c>
      <c r="D4594" s="417" t="s">
        <v>73</v>
      </c>
      <c r="E4594" s="423">
        <v>0.1155256556571341</v>
      </c>
      <c r="F4594" s="423">
        <v>5.9108434974432483E-4</v>
      </c>
      <c r="G4594" s="422">
        <v>170.53919662747671</v>
      </c>
      <c r="H4594" s="417" t="s">
        <v>2616</v>
      </c>
      <c r="I4594" s="417" t="s">
        <v>1392</v>
      </c>
      <c r="J4594" s="417" t="s">
        <v>3905</v>
      </c>
      <c r="K4594" s="417" t="s">
        <v>11647</v>
      </c>
      <c r="L4594" s="417"/>
      <c r="M4594" s="417" t="s">
        <v>28840</v>
      </c>
    </row>
    <row r="4595" spans="1:13" x14ac:dyDescent="0.25">
      <c r="A4595" s="417" t="s">
        <v>3385</v>
      </c>
      <c r="B4595" s="417" t="s">
        <v>3405</v>
      </c>
      <c r="C4595" s="417" t="s">
        <v>11648</v>
      </c>
      <c r="D4595" s="417" t="s">
        <v>73</v>
      </c>
      <c r="E4595" s="423">
        <v>0.1195294826452647</v>
      </c>
      <c r="F4595" s="423">
        <v>6.2091104205621824E-4</v>
      </c>
      <c r="G4595" s="422">
        <v>176.86947598236529</v>
      </c>
      <c r="H4595" s="417" t="s">
        <v>2616</v>
      </c>
      <c r="I4595" s="417" t="s">
        <v>1392</v>
      </c>
      <c r="J4595" s="417" t="s">
        <v>3908</v>
      </c>
      <c r="K4595" s="417" t="s">
        <v>11649</v>
      </c>
      <c r="L4595" s="417"/>
      <c r="M4595" s="417" t="s">
        <v>28840</v>
      </c>
    </row>
    <row r="4596" spans="1:13" x14ac:dyDescent="0.25">
      <c r="A4596" s="417" t="s">
        <v>3385</v>
      </c>
      <c r="B4596" s="417" t="s">
        <v>2627</v>
      </c>
      <c r="C4596" s="417" t="s">
        <v>11650</v>
      </c>
      <c r="D4596" s="417" t="s">
        <v>88</v>
      </c>
      <c r="E4596" s="423">
        <v>0.37998509395214558</v>
      </c>
      <c r="F4596" s="423">
        <v>9.4004516419537911E-3</v>
      </c>
      <c r="G4596" s="422">
        <v>765.10369779980022</v>
      </c>
      <c r="H4596" s="417" t="s">
        <v>2616</v>
      </c>
      <c r="I4596" s="417" t="s">
        <v>1392</v>
      </c>
      <c r="J4596" s="417" t="s">
        <v>11651</v>
      </c>
      <c r="K4596" s="417" t="s">
        <v>11652</v>
      </c>
      <c r="L4596" s="417"/>
      <c r="M4596" s="417" t="s">
        <v>28840</v>
      </c>
    </row>
    <row r="4597" spans="1:13" x14ac:dyDescent="0.25">
      <c r="A4597" s="417" t="s">
        <v>3385</v>
      </c>
      <c r="B4597" s="417" t="s">
        <v>3405</v>
      </c>
      <c r="C4597" s="417" t="s">
        <v>11653</v>
      </c>
      <c r="D4597" s="417" t="s">
        <v>989</v>
      </c>
      <c r="E4597" s="423">
        <v>150704043.8140811</v>
      </c>
      <c r="F4597" s="423">
        <v>4109424.060926612</v>
      </c>
      <c r="G4597" s="422">
        <v>282586602214.58588</v>
      </c>
      <c r="H4597" s="417" t="s">
        <v>2616</v>
      </c>
      <c r="I4597" s="417" t="s">
        <v>1392</v>
      </c>
      <c r="J4597" s="417" t="s">
        <v>11654</v>
      </c>
      <c r="K4597" s="417" t="s">
        <v>11655</v>
      </c>
      <c r="L4597" s="417"/>
      <c r="M4597" s="417" t="s">
        <v>28840</v>
      </c>
    </row>
    <row r="4598" spans="1:13" x14ac:dyDescent="0.25">
      <c r="A4598" s="417" t="s">
        <v>3385</v>
      </c>
      <c r="B4598" s="417" t="s">
        <v>3405</v>
      </c>
      <c r="C4598" s="417" t="s">
        <v>11656</v>
      </c>
      <c r="D4598" s="417" t="s">
        <v>989</v>
      </c>
      <c r="E4598" s="423">
        <v>143841722.51529881</v>
      </c>
      <c r="F4598" s="423">
        <v>4379836.9229558874</v>
      </c>
      <c r="G4598" s="422">
        <v>276054852540.15332</v>
      </c>
      <c r="H4598" s="417" t="s">
        <v>2616</v>
      </c>
      <c r="I4598" s="417" t="s">
        <v>1392</v>
      </c>
      <c r="J4598" s="417" t="s">
        <v>11654</v>
      </c>
      <c r="K4598" s="417" t="s">
        <v>11657</v>
      </c>
      <c r="L4598" s="417"/>
      <c r="M4598" s="417" t="s">
        <v>28840</v>
      </c>
    </row>
    <row r="4599" spans="1:13" x14ac:dyDescent="0.25">
      <c r="A4599" s="417" t="s">
        <v>3385</v>
      </c>
      <c r="B4599" s="417" t="s">
        <v>3405</v>
      </c>
      <c r="C4599" s="417" t="s">
        <v>11658</v>
      </c>
      <c r="D4599" s="417" t="s">
        <v>989</v>
      </c>
      <c r="E4599" s="423">
        <v>29926308.757530551</v>
      </c>
      <c r="F4599" s="423">
        <v>997032.70355533995</v>
      </c>
      <c r="G4599" s="422">
        <v>60454793419.524773</v>
      </c>
      <c r="H4599" s="417" t="s">
        <v>2616</v>
      </c>
      <c r="I4599" s="417" t="s">
        <v>1392</v>
      </c>
      <c r="J4599" s="417" t="s">
        <v>11654</v>
      </c>
      <c r="K4599" s="417" t="s">
        <v>11659</v>
      </c>
      <c r="L4599" s="417"/>
      <c r="M4599" s="417" t="s">
        <v>28840</v>
      </c>
    </row>
    <row r="4600" spans="1:13" x14ac:dyDescent="0.25">
      <c r="A4600" s="417" t="s">
        <v>3385</v>
      </c>
      <c r="B4600" s="417" t="s">
        <v>3405</v>
      </c>
      <c r="C4600" s="417" t="s">
        <v>11660</v>
      </c>
      <c r="D4600" s="417" t="s">
        <v>989</v>
      </c>
      <c r="E4600" s="423">
        <v>110720603.5894106</v>
      </c>
      <c r="F4600" s="423">
        <v>3604392.554633772</v>
      </c>
      <c r="G4600" s="422">
        <v>226029562380.18149</v>
      </c>
      <c r="H4600" s="417" t="s">
        <v>2616</v>
      </c>
      <c r="I4600" s="417" t="s">
        <v>1392</v>
      </c>
      <c r="J4600" s="417" t="s">
        <v>11654</v>
      </c>
      <c r="K4600" s="417" t="s">
        <v>11661</v>
      </c>
      <c r="L4600" s="417"/>
      <c r="M4600" s="417" t="s">
        <v>28840</v>
      </c>
    </row>
    <row r="4601" spans="1:13" x14ac:dyDescent="0.25">
      <c r="A4601" s="417" t="s">
        <v>3385</v>
      </c>
      <c r="B4601" s="417" t="s">
        <v>2627</v>
      </c>
      <c r="C4601" s="417" t="s">
        <v>11662</v>
      </c>
      <c r="D4601" s="417" t="s">
        <v>88</v>
      </c>
      <c r="E4601" s="423">
        <v>0.38979340864019751</v>
      </c>
      <c r="F4601" s="423">
        <v>8.457590424406693E-3</v>
      </c>
      <c r="G4601" s="422">
        <v>718.91939904783658</v>
      </c>
      <c r="H4601" s="417" t="s">
        <v>2616</v>
      </c>
      <c r="I4601" s="417" t="s">
        <v>1392</v>
      </c>
      <c r="J4601" s="417" t="s">
        <v>11663</v>
      </c>
      <c r="K4601" s="417" t="s">
        <v>11664</v>
      </c>
      <c r="L4601" s="417"/>
      <c r="M4601" s="417" t="s">
        <v>28840</v>
      </c>
    </row>
    <row r="4602" spans="1:13" x14ac:dyDescent="0.25">
      <c r="A4602" s="417" t="s">
        <v>3385</v>
      </c>
      <c r="B4602" s="417" t="s">
        <v>2627</v>
      </c>
      <c r="C4602" s="417" t="s">
        <v>11665</v>
      </c>
      <c r="D4602" s="417" t="s">
        <v>88</v>
      </c>
      <c r="E4602" s="423">
        <v>0.38556184995522402</v>
      </c>
      <c r="F4602" s="423">
        <v>1.3311141286207291E-2</v>
      </c>
      <c r="G4602" s="422">
        <v>826.39640481300739</v>
      </c>
      <c r="H4602" s="417" t="s">
        <v>2616</v>
      </c>
      <c r="I4602" s="417" t="s">
        <v>1392</v>
      </c>
      <c r="J4602" s="417" t="s">
        <v>11663</v>
      </c>
      <c r="K4602" s="417" t="s">
        <v>11666</v>
      </c>
      <c r="L4602" s="417"/>
      <c r="M4602" s="417" t="s">
        <v>28840</v>
      </c>
    </row>
    <row r="4603" spans="1:13" x14ac:dyDescent="0.25">
      <c r="A4603" s="417" t="s">
        <v>3385</v>
      </c>
      <c r="B4603" s="417" t="s">
        <v>2627</v>
      </c>
      <c r="C4603" s="417" t="s">
        <v>11667</v>
      </c>
      <c r="D4603" s="417" t="s">
        <v>88</v>
      </c>
      <c r="E4603" s="423">
        <v>0.28808395780399659</v>
      </c>
      <c r="F4603" s="423">
        <v>3.8154145988670341E-3</v>
      </c>
      <c r="G4603" s="422">
        <v>571.99652450500434</v>
      </c>
      <c r="H4603" s="417" t="s">
        <v>2616</v>
      </c>
      <c r="I4603" s="417" t="s">
        <v>1392</v>
      </c>
      <c r="J4603" s="417" t="s">
        <v>11663</v>
      </c>
      <c r="K4603" s="417" t="s">
        <v>11668</v>
      </c>
      <c r="L4603" s="417"/>
      <c r="M4603" s="417" t="s">
        <v>28840</v>
      </c>
    </row>
    <row r="4604" spans="1:13" x14ac:dyDescent="0.25">
      <c r="A4604" s="417" t="s">
        <v>3385</v>
      </c>
      <c r="B4604" s="417" t="s">
        <v>2627</v>
      </c>
      <c r="C4604" s="417" t="s">
        <v>11669</v>
      </c>
      <c r="D4604" s="417" t="s">
        <v>88</v>
      </c>
      <c r="E4604" s="423">
        <v>0.39167797810251498</v>
      </c>
      <c r="F4604" s="423">
        <v>6.8884191124981304E-3</v>
      </c>
      <c r="G4604" s="422">
        <v>699.03501647409814</v>
      </c>
      <c r="H4604" s="417" t="s">
        <v>2616</v>
      </c>
      <c r="I4604" s="417" t="s">
        <v>1392</v>
      </c>
      <c r="J4604" s="417" t="s">
        <v>11663</v>
      </c>
      <c r="K4604" s="417" t="s">
        <v>11670</v>
      </c>
      <c r="L4604" s="417"/>
      <c r="M4604" s="417" t="s">
        <v>28840</v>
      </c>
    </row>
    <row r="4605" spans="1:13" x14ac:dyDescent="0.25">
      <c r="A4605" s="417" t="s">
        <v>3385</v>
      </c>
      <c r="B4605" s="417" t="s">
        <v>2627</v>
      </c>
      <c r="C4605" s="417" t="s">
        <v>11671</v>
      </c>
      <c r="D4605" s="417" t="s">
        <v>88</v>
      </c>
      <c r="E4605" s="423">
        <v>0.36875752425963981</v>
      </c>
      <c r="F4605" s="423">
        <v>1.1603632168870569E-2</v>
      </c>
      <c r="G4605" s="422">
        <v>779.82242775554221</v>
      </c>
      <c r="H4605" s="417" t="s">
        <v>2616</v>
      </c>
      <c r="I4605" s="417" t="s">
        <v>1392</v>
      </c>
      <c r="J4605" s="417" t="s">
        <v>11663</v>
      </c>
      <c r="K4605" s="417" t="s">
        <v>11672</v>
      </c>
      <c r="L4605" s="417"/>
      <c r="M4605" s="417" t="s">
        <v>28840</v>
      </c>
    </row>
    <row r="4606" spans="1:13" x14ac:dyDescent="0.25">
      <c r="A4606" s="417" t="s">
        <v>3385</v>
      </c>
      <c r="B4606" s="417" t="s">
        <v>2627</v>
      </c>
      <c r="C4606" s="417" t="s">
        <v>11673</v>
      </c>
      <c r="D4606" s="417" t="s">
        <v>88</v>
      </c>
      <c r="E4606" s="423">
        <v>0.38914171321224827</v>
      </c>
      <c r="F4606" s="423">
        <v>1.1667336629787389E-2</v>
      </c>
      <c r="G4606" s="422">
        <v>813.61521662749442</v>
      </c>
      <c r="H4606" s="417" t="s">
        <v>2616</v>
      </c>
      <c r="I4606" s="417" t="s">
        <v>1392</v>
      </c>
      <c r="J4606" s="417" t="s">
        <v>11663</v>
      </c>
      <c r="K4606" s="417" t="s">
        <v>11674</v>
      </c>
      <c r="L4606" s="417"/>
      <c r="M4606" s="417" t="s">
        <v>28840</v>
      </c>
    </row>
    <row r="4607" spans="1:13" x14ac:dyDescent="0.25">
      <c r="A4607" s="417" t="s">
        <v>3385</v>
      </c>
      <c r="B4607" s="417" t="s">
        <v>2627</v>
      </c>
      <c r="C4607" s="417" t="s">
        <v>11675</v>
      </c>
      <c r="D4607" s="417" t="s">
        <v>88</v>
      </c>
      <c r="E4607" s="423">
        <v>0.34206806531057832</v>
      </c>
      <c r="F4607" s="423">
        <v>1.0220778771233721E-2</v>
      </c>
      <c r="G4607" s="422">
        <v>801.301620347381</v>
      </c>
      <c r="H4607" s="417" t="s">
        <v>2616</v>
      </c>
      <c r="I4607" s="417" t="s">
        <v>1392</v>
      </c>
      <c r="J4607" s="417" t="s">
        <v>11663</v>
      </c>
      <c r="K4607" s="417" t="s">
        <v>11676</v>
      </c>
      <c r="L4607" s="417"/>
      <c r="M4607" s="417" t="s">
        <v>28840</v>
      </c>
    </row>
    <row r="4608" spans="1:13" x14ac:dyDescent="0.25">
      <c r="A4608" s="417" t="s">
        <v>3385</v>
      </c>
      <c r="B4608" s="417" t="s">
        <v>2627</v>
      </c>
      <c r="C4608" s="417" t="s">
        <v>11677</v>
      </c>
      <c r="D4608" s="417" t="s">
        <v>88</v>
      </c>
      <c r="E4608" s="423">
        <v>0.37709838346026969</v>
      </c>
      <c r="F4608" s="423">
        <v>6.8194172063118907E-3</v>
      </c>
      <c r="G4608" s="422">
        <v>709.69938303635308</v>
      </c>
      <c r="H4608" s="417" t="s">
        <v>2616</v>
      </c>
      <c r="I4608" s="417" t="s">
        <v>1392</v>
      </c>
      <c r="J4608" s="417" t="s">
        <v>11663</v>
      </c>
      <c r="K4608" s="417" t="s">
        <v>11678</v>
      </c>
      <c r="L4608" s="417"/>
      <c r="M4608" s="417" t="s">
        <v>28840</v>
      </c>
    </row>
    <row r="4609" spans="1:13" x14ac:dyDescent="0.25">
      <c r="A4609" s="417" t="s">
        <v>3385</v>
      </c>
      <c r="B4609" s="417" t="s">
        <v>2627</v>
      </c>
      <c r="C4609" s="417" t="s">
        <v>11679</v>
      </c>
      <c r="D4609" s="417" t="s">
        <v>88</v>
      </c>
      <c r="E4609" s="423">
        <v>0.29449123506581382</v>
      </c>
      <c r="F4609" s="423">
        <v>1.072565551902308E-2</v>
      </c>
      <c r="G4609" s="422">
        <v>681.24650875991847</v>
      </c>
      <c r="H4609" s="417" t="s">
        <v>2616</v>
      </c>
      <c r="I4609" s="417" t="s">
        <v>1392</v>
      </c>
      <c r="J4609" s="417" t="s">
        <v>11680</v>
      </c>
      <c r="K4609" s="417" t="s">
        <v>11681</v>
      </c>
      <c r="L4609" s="417"/>
      <c r="M4609" s="417" t="s">
        <v>28840</v>
      </c>
    </row>
    <row r="4610" spans="1:13" x14ac:dyDescent="0.25">
      <c r="A4610" s="417" t="s">
        <v>3385</v>
      </c>
      <c r="B4610" s="417" t="s">
        <v>2627</v>
      </c>
      <c r="C4610" s="417" t="s">
        <v>11682</v>
      </c>
      <c r="D4610" s="417" t="s">
        <v>88</v>
      </c>
      <c r="E4610" s="423">
        <v>0.32405560930771449</v>
      </c>
      <c r="F4610" s="423">
        <v>7.1450130903070314E-3</v>
      </c>
      <c r="G4610" s="422">
        <v>661.29807312697176</v>
      </c>
      <c r="H4610" s="417" t="s">
        <v>2616</v>
      </c>
      <c r="I4610" s="417" t="s">
        <v>1392</v>
      </c>
      <c r="J4610" s="417" t="s">
        <v>11663</v>
      </c>
      <c r="K4610" s="417" t="s">
        <v>11683</v>
      </c>
      <c r="L4610" s="417"/>
      <c r="M4610" s="417" t="s">
        <v>28840</v>
      </c>
    </row>
    <row r="4611" spans="1:13" x14ac:dyDescent="0.25">
      <c r="A4611" s="417" t="s">
        <v>3385</v>
      </c>
      <c r="B4611" s="417" t="s">
        <v>2627</v>
      </c>
      <c r="C4611" s="417" t="s">
        <v>11684</v>
      </c>
      <c r="D4611" s="417" t="s">
        <v>88</v>
      </c>
      <c r="E4611" s="423">
        <v>0.35712819971551141</v>
      </c>
      <c r="F4611" s="423">
        <v>1.1353039818890199E-2</v>
      </c>
      <c r="G4611" s="422">
        <v>798.22393554463304</v>
      </c>
      <c r="H4611" s="417" t="s">
        <v>2616</v>
      </c>
      <c r="I4611" s="417" t="s">
        <v>1392</v>
      </c>
      <c r="J4611" s="417" t="s">
        <v>11663</v>
      </c>
      <c r="K4611" s="417" t="s">
        <v>11685</v>
      </c>
      <c r="L4611" s="417"/>
      <c r="M4611" s="417" t="s">
        <v>28840</v>
      </c>
    </row>
    <row r="4612" spans="1:13" x14ac:dyDescent="0.25">
      <c r="A4612" s="417" t="s">
        <v>3385</v>
      </c>
      <c r="B4612" s="417" t="s">
        <v>2627</v>
      </c>
      <c r="C4612" s="417" t="s">
        <v>11686</v>
      </c>
      <c r="D4612" s="417" t="s">
        <v>88</v>
      </c>
      <c r="E4612" s="423">
        <v>0.38956617408828759</v>
      </c>
      <c r="F4612" s="423">
        <v>7.0718690953134504E-3</v>
      </c>
      <c r="G4612" s="422">
        <v>703.32168957734859</v>
      </c>
      <c r="H4612" s="417" t="s">
        <v>2616</v>
      </c>
      <c r="I4612" s="417" t="s">
        <v>1392</v>
      </c>
      <c r="J4612" s="417" t="s">
        <v>11663</v>
      </c>
      <c r="K4612" s="417" t="s">
        <v>11687</v>
      </c>
      <c r="L4612" s="417"/>
      <c r="M4612" s="417" t="s">
        <v>28840</v>
      </c>
    </row>
    <row r="4613" spans="1:13" x14ac:dyDescent="0.25">
      <c r="A4613" s="417" t="s">
        <v>3385</v>
      </c>
      <c r="B4613" s="417" t="s">
        <v>2627</v>
      </c>
      <c r="C4613" s="417" t="s">
        <v>11688</v>
      </c>
      <c r="D4613" s="417" t="s">
        <v>88</v>
      </c>
      <c r="E4613" s="423">
        <v>0.39186382048398433</v>
      </c>
      <c r="F4613" s="423">
        <v>5.477606880110248E-3</v>
      </c>
      <c r="G4613" s="422">
        <v>678.60726120761285</v>
      </c>
      <c r="H4613" s="417" t="s">
        <v>2616</v>
      </c>
      <c r="I4613" s="417" t="s">
        <v>1392</v>
      </c>
      <c r="J4613" s="417" t="s">
        <v>11663</v>
      </c>
      <c r="K4613" s="417" t="s">
        <v>11689</v>
      </c>
      <c r="L4613" s="417"/>
      <c r="M4613" s="417" t="s">
        <v>28840</v>
      </c>
    </row>
    <row r="4614" spans="1:13" x14ac:dyDescent="0.25">
      <c r="A4614" s="417" t="s">
        <v>3385</v>
      </c>
      <c r="B4614" s="417" t="s">
        <v>2627</v>
      </c>
      <c r="C4614" s="417" t="s">
        <v>11690</v>
      </c>
      <c r="D4614" s="417" t="s">
        <v>88</v>
      </c>
      <c r="E4614" s="423">
        <v>0.39267807306584118</v>
      </c>
      <c r="F4614" s="423">
        <v>1.1301700108484211E-2</v>
      </c>
      <c r="G4614" s="422">
        <v>763.63274540109853</v>
      </c>
      <c r="H4614" s="417" t="s">
        <v>2616</v>
      </c>
      <c r="I4614" s="417" t="s">
        <v>1392</v>
      </c>
      <c r="J4614" s="417" t="s">
        <v>11663</v>
      </c>
      <c r="K4614" s="417" t="s">
        <v>11691</v>
      </c>
      <c r="L4614" s="417"/>
      <c r="M4614" s="417" t="s">
        <v>28840</v>
      </c>
    </row>
    <row r="4615" spans="1:13" x14ac:dyDescent="0.25">
      <c r="A4615" s="417" t="s">
        <v>3385</v>
      </c>
      <c r="B4615" s="417" t="s">
        <v>2627</v>
      </c>
      <c r="C4615" s="417" t="s">
        <v>11692</v>
      </c>
      <c r="D4615" s="417" t="s">
        <v>88</v>
      </c>
      <c r="E4615" s="423">
        <v>0.16095138667783621</v>
      </c>
      <c r="F4615" s="423">
        <v>3.7179370440524502E-3</v>
      </c>
      <c r="G4615" s="422">
        <v>464.95079371159733</v>
      </c>
      <c r="H4615" s="417" t="s">
        <v>2616</v>
      </c>
      <c r="I4615" s="417" t="s">
        <v>1392</v>
      </c>
      <c r="J4615" s="417" t="s">
        <v>11663</v>
      </c>
      <c r="K4615" s="417" t="s">
        <v>11693</v>
      </c>
      <c r="L4615" s="417"/>
      <c r="M4615" s="417" t="s">
        <v>28840</v>
      </c>
    </row>
    <row r="4616" spans="1:13" x14ac:dyDescent="0.25">
      <c r="A4616" s="417" t="s">
        <v>3385</v>
      </c>
      <c r="B4616" s="417" t="s">
        <v>2627</v>
      </c>
      <c r="C4616" s="417" t="s">
        <v>11694</v>
      </c>
      <c r="D4616" s="417" t="s">
        <v>88</v>
      </c>
      <c r="E4616" s="423">
        <v>9.4007301486717015E-2</v>
      </c>
      <c r="F4616" s="423">
        <v>1.3837508908708951E-3</v>
      </c>
      <c r="G4616" s="422">
        <v>378.22607557960231</v>
      </c>
      <c r="H4616" s="417" t="s">
        <v>2616</v>
      </c>
      <c r="I4616" s="417" t="s">
        <v>1392</v>
      </c>
      <c r="J4616" s="417" t="s">
        <v>11695</v>
      </c>
      <c r="K4616" s="417" t="s">
        <v>11696</v>
      </c>
      <c r="L4616" s="417"/>
      <c r="M4616" s="417" t="s">
        <v>28840</v>
      </c>
    </row>
    <row r="4617" spans="1:13" x14ac:dyDescent="0.25">
      <c r="A4617" s="417" t="s">
        <v>3385</v>
      </c>
      <c r="B4617" s="417" t="s">
        <v>2627</v>
      </c>
      <c r="C4617" s="417" t="s">
        <v>11697</v>
      </c>
      <c r="D4617" s="417" t="s">
        <v>88</v>
      </c>
      <c r="E4617" s="423">
        <v>0.24613595959419421</v>
      </c>
      <c r="F4617" s="423">
        <v>1.5239166527667119E-3</v>
      </c>
      <c r="G4617" s="422">
        <v>481.71260682159902</v>
      </c>
      <c r="H4617" s="417" t="s">
        <v>2616</v>
      </c>
      <c r="I4617" s="417" t="s">
        <v>1392</v>
      </c>
      <c r="J4617" s="417" t="s">
        <v>11695</v>
      </c>
      <c r="K4617" s="417" t="s">
        <v>11698</v>
      </c>
      <c r="L4617" s="417"/>
      <c r="M4617" s="417" t="s">
        <v>28840</v>
      </c>
    </row>
    <row r="4618" spans="1:13" x14ac:dyDescent="0.25">
      <c r="A4618" s="417" t="s">
        <v>3385</v>
      </c>
      <c r="B4618" s="417" t="s">
        <v>2627</v>
      </c>
      <c r="C4618" s="417" t="s">
        <v>11699</v>
      </c>
      <c r="D4618" s="417" t="s">
        <v>88</v>
      </c>
      <c r="E4618" s="423">
        <v>0.19783330770005139</v>
      </c>
      <c r="F4618" s="423">
        <v>1.806996560794585E-3</v>
      </c>
      <c r="G4618" s="422">
        <v>412.45134439196067</v>
      </c>
      <c r="H4618" s="417" t="s">
        <v>2616</v>
      </c>
      <c r="I4618" s="417" t="s">
        <v>1392</v>
      </c>
      <c r="J4618" s="417" t="s">
        <v>11695</v>
      </c>
      <c r="K4618" s="417" t="s">
        <v>11700</v>
      </c>
      <c r="L4618" s="417"/>
      <c r="M4618" s="417" t="s">
        <v>28840</v>
      </c>
    </row>
    <row r="4619" spans="1:13" x14ac:dyDescent="0.25">
      <c r="A4619" s="417" t="s">
        <v>3385</v>
      </c>
      <c r="B4619" s="417" t="s">
        <v>2627</v>
      </c>
      <c r="C4619" s="417" t="s">
        <v>11701</v>
      </c>
      <c r="D4619" s="417" t="s">
        <v>88</v>
      </c>
      <c r="E4619" s="423">
        <v>0.36753642214519372</v>
      </c>
      <c r="F4619" s="423">
        <v>2.945229562921457E-3</v>
      </c>
      <c r="G4619" s="422">
        <v>623.24211566194037</v>
      </c>
      <c r="H4619" s="417" t="s">
        <v>2616</v>
      </c>
      <c r="I4619" s="417" t="s">
        <v>1392</v>
      </c>
      <c r="J4619" s="417" t="s">
        <v>11695</v>
      </c>
      <c r="K4619" s="417" t="s">
        <v>11702</v>
      </c>
      <c r="L4619" s="417"/>
      <c r="M4619" s="417" t="s">
        <v>28840</v>
      </c>
    </row>
    <row r="4620" spans="1:13" x14ac:dyDescent="0.25">
      <c r="A4620" s="417" t="s">
        <v>3385</v>
      </c>
      <c r="B4620" s="417" t="s">
        <v>2627</v>
      </c>
      <c r="C4620" s="417" t="s">
        <v>11703</v>
      </c>
      <c r="D4620" s="417" t="s">
        <v>88</v>
      </c>
      <c r="E4620" s="423">
        <v>0.16114669456438799</v>
      </c>
      <c r="F4620" s="423">
        <v>1.6975017467474741E-3</v>
      </c>
      <c r="G4620" s="422">
        <v>402.05871607796718</v>
      </c>
      <c r="H4620" s="417" t="s">
        <v>2616</v>
      </c>
      <c r="I4620" s="417" t="s">
        <v>1392</v>
      </c>
      <c r="J4620" s="417" t="s">
        <v>11680</v>
      </c>
      <c r="K4620" s="417" t="s">
        <v>11704</v>
      </c>
      <c r="L4620" s="417"/>
      <c r="M4620" s="417" t="s">
        <v>28840</v>
      </c>
    </row>
    <row r="4621" spans="1:13" x14ac:dyDescent="0.25">
      <c r="A4621" s="417" t="s">
        <v>3385</v>
      </c>
      <c r="B4621" s="417" t="s">
        <v>2627</v>
      </c>
      <c r="C4621" s="417" t="s">
        <v>11705</v>
      </c>
      <c r="D4621" s="417" t="s">
        <v>88</v>
      </c>
      <c r="E4621" s="423">
        <v>0.27373603541646302</v>
      </c>
      <c r="F4621" s="423">
        <v>8.9886578398028086E-4</v>
      </c>
      <c r="G4621" s="422">
        <v>547.08341184922688</v>
      </c>
      <c r="H4621" s="417" t="s">
        <v>2616</v>
      </c>
      <c r="I4621" s="417" t="s">
        <v>1392</v>
      </c>
      <c r="J4621" s="417" t="s">
        <v>11695</v>
      </c>
      <c r="K4621" s="417" t="s">
        <v>11706</v>
      </c>
      <c r="L4621" s="417"/>
      <c r="M4621" s="417" t="s">
        <v>28840</v>
      </c>
    </row>
    <row r="4622" spans="1:13" x14ac:dyDescent="0.25">
      <c r="A4622" s="417" t="s">
        <v>3385</v>
      </c>
      <c r="B4622" s="417" t="s">
        <v>3405</v>
      </c>
      <c r="C4622" s="417" t="s">
        <v>11707</v>
      </c>
      <c r="D4622" s="417" t="s">
        <v>88</v>
      </c>
      <c r="E4622" s="423">
        <v>0.12618549963121681</v>
      </c>
      <c r="F4622" s="423">
        <v>1.638634948400675E-3</v>
      </c>
      <c r="G4622" s="422">
        <v>398.17888567156621</v>
      </c>
      <c r="H4622" s="417" t="s">
        <v>2616</v>
      </c>
      <c r="I4622" s="417" t="s">
        <v>1392</v>
      </c>
      <c r="J4622" s="417" t="s">
        <v>8330</v>
      </c>
      <c r="K4622" s="417" t="s">
        <v>11708</v>
      </c>
      <c r="L4622" s="417"/>
      <c r="M4622" s="417" t="s">
        <v>28840</v>
      </c>
    </row>
    <row r="4623" spans="1:13" x14ac:dyDescent="0.25">
      <c r="A4623" s="417" t="s">
        <v>3385</v>
      </c>
      <c r="B4623" s="417" t="s">
        <v>2627</v>
      </c>
      <c r="C4623" s="417" t="s">
        <v>11709</v>
      </c>
      <c r="D4623" s="417" t="s">
        <v>88</v>
      </c>
      <c r="E4623" s="423">
        <v>0.280388332958807</v>
      </c>
      <c r="F4623" s="423">
        <v>4.2293302764350778E-3</v>
      </c>
      <c r="G4623" s="422">
        <v>544.83436933278767</v>
      </c>
      <c r="H4623" s="417" t="s">
        <v>2616</v>
      </c>
      <c r="I4623" s="417" t="s">
        <v>1392</v>
      </c>
      <c r="J4623" s="417" t="s">
        <v>11695</v>
      </c>
      <c r="K4623" s="417" t="s">
        <v>11710</v>
      </c>
      <c r="L4623" s="417"/>
      <c r="M4623" s="417" t="s">
        <v>28840</v>
      </c>
    </row>
    <row r="4624" spans="1:13" x14ac:dyDescent="0.25">
      <c r="A4624" s="417" t="s">
        <v>3385</v>
      </c>
      <c r="B4624" s="417" t="s">
        <v>2627</v>
      </c>
      <c r="C4624" s="417" t="s">
        <v>11711</v>
      </c>
      <c r="D4624" s="417" t="s">
        <v>88</v>
      </c>
      <c r="E4624" s="423">
        <v>0.1124268396312168</v>
      </c>
      <c r="F4624" s="423">
        <v>1.638634948400675E-3</v>
      </c>
      <c r="G4624" s="422">
        <v>384.32788567168831</v>
      </c>
      <c r="H4624" s="417" t="s">
        <v>2616</v>
      </c>
      <c r="I4624" s="417" t="s">
        <v>1392</v>
      </c>
      <c r="J4624" s="417" t="s">
        <v>11695</v>
      </c>
      <c r="K4624" s="417" t="s">
        <v>11712</v>
      </c>
      <c r="L4624" s="417"/>
      <c r="M4624" s="417" t="s">
        <v>28840</v>
      </c>
    </row>
    <row r="4625" spans="1:13" x14ac:dyDescent="0.25">
      <c r="A4625" s="417" t="s">
        <v>3385</v>
      </c>
      <c r="B4625" s="417" t="s">
        <v>2627</v>
      </c>
      <c r="C4625" s="417" t="s">
        <v>11713</v>
      </c>
      <c r="D4625" s="417" t="s">
        <v>88</v>
      </c>
      <c r="E4625" s="423">
        <v>0.43473050559984983</v>
      </c>
      <c r="F4625" s="423">
        <v>2.628891521960797E-3</v>
      </c>
      <c r="G4625" s="422">
        <v>719.98651660306916</v>
      </c>
      <c r="H4625" s="417" t="s">
        <v>2616</v>
      </c>
      <c r="I4625" s="417" t="s">
        <v>1392</v>
      </c>
      <c r="J4625" s="417" t="s">
        <v>11695</v>
      </c>
      <c r="K4625" s="417" t="s">
        <v>11714</v>
      </c>
      <c r="L4625" s="417"/>
      <c r="M4625" s="417" t="s">
        <v>28840</v>
      </c>
    </row>
    <row r="4626" spans="1:13" x14ac:dyDescent="0.25">
      <c r="A4626" s="417" t="s">
        <v>3385</v>
      </c>
      <c r="B4626" s="417" t="s">
        <v>2627</v>
      </c>
      <c r="C4626" s="417" t="s">
        <v>11715</v>
      </c>
      <c r="D4626" s="417" t="s">
        <v>88</v>
      </c>
      <c r="E4626" s="423">
        <v>3.9355425224848771E-2</v>
      </c>
      <c r="F4626" s="423">
        <v>1.412792888181733E-3</v>
      </c>
      <c r="G4626" s="422">
        <v>300.22225282738509</v>
      </c>
      <c r="H4626" s="417" t="s">
        <v>2616</v>
      </c>
      <c r="I4626" s="417" t="s">
        <v>1392</v>
      </c>
      <c r="J4626" s="417" t="s">
        <v>11695</v>
      </c>
      <c r="K4626" s="417" t="s">
        <v>11716</v>
      </c>
      <c r="L4626" s="417"/>
      <c r="M4626" s="417" t="s">
        <v>28840</v>
      </c>
    </row>
    <row r="4627" spans="1:13" x14ac:dyDescent="0.25">
      <c r="A4627" s="417" t="s">
        <v>3385</v>
      </c>
      <c r="B4627" s="417" t="s">
        <v>2627</v>
      </c>
      <c r="C4627" s="417" t="s">
        <v>11717</v>
      </c>
      <c r="D4627" s="417" t="s">
        <v>88</v>
      </c>
      <c r="E4627" s="423">
        <v>9.9325234398146459E-2</v>
      </c>
      <c r="F4627" s="423">
        <v>1.9546907534858512E-3</v>
      </c>
      <c r="G4627" s="422">
        <v>391.25082832842651</v>
      </c>
      <c r="H4627" s="417" t="s">
        <v>2616</v>
      </c>
      <c r="I4627" s="417" t="s">
        <v>1392</v>
      </c>
      <c r="J4627" s="417" t="s">
        <v>11651</v>
      </c>
      <c r="K4627" s="417" t="s">
        <v>11718</v>
      </c>
      <c r="L4627" s="417"/>
      <c r="M4627" s="417" t="s">
        <v>28840</v>
      </c>
    </row>
    <row r="4628" spans="1:13" x14ac:dyDescent="0.25">
      <c r="A4628" s="417" t="s">
        <v>3385</v>
      </c>
      <c r="B4628" s="417" t="s">
        <v>2627</v>
      </c>
      <c r="C4628" s="417" t="s">
        <v>11719</v>
      </c>
      <c r="D4628" s="417" t="s">
        <v>88</v>
      </c>
      <c r="E4628" s="423">
        <v>0.20315124070593141</v>
      </c>
      <c r="F4628" s="423">
        <v>2.3779364261949198E-3</v>
      </c>
      <c r="G4628" s="422">
        <v>425.47609731119928</v>
      </c>
      <c r="H4628" s="417" t="s">
        <v>2616</v>
      </c>
      <c r="I4628" s="417" t="s">
        <v>1392</v>
      </c>
      <c r="J4628" s="417" t="s">
        <v>11651</v>
      </c>
      <c r="K4628" s="417" t="s">
        <v>11720</v>
      </c>
      <c r="L4628" s="417"/>
      <c r="M4628" s="417" t="s">
        <v>28840</v>
      </c>
    </row>
    <row r="4629" spans="1:13" x14ac:dyDescent="0.25">
      <c r="A4629" s="417" t="s">
        <v>3385</v>
      </c>
      <c r="B4629" s="417" t="s">
        <v>2627</v>
      </c>
      <c r="C4629" s="417" t="s">
        <v>11721</v>
      </c>
      <c r="D4629" s="417" t="s">
        <v>88</v>
      </c>
      <c r="E4629" s="423">
        <v>0.37695215645761249</v>
      </c>
      <c r="F4629" s="423">
        <v>3.9151259522207816E-3</v>
      </c>
      <c r="G4629" s="422">
        <v>646.39011085729385</v>
      </c>
      <c r="H4629" s="417" t="s">
        <v>2616</v>
      </c>
      <c r="I4629" s="417" t="s">
        <v>1392</v>
      </c>
      <c r="J4629" s="417" t="s">
        <v>11651</v>
      </c>
      <c r="K4629" s="417" t="s">
        <v>11722</v>
      </c>
      <c r="L4629" s="417"/>
      <c r="M4629" s="417" t="s">
        <v>28840</v>
      </c>
    </row>
    <row r="4630" spans="1:13" x14ac:dyDescent="0.25">
      <c r="A4630" s="417" t="s">
        <v>3385</v>
      </c>
      <c r="B4630" s="417" t="s">
        <v>2627</v>
      </c>
      <c r="C4630" s="417" t="s">
        <v>11723</v>
      </c>
      <c r="D4630" s="417" t="s">
        <v>88</v>
      </c>
      <c r="E4630" s="423">
        <v>0.26469987978760379</v>
      </c>
      <c r="F4630" s="423">
        <v>9.1951264425659453E-3</v>
      </c>
      <c r="G4630" s="422">
        <v>609.11318092878832</v>
      </c>
      <c r="H4630" s="417" t="s">
        <v>2616</v>
      </c>
      <c r="I4630" s="417" t="s">
        <v>1392</v>
      </c>
      <c r="J4630" s="417" t="s">
        <v>11724</v>
      </c>
      <c r="K4630" s="417" t="s">
        <v>11725</v>
      </c>
      <c r="L4630" s="417"/>
      <c r="M4630" s="417" t="s">
        <v>28840</v>
      </c>
    </row>
    <row r="4631" spans="1:13" x14ac:dyDescent="0.25">
      <c r="A4631" s="417" t="s">
        <v>3385</v>
      </c>
      <c r="B4631" s="417" t="s">
        <v>2627</v>
      </c>
      <c r="C4631" s="417" t="s">
        <v>11726</v>
      </c>
      <c r="D4631" s="417" t="s">
        <v>88</v>
      </c>
      <c r="E4631" s="423">
        <v>0.280052526981798</v>
      </c>
      <c r="F4631" s="423">
        <v>1.567749998628274E-3</v>
      </c>
      <c r="G4631" s="422">
        <v>561.68357686794423</v>
      </c>
      <c r="H4631" s="417" t="s">
        <v>2616</v>
      </c>
      <c r="I4631" s="417" t="s">
        <v>1392</v>
      </c>
      <c r="J4631" s="417" t="s">
        <v>11651</v>
      </c>
      <c r="K4631" s="417" t="s">
        <v>11727</v>
      </c>
      <c r="L4631" s="417"/>
      <c r="M4631" s="417" t="s">
        <v>28840</v>
      </c>
    </row>
    <row r="4632" spans="1:13" x14ac:dyDescent="0.25">
      <c r="A4632" s="417" t="s">
        <v>3385</v>
      </c>
      <c r="B4632" s="417" t="s">
        <v>2627</v>
      </c>
      <c r="C4632" s="417" t="s">
        <v>11728</v>
      </c>
      <c r="D4632" s="417" t="s">
        <v>88</v>
      </c>
      <c r="E4632" s="423">
        <v>0.29074070731269558</v>
      </c>
      <c r="F4632" s="423">
        <v>5.2904167164621674E-3</v>
      </c>
      <c r="G4632" s="422">
        <v>570.29624800676334</v>
      </c>
      <c r="H4632" s="417" t="s">
        <v>2616</v>
      </c>
      <c r="I4632" s="417" t="s">
        <v>1392</v>
      </c>
      <c r="J4632" s="417" t="s">
        <v>11651</v>
      </c>
      <c r="K4632" s="417" t="s">
        <v>11729</v>
      </c>
      <c r="L4632" s="417"/>
      <c r="M4632" s="417" t="s">
        <v>28840</v>
      </c>
    </row>
    <row r="4633" spans="1:13" x14ac:dyDescent="0.25">
      <c r="A4633" s="417" t="s">
        <v>3385</v>
      </c>
      <c r="B4633" s="417" t="s">
        <v>2627</v>
      </c>
      <c r="C4633" s="417" t="s">
        <v>11730</v>
      </c>
      <c r="D4633" s="417" t="s">
        <v>88</v>
      </c>
      <c r="E4633" s="423">
        <v>0.12811471875444391</v>
      </c>
      <c r="F4633" s="423">
        <v>3.2191790823718298E-3</v>
      </c>
      <c r="G4633" s="422">
        <v>422.97063928983118</v>
      </c>
      <c r="H4633" s="417" t="s">
        <v>2616</v>
      </c>
      <c r="I4633" s="417" t="s">
        <v>1392</v>
      </c>
      <c r="J4633" s="417" t="s">
        <v>11651</v>
      </c>
      <c r="K4633" s="417" t="s">
        <v>11731</v>
      </c>
      <c r="L4633" s="417"/>
      <c r="M4633" s="417" t="s">
        <v>28840</v>
      </c>
    </row>
    <row r="4634" spans="1:13" x14ac:dyDescent="0.25">
      <c r="A4634" s="417" t="s">
        <v>3385</v>
      </c>
      <c r="B4634" s="417" t="s">
        <v>2627</v>
      </c>
      <c r="C4634" s="417" t="s">
        <v>11732</v>
      </c>
      <c r="D4634" s="417" t="s">
        <v>88</v>
      </c>
      <c r="E4634" s="423">
        <v>0.38104911181757339</v>
      </c>
      <c r="F4634" s="423">
        <v>4.3671930453247866E-3</v>
      </c>
      <c r="G4634" s="422">
        <v>656.39855051073027</v>
      </c>
      <c r="H4634" s="417" t="s">
        <v>2616</v>
      </c>
      <c r="I4634" s="417" t="s">
        <v>1392</v>
      </c>
      <c r="J4634" s="417" t="s">
        <v>11651</v>
      </c>
      <c r="K4634" s="417" t="s">
        <v>11733</v>
      </c>
      <c r="L4634" s="417"/>
      <c r="M4634" s="417" t="s">
        <v>28840</v>
      </c>
    </row>
    <row r="4635" spans="1:13" x14ac:dyDescent="0.25">
      <c r="A4635" s="417" t="s">
        <v>3385</v>
      </c>
      <c r="B4635" s="417" t="s">
        <v>2627</v>
      </c>
      <c r="C4635" s="417" t="s">
        <v>11734</v>
      </c>
      <c r="D4635" s="417" t="s">
        <v>88</v>
      </c>
      <c r="E4635" s="423">
        <v>5.104585731988974E-2</v>
      </c>
      <c r="F4635" s="423">
        <v>2.6041508613720301E-3</v>
      </c>
      <c r="G4635" s="422">
        <v>328.98968028815392</v>
      </c>
      <c r="H4635" s="417" t="s">
        <v>2616</v>
      </c>
      <c r="I4635" s="417" t="s">
        <v>1392</v>
      </c>
      <c r="J4635" s="417" t="s">
        <v>11651</v>
      </c>
      <c r="K4635" s="417" t="s">
        <v>11735</v>
      </c>
      <c r="L4635" s="417"/>
      <c r="M4635" s="417" t="s">
        <v>28840</v>
      </c>
    </row>
    <row r="4636" spans="1:13" x14ac:dyDescent="0.25">
      <c r="A4636" s="417" t="s">
        <v>3385</v>
      </c>
      <c r="B4636" s="417" t="s">
        <v>3405</v>
      </c>
      <c r="C4636" s="417" t="s">
        <v>11736</v>
      </c>
      <c r="D4636" s="417" t="s">
        <v>73</v>
      </c>
      <c r="E4636" s="423">
        <v>0.1108215936730982</v>
      </c>
      <c r="F4636" s="423">
        <v>1.5232762264810851E-4</v>
      </c>
      <c r="G4636" s="422">
        <v>347.43977299977882</v>
      </c>
      <c r="H4636" s="417" t="s">
        <v>2616</v>
      </c>
      <c r="I4636" s="417" t="s">
        <v>1392</v>
      </c>
      <c r="J4636" s="417" t="s">
        <v>11737</v>
      </c>
      <c r="K4636" s="417" t="s">
        <v>11738</v>
      </c>
      <c r="L4636" s="417"/>
      <c r="M4636" s="417" t="s">
        <v>28840</v>
      </c>
    </row>
    <row r="4637" spans="1:13" x14ac:dyDescent="0.25">
      <c r="A4637" s="417" t="s">
        <v>3385</v>
      </c>
      <c r="B4637" s="417" t="s">
        <v>3405</v>
      </c>
      <c r="C4637" s="417" t="s">
        <v>11739</v>
      </c>
      <c r="D4637" s="417" t="s">
        <v>73</v>
      </c>
      <c r="E4637" s="423">
        <v>0.10654893654750509</v>
      </c>
      <c r="F4637" s="423">
        <v>4.754275700129991E-4</v>
      </c>
      <c r="G4637" s="422">
        <v>145.00867593770599</v>
      </c>
      <c r="H4637" s="417" t="s">
        <v>2616</v>
      </c>
      <c r="I4637" s="417" t="s">
        <v>1392</v>
      </c>
      <c r="J4637" s="417" t="s">
        <v>3908</v>
      </c>
      <c r="K4637" s="417" t="s">
        <v>11740</v>
      </c>
      <c r="L4637" s="417"/>
      <c r="M4637" s="417" t="s">
        <v>28840</v>
      </c>
    </row>
    <row r="4638" spans="1:13" x14ac:dyDescent="0.25">
      <c r="A4638" s="417" t="s">
        <v>3385</v>
      </c>
      <c r="B4638" s="417" t="s">
        <v>3405</v>
      </c>
      <c r="C4638" s="417" t="s">
        <v>11741</v>
      </c>
      <c r="D4638" s="417" t="s">
        <v>73</v>
      </c>
      <c r="E4638" s="423">
        <v>0.1139291156683251</v>
      </c>
      <c r="F4638" s="423">
        <v>3.9968282065246037E-4</v>
      </c>
      <c r="G4638" s="422">
        <v>133.7751815300642</v>
      </c>
      <c r="H4638" s="417" t="s">
        <v>2616</v>
      </c>
      <c r="I4638" s="417" t="s">
        <v>1392</v>
      </c>
      <c r="J4638" s="417" t="s">
        <v>11737</v>
      </c>
      <c r="K4638" s="417" t="s">
        <v>11742</v>
      </c>
      <c r="L4638" s="417"/>
      <c r="M4638" s="417" t="s">
        <v>28840</v>
      </c>
    </row>
    <row r="4639" spans="1:13" x14ac:dyDescent="0.25">
      <c r="A4639" s="417" t="s">
        <v>3385</v>
      </c>
      <c r="B4639" s="417" t="s">
        <v>3405</v>
      </c>
      <c r="C4639" s="417" t="s">
        <v>11743</v>
      </c>
      <c r="D4639" s="417" t="s">
        <v>73</v>
      </c>
      <c r="E4639" s="423">
        <v>0.11225048292441279</v>
      </c>
      <c r="F4639" s="423">
        <v>5.6963931033768105E-4</v>
      </c>
      <c r="G4639" s="422">
        <v>138.17405696658349</v>
      </c>
      <c r="H4639" s="417" t="s">
        <v>2616</v>
      </c>
      <c r="I4639" s="417" t="s">
        <v>1392</v>
      </c>
      <c r="J4639" s="417" t="s">
        <v>11737</v>
      </c>
      <c r="K4639" s="417" t="s">
        <v>11744</v>
      </c>
      <c r="L4639" s="417"/>
      <c r="M4639" s="417" t="s">
        <v>28840</v>
      </c>
    </row>
    <row r="4640" spans="1:13" x14ac:dyDescent="0.25">
      <c r="A4640" s="417" t="s">
        <v>3385</v>
      </c>
      <c r="B4640" s="417" t="s">
        <v>3405</v>
      </c>
      <c r="C4640" s="417" t="s">
        <v>11745</v>
      </c>
      <c r="D4640" s="417" t="s">
        <v>73</v>
      </c>
      <c r="E4640" s="423">
        <v>0.109500578706999</v>
      </c>
      <c r="F4640" s="423">
        <v>1.9267572983107541E-4</v>
      </c>
      <c r="G4640" s="422">
        <v>129.0802779186026</v>
      </c>
      <c r="H4640" s="417" t="s">
        <v>2616</v>
      </c>
      <c r="I4640" s="417" t="s">
        <v>1392</v>
      </c>
      <c r="J4640" s="417" t="s">
        <v>11737</v>
      </c>
      <c r="K4640" s="417" t="s">
        <v>11746</v>
      </c>
      <c r="L4640" s="417"/>
      <c r="M4640" s="417" t="s">
        <v>28840</v>
      </c>
    </row>
    <row r="4641" spans="1:13" x14ac:dyDescent="0.25">
      <c r="A4641" s="417" t="s">
        <v>3385</v>
      </c>
      <c r="B4641" s="417" t="s">
        <v>3405</v>
      </c>
      <c r="C4641" s="417" t="s">
        <v>11747</v>
      </c>
      <c r="D4641" s="417" t="s">
        <v>73</v>
      </c>
      <c r="E4641" s="423">
        <v>0.1138837045936049</v>
      </c>
      <c r="F4641" s="423">
        <v>3.3128985579788857E-4</v>
      </c>
      <c r="G4641" s="422">
        <v>137.46320859190121</v>
      </c>
      <c r="H4641" s="417" t="s">
        <v>2616</v>
      </c>
      <c r="I4641" s="417" t="s">
        <v>1392</v>
      </c>
      <c r="J4641" s="417" t="s">
        <v>11737</v>
      </c>
      <c r="K4641" s="417" t="s">
        <v>11748</v>
      </c>
      <c r="L4641" s="417"/>
      <c r="M4641" s="417" t="s">
        <v>28840</v>
      </c>
    </row>
    <row r="4642" spans="1:13" x14ac:dyDescent="0.25">
      <c r="A4642" s="417" t="s">
        <v>3385</v>
      </c>
      <c r="B4642" s="417" t="s">
        <v>3405</v>
      </c>
      <c r="C4642" s="417" t="s">
        <v>11749</v>
      </c>
      <c r="D4642" s="417" t="s">
        <v>73</v>
      </c>
      <c r="E4642" s="423">
        <v>0.1117427971262978</v>
      </c>
      <c r="F4642" s="423">
        <v>5.0195612627466446E-4</v>
      </c>
      <c r="G4642" s="422">
        <v>133.64425022827331</v>
      </c>
      <c r="H4642" s="417" t="s">
        <v>2616</v>
      </c>
      <c r="I4642" s="417" t="s">
        <v>1392</v>
      </c>
      <c r="J4642" s="417" t="s">
        <v>11737</v>
      </c>
      <c r="K4642" s="417" t="s">
        <v>11750</v>
      </c>
      <c r="L4642" s="417"/>
      <c r="M4642" s="417" t="s">
        <v>28840</v>
      </c>
    </row>
    <row r="4643" spans="1:13" x14ac:dyDescent="0.25">
      <c r="A4643" s="417" t="s">
        <v>3385</v>
      </c>
      <c r="B4643" s="417" t="s">
        <v>3405</v>
      </c>
      <c r="C4643" s="417" t="s">
        <v>11751</v>
      </c>
      <c r="D4643" s="417" t="s">
        <v>73</v>
      </c>
      <c r="E4643" s="423">
        <v>0.1061313866138256</v>
      </c>
      <c r="F4643" s="423">
        <v>2.079258080187284E-4</v>
      </c>
      <c r="G4643" s="422">
        <v>131.57180460033521</v>
      </c>
      <c r="H4643" s="417" t="s">
        <v>2616</v>
      </c>
      <c r="I4643" s="417" t="s">
        <v>1392</v>
      </c>
      <c r="J4643" s="417" t="s">
        <v>11737</v>
      </c>
      <c r="K4643" s="417" t="s">
        <v>11752</v>
      </c>
      <c r="L4643" s="417"/>
      <c r="M4643" s="417" t="s">
        <v>28840</v>
      </c>
    </row>
    <row r="4644" spans="1:13" x14ac:dyDescent="0.25">
      <c r="A4644" s="417" t="s">
        <v>3385</v>
      </c>
      <c r="B4644" s="417" t="s">
        <v>3405</v>
      </c>
      <c r="C4644" s="417" t="s">
        <v>11753</v>
      </c>
      <c r="D4644" s="417" t="s">
        <v>73</v>
      </c>
      <c r="E4644" s="423">
        <v>0.11289475939060439</v>
      </c>
      <c r="F4644" s="423">
        <v>5.1462881942431859E-4</v>
      </c>
      <c r="G4644" s="422">
        <v>139.40761015510449</v>
      </c>
      <c r="H4644" s="417" t="s">
        <v>2616</v>
      </c>
      <c r="I4644" s="417" t="s">
        <v>1392</v>
      </c>
      <c r="J4644" s="417" t="s">
        <v>11737</v>
      </c>
      <c r="K4644" s="417" t="s">
        <v>11754</v>
      </c>
      <c r="L4644" s="417"/>
      <c r="M4644" s="417" t="s">
        <v>28840</v>
      </c>
    </row>
    <row r="4645" spans="1:13" x14ac:dyDescent="0.25">
      <c r="A4645" s="417" t="s">
        <v>3385</v>
      </c>
      <c r="B4645" s="417" t="s">
        <v>3405</v>
      </c>
      <c r="C4645" s="417" t="s">
        <v>11755</v>
      </c>
      <c r="D4645" s="417" t="s">
        <v>73</v>
      </c>
      <c r="E4645" s="423">
        <v>0.1106953333310296</v>
      </c>
      <c r="F4645" s="423">
        <v>4.4976293155217761E-4</v>
      </c>
      <c r="G4645" s="422">
        <v>138.69533064967581</v>
      </c>
      <c r="H4645" s="417" t="s">
        <v>2616</v>
      </c>
      <c r="I4645" s="417" t="s">
        <v>1392</v>
      </c>
      <c r="J4645" s="417" t="s">
        <v>11737</v>
      </c>
      <c r="K4645" s="417" t="s">
        <v>11756</v>
      </c>
      <c r="L4645" s="417"/>
      <c r="M4645" s="417" t="s">
        <v>28840</v>
      </c>
    </row>
    <row r="4646" spans="1:13" x14ac:dyDescent="0.25">
      <c r="A4646" s="417" t="s">
        <v>3385</v>
      </c>
      <c r="B4646" s="417" t="s">
        <v>3405</v>
      </c>
      <c r="C4646" s="417" t="s">
        <v>11757</v>
      </c>
      <c r="D4646" s="417" t="s">
        <v>73</v>
      </c>
      <c r="E4646" s="423">
        <v>0.1036281099349005</v>
      </c>
      <c r="F4646" s="423">
        <v>1.5689310454837911E-4</v>
      </c>
      <c r="G4646" s="422">
        <v>129.10472055678599</v>
      </c>
      <c r="H4646" s="417" t="s">
        <v>2616</v>
      </c>
      <c r="I4646" s="417" t="s">
        <v>1392</v>
      </c>
      <c r="J4646" s="417" t="s">
        <v>11737</v>
      </c>
      <c r="K4646" s="417" t="s">
        <v>11758</v>
      </c>
      <c r="L4646" s="417"/>
      <c r="M4646" s="417" t="s">
        <v>28840</v>
      </c>
    </row>
    <row r="4647" spans="1:13" x14ac:dyDescent="0.25">
      <c r="A4647" s="417" t="s">
        <v>3385</v>
      </c>
      <c r="B4647" s="417" t="s">
        <v>3405</v>
      </c>
      <c r="C4647" s="417" t="s">
        <v>11759</v>
      </c>
      <c r="D4647" s="417" t="s">
        <v>73</v>
      </c>
      <c r="E4647" s="423">
        <v>0.1134233054527468</v>
      </c>
      <c r="F4647" s="423">
        <v>3.2813435039915842E-4</v>
      </c>
      <c r="G4647" s="422">
        <v>135.91559303689641</v>
      </c>
      <c r="H4647" s="417" t="s">
        <v>2616</v>
      </c>
      <c r="I4647" s="417" t="s">
        <v>1392</v>
      </c>
      <c r="J4647" s="417" t="s">
        <v>11737</v>
      </c>
      <c r="K4647" s="417" t="s">
        <v>11760</v>
      </c>
      <c r="L4647" s="417"/>
      <c r="M4647" s="417" t="s">
        <v>28840</v>
      </c>
    </row>
    <row r="4648" spans="1:13" x14ac:dyDescent="0.25">
      <c r="A4648" s="417" t="s">
        <v>3385</v>
      </c>
      <c r="B4648" s="417" t="s">
        <v>3405</v>
      </c>
      <c r="C4648" s="417" t="s">
        <v>11761</v>
      </c>
      <c r="D4648" s="417" t="s">
        <v>73</v>
      </c>
      <c r="E4648" s="423">
        <v>0.116345591545283</v>
      </c>
      <c r="F4648" s="423">
        <v>7.4097703496875389E-4</v>
      </c>
      <c r="G4648" s="422">
        <v>174.0290501214744</v>
      </c>
      <c r="H4648" s="417" t="s">
        <v>2616</v>
      </c>
      <c r="I4648" s="417" t="s">
        <v>1392</v>
      </c>
      <c r="J4648" s="417" t="s">
        <v>11737</v>
      </c>
      <c r="K4648" s="417" t="s">
        <v>11762</v>
      </c>
      <c r="L4648" s="417"/>
      <c r="M4648" s="417" t="s">
        <v>28840</v>
      </c>
    </row>
    <row r="4649" spans="1:13" x14ac:dyDescent="0.25">
      <c r="A4649" s="417" t="s">
        <v>3385</v>
      </c>
      <c r="B4649" s="417" t="s">
        <v>3405</v>
      </c>
      <c r="C4649" s="417" t="s">
        <v>11763</v>
      </c>
      <c r="D4649" s="417" t="s">
        <v>73</v>
      </c>
      <c r="E4649" s="423">
        <v>0.1102499795837899</v>
      </c>
      <c r="F4649" s="423">
        <v>3.2489975271832568E-4</v>
      </c>
      <c r="G4649" s="422">
        <v>129.07533841576159</v>
      </c>
      <c r="H4649" s="417" t="s">
        <v>2616</v>
      </c>
      <c r="I4649" s="417" t="s">
        <v>1392</v>
      </c>
      <c r="J4649" s="417" t="s">
        <v>11737</v>
      </c>
      <c r="K4649" s="417" t="s">
        <v>11764</v>
      </c>
      <c r="L4649" s="417"/>
      <c r="M4649" s="417" t="s">
        <v>28840</v>
      </c>
    </row>
    <row r="4650" spans="1:13" x14ac:dyDescent="0.25">
      <c r="A4650" s="417" t="s">
        <v>3385</v>
      </c>
      <c r="B4650" s="417" t="s">
        <v>3405</v>
      </c>
      <c r="C4650" s="417" t="s">
        <v>11765</v>
      </c>
      <c r="D4650" s="417" t="s">
        <v>73</v>
      </c>
      <c r="E4650" s="423">
        <v>0.1065088563515165</v>
      </c>
      <c r="F4650" s="423">
        <v>2.0738456496468831E-4</v>
      </c>
      <c r="G4650" s="422">
        <v>135.99336498729619</v>
      </c>
      <c r="H4650" s="417" t="s">
        <v>2616</v>
      </c>
      <c r="I4650" s="417" t="s">
        <v>1392</v>
      </c>
      <c r="J4650" s="417" t="s">
        <v>11737</v>
      </c>
      <c r="K4650" s="417" t="s">
        <v>11766</v>
      </c>
      <c r="L4650" s="417"/>
      <c r="M4650" s="417" t="s">
        <v>28840</v>
      </c>
    </row>
    <row r="4651" spans="1:13" x14ac:dyDescent="0.25">
      <c r="A4651" s="417" t="s">
        <v>3385</v>
      </c>
      <c r="B4651" s="417" t="s">
        <v>3405</v>
      </c>
      <c r="C4651" s="417" t="s">
        <v>11767</v>
      </c>
      <c r="D4651" s="417" t="s">
        <v>73</v>
      </c>
      <c r="E4651" s="423">
        <v>0.1118047113986133</v>
      </c>
      <c r="F4651" s="423">
        <v>5.0896499501191497E-4</v>
      </c>
      <c r="G4651" s="422">
        <v>133.87472498557369</v>
      </c>
      <c r="H4651" s="417" t="s">
        <v>2616</v>
      </c>
      <c r="I4651" s="417" t="s">
        <v>1392</v>
      </c>
      <c r="J4651" s="417" t="s">
        <v>11737</v>
      </c>
      <c r="K4651" s="417" t="s">
        <v>11768</v>
      </c>
      <c r="L4651" s="417"/>
      <c r="M4651" s="417" t="s">
        <v>28840</v>
      </c>
    </row>
    <row r="4652" spans="1:13" x14ac:dyDescent="0.25">
      <c r="A4652" s="417" t="s">
        <v>3385</v>
      </c>
      <c r="B4652" s="417" t="s">
        <v>3405</v>
      </c>
      <c r="C4652" s="417" t="s">
        <v>11769</v>
      </c>
      <c r="D4652" s="417" t="s">
        <v>73</v>
      </c>
      <c r="E4652" s="423">
        <v>0.1117419953096382</v>
      </c>
      <c r="F4652" s="423">
        <v>5.1434498080779275E-4</v>
      </c>
      <c r="G4652" s="422">
        <v>136.14694948968281</v>
      </c>
      <c r="H4652" s="417" t="s">
        <v>2616</v>
      </c>
      <c r="I4652" s="417" t="s">
        <v>1392</v>
      </c>
      <c r="J4652" s="417" t="s">
        <v>11737</v>
      </c>
      <c r="K4652" s="417" t="s">
        <v>11770</v>
      </c>
      <c r="L4652" s="417"/>
      <c r="M4652" s="417" t="s">
        <v>28840</v>
      </c>
    </row>
    <row r="4653" spans="1:13" x14ac:dyDescent="0.25">
      <c r="A4653" s="417" t="s">
        <v>3385</v>
      </c>
      <c r="B4653" s="417" t="s">
        <v>3405</v>
      </c>
      <c r="C4653" s="417" t="s">
        <v>11771</v>
      </c>
      <c r="D4653" s="417" t="s">
        <v>73</v>
      </c>
      <c r="E4653" s="423">
        <v>0.102603267388422</v>
      </c>
      <c r="F4653" s="423">
        <v>1.5808185604617201E-4</v>
      </c>
      <c r="G4653" s="422">
        <v>128.3610222347622</v>
      </c>
      <c r="H4653" s="417" t="s">
        <v>2616</v>
      </c>
      <c r="I4653" s="417" t="s">
        <v>1392</v>
      </c>
      <c r="J4653" s="417" t="s">
        <v>11737</v>
      </c>
      <c r="K4653" s="417" t="s">
        <v>11772</v>
      </c>
      <c r="L4653" s="417"/>
      <c r="M4653" s="417" t="s">
        <v>28840</v>
      </c>
    </row>
    <row r="4654" spans="1:13" x14ac:dyDescent="0.25">
      <c r="A4654" s="417" t="s">
        <v>3385</v>
      </c>
      <c r="B4654" s="417" t="s">
        <v>3405</v>
      </c>
      <c r="C4654" s="417" t="s">
        <v>11773</v>
      </c>
      <c r="D4654" s="417" t="s">
        <v>73</v>
      </c>
      <c r="E4654" s="423">
        <v>0.1140124209390954</v>
      </c>
      <c r="F4654" s="423">
        <v>3.4263123076416329E-4</v>
      </c>
      <c r="G4654" s="422">
        <v>141.38695792563379</v>
      </c>
      <c r="H4654" s="417" t="s">
        <v>2616</v>
      </c>
      <c r="I4654" s="417" t="s">
        <v>1392</v>
      </c>
      <c r="J4654" s="417" t="s">
        <v>11737</v>
      </c>
      <c r="K4654" s="417" t="s">
        <v>11774</v>
      </c>
      <c r="L4654" s="417"/>
      <c r="M4654" s="417" t="s">
        <v>28840</v>
      </c>
    </row>
    <row r="4655" spans="1:13" x14ac:dyDescent="0.25">
      <c r="A4655" s="417" t="s">
        <v>3385</v>
      </c>
      <c r="B4655" s="417" t="s">
        <v>3405</v>
      </c>
      <c r="C4655" s="417" t="s">
        <v>11775</v>
      </c>
      <c r="D4655" s="417" t="s">
        <v>73</v>
      </c>
      <c r="E4655" s="423">
        <v>0.1129749995414349</v>
      </c>
      <c r="F4655" s="423">
        <v>2.5070593779270161E-4</v>
      </c>
      <c r="G4655" s="422">
        <v>129.61083643932659</v>
      </c>
      <c r="H4655" s="417" t="s">
        <v>2616</v>
      </c>
      <c r="I4655" s="417" t="s">
        <v>1392</v>
      </c>
      <c r="J4655" s="417" t="s">
        <v>11737</v>
      </c>
      <c r="K4655" s="417" t="s">
        <v>11776</v>
      </c>
      <c r="L4655" s="417"/>
      <c r="M4655" s="417" t="s">
        <v>28840</v>
      </c>
    </row>
    <row r="4656" spans="1:13" x14ac:dyDescent="0.25">
      <c r="A4656" s="417" t="s">
        <v>3385</v>
      </c>
      <c r="B4656" s="417" t="s">
        <v>3405</v>
      </c>
      <c r="C4656" s="417" t="s">
        <v>11777</v>
      </c>
      <c r="D4656" s="417" t="s">
        <v>73</v>
      </c>
      <c r="E4656" s="423">
        <v>0.1039792243439146</v>
      </c>
      <c r="F4656" s="423">
        <v>1.533668485456082E-4</v>
      </c>
      <c r="G4656" s="422">
        <v>133.47898172985359</v>
      </c>
      <c r="H4656" s="417" t="s">
        <v>2616</v>
      </c>
      <c r="I4656" s="417" t="s">
        <v>1392</v>
      </c>
      <c r="J4656" s="417" t="s">
        <v>11737</v>
      </c>
      <c r="K4656" s="417" t="s">
        <v>11778</v>
      </c>
      <c r="L4656" s="417"/>
      <c r="M4656" s="417" t="s">
        <v>28840</v>
      </c>
    </row>
    <row r="4657" spans="1:13" x14ac:dyDescent="0.25">
      <c r="A4657" s="417" t="s">
        <v>3385</v>
      </c>
      <c r="B4657" s="417" t="s">
        <v>3405</v>
      </c>
      <c r="C4657" s="417" t="s">
        <v>11779</v>
      </c>
      <c r="D4657" s="417" t="s">
        <v>73</v>
      </c>
      <c r="E4657" s="423">
        <v>0.11006402492949351</v>
      </c>
      <c r="F4657" s="423">
        <v>2.7325854043298598E-4</v>
      </c>
      <c r="G4657" s="422">
        <v>147.3860860163804</v>
      </c>
      <c r="H4657" s="417" t="s">
        <v>2616</v>
      </c>
      <c r="I4657" s="417" t="s">
        <v>1392</v>
      </c>
      <c r="J4657" s="417" t="s">
        <v>11737</v>
      </c>
      <c r="K4657" s="417" t="s">
        <v>11780</v>
      </c>
      <c r="L4657" s="417"/>
      <c r="M4657" s="417" t="s">
        <v>28840</v>
      </c>
    </row>
    <row r="4658" spans="1:13" x14ac:dyDescent="0.25">
      <c r="A4658" s="417" t="s">
        <v>3385</v>
      </c>
      <c r="B4658" s="417" t="s">
        <v>3405</v>
      </c>
      <c r="C4658" s="417" t="s">
        <v>11781</v>
      </c>
      <c r="D4658" s="417" t="s">
        <v>73</v>
      </c>
      <c r="E4658" s="423">
        <v>0.1048794091769758</v>
      </c>
      <c r="F4658" s="423">
        <v>1.751607982834146E-4</v>
      </c>
      <c r="G4658" s="422">
        <v>133.24832995460369</v>
      </c>
      <c r="H4658" s="417" t="s">
        <v>2616</v>
      </c>
      <c r="I4658" s="417" t="s">
        <v>1392</v>
      </c>
      <c r="J4658" s="417" t="s">
        <v>11737</v>
      </c>
      <c r="K4658" s="417" t="s">
        <v>11782</v>
      </c>
      <c r="L4658" s="417"/>
      <c r="M4658" s="417" t="s">
        <v>28840</v>
      </c>
    </row>
    <row r="4659" spans="1:13" x14ac:dyDescent="0.25">
      <c r="A4659" s="417" t="s">
        <v>3385</v>
      </c>
      <c r="B4659" s="417" t="s">
        <v>3405</v>
      </c>
      <c r="C4659" s="417" t="s">
        <v>11783</v>
      </c>
      <c r="D4659" s="417" t="s">
        <v>73</v>
      </c>
      <c r="E4659" s="423">
        <v>0.1147464320718011</v>
      </c>
      <c r="F4659" s="423">
        <v>5.2928580484306632E-4</v>
      </c>
      <c r="G4659" s="422">
        <v>137.69246852247551</v>
      </c>
      <c r="H4659" s="417" t="s">
        <v>2616</v>
      </c>
      <c r="I4659" s="417" t="s">
        <v>1392</v>
      </c>
      <c r="J4659" s="417" t="s">
        <v>11737</v>
      </c>
      <c r="K4659" s="417" t="s">
        <v>11784</v>
      </c>
      <c r="L4659" s="417"/>
      <c r="M4659" s="417" t="s">
        <v>28840</v>
      </c>
    </row>
    <row r="4660" spans="1:13" x14ac:dyDescent="0.25">
      <c r="A4660" s="417" t="s">
        <v>3385</v>
      </c>
      <c r="B4660" s="417" t="s">
        <v>3405</v>
      </c>
      <c r="C4660" s="417" t="s">
        <v>11785</v>
      </c>
      <c r="D4660" s="417" t="s">
        <v>73</v>
      </c>
      <c r="E4660" s="423">
        <v>0.1047372268125223</v>
      </c>
      <c r="F4660" s="423">
        <v>1.7521571930744729E-4</v>
      </c>
      <c r="G4660" s="422">
        <v>130.48427260286871</v>
      </c>
      <c r="H4660" s="417" t="s">
        <v>2616</v>
      </c>
      <c r="I4660" s="417" t="s">
        <v>1392</v>
      </c>
      <c r="J4660" s="417" t="s">
        <v>11737</v>
      </c>
      <c r="K4660" s="417" t="s">
        <v>11786</v>
      </c>
      <c r="L4660" s="417"/>
      <c r="M4660" s="417" t="s">
        <v>28840</v>
      </c>
    </row>
    <row r="4661" spans="1:13" x14ac:dyDescent="0.25">
      <c r="A4661" s="417" t="s">
        <v>3385</v>
      </c>
      <c r="B4661" s="417" t="s">
        <v>3405</v>
      </c>
      <c r="C4661" s="417" t="s">
        <v>11787</v>
      </c>
      <c r="D4661" s="417" t="s">
        <v>73</v>
      </c>
      <c r="E4661" s="423">
        <v>0.1051337118744038</v>
      </c>
      <c r="F4661" s="423">
        <v>2.0164352380139781E-4</v>
      </c>
      <c r="G4661" s="422">
        <v>127.72723064524421</v>
      </c>
      <c r="H4661" s="417" t="s">
        <v>2616</v>
      </c>
      <c r="I4661" s="417" t="s">
        <v>1392</v>
      </c>
      <c r="J4661" s="417" t="s">
        <v>11788</v>
      </c>
      <c r="K4661" s="417" t="s">
        <v>11789</v>
      </c>
      <c r="L4661" s="417"/>
      <c r="M4661" s="417" t="s">
        <v>28840</v>
      </c>
    </row>
    <row r="4662" spans="1:13" x14ac:dyDescent="0.25">
      <c r="A4662" s="417" t="s">
        <v>3385</v>
      </c>
      <c r="B4662" s="417" t="s">
        <v>3405</v>
      </c>
      <c r="C4662" s="417" t="s">
        <v>11790</v>
      </c>
      <c r="D4662" s="417" t="s">
        <v>73</v>
      </c>
      <c r="E4662" s="423">
        <v>0.10672507058811451</v>
      </c>
      <c r="F4662" s="423">
        <v>2.0851054676325451E-4</v>
      </c>
      <c r="G4662" s="422">
        <v>133.84210403412379</v>
      </c>
      <c r="H4662" s="417" t="s">
        <v>2616</v>
      </c>
      <c r="I4662" s="417" t="s">
        <v>1392</v>
      </c>
      <c r="J4662" s="417" t="s">
        <v>11737</v>
      </c>
      <c r="K4662" s="417" t="s">
        <v>11791</v>
      </c>
      <c r="L4662" s="417"/>
      <c r="M4662" s="417" t="s">
        <v>28840</v>
      </c>
    </row>
    <row r="4663" spans="1:13" x14ac:dyDescent="0.25">
      <c r="A4663" s="417" t="s">
        <v>3385</v>
      </c>
      <c r="B4663" s="417" t="s">
        <v>2627</v>
      </c>
      <c r="C4663" s="417" t="s">
        <v>11792</v>
      </c>
      <c r="D4663" s="417" t="s">
        <v>83</v>
      </c>
      <c r="E4663" s="423">
        <v>16.026978954752149</v>
      </c>
      <c r="F4663" s="423">
        <v>1.1865481897903269</v>
      </c>
      <c r="G4663" s="422">
        <v>32158.97789997869</v>
      </c>
      <c r="H4663" s="417" t="s">
        <v>2616</v>
      </c>
      <c r="I4663" s="417" t="s">
        <v>1392</v>
      </c>
      <c r="J4663" s="417" t="s">
        <v>3627</v>
      </c>
      <c r="K4663" s="417" t="s">
        <v>11793</v>
      </c>
      <c r="L4663" s="417"/>
      <c r="M4663" s="417" t="s">
        <v>28840</v>
      </c>
    </row>
    <row r="4664" spans="1:13" x14ac:dyDescent="0.25">
      <c r="A4664" s="417" t="s">
        <v>3385</v>
      </c>
      <c r="B4664" s="417" t="s">
        <v>2627</v>
      </c>
      <c r="C4664" s="417" t="s">
        <v>11794</v>
      </c>
      <c r="D4664" s="417" t="s">
        <v>83</v>
      </c>
      <c r="E4664" s="423">
        <v>64.495127539151596</v>
      </c>
      <c r="F4664" s="423">
        <v>7.5800593463188193</v>
      </c>
      <c r="G4664" s="422">
        <v>166500.8984770173</v>
      </c>
      <c r="H4664" s="417" t="s">
        <v>2616</v>
      </c>
      <c r="I4664" s="417" t="s">
        <v>1392</v>
      </c>
      <c r="J4664" s="417" t="s">
        <v>3627</v>
      </c>
      <c r="K4664" s="417" t="s">
        <v>11795</v>
      </c>
      <c r="L4664" s="417"/>
      <c r="M4664" s="417" t="s">
        <v>28840</v>
      </c>
    </row>
    <row r="4665" spans="1:13" x14ac:dyDescent="0.25">
      <c r="A4665" s="417" t="s">
        <v>3385</v>
      </c>
      <c r="B4665" s="417" t="s">
        <v>2627</v>
      </c>
      <c r="C4665" s="417" t="s">
        <v>11796</v>
      </c>
      <c r="D4665" s="417" t="s">
        <v>83</v>
      </c>
      <c r="E4665" s="423">
        <v>0</v>
      </c>
      <c r="F4665" s="423">
        <v>0</v>
      </c>
      <c r="G4665" s="422">
        <v>35560</v>
      </c>
      <c r="H4665" s="417" t="s">
        <v>2616</v>
      </c>
      <c r="I4665" s="417" t="s">
        <v>1392</v>
      </c>
      <c r="J4665" s="417" t="s">
        <v>3998</v>
      </c>
      <c r="K4665" s="417" t="s">
        <v>11797</v>
      </c>
      <c r="L4665" s="417"/>
      <c r="M4665" s="417" t="s">
        <v>28840</v>
      </c>
    </row>
    <row r="4666" spans="1:13" x14ac:dyDescent="0.25">
      <c r="A4666" s="417" t="s">
        <v>3385</v>
      </c>
      <c r="B4666" s="417" t="s">
        <v>2437</v>
      </c>
      <c r="C4666" s="417" t="s">
        <v>11798</v>
      </c>
      <c r="D4666" s="417" t="s">
        <v>88</v>
      </c>
      <c r="E4666" s="423">
        <v>5.1161827470195096</v>
      </c>
      <c r="F4666" s="423">
        <v>0.12537815042419601</v>
      </c>
      <c r="G4666" s="422">
        <v>10339.29711602833</v>
      </c>
      <c r="H4666" s="417" t="s">
        <v>2616</v>
      </c>
      <c r="I4666" s="417" t="s">
        <v>1392</v>
      </c>
      <c r="J4666" s="417" t="s">
        <v>2638</v>
      </c>
      <c r="K4666" s="417" t="s">
        <v>11799</v>
      </c>
      <c r="L4666" s="417"/>
      <c r="M4666" s="417" t="s">
        <v>28840</v>
      </c>
    </row>
    <row r="4667" spans="1:13" x14ac:dyDescent="0.25">
      <c r="A4667" s="417" t="s">
        <v>3385</v>
      </c>
      <c r="B4667" s="417" t="s">
        <v>2627</v>
      </c>
      <c r="C4667" s="417" t="s">
        <v>11800</v>
      </c>
      <c r="D4667" s="417" t="s">
        <v>4427</v>
      </c>
      <c r="E4667" s="423">
        <v>87.540596591572836</v>
      </c>
      <c r="F4667" s="423">
        <v>5.7691058377110593</v>
      </c>
      <c r="G4667" s="422">
        <v>148758.1885365145</v>
      </c>
      <c r="H4667" s="417" t="s">
        <v>2616</v>
      </c>
      <c r="I4667" s="417" t="s">
        <v>1392</v>
      </c>
      <c r="J4667" s="417" t="s">
        <v>4016</v>
      </c>
      <c r="K4667" s="417" t="s">
        <v>11801</v>
      </c>
      <c r="L4667" s="417"/>
      <c r="M4667" s="417" t="s">
        <v>28840</v>
      </c>
    </row>
    <row r="4668" spans="1:13" x14ac:dyDescent="0.25">
      <c r="A4668" s="417" t="s">
        <v>3385</v>
      </c>
      <c r="B4668" s="417" t="s">
        <v>3655</v>
      </c>
      <c r="C4668" s="417" t="s">
        <v>11802</v>
      </c>
      <c r="D4668" s="417" t="s">
        <v>1052</v>
      </c>
      <c r="E4668" s="423">
        <v>488.10954642812288</v>
      </c>
      <c r="F4668" s="423">
        <v>14.8891245520001</v>
      </c>
      <c r="G4668" s="422">
        <v>897758.2418337313</v>
      </c>
      <c r="H4668" s="417" t="s">
        <v>2616</v>
      </c>
      <c r="I4668" s="417" t="s">
        <v>1392</v>
      </c>
      <c r="J4668" s="417" t="s">
        <v>3918</v>
      </c>
      <c r="K4668" s="417" t="s">
        <v>11803</v>
      </c>
      <c r="L4668" s="417"/>
      <c r="M4668" s="417" t="s">
        <v>28840</v>
      </c>
    </row>
    <row r="4669" spans="1:13" x14ac:dyDescent="0.25">
      <c r="A4669" s="417" t="s">
        <v>3385</v>
      </c>
      <c r="B4669" s="417" t="s">
        <v>3655</v>
      </c>
      <c r="C4669" s="417" t="s">
        <v>11804</v>
      </c>
      <c r="D4669" s="417" t="s">
        <v>1052</v>
      </c>
      <c r="E4669" s="423">
        <v>289.16447298671051</v>
      </c>
      <c r="F4669" s="423">
        <v>15.304534187448199</v>
      </c>
      <c r="G4669" s="422">
        <v>571224.98718048946</v>
      </c>
      <c r="H4669" s="417" t="s">
        <v>2616</v>
      </c>
      <c r="I4669" s="417" t="s">
        <v>1392</v>
      </c>
      <c r="J4669" s="417" t="s">
        <v>3918</v>
      </c>
      <c r="K4669" s="417" t="s">
        <v>11805</v>
      </c>
      <c r="L4669" s="417"/>
      <c r="M4669" s="417" t="s">
        <v>28840</v>
      </c>
    </row>
    <row r="4670" spans="1:13" x14ac:dyDescent="0.25">
      <c r="A4670" s="417" t="s">
        <v>3385</v>
      </c>
      <c r="B4670" s="417" t="s">
        <v>2627</v>
      </c>
      <c r="C4670" s="417" t="s">
        <v>11806</v>
      </c>
      <c r="D4670" s="417" t="s">
        <v>4427</v>
      </c>
      <c r="E4670" s="423">
        <v>60.74159056145475</v>
      </c>
      <c r="F4670" s="423">
        <v>3.180665280381231</v>
      </c>
      <c r="G4670" s="422">
        <v>95211.351778033713</v>
      </c>
      <c r="H4670" s="417" t="s">
        <v>2616</v>
      </c>
      <c r="I4670" s="417" t="s">
        <v>1392</v>
      </c>
      <c r="J4670" s="417" t="s">
        <v>4016</v>
      </c>
      <c r="K4670" s="417" t="s">
        <v>11807</v>
      </c>
      <c r="L4670" s="417"/>
      <c r="M4670" s="417" t="s">
        <v>28840</v>
      </c>
    </row>
    <row r="4671" spans="1:13" x14ac:dyDescent="0.25">
      <c r="A4671" s="417" t="s">
        <v>3385</v>
      </c>
      <c r="B4671" s="417" t="s">
        <v>3655</v>
      </c>
      <c r="C4671" s="417" t="s">
        <v>11808</v>
      </c>
      <c r="D4671" s="417" t="s">
        <v>1052</v>
      </c>
      <c r="E4671" s="423">
        <v>11.683738199127189</v>
      </c>
      <c r="F4671" s="423">
        <v>0.65250102115066544</v>
      </c>
      <c r="G4671" s="422">
        <v>22267.614682829961</v>
      </c>
      <c r="H4671" s="417" t="s">
        <v>2616</v>
      </c>
      <c r="I4671" s="417" t="s">
        <v>1392</v>
      </c>
      <c r="J4671" s="417" t="s">
        <v>3918</v>
      </c>
      <c r="K4671" s="417" t="s">
        <v>11809</v>
      </c>
      <c r="L4671" s="417"/>
      <c r="M4671" s="417" t="s">
        <v>28840</v>
      </c>
    </row>
    <row r="4672" spans="1:13" x14ac:dyDescent="0.25">
      <c r="A4672" s="417" t="s">
        <v>3385</v>
      </c>
      <c r="B4672" s="417" t="s">
        <v>3655</v>
      </c>
      <c r="C4672" s="417" t="s">
        <v>11810</v>
      </c>
      <c r="D4672" s="417" t="s">
        <v>989</v>
      </c>
      <c r="E4672" s="423">
        <v>4867708.1372180237</v>
      </c>
      <c r="F4672" s="423">
        <v>173230.5068670155</v>
      </c>
      <c r="G4672" s="422">
        <v>8847644063.0847549</v>
      </c>
      <c r="H4672" s="417" t="s">
        <v>2616</v>
      </c>
      <c r="I4672" s="417" t="s">
        <v>1392</v>
      </c>
      <c r="J4672" s="417" t="s">
        <v>11811</v>
      </c>
      <c r="K4672" s="417" t="s">
        <v>11812</v>
      </c>
      <c r="L4672" s="417"/>
      <c r="M4672" s="417" t="s">
        <v>28840</v>
      </c>
    </row>
    <row r="4673" spans="1:13" x14ac:dyDescent="0.25">
      <c r="A4673" s="417" t="s">
        <v>3385</v>
      </c>
      <c r="B4673" s="417" t="s">
        <v>2627</v>
      </c>
      <c r="C4673" s="417" t="s">
        <v>11813</v>
      </c>
      <c r="D4673" s="417" t="s">
        <v>88</v>
      </c>
      <c r="E4673" s="423">
        <v>2.3641636176274941</v>
      </c>
      <c r="F4673" s="423">
        <v>2.3184905131016328E-2</v>
      </c>
      <c r="G4673" s="422">
        <v>3007.4764700090259</v>
      </c>
      <c r="H4673" s="417" t="s">
        <v>2616</v>
      </c>
      <c r="I4673" s="417" t="s">
        <v>1392</v>
      </c>
      <c r="J4673" s="417" t="s">
        <v>7702</v>
      </c>
      <c r="K4673" s="417" t="s">
        <v>11814</v>
      </c>
      <c r="L4673" s="417"/>
      <c r="M4673" s="417" t="s">
        <v>28840</v>
      </c>
    </row>
    <row r="4674" spans="1:13" x14ac:dyDescent="0.25">
      <c r="A4674" s="417" t="s">
        <v>3385</v>
      </c>
      <c r="B4674" s="417" t="s">
        <v>2627</v>
      </c>
      <c r="C4674" s="417" t="s">
        <v>11815</v>
      </c>
      <c r="D4674" s="417" t="s">
        <v>989</v>
      </c>
      <c r="E4674" s="423">
        <v>4.6761290649239706</v>
      </c>
      <c r="F4674" s="423">
        <v>0.1837864800371406</v>
      </c>
      <c r="G4674" s="422">
        <v>14568.146419657331</v>
      </c>
      <c r="H4674" s="417" t="s">
        <v>2616</v>
      </c>
      <c r="I4674" s="417" t="s">
        <v>1392</v>
      </c>
      <c r="J4674" s="417" t="s">
        <v>3899</v>
      </c>
      <c r="K4674" s="417" t="s">
        <v>11816</v>
      </c>
      <c r="L4674" s="417"/>
      <c r="M4674" s="417" t="s">
        <v>28840</v>
      </c>
    </row>
    <row r="4675" spans="1:13" x14ac:dyDescent="0.25">
      <c r="A4675" s="417" t="s">
        <v>3385</v>
      </c>
      <c r="B4675" s="417" t="s">
        <v>2627</v>
      </c>
      <c r="C4675" s="417" t="s">
        <v>11817</v>
      </c>
      <c r="D4675" s="417" t="s">
        <v>989</v>
      </c>
      <c r="E4675" s="423">
        <v>1.725394271075249</v>
      </c>
      <c r="F4675" s="423">
        <v>0.1011173930564339</v>
      </c>
      <c r="G4675" s="422">
        <v>4297.3019969088773</v>
      </c>
      <c r="H4675" s="417" t="s">
        <v>2616</v>
      </c>
      <c r="I4675" s="417" t="s">
        <v>1392</v>
      </c>
      <c r="J4675" s="417" t="s">
        <v>3899</v>
      </c>
      <c r="K4675" s="417" t="s">
        <v>11818</v>
      </c>
      <c r="L4675" s="417"/>
      <c r="M4675" s="417" t="s">
        <v>28840</v>
      </c>
    </row>
    <row r="4676" spans="1:13" x14ac:dyDescent="0.25">
      <c r="A4676" s="417" t="s">
        <v>3385</v>
      </c>
      <c r="B4676" s="417" t="s">
        <v>2627</v>
      </c>
      <c r="C4676" s="417" t="s">
        <v>11819</v>
      </c>
      <c r="D4676" s="417" t="s">
        <v>989</v>
      </c>
      <c r="E4676" s="423">
        <v>6.2290806180002019</v>
      </c>
      <c r="F4676" s="423">
        <v>0.33134091513475711</v>
      </c>
      <c r="G4676" s="422">
        <v>89545.817182656465</v>
      </c>
      <c r="H4676" s="417" t="s">
        <v>2616</v>
      </c>
      <c r="I4676" s="417" t="s">
        <v>1392</v>
      </c>
      <c r="J4676" s="417" t="s">
        <v>3699</v>
      </c>
      <c r="K4676" s="417" t="s">
        <v>11820</v>
      </c>
      <c r="L4676" s="417"/>
      <c r="M4676" s="417" t="s">
        <v>28840</v>
      </c>
    </row>
    <row r="4677" spans="1:13" x14ac:dyDescent="0.25">
      <c r="A4677" s="417" t="s">
        <v>3385</v>
      </c>
      <c r="B4677" s="417" t="s">
        <v>2437</v>
      </c>
      <c r="C4677" s="417" t="s">
        <v>11821</v>
      </c>
      <c r="D4677" s="417" t="s">
        <v>88</v>
      </c>
      <c r="E4677" s="423">
        <v>4.0585656789251807</v>
      </c>
      <c r="F4677" s="423">
        <v>0.18473355903735231</v>
      </c>
      <c r="G4677" s="422">
        <v>6958.4845361697262</v>
      </c>
      <c r="H4677" s="417" t="s">
        <v>2616</v>
      </c>
      <c r="I4677" s="417" t="s">
        <v>1392</v>
      </c>
      <c r="J4677" s="417" t="s">
        <v>4531</v>
      </c>
      <c r="K4677" s="417" t="s">
        <v>11822</v>
      </c>
      <c r="L4677" s="417"/>
      <c r="M4677" s="417" t="s">
        <v>28840</v>
      </c>
    </row>
    <row r="4678" spans="1:13" x14ac:dyDescent="0.25">
      <c r="A4678" s="417" t="s">
        <v>3385</v>
      </c>
      <c r="B4678" s="417" t="s">
        <v>2627</v>
      </c>
      <c r="C4678" s="417" t="s">
        <v>11823</v>
      </c>
      <c r="D4678" s="417" t="s">
        <v>989</v>
      </c>
      <c r="E4678" s="423">
        <v>5.6774015536365621</v>
      </c>
      <c r="F4678" s="423">
        <v>0.68676421863565651</v>
      </c>
      <c r="G4678" s="422">
        <v>17982.83327567712</v>
      </c>
      <c r="H4678" s="417" t="s">
        <v>2616</v>
      </c>
      <c r="I4678" s="417" t="s">
        <v>1392</v>
      </c>
      <c r="J4678" s="417" t="s">
        <v>3699</v>
      </c>
      <c r="K4678" s="417" t="s">
        <v>11824</v>
      </c>
      <c r="L4678" s="417"/>
      <c r="M4678" s="417" t="s">
        <v>28840</v>
      </c>
    </row>
    <row r="4679" spans="1:13" x14ac:dyDescent="0.25">
      <c r="A4679" s="417" t="s">
        <v>3385</v>
      </c>
      <c r="B4679" s="417" t="s">
        <v>2627</v>
      </c>
      <c r="C4679" s="417" t="s">
        <v>11825</v>
      </c>
      <c r="D4679" s="417" t="s">
        <v>989</v>
      </c>
      <c r="E4679" s="423">
        <v>1.8831911602970091</v>
      </c>
      <c r="F4679" s="423">
        <v>0.122983281393291</v>
      </c>
      <c r="G4679" s="422">
        <v>3349.5906346040479</v>
      </c>
      <c r="H4679" s="417" t="s">
        <v>2616</v>
      </c>
      <c r="I4679" s="417" t="s">
        <v>1392</v>
      </c>
      <c r="J4679" s="417" t="s">
        <v>3699</v>
      </c>
      <c r="K4679" s="417" t="s">
        <v>11826</v>
      </c>
      <c r="L4679" s="417"/>
      <c r="M4679" s="417" t="s">
        <v>28840</v>
      </c>
    </row>
    <row r="4680" spans="1:13" x14ac:dyDescent="0.25">
      <c r="A4680" s="417" t="s">
        <v>3385</v>
      </c>
      <c r="B4680" s="417" t="s">
        <v>3405</v>
      </c>
      <c r="C4680" s="417" t="s">
        <v>11827</v>
      </c>
      <c r="D4680" s="417" t="s">
        <v>73</v>
      </c>
      <c r="E4680" s="423">
        <v>4.5503461572315102E-3</v>
      </c>
      <c r="F4680" s="423">
        <v>2.4170997905608952E-3</v>
      </c>
      <c r="G4680" s="422">
        <v>24.02679292849432</v>
      </c>
      <c r="H4680" s="417" t="s">
        <v>2616</v>
      </c>
      <c r="I4680" s="417" t="s">
        <v>1392</v>
      </c>
      <c r="J4680" s="417" t="s">
        <v>4326</v>
      </c>
      <c r="K4680" s="417" t="s">
        <v>11828</v>
      </c>
      <c r="L4680" s="417"/>
      <c r="M4680" s="417" t="s">
        <v>28840</v>
      </c>
    </row>
    <row r="4681" spans="1:13" x14ac:dyDescent="0.25">
      <c r="A4681" s="417" t="s">
        <v>3385</v>
      </c>
      <c r="B4681" s="417" t="s">
        <v>3405</v>
      </c>
      <c r="C4681" s="417" t="s">
        <v>11829</v>
      </c>
      <c r="D4681" s="417" t="s">
        <v>73</v>
      </c>
      <c r="E4681" s="423">
        <v>2.7470468272400551E-2</v>
      </c>
      <c r="F4681" s="423">
        <v>6.4523705008669458E-3</v>
      </c>
      <c r="G4681" s="422">
        <v>133.76748691594929</v>
      </c>
      <c r="H4681" s="417" t="s">
        <v>2616</v>
      </c>
      <c r="I4681" s="417" t="s">
        <v>1392</v>
      </c>
      <c r="J4681" s="417" t="s">
        <v>4326</v>
      </c>
      <c r="K4681" s="417" t="s">
        <v>11830</v>
      </c>
      <c r="L4681" s="417"/>
      <c r="M4681" s="417" t="s">
        <v>28840</v>
      </c>
    </row>
    <row r="4682" spans="1:13" x14ac:dyDescent="0.25">
      <c r="A4682" s="417" t="s">
        <v>3385</v>
      </c>
      <c r="B4682" s="417" t="s">
        <v>2627</v>
      </c>
      <c r="C4682" s="417" t="s">
        <v>11831</v>
      </c>
      <c r="D4682" s="417" t="s">
        <v>563</v>
      </c>
      <c r="E4682" s="423">
        <v>1.6114023117539691</v>
      </c>
      <c r="F4682" s="423">
        <v>4.9969395456482567E-2</v>
      </c>
      <c r="G4682" s="422">
        <v>3126.5379796797451</v>
      </c>
      <c r="H4682" s="417" t="s">
        <v>2616</v>
      </c>
      <c r="I4682" s="417" t="s">
        <v>1392</v>
      </c>
      <c r="J4682" s="417" t="s">
        <v>11832</v>
      </c>
      <c r="K4682" s="417" t="s">
        <v>11833</v>
      </c>
      <c r="L4682" s="417"/>
      <c r="M4682" s="417" t="s">
        <v>28840</v>
      </c>
    </row>
    <row r="4683" spans="1:13" x14ac:dyDescent="0.25">
      <c r="A4683" s="417" t="s">
        <v>3385</v>
      </c>
      <c r="B4683" s="417" t="s">
        <v>3405</v>
      </c>
      <c r="C4683" s="417" t="s">
        <v>11834</v>
      </c>
      <c r="D4683" s="417" t="s">
        <v>989</v>
      </c>
      <c r="E4683" s="423">
        <v>2141.8370994837078</v>
      </c>
      <c r="F4683" s="423">
        <v>61.743170704364857</v>
      </c>
      <c r="G4683" s="422">
        <v>3725946.25655771</v>
      </c>
      <c r="H4683" s="417" t="s">
        <v>2616</v>
      </c>
      <c r="I4683" s="417" t="s">
        <v>1392</v>
      </c>
      <c r="J4683" s="417" t="s">
        <v>5807</v>
      </c>
      <c r="K4683" s="417" t="s">
        <v>11835</v>
      </c>
      <c r="L4683" s="417"/>
      <c r="M4683" s="417" t="s">
        <v>28840</v>
      </c>
    </row>
    <row r="4684" spans="1:13" x14ac:dyDescent="0.25">
      <c r="A4684" s="417" t="s">
        <v>3385</v>
      </c>
      <c r="B4684" s="417" t="s">
        <v>3405</v>
      </c>
      <c r="C4684" s="417" t="s">
        <v>11836</v>
      </c>
      <c r="D4684" s="417" t="s">
        <v>989</v>
      </c>
      <c r="E4684" s="423">
        <v>2145.3165031029762</v>
      </c>
      <c r="F4684" s="423">
        <v>53.808831803243962</v>
      </c>
      <c r="G4684" s="422">
        <v>4310978.4907210506</v>
      </c>
      <c r="H4684" s="417" t="s">
        <v>2616</v>
      </c>
      <c r="I4684" s="417" t="s">
        <v>1392</v>
      </c>
      <c r="J4684" s="417" t="s">
        <v>3588</v>
      </c>
      <c r="K4684" s="417" t="s">
        <v>11837</v>
      </c>
      <c r="L4684" s="417"/>
      <c r="M4684" s="417" t="s">
        <v>28840</v>
      </c>
    </row>
    <row r="4685" spans="1:13" x14ac:dyDescent="0.25">
      <c r="A4685" s="417" t="s">
        <v>3385</v>
      </c>
      <c r="B4685" s="417" t="s">
        <v>3405</v>
      </c>
      <c r="C4685" s="417" t="s">
        <v>11838</v>
      </c>
      <c r="D4685" s="417" t="s">
        <v>989</v>
      </c>
      <c r="E4685" s="423">
        <v>86.195769039528471</v>
      </c>
      <c r="F4685" s="423">
        <v>3.1296741562004069</v>
      </c>
      <c r="G4685" s="422">
        <v>645662.92987972673</v>
      </c>
      <c r="H4685" s="417" t="s">
        <v>2616</v>
      </c>
      <c r="I4685" s="417" t="s">
        <v>1392</v>
      </c>
      <c r="J4685" s="417" t="s">
        <v>3588</v>
      </c>
      <c r="K4685" s="417" t="s">
        <v>11839</v>
      </c>
      <c r="L4685" s="417"/>
      <c r="M4685" s="417" t="s">
        <v>28840</v>
      </c>
    </row>
    <row r="4686" spans="1:13" x14ac:dyDescent="0.25">
      <c r="A4686" s="417" t="s">
        <v>3385</v>
      </c>
      <c r="B4686" s="417" t="s">
        <v>3405</v>
      </c>
      <c r="C4686" s="417" t="s">
        <v>11840</v>
      </c>
      <c r="D4686" s="417" t="s">
        <v>989</v>
      </c>
      <c r="E4686" s="423">
        <v>28466.929317628819</v>
      </c>
      <c r="F4686" s="423">
        <v>815.74244767736809</v>
      </c>
      <c r="G4686" s="422">
        <v>72098238.1386787</v>
      </c>
      <c r="H4686" s="417" t="s">
        <v>2616</v>
      </c>
      <c r="I4686" s="417" t="s">
        <v>1392</v>
      </c>
      <c r="J4686" s="417" t="s">
        <v>4417</v>
      </c>
      <c r="K4686" s="417" t="s">
        <v>11841</v>
      </c>
      <c r="L4686" s="417"/>
      <c r="M4686" s="417" t="s">
        <v>28840</v>
      </c>
    </row>
    <row r="4687" spans="1:13" x14ac:dyDescent="0.25">
      <c r="A4687" s="417" t="s">
        <v>3385</v>
      </c>
      <c r="B4687" s="417" t="s">
        <v>3405</v>
      </c>
      <c r="C4687" s="417" t="s">
        <v>11842</v>
      </c>
      <c r="D4687" s="417" t="s">
        <v>73</v>
      </c>
      <c r="E4687" s="423">
        <v>0</v>
      </c>
      <c r="F4687" s="423">
        <v>0</v>
      </c>
      <c r="G4687" s="422">
        <v>0</v>
      </c>
      <c r="H4687" s="417" t="s">
        <v>2616</v>
      </c>
      <c r="I4687" s="417" t="s">
        <v>1392</v>
      </c>
      <c r="J4687" s="417" t="s">
        <v>11843</v>
      </c>
      <c r="K4687" s="417" t="s">
        <v>11844</v>
      </c>
      <c r="L4687" s="417"/>
      <c r="M4687" s="417" t="s">
        <v>28840</v>
      </c>
    </row>
    <row r="4688" spans="1:13" x14ac:dyDescent="0.25">
      <c r="A4688" s="417" t="s">
        <v>3385</v>
      </c>
      <c r="B4688" s="417" t="s">
        <v>2627</v>
      </c>
      <c r="C4688" s="417" t="s">
        <v>11845</v>
      </c>
      <c r="D4688" s="417" t="s">
        <v>563</v>
      </c>
      <c r="E4688" s="423">
        <v>0.78467322372306947</v>
      </c>
      <c r="F4688" s="423">
        <v>2.4213390358797771E-2</v>
      </c>
      <c r="G4688" s="422">
        <v>1711.565346831562</v>
      </c>
      <c r="H4688" s="417" t="s">
        <v>2616</v>
      </c>
      <c r="I4688" s="417" t="s">
        <v>1392</v>
      </c>
      <c r="J4688" s="417" t="s">
        <v>11832</v>
      </c>
      <c r="K4688" s="417" t="s">
        <v>11846</v>
      </c>
      <c r="L4688" s="417"/>
      <c r="M4688" s="417" t="s">
        <v>28840</v>
      </c>
    </row>
    <row r="4689" spans="1:13" x14ac:dyDescent="0.25">
      <c r="A4689" s="417" t="s">
        <v>3385</v>
      </c>
      <c r="B4689" s="417" t="s">
        <v>2627</v>
      </c>
      <c r="C4689" s="417" t="s">
        <v>11847</v>
      </c>
      <c r="D4689" s="417" t="s">
        <v>563</v>
      </c>
      <c r="E4689" s="423">
        <v>2.3540168856606258</v>
      </c>
      <c r="F4689" s="423">
        <v>7.2640075558578099E-2</v>
      </c>
      <c r="G4689" s="422">
        <v>5134.6902597473872</v>
      </c>
      <c r="H4689" s="417" t="s">
        <v>2616</v>
      </c>
      <c r="I4689" s="417" t="s">
        <v>1392</v>
      </c>
      <c r="J4689" s="417" t="s">
        <v>11832</v>
      </c>
      <c r="K4689" s="417" t="s">
        <v>11848</v>
      </c>
      <c r="L4689" s="417"/>
      <c r="M4689" s="417" t="s">
        <v>28840</v>
      </c>
    </row>
    <row r="4690" spans="1:13" x14ac:dyDescent="0.25">
      <c r="A4690" s="417" t="s">
        <v>3385</v>
      </c>
      <c r="B4690" s="417" t="s">
        <v>2627</v>
      </c>
      <c r="C4690" s="417" t="s">
        <v>11849</v>
      </c>
      <c r="D4690" s="417" t="s">
        <v>563</v>
      </c>
      <c r="E4690" s="423">
        <v>3.9233580581568619</v>
      </c>
      <c r="F4690" s="423">
        <v>0.1210666890243582</v>
      </c>
      <c r="G4690" s="422">
        <v>8557.8061535827474</v>
      </c>
      <c r="H4690" s="417" t="s">
        <v>2616</v>
      </c>
      <c r="I4690" s="417" t="s">
        <v>1392</v>
      </c>
      <c r="J4690" s="417" t="s">
        <v>11832</v>
      </c>
      <c r="K4690" s="417" t="s">
        <v>11850</v>
      </c>
      <c r="L4690" s="417"/>
      <c r="M4690" s="417" t="s">
        <v>28840</v>
      </c>
    </row>
    <row r="4691" spans="1:13" x14ac:dyDescent="0.25">
      <c r="A4691" s="417" t="s">
        <v>3385</v>
      </c>
      <c r="B4691" s="417" t="s">
        <v>3405</v>
      </c>
      <c r="C4691" s="417" t="s">
        <v>11851</v>
      </c>
      <c r="D4691" s="417" t="s">
        <v>989</v>
      </c>
      <c r="E4691" s="423">
        <v>4081.613303611181</v>
      </c>
      <c r="F4691" s="423">
        <v>141.8612663935107</v>
      </c>
      <c r="G4691" s="422">
        <v>9348537.4882470053</v>
      </c>
      <c r="H4691" s="417" t="s">
        <v>2616</v>
      </c>
      <c r="I4691" s="417" t="s">
        <v>1392</v>
      </c>
      <c r="J4691" s="417" t="s">
        <v>5807</v>
      </c>
      <c r="K4691" s="417" t="s">
        <v>11852</v>
      </c>
      <c r="L4691" s="417"/>
      <c r="M4691" s="417" t="s">
        <v>28840</v>
      </c>
    </row>
    <row r="4692" spans="1:13" x14ac:dyDescent="0.25">
      <c r="A4692" s="417" t="s">
        <v>3385</v>
      </c>
      <c r="B4692" s="417" t="s">
        <v>3405</v>
      </c>
      <c r="C4692" s="417" t="s">
        <v>11853</v>
      </c>
      <c r="D4692" s="417" t="s">
        <v>989</v>
      </c>
      <c r="E4692" s="423">
        <v>5684.9058305833096</v>
      </c>
      <c r="F4692" s="423">
        <v>232.8376780073618</v>
      </c>
      <c r="G4692" s="422">
        <v>11621871.564596411</v>
      </c>
      <c r="H4692" s="417" t="s">
        <v>2616</v>
      </c>
      <c r="I4692" s="417" t="s">
        <v>1392</v>
      </c>
      <c r="J4692" s="417" t="s">
        <v>5807</v>
      </c>
      <c r="K4692" s="417" t="s">
        <v>11854</v>
      </c>
      <c r="L4692" s="417"/>
      <c r="M4692" s="417" t="s">
        <v>28840</v>
      </c>
    </row>
    <row r="4693" spans="1:13" x14ac:dyDescent="0.25">
      <c r="A4693" s="417" t="s">
        <v>3385</v>
      </c>
      <c r="B4693" s="417" t="s">
        <v>3405</v>
      </c>
      <c r="C4693" s="417" t="s">
        <v>11855</v>
      </c>
      <c r="D4693" s="417" t="s">
        <v>989</v>
      </c>
      <c r="E4693" s="423">
        <v>4745.5606674015517</v>
      </c>
      <c r="F4693" s="423">
        <v>208.9985566691409</v>
      </c>
      <c r="G4693" s="422">
        <v>10271251.67428593</v>
      </c>
      <c r="H4693" s="417" t="s">
        <v>2616</v>
      </c>
      <c r="I4693" s="417" t="s">
        <v>1392</v>
      </c>
      <c r="J4693" s="417" t="s">
        <v>5807</v>
      </c>
      <c r="K4693" s="417" t="s">
        <v>11856</v>
      </c>
      <c r="L4693" s="417"/>
      <c r="M4693" s="417" t="s">
        <v>28840</v>
      </c>
    </row>
    <row r="4694" spans="1:13" x14ac:dyDescent="0.25">
      <c r="A4694" s="417" t="s">
        <v>3385</v>
      </c>
      <c r="B4694" s="417" t="s">
        <v>3405</v>
      </c>
      <c r="C4694" s="417" t="s">
        <v>11857</v>
      </c>
      <c r="D4694" s="417" t="s">
        <v>989</v>
      </c>
      <c r="E4694" s="423">
        <v>5319.9642408966392</v>
      </c>
      <c r="F4694" s="423">
        <v>41.330732043405781</v>
      </c>
      <c r="G4694" s="422">
        <v>8511462.6764363609</v>
      </c>
      <c r="H4694" s="417" t="s">
        <v>2616</v>
      </c>
      <c r="I4694" s="417" t="s">
        <v>1392</v>
      </c>
      <c r="J4694" s="417" t="s">
        <v>5807</v>
      </c>
      <c r="K4694" s="417" t="s">
        <v>11858</v>
      </c>
      <c r="L4694" s="417"/>
      <c r="M4694" s="417" t="s">
        <v>28840</v>
      </c>
    </row>
    <row r="4695" spans="1:13" x14ac:dyDescent="0.25">
      <c r="A4695" s="417" t="s">
        <v>3385</v>
      </c>
      <c r="B4695" s="417" t="s">
        <v>3405</v>
      </c>
      <c r="C4695" s="417" t="s">
        <v>11859</v>
      </c>
      <c r="D4695" s="417" t="s">
        <v>989</v>
      </c>
      <c r="E4695" s="423">
        <v>10229.09728880625</v>
      </c>
      <c r="F4695" s="423">
        <v>263.54814800278632</v>
      </c>
      <c r="G4695" s="422">
        <v>26987795.518695101</v>
      </c>
      <c r="H4695" s="417" t="s">
        <v>2616</v>
      </c>
      <c r="I4695" s="417" t="s">
        <v>1392</v>
      </c>
      <c r="J4695" s="417" t="s">
        <v>4417</v>
      </c>
      <c r="K4695" s="417" t="s">
        <v>11860</v>
      </c>
      <c r="L4695" s="417"/>
      <c r="M4695" s="417" t="s">
        <v>28840</v>
      </c>
    </row>
    <row r="4696" spans="1:13" x14ac:dyDescent="0.25">
      <c r="A4696" s="417" t="s">
        <v>3385</v>
      </c>
      <c r="B4696" s="417" t="s">
        <v>3405</v>
      </c>
      <c r="C4696" s="417" t="s">
        <v>583</v>
      </c>
      <c r="D4696" s="417" t="s">
        <v>989</v>
      </c>
      <c r="E4696" s="423">
        <v>3768.6256745999221</v>
      </c>
      <c r="F4696" s="423">
        <v>179.8459016597925</v>
      </c>
      <c r="G4696" s="422">
        <v>7536804.7282655453</v>
      </c>
      <c r="H4696" s="417" t="s">
        <v>2616</v>
      </c>
      <c r="I4696" s="417" t="s">
        <v>28985</v>
      </c>
      <c r="J4696" s="417" t="s">
        <v>4326</v>
      </c>
      <c r="K4696" s="417" t="s">
        <v>11861</v>
      </c>
      <c r="L4696" s="417"/>
      <c r="M4696" s="417" t="s">
        <v>28840</v>
      </c>
    </row>
    <row r="4697" spans="1:13" x14ac:dyDescent="0.25">
      <c r="A4697" s="417" t="s">
        <v>3385</v>
      </c>
      <c r="B4697" s="417" t="s">
        <v>3405</v>
      </c>
      <c r="C4697" s="417" t="s">
        <v>586</v>
      </c>
      <c r="D4697" s="417" t="s">
        <v>989</v>
      </c>
      <c r="E4697" s="423">
        <v>14500.979487277071</v>
      </c>
      <c r="F4697" s="423">
        <v>506.28459528190052</v>
      </c>
      <c r="G4697" s="422">
        <v>25032545.22979378</v>
      </c>
      <c r="H4697" s="417" t="s">
        <v>2616</v>
      </c>
      <c r="I4697" s="417" t="s">
        <v>28985</v>
      </c>
      <c r="J4697" s="417" t="s">
        <v>4326</v>
      </c>
      <c r="K4697" s="417" t="s">
        <v>11862</v>
      </c>
      <c r="L4697" s="417"/>
      <c r="M4697" s="417" t="s">
        <v>28840</v>
      </c>
    </row>
    <row r="4698" spans="1:13" x14ac:dyDescent="0.25">
      <c r="A4698" s="417" t="s">
        <v>3385</v>
      </c>
      <c r="B4698" s="417" t="s">
        <v>3405</v>
      </c>
      <c r="C4698" s="417" t="s">
        <v>11863</v>
      </c>
      <c r="D4698" s="417" t="s">
        <v>989</v>
      </c>
      <c r="E4698" s="423">
        <v>3133.8778220051549</v>
      </c>
      <c r="F4698" s="423">
        <v>167.26000485344721</v>
      </c>
      <c r="G4698" s="422">
        <v>6432843.4581258167</v>
      </c>
      <c r="H4698" s="417" t="s">
        <v>2616</v>
      </c>
      <c r="I4698" s="417" t="s">
        <v>1392</v>
      </c>
      <c r="J4698" s="417" t="s">
        <v>4326</v>
      </c>
      <c r="K4698" s="417" t="s">
        <v>11864</v>
      </c>
      <c r="L4698" s="417"/>
      <c r="M4698" s="417" t="s">
        <v>28840</v>
      </c>
    </row>
    <row r="4699" spans="1:13" x14ac:dyDescent="0.25">
      <c r="A4699" s="417" t="s">
        <v>3385</v>
      </c>
      <c r="B4699" s="417" t="s">
        <v>3405</v>
      </c>
      <c r="C4699" s="417" t="s">
        <v>11865</v>
      </c>
      <c r="D4699" s="417" t="s">
        <v>88</v>
      </c>
      <c r="E4699" s="423">
        <v>12.240926772623011</v>
      </c>
      <c r="F4699" s="423">
        <v>0.65331757896274556</v>
      </c>
      <c r="G4699" s="422">
        <v>25126.68654642217</v>
      </c>
      <c r="H4699" s="417" t="s">
        <v>2616</v>
      </c>
      <c r="I4699" s="417" t="s">
        <v>1392</v>
      </c>
      <c r="J4699" s="417" t="s">
        <v>11866</v>
      </c>
      <c r="K4699" s="417" t="s">
        <v>11867</v>
      </c>
      <c r="L4699" s="417"/>
      <c r="M4699" s="417" t="s">
        <v>28840</v>
      </c>
    </row>
    <row r="4700" spans="1:13" x14ac:dyDescent="0.25">
      <c r="A4700" s="417" t="s">
        <v>3385</v>
      </c>
      <c r="B4700" s="417" t="s">
        <v>3405</v>
      </c>
      <c r="C4700" s="417" t="s">
        <v>11868</v>
      </c>
      <c r="D4700" s="417" t="s">
        <v>989</v>
      </c>
      <c r="E4700" s="423">
        <v>1773.3214136050481</v>
      </c>
      <c r="F4700" s="423">
        <v>13.776910693471971</v>
      </c>
      <c r="G4700" s="422">
        <v>2837154.2267989549</v>
      </c>
      <c r="H4700" s="417" t="s">
        <v>2616</v>
      </c>
      <c r="I4700" s="417" t="s">
        <v>1392</v>
      </c>
      <c r="J4700" s="417" t="s">
        <v>5807</v>
      </c>
      <c r="K4700" s="417" t="s">
        <v>11869</v>
      </c>
      <c r="L4700" s="417"/>
      <c r="M4700" s="417" t="s">
        <v>28840</v>
      </c>
    </row>
    <row r="4701" spans="1:13" x14ac:dyDescent="0.25">
      <c r="A4701" s="417" t="s">
        <v>3385</v>
      </c>
      <c r="B4701" s="417" t="s">
        <v>3405</v>
      </c>
      <c r="C4701" s="417" t="s">
        <v>588</v>
      </c>
      <c r="D4701" s="417" t="s">
        <v>989</v>
      </c>
      <c r="E4701" s="423">
        <v>2427.071400766451</v>
      </c>
      <c r="F4701" s="423">
        <v>125.1129364154022</v>
      </c>
      <c r="G4701" s="422">
        <v>5292679.3048414197</v>
      </c>
      <c r="H4701" s="417" t="s">
        <v>2616</v>
      </c>
      <c r="I4701" s="417" t="s">
        <v>28985</v>
      </c>
      <c r="J4701" s="417" t="s">
        <v>4326</v>
      </c>
      <c r="K4701" s="417" t="s">
        <v>11870</v>
      </c>
      <c r="L4701" s="417"/>
      <c r="M4701" s="417" t="s">
        <v>28840</v>
      </c>
    </row>
    <row r="4702" spans="1:13" x14ac:dyDescent="0.25">
      <c r="A4702" s="417" t="s">
        <v>3385</v>
      </c>
      <c r="B4702" s="417" t="s">
        <v>3405</v>
      </c>
      <c r="C4702" s="417" t="s">
        <v>590</v>
      </c>
      <c r="D4702" s="417" t="s">
        <v>989</v>
      </c>
      <c r="E4702" s="423">
        <v>7115.5449053111688</v>
      </c>
      <c r="F4702" s="423">
        <v>269.06971103593497</v>
      </c>
      <c r="G4702" s="422">
        <v>13691658.0417994</v>
      </c>
      <c r="H4702" s="417" t="s">
        <v>2616</v>
      </c>
      <c r="I4702" s="417" t="s">
        <v>28985</v>
      </c>
      <c r="J4702" s="417" t="s">
        <v>4326</v>
      </c>
      <c r="K4702" s="417" t="s">
        <v>11871</v>
      </c>
      <c r="L4702" s="417"/>
      <c r="M4702" s="417" t="s">
        <v>28840</v>
      </c>
    </row>
    <row r="4703" spans="1:13" x14ac:dyDescent="0.25">
      <c r="A4703" s="417" t="s">
        <v>3385</v>
      </c>
      <c r="B4703" s="417" t="s">
        <v>3405</v>
      </c>
      <c r="C4703" s="417" t="s">
        <v>11872</v>
      </c>
      <c r="D4703" s="417" t="s">
        <v>989</v>
      </c>
      <c r="E4703" s="423">
        <v>1848.5884733920971</v>
      </c>
      <c r="F4703" s="423">
        <v>106.9357503160367</v>
      </c>
      <c r="G4703" s="422">
        <v>4139940.280356457</v>
      </c>
      <c r="H4703" s="417" t="s">
        <v>2616</v>
      </c>
      <c r="I4703" s="417" t="s">
        <v>1392</v>
      </c>
      <c r="J4703" s="417" t="s">
        <v>4326</v>
      </c>
      <c r="K4703" s="417" t="s">
        <v>11873</v>
      </c>
      <c r="L4703" s="417"/>
      <c r="M4703" s="417" t="s">
        <v>28840</v>
      </c>
    </row>
    <row r="4704" spans="1:13" x14ac:dyDescent="0.25">
      <c r="A4704" s="417" t="s">
        <v>3385</v>
      </c>
      <c r="B4704" s="417" t="s">
        <v>3405</v>
      </c>
      <c r="C4704" s="417" t="s">
        <v>11874</v>
      </c>
      <c r="D4704" s="417" t="s">
        <v>88</v>
      </c>
      <c r="E4704" s="423">
        <v>11.699716447861279</v>
      </c>
      <c r="F4704" s="423">
        <v>0.67679636374493302</v>
      </c>
      <c r="G4704" s="422">
        <v>26201.682038115028</v>
      </c>
      <c r="H4704" s="417" t="s">
        <v>2616</v>
      </c>
      <c r="I4704" s="417" t="s">
        <v>1392</v>
      </c>
      <c r="J4704" s="417" t="s">
        <v>11866</v>
      </c>
      <c r="K4704" s="417" t="s">
        <v>11875</v>
      </c>
      <c r="L4704" s="417"/>
      <c r="M4704" s="417" t="s">
        <v>28840</v>
      </c>
    </row>
    <row r="4705" spans="1:13" x14ac:dyDescent="0.25">
      <c r="A4705" s="417" t="s">
        <v>3385</v>
      </c>
      <c r="B4705" s="417" t="s">
        <v>2627</v>
      </c>
      <c r="C4705" s="417" t="s">
        <v>11876</v>
      </c>
      <c r="D4705" s="417" t="s">
        <v>88</v>
      </c>
      <c r="E4705" s="423">
        <v>2.8762405784013061</v>
      </c>
      <c r="F4705" s="423">
        <v>0.15172804898932851</v>
      </c>
      <c r="G4705" s="422">
        <v>65339.517953877243</v>
      </c>
      <c r="H4705" s="417" t="s">
        <v>2616</v>
      </c>
      <c r="I4705" s="417" t="s">
        <v>1392</v>
      </c>
      <c r="J4705" s="417" t="s">
        <v>4294</v>
      </c>
      <c r="K4705" s="417" t="s">
        <v>11877</v>
      </c>
      <c r="L4705" s="417"/>
      <c r="M4705" s="417" t="s">
        <v>28840</v>
      </c>
    </row>
    <row r="4706" spans="1:13" x14ac:dyDescent="0.25">
      <c r="A4706" s="417" t="s">
        <v>3385</v>
      </c>
      <c r="B4706" s="417" t="s">
        <v>3405</v>
      </c>
      <c r="C4706" s="417" t="s">
        <v>11878</v>
      </c>
      <c r="D4706" s="417" t="s">
        <v>989</v>
      </c>
      <c r="E4706" s="423">
        <v>903.34613741866849</v>
      </c>
      <c r="F4706" s="423">
        <v>43.23159701452964</v>
      </c>
      <c r="G4706" s="422">
        <v>1915959.7279068581</v>
      </c>
      <c r="H4706" s="417" t="s">
        <v>2616</v>
      </c>
      <c r="I4706" s="417" t="s">
        <v>1392</v>
      </c>
      <c r="J4706" s="417" t="s">
        <v>10869</v>
      </c>
      <c r="K4706" s="417" t="s">
        <v>11879</v>
      </c>
      <c r="L4706" s="417"/>
      <c r="M4706" s="417" t="s">
        <v>28840</v>
      </c>
    </row>
    <row r="4707" spans="1:13" x14ac:dyDescent="0.25">
      <c r="A4707" s="417" t="s">
        <v>3385</v>
      </c>
      <c r="B4707" s="417" t="s">
        <v>2437</v>
      </c>
      <c r="C4707" s="417" t="s">
        <v>11880</v>
      </c>
      <c r="D4707" s="417" t="s">
        <v>88</v>
      </c>
      <c r="E4707" s="423">
        <v>3.73094663569701</v>
      </c>
      <c r="F4707" s="423">
        <v>0.2337715922039339</v>
      </c>
      <c r="G4707" s="422">
        <v>7124.4548288753431</v>
      </c>
      <c r="H4707" s="417" t="s">
        <v>2616</v>
      </c>
      <c r="I4707" s="417" t="s">
        <v>1392</v>
      </c>
      <c r="J4707" s="417" t="s">
        <v>3871</v>
      </c>
      <c r="K4707" s="417" t="s">
        <v>11881</v>
      </c>
      <c r="L4707" s="417"/>
      <c r="M4707" s="417" t="s">
        <v>28840</v>
      </c>
    </row>
    <row r="4708" spans="1:13" x14ac:dyDescent="0.25">
      <c r="A4708" s="417" t="s">
        <v>3385</v>
      </c>
      <c r="B4708" s="417" t="s">
        <v>3655</v>
      </c>
      <c r="C4708" s="417" t="s">
        <v>11882</v>
      </c>
      <c r="D4708" s="417" t="s">
        <v>88</v>
      </c>
      <c r="E4708" s="423">
        <v>0.15554976101532161</v>
      </c>
      <c r="F4708" s="423">
        <v>6.8408658757591044E-4</v>
      </c>
      <c r="G4708" s="422">
        <v>193.51473201041449</v>
      </c>
      <c r="H4708" s="417" t="s">
        <v>2616</v>
      </c>
      <c r="I4708" s="417" t="s">
        <v>1392</v>
      </c>
      <c r="J4708" s="417" t="s">
        <v>4549</v>
      </c>
      <c r="K4708" s="417" t="s">
        <v>11883</v>
      </c>
      <c r="L4708" s="417"/>
      <c r="M4708" s="417" t="s">
        <v>28840</v>
      </c>
    </row>
    <row r="4709" spans="1:13" x14ac:dyDescent="0.25">
      <c r="A4709" s="417" t="s">
        <v>3385</v>
      </c>
      <c r="B4709" s="417" t="s">
        <v>3655</v>
      </c>
      <c r="C4709" s="417" t="s">
        <v>11884</v>
      </c>
      <c r="D4709" s="417" t="s">
        <v>88</v>
      </c>
      <c r="E4709" s="423">
        <v>0.19748719660215619</v>
      </c>
      <c r="F4709" s="423">
        <v>8.6852170356383537E-4</v>
      </c>
      <c r="G4709" s="422">
        <v>245.68782161683819</v>
      </c>
      <c r="H4709" s="417" t="s">
        <v>2616</v>
      </c>
      <c r="I4709" s="417" t="s">
        <v>1392</v>
      </c>
      <c r="J4709" s="417" t="s">
        <v>4549</v>
      </c>
      <c r="K4709" s="417" t="s">
        <v>11885</v>
      </c>
      <c r="L4709" s="417"/>
      <c r="M4709" s="417" t="s">
        <v>28840</v>
      </c>
    </row>
    <row r="4710" spans="1:13" x14ac:dyDescent="0.25">
      <c r="A4710" s="417" t="s">
        <v>3385</v>
      </c>
      <c r="B4710" s="417" t="s">
        <v>3655</v>
      </c>
      <c r="C4710" s="417" t="s">
        <v>11886</v>
      </c>
      <c r="D4710" s="417" t="s">
        <v>88</v>
      </c>
      <c r="E4710" s="423">
        <v>1.890997095020967E-2</v>
      </c>
      <c r="F4710" s="423">
        <v>8.3163468232776014E-5</v>
      </c>
      <c r="G4710" s="422">
        <v>23.525320372489691</v>
      </c>
      <c r="H4710" s="417" t="s">
        <v>2616</v>
      </c>
      <c r="I4710" s="417" t="s">
        <v>1392</v>
      </c>
      <c r="J4710" s="417" t="s">
        <v>4549</v>
      </c>
      <c r="K4710" s="417" t="s">
        <v>11887</v>
      </c>
      <c r="L4710" s="417"/>
      <c r="M4710" s="417" t="s">
        <v>28840</v>
      </c>
    </row>
    <row r="4711" spans="1:13" x14ac:dyDescent="0.25">
      <c r="A4711" s="417" t="s">
        <v>3385</v>
      </c>
      <c r="B4711" s="417" t="s">
        <v>3405</v>
      </c>
      <c r="C4711" s="417" t="s">
        <v>11888</v>
      </c>
      <c r="D4711" s="417" t="s">
        <v>73</v>
      </c>
      <c r="E4711" s="423">
        <v>7.9244314160465332E-3</v>
      </c>
      <c r="F4711" s="423">
        <v>8.6272213282282892E-4</v>
      </c>
      <c r="G4711" s="422">
        <v>24.37440516014642</v>
      </c>
      <c r="H4711" s="417" t="s">
        <v>2616</v>
      </c>
      <c r="I4711" s="417" t="s">
        <v>1392</v>
      </c>
      <c r="J4711" s="417" t="s">
        <v>11889</v>
      </c>
      <c r="K4711" s="417" t="s">
        <v>11890</v>
      </c>
      <c r="L4711" s="417"/>
      <c r="M4711" s="417" t="s">
        <v>28840</v>
      </c>
    </row>
    <row r="4712" spans="1:13" x14ac:dyDescent="0.25">
      <c r="A4712" s="417" t="s">
        <v>3385</v>
      </c>
      <c r="B4712" s="417" t="s">
        <v>3405</v>
      </c>
      <c r="C4712" s="417" t="s">
        <v>11891</v>
      </c>
      <c r="D4712" s="417" t="s">
        <v>73</v>
      </c>
      <c r="E4712" s="423">
        <v>6.5267375394374152E-3</v>
      </c>
      <c r="F4712" s="423">
        <v>7.2808384983010031E-4</v>
      </c>
      <c r="G4712" s="422">
        <v>21.064233437277998</v>
      </c>
      <c r="H4712" s="417" t="s">
        <v>2616</v>
      </c>
      <c r="I4712" s="417" t="s">
        <v>1392</v>
      </c>
      <c r="J4712" s="417" t="s">
        <v>11889</v>
      </c>
      <c r="K4712" s="417" t="s">
        <v>11892</v>
      </c>
      <c r="L4712" s="417"/>
      <c r="M4712" s="417" t="s">
        <v>28840</v>
      </c>
    </row>
    <row r="4713" spans="1:13" x14ac:dyDescent="0.25">
      <c r="A4713" s="417" t="s">
        <v>3385</v>
      </c>
      <c r="B4713" s="417" t="s">
        <v>3405</v>
      </c>
      <c r="C4713" s="417" t="s">
        <v>11893</v>
      </c>
      <c r="D4713" s="417" t="s">
        <v>73</v>
      </c>
      <c r="E4713" s="423">
        <v>3.1082919248735089E-3</v>
      </c>
      <c r="F4713" s="423">
        <v>1.798777455180582E-4</v>
      </c>
      <c r="G4713" s="422">
        <v>10.279854596484929</v>
      </c>
      <c r="H4713" s="417" t="s">
        <v>2616</v>
      </c>
      <c r="I4713" s="417" t="s">
        <v>1392</v>
      </c>
      <c r="J4713" s="417" t="s">
        <v>3414</v>
      </c>
      <c r="K4713" s="417" t="s">
        <v>11894</v>
      </c>
      <c r="L4713" s="417"/>
      <c r="M4713" s="417" t="s">
        <v>28840</v>
      </c>
    </row>
    <row r="4714" spans="1:13" x14ac:dyDescent="0.25">
      <c r="A4714" s="417" t="s">
        <v>3385</v>
      </c>
      <c r="B4714" s="417" t="s">
        <v>3405</v>
      </c>
      <c r="C4714" s="417" t="s">
        <v>11895</v>
      </c>
      <c r="D4714" s="417" t="s">
        <v>73</v>
      </c>
      <c r="E4714" s="423">
        <v>3.886369976998762E-3</v>
      </c>
      <c r="F4714" s="423">
        <v>2.1448196149620271E-4</v>
      </c>
      <c r="G4714" s="422">
        <v>11.925921486327709</v>
      </c>
      <c r="H4714" s="417" t="s">
        <v>2616</v>
      </c>
      <c r="I4714" s="417" t="s">
        <v>1392</v>
      </c>
      <c r="J4714" s="417" t="s">
        <v>3414</v>
      </c>
      <c r="K4714" s="417" t="s">
        <v>11896</v>
      </c>
      <c r="L4714" s="417"/>
      <c r="M4714" s="417" t="s">
        <v>28840</v>
      </c>
    </row>
    <row r="4715" spans="1:13" x14ac:dyDescent="0.25">
      <c r="A4715" s="417" t="s">
        <v>3385</v>
      </c>
      <c r="B4715" s="417" t="s">
        <v>3405</v>
      </c>
      <c r="C4715" s="417" t="s">
        <v>11897</v>
      </c>
      <c r="D4715" s="417" t="s">
        <v>73</v>
      </c>
      <c r="E4715" s="423">
        <v>8.8473126855313569E-3</v>
      </c>
      <c r="F4715" s="423">
        <v>6.5065544135623626E-4</v>
      </c>
      <c r="G4715" s="422">
        <v>28.956625574523631</v>
      </c>
      <c r="H4715" s="417" t="s">
        <v>2616</v>
      </c>
      <c r="I4715" s="417" t="s">
        <v>1392</v>
      </c>
      <c r="J4715" s="417" t="s">
        <v>11889</v>
      </c>
      <c r="K4715" s="417" t="s">
        <v>11898</v>
      </c>
      <c r="L4715" s="417"/>
      <c r="M4715" s="417" t="s">
        <v>28840</v>
      </c>
    </row>
    <row r="4716" spans="1:13" x14ac:dyDescent="0.25">
      <c r="A4716" s="417" t="s">
        <v>3385</v>
      </c>
      <c r="B4716" s="417" t="s">
        <v>3405</v>
      </c>
      <c r="C4716" s="417" t="s">
        <v>11899</v>
      </c>
      <c r="D4716" s="417" t="s">
        <v>73</v>
      </c>
      <c r="E4716" s="423">
        <v>3.6814434095681411E-3</v>
      </c>
      <c r="F4716" s="423">
        <v>2.76968407693419E-4</v>
      </c>
      <c r="G4716" s="422">
        <v>13.60061048229255</v>
      </c>
      <c r="H4716" s="417" t="s">
        <v>2616</v>
      </c>
      <c r="I4716" s="417" t="s">
        <v>1392</v>
      </c>
      <c r="J4716" s="417" t="s">
        <v>11889</v>
      </c>
      <c r="K4716" s="417" t="s">
        <v>11900</v>
      </c>
      <c r="L4716" s="417"/>
      <c r="M4716" s="417" t="s">
        <v>28840</v>
      </c>
    </row>
    <row r="4717" spans="1:13" x14ac:dyDescent="0.25">
      <c r="A4717" s="417" t="s">
        <v>3385</v>
      </c>
      <c r="B4717" s="417" t="s">
        <v>3405</v>
      </c>
      <c r="C4717" s="417" t="s">
        <v>11901</v>
      </c>
      <c r="D4717" s="417" t="s">
        <v>73</v>
      </c>
      <c r="E4717" s="423">
        <v>3.7426651908245038E-3</v>
      </c>
      <c r="F4717" s="423">
        <v>2.5595813495281068E-4</v>
      </c>
      <c r="G4717" s="422">
        <v>12.198866713672061</v>
      </c>
      <c r="H4717" s="417" t="s">
        <v>2616</v>
      </c>
      <c r="I4717" s="417" t="s">
        <v>1392</v>
      </c>
      <c r="J4717" s="417" t="s">
        <v>11889</v>
      </c>
      <c r="K4717" s="417" t="s">
        <v>11902</v>
      </c>
      <c r="L4717" s="417"/>
      <c r="M4717" s="417" t="s">
        <v>28840</v>
      </c>
    </row>
    <row r="4718" spans="1:13" x14ac:dyDescent="0.25">
      <c r="A4718" s="417" t="s">
        <v>3385</v>
      </c>
      <c r="B4718" s="417" t="s">
        <v>3405</v>
      </c>
      <c r="C4718" s="417" t="s">
        <v>11903</v>
      </c>
      <c r="D4718" s="417" t="s">
        <v>73</v>
      </c>
      <c r="E4718" s="423">
        <v>3.8506284129955839E-3</v>
      </c>
      <c r="F4718" s="423">
        <v>2.7565049953636622E-4</v>
      </c>
      <c r="G4718" s="422">
        <v>13.964251055934479</v>
      </c>
      <c r="H4718" s="417" t="s">
        <v>2616</v>
      </c>
      <c r="I4718" s="417" t="s">
        <v>1392</v>
      </c>
      <c r="J4718" s="417" t="s">
        <v>11889</v>
      </c>
      <c r="K4718" s="417" t="s">
        <v>11904</v>
      </c>
      <c r="L4718" s="417"/>
      <c r="M4718" s="417" t="s">
        <v>28840</v>
      </c>
    </row>
    <row r="4719" spans="1:13" x14ac:dyDescent="0.25">
      <c r="A4719" s="417" t="s">
        <v>3385</v>
      </c>
      <c r="B4719" s="417" t="s">
        <v>3405</v>
      </c>
      <c r="C4719" s="417" t="s">
        <v>11905</v>
      </c>
      <c r="D4719" s="417" t="s">
        <v>73</v>
      </c>
      <c r="E4719" s="423">
        <v>3.5396661614924131E-3</v>
      </c>
      <c r="F4719" s="423">
        <v>2.5990933370912263E-4</v>
      </c>
      <c r="G4719" s="422">
        <v>13.23785462428468</v>
      </c>
      <c r="H4719" s="417" t="s">
        <v>2616</v>
      </c>
      <c r="I4719" s="417" t="s">
        <v>1392</v>
      </c>
      <c r="J4719" s="417" t="s">
        <v>11889</v>
      </c>
      <c r="K4719" s="417" t="s">
        <v>11906</v>
      </c>
      <c r="L4719" s="417"/>
      <c r="M4719" s="417" t="s">
        <v>28840</v>
      </c>
    </row>
    <row r="4720" spans="1:13" x14ac:dyDescent="0.25">
      <c r="A4720" s="417" t="s">
        <v>3385</v>
      </c>
      <c r="B4720" s="417" t="s">
        <v>3405</v>
      </c>
      <c r="C4720" s="417" t="s">
        <v>11907</v>
      </c>
      <c r="D4720" s="417" t="s">
        <v>73</v>
      </c>
      <c r="E4720" s="423">
        <v>9.8661925132918268E-3</v>
      </c>
      <c r="F4720" s="423">
        <v>7.85078430617913E-4</v>
      </c>
      <c r="G4720" s="422">
        <v>31.861474833459841</v>
      </c>
      <c r="H4720" s="417" t="s">
        <v>2616</v>
      </c>
      <c r="I4720" s="417" t="s">
        <v>1392</v>
      </c>
      <c r="J4720" s="417" t="s">
        <v>11889</v>
      </c>
      <c r="K4720" s="417" t="s">
        <v>11908</v>
      </c>
      <c r="L4720" s="417"/>
      <c r="M4720" s="417" t="s">
        <v>28840</v>
      </c>
    </row>
    <row r="4721" spans="1:13" x14ac:dyDescent="0.25">
      <c r="A4721" s="417" t="s">
        <v>3385</v>
      </c>
      <c r="B4721" s="417" t="s">
        <v>3405</v>
      </c>
      <c r="C4721" s="417" t="s">
        <v>11909</v>
      </c>
      <c r="D4721" s="417" t="s">
        <v>73</v>
      </c>
      <c r="E4721" s="423">
        <v>2.9700925544573239E-3</v>
      </c>
      <c r="F4721" s="423">
        <v>2.8388863987305281E-4</v>
      </c>
      <c r="G4721" s="422">
        <v>13.01810212054265</v>
      </c>
      <c r="H4721" s="417" t="s">
        <v>2616</v>
      </c>
      <c r="I4721" s="417" t="s">
        <v>1392</v>
      </c>
      <c r="J4721" s="417" t="s">
        <v>11889</v>
      </c>
      <c r="K4721" s="417" t="s">
        <v>11910</v>
      </c>
      <c r="L4721" s="417"/>
      <c r="M4721" s="417" t="s">
        <v>28840</v>
      </c>
    </row>
    <row r="4722" spans="1:13" x14ac:dyDescent="0.25">
      <c r="A4722" s="417" t="s">
        <v>3385</v>
      </c>
      <c r="B4722" s="417" t="s">
        <v>3405</v>
      </c>
      <c r="C4722" s="417" t="s">
        <v>11911</v>
      </c>
      <c r="D4722" s="417" t="s">
        <v>73</v>
      </c>
      <c r="E4722" s="423">
        <v>3.7477133095433712E-2</v>
      </c>
      <c r="F4722" s="423">
        <v>3.603389641964994E-3</v>
      </c>
      <c r="G4722" s="422">
        <v>70.844705925142222</v>
      </c>
      <c r="H4722" s="417" t="s">
        <v>2616</v>
      </c>
      <c r="I4722" s="417" t="s">
        <v>1392</v>
      </c>
      <c r="J4722" s="417" t="s">
        <v>11912</v>
      </c>
      <c r="K4722" s="417" t="s">
        <v>11913</v>
      </c>
      <c r="L4722" s="417"/>
      <c r="M4722" s="417" t="s">
        <v>28840</v>
      </c>
    </row>
    <row r="4723" spans="1:13" x14ac:dyDescent="0.25">
      <c r="A4723" s="417" t="s">
        <v>3385</v>
      </c>
      <c r="B4723" s="417" t="s">
        <v>3405</v>
      </c>
      <c r="C4723" s="417" t="s">
        <v>11914</v>
      </c>
      <c r="D4723" s="417" t="s">
        <v>73</v>
      </c>
      <c r="E4723" s="423">
        <v>4.0434513024238733E-3</v>
      </c>
      <c r="F4723" s="423">
        <v>5.4436129750094937E-4</v>
      </c>
      <c r="G4723" s="422">
        <v>12.002780034300921</v>
      </c>
      <c r="H4723" s="417" t="s">
        <v>2616</v>
      </c>
      <c r="I4723" s="417" t="s">
        <v>1392</v>
      </c>
      <c r="J4723" s="417" t="s">
        <v>4326</v>
      </c>
      <c r="K4723" s="417" t="s">
        <v>11915</v>
      </c>
      <c r="L4723" s="417"/>
      <c r="M4723" s="417" t="s">
        <v>28840</v>
      </c>
    </row>
    <row r="4724" spans="1:13" x14ac:dyDescent="0.25">
      <c r="A4724" s="417" t="s">
        <v>3385</v>
      </c>
      <c r="B4724" s="417" t="s">
        <v>3405</v>
      </c>
      <c r="C4724" s="417" t="s">
        <v>11916</v>
      </c>
      <c r="D4724" s="417" t="s">
        <v>73</v>
      </c>
      <c r="E4724" s="423">
        <v>4.5443459796275596E-3</v>
      </c>
      <c r="F4724" s="423">
        <v>8.4088939863904261E-4</v>
      </c>
      <c r="G4724" s="422">
        <v>14.44420577589538</v>
      </c>
      <c r="H4724" s="417" t="s">
        <v>2616</v>
      </c>
      <c r="I4724" s="417" t="s">
        <v>1392</v>
      </c>
      <c r="J4724" s="417" t="s">
        <v>4326</v>
      </c>
      <c r="K4724" s="417" t="s">
        <v>11917</v>
      </c>
      <c r="L4724" s="417"/>
      <c r="M4724" s="417" t="s">
        <v>28840</v>
      </c>
    </row>
    <row r="4725" spans="1:13" x14ac:dyDescent="0.25">
      <c r="A4725" s="417" t="s">
        <v>3385</v>
      </c>
      <c r="B4725" s="417" t="s">
        <v>3405</v>
      </c>
      <c r="C4725" s="417" t="s">
        <v>11918</v>
      </c>
      <c r="D4725" s="417" t="s">
        <v>73</v>
      </c>
      <c r="E4725" s="423">
        <v>8.3645539308885592E-3</v>
      </c>
      <c r="F4725" s="423">
        <v>1.305125952767434E-3</v>
      </c>
      <c r="G4725" s="422">
        <v>32.692059049825197</v>
      </c>
      <c r="H4725" s="417" t="s">
        <v>2616</v>
      </c>
      <c r="I4725" s="417" t="s">
        <v>1392</v>
      </c>
      <c r="J4725" s="417" t="s">
        <v>4326</v>
      </c>
      <c r="K4725" s="417" t="s">
        <v>11919</v>
      </c>
      <c r="L4725" s="417"/>
      <c r="M4725" s="417" t="s">
        <v>28840</v>
      </c>
    </row>
    <row r="4726" spans="1:13" x14ac:dyDescent="0.25">
      <c r="A4726" s="417" t="s">
        <v>3385</v>
      </c>
      <c r="B4726" s="417" t="s">
        <v>3405</v>
      </c>
      <c r="C4726" s="417" t="s">
        <v>11920</v>
      </c>
      <c r="D4726" s="417" t="s">
        <v>73</v>
      </c>
      <c r="E4726" s="423">
        <v>1.1701195376091969E-2</v>
      </c>
      <c r="F4726" s="423">
        <v>2.1009099355262539E-3</v>
      </c>
      <c r="G4726" s="422">
        <v>48.710935215273487</v>
      </c>
      <c r="H4726" s="417" t="s">
        <v>2616</v>
      </c>
      <c r="I4726" s="417" t="s">
        <v>1392</v>
      </c>
      <c r="J4726" s="417" t="s">
        <v>4326</v>
      </c>
      <c r="K4726" s="417" t="s">
        <v>11921</v>
      </c>
      <c r="L4726" s="417"/>
      <c r="M4726" s="417" t="s">
        <v>28840</v>
      </c>
    </row>
    <row r="4727" spans="1:13" x14ac:dyDescent="0.25">
      <c r="A4727" s="417" t="s">
        <v>3385</v>
      </c>
      <c r="B4727" s="417" t="s">
        <v>3405</v>
      </c>
      <c r="C4727" s="417" t="s">
        <v>11922</v>
      </c>
      <c r="D4727" s="417" t="s">
        <v>73</v>
      </c>
      <c r="E4727" s="423">
        <v>3.9187427933296713E-3</v>
      </c>
      <c r="F4727" s="423">
        <v>5.0836054430938317E-4</v>
      </c>
      <c r="G4727" s="422">
        <v>11.372843915412229</v>
      </c>
      <c r="H4727" s="417" t="s">
        <v>2616</v>
      </c>
      <c r="I4727" s="417" t="s">
        <v>1392</v>
      </c>
      <c r="J4727" s="417" t="s">
        <v>4326</v>
      </c>
      <c r="K4727" s="417" t="s">
        <v>11923</v>
      </c>
      <c r="L4727" s="417"/>
      <c r="M4727" s="417" t="s">
        <v>28840</v>
      </c>
    </row>
    <row r="4728" spans="1:13" x14ac:dyDescent="0.25">
      <c r="A4728" s="417" t="s">
        <v>3385</v>
      </c>
      <c r="B4728" s="417" t="s">
        <v>3405</v>
      </c>
      <c r="C4728" s="417" t="s">
        <v>11924</v>
      </c>
      <c r="D4728" s="417" t="s">
        <v>73</v>
      </c>
      <c r="E4728" s="423">
        <v>4.3730212804484912E-3</v>
      </c>
      <c r="F4728" s="423">
        <v>7.7729200490666965E-4</v>
      </c>
      <c r="G4728" s="422">
        <v>13.587046730609799</v>
      </c>
      <c r="H4728" s="417" t="s">
        <v>2616</v>
      </c>
      <c r="I4728" s="417" t="s">
        <v>1392</v>
      </c>
      <c r="J4728" s="417" t="s">
        <v>4326</v>
      </c>
      <c r="K4728" s="417" t="s">
        <v>11925</v>
      </c>
      <c r="L4728" s="417"/>
      <c r="M4728" s="417" t="s">
        <v>28840</v>
      </c>
    </row>
    <row r="4729" spans="1:13" x14ac:dyDescent="0.25">
      <c r="A4729" s="417" t="s">
        <v>3385</v>
      </c>
      <c r="B4729" s="417" t="s">
        <v>3405</v>
      </c>
      <c r="C4729" s="417" t="s">
        <v>11926</v>
      </c>
      <c r="D4729" s="417" t="s">
        <v>73</v>
      </c>
      <c r="E4729" s="423">
        <v>8.0827023968930885E-3</v>
      </c>
      <c r="F4729" s="423">
        <v>1.241458914030625E-3</v>
      </c>
      <c r="G4729" s="422">
        <v>31.309727897167701</v>
      </c>
      <c r="H4729" s="417" t="s">
        <v>2616</v>
      </c>
      <c r="I4729" s="417" t="s">
        <v>1392</v>
      </c>
      <c r="J4729" s="417" t="s">
        <v>4326</v>
      </c>
      <c r="K4729" s="417" t="s">
        <v>11927</v>
      </c>
      <c r="L4729" s="417"/>
      <c r="M4729" s="417" t="s">
        <v>28840</v>
      </c>
    </row>
    <row r="4730" spans="1:13" x14ac:dyDescent="0.25">
      <c r="A4730" s="417" t="s">
        <v>3385</v>
      </c>
      <c r="B4730" s="417" t="s">
        <v>3405</v>
      </c>
      <c r="C4730" s="417" t="s">
        <v>11928</v>
      </c>
      <c r="D4730" s="417" t="s">
        <v>73</v>
      </c>
      <c r="E4730" s="423">
        <v>1.110881646041518E-2</v>
      </c>
      <c r="F4730" s="423">
        <v>1.9631825873767089E-3</v>
      </c>
      <c r="G4730" s="422">
        <v>45.837784022055097</v>
      </c>
      <c r="H4730" s="417" t="s">
        <v>2616</v>
      </c>
      <c r="I4730" s="417" t="s">
        <v>1392</v>
      </c>
      <c r="J4730" s="417" t="s">
        <v>4326</v>
      </c>
      <c r="K4730" s="417" t="s">
        <v>11929</v>
      </c>
      <c r="L4730" s="417"/>
      <c r="M4730" s="417" t="s">
        <v>28840</v>
      </c>
    </row>
    <row r="4731" spans="1:13" x14ac:dyDescent="0.25">
      <c r="A4731" s="417" t="s">
        <v>3385</v>
      </c>
      <c r="B4731" s="417" t="s">
        <v>3405</v>
      </c>
      <c r="C4731" s="417" t="s">
        <v>11930</v>
      </c>
      <c r="D4731" s="417" t="s">
        <v>73</v>
      </c>
      <c r="E4731" s="423">
        <v>1.187587051635558E-2</v>
      </c>
      <c r="F4731" s="423">
        <v>2.1461238226658831E-3</v>
      </c>
      <c r="G4731" s="422">
        <v>49.520345260610647</v>
      </c>
      <c r="H4731" s="417" t="s">
        <v>2616</v>
      </c>
      <c r="I4731" s="417" t="s">
        <v>1392</v>
      </c>
      <c r="J4731" s="417" t="s">
        <v>4326</v>
      </c>
      <c r="K4731" s="417" t="s">
        <v>11931</v>
      </c>
      <c r="L4731" s="417"/>
      <c r="M4731" s="417" t="s">
        <v>28840</v>
      </c>
    </row>
    <row r="4732" spans="1:13" x14ac:dyDescent="0.25">
      <c r="A4732" s="417" t="s">
        <v>3385</v>
      </c>
      <c r="B4732" s="417" t="s">
        <v>3405</v>
      </c>
      <c r="C4732" s="417" t="s">
        <v>11932</v>
      </c>
      <c r="D4732" s="417" t="s">
        <v>73</v>
      </c>
      <c r="E4732" s="423">
        <v>4.3812915872489307E-3</v>
      </c>
      <c r="F4732" s="423">
        <v>5.3641370650805249E-4</v>
      </c>
      <c r="G4732" s="422">
        <v>12.01182751004426</v>
      </c>
      <c r="H4732" s="417" t="s">
        <v>2616</v>
      </c>
      <c r="I4732" s="417" t="s">
        <v>1392</v>
      </c>
      <c r="J4732" s="417" t="s">
        <v>4326</v>
      </c>
      <c r="K4732" s="417" t="s">
        <v>11933</v>
      </c>
      <c r="L4732" s="417"/>
      <c r="M4732" s="417" t="s">
        <v>28840</v>
      </c>
    </row>
    <row r="4733" spans="1:13" x14ac:dyDescent="0.25">
      <c r="A4733" s="417" t="s">
        <v>3385</v>
      </c>
      <c r="B4733" s="417" t="s">
        <v>3405</v>
      </c>
      <c r="C4733" s="417" t="s">
        <v>11934</v>
      </c>
      <c r="D4733" s="417" t="s">
        <v>73</v>
      </c>
      <c r="E4733" s="423">
        <v>9.6338979485085657E-3</v>
      </c>
      <c r="F4733" s="423">
        <v>1.3510632863200291E-3</v>
      </c>
      <c r="G4733" s="422">
        <v>34.787222447474242</v>
      </c>
      <c r="H4733" s="417" t="s">
        <v>2616</v>
      </c>
      <c r="I4733" s="417" t="s">
        <v>1392</v>
      </c>
      <c r="J4733" s="417" t="s">
        <v>4326</v>
      </c>
      <c r="K4733" s="417" t="s">
        <v>11935</v>
      </c>
      <c r="L4733" s="417"/>
      <c r="M4733" s="417" t="s">
        <v>28840</v>
      </c>
    </row>
    <row r="4734" spans="1:13" x14ac:dyDescent="0.25">
      <c r="A4734" s="417" t="s">
        <v>3385</v>
      </c>
      <c r="B4734" s="417" t="s">
        <v>3405</v>
      </c>
      <c r="C4734" s="417" t="s">
        <v>11936</v>
      </c>
      <c r="D4734" s="417" t="s">
        <v>73</v>
      </c>
      <c r="E4734" s="423">
        <v>1.6465898959038879E-2</v>
      </c>
      <c r="F4734" s="423">
        <v>3.0011735234788079E-2</v>
      </c>
      <c r="G4734" s="422">
        <v>22.387095031688901</v>
      </c>
      <c r="H4734" s="417" t="s">
        <v>2616</v>
      </c>
      <c r="I4734" s="417" t="s">
        <v>1392</v>
      </c>
      <c r="J4734" s="417" t="s">
        <v>4254</v>
      </c>
      <c r="K4734" s="417" t="s">
        <v>11937</v>
      </c>
      <c r="L4734" s="417"/>
      <c r="M4734" s="417" t="s">
        <v>28840</v>
      </c>
    </row>
    <row r="4735" spans="1:13" x14ac:dyDescent="0.25">
      <c r="A4735" s="417" t="s">
        <v>3385</v>
      </c>
      <c r="B4735" s="417" t="s">
        <v>3405</v>
      </c>
      <c r="C4735" s="417" t="s">
        <v>11938</v>
      </c>
      <c r="D4735" s="417" t="s">
        <v>73</v>
      </c>
      <c r="E4735" s="423">
        <v>3.135904145818752E-2</v>
      </c>
      <c r="F4735" s="423">
        <v>5.7156870217939207E-2</v>
      </c>
      <c r="G4735" s="422">
        <v>42.635864985218781</v>
      </c>
      <c r="H4735" s="417" t="s">
        <v>2616</v>
      </c>
      <c r="I4735" s="417" t="s">
        <v>1392</v>
      </c>
      <c r="J4735" s="417" t="s">
        <v>4254</v>
      </c>
      <c r="K4735" s="417" t="s">
        <v>11939</v>
      </c>
      <c r="L4735" s="417"/>
      <c r="M4735" s="417" t="s">
        <v>28840</v>
      </c>
    </row>
    <row r="4736" spans="1:13" x14ac:dyDescent="0.25">
      <c r="A4736" s="417" t="s">
        <v>3385</v>
      </c>
      <c r="B4736" s="417" t="s">
        <v>3405</v>
      </c>
      <c r="C4736" s="417" t="s">
        <v>11940</v>
      </c>
      <c r="D4736" s="417" t="s">
        <v>73</v>
      </c>
      <c r="E4736" s="423">
        <v>3.5304632370127709E-2</v>
      </c>
      <c r="F4736" s="423">
        <v>8.3632251657698943E-4</v>
      </c>
      <c r="G4736" s="422">
        <v>47.979911093981329</v>
      </c>
      <c r="H4736" s="417" t="s">
        <v>2616</v>
      </c>
      <c r="I4736" s="417" t="s">
        <v>1392</v>
      </c>
      <c r="J4736" s="417" t="s">
        <v>5786</v>
      </c>
      <c r="K4736" s="417" t="s">
        <v>11941</v>
      </c>
      <c r="L4736" s="417"/>
      <c r="M4736" s="417" t="s">
        <v>28840</v>
      </c>
    </row>
    <row r="4737" spans="1:13" x14ac:dyDescent="0.25">
      <c r="A4737" s="417" t="s">
        <v>3385</v>
      </c>
      <c r="B4737" s="417" t="s">
        <v>3405</v>
      </c>
      <c r="C4737" s="417" t="s">
        <v>11942</v>
      </c>
      <c r="D4737" s="417" t="s">
        <v>73</v>
      </c>
      <c r="E4737" s="423">
        <v>8.1382891493286133E-2</v>
      </c>
      <c r="F4737" s="423">
        <v>1.927858755379101E-3</v>
      </c>
      <c r="G4737" s="422">
        <v>110.601460379174</v>
      </c>
      <c r="H4737" s="417" t="s">
        <v>2616</v>
      </c>
      <c r="I4737" s="417" t="s">
        <v>1392</v>
      </c>
      <c r="J4737" s="417" t="s">
        <v>5786</v>
      </c>
      <c r="K4737" s="417" t="s">
        <v>11943</v>
      </c>
      <c r="L4737" s="417"/>
      <c r="M4737" s="417" t="s">
        <v>28840</v>
      </c>
    </row>
    <row r="4738" spans="1:13" x14ac:dyDescent="0.25">
      <c r="A4738" s="417" t="s">
        <v>3385</v>
      </c>
      <c r="B4738" s="417" t="s">
        <v>3405</v>
      </c>
      <c r="C4738" s="417" t="s">
        <v>11944</v>
      </c>
      <c r="D4738" s="417" t="s">
        <v>73</v>
      </c>
      <c r="E4738" s="423">
        <v>3.1656057084795103E-2</v>
      </c>
      <c r="F4738" s="423">
        <v>1.509020881279569E-4</v>
      </c>
      <c r="G4738" s="422">
        <v>40.654447331423043</v>
      </c>
      <c r="H4738" s="417" t="s">
        <v>2616</v>
      </c>
      <c r="I4738" s="417" t="s">
        <v>1392</v>
      </c>
      <c r="J4738" s="417" t="s">
        <v>11945</v>
      </c>
      <c r="K4738" s="417" t="s">
        <v>11946</v>
      </c>
      <c r="L4738" s="417"/>
      <c r="M4738" s="417" t="s">
        <v>28840</v>
      </c>
    </row>
    <row r="4739" spans="1:13" x14ac:dyDescent="0.25">
      <c r="A4739" s="417" t="s">
        <v>3385</v>
      </c>
      <c r="B4739" s="417" t="s">
        <v>3405</v>
      </c>
      <c r="C4739" s="417" t="s">
        <v>11947</v>
      </c>
      <c r="D4739" s="417" t="s">
        <v>73</v>
      </c>
      <c r="E4739" s="423">
        <v>6.0288454919895831E-2</v>
      </c>
      <c r="F4739" s="423">
        <v>2.8739061623007971E-4</v>
      </c>
      <c r="G4739" s="422">
        <v>77.425745390499173</v>
      </c>
      <c r="H4739" s="417" t="s">
        <v>2616</v>
      </c>
      <c r="I4739" s="417" t="s">
        <v>1392</v>
      </c>
      <c r="J4739" s="417" t="s">
        <v>11945</v>
      </c>
      <c r="K4739" s="417" t="s">
        <v>11948</v>
      </c>
      <c r="L4739" s="417"/>
      <c r="M4739" s="417" t="s">
        <v>28840</v>
      </c>
    </row>
    <row r="4740" spans="1:13" x14ac:dyDescent="0.25">
      <c r="A4740" s="417" t="s">
        <v>3385</v>
      </c>
      <c r="B4740" s="417" t="s">
        <v>3405</v>
      </c>
      <c r="C4740" s="417" t="s">
        <v>11949</v>
      </c>
      <c r="D4740" s="417" t="s">
        <v>73</v>
      </c>
      <c r="E4740" s="423">
        <v>1.5418304347693691E-4</v>
      </c>
      <c r="F4740" s="423">
        <v>5.0946300741515756E-6</v>
      </c>
      <c r="G4740" s="422">
        <v>0.29124436846130808</v>
      </c>
      <c r="H4740" s="417" t="s">
        <v>2616</v>
      </c>
      <c r="I4740" s="417" t="s">
        <v>1392</v>
      </c>
      <c r="J4740" s="417" t="s">
        <v>11945</v>
      </c>
      <c r="K4740" s="417" t="s">
        <v>11950</v>
      </c>
      <c r="L4740" s="417"/>
      <c r="M4740" s="417" t="s">
        <v>28840</v>
      </c>
    </row>
    <row r="4741" spans="1:13" x14ac:dyDescent="0.25">
      <c r="A4741" s="417" t="s">
        <v>3385</v>
      </c>
      <c r="B4741" s="417" t="s">
        <v>3405</v>
      </c>
      <c r="C4741" s="417" t="s">
        <v>11951</v>
      </c>
      <c r="D4741" s="417" t="s">
        <v>73</v>
      </c>
      <c r="E4741" s="423">
        <v>0.1017769631561519</v>
      </c>
      <c r="F4741" s="423">
        <v>4.5574620901981251E-4</v>
      </c>
      <c r="G4741" s="422">
        <v>127.1014493538004</v>
      </c>
      <c r="H4741" s="417" t="s">
        <v>2616</v>
      </c>
      <c r="I4741" s="417" t="s">
        <v>1392</v>
      </c>
      <c r="J4741" s="417" t="s">
        <v>11945</v>
      </c>
      <c r="K4741" s="417" t="s">
        <v>11952</v>
      </c>
      <c r="L4741" s="417"/>
      <c r="M4741" s="417" t="s">
        <v>28840</v>
      </c>
    </row>
    <row r="4742" spans="1:13" x14ac:dyDescent="0.25">
      <c r="A4742" s="417" t="s">
        <v>3385</v>
      </c>
      <c r="B4742" s="417" t="s">
        <v>3405</v>
      </c>
      <c r="C4742" s="417" t="s">
        <v>11953</v>
      </c>
      <c r="D4742" s="417" t="s">
        <v>73</v>
      </c>
      <c r="E4742" s="423">
        <v>3.826317607461948E-2</v>
      </c>
      <c r="F4742" s="423">
        <v>1.7409034757191801E-4</v>
      </c>
      <c r="G4742" s="422">
        <v>47.845594337680687</v>
      </c>
      <c r="H4742" s="417" t="s">
        <v>2616</v>
      </c>
      <c r="I4742" s="417" t="s">
        <v>1392</v>
      </c>
      <c r="J4742" s="417" t="s">
        <v>11945</v>
      </c>
      <c r="K4742" s="417" t="s">
        <v>11954</v>
      </c>
      <c r="L4742" s="417"/>
      <c r="M4742" s="417" t="s">
        <v>28840</v>
      </c>
    </row>
    <row r="4743" spans="1:13" x14ac:dyDescent="0.25">
      <c r="A4743" s="417" t="s">
        <v>3385</v>
      </c>
      <c r="B4743" s="417" t="s">
        <v>3405</v>
      </c>
      <c r="C4743" s="417" t="s">
        <v>11955</v>
      </c>
      <c r="D4743" s="417" t="s">
        <v>73</v>
      </c>
      <c r="E4743" s="423">
        <v>0.15894382011622771</v>
      </c>
      <c r="F4743" s="423">
        <v>7.092372266929611E-4</v>
      </c>
      <c r="G4743" s="422">
        <v>198.4362067254435</v>
      </c>
      <c r="H4743" s="417" t="s">
        <v>2616</v>
      </c>
      <c r="I4743" s="417" t="s">
        <v>1392</v>
      </c>
      <c r="J4743" s="417" t="s">
        <v>11945</v>
      </c>
      <c r="K4743" s="417" t="s">
        <v>11956</v>
      </c>
      <c r="L4743" s="417"/>
      <c r="M4743" s="417" t="s">
        <v>28840</v>
      </c>
    </row>
    <row r="4744" spans="1:13" x14ac:dyDescent="0.25">
      <c r="A4744" s="417" t="s">
        <v>3385</v>
      </c>
      <c r="B4744" s="417" t="s">
        <v>3405</v>
      </c>
      <c r="C4744" s="417" t="s">
        <v>11957</v>
      </c>
      <c r="D4744" s="417" t="s">
        <v>73</v>
      </c>
      <c r="E4744" s="423">
        <v>5.5729154421446922E-2</v>
      </c>
      <c r="F4744" s="423">
        <v>2.515461348198943E-4</v>
      </c>
      <c r="G4744" s="422">
        <v>69.640652898434155</v>
      </c>
      <c r="H4744" s="417" t="s">
        <v>2616</v>
      </c>
      <c r="I4744" s="417" t="s">
        <v>1392</v>
      </c>
      <c r="J4744" s="417" t="s">
        <v>11945</v>
      </c>
      <c r="K4744" s="417" t="s">
        <v>11958</v>
      </c>
      <c r="L4744" s="417"/>
      <c r="M4744" s="417" t="s">
        <v>28840</v>
      </c>
    </row>
    <row r="4745" spans="1:13" x14ac:dyDescent="0.25">
      <c r="A4745" s="417" t="s">
        <v>3385</v>
      </c>
      <c r="B4745" s="417" t="s">
        <v>3405</v>
      </c>
      <c r="C4745" s="417" t="s">
        <v>11959</v>
      </c>
      <c r="D4745" s="417" t="s">
        <v>73</v>
      </c>
      <c r="E4745" s="423">
        <v>3.2673720918628399E-2</v>
      </c>
      <c r="F4745" s="423">
        <v>1.4882340897490071E-4</v>
      </c>
      <c r="G4745" s="422">
        <v>40.860063261296638</v>
      </c>
      <c r="H4745" s="417" t="s">
        <v>2616</v>
      </c>
      <c r="I4745" s="417" t="s">
        <v>1392</v>
      </c>
      <c r="J4745" s="417" t="s">
        <v>11945</v>
      </c>
      <c r="K4745" s="417" t="s">
        <v>11960</v>
      </c>
      <c r="L4745" s="417"/>
      <c r="M4745" s="417" t="s">
        <v>28840</v>
      </c>
    </row>
    <row r="4746" spans="1:13" x14ac:dyDescent="0.25">
      <c r="A4746" s="417" t="s">
        <v>3385</v>
      </c>
      <c r="B4746" s="417" t="s">
        <v>3405</v>
      </c>
      <c r="C4746" s="417" t="s">
        <v>11961</v>
      </c>
      <c r="D4746" s="417" t="s">
        <v>73</v>
      </c>
      <c r="E4746" s="423">
        <v>2.938055020722144E-2</v>
      </c>
      <c r="F4746" s="423">
        <v>9.9840939169002177E-5</v>
      </c>
      <c r="G4746" s="422">
        <v>36.951410194608478</v>
      </c>
      <c r="H4746" s="417" t="s">
        <v>2616</v>
      </c>
      <c r="I4746" s="417" t="s">
        <v>1392</v>
      </c>
      <c r="J4746" s="417" t="s">
        <v>11945</v>
      </c>
      <c r="K4746" s="417" t="s">
        <v>11962</v>
      </c>
      <c r="L4746" s="417"/>
      <c r="M4746" s="417" t="s">
        <v>28840</v>
      </c>
    </row>
    <row r="4747" spans="1:13" x14ac:dyDescent="0.25">
      <c r="A4747" s="417" t="s">
        <v>3385</v>
      </c>
      <c r="B4747" s="417" t="s">
        <v>3405</v>
      </c>
      <c r="C4747" s="417" t="s">
        <v>11963</v>
      </c>
      <c r="D4747" s="417" t="s">
        <v>73</v>
      </c>
      <c r="E4747" s="423">
        <v>0.1831251762637558</v>
      </c>
      <c r="F4747" s="423">
        <v>6.0753552465393366E-4</v>
      </c>
      <c r="G4747" s="422">
        <v>229.999935896458</v>
      </c>
      <c r="H4747" s="417" t="s">
        <v>2616</v>
      </c>
      <c r="I4747" s="417" t="s">
        <v>1392</v>
      </c>
      <c r="J4747" s="417" t="s">
        <v>11945</v>
      </c>
      <c r="K4747" s="417" t="s">
        <v>11964</v>
      </c>
      <c r="L4747" s="417"/>
      <c r="M4747" s="417" t="s">
        <v>28840</v>
      </c>
    </row>
    <row r="4748" spans="1:13" x14ac:dyDescent="0.25">
      <c r="A4748" s="417" t="s">
        <v>3385</v>
      </c>
      <c r="B4748" s="417" t="s">
        <v>3405</v>
      </c>
      <c r="C4748" s="417" t="s">
        <v>11965</v>
      </c>
      <c r="D4748" s="417" t="s">
        <v>73</v>
      </c>
      <c r="E4748" s="423">
        <v>1.411889805657391E-2</v>
      </c>
      <c r="F4748" s="423">
        <v>2.650234287550977E-2</v>
      </c>
      <c r="G4748" s="422">
        <v>18.412275255552871</v>
      </c>
      <c r="H4748" s="417" t="s">
        <v>2616</v>
      </c>
      <c r="I4748" s="417" t="s">
        <v>1392</v>
      </c>
      <c r="J4748" s="417" t="s">
        <v>4254</v>
      </c>
      <c r="K4748" s="417" t="s">
        <v>11966</v>
      </c>
      <c r="L4748" s="417"/>
      <c r="M4748" s="417" t="s">
        <v>28840</v>
      </c>
    </row>
    <row r="4749" spans="1:13" x14ac:dyDescent="0.25">
      <c r="A4749" s="417" t="s">
        <v>3385</v>
      </c>
      <c r="B4749" s="417" t="s">
        <v>3405</v>
      </c>
      <c r="C4749" s="417" t="s">
        <v>11967</v>
      </c>
      <c r="D4749" s="417" t="s">
        <v>73</v>
      </c>
      <c r="E4749" s="423">
        <v>2.6834505339706809E-2</v>
      </c>
      <c r="F4749" s="423">
        <v>5.0370592486234197E-2</v>
      </c>
      <c r="G4749" s="422">
        <v>34.994537153221941</v>
      </c>
      <c r="H4749" s="417" t="s">
        <v>2616</v>
      </c>
      <c r="I4749" s="417" t="s">
        <v>1392</v>
      </c>
      <c r="J4749" s="417" t="s">
        <v>4254</v>
      </c>
      <c r="K4749" s="417" t="s">
        <v>11968</v>
      </c>
      <c r="L4749" s="417"/>
      <c r="M4749" s="417" t="s">
        <v>28840</v>
      </c>
    </row>
    <row r="4750" spans="1:13" x14ac:dyDescent="0.25">
      <c r="A4750" s="417" t="s">
        <v>3385</v>
      </c>
      <c r="B4750" s="417" t="s">
        <v>3405</v>
      </c>
      <c r="C4750" s="417" t="s">
        <v>11969</v>
      </c>
      <c r="D4750" s="417" t="s">
        <v>73</v>
      </c>
      <c r="E4750" s="423">
        <v>3.2003431218406889E-2</v>
      </c>
      <c r="F4750" s="423">
        <v>7.5646776921695492E-4</v>
      </c>
      <c r="G4750" s="422">
        <v>42.733176798801949</v>
      </c>
      <c r="H4750" s="417" t="s">
        <v>2616</v>
      </c>
      <c r="I4750" s="417" t="s">
        <v>1392</v>
      </c>
      <c r="J4750" s="417" t="s">
        <v>5786</v>
      </c>
      <c r="K4750" s="417" t="s">
        <v>11970</v>
      </c>
      <c r="L4750" s="417"/>
      <c r="M4750" s="417" t="s">
        <v>28840</v>
      </c>
    </row>
    <row r="4751" spans="1:13" x14ac:dyDescent="0.25">
      <c r="A4751" s="417" t="s">
        <v>3385</v>
      </c>
      <c r="B4751" s="417" t="s">
        <v>3405</v>
      </c>
      <c r="C4751" s="417" t="s">
        <v>11971</v>
      </c>
      <c r="D4751" s="417" t="s">
        <v>73</v>
      </c>
      <c r="E4751" s="423">
        <v>7.3089779690605358E-2</v>
      </c>
      <c r="F4751" s="423">
        <v>1.727629210062575E-3</v>
      </c>
      <c r="G4751" s="422">
        <v>97.594487806700954</v>
      </c>
      <c r="H4751" s="417" t="s">
        <v>2616</v>
      </c>
      <c r="I4751" s="417" t="s">
        <v>1392</v>
      </c>
      <c r="J4751" s="417" t="s">
        <v>5786</v>
      </c>
      <c r="K4751" s="417" t="s">
        <v>11972</v>
      </c>
      <c r="L4751" s="417"/>
      <c r="M4751" s="417" t="s">
        <v>28840</v>
      </c>
    </row>
    <row r="4752" spans="1:13" x14ac:dyDescent="0.25">
      <c r="A4752" s="417" t="s">
        <v>3385</v>
      </c>
      <c r="B4752" s="417" t="s">
        <v>3405</v>
      </c>
      <c r="C4752" s="417" t="s">
        <v>11973</v>
      </c>
      <c r="D4752" s="417" t="s">
        <v>73</v>
      </c>
      <c r="E4752" s="423">
        <v>2.7539269420648851E-2</v>
      </c>
      <c r="F4752" s="423">
        <v>1.2055892667489619E-4</v>
      </c>
      <c r="G4752" s="422">
        <v>34.488649093905408</v>
      </c>
      <c r="H4752" s="417" t="s">
        <v>2616</v>
      </c>
      <c r="I4752" s="417" t="s">
        <v>1392</v>
      </c>
      <c r="J4752" s="417" t="s">
        <v>11945</v>
      </c>
      <c r="K4752" s="417" t="s">
        <v>11974</v>
      </c>
      <c r="L4752" s="417"/>
      <c r="M4752" s="417" t="s">
        <v>28840</v>
      </c>
    </row>
    <row r="4753" spans="1:13" x14ac:dyDescent="0.25">
      <c r="A4753" s="417" t="s">
        <v>3385</v>
      </c>
      <c r="B4753" s="417" t="s">
        <v>3405</v>
      </c>
      <c r="C4753" s="417" t="s">
        <v>11975</v>
      </c>
      <c r="D4753" s="417" t="s">
        <v>73</v>
      </c>
      <c r="E4753" s="423">
        <v>5.2341384441903463E-2</v>
      </c>
      <c r="F4753" s="423">
        <v>2.2913538554480419E-4</v>
      </c>
      <c r="G4753" s="422">
        <v>65.549438289548249</v>
      </c>
      <c r="H4753" s="417" t="s">
        <v>2616</v>
      </c>
      <c r="I4753" s="417" t="s">
        <v>1392</v>
      </c>
      <c r="J4753" s="417" t="s">
        <v>11945</v>
      </c>
      <c r="K4753" s="417" t="s">
        <v>11976</v>
      </c>
      <c r="L4753" s="417"/>
      <c r="M4753" s="417" t="s">
        <v>28840</v>
      </c>
    </row>
    <row r="4754" spans="1:13" x14ac:dyDescent="0.25">
      <c r="A4754" s="417" t="s">
        <v>3385</v>
      </c>
      <c r="B4754" s="417" t="s">
        <v>3405</v>
      </c>
      <c r="C4754" s="417" t="s">
        <v>11977</v>
      </c>
      <c r="D4754" s="417" t="s">
        <v>73</v>
      </c>
      <c r="E4754" s="423">
        <v>2.9517431385277272E-3</v>
      </c>
      <c r="F4754" s="423">
        <v>3.6744380226286358E-2</v>
      </c>
      <c r="G4754" s="422">
        <v>11.44357151757433</v>
      </c>
      <c r="H4754" s="417" t="s">
        <v>2616</v>
      </c>
      <c r="I4754" s="417" t="s">
        <v>1392</v>
      </c>
      <c r="J4754" s="417" t="s">
        <v>11978</v>
      </c>
      <c r="K4754" s="417" t="s">
        <v>11979</v>
      </c>
      <c r="L4754" s="417"/>
      <c r="M4754" s="417" t="s">
        <v>28840</v>
      </c>
    </row>
    <row r="4755" spans="1:13" x14ac:dyDescent="0.25">
      <c r="A4755" s="417" t="s">
        <v>3385</v>
      </c>
      <c r="B4755" s="417" t="s">
        <v>3405</v>
      </c>
      <c r="C4755" s="417" t="s">
        <v>11980</v>
      </c>
      <c r="D4755" s="417" t="s">
        <v>73</v>
      </c>
      <c r="E4755" s="423">
        <v>4.6130256914395521E-3</v>
      </c>
      <c r="F4755" s="423">
        <v>5.7424634420403423E-2</v>
      </c>
      <c r="G4755" s="422">
        <v>17.884174556415029</v>
      </c>
      <c r="H4755" s="417" t="s">
        <v>2616</v>
      </c>
      <c r="I4755" s="417" t="s">
        <v>1392</v>
      </c>
      <c r="J4755" s="417" t="s">
        <v>11978</v>
      </c>
      <c r="K4755" s="417" t="s">
        <v>11981</v>
      </c>
      <c r="L4755" s="417"/>
      <c r="M4755" s="417" t="s">
        <v>28840</v>
      </c>
    </row>
    <row r="4756" spans="1:13" x14ac:dyDescent="0.25">
      <c r="A4756" s="417" t="s">
        <v>3385</v>
      </c>
      <c r="B4756" s="417" t="s">
        <v>3405</v>
      </c>
      <c r="C4756" s="417" t="s">
        <v>11982</v>
      </c>
      <c r="D4756" s="417" t="s">
        <v>73</v>
      </c>
      <c r="E4756" s="423">
        <v>1.5020451424958951E-2</v>
      </c>
      <c r="F4756" s="423">
        <v>2.8064931861215791E-2</v>
      </c>
      <c r="G4756" s="422">
        <v>19.811340829414078</v>
      </c>
      <c r="H4756" s="417" t="s">
        <v>2616</v>
      </c>
      <c r="I4756" s="417" t="s">
        <v>1392</v>
      </c>
      <c r="J4756" s="417" t="s">
        <v>4254</v>
      </c>
      <c r="K4756" s="417" t="s">
        <v>11983</v>
      </c>
      <c r="L4756" s="417"/>
      <c r="M4756" s="417" t="s">
        <v>28840</v>
      </c>
    </row>
    <row r="4757" spans="1:13" x14ac:dyDescent="0.25">
      <c r="A4757" s="417" t="s">
        <v>3385</v>
      </c>
      <c r="B4757" s="417" t="s">
        <v>3405</v>
      </c>
      <c r="C4757" s="417" t="s">
        <v>11984</v>
      </c>
      <c r="D4757" s="417" t="s">
        <v>73</v>
      </c>
      <c r="E4757" s="423">
        <v>2.8057077334339559E-2</v>
      </c>
      <c r="F4757" s="423">
        <v>5.242318890810891E-2</v>
      </c>
      <c r="G4757" s="422">
        <v>37.006099419017289</v>
      </c>
      <c r="H4757" s="417" t="s">
        <v>2616</v>
      </c>
      <c r="I4757" s="417" t="s">
        <v>1392</v>
      </c>
      <c r="J4757" s="417" t="s">
        <v>4254</v>
      </c>
      <c r="K4757" s="417" t="s">
        <v>11985</v>
      </c>
      <c r="L4757" s="417"/>
      <c r="M4757" s="417" t="s">
        <v>28840</v>
      </c>
    </row>
    <row r="4758" spans="1:13" x14ac:dyDescent="0.25">
      <c r="A4758" s="417" t="s">
        <v>3385</v>
      </c>
      <c r="B4758" s="417" t="s">
        <v>3405</v>
      </c>
      <c r="C4758" s="417" t="s">
        <v>11986</v>
      </c>
      <c r="D4758" s="417" t="s">
        <v>73</v>
      </c>
      <c r="E4758" s="423">
        <v>3.42890811698702E-2</v>
      </c>
      <c r="F4758" s="423">
        <v>8.1081035278424802E-4</v>
      </c>
      <c r="G4758" s="422">
        <v>45.808718005659507</v>
      </c>
      <c r="H4758" s="417" t="s">
        <v>2616</v>
      </c>
      <c r="I4758" s="417" t="s">
        <v>1392</v>
      </c>
      <c r="J4758" s="417" t="s">
        <v>5786</v>
      </c>
      <c r="K4758" s="417" t="s">
        <v>11987</v>
      </c>
      <c r="L4758" s="417"/>
      <c r="M4758" s="417" t="s">
        <v>28840</v>
      </c>
    </row>
    <row r="4759" spans="1:13" x14ac:dyDescent="0.25">
      <c r="A4759" s="417" t="s">
        <v>3385</v>
      </c>
      <c r="B4759" s="417" t="s">
        <v>3405</v>
      </c>
      <c r="C4759" s="417" t="s">
        <v>11988</v>
      </c>
      <c r="D4759" s="417" t="s">
        <v>73</v>
      </c>
      <c r="E4759" s="423">
        <v>6.9829312476788072E-2</v>
      </c>
      <c r="F4759" s="423">
        <v>1.6512054573255869E-3</v>
      </c>
      <c r="G4759" s="422">
        <v>93.288916715313164</v>
      </c>
      <c r="H4759" s="417" t="s">
        <v>2616</v>
      </c>
      <c r="I4759" s="417" t="s">
        <v>1392</v>
      </c>
      <c r="J4759" s="417" t="s">
        <v>5786</v>
      </c>
      <c r="K4759" s="417" t="s">
        <v>11989</v>
      </c>
      <c r="L4759" s="417"/>
      <c r="M4759" s="417" t="s">
        <v>28840</v>
      </c>
    </row>
    <row r="4760" spans="1:13" x14ac:dyDescent="0.25">
      <c r="A4760" s="417" t="s">
        <v>3385</v>
      </c>
      <c r="B4760" s="417" t="s">
        <v>3405</v>
      </c>
      <c r="C4760" s="417" t="s">
        <v>11990</v>
      </c>
      <c r="D4760" s="417" t="s">
        <v>73</v>
      </c>
      <c r="E4760" s="423">
        <v>2.9230933574429289E-2</v>
      </c>
      <c r="F4760" s="423">
        <v>1.2994706608776441E-4</v>
      </c>
      <c r="G4760" s="422">
        <v>36.834194821349882</v>
      </c>
      <c r="H4760" s="417" t="s">
        <v>2616</v>
      </c>
      <c r="I4760" s="417" t="s">
        <v>1392</v>
      </c>
      <c r="J4760" s="417" t="s">
        <v>11945</v>
      </c>
      <c r="K4760" s="417" t="s">
        <v>11991</v>
      </c>
      <c r="L4760" s="417"/>
      <c r="M4760" s="417" t="s">
        <v>28840</v>
      </c>
    </row>
    <row r="4761" spans="1:13" x14ac:dyDescent="0.25">
      <c r="A4761" s="417" t="s">
        <v>3385</v>
      </c>
      <c r="B4761" s="417" t="s">
        <v>3405</v>
      </c>
      <c r="C4761" s="417" t="s">
        <v>11992</v>
      </c>
      <c r="D4761" s="417" t="s">
        <v>73</v>
      </c>
      <c r="E4761" s="423">
        <v>5.4601192747136172E-2</v>
      </c>
      <c r="F4761" s="423">
        <v>2.4273137998688979E-4</v>
      </c>
      <c r="G4761" s="422">
        <v>68.803514808648771</v>
      </c>
      <c r="H4761" s="417" t="s">
        <v>2616</v>
      </c>
      <c r="I4761" s="417" t="s">
        <v>1392</v>
      </c>
      <c r="J4761" s="417" t="s">
        <v>11945</v>
      </c>
      <c r="K4761" s="417" t="s">
        <v>11993</v>
      </c>
      <c r="L4761" s="417"/>
      <c r="M4761" s="417" t="s">
        <v>28840</v>
      </c>
    </row>
    <row r="4762" spans="1:13" x14ac:dyDescent="0.25">
      <c r="A4762" s="417" t="s">
        <v>3385</v>
      </c>
      <c r="B4762" s="417" t="s">
        <v>3405</v>
      </c>
      <c r="C4762" s="417" t="s">
        <v>11994</v>
      </c>
      <c r="D4762" s="417" t="s">
        <v>73</v>
      </c>
      <c r="E4762" s="423">
        <v>4.4590708193151148E-3</v>
      </c>
      <c r="F4762" s="423">
        <v>3.9990613873736321E-2</v>
      </c>
      <c r="G4762" s="422">
        <v>15.03679428726978</v>
      </c>
      <c r="H4762" s="417" t="s">
        <v>2616</v>
      </c>
      <c r="I4762" s="417" t="s">
        <v>1392</v>
      </c>
      <c r="J4762" s="417" t="s">
        <v>11978</v>
      </c>
      <c r="K4762" s="417" t="s">
        <v>11995</v>
      </c>
      <c r="L4762" s="417"/>
      <c r="M4762" s="417" t="s">
        <v>28840</v>
      </c>
    </row>
    <row r="4763" spans="1:13" x14ac:dyDescent="0.25">
      <c r="A4763" s="417" t="s">
        <v>3385</v>
      </c>
      <c r="B4763" s="417" t="s">
        <v>3405</v>
      </c>
      <c r="C4763" s="417" t="s">
        <v>11996</v>
      </c>
      <c r="D4763" s="417" t="s">
        <v>73</v>
      </c>
      <c r="E4763" s="423">
        <v>6.8883103310716691E-3</v>
      </c>
      <c r="F4763" s="423">
        <v>6.1776941761200257E-2</v>
      </c>
      <c r="G4763" s="422">
        <v>23.228629825473931</v>
      </c>
      <c r="H4763" s="417" t="s">
        <v>2616</v>
      </c>
      <c r="I4763" s="417" t="s">
        <v>1392</v>
      </c>
      <c r="J4763" s="417" t="s">
        <v>11978</v>
      </c>
      <c r="K4763" s="417" t="s">
        <v>11997</v>
      </c>
      <c r="L4763" s="417"/>
      <c r="M4763" s="417" t="s">
        <v>28840</v>
      </c>
    </row>
    <row r="4764" spans="1:13" x14ac:dyDescent="0.25">
      <c r="A4764" s="417" t="s">
        <v>3385</v>
      </c>
      <c r="B4764" s="417" t="s">
        <v>3405</v>
      </c>
      <c r="C4764" s="417" t="s">
        <v>11998</v>
      </c>
      <c r="D4764" s="417" t="s">
        <v>73</v>
      </c>
      <c r="E4764" s="423">
        <v>3.1761565310025682E-3</v>
      </c>
      <c r="F4764" s="423">
        <v>3.8919499817917008E-2</v>
      </c>
      <c r="G4764" s="422">
        <v>12.171401654626131</v>
      </c>
      <c r="H4764" s="417" t="s">
        <v>2616</v>
      </c>
      <c r="I4764" s="417" t="s">
        <v>1392</v>
      </c>
      <c r="J4764" s="417" t="s">
        <v>11978</v>
      </c>
      <c r="K4764" s="417" t="s">
        <v>11999</v>
      </c>
      <c r="L4764" s="417"/>
      <c r="M4764" s="417" t="s">
        <v>28840</v>
      </c>
    </row>
    <row r="4765" spans="1:13" x14ac:dyDescent="0.25">
      <c r="A4765" s="417" t="s">
        <v>3385</v>
      </c>
      <c r="B4765" s="417" t="s">
        <v>3405</v>
      </c>
      <c r="C4765" s="417" t="s">
        <v>12000</v>
      </c>
      <c r="D4765" s="417" t="s">
        <v>73</v>
      </c>
      <c r="E4765" s="423">
        <v>4.9064822318785001E-3</v>
      </c>
      <c r="F4765" s="423">
        <v>6.012229972236232E-2</v>
      </c>
      <c r="G4765" s="422">
        <v>18.80221126644842</v>
      </c>
      <c r="H4765" s="417" t="s">
        <v>2616</v>
      </c>
      <c r="I4765" s="417" t="s">
        <v>1392</v>
      </c>
      <c r="J4765" s="417" t="s">
        <v>11978</v>
      </c>
      <c r="K4765" s="417" t="s">
        <v>12001</v>
      </c>
      <c r="L4765" s="417"/>
      <c r="M4765" s="417" t="s">
        <v>28840</v>
      </c>
    </row>
    <row r="4766" spans="1:13" x14ac:dyDescent="0.25">
      <c r="A4766" s="417" t="s">
        <v>3385</v>
      </c>
      <c r="B4766" s="417" t="s">
        <v>3405</v>
      </c>
      <c r="C4766" s="417" t="s">
        <v>12002</v>
      </c>
      <c r="D4766" s="417" t="s">
        <v>73</v>
      </c>
      <c r="E4766" s="423">
        <v>1.6899765118879629E-2</v>
      </c>
      <c r="F4766" s="423">
        <v>3.1401918709803259E-2</v>
      </c>
      <c r="G4766" s="422">
        <v>22.75780190267055</v>
      </c>
      <c r="H4766" s="417" t="s">
        <v>2616</v>
      </c>
      <c r="I4766" s="417" t="s">
        <v>1392</v>
      </c>
      <c r="J4766" s="417" t="s">
        <v>4254</v>
      </c>
      <c r="K4766" s="417" t="s">
        <v>12003</v>
      </c>
      <c r="L4766" s="417"/>
      <c r="M4766" s="417" t="s">
        <v>28840</v>
      </c>
    </row>
    <row r="4767" spans="1:13" x14ac:dyDescent="0.25">
      <c r="A4767" s="417" t="s">
        <v>3385</v>
      </c>
      <c r="B4767" s="417" t="s">
        <v>3405</v>
      </c>
      <c r="C4767" s="417" t="s">
        <v>12004</v>
      </c>
      <c r="D4767" s="417" t="s">
        <v>73</v>
      </c>
      <c r="E4767" s="423">
        <v>2.9776398179999719E-2</v>
      </c>
      <c r="F4767" s="423">
        <v>5.5328345050418233E-2</v>
      </c>
      <c r="G4767" s="422">
        <v>40.097916010889442</v>
      </c>
      <c r="H4767" s="417" t="s">
        <v>2616</v>
      </c>
      <c r="I4767" s="417" t="s">
        <v>1392</v>
      </c>
      <c r="J4767" s="417" t="s">
        <v>4254</v>
      </c>
      <c r="K4767" s="417" t="s">
        <v>12005</v>
      </c>
      <c r="L4767" s="417"/>
      <c r="M4767" s="417" t="s">
        <v>28840</v>
      </c>
    </row>
    <row r="4768" spans="1:13" x14ac:dyDescent="0.25">
      <c r="A4768" s="417" t="s">
        <v>3385</v>
      </c>
      <c r="B4768" s="417" t="s">
        <v>3405</v>
      </c>
      <c r="C4768" s="417" t="s">
        <v>12006</v>
      </c>
      <c r="D4768" s="417" t="s">
        <v>73</v>
      </c>
      <c r="E4768" s="423">
        <v>3.7165012410867289E-2</v>
      </c>
      <c r="F4768" s="423">
        <v>8.7953683042633446E-4</v>
      </c>
      <c r="G4768" s="422">
        <v>50.357976904272377</v>
      </c>
      <c r="H4768" s="417" t="s">
        <v>2616</v>
      </c>
      <c r="I4768" s="417" t="s">
        <v>1392</v>
      </c>
      <c r="J4768" s="417" t="s">
        <v>5786</v>
      </c>
      <c r="K4768" s="417" t="s">
        <v>12007</v>
      </c>
      <c r="L4768" s="417"/>
      <c r="M4768" s="417" t="s">
        <v>28840</v>
      </c>
    </row>
    <row r="4769" spans="1:13" x14ac:dyDescent="0.25">
      <c r="A4769" s="417" t="s">
        <v>3385</v>
      </c>
      <c r="B4769" s="417" t="s">
        <v>3405</v>
      </c>
      <c r="C4769" s="417" t="s">
        <v>12008</v>
      </c>
      <c r="D4769" s="417" t="s">
        <v>73</v>
      </c>
      <c r="E4769" s="423">
        <v>8.3573809318332221E-2</v>
      </c>
      <c r="F4769" s="423">
        <v>1.9778344896478491E-3</v>
      </c>
      <c r="G4769" s="422">
        <v>113.2411288533209</v>
      </c>
      <c r="H4769" s="417" t="s">
        <v>2616</v>
      </c>
      <c r="I4769" s="417" t="s">
        <v>1392</v>
      </c>
      <c r="J4769" s="417" t="s">
        <v>5786</v>
      </c>
      <c r="K4769" s="417" t="s">
        <v>12009</v>
      </c>
      <c r="L4769" s="417"/>
      <c r="M4769" s="417" t="s">
        <v>28840</v>
      </c>
    </row>
    <row r="4770" spans="1:13" x14ac:dyDescent="0.25">
      <c r="A4770" s="417" t="s">
        <v>3385</v>
      </c>
      <c r="B4770" s="417" t="s">
        <v>3405</v>
      </c>
      <c r="C4770" s="417" t="s">
        <v>12010</v>
      </c>
      <c r="D4770" s="417" t="s">
        <v>73</v>
      </c>
      <c r="E4770" s="423">
        <v>3.2798298454916212E-2</v>
      </c>
      <c r="F4770" s="423">
        <v>1.4856066743974269E-4</v>
      </c>
      <c r="G4770" s="422">
        <v>41.877030575781731</v>
      </c>
      <c r="H4770" s="417" t="s">
        <v>2616</v>
      </c>
      <c r="I4770" s="417" t="s">
        <v>1392</v>
      </c>
      <c r="J4770" s="417" t="s">
        <v>11945</v>
      </c>
      <c r="K4770" s="417" t="s">
        <v>12011</v>
      </c>
      <c r="L4770" s="417"/>
      <c r="M4770" s="417" t="s">
        <v>28840</v>
      </c>
    </row>
    <row r="4771" spans="1:13" x14ac:dyDescent="0.25">
      <c r="A4771" s="417" t="s">
        <v>3385</v>
      </c>
      <c r="B4771" s="417" t="s">
        <v>3405</v>
      </c>
      <c r="C4771" s="417" t="s">
        <v>12012</v>
      </c>
      <c r="D4771" s="417" t="s">
        <v>73</v>
      </c>
      <c r="E4771" s="423">
        <v>5.7788684523187542E-2</v>
      </c>
      <c r="F4771" s="423">
        <v>2.6175521080274241E-4</v>
      </c>
      <c r="G4771" s="422">
        <v>73.784879795310516</v>
      </c>
      <c r="H4771" s="417" t="s">
        <v>2616</v>
      </c>
      <c r="I4771" s="417" t="s">
        <v>1392</v>
      </c>
      <c r="J4771" s="417" t="s">
        <v>11945</v>
      </c>
      <c r="K4771" s="417" t="s">
        <v>12013</v>
      </c>
      <c r="L4771" s="417"/>
      <c r="M4771" s="417" t="s">
        <v>28840</v>
      </c>
    </row>
    <row r="4772" spans="1:13" x14ac:dyDescent="0.25">
      <c r="A4772" s="417" t="s">
        <v>3385</v>
      </c>
      <c r="B4772" s="417" t="s">
        <v>3405</v>
      </c>
      <c r="C4772" s="417" t="s">
        <v>12014</v>
      </c>
      <c r="D4772" s="417" t="s">
        <v>73</v>
      </c>
      <c r="E4772" s="423">
        <v>4.6950992707664226E-3</v>
      </c>
      <c r="F4772" s="423">
        <v>4.2029923912796321E-2</v>
      </c>
      <c r="G4772" s="422">
        <v>15.817569443849941</v>
      </c>
      <c r="H4772" s="417" t="s">
        <v>2616</v>
      </c>
      <c r="I4772" s="417" t="s">
        <v>1392</v>
      </c>
      <c r="J4772" s="417" t="s">
        <v>11978</v>
      </c>
      <c r="K4772" s="417" t="s">
        <v>12015</v>
      </c>
      <c r="L4772" s="417"/>
      <c r="M4772" s="417" t="s">
        <v>28840</v>
      </c>
    </row>
    <row r="4773" spans="1:13" x14ac:dyDescent="0.25">
      <c r="A4773" s="417" t="s">
        <v>3385</v>
      </c>
      <c r="B4773" s="417" t="s">
        <v>3405</v>
      </c>
      <c r="C4773" s="417" t="s">
        <v>12016</v>
      </c>
      <c r="D4773" s="417" t="s">
        <v>73</v>
      </c>
      <c r="E4773" s="423">
        <v>6.9704834051874109E-3</v>
      </c>
      <c r="F4773" s="423">
        <v>6.2398870009850983E-2</v>
      </c>
      <c r="G4773" s="422">
        <v>23.48323197260099</v>
      </c>
      <c r="H4773" s="417" t="s">
        <v>2616</v>
      </c>
      <c r="I4773" s="417" t="s">
        <v>1392</v>
      </c>
      <c r="J4773" s="417" t="s">
        <v>11978</v>
      </c>
      <c r="K4773" s="417" t="s">
        <v>12017</v>
      </c>
      <c r="L4773" s="417"/>
      <c r="M4773" s="417" t="s">
        <v>28840</v>
      </c>
    </row>
    <row r="4774" spans="1:13" x14ac:dyDescent="0.25">
      <c r="A4774" s="417" t="s">
        <v>3385</v>
      </c>
      <c r="B4774" s="417" t="s">
        <v>3405</v>
      </c>
      <c r="C4774" s="417" t="s">
        <v>12018</v>
      </c>
      <c r="D4774" s="417" t="s">
        <v>73</v>
      </c>
      <c r="E4774" s="423">
        <v>4.1041817235272773E-3</v>
      </c>
      <c r="F4774" s="423">
        <v>2.5533571140845899E-2</v>
      </c>
      <c r="G4774" s="422">
        <v>6.1539257061542374</v>
      </c>
      <c r="H4774" s="417" t="s">
        <v>2616</v>
      </c>
      <c r="I4774" s="417" t="s">
        <v>1392</v>
      </c>
      <c r="J4774" s="417" t="s">
        <v>12019</v>
      </c>
      <c r="K4774" s="417" t="s">
        <v>12020</v>
      </c>
      <c r="L4774" s="417"/>
      <c r="M4774" s="417" t="s">
        <v>28840</v>
      </c>
    </row>
    <row r="4775" spans="1:13" x14ac:dyDescent="0.25">
      <c r="A4775" s="417" t="s">
        <v>3385</v>
      </c>
      <c r="B4775" s="417" t="s">
        <v>3405</v>
      </c>
      <c r="C4775" s="417" t="s">
        <v>12021</v>
      </c>
      <c r="D4775" s="417" t="s">
        <v>73</v>
      </c>
      <c r="E4775" s="423">
        <v>1.024664704789143E-2</v>
      </c>
      <c r="F4775" s="423">
        <v>2.3776619510496089E-2</v>
      </c>
      <c r="G4775" s="422">
        <v>15.3418267204298</v>
      </c>
      <c r="H4775" s="417" t="s">
        <v>2616</v>
      </c>
      <c r="I4775" s="417" t="s">
        <v>1392</v>
      </c>
      <c r="J4775" s="417" t="s">
        <v>12019</v>
      </c>
      <c r="K4775" s="417" t="s">
        <v>12022</v>
      </c>
      <c r="L4775" s="417"/>
      <c r="M4775" s="417" t="s">
        <v>28840</v>
      </c>
    </row>
    <row r="4776" spans="1:13" x14ac:dyDescent="0.25">
      <c r="A4776" s="417" t="s">
        <v>3385</v>
      </c>
      <c r="B4776" s="417" t="s">
        <v>3405</v>
      </c>
      <c r="C4776" s="417" t="s">
        <v>12023</v>
      </c>
      <c r="D4776" s="417" t="s">
        <v>73</v>
      </c>
      <c r="E4776" s="423">
        <v>8.0524054025552447E-3</v>
      </c>
      <c r="F4776" s="423">
        <v>3.7538864894178688E-2</v>
      </c>
      <c r="G4776" s="422">
        <v>10.436569237896739</v>
      </c>
      <c r="H4776" s="417" t="s">
        <v>2616</v>
      </c>
      <c r="I4776" s="417" t="s">
        <v>1392</v>
      </c>
      <c r="J4776" s="417" t="s">
        <v>12019</v>
      </c>
      <c r="K4776" s="417" t="s">
        <v>12024</v>
      </c>
      <c r="L4776" s="417"/>
      <c r="M4776" s="417" t="s">
        <v>28840</v>
      </c>
    </row>
    <row r="4777" spans="1:13" x14ac:dyDescent="0.25">
      <c r="A4777" s="417" t="s">
        <v>3385</v>
      </c>
      <c r="B4777" s="417" t="s">
        <v>3405</v>
      </c>
      <c r="C4777" s="417" t="s">
        <v>12025</v>
      </c>
      <c r="D4777" s="417" t="s">
        <v>73</v>
      </c>
      <c r="E4777" s="423">
        <v>1.7291944110925151E-2</v>
      </c>
      <c r="F4777" s="423">
        <v>3.1155414745091141E-2</v>
      </c>
      <c r="G4777" s="422">
        <v>22.903194263852349</v>
      </c>
      <c r="H4777" s="417" t="s">
        <v>2616</v>
      </c>
      <c r="I4777" s="417" t="s">
        <v>1392</v>
      </c>
      <c r="J4777" s="417" t="s">
        <v>12026</v>
      </c>
      <c r="K4777" s="417" t="s">
        <v>12027</v>
      </c>
      <c r="L4777" s="417"/>
      <c r="M4777" s="417" t="s">
        <v>28840</v>
      </c>
    </row>
    <row r="4778" spans="1:13" x14ac:dyDescent="0.25">
      <c r="A4778" s="417" t="s">
        <v>3385</v>
      </c>
      <c r="B4778" s="417" t="s">
        <v>3405</v>
      </c>
      <c r="C4778" s="417" t="s">
        <v>12028</v>
      </c>
      <c r="D4778" s="417" t="s">
        <v>73</v>
      </c>
      <c r="E4778" s="423">
        <v>6.7891599500465678E-3</v>
      </c>
      <c r="F4778" s="423">
        <v>2.3620488584046379E-2</v>
      </c>
      <c r="G4778" s="422">
        <v>10.13296805312482</v>
      </c>
      <c r="H4778" s="417" t="s">
        <v>2616</v>
      </c>
      <c r="I4778" s="417" t="s">
        <v>1392</v>
      </c>
      <c r="J4778" s="417" t="s">
        <v>12019</v>
      </c>
      <c r="K4778" s="417" t="s">
        <v>12029</v>
      </c>
      <c r="L4778" s="417"/>
      <c r="M4778" s="417" t="s">
        <v>28840</v>
      </c>
    </row>
    <row r="4779" spans="1:13" x14ac:dyDescent="0.25">
      <c r="A4779" s="417" t="s">
        <v>3385</v>
      </c>
      <c r="B4779" s="417" t="s">
        <v>3405</v>
      </c>
      <c r="C4779" s="417" t="s">
        <v>12030</v>
      </c>
      <c r="D4779" s="417" t="s">
        <v>73</v>
      </c>
      <c r="E4779" s="423">
        <v>2.1080025672220101E-2</v>
      </c>
      <c r="F4779" s="423">
        <v>3.6443309484163737E-2</v>
      </c>
      <c r="G4779" s="422">
        <v>31.10053900626388</v>
      </c>
      <c r="H4779" s="417" t="s">
        <v>2616</v>
      </c>
      <c r="I4779" s="417" t="s">
        <v>1392</v>
      </c>
      <c r="J4779" s="417" t="s">
        <v>12019</v>
      </c>
      <c r="K4779" s="417" t="s">
        <v>12031</v>
      </c>
      <c r="L4779" s="417"/>
      <c r="M4779" s="417" t="s">
        <v>28840</v>
      </c>
    </row>
    <row r="4780" spans="1:13" x14ac:dyDescent="0.25">
      <c r="A4780" s="417" t="s">
        <v>3385</v>
      </c>
      <c r="B4780" s="417" t="s">
        <v>3405</v>
      </c>
      <c r="C4780" s="417" t="s">
        <v>12032</v>
      </c>
      <c r="D4780" s="417" t="s">
        <v>73</v>
      </c>
      <c r="E4780" s="423">
        <v>3.2030775336867661E-3</v>
      </c>
      <c r="F4780" s="423">
        <v>6.6322724636998578E-4</v>
      </c>
      <c r="G4780" s="422">
        <v>10.20263860819203</v>
      </c>
      <c r="H4780" s="417" t="s">
        <v>2616</v>
      </c>
      <c r="I4780" s="417" t="s">
        <v>1392</v>
      </c>
      <c r="J4780" s="417" t="s">
        <v>4326</v>
      </c>
      <c r="K4780" s="417" t="s">
        <v>12033</v>
      </c>
      <c r="L4780" s="417"/>
      <c r="M4780" s="417" t="s">
        <v>28840</v>
      </c>
    </row>
    <row r="4781" spans="1:13" x14ac:dyDescent="0.25">
      <c r="A4781" s="417" t="s">
        <v>3385</v>
      </c>
      <c r="B4781" s="417" t="s">
        <v>3405</v>
      </c>
      <c r="C4781" s="417" t="s">
        <v>12034</v>
      </c>
      <c r="D4781" s="417" t="s">
        <v>73</v>
      </c>
      <c r="E4781" s="423">
        <v>3.7039722108594981E-3</v>
      </c>
      <c r="F4781" s="423">
        <v>9.5975534751506042E-4</v>
      </c>
      <c r="G4781" s="422">
        <v>12.80111635327434</v>
      </c>
      <c r="H4781" s="417" t="s">
        <v>2616</v>
      </c>
      <c r="I4781" s="417" t="s">
        <v>1392</v>
      </c>
      <c r="J4781" s="417" t="s">
        <v>4326</v>
      </c>
      <c r="K4781" s="417" t="s">
        <v>12035</v>
      </c>
      <c r="L4781" s="417"/>
      <c r="M4781" s="417" t="s">
        <v>28840</v>
      </c>
    </row>
    <row r="4782" spans="1:13" x14ac:dyDescent="0.25">
      <c r="A4782" s="417" t="s">
        <v>3385</v>
      </c>
      <c r="B4782" s="417" t="s">
        <v>3405</v>
      </c>
      <c r="C4782" s="417" t="s">
        <v>12036</v>
      </c>
      <c r="D4782" s="417" t="s">
        <v>73</v>
      </c>
      <c r="E4782" s="423">
        <v>7.5241801629122047E-3</v>
      </c>
      <c r="F4782" s="423">
        <v>1.4239919016279809E-3</v>
      </c>
      <c r="G4782" s="422">
        <v>30.891917779771131</v>
      </c>
      <c r="H4782" s="417" t="s">
        <v>2616</v>
      </c>
      <c r="I4782" s="417" t="s">
        <v>1392</v>
      </c>
      <c r="J4782" s="417" t="s">
        <v>4326</v>
      </c>
      <c r="K4782" s="417" t="s">
        <v>12037</v>
      </c>
      <c r="L4782" s="417"/>
      <c r="M4782" s="417" t="s">
        <v>28840</v>
      </c>
    </row>
    <row r="4783" spans="1:13" x14ac:dyDescent="0.25">
      <c r="A4783" s="417" t="s">
        <v>3385</v>
      </c>
      <c r="B4783" s="417" t="s">
        <v>3405</v>
      </c>
      <c r="C4783" s="417" t="s">
        <v>12038</v>
      </c>
      <c r="D4783" s="417" t="s">
        <v>73</v>
      </c>
      <c r="E4783" s="423">
        <v>1.0860821604110071E-2</v>
      </c>
      <c r="F4783" s="423">
        <v>2.2197758842954309E-3</v>
      </c>
      <c r="G4783" s="422">
        <v>47.067845590961873</v>
      </c>
      <c r="H4783" s="417" t="s">
        <v>2616</v>
      </c>
      <c r="I4783" s="417" t="s">
        <v>1392</v>
      </c>
      <c r="J4783" s="417" t="s">
        <v>4326</v>
      </c>
      <c r="K4783" s="417" t="s">
        <v>12039</v>
      </c>
      <c r="L4783" s="417"/>
      <c r="M4783" s="417" t="s">
        <v>28840</v>
      </c>
    </row>
    <row r="4784" spans="1:13" x14ac:dyDescent="0.25">
      <c r="A4784" s="417" t="s">
        <v>3385</v>
      </c>
      <c r="B4784" s="417" t="s">
        <v>3405</v>
      </c>
      <c r="C4784" s="417" t="s">
        <v>12040</v>
      </c>
      <c r="D4784" s="417" t="s">
        <v>73</v>
      </c>
      <c r="E4784" s="423">
        <v>2.9017408538166449E-3</v>
      </c>
      <c r="F4784" s="423">
        <v>5.1796675665600101E-4</v>
      </c>
      <c r="G4784" s="422">
        <v>9.3109934071537275</v>
      </c>
      <c r="H4784" s="417" t="s">
        <v>2616</v>
      </c>
      <c r="I4784" s="417" t="s">
        <v>1392</v>
      </c>
      <c r="J4784" s="417" t="s">
        <v>4326</v>
      </c>
      <c r="K4784" s="417" t="s">
        <v>12041</v>
      </c>
      <c r="L4784" s="417"/>
      <c r="M4784" s="417" t="s">
        <v>28840</v>
      </c>
    </row>
    <row r="4785" spans="1:13" x14ac:dyDescent="0.25">
      <c r="A4785" s="417" t="s">
        <v>3385</v>
      </c>
      <c r="B4785" s="417" t="s">
        <v>3405</v>
      </c>
      <c r="C4785" s="417" t="s">
        <v>12042</v>
      </c>
      <c r="D4785" s="417" t="s">
        <v>73</v>
      </c>
      <c r="E4785" s="423">
        <v>3.3560193405828701E-3</v>
      </c>
      <c r="F4785" s="423">
        <v>7.8689821724972891E-4</v>
      </c>
      <c r="G4785" s="422">
        <v>11.66581222130517</v>
      </c>
      <c r="H4785" s="417" t="s">
        <v>2616</v>
      </c>
      <c r="I4785" s="417" t="s">
        <v>1392</v>
      </c>
      <c r="J4785" s="417" t="s">
        <v>4326</v>
      </c>
      <c r="K4785" s="417" t="s">
        <v>12043</v>
      </c>
      <c r="L4785" s="417"/>
      <c r="M4785" s="417" t="s">
        <v>28840</v>
      </c>
    </row>
    <row r="4786" spans="1:13" x14ac:dyDescent="0.25">
      <c r="A4786" s="417" t="s">
        <v>3385</v>
      </c>
      <c r="B4786" s="417" t="s">
        <v>3405</v>
      </c>
      <c r="C4786" s="417" t="s">
        <v>12044</v>
      </c>
      <c r="D4786" s="417" t="s">
        <v>73</v>
      </c>
      <c r="E4786" s="423">
        <v>7.0657004575161121E-3</v>
      </c>
      <c r="F4786" s="423">
        <v>1.2510651225521589E-3</v>
      </c>
      <c r="G4786" s="422">
        <v>29.247877148151211</v>
      </c>
      <c r="H4786" s="417" t="s">
        <v>2616</v>
      </c>
      <c r="I4786" s="417" t="s">
        <v>1392</v>
      </c>
      <c r="J4786" s="417" t="s">
        <v>4326</v>
      </c>
      <c r="K4786" s="417" t="s">
        <v>12045</v>
      </c>
      <c r="L4786" s="417"/>
      <c r="M4786" s="417" t="s">
        <v>28840</v>
      </c>
    </row>
    <row r="4787" spans="1:13" x14ac:dyDescent="0.25">
      <c r="A4787" s="417" t="s">
        <v>3385</v>
      </c>
      <c r="B4787" s="417" t="s">
        <v>3405</v>
      </c>
      <c r="C4787" s="417" t="s">
        <v>12046</v>
      </c>
      <c r="D4787" s="417" t="s">
        <v>73</v>
      </c>
      <c r="E4787" s="423">
        <v>1.009181453165699E-2</v>
      </c>
      <c r="F4787" s="423">
        <v>1.9727887997791241E-3</v>
      </c>
      <c r="G4787" s="422">
        <v>43.916549795958552</v>
      </c>
      <c r="H4787" s="417" t="s">
        <v>2616</v>
      </c>
      <c r="I4787" s="417" t="s">
        <v>1392</v>
      </c>
      <c r="J4787" s="417" t="s">
        <v>4326</v>
      </c>
      <c r="K4787" s="417" t="s">
        <v>12047</v>
      </c>
      <c r="L4787" s="417"/>
      <c r="M4787" s="417" t="s">
        <v>28840</v>
      </c>
    </row>
    <row r="4788" spans="1:13" x14ac:dyDescent="0.25">
      <c r="A4788" s="417" t="s">
        <v>3385</v>
      </c>
      <c r="B4788" s="417" t="s">
        <v>3405</v>
      </c>
      <c r="C4788" s="417" t="s">
        <v>12048</v>
      </c>
      <c r="D4788" s="417" t="s">
        <v>73</v>
      </c>
      <c r="E4788" s="423">
        <v>1.085886855383709E-2</v>
      </c>
      <c r="F4788" s="423">
        <v>2.1557300332799888E-3</v>
      </c>
      <c r="G4788" s="422">
        <v>47.45849529241363</v>
      </c>
      <c r="H4788" s="417" t="s">
        <v>2616</v>
      </c>
      <c r="I4788" s="417" t="s">
        <v>1392</v>
      </c>
      <c r="J4788" s="417" t="s">
        <v>4326</v>
      </c>
      <c r="K4788" s="417" t="s">
        <v>12049</v>
      </c>
      <c r="L4788" s="417"/>
      <c r="M4788" s="417" t="s">
        <v>28840</v>
      </c>
    </row>
    <row r="4789" spans="1:13" x14ac:dyDescent="0.25">
      <c r="A4789" s="417" t="s">
        <v>3385</v>
      </c>
      <c r="B4789" s="417" t="s">
        <v>3405</v>
      </c>
      <c r="C4789" s="417" t="s">
        <v>12050</v>
      </c>
      <c r="D4789" s="417" t="s">
        <v>73</v>
      </c>
      <c r="E4789" s="423">
        <v>3.8292891741124658E-3</v>
      </c>
      <c r="F4789" s="423">
        <v>8.3366217622179517E-4</v>
      </c>
      <c r="G4789" s="422">
        <v>10.638964491399349</v>
      </c>
      <c r="H4789" s="417" t="s">
        <v>2616</v>
      </c>
      <c r="I4789" s="417" t="s">
        <v>1392</v>
      </c>
      <c r="J4789" s="417" t="s">
        <v>4326</v>
      </c>
      <c r="K4789" s="417" t="s">
        <v>12051</v>
      </c>
      <c r="L4789" s="417"/>
      <c r="M4789" s="417" t="s">
        <v>28840</v>
      </c>
    </row>
    <row r="4790" spans="1:13" x14ac:dyDescent="0.25">
      <c r="A4790" s="417" t="s">
        <v>3385</v>
      </c>
      <c r="B4790" s="417" t="s">
        <v>3405</v>
      </c>
      <c r="C4790" s="417" t="s">
        <v>12052</v>
      </c>
      <c r="D4790" s="417" t="s">
        <v>73</v>
      </c>
      <c r="E4790" s="423">
        <v>9.0818955294676984E-3</v>
      </c>
      <c r="F4790" s="423">
        <v>1.6483117560236629E-3</v>
      </c>
      <c r="G4790" s="422">
        <v>33.414359259809778</v>
      </c>
      <c r="H4790" s="417" t="s">
        <v>2616</v>
      </c>
      <c r="I4790" s="417" t="s">
        <v>1392</v>
      </c>
      <c r="J4790" s="417" t="s">
        <v>4326</v>
      </c>
      <c r="K4790" s="417" t="s">
        <v>12053</v>
      </c>
      <c r="L4790" s="417"/>
      <c r="M4790" s="417" t="s">
        <v>28840</v>
      </c>
    </row>
    <row r="4791" spans="1:13" x14ac:dyDescent="0.25">
      <c r="A4791" s="417" t="s">
        <v>3385</v>
      </c>
      <c r="B4791" s="417" t="s">
        <v>3405</v>
      </c>
      <c r="C4791" s="417" t="s">
        <v>12054</v>
      </c>
      <c r="D4791" s="417" t="s">
        <v>73</v>
      </c>
      <c r="E4791" s="423">
        <v>0.1331861706983051</v>
      </c>
      <c r="F4791" s="423">
        <v>5.9428445690222118E-4</v>
      </c>
      <c r="G4791" s="422">
        <v>181.26084495324201</v>
      </c>
      <c r="H4791" s="417" t="s">
        <v>2616</v>
      </c>
      <c r="I4791" s="417" t="s">
        <v>1392</v>
      </c>
      <c r="J4791" s="417" t="s">
        <v>12055</v>
      </c>
      <c r="K4791" s="417" t="s">
        <v>12056</v>
      </c>
      <c r="L4791" s="417"/>
      <c r="M4791" s="417" t="s">
        <v>28840</v>
      </c>
    </row>
    <row r="4792" spans="1:13" x14ac:dyDescent="0.25">
      <c r="A4792" s="417" t="s">
        <v>3385</v>
      </c>
      <c r="B4792" s="417" t="s">
        <v>3405</v>
      </c>
      <c r="C4792" s="417" t="s">
        <v>12057</v>
      </c>
      <c r="D4792" s="417" t="s">
        <v>73</v>
      </c>
      <c r="E4792" s="423">
        <v>6.4837442666825798E-2</v>
      </c>
      <c r="F4792" s="423">
        <v>2.8688399908246789E-4</v>
      </c>
      <c r="G4792" s="422">
        <v>80.783299490841017</v>
      </c>
      <c r="H4792" s="417" t="s">
        <v>2616</v>
      </c>
      <c r="I4792" s="417" t="s">
        <v>1392</v>
      </c>
      <c r="J4792" s="417" t="s">
        <v>11912</v>
      </c>
      <c r="K4792" s="417" t="s">
        <v>12058</v>
      </c>
      <c r="L4792" s="417"/>
      <c r="M4792" s="417" t="s">
        <v>28840</v>
      </c>
    </row>
    <row r="4793" spans="1:13" x14ac:dyDescent="0.25">
      <c r="A4793" s="417" t="s">
        <v>3385</v>
      </c>
      <c r="B4793" s="417" t="s">
        <v>3405</v>
      </c>
      <c r="C4793" s="417" t="s">
        <v>12059</v>
      </c>
      <c r="D4793" s="417" t="s">
        <v>73</v>
      </c>
      <c r="E4793" s="423">
        <v>2.3872474094754272E-2</v>
      </c>
      <c r="F4793" s="423">
        <v>1.0522333181046329E-4</v>
      </c>
      <c r="G4793" s="422">
        <v>29.665111659496741</v>
      </c>
      <c r="H4793" s="417" t="s">
        <v>2616</v>
      </c>
      <c r="I4793" s="417" t="s">
        <v>1392</v>
      </c>
      <c r="J4793" s="417" t="s">
        <v>11912</v>
      </c>
      <c r="K4793" s="417" t="s">
        <v>12060</v>
      </c>
      <c r="L4793" s="417"/>
      <c r="M4793" s="417" t="s">
        <v>28840</v>
      </c>
    </row>
    <row r="4794" spans="1:13" x14ac:dyDescent="0.25">
      <c r="A4794" s="417" t="s">
        <v>3385</v>
      </c>
      <c r="B4794" s="417" t="s">
        <v>3405</v>
      </c>
      <c r="C4794" s="417" t="s">
        <v>12061</v>
      </c>
      <c r="D4794" s="417" t="s">
        <v>73</v>
      </c>
      <c r="E4794" s="423">
        <v>4.9475657373181617E-2</v>
      </c>
      <c r="F4794" s="423">
        <v>2.187612669969995E-4</v>
      </c>
      <c r="G4794" s="422">
        <v>61.614057880851803</v>
      </c>
      <c r="H4794" s="417" t="s">
        <v>2616</v>
      </c>
      <c r="I4794" s="417" t="s">
        <v>1392</v>
      </c>
      <c r="J4794" s="417" t="s">
        <v>11912</v>
      </c>
      <c r="K4794" s="417" t="s">
        <v>12062</v>
      </c>
      <c r="L4794" s="417"/>
      <c r="M4794" s="417" t="s">
        <v>28840</v>
      </c>
    </row>
    <row r="4795" spans="1:13" x14ac:dyDescent="0.25">
      <c r="A4795" s="417" t="s">
        <v>3385</v>
      </c>
      <c r="B4795" s="417" t="s">
        <v>3405</v>
      </c>
      <c r="C4795" s="417" t="s">
        <v>12063</v>
      </c>
      <c r="D4795" s="417" t="s">
        <v>73</v>
      </c>
      <c r="E4795" s="423">
        <v>8.2979611932495968E-4</v>
      </c>
      <c r="F4795" s="423">
        <v>3.039233136744381E-6</v>
      </c>
      <c r="G4795" s="422">
        <v>0.91124915921774441</v>
      </c>
      <c r="H4795" s="417" t="s">
        <v>2616</v>
      </c>
      <c r="I4795" s="417" t="s">
        <v>1392</v>
      </c>
      <c r="J4795" s="417" t="s">
        <v>11912</v>
      </c>
      <c r="K4795" s="417" t="s">
        <v>12064</v>
      </c>
      <c r="L4795" s="417"/>
      <c r="M4795" s="417" t="s">
        <v>28840</v>
      </c>
    </row>
    <row r="4796" spans="1:13" x14ac:dyDescent="0.25">
      <c r="A4796" s="417" t="s">
        <v>3385</v>
      </c>
      <c r="B4796" s="417" t="s">
        <v>3405</v>
      </c>
      <c r="C4796" s="417" t="s">
        <v>12065</v>
      </c>
      <c r="D4796" s="417" t="s">
        <v>73</v>
      </c>
      <c r="E4796" s="423">
        <v>4.2434423629059741E-2</v>
      </c>
      <c r="F4796" s="423">
        <v>1.8753825290400639E-4</v>
      </c>
      <c r="G4796" s="422">
        <v>52.827735305754423</v>
      </c>
      <c r="H4796" s="417" t="s">
        <v>2616</v>
      </c>
      <c r="I4796" s="417" t="s">
        <v>1392</v>
      </c>
      <c r="J4796" s="417" t="s">
        <v>11912</v>
      </c>
      <c r="K4796" s="417" t="s">
        <v>12066</v>
      </c>
      <c r="L4796" s="417"/>
      <c r="M4796" s="417" t="s">
        <v>28840</v>
      </c>
    </row>
    <row r="4797" spans="1:13" x14ac:dyDescent="0.25">
      <c r="A4797" s="417" t="s">
        <v>3385</v>
      </c>
      <c r="B4797" s="417" t="s">
        <v>3405</v>
      </c>
      <c r="C4797" s="417" t="s">
        <v>12067</v>
      </c>
      <c r="D4797" s="417" t="s">
        <v>73</v>
      </c>
      <c r="E4797" s="423">
        <v>4.3768150381296488E-3</v>
      </c>
      <c r="F4797" s="423">
        <v>6.2376938166275667E-4</v>
      </c>
      <c r="G4797" s="422">
        <v>12.171103671666749</v>
      </c>
      <c r="H4797" s="417" t="s">
        <v>2616</v>
      </c>
      <c r="I4797" s="417" t="s">
        <v>1392</v>
      </c>
      <c r="J4797" s="417" t="s">
        <v>4326</v>
      </c>
      <c r="K4797" s="417" t="s">
        <v>12068</v>
      </c>
      <c r="L4797" s="417"/>
      <c r="M4797" s="417" t="s">
        <v>28840</v>
      </c>
    </row>
    <row r="4798" spans="1:13" x14ac:dyDescent="0.25">
      <c r="A4798" s="417" t="s">
        <v>3385</v>
      </c>
      <c r="B4798" s="417" t="s">
        <v>3405</v>
      </c>
      <c r="C4798" s="417" t="s">
        <v>12069</v>
      </c>
      <c r="D4798" s="417" t="s">
        <v>73</v>
      </c>
      <c r="E4798" s="423">
        <v>4.3768150381296488E-3</v>
      </c>
      <c r="F4798" s="423">
        <v>6.2376938166275667E-4</v>
      </c>
      <c r="G4798" s="422">
        <v>12.171111307266751</v>
      </c>
      <c r="H4798" s="417" t="s">
        <v>2616</v>
      </c>
      <c r="I4798" s="417" t="s">
        <v>1392</v>
      </c>
      <c r="J4798" s="417" t="s">
        <v>4326</v>
      </c>
      <c r="K4798" s="417" t="s">
        <v>12070</v>
      </c>
      <c r="L4798" s="417"/>
      <c r="M4798" s="417" t="s">
        <v>28840</v>
      </c>
    </row>
    <row r="4799" spans="1:13" x14ac:dyDescent="0.25">
      <c r="A4799" s="417" t="s">
        <v>3385</v>
      </c>
      <c r="B4799" s="417" t="s">
        <v>3405</v>
      </c>
      <c r="C4799" s="417" t="s">
        <v>12071</v>
      </c>
      <c r="D4799" s="417" t="s">
        <v>73</v>
      </c>
      <c r="E4799" s="423">
        <v>4.9556800624441077E-3</v>
      </c>
      <c r="F4799" s="423">
        <v>9.6645568759019666E-4</v>
      </c>
      <c r="G4799" s="422">
        <v>14.99255707123462</v>
      </c>
      <c r="H4799" s="417" t="s">
        <v>2616</v>
      </c>
      <c r="I4799" s="417" t="s">
        <v>1392</v>
      </c>
      <c r="J4799" s="417" t="s">
        <v>4326</v>
      </c>
      <c r="K4799" s="417" t="s">
        <v>12072</v>
      </c>
      <c r="L4799" s="417"/>
      <c r="M4799" s="417" t="s">
        <v>28840</v>
      </c>
    </row>
    <row r="4800" spans="1:13" x14ac:dyDescent="0.25">
      <c r="A4800" s="417" t="s">
        <v>3385</v>
      </c>
      <c r="B4800" s="417" t="s">
        <v>3405</v>
      </c>
      <c r="C4800" s="417" t="s">
        <v>12073</v>
      </c>
      <c r="D4800" s="417" t="s">
        <v>73</v>
      </c>
      <c r="E4800" s="423">
        <v>4.9556800624441077E-3</v>
      </c>
      <c r="F4800" s="423">
        <v>9.6645568759019666E-4</v>
      </c>
      <c r="G4800" s="422">
        <v>14.99255810723462</v>
      </c>
      <c r="H4800" s="417" t="s">
        <v>2616</v>
      </c>
      <c r="I4800" s="417" t="s">
        <v>1392</v>
      </c>
      <c r="J4800" s="417" t="s">
        <v>4326</v>
      </c>
      <c r="K4800" s="417" t="s">
        <v>12074</v>
      </c>
      <c r="L4800" s="417"/>
      <c r="M4800" s="417" t="s">
        <v>28840</v>
      </c>
    </row>
    <row r="4801" spans="1:13" x14ac:dyDescent="0.25">
      <c r="A4801" s="417" t="s">
        <v>3385</v>
      </c>
      <c r="B4801" s="417" t="s">
        <v>3405</v>
      </c>
      <c r="C4801" s="417" t="s">
        <v>12075</v>
      </c>
      <c r="D4801" s="417" t="s">
        <v>73</v>
      </c>
      <c r="E4801" s="423">
        <v>9.5817439071819843E-3</v>
      </c>
      <c r="F4801" s="423">
        <v>1.5401387099985119E-3</v>
      </c>
      <c r="G4801" s="422">
        <v>37.092109961933133</v>
      </c>
      <c r="H4801" s="417" t="s">
        <v>2616</v>
      </c>
      <c r="I4801" s="417" t="s">
        <v>1392</v>
      </c>
      <c r="J4801" s="417" t="s">
        <v>4326</v>
      </c>
      <c r="K4801" s="417" t="s">
        <v>12076</v>
      </c>
      <c r="L4801" s="417"/>
      <c r="M4801" s="417" t="s">
        <v>28840</v>
      </c>
    </row>
    <row r="4802" spans="1:13" x14ac:dyDescent="0.25">
      <c r="A4802" s="417" t="s">
        <v>3385</v>
      </c>
      <c r="B4802" s="417" t="s">
        <v>3405</v>
      </c>
      <c r="C4802" s="417" t="s">
        <v>12077</v>
      </c>
      <c r="D4802" s="417" t="s">
        <v>73</v>
      </c>
      <c r="E4802" s="423">
        <v>9.5817439071819843E-3</v>
      </c>
      <c r="F4802" s="423">
        <v>1.5401387099985119E-3</v>
      </c>
      <c r="G4802" s="422">
        <v>37.092117597533132</v>
      </c>
      <c r="H4802" s="417" t="s">
        <v>2616</v>
      </c>
      <c r="I4802" s="417" t="s">
        <v>1392</v>
      </c>
      <c r="J4802" s="417" t="s">
        <v>4326</v>
      </c>
      <c r="K4802" s="417" t="s">
        <v>12078</v>
      </c>
      <c r="L4802" s="417"/>
      <c r="M4802" s="417" t="s">
        <v>28840</v>
      </c>
    </row>
    <row r="4803" spans="1:13" x14ac:dyDescent="0.25">
      <c r="A4803" s="417" t="s">
        <v>3385</v>
      </c>
      <c r="B4803" s="417" t="s">
        <v>3405</v>
      </c>
      <c r="C4803" s="417" t="s">
        <v>12079</v>
      </c>
      <c r="D4803" s="417" t="s">
        <v>73</v>
      </c>
      <c r="E4803" s="423">
        <v>1.3437774220533679E-2</v>
      </c>
      <c r="F4803" s="423">
        <v>2.4597961619829459E-3</v>
      </c>
      <c r="G4803" s="422">
        <v>55.604509218525799</v>
      </c>
      <c r="H4803" s="417" t="s">
        <v>2616</v>
      </c>
      <c r="I4803" s="417" t="s">
        <v>1392</v>
      </c>
      <c r="J4803" s="417" t="s">
        <v>4326</v>
      </c>
      <c r="K4803" s="417" t="s">
        <v>12080</v>
      </c>
      <c r="L4803" s="417"/>
      <c r="M4803" s="417" t="s">
        <v>28840</v>
      </c>
    </row>
    <row r="4804" spans="1:13" x14ac:dyDescent="0.25">
      <c r="A4804" s="417" t="s">
        <v>3385</v>
      </c>
      <c r="B4804" s="417" t="s">
        <v>3405</v>
      </c>
      <c r="C4804" s="417" t="s">
        <v>12081</v>
      </c>
      <c r="D4804" s="417" t="s">
        <v>73</v>
      </c>
      <c r="E4804" s="423">
        <v>1.343777421999259E-2</v>
      </c>
      <c r="F4804" s="423">
        <v>2.4597961620534902E-3</v>
      </c>
      <c r="G4804" s="422">
        <v>55.604510127391393</v>
      </c>
      <c r="H4804" s="417" t="s">
        <v>2616</v>
      </c>
      <c r="I4804" s="417" t="s">
        <v>1392</v>
      </c>
      <c r="J4804" s="417" t="s">
        <v>4326</v>
      </c>
      <c r="K4804" s="417" t="s">
        <v>12082</v>
      </c>
      <c r="L4804" s="417"/>
      <c r="M4804" s="417" t="s">
        <v>28840</v>
      </c>
    </row>
    <row r="4805" spans="1:13" x14ac:dyDescent="0.25">
      <c r="A4805" s="417" t="s">
        <v>3385</v>
      </c>
      <c r="B4805" s="417" t="s">
        <v>3405</v>
      </c>
      <c r="C4805" s="417" t="s">
        <v>12083</v>
      </c>
      <c r="D4805" s="417" t="s">
        <v>73</v>
      </c>
      <c r="E4805" s="423">
        <v>5.1919283178100744E-3</v>
      </c>
      <c r="F4805" s="423">
        <v>5.8784543919552677E-4</v>
      </c>
      <c r="G4805" s="422">
        <v>12.486686332118859</v>
      </c>
      <c r="H4805" s="417" t="s">
        <v>2616</v>
      </c>
      <c r="I4805" s="417" t="s">
        <v>1392</v>
      </c>
      <c r="J4805" s="417" t="s">
        <v>4326</v>
      </c>
      <c r="K4805" s="417" t="s">
        <v>12084</v>
      </c>
      <c r="L4805" s="417"/>
      <c r="M4805" s="417" t="s">
        <v>28840</v>
      </c>
    </row>
    <row r="4806" spans="1:13" x14ac:dyDescent="0.25">
      <c r="A4806" s="417" t="s">
        <v>3385</v>
      </c>
      <c r="B4806" s="417" t="s">
        <v>3405</v>
      </c>
      <c r="C4806" s="417" t="s">
        <v>12085</v>
      </c>
      <c r="D4806" s="417" t="s">
        <v>73</v>
      </c>
      <c r="E4806" s="423">
        <v>5.6609591319995451E-3</v>
      </c>
      <c r="F4806" s="423">
        <v>8.6551023213697121E-4</v>
      </c>
      <c r="G4806" s="422">
        <v>14.77281278248733</v>
      </c>
      <c r="H4806" s="417" t="s">
        <v>2616</v>
      </c>
      <c r="I4806" s="417" t="s">
        <v>1392</v>
      </c>
      <c r="J4806" s="417" t="s">
        <v>4326</v>
      </c>
      <c r="K4806" s="417" t="s">
        <v>12086</v>
      </c>
      <c r="L4806" s="417"/>
      <c r="M4806" s="417" t="s">
        <v>28840</v>
      </c>
    </row>
    <row r="4807" spans="1:13" x14ac:dyDescent="0.25">
      <c r="A4807" s="417" t="s">
        <v>3385</v>
      </c>
      <c r="B4807" s="417" t="s">
        <v>3405</v>
      </c>
      <c r="C4807" s="417" t="s">
        <v>12087</v>
      </c>
      <c r="D4807" s="417" t="s">
        <v>73</v>
      </c>
      <c r="E4807" s="423">
        <v>1.01705416688512E-2</v>
      </c>
      <c r="F4807" s="423">
        <v>1.4643701062167121E-3</v>
      </c>
      <c r="G4807" s="422">
        <v>36.324102094373572</v>
      </c>
      <c r="H4807" s="417" t="s">
        <v>2616</v>
      </c>
      <c r="I4807" s="417" t="s">
        <v>1392</v>
      </c>
      <c r="J4807" s="417" t="s">
        <v>4326</v>
      </c>
      <c r="K4807" s="417" t="s">
        <v>12088</v>
      </c>
      <c r="L4807" s="417"/>
      <c r="M4807" s="417" t="s">
        <v>28840</v>
      </c>
    </row>
    <row r="4808" spans="1:13" x14ac:dyDescent="0.25">
      <c r="A4808" s="417" t="s">
        <v>3385</v>
      </c>
      <c r="B4808" s="417" t="s">
        <v>3405</v>
      </c>
      <c r="C4808" s="417" t="s">
        <v>12089</v>
      </c>
      <c r="D4808" s="417" t="s">
        <v>73</v>
      </c>
      <c r="E4808" s="423">
        <v>1.3294926285608541E-2</v>
      </c>
      <c r="F4808" s="423">
        <v>2.209531168996593E-3</v>
      </c>
      <c r="G4808" s="422">
        <v>51.323964164494562</v>
      </c>
      <c r="H4808" s="417" t="s">
        <v>2616</v>
      </c>
      <c r="I4808" s="417" t="s">
        <v>1392</v>
      </c>
      <c r="J4808" s="417" t="s">
        <v>4326</v>
      </c>
      <c r="K4808" s="417" t="s">
        <v>12090</v>
      </c>
      <c r="L4808" s="417"/>
      <c r="M4808" s="417" t="s">
        <v>28840</v>
      </c>
    </row>
    <row r="4809" spans="1:13" x14ac:dyDescent="0.25">
      <c r="A4809" s="417" t="s">
        <v>3385</v>
      </c>
      <c r="B4809" s="417" t="s">
        <v>3405</v>
      </c>
      <c r="C4809" s="417" t="s">
        <v>12091</v>
      </c>
      <c r="D4809" s="417" t="s">
        <v>73</v>
      </c>
      <c r="E4809" s="423">
        <v>6.8732715094918422E-3</v>
      </c>
      <c r="F4809" s="423">
        <v>7.0263779764317047E-4</v>
      </c>
      <c r="G4809" s="422">
        <v>15.738580227701661</v>
      </c>
      <c r="H4809" s="417" t="s">
        <v>2616</v>
      </c>
      <c r="I4809" s="417" t="s">
        <v>1392</v>
      </c>
      <c r="J4809" s="417" t="s">
        <v>4326</v>
      </c>
      <c r="K4809" s="417" t="s">
        <v>12092</v>
      </c>
      <c r="L4809" s="417"/>
      <c r="M4809" s="417" t="s">
        <v>28840</v>
      </c>
    </row>
    <row r="4810" spans="1:13" x14ac:dyDescent="0.25">
      <c r="A4810" s="417" t="s">
        <v>3385</v>
      </c>
      <c r="B4810" s="417" t="s">
        <v>3405</v>
      </c>
      <c r="C4810" s="417" t="s">
        <v>12093</v>
      </c>
      <c r="D4810" s="417" t="s">
        <v>73</v>
      </c>
      <c r="E4810" s="423">
        <v>1.207820038808812E-2</v>
      </c>
      <c r="F4810" s="423">
        <v>1.6190071299154261E-3</v>
      </c>
      <c r="G4810" s="422">
        <v>40.659586690352938</v>
      </c>
      <c r="H4810" s="417" t="s">
        <v>2616</v>
      </c>
      <c r="I4810" s="417" t="s">
        <v>1392</v>
      </c>
      <c r="J4810" s="417" t="s">
        <v>4326</v>
      </c>
      <c r="K4810" s="417" t="s">
        <v>12094</v>
      </c>
      <c r="L4810" s="417"/>
      <c r="M4810" s="417" t="s">
        <v>28840</v>
      </c>
    </row>
    <row r="4811" spans="1:13" x14ac:dyDescent="0.25">
      <c r="A4811" s="417" t="s">
        <v>3385</v>
      </c>
      <c r="B4811" s="417" t="s">
        <v>3405</v>
      </c>
      <c r="C4811" s="417" t="s">
        <v>12095</v>
      </c>
      <c r="D4811" s="417" t="s">
        <v>73</v>
      </c>
      <c r="E4811" s="423">
        <v>3.6149099710412799E-3</v>
      </c>
      <c r="F4811" s="423">
        <v>5.8347848255032285E-4</v>
      </c>
      <c r="G4811" s="422">
        <v>10.92851667376428</v>
      </c>
      <c r="H4811" s="417" t="s">
        <v>2616</v>
      </c>
      <c r="I4811" s="417" t="s">
        <v>1392</v>
      </c>
      <c r="J4811" s="417" t="s">
        <v>4326</v>
      </c>
      <c r="K4811" s="417" t="s">
        <v>12096</v>
      </c>
      <c r="L4811" s="417"/>
      <c r="M4811" s="417" t="s">
        <v>28840</v>
      </c>
    </row>
    <row r="4812" spans="1:13" x14ac:dyDescent="0.25">
      <c r="A4812" s="417" t="s">
        <v>3385</v>
      </c>
      <c r="B4812" s="417" t="s">
        <v>3405</v>
      </c>
      <c r="C4812" s="417" t="s">
        <v>12097</v>
      </c>
      <c r="D4812" s="417" t="s">
        <v>73</v>
      </c>
      <c r="E4812" s="423">
        <v>4.1158046475853532E-3</v>
      </c>
      <c r="F4812" s="423">
        <v>8.800065836897168E-4</v>
      </c>
      <c r="G4812" s="422">
        <v>13.4070884208601</v>
      </c>
      <c r="H4812" s="417" t="s">
        <v>2616</v>
      </c>
      <c r="I4812" s="417" t="s">
        <v>1392</v>
      </c>
      <c r="J4812" s="417" t="s">
        <v>4326</v>
      </c>
      <c r="K4812" s="417" t="s">
        <v>12098</v>
      </c>
      <c r="L4812" s="417"/>
      <c r="M4812" s="417" t="s">
        <v>28840</v>
      </c>
    </row>
    <row r="4813" spans="1:13" x14ac:dyDescent="0.25">
      <c r="A4813" s="417" t="s">
        <v>3385</v>
      </c>
      <c r="B4813" s="417" t="s">
        <v>3405</v>
      </c>
      <c r="C4813" s="417" t="s">
        <v>12099</v>
      </c>
      <c r="D4813" s="417" t="s">
        <v>73</v>
      </c>
      <c r="E4813" s="423">
        <v>7.9360126054901451E-3</v>
      </c>
      <c r="F4813" s="423">
        <v>1.344243137878201E-3</v>
      </c>
      <c r="G4813" s="422">
        <v>31.617795749088081</v>
      </c>
      <c r="H4813" s="417" t="s">
        <v>2616</v>
      </c>
      <c r="I4813" s="417" t="s">
        <v>1392</v>
      </c>
      <c r="J4813" s="417" t="s">
        <v>4326</v>
      </c>
      <c r="K4813" s="417" t="s">
        <v>12100</v>
      </c>
      <c r="L4813" s="417"/>
      <c r="M4813" s="417" t="s">
        <v>28840</v>
      </c>
    </row>
    <row r="4814" spans="1:13" x14ac:dyDescent="0.25">
      <c r="A4814" s="417" t="s">
        <v>3385</v>
      </c>
      <c r="B4814" s="417" t="s">
        <v>3405</v>
      </c>
      <c r="C4814" s="417" t="s">
        <v>12101</v>
      </c>
      <c r="D4814" s="417" t="s">
        <v>73</v>
      </c>
      <c r="E4814" s="423">
        <v>1.127265402932854E-2</v>
      </c>
      <c r="F4814" s="423">
        <v>2.1400271204132571E-3</v>
      </c>
      <c r="G4814" s="422">
        <v>47.673817877868068</v>
      </c>
      <c r="H4814" s="417" t="s">
        <v>2616</v>
      </c>
      <c r="I4814" s="417" t="s">
        <v>1392</v>
      </c>
      <c r="J4814" s="417" t="s">
        <v>4326</v>
      </c>
      <c r="K4814" s="417" t="s">
        <v>12102</v>
      </c>
      <c r="L4814" s="417"/>
      <c r="M4814" s="417" t="s">
        <v>28840</v>
      </c>
    </row>
    <row r="4815" spans="1:13" x14ac:dyDescent="0.25">
      <c r="A4815" s="417" t="s">
        <v>3385</v>
      </c>
      <c r="B4815" s="417" t="s">
        <v>3405</v>
      </c>
      <c r="C4815" s="417" t="s">
        <v>12103</v>
      </c>
      <c r="D4815" s="417" t="s">
        <v>73</v>
      </c>
      <c r="E4815" s="423">
        <v>3.0252901786848381E-3</v>
      </c>
      <c r="F4815" s="423">
        <v>4.940409279179912E-4</v>
      </c>
      <c r="G4815" s="422">
        <v>9.3563220474125348</v>
      </c>
      <c r="H4815" s="417" t="s">
        <v>2616</v>
      </c>
      <c r="I4815" s="417" t="s">
        <v>1392</v>
      </c>
      <c r="J4815" s="417" t="s">
        <v>4326</v>
      </c>
      <c r="K4815" s="417" t="s">
        <v>12104</v>
      </c>
      <c r="L4815" s="417"/>
      <c r="M4815" s="417" t="s">
        <v>28840</v>
      </c>
    </row>
    <row r="4816" spans="1:13" x14ac:dyDescent="0.25">
      <c r="A4816" s="417" t="s">
        <v>3385</v>
      </c>
      <c r="B4816" s="417" t="s">
        <v>3405</v>
      </c>
      <c r="C4816" s="417" t="s">
        <v>12105</v>
      </c>
      <c r="D4816" s="417" t="s">
        <v>73</v>
      </c>
      <c r="E4816" s="423">
        <v>3.4795686659551809E-3</v>
      </c>
      <c r="F4816" s="423">
        <v>7.6297238851974676E-4</v>
      </c>
      <c r="G4816" s="422">
        <v>11.60421486064846</v>
      </c>
      <c r="H4816" s="417" t="s">
        <v>2616</v>
      </c>
      <c r="I4816" s="417" t="s">
        <v>1392</v>
      </c>
      <c r="J4816" s="417" t="s">
        <v>4326</v>
      </c>
      <c r="K4816" s="417" t="s">
        <v>12106</v>
      </c>
      <c r="L4816" s="417"/>
      <c r="M4816" s="417" t="s">
        <v>28840</v>
      </c>
    </row>
    <row r="4817" spans="1:13" x14ac:dyDescent="0.25">
      <c r="A4817" s="417" t="s">
        <v>3385</v>
      </c>
      <c r="B4817" s="417" t="s">
        <v>3405</v>
      </c>
      <c r="C4817" s="417" t="s">
        <v>12107</v>
      </c>
      <c r="D4817" s="417" t="s">
        <v>73</v>
      </c>
      <c r="E4817" s="423">
        <v>7.1892497820392094E-3</v>
      </c>
      <c r="F4817" s="423">
        <v>1.2271392938279649E-3</v>
      </c>
      <c r="G4817" s="422">
        <v>29.293206105819831</v>
      </c>
      <c r="H4817" s="417" t="s">
        <v>2616</v>
      </c>
      <c r="I4817" s="417" t="s">
        <v>1392</v>
      </c>
      <c r="J4817" s="417" t="s">
        <v>4326</v>
      </c>
      <c r="K4817" s="417" t="s">
        <v>12108</v>
      </c>
      <c r="L4817" s="417"/>
      <c r="M4817" s="417" t="s">
        <v>28840</v>
      </c>
    </row>
    <row r="4818" spans="1:13" x14ac:dyDescent="0.25">
      <c r="A4818" s="417" t="s">
        <v>3385</v>
      </c>
      <c r="B4818" s="417" t="s">
        <v>3405</v>
      </c>
      <c r="C4818" s="417" t="s">
        <v>12109</v>
      </c>
      <c r="D4818" s="417" t="s">
        <v>73</v>
      </c>
      <c r="E4818" s="423">
        <v>1.0215363851899801E-2</v>
      </c>
      <c r="F4818" s="423">
        <v>1.9488629710402671E-3</v>
      </c>
      <c r="G4818" s="422">
        <v>43.854952343660173</v>
      </c>
      <c r="H4818" s="417" t="s">
        <v>2616</v>
      </c>
      <c r="I4818" s="417" t="s">
        <v>1392</v>
      </c>
      <c r="J4818" s="417" t="s">
        <v>4326</v>
      </c>
      <c r="K4818" s="417" t="s">
        <v>12110</v>
      </c>
      <c r="L4818" s="417"/>
      <c r="M4818" s="417" t="s">
        <v>28840</v>
      </c>
    </row>
    <row r="4819" spans="1:13" x14ac:dyDescent="0.25">
      <c r="A4819" s="417" t="s">
        <v>3385</v>
      </c>
      <c r="B4819" s="417" t="s">
        <v>3405</v>
      </c>
      <c r="C4819" s="417" t="s">
        <v>12111</v>
      </c>
      <c r="D4819" s="417" t="s">
        <v>73</v>
      </c>
      <c r="E4819" s="423">
        <v>3.9527502554660386E-3</v>
      </c>
      <c r="F4819" s="423">
        <v>5.7553089155853456E-4</v>
      </c>
      <c r="G4819" s="422">
        <v>10.937564157310799</v>
      </c>
      <c r="H4819" s="417" t="s">
        <v>2616</v>
      </c>
      <c r="I4819" s="417" t="s">
        <v>1392</v>
      </c>
      <c r="J4819" s="417" t="s">
        <v>4326</v>
      </c>
      <c r="K4819" s="417" t="s">
        <v>12112</v>
      </c>
      <c r="L4819" s="417"/>
      <c r="M4819" s="417" t="s">
        <v>28840</v>
      </c>
    </row>
    <row r="4820" spans="1:13" x14ac:dyDescent="0.25">
      <c r="A4820" s="417" t="s">
        <v>3385</v>
      </c>
      <c r="B4820" s="417" t="s">
        <v>3405</v>
      </c>
      <c r="C4820" s="417" t="s">
        <v>12113</v>
      </c>
      <c r="D4820" s="417" t="s">
        <v>73</v>
      </c>
      <c r="E4820" s="423">
        <v>9.205356608421188E-3</v>
      </c>
      <c r="F4820" s="423">
        <v>1.3901804712205829E-3</v>
      </c>
      <c r="G4820" s="422">
        <v>33.712959157003809</v>
      </c>
      <c r="H4820" s="417" t="s">
        <v>2616</v>
      </c>
      <c r="I4820" s="417" t="s">
        <v>1392</v>
      </c>
      <c r="J4820" s="417" t="s">
        <v>4326</v>
      </c>
      <c r="K4820" s="417" t="s">
        <v>12114</v>
      </c>
      <c r="L4820" s="417"/>
      <c r="M4820" s="417" t="s">
        <v>28840</v>
      </c>
    </row>
    <row r="4821" spans="1:13" x14ac:dyDescent="0.25">
      <c r="A4821" s="417" t="s">
        <v>3385</v>
      </c>
      <c r="B4821" s="417" t="s">
        <v>3405</v>
      </c>
      <c r="C4821" s="417" t="s">
        <v>12115</v>
      </c>
      <c r="D4821" s="417" t="s">
        <v>73</v>
      </c>
      <c r="E4821" s="423">
        <v>1.425513363854599E-2</v>
      </c>
      <c r="F4821" s="423">
        <v>6.6524712626736825E-5</v>
      </c>
      <c r="G4821" s="422">
        <v>17.838512381512739</v>
      </c>
      <c r="H4821" s="417" t="s">
        <v>2616</v>
      </c>
      <c r="I4821" s="417" t="s">
        <v>1392</v>
      </c>
      <c r="J4821" s="417" t="s">
        <v>11945</v>
      </c>
      <c r="K4821" s="417" t="s">
        <v>12116</v>
      </c>
      <c r="L4821" s="417"/>
      <c r="M4821" s="417" t="s">
        <v>28840</v>
      </c>
    </row>
    <row r="4822" spans="1:13" x14ac:dyDescent="0.25">
      <c r="A4822" s="417" t="s">
        <v>3385</v>
      </c>
      <c r="B4822" s="417" t="s">
        <v>3405</v>
      </c>
      <c r="C4822" s="417" t="s">
        <v>12117</v>
      </c>
      <c r="D4822" s="417" t="s">
        <v>73</v>
      </c>
      <c r="E4822" s="423">
        <v>8.4793784551933121E-2</v>
      </c>
      <c r="F4822" s="423">
        <v>3.7933221802059471E-4</v>
      </c>
      <c r="G4822" s="422">
        <v>105.8603277966118</v>
      </c>
      <c r="H4822" s="417" t="s">
        <v>2616</v>
      </c>
      <c r="I4822" s="417" t="s">
        <v>1392</v>
      </c>
      <c r="J4822" s="417" t="s">
        <v>11945</v>
      </c>
      <c r="K4822" s="417" t="s">
        <v>12118</v>
      </c>
      <c r="L4822" s="417"/>
      <c r="M4822" s="417" t="s">
        <v>28840</v>
      </c>
    </row>
    <row r="4823" spans="1:13" x14ac:dyDescent="0.25">
      <c r="A4823" s="417" t="s">
        <v>3385</v>
      </c>
      <c r="B4823" s="417" t="s">
        <v>3405</v>
      </c>
      <c r="C4823" s="417" t="s">
        <v>12119</v>
      </c>
      <c r="D4823" s="417" t="s">
        <v>73</v>
      </c>
      <c r="E4823" s="423">
        <v>4.0707496990237867E-2</v>
      </c>
      <c r="F4823" s="423">
        <v>1.838286077131247E-4</v>
      </c>
      <c r="G4823" s="422">
        <v>50.847119368054351</v>
      </c>
      <c r="H4823" s="417" t="s">
        <v>2616</v>
      </c>
      <c r="I4823" s="417" t="s">
        <v>1392</v>
      </c>
      <c r="J4823" s="417" t="s">
        <v>11945</v>
      </c>
      <c r="K4823" s="417" t="s">
        <v>12120</v>
      </c>
      <c r="L4823" s="417"/>
      <c r="M4823" s="417" t="s">
        <v>28840</v>
      </c>
    </row>
    <row r="4824" spans="1:13" x14ac:dyDescent="0.25">
      <c r="A4824" s="417" t="s">
        <v>3385</v>
      </c>
      <c r="B4824" s="417" t="s">
        <v>3405</v>
      </c>
      <c r="C4824" s="417" t="s">
        <v>12121</v>
      </c>
      <c r="D4824" s="417" t="s">
        <v>73</v>
      </c>
      <c r="E4824" s="423">
        <v>0.1244749629547299</v>
      </c>
      <c r="F4824" s="423">
        <v>5.5528606891355053E-4</v>
      </c>
      <c r="G4824" s="422">
        <v>155.3757661385537</v>
      </c>
      <c r="H4824" s="417" t="s">
        <v>2616</v>
      </c>
      <c r="I4824" s="417" t="s">
        <v>1392</v>
      </c>
      <c r="J4824" s="417" t="s">
        <v>11945</v>
      </c>
      <c r="K4824" s="417" t="s">
        <v>12122</v>
      </c>
      <c r="L4824" s="417"/>
      <c r="M4824" s="417" t="s">
        <v>28840</v>
      </c>
    </row>
    <row r="4825" spans="1:13" x14ac:dyDescent="0.25">
      <c r="A4825" s="417" t="s">
        <v>3385</v>
      </c>
      <c r="B4825" s="417" t="s">
        <v>3405</v>
      </c>
      <c r="C4825" s="417" t="s">
        <v>12123</v>
      </c>
      <c r="D4825" s="417" t="s">
        <v>73</v>
      </c>
      <c r="E4825" s="423">
        <v>5.2830903102667977E-2</v>
      </c>
      <c r="F4825" s="423">
        <v>2.375924140455571E-4</v>
      </c>
      <c r="G4825" s="422">
        <v>65.97543682401141</v>
      </c>
      <c r="H4825" s="417" t="s">
        <v>2616</v>
      </c>
      <c r="I4825" s="417" t="s">
        <v>1392</v>
      </c>
      <c r="J4825" s="417" t="s">
        <v>11945</v>
      </c>
      <c r="K4825" s="417" t="s">
        <v>12124</v>
      </c>
      <c r="L4825" s="417"/>
      <c r="M4825" s="417" t="s">
        <v>28840</v>
      </c>
    </row>
    <row r="4826" spans="1:13" x14ac:dyDescent="0.25">
      <c r="A4826" s="417" t="s">
        <v>3385</v>
      </c>
      <c r="B4826" s="417" t="s">
        <v>3405</v>
      </c>
      <c r="C4826" s="417" t="s">
        <v>12125</v>
      </c>
      <c r="D4826" s="417" t="s">
        <v>73</v>
      </c>
      <c r="E4826" s="423">
        <v>1.480887662044755E-5</v>
      </c>
      <c r="F4826" s="423">
        <v>2.6725004915753869E-7</v>
      </c>
      <c r="G4826" s="422">
        <v>0.58266749830612863</v>
      </c>
      <c r="H4826" s="417" t="s">
        <v>2616</v>
      </c>
      <c r="I4826" s="417" t="s">
        <v>1392</v>
      </c>
      <c r="J4826" s="417" t="s">
        <v>7577</v>
      </c>
      <c r="K4826" s="417" t="s">
        <v>12126</v>
      </c>
      <c r="L4826" s="417"/>
      <c r="M4826" s="417" t="s">
        <v>28840</v>
      </c>
    </row>
    <row r="4827" spans="1:13" x14ac:dyDescent="0.25">
      <c r="A4827" s="417" t="s">
        <v>3385</v>
      </c>
      <c r="B4827" s="417" t="s">
        <v>3405</v>
      </c>
      <c r="C4827" s="417" t="s">
        <v>12127</v>
      </c>
      <c r="D4827" s="417" t="s">
        <v>73</v>
      </c>
      <c r="E4827" s="423">
        <v>3.4085331367867888E-5</v>
      </c>
      <c r="F4827" s="423">
        <v>6.1512853972253744E-7</v>
      </c>
      <c r="G4827" s="422">
        <v>1.341149582670506</v>
      </c>
      <c r="H4827" s="417" t="s">
        <v>2616</v>
      </c>
      <c r="I4827" s="417" t="s">
        <v>1392</v>
      </c>
      <c r="J4827" s="417" t="s">
        <v>7577</v>
      </c>
      <c r="K4827" s="417" t="s">
        <v>12128</v>
      </c>
      <c r="L4827" s="417"/>
      <c r="M4827" s="417" t="s">
        <v>28840</v>
      </c>
    </row>
    <row r="4828" spans="1:13" x14ac:dyDescent="0.25">
      <c r="A4828" s="417" t="s">
        <v>3385</v>
      </c>
      <c r="B4828" s="417" t="s">
        <v>3405</v>
      </c>
      <c r="C4828" s="417" t="s">
        <v>12129</v>
      </c>
      <c r="D4828" s="417" t="s">
        <v>73</v>
      </c>
      <c r="E4828" s="423">
        <v>4.9171817202515462E-2</v>
      </c>
      <c r="F4828" s="423">
        <v>1.6699104310946959E-4</v>
      </c>
      <c r="G4828" s="422">
        <v>61.685813145050403</v>
      </c>
      <c r="H4828" s="417" t="s">
        <v>2616</v>
      </c>
      <c r="I4828" s="417" t="s">
        <v>1392</v>
      </c>
      <c r="J4828" s="417" t="s">
        <v>11945</v>
      </c>
      <c r="K4828" s="417" t="s">
        <v>12130</v>
      </c>
      <c r="L4828" s="417"/>
      <c r="M4828" s="417" t="s">
        <v>28840</v>
      </c>
    </row>
    <row r="4829" spans="1:13" x14ac:dyDescent="0.25">
      <c r="A4829" s="417" t="s">
        <v>3385</v>
      </c>
      <c r="B4829" s="417" t="s">
        <v>3405</v>
      </c>
      <c r="C4829" s="417" t="s">
        <v>12131</v>
      </c>
      <c r="D4829" s="417" t="s">
        <v>73</v>
      </c>
      <c r="E4829" s="423">
        <v>9.1495007735328635E-2</v>
      </c>
      <c r="F4829" s="423">
        <v>3.5467554748497981E-4</v>
      </c>
      <c r="G4829" s="422">
        <v>114.4989023612014</v>
      </c>
      <c r="H4829" s="417" t="s">
        <v>2616</v>
      </c>
      <c r="I4829" s="417" t="s">
        <v>1392</v>
      </c>
      <c r="J4829" s="417" t="s">
        <v>11945</v>
      </c>
      <c r="K4829" s="417" t="s">
        <v>12132</v>
      </c>
      <c r="L4829" s="417"/>
      <c r="M4829" s="417" t="s">
        <v>28840</v>
      </c>
    </row>
    <row r="4830" spans="1:13" x14ac:dyDescent="0.25">
      <c r="A4830" s="417" t="s">
        <v>3385</v>
      </c>
      <c r="B4830" s="417" t="s">
        <v>3405</v>
      </c>
      <c r="C4830" s="417" t="s">
        <v>12133</v>
      </c>
      <c r="D4830" s="417" t="s">
        <v>73</v>
      </c>
      <c r="E4830" s="423">
        <v>6.5043235212191047E-2</v>
      </c>
      <c r="F4830" s="423">
        <v>2.3737338100032551E-4</v>
      </c>
      <c r="G4830" s="422">
        <v>81.490977324253194</v>
      </c>
      <c r="H4830" s="417" t="s">
        <v>2616</v>
      </c>
      <c r="I4830" s="417" t="s">
        <v>1392</v>
      </c>
      <c r="J4830" s="417" t="s">
        <v>11945</v>
      </c>
      <c r="K4830" s="417" t="s">
        <v>12134</v>
      </c>
      <c r="L4830" s="417"/>
      <c r="M4830" s="417" t="s">
        <v>28840</v>
      </c>
    </row>
    <row r="4831" spans="1:13" x14ac:dyDescent="0.25">
      <c r="A4831" s="417" t="s">
        <v>3385</v>
      </c>
      <c r="B4831" s="417" t="s">
        <v>3405</v>
      </c>
      <c r="C4831" s="417" t="s">
        <v>12135</v>
      </c>
      <c r="D4831" s="417" t="s">
        <v>73</v>
      </c>
      <c r="E4831" s="423">
        <v>0.1153037147772937</v>
      </c>
      <c r="F4831" s="423">
        <v>4.6024785467959939E-4</v>
      </c>
      <c r="G4831" s="422">
        <v>144.20816535953051</v>
      </c>
      <c r="H4831" s="417" t="s">
        <v>2616</v>
      </c>
      <c r="I4831" s="417" t="s">
        <v>1392</v>
      </c>
      <c r="J4831" s="417" t="s">
        <v>11945</v>
      </c>
      <c r="K4831" s="417" t="s">
        <v>12136</v>
      </c>
      <c r="L4831" s="417"/>
      <c r="M4831" s="417" t="s">
        <v>28840</v>
      </c>
    </row>
    <row r="4832" spans="1:13" x14ac:dyDescent="0.25">
      <c r="A4832" s="417" t="s">
        <v>3385</v>
      </c>
      <c r="B4832" s="417" t="s">
        <v>3405</v>
      </c>
      <c r="C4832" s="417" t="s">
        <v>12137</v>
      </c>
      <c r="D4832" s="417" t="s">
        <v>73</v>
      </c>
      <c r="E4832" s="423">
        <v>7.2317278879197838E-2</v>
      </c>
      <c r="F4832" s="423">
        <v>2.6963166531318399E-4</v>
      </c>
      <c r="G4832" s="422">
        <v>90.567967809641971</v>
      </c>
      <c r="H4832" s="417" t="s">
        <v>2616</v>
      </c>
      <c r="I4832" s="417" t="s">
        <v>1392</v>
      </c>
      <c r="J4832" s="417" t="s">
        <v>11945</v>
      </c>
      <c r="K4832" s="417" t="s">
        <v>12138</v>
      </c>
      <c r="L4832" s="417"/>
      <c r="M4832" s="417" t="s">
        <v>28840</v>
      </c>
    </row>
    <row r="4833" spans="1:13" x14ac:dyDescent="0.25">
      <c r="A4833" s="417" t="s">
        <v>3385</v>
      </c>
      <c r="B4833" s="417" t="s">
        <v>3405</v>
      </c>
      <c r="C4833" s="417" t="s">
        <v>12139</v>
      </c>
      <c r="D4833" s="417" t="s">
        <v>73</v>
      </c>
      <c r="E4833" s="423">
        <v>2.2833761677245691E-2</v>
      </c>
      <c r="F4833" s="423">
        <v>3.6354440022620282E-2</v>
      </c>
      <c r="G4833" s="422">
        <v>46.060466753146592</v>
      </c>
      <c r="H4833" s="417" t="s">
        <v>2616</v>
      </c>
      <c r="I4833" s="417" t="s">
        <v>1392</v>
      </c>
      <c r="J4833" s="417" t="s">
        <v>12019</v>
      </c>
      <c r="K4833" s="417" t="s">
        <v>12140</v>
      </c>
      <c r="L4833" s="417"/>
      <c r="M4833" s="417" t="s">
        <v>28840</v>
      </c>
    </row>
    <row r="4834" spans="1:13" x14ac:dyDescent="0.25">
      <c r="A4834" s="417" t="s">
        <v>3385</v>
      </c>
      <c r="B4834" s="417" t="s">
        <v>3405</v>
      </c>
      <c r="C4834" s="417" t="s">
        <v>12141</v>
      </c>
      <c r="D4834" s="417" t="s">
        <v>73</v>
      </c>
      <c r="E4834" s="423">
        <v>2.0922341255246939E-2</v>
      </c>
      <c r="F4834" s="423">
        <v>3.4075282628395119E-2</v>
      </c>
      <c r="G4834" s="422">
        <v>65.281778011239822</v>
      </c>
      <c r="H4834" s="417" t="s">
        <v>2616</v>
      </c>
      <c r="I4834" s="417" t="s">
        <v>1392</v>
      </c>
      <c r="J4834" s="417" t="s">
        <v>12019</v>
      </c>
      <c r="K4834" s="417" t="s">
        <v>12142</v>
      </c>
      <c r="L4834" s="417"/>
      <c r="M4834" s="417" t="s">
        <v>28840</v>
      </c>
    </row>
    <row r="4835" spans="1:13" x14ac:dyDescent="0.25">
      <c r="A4835" s="417" t="s">
        <v>3385</v>
      </c>
      <c r="B4835" s="417" t="s">
        <v>3405</v>
      </c>
      <c r="C4835" s="417" t="s">
        <v>12143</v>
      </c>
      <c r="D4835" s="417" t="s">
        <v>73</v>
      </c>
      <c r="E4835" s="423">
        <v>2.0538250016432349E-2</v>
      </c>
      <c r="F4835" s="423">
        <v>0.1001053514287792</v>
      </c>
      <c r="G4835" s="422">
        <v>90.508484674915238</v>
      </c>
      <c r="H4835" s="417" t="s">
        <v>2616</v>
      </c>
      <c r="I4835" s="417" t="s">
        <v>1392</v>
      </c>
      <c r="J4835" s="417" t="s">
        <v>12019</v>
      </c>
      <c r="K4835" s="417" t="s">
        <v>12144</v>
      </c>
      <c r="L4835" s="417"/>
      <c r="M4835" s="417" t="s">
        <v>28840</v>
      </c>
    </row>
    <row r="4836" spans="1:13" x14ac:dyDescent="0.25">
      <c r="A4836" s="417" t="s">
        <v>3385</v>
      </c>
      <c r="B4836" s="417" t="s">
        <v>3405</v>
      </c>
      <c r="C4836" s="417" t="s">
        <v>12145</v>
      </c>
      <c r="D4836" s="417" t="s">
        <v>73</v>
      </c>
      <c r="E4836" s="423">
        <v>1.190899578598854E-2</v>
      </c>
      <c r="F4836" s="423">
        <v>7.8904898431509274E-2</v>
      </c>
      <c r="G4836" s="422">
        <v>19.251051995123831</v>
      </c>
      <c r="H4836" s="417" t="s">
        <v>2616</v>
      </c>
      <c r="I4836" s="417" t="s">
        <v>1392</v>
      </c>
      <c r="J4836" s="417" t="s">
        <v>12019</v>
      </c>
      <c r="K4836" s="417" t="s">
        <v>12146</v>
      </c>
      <c r="L4836" s="417"/>
      <c r="M4836" s="417" t="s">
        <v>28840</v>
      </c>
    </row>
    <row r="4837" spans="1:13" x14ac:dyDescent="0.25">
      <c r="A4837" s="417" t="s">
        <v>3385</v>
      </c>
      <c r="B4837" s="417" t="s">
        <v>3405</v>
      </c>
      <c r="C4837" s="417" t="s">
        <v>12147</v>
      </c>
      <c r="D4837" s="417" t="s">
        <v>73</v>
      </c>
      <c r="E4837" s="423">
        <v>1.6168502672563239E-2</v>
      </c>
      <c r="F4837" s="423">
        <v>3.3042271652407661E-2</v>
      </c>
      <c r="G4837" s="422">
        <v>59.341042458952217</v>
      </c>
      <c r="H4837" s="417" t="s">
        <v>2616</v>
      </c>
      <c r="I4837" s="417" t="s">
        <v>1392</v>
      </c>
      <c r="J4837" s="417" t="s">
        <v>12019</v>
      </c>
      <c r="K4837" s="417" t="s">
        <v>12148</v>
      </c>
      <c r="L4837" s="417"/>
      <c r="M4837" s="417" t="s">
        <v>28840</v>
      </c>
    </row>
    <row r="4838" spans="1:13" x14ac:dyDescent="0.25">
      <c r="A4838" s="417" t="s">
        <v>3385</v>
      </c>
      <c r="B4838" s="417" t="s">
        <v>3405</v>
      </c>
      <c r="C4838" s="417" t="s">
        <v>12149</v>
      </c>
      <c r="D4838" s="417" t="s">
        <v>73</v>
      </c>
      <c r="E4838" s="423">
        <v>1.3682070136960449E-2</v>
      </c>
      <c r="F4838" s="423">
        <v>3.2223856274426567E-2</v>
      </c>
      <c r="G4838" s="422">
        <v>35.501270418370368</v>
      </c>
      <c r="H4838" s="417" t="s">
        <v>2616</v>
      </c>
      <c r="I4838" s="417" t="s">
        <v>1392</v>
      </c>
      <c r="J4838" s="417" t="s">
        <v>12019</v>
      </c>
      <c r="K4838" s="417" t="s">
        <v>12150</v>
      </c>
      <c r="L4838" s="417"/>
      <c r="M4838" s="417" t="s">
        <v>28840</v>
      </c>
    </row>
    <row r="4839" spans="1:13" x14ac:dyDescent="0.25">
      <c r="A4839" s="417" t="s">
        <v>3385</v>
      </c>
      <c r="B4839" s="417" t="s">
        <v>3405</v>
      </c>
      <c r="C4839" s="417" t="s">
        <v>12151</v>
      </c>
      <c r="D4839" s="417" t="s">
        <v>73</v>
      </c>
      <c r="E4839" s="423">
        <v>1.642747290214502E-2</v>
      </c>
      <c r="F4839" s="423">
        <v>3.3086338598256167E-2</v>
      </c>
      <c r="G4839" s="422">
        <v>50.254906419663783</v>
      </c>
      <c r="H4839" s="417" t="s">
        <v>2616</v>
      </c>
      <c r="I4839" s="417" t="s">
        <v>1392</v>
      </c>
      <c r="J4839" s="417" t="s">
        <v>12019</v>
      </c>
      <c r="K4839" s="417" t="s">
        <v>12152</v>
      </c>
      <c r="L4839" s="417"/>
      <c r="M4839" s="417" t="s">
        <v>28840</v>
      </c>
    </row>
    <row r="4840" spans="1:13" x14ac:dyDescent="0.25">
      <c r="A4840" s="417" t="s">
        <v>3385</v>
      </c>
      <c r="B4840" s="417" t="s">
        <v>3405</v>
      </c>
      <c r="C4840" s="417" t="s">
        <v>12153</v>
      </c>
      <c r="D4840" s="417" t="s">
        <v>73</v>
      </c>
      <c r="E4840" s="423">
        <v>3.5024077602643977E-2</v>
      </c>
      <c r="F4840" s="423">
        <v>6.9208429008369488E-2</v>
      </c>
      <c r="G4840" s="422">
        <v>45.622584242475881</v>
      </c>
      <c r="H4840" s="417" t="s">
        <v>2616</v>
      </c>
      <c r="I4840" s="417" t="s">
        <v>1392</v>
      </c>
      <c r="J4840" s="417" t="s">
        <v>4245</v>
      </c>
      <c r="K4840" s="417" t="s">
        <v>12154</v>
      </c>
      <c r="L4840" s="417"/>
      <c r="M4840" s="417" t="s">
        <v>28840</v>
      </c>
    </row>
    <row r="4841" spans="1:13" x14ac:dyDescent="0.25">
      <c r="A4841" s="417" t="s">
        <v>3385</v>
      </c>
      <c r="B4841" s="417" t="s">
        <v>3405</v>
      </c>
      <c r="C4841" s="417" t="s">
        <v>12155</v>
      </c>
      <c r="D4841" s="417" t="s">
        <v>73</v>
      </c>
      <c r="E4841" s="423">
        <v>3.4679610476903128E-2</v>
      </c>
      <c r="F4841" s="423">
        <v>6.9067329478884873E-2</v>
      </c>
      <c r="G4841" s="422">
        <v>44.834563588643562</v>
      </c>
      <c r="H4841" s="417" t="s">
        <v>2616</v>
      </c>
      <c r="I4841" s="417" t="s">
        <v>1392</v>
      </c>
      <c r="J4841" s="417" t="s">
        <v>4245</v>
      </c>
      <c r="K4841" s="417" t="s">
        <v>12156</v>
      </c>
      <c r="L4841" s="417"/>
      <c r="M4841" s="417" t="s">
        <v>28840</v>
      </c>
    </row>
    <row r="4842" spans="1:13" x14ac:dyDescent="0.25">
      <c r="A4842" s="417" t="s">
        <v>3385</v>
      </c>
      <c r="B4842" s="417" t="s">
        <v>3405</v>
      </c>
      <c r="C4842" s="417" t="s">
        <v>12157</v>
      </c>
      <c r="D4842" s="417" t="s">
        <v>73</v>
      </c>
      <c r="E4842" s="423">
        <v>3.4875840793026053E-2</v>
      </c>
      <c r="F4842" s="423">
        <v>6.9197989228381496E-2</v>
      </c>
      <c r="G4842" s="422">
        <v>45.203888655937313</v>
      </c>
      <c r="H4842" s="417" t="s">
        <v>2616</v>
      </c>
      <c r="I4842" s="417" t="s">
        <v>1392</v>
      </c>
      <c r="J4842" s="417" t="s">
        <v>4245</v>
      </c>
      <c r="K4842" s="417" t="s">
        <v>12158</v>
      </c>
      <c r="L4842" s="417"/>
      <c r="M4842" s="417" t="s">
        <v>28840</v>
      </c>
    </row>
    <row r="4843" spans="1:13" x14ac:dyDescent="0.25">
      <c r="A4843" s="417" t="s">
        <v>3385</v>
      </c>
      <c r="B4843" s="417" t="s">
        <v>3405</v>
      </c>
      <c r="C4843" s="417" t="s">
        <v>12159</v>
      </c>
      <c r="D4843" s="417" t="s">
        <v>73</v>
      </c>
      <c r="E4843" s="423">
        <v>3.099400112047369E-2</v>
      </c>
      <c r="F4843" s="423">
        <v>1.5166189198438051E-2</v>
      </c>
      <c r="G4843" s="422">
        <v>44.038937201844938</v>
      </c>
      <c r="H4843" s="417" t="s">
        <v>2616</v>
      </c>
      <c r="I4843" s="417" t="s">
        <v>1392</v>
      </c>
      <c r="J4843" s="417" t="s">
        <v>4326</v>
      </c>
      <c r="K4843" s="417" t="s">
        <v>12160</v>
      </c>
      <c r="L4843" s="417"/>
      <c r="M4843" s="417" t="s">
        <v>28840</v>
      </c>
    </row>
    <row r="4844" spans="1:13" x14ac:dyDescent="0.25">
      <c r="A4844" s="417" t="s">
        <v>3385</v>
      </c>
      <c r="B4844" s="417" t="s">
        <v>3405</v>
      </c>
      <c r="C4844" s="417" t="s">
        <v>12161</v>
      </c>
      <c r="D4844" s="417" t="s">
        <v>73</v>
      </c>
      <c r="E4844" s="423">
        <v>4.0023460126630772E-2</v>
      </c>
      <c r="F4844" s="423">
        <v>7.9751332379658563E-2</v>
      </c>
      <c r="G4844" s="422">
        <v>51.716357139335877</v>
      </c>
      <c r="H4844" s="417" t="s">
        <v>2616</v>
      </c>
      <c r="I4844" s="417" t="s">
        <v>1392</v>
      </c>
      <c r="J4844" s="417" t="s">
        <v>4245</v>
      </c>
      <c r="K4844" s="417" t="s">
        <v>12162</v>
      </c>
      <c r="L4844" s="417"/>
      <c r="M4844" s="417" t="s">
        <v>28840</v>
      </c>
    </row>
    <row r="4845" spans="1:13" x14ac:dyDescent="0.25">
      <c r="A4845" s="417" t="s">
        <v>3385</v>
      </c>
      <c r="B4845" s="417" t="s">
        <v>3405</v>
      </c>
      <c r="C4845" s="417" t="s">
        <v>12163</v>
      </c>
      <c r="D4845" s="417" t="s">
        <v>73</v>
      </c>
      <c r="E4845" s="423">
        <v>2.6978727864627069E-2</v>
      </c>
      <c r="F4845" s="423">
        <v>2.6135824405266921E-3</v>
      </c>
      <c r="G4845" s="422">
        <v>53.56066779214612</v>
      </c>
      <c r="H4845" s="417" t="s">
        <v>2616</v>
      </c>
      <c r="I4845" s="417" t="s">
        <v>1392</v>
      </c>
      <c r="J4845" s="417" t="s">
        <v>11912</v>
      </c>
      <c r="K4845" s="417" t="s">
        <v>12164</v>
      </c>
      <c r="L4845" s="417"/>
      <c r="M4845" s="417" t="s">
        <v>28840</v>
      </c>
    </row>
    <row r="4846" spans="1:13" x14ac:dyDescent="0.25">
      <c r="A4846" s="417" t="s">
        <v>3385</v>
      </c>
      <c r="B4846" s="417" t="s">
        <v>3405</v>
      </c>
      <c r="C4846" s="417" t="s">
        <v>12165</v>
      </c>
      <c r="D4846" s="417" t="s">
        <v>73</v>
      </c>
      <c r="E4846" s="423">
        <v>2.4892202422956498E-2</v>
      </c>
      <c r="F4846" s="423">
        <v>0.14278883702465009</v>
      </c>
      <c r="G4846" s="422">
        <v>83.378746777660226</v>
      </c>
      <c r="H4846" s="417" t="s">
        <v>2616</v>
      </c>
      <c r="I4846" s="417" t="s">
        <v>1392</v>
      </c>
      <c r="J4846" s="417" t="s">
        <v>4245</v>
      </c>
      <c r="K4846" s="417" t="s">
        <v>12166</v>
      </c>
      <c r="L4846" s="417"/>
      <c r="M4846" s="417" t="s">
        <v>28840</v>
      </c>
    </row>
    <row r="4847" spans="1:13" x14ac:dyDescent="0.25">
      <c r="A4847" s="417" t="s">
        <v>3385</v>
      </c>
      <c r="B4847" s="417" t="s">
        <v>3405</v>
      </c>
      <c r="C4847" s="417" t="s">
        <v>12167</v>
      </c>
      <c r="D4847" s="417" t="s">
        <v>73</v>
      </c>
      <c r="E4847" s="423">
        <v>2.5014237919867999E-2</v>
      </c>
      <c r="F4847" s="423">
        <v>0.14287691080073681</v>
      </c>
      <c r="G4847" s="422">
        <v>69.255081339227189</v>
      </c>
      <c r="H4847" s="417" t="s">
        <v>2616</v>
      </c>
      <c r="I4847" s="417" t="s">
        <v>1392</v>
      </c>
      <c r="J4847" s="417" t="s">
        <v>4245</v>
      </c>
      <c r="K4847" s="417" t="s">
        <v>12168</v>
      </c>
      <c r="L4847" s="417"/>
      <c r="M4847" s="417" t="s">
        <v>28840</v>
      </c>
    </row>
    <row r="4848" spans="1:13" x14ac:dyDescent="0.25">
      <c r="A4848" s="417" t="s">
        <v>3385</v>
      </c>
      <c r="B4848" s="417" t="s">
        <v>3405</v>
      </c>
      <c r="C4848" s="417" t="s">
        <v>12169</v>
      </c>
      <c r="D4848" s="417" t="s">
        <v>73</v>
      </c>
      <c r="E4848" s="423">
        <v>2.4922669930795199E-2</v>
      </c>
      <c r="F4848" s="423">
        <v>0.14279256848745209</v>
      </c>
      <c r="G4848" s="422">
        <v>69.087673729904552</v>
      </c>
      <c r="H4848" s="417" t="s">
        <v>2616</v>
      </c>
      <c r="I4848" s="417" t="s">
        <v>1392</v>
      </c>
      <c r="J4848" s="417" t="s">
        <v>4245</v>
      </c>
      <c r="K4848" s="417" t="s">
        <v>12170</v>
      </c>
      <c r="L4848" s="417"/>
      <c r="M4848" s="417" t="s">
        <v>28840</v>
      </c>
    </row>
    <row r="4849" spans="1:13" x14ac:dyDescent="0.25">
      <c r="A4849" s="417" t="s">
        <v>3385</v>
      </c>
      <c r="B4849" s="417" t="s">
        <v>3405</v>
      </c>
      <c r="C4849" s="417" t="s">
        <v>12171</v>
      </c>
      <c r="D4849" s="417" t="s">
        <v>73</v>
      </c>
      <c r="E4849" s="423">
        <v>1.0261873398053151E-2</v>
      </c>
      <c r="F4849" s="423">
        <v>0.16823229948614801</v>
      </c>
      <c r="G4849" s="422">
        <v>65.134036328902283</v>
      </c>
      <c r="H4849" s="417" t="s">
        <v>2616</v>
      </c>
      <c r="I4849" s="417" t="s">
        <v>1392</v>
      </c>
      <c r="J4849" s="417" t="s">
        <v>4245</v>
      </c>
      <c r="K4849" s="417" t="s">
        <v>12172</v>
      </c>
      <c r="L4849" s="417"/>
      <c r="M4849" s="417" t="s">
        <v>28840</v>
      </c>
    </row>
    <row r="4850" spans="1:13" x14ac:dyDescent="0.25">
      <c r="A4850" s="417" t="s">
        <v>3385</v>
      </c>
      <c r="B4850" s="417" t="s">
        <v>3405</v>
      </c>
      <c r="C4850" s="417" t="s">
        <v>12173</v>
      </c>
      <c r="D4850" s="417" t="s">
        <v>73</v>
      </c>
      <c r="E4850" s="423">
        <v>2.495321847786202E-2</v>
      </c>
      <c r="F4850" s="423">
        <v>0.14283287280014689</v>
      </c>
      <c r="G4850" s="422">
        <v>76.316728845011269</v>
      </c>
      <c r="H4850" s="417" t="s">
        <v>2616</v>
      </c>
      <c r="I4850" s="417" t="s">
        <v>1392</v>
      </c>
      <c r="J4850" s="417" t="s">
        <v>4245</v>
      </c>
      <c r="K4850" s="417" t="s">
        <v>12174</v>
      </c>
      <c r="L4850" s="417"/>
      <c r="M4850" s="417" t="s">
        <v>28840</v>
      </c>
    </row>
    <row r="4851" spans="1:13" x14ac:dyDescent="0.25">
      <c r="A4851" s="417" t="s">
        <v>3385</v>
      </c>
      <c r="B4851" s="417" t="s">
        <v>3405</v>
      </c>
      <c r="C4851" s="417" t="s">
        <v>12175</v>
      </c>
      <c r="D4851" s="417" t="s">
        <v>73</v>
      </c>
      <c r="E4851" s="423">
        <v>1.6624563176150031E-2</v>
      </c>
      <c r="F4851" s="423">
        <v>7.7103990893779195E-4</v>
      </c>
      <c r="G4851" s="422">
        <v>77.067987547660593</v>
      </c>
      <c r="H4851" s="417" t="s">
        <v>2616</v>
      </c>
      <c r="I4851" s="417" t="s">
        <v>1392</v>
      </c>
      <c r="J4851" s="417" t="s">
        <v>11843</v>
      </c>
      <c r="K4851" s="417" t="s">
        <v>12176</v>
      </c>
      <c r="L4851" s="417"/>
      <c r="M4851" s="417" t="s">
        <v>28840</v>
      </c>
    </row>
    <row r="4852" spans="1:13" x14ac:dyDescent="0.25">
      <c r="A4852" s="417" t="s">
        <v>3385</v>
      </c>
      <c r="B4852" s="417" t="s">
        <v>3405</v>
      </c>
      <c r="C4852" s="417" t="s">
        <v>12177</v>
      </c>
      <c r="D4852" s="417" t="s">
        <v>73</v>
      </c>
      <c r="E4852" s="423">
        <v>5.5527327522151122E-2</v>
      </c>
      <c r="F4852" s="423">
        <v>1.1548010453170331E-4</v>
      </c>
      <c r="G4852" s="422">
        <v>68.019835567602286</v>
      </c>
      <c r="H4852" s="417" t="s">
        <v>2616</v>
      </c>
      <c r="I4852" s="417" t="s">
        <v>1392</v>
      </c>
      <c r="J4852" s="417" t="s">
        <v>12178</v>
      </c>
      <c r="K4852" s="417" t="s">
        <v>12179</v>
      </c>
      <c r="L4852" s="417"/>
      <c r="M4852" s="417" t="s">
        <v>28840</v>
      </c>
    </row>
    <row r="4853" spans="1:13" x14ac:dyDescent="0.25">
      <c r="A4853" s="417" t="s">
        <v>3385</v>
      </c>
      <c r="B4853" s="417" t="s">
        <v>3405</v>
      </c>
      <c r="C4853" s="417" t="s">
        <v>12180</v>
      </c>
      <c r="D4853" s="417" t="s">
        <v>73</v>
      </c>
      <c r="E4853" s="423">
        <v>4.7233479962021527E-2</v>
      </c>
      <c r="F4853" s="423">
        <v>2.009261336474942E-4</v>
      </c>
      <c r="G4853" s="422">
        <v>58.941112644963212</v>
      </c>
      <c r="H4853" s="417" t="s">
        <v>2616</v>
      </c>
      <c r="I4853" s="417" t="s">
        <v>1392</v>
      </c>
      <c r="J4853" s="417" t="s">
        <v>12178</v>
      </c>
      <c r="K4853" s="417" t="s">
        <v>12181</v>
      </c>
      <c r="L4853" s="417"/>
      <c r="M4853" s="417" t="s">
        <v>28840</v>
      </c>
    </row>
    <row r="4854" spans="1:13" x14ac:dyDescent="0.25">
      <c r="A4854" s="417" t="s">
        <v>3385</v>
      </c>
      <c r="B4854" s="417" t="s">
        <v>3405</v>
      </c>
      <c r="C4854" s="417" t="s">
        <v>12182</v>
      </c>
      <c r="D4854" s="417" t="s">
        <v>73</v>
      </c>
      <c r="E4854" s="423">
        <v>6.2183823453297447E-2</v>
      </c>
      <c r="F4854" s="423">
        <v>8.823563153672073E-5</v>
      </c>
      <c r="G4854" s="422">
        <v>76.809152362094281</v>
      </c>
      <c r="H4854" s="417" t="s">
        <v>2616</v>
      </c>
      <c r="I4854" s="417" t="s">
        <v>1392</v>
      </c>
      <c r="J4854" s="417" t="s">
        <v>12178</v>
      </c>
      <c r="K4854" s="417" t="s">
        <v>12183</v>
      </c>
      <c r="L4854" s="417"/>
      <c r="M4854" s="417" t="s">
        <v>28840</v>
      </c>
    </row>
    <row r="4855" spans="1:13" x14ac:dyDescent="0.25">
      <c r="A4855" s="417" t="s">
        <v>3385</v>
      </c>
      <c r="B4855" s="417" t="s">
        <v>3405</v>
      </c>
      <c r="C4855" s="417" t="s">
        <v>12184</v>
      </c>
      <c r="D4855" s="417" t="s">
        <v>73</v>
      </c>
      <c r="E4855" s="423">
        <v>7.7768460361250916E-2</v>
      </c>
      <c r="F4855" s="423">
        <v>3.1860373290111012E-4</v>
      </c>
      <c r="G4855" s="422">
        <v>100.6136791697928</v>
      </c>
      <c r="H4855" s="417" t="s">
        <v>2616</v>
      </c>
      <c r="I4855" s="417" t="s">
        <v>1392</v>
      </c>
      <c r="J4855" s="417" t="s">
        <v>12178</v>
      </c>
      <c r="K4855" s="417" t="s">
        <v>12185</v>
      </c>
      <c r="L4855" s="417"/>
      <c r="M4855" s="417" t="s">
        <v>28840</v>
      </c>
    </row>
    <row r="4856" spans="1:13" x14ac:dyDescent="0.25">
      <c r="A4856" s="417" t="s">
        <v>3385</v>
      </c>
      <c r="B4856" s="417" t="s">
        <v>3405</v>
      </c>
      <c r="C4856" s="417" t="s">
        <v>12186</v>
      </c>
      <c r="D4856" s="417" t="s">
        <v>73</v>
      </c>
      <c r="E4856" s="423">
        <v>5.753491573880043E-2</v>
      </c>
      <c r="F4856" s="423">
        <v>2.2750521240561309E-4</v>
      </c>
      <c r="G4856" s="422">
        <v>80.544268406789115</v>
      </c>
      <c r="H4856" s="417" t="s">
        <v>2616</v>
      </c>
      <c r="I4856" s="417" t="s">
        <v>1392</v>
      </c>
      <c r="J4856" s="417" t="s">
        <v>12178</v>
      </c>
      <c r="K4856" s="417" t="s">
        <v>12187</v>
      </c>
      <c r="L4856" s="417"/>
      <c r="M4856" s="417" t="s">
        <v>28840</v>
      </c>
    </row>
    <row r="4857" spans="1:13" x14ac:dyDescent="0.25">
      <c r="A4857" s="417" t="s">
        <v>3385</v>
      </c>
      <c r="B4857" s="417" t="s">
        <v>3405</v>
      </c>
      <c r="C4857" s="417" t="s">
        <v>12188</v>
      </c>
      <c r="D4857" s="417" t="s">
        <v>73</v>
      </c>
      <c r="E4857" s="423">
        <v>5.8728238157825512E-2</v>
      </c>
      <c r="F4857" s="423">
        <v>4.7733514104145321E-5</v>
      </c>
      <c r="G4857" s="422">
        <v>73.941139702316462</v>
      </c>
      <c r="H4857" s="417" t="s">
        <v>2616</v>
      </c>
      <c r="I4857" s="417" t="s">
        <v>1392</v>
      </c>
      <c r="J4857" s="417" t="s">
        <v>12178</v>
      </c>
      <c r="K4857" s="417" t="s">
        <v>12189</v>
      </c>
      <c r="L4857" s="417"/>
      <c r="M4857" s="417" t="s">
        <v>28840</v>
      </c>
    </row>
    <row r="4858" spans="1:13" x14ac:dyDescent="0.25">
      <c r="A4858" s="417" t="s">
        <v>3385</v>
      </c>
      <c r="B4858" s="417" t="s">
        <v>3405</v>
      </c>
      <c r="C4858" s="417" t="s">
        <v>12190</v>
      </c>
      <c r="D4858" s="417" t="s">
        <v>73</v>
      </c>
      <c r="E4858" s="423">
        <v>5.4107641936342328E-2</v>
      </c>
      <c r="F4858" s="423">
        <v>1.718171929034317E-4</v>
      </c>
      <c r="G4858" s="422">
        <v>66.997577524776858</v>
      </c>
      <c r="H4858" s="417" t="s">
        <v>2616</v>
      </c>
      <c r="I4858" s="417" t="s">
        <v>1392</v>
      </c>
      <c r="J4858" s="417" t="s">
        <v>12178</v>
      </c>
      <c r="K4858" s="417" t="s">
        <v>12191</v>
      </c>
      <c r="L4858" s="417"/>
      <c r="M4858" s="417" t="s">
        <v>28840</v>
      </c>
    </row>
    <row r="4859" spans="1:13" x14ac:dyDescent="0.25">
      <c r="A4859" s="417" t="s">
        <v>3385</v>
      </c>
      <c r="B4859" s="417" t="s">
        <v>3405</v>
      </c>
      <c r="C4859" s="417" t="s">
        <v>12192</v>
      </c>
      <c r="D4859" s="417" t="s">
        <v>73</v>
      </c>
      <c r="E4859" s="423">
        <v>5.1204366183286713E-2</v>
      </c>
      <c r="F4859" s="423">
        <v>4.473515244914019E-5</v>
      </c>
      <c r="G4859" s="422">
        <v>62.164644107805273</v>
      </c>
      <c r="H4859" s="417" t="s">
        <v>2616</v>
      </c>
      <c r="I4859" s="417" t="s">
        <v>1392</v>
      </c>
      <c r="J4859" s="417" t="s">
        <v>12178</v>
      </c>
      <c r="K4859" s="417" t="s">
        <v>12193</v>
      </c>
      <c r="L4859" s="417"/>
      <c r="M4859" s="417" t="s">
        <v>28840</v>
      </c>
    </row>
    <row r="4860" spans="1:13" x14ac:dyDescent="0.25">
      <c r="A4860" s="417" t="s">
        <v>3385</v>
      </c>
      <c r="B4860" s="417" t="s">
        <v>3405</v>
      </c>
      <c r="C4860" s="417" t="s">
        <v>12194</v>
      </c>
      <c r="D4860" s="417" t="s">
        <v>73</v>
      </c>
      <c r="E4860" s="423">
        <v>9.8008034494797225E-2</v>
      </c>
      <c r="F4860" s="423">
        <v>3.380139884659519E-4</v>
      </c>
      <c r="G4860" s="422">
        <v>122.5335638623777</v>
      </c>
      <c r="H4860" s="417" t="s">
        <v>2616</v>
      </c>
      <c r="I4860" s="417" t="s">
        <v>1392</v>
      </c>
      <c r="J4860" s="417" t="s">
        <v>12178</v>
      </c>
      <c r="K4860" s="417" t="s">
        <v>12195</v>
      </c>
      <c r="L4860" s="417"/>
      <c r="M4860" s="417" t="s">
        <v>28840</v>
      </c>
    </row>
    <row r="4861" spans="1:13" x14ac:dyDescent="0.25">
      <c r="A4861" s="417" t="s">
        <v>3385</v>
      </c>
      <c r="B4861" s="417" t="s">
        <v>3405</v>
      </c>
      <c r="C4861" s="417" t="s">
        <v>12196</v>
      </c>
      <c r="D4861" s="417" t="s">
        <v>73</v>
      </c>
      <c r="E4861" s="423">
        <v>6.2506767622924439E-2</v>
      </c>
      <c r="F4861" s="423">
        <v>2.1557581419547449E-4</v>
      </c>
      <c r="G4861" s="422">
        <v>80.914213189387169</v>
      </c>
      <c r="H4861" s="417" t="s">
        <v>2616</v>
      </c>
      <c r="I4861" s="417" t="s">
        <v>1392</v>
      </c>
      <c r="J4861" s="417" t="s">
        <v>12178</v>
      </c>
      <c r="K4861" s="417" t="s">
        <v>12197</v>
      </c>
      <c r="L4861" s="417"/>
      <c r="M4861" s="417" t="s">
        <v>28840</v>
      </c>
    </row>
    <row r="4862" spans="1:13" x14ac:dyDescent="0.25">
      <c r="A4862" s="417" t="s">
        <v>3385</v>
      </c>
      <c r="B4862" s="417" t="s">
        <v>3405</v>
      </c>
      <c r="C4862" s="417" t="s">
        <v>12198</v>
      </c>
      <c r="D4862" s="417" t="s">
        <v>73</v>
      </c>
      <c r="E4862" s="423">
        <v>3.2925922085345852E-2</v>
      </c>
      <c r="F4862" s="423">
        <v>1.3901766938014329E-4</v>
      </c>
      <c r="G4862" s="422">
        <v>41.262899301367383</v>
      </c>
      <c r="H4862" s="417" t="s">
        <v>2616</v>
      </c>
      <c r="I4862" s="417" t="s">
        <v>1392</v>
      </c>
      <c r="J4862" s="417" t="s">
        <v>12178</v>
      </c>
      <c r="K4862" s="417" t="s">
        <v>12199</v>
      </c>
      <c r="L4862" s="417"/>
      <c r="M4862" s="417" t="s">
        <v>28840</v>
      </c>
    </row>
    <row r="4863" spans="1:13" x14ac:dyDescent="0.25">
      <c r="A4863" s="417" t="s">
        <v>3385</v>
      </c>
      <c r="B4863" s="417" t="s">
        <v>3405</v>
      </c>
      <c r="C4863" s="417" t="s">
        <v>12200</v>
      </c>
      <c r="D4863" s="417" t="s">
        <v>73</v>
      </c>
      <c r="E4863" s="423">
        <v>7.5427404450723712E-2</v>
      </c>
      <c r="F4863" s="423">
        <v>4.638249968087215E-4</v>
      </c>
      <c r="G4863" s="422">
        <v>96.419706886243631</v>
      </c>
      <c r="H4863" s="417" t="s">
        <v>2616</v>
      </c>
      <c r="I4863" s="417" t="s">
        <v>1392</v>
      </c>
      <c r="J4863" s="417" t="s">
        <v>12178</v>
      </c>
      <c r="K4863" s="417" t="s">
        <v>12201</v>
      </c>
      <c r="L4863" s="417"/>
      <c r="M4863" s="417" t="s">
        <v>28840</v>
      </c>
    </row>
    <row r="4864" spans="1:13" x14ac:dyDescent="0.25">
      <c r="A4864" s="417" t="s">
        <v>3385</v>
      </c>
      <c r="B4864" s="417" t="s">
        <v>3405</v>
      </c>
      <c r="C4864" s="417" t="s">
        <v>12202</v>
      </c>
      <c r="D4864" s="417" t="s">
        <v>73</v>
      </c>
      <c r="E4864" s="423">
        <v>5.8214732126921402E-2</v>
      </c>
      <c r="F4864" s="423">
        <v>2.4777923919013081E-4</v>
      </c>
      <c r="G4864" s="422">
        <v>72.98083302581658</v>
      </c>
      <c r="H4864" s="417" t="s">
        <v>2616</v>
      </c>
      <c r="I4864" s="417" t="s">
        <v>1392</v>
      </c>
      <c r="J4864" s="417" t="s">
        <v>12178</v>
      </c>
      <c r="K4864" s="417" t="s">
        <v>12203</v>
      </c>
      <c r="L4864" s="417"/>
      <c r="M4864" s="417" t="s">
        <v>28840</v>
      </c>
    </row>
    <row r="4865" spans="1:13" x14ac:dyDescent="0.25">
      <c r="A4865" s="417" t="s">
        <v>3385</v>
      </c>
      <c r="B4865" s="417" t="s">
        <v>3405</v>
      </c>
      <c r="C4865" s="417" t="s">
        <v>12204</v>
      </c>
      <c r="D4865" s="417" t="s">
        <v>73</v>
      </c>
      <c r="E4865" s="423">
        <v>9.8423772264922382E-2</v>
      </c>
      <c r="F4865" s="423">
        <v>2.7317258683389519E-4</v>
      </c>
      <c r="G4865" s="422">
        <v>126.9698144255001</v>
      </c>
      <c r="H4865" s="417" t="s">
        <v>2616</v>
      </c>
      <c r="I4865" s="417" t="s">
        <v>1392</v>
      </c>
      <c r="J4865" s="417" t="s">
        <v>12178</v>
      </c>
      <c r="K4865" s="417" t="s">
        <v>12205</v>
      </c>
      <c r="L4865" s="417"/>
      <c r="M4865" s="417" t="s">
        <v>28840</v>
      </c>
    </row>
    <row r="4866" spans="1:13" x14ac:dyDescent="0.25">
      <c r="A4866" s="417" t="s">
        <v>3385</v>
      </c>
      <c r="B4866" s="417" t="s">
        <v>3405</v>
      </c>
      <c r="C4866" s="417" t="s">
        <v>12206</v>
      </c>
      <c r="D4866" s="417" t="s">
        <v>73</v>
      </c>
      <c r="E4866" s="423">
        <v>4.9586736921881473E-2</v>
      </c>
      <c r="F4866" s="423">
        <v>1.928432629421863E-4</v>
      </c>
      <c r="G4866" s="422">
        <v>61.886226978727059</v>
      </c>
      <c r="H4866" s="417" t="s">
        <v>2616</v>
      </c>
      <c r="I4866" s="417" t="s">
        <v>1392</v>
      </c>
      <c r="J4866" s="417" t="s">
        <v>12178</v>
      </c>
      <c r="K4866" s="417" t="s">
        <v>12207</v>
      </c>
      <c r="L4866" s="417"/>
      <c r="M4866" s="417" t="s">
        <v>28840</v>
      </c>
    </row>
    <row r="4867" spans="1:13" x14ac:dyDescent="0.25">
      <c r="A4867" s="417" t="s">
        <v>3385</v>
      </c>
      <c r="B4867" s="417" t="s">
        <v>3405</v>
      </c>
      <c r="C4867" s="417" t="s">
        <v>12208</v>
      </c>
      <c r="D4867" s="417" t="s">
        <v>73</v>
      </c>
      <c r="E4867" s="423">
        <v>6.2694488403074289E-2</v>
      </c>
      <c r="F4867" s="423">
        <v>4.4078300886096539E-4</v>
      </c>
      <c r="G4867" s="422">
        <v>81.376687475229957</v>
      </c>
      <c r="H4867" s="417" t="s">
        <v>2616</v>
      </c>
      <c r="I4867" s="417" t="s">
        <v>1392</v>
      </c>
      <c r="J4867" s="417" t="s">
        <v>12178</v>
      </c>
      <c r="K4867" s="417" t="s">
        <v>12209</v>
      </c>
      <c r="L4867" s="417"/>
      <c r="M4867" s="417" t="s">
        <v>28840</v>
      </c>
    </row>
    <row r="4868" spans="1:13" x14ac:dyDescent="0.25">
      <c r="A4868" s="417" t="s">
        <v>3385</v>
      </c>
      <c r="B4868" s="417" t="s">
        <v>3405</v>
      </c>
      <c r="C4868" s="417" t="s">
        <v>12210</v>
      </c>
      <c r="D4868" s="417" t="s">
        <v>73</v>
      </c>
      <c r="E4868" s="423">
        <v>7.069273419228804E-2</v>
      </c>
      <c r="F4868" s="423">
        <v>1.106506896392156E-4</v>
      </c>
      <c r="G4868" s="422">
        <v>86.774351258757122</v>
      </c>
      <c r="H4868" s="417" t="s">
        <v>2616</v>
      </c>
      <c r="I4868" s="417" t="s">
        <v>1392</v>
      </c>
      <c r="J4868" s="417" t="s">
        <v>12178</v>
      </c>
      <c r="K4868" s="417" t="s">
        <v>12211</v>
      </c>
      <c r="L4868" s="417"/>
      <c r="M4868" s="417" t="s">
        <v>28840</v>
      </c>
    </row>
    <row r="4869" spans="1:13" x14ac:dyDescent="0.25">
      <c r="A4869" s="417" t="s">
        <v>3385</v>
      </c>
      <c r="B4869" s="417" t="s">
        <v>3405</v>
      </c>
      <c r="C4869" s="417" t="s">
        <v>12212</v>
      </c>
      <c r="D4869" s="417" t="s">
        <v>73</v>
      </c>
      <c r="E4869" s="423">
        <v>2.779498060861876E-2</v>
      </c>
      <c r="F4869" s="423">
        <v>7.8103748851449675E-5</v>
      </c>
      <c r="G4869" s="422">
        <v>34.23341825961073</v>
      </c>
      <c r="H4869" s="417" t="s">
        <v>2616</v>
      </c>
      <c r="I4869" s="417" t="s">
        <v>1392</v>
      </c>
      <c r="J4869" s="417" t="s">
        <v>12178</v>
      </c>
      <c r="K4869" s="417" t="s">
        <v>12213</v>
      </c>
      <c r="L4869" s="417"/>
      <c r="M4869" s="417" t="s">
        <v>28840</v>
      </c>
    </row>
    <row r="4870" spans="1:13" x14ac:dyDescent="0.25">
      <c r="A4870" s="417" t="s">
        <v>3385</v>
      </c>
      <c r="B4870" s="417" t="s">
        <v>3405</v>
      </c>
      <c r="C4870" s="417" t="s">
        <v>12214</v>
      </c>
      <c r="D4870" s="417" t="s">
        <v>73</v>
      </c>
      <c r="E4870" s="423">
        <v>5.115485237737135E-2</v>
      </c>
      <c r="F4870" s="423">
        <v>1.2238579988181649E-4</v>
      </c>
      <c r="G4870" s="422">
        <v>62.79125949492942</v>
      </c>
      <c r="H4870" s="417" t="s">
        <v>2616</v>
      </c>
      <c r="I4870" s="417" t="s">
        <v>1392</v>
      </c>
      <c r="J4870" s="417" t="s">
        <v>12178</v>
      </c>
      <c r="K4870" s="417" t="s">
        <v>12215</v>
      </c>
      <c r="L4870" s="417"/>
      <c r="M4870" s="417" t="s">
        <v>28840</v>
      </c>
    </row>
    <row r="4871" spans="1:13" x14ac:dyDescent="0.25">
      <c r="A4871" s="417" t="s">
        <v>3385</v>
      </c>
      <c r="B4871" s="417" t="s">
        <v>3405</v>
      </c>
      <c r="C4871" s="417" t="s">
        <v>12216</v>
      </c>
      <c r="D4871" s="417" t="s">
        <v>73</v>
      </c>
      <c r="E4871" s="423">
        <v>8.6849928504915005E-2</v>
      </c>
      <c r="F4871" s="423">
        <v>6.1128817783733577E-4</v>
      </c>
      <c r="G4871" s="422">
        <v>117.8945933469895</v>
      </c>
      <c r="H4871" s="417" t="s">
        <v>2616</v>
      </c>
      <c r="I4871" s="417" t="s">
        <v>1392</v>
      </c>
      <c r="J4871" s="417" t="s">
        <v>12178</v>
      </c>
      <c r="K4871" s="417" t="s">
        <v>12217</v>
      </c>
      <c r="L4871" s="417"/>
      <c r="M4871" s="417" t="s">
        <v>28840</v>
      </c>
    </row>
    <row r="4872" spans="1:13" x14ac:dyDescent="0.25">
      <c r="A4872" s="417" t="s">
        <v>3385</v>
      </c>
      <c r="B4872" s="417" t="s">
        <v>3405</v>
      </c>
      <c r="C4872" s="417" t="s">
        <v>12218</v>
      </c>
      <c r="D4872" s="417" t="s">
        <v>73</v>
      </c>
      <c r="E4872" s="423">
        <v>4.856235779607343E-2</v>
      </c>
      <c r="F4872" s="423">
        <v>2.0228393223768699E-4</v>
      </c>
      <c r="G4872" s="422">
        <v>60.741673688160361</v>
      </c>
      <c r="H4872" s="417" t="s">
        <v>2616</v>
      </c>
      <c r="I4872" s="417" t="s">
        <v>1392</v>
      </c>
      <c r="J4872" s="417" t="s">
        <v>12178</v>
      </c>
      <c r="K4872" s="417" t="s">
        <v>12219</v>
      </c>
      <c r="L4872" s="417"/>
      <c r="M4872" s="417" t="s">
        <v>28840</v>
      </c>
    </row>
    <row r="4873" spans="1:13" x14ac:dyDescent="0.25">
      <c r="A4873" s="417" t="s">
        <v>3385</v>
      </c>
      <c r="B4873" s="417" t="s">
        <v>3405</v>
      </c>
      <c r="C4873" s="417" t="s">
        <v>12220</v>
      </c>
      <c r="D4873" s="417" t="s">
        <v>73</v>
      </c>
      <c r="E4873" s="423">
        <v>5.9918679139928939E-2</v>
      </c>
      <c r="F4873" s="423">
        <v>1.1691872103386619E-4</v>
      </c>
      <c r="G4873" s="422">
        <v>71.112991146728234</v>
      </c>
      <c r="H4873" s="417" t="s">
        <v>2616</v>
      </c>
      <c r="I4873" s="417" t="s">
        <v>1392</v>
      </c>
      <c r="J4873" s="417" t="s">
        <v>12178</v>
      </c>
      <c r="K4873" s="417" t="s">
        <v>12221</v>
      </c>
      <c r="L4873" s="417"/>
      <c r="M4873" s="417" t="s">
        <v>28840</v>
      </c>
    </row>
    <row r="4874" spans="1:13" x14ac:dyDescent="0.25">
      <c r="A4874" s="417" t="s">
        <v>3385</v>
      </c>
      <c r="B4874" s="417" t="s">
        <v>3405</v>
      </c>
      <c r="C4874" s="417" t="s">
        <v>12222</v>
      </c>
      <c r="D4874" s="417" t="s">
        <v>73</v>
      </c>
      <c r="E4874" s="423">
        <v>5.8617996478450639E-2</v>
      </c>
      <c r="F4874" s="423">
        <v>1.143807119934434E-4</v>
      </c>
      <c r="G4874" s="422">
        <v>66.966418320731805</v>
      </c>
      <c r="H4874" s="417" t="s">
        <v>2616</v>
      </c>
      <c r="I4874" s="417" t="s">
        <v>1392</v>
      </c>
      <c r="J4874" s="417" t="s">
        <v>12178</v>
      </c>
      <c r="K4874" s="417" t="s">
        <v>12223</v>
      </c>
      <c r="L4874" s="417"/>
      <c r="M4874" s="417" t="s">
        <v>28840</v>
      </c>
    </row>
    <row r="4875" spans="1:13" x14ac:dyDescent="0.25">
      <c r="A4875" s="417" t="s">
        <v>3385</v>
      </c>
      <c r="B4875" s="417" t="s">
        <v>3405</v>
      </c>
      <c r="C4875" s="417" t="s">
        <v>12224</v>
      </c>
      <c r="D4875" s="417" t="s">
        <v>73</v>
      </c>
      <c r="E4875" s="423">
        <v>6.6232873103605289E-2</v>
      </c>
      <c r="F4875" s="423">
        <v>2.284265543057158E-4</v>
      </c>
      <c r="G4875" s="422">
        <v>82.581600755792962</v>
      </c>
      <c r="H4875" s="417" t="s">
        <v>2616</v>
      </c>
      <c r="I4875" s="417" t="s">
        <v>1392</v>
      </c>
      <c r="J4875" s="417" t="s">
        <v>12178</v>
      </c>
      <c r="K4875" s="417" t="s">
        <v>12225</v>
      </c>
      <c r="L4875" s="417"/>
      <c r="M4875" s="417" t="s">
        <v>28840</v>
      </c>
    </row>
    <row r="4876" spans="1:13" x14ac:dyDescent="0.25">
      <c r="A4876" s="417" t="s">
        <v>3385</v>
      </c>
      <c r="B4876" s="417" t="s">
        <v>3405</v>
      </c>
      <c r="C4876" s="417" t="s">
        <v>12226</v>
      </c>
      <c r="D4876" s="417" t="s">
        <v>73</v>
      </c>
      <c r="E4876" s="423">
        <v>4.9953452816675167E-2</v>
      </c>
      <c r="F4876" s="423">
        <v>2.1704490645035131E-4</v>
      </c>
      <c r="G4876" s="422">
        <v>62.396343195974602</v>
      </c>
      <c r="H4876" s="417" t="s">
        <v>2616</v>
      </c>
      <c r="I4876" s="417" t="s">
        <v>1392</v>
      </c>
      <c r="J4876" s="417" t="s">
        <v>12178</v>
      </c>
      <c r="K4876" s="417" t="s">
        <v>12227</v>
      </c>
      <c r="L4876" s="417"/>
      <c r="M4876" s="417" t="s">
        <v>28840</v>
      </c>
    </row>
    <row r="4877" spans="1:13" x14ac:dyDescent="0.25">
      <c r="A4877" s="417" t="s">
        <v>3385</v>
      </c>
      <c r="B4877" s="417" t="s">
        <v>3405</v>
      </c>
      <c r="C4877" s="417" t="s">
        <v>12228</v>
      </c>
      <c r="D4877" s="417" t="s">
        <v>73</v>
      </c>
      <c r="E4877" s="423">
        <v>5.7392306605685853E-2</v>
      </c>
      <c r="F4877" s="423">
        <v>1.899343186729345E-4</v>
      </c>
      <c r="G4877" s="422">
        <v>74.345843571012665</v>
      </c>
      <c r="H4877" s="417" t="s">
        <v>2616</v>
      </c>
      <c r="I4877" s="417" t="s">
        <v>1392</v>
      </c>
      <c r="J4877" s="417" t="s">
        <v>12178</v>
      </c>
      <c r="K4877" s="417" t="s">
        <v>12229</v>
      </c>
      <c r="L4877" s="417"/>
      <c r="M4877" s="417" t="s">
        <v>28840</v>
      </c>
    </row>
    <row r="4878" spans="1:13" x14ac:dyDescent="0.25">
      <c r="A4878" s="417" t="s">
        <v>3385</v>
      </c>
      <c r="B4878" s="417" t="s">
        <v>3405</v>
      </c>
      <c r="C4878" s="417" t="s">
        <v>12230</v>
      </c>
      <c r="D4878" s="417" t="s">
        <v>73</v>
      </c>
      <c r="E4878" s="423">
        <v>5.0849455237450172E-2</v>
      </c>
      <c r="F4878" s="423">
        <v>1.7537161380295401E-4</v>
      </c>
      <c r="G4878" s="422">
        <v>63.095381636093457</v>
      </c>
      <c r="H4878" s="417" t="s">
        <v>2616</v>
      </c>
      <c r="I4878" s="417" t="s">
        <v>1392</v>
      </c>
      <c r="J4878" s="417" t="s">
        <v>12178</v>
      </c>
      <c r="K4878" s="417" t="s">
        <v>12231</v>
      </c>
      <c r="L4878" s="417"/>
      <c r="M4878" s="417" t="s">
        <v>28840</v>
      </c>
    </row>
    <row r="4879" spans="1:13" x14ac:dyDescent="0.25">
      <c r="A4879" s="417" t="s">
        <v>3385</v>
      </c>
      <c r="B4879" s="417" t="s">
        <v>3405</v>
      </c>
      <c r="C4879" s="417" t="s">
        <v>12232</v>
      </c>
      <c r="D4879" s="417" t="s">
        <v>73</v>
      </c>
      <c r="E4879" s="423">
        <v>6.4714070768149279E-2</v>
      </c>
      <c r="F4879" s="423">
        <v>5.6181219806391028E-5</v>
      </c>
      <c r="G4879" s="422">
        <v>79.208615340219922</v>
      </c>
      <c r="H4879" s="417" t="s">
        <v>2616</v>
      </c>
      <c r="I4879" s="417" t="s">
        <v>1392</v>
      </c>
      <c r="J4879" s="417" t="s">
        <v>12178</v>
      </c>
      <c r="K4879" s="417" t="s">
        <v>12233</v>
      </c>
      <c r="L4879" s="417"/>
      <c r="M4879" s="417" t="s">
        <v>28840</v>
      </c>
    </row>
    <row r="4880" spans="1:13" x14ac:dyDescent="0.25">
      <c r="A4880" s="417" t="s">
        <v>3385</v>
      </c>
      <c r="B4880" s="417" t="s">
        <v>3405</v>
      </c>
      <c r="C4880" s="417" t="s">
        <v>12234</v>
      </c>
      <c r="D4880" s="417" t="s">
        <v>73</v>
      </c>
      <c r="E4880" s="423">
        <v>7.1064568849496773E-2</v>
      </c>
      <c r="F4880" s="423">
        <v>8.8369063610800824E-5</v>
      </c>
      <c r="G4880" s="422">
        <v>89.950304006023202</v>
      </c>
      <c r="H4880" s="417" t="s">
        <v>2616</v>
      </c>
      <c r="I4880" s="417" t="s">
        <v>1392</v>
      </c>
      <c r="J4880" s="417" t="s">
        <v>12178</v>
      </c>
      <c r="K4880" s="417" t="s">
        <v>12235</v>
      </c>
      <c r="L4880" s="417"/>
      <c r="M4880" s="417" t="s">
        <v>28840</v>
      </c>
    </row>
    <row r="4881" spans="1:13" x14ac:dyDescent="0.25">
      <c r="A4881" s="417" t="s">
        <v>3385</v>
      </c>
      <c r="B4881" s="417" t="s">
        <v>3405</v>
      </c>
      <c r="C4881" s="417" t="s">
        <v>12236</v>
      </c>
      <c r="D4881" s="417" t="s">
        <v>73</v>
      </c>
      <c r="E4881" s="423">
        <v>5.5387983893978303E-2</v>
      </c>
      <c r="F4881" s="423">
        <v>9.7195169153182991E-5</v>
      </c>
      <c r="G4881" s="422">
        <v>67.388077137239065</v>
      </c>
      <c r="H4881" s="417" t="s">
        <v>2616</v>
      </c>
      <c r="I4881" s="417" t="s">
        <v>1392</v>
      </c>
      <c r="J4881" s="417" t="s">
        <v>12178</v>
      </c>
      <c r="K4881" s="417" t="s">
        <v>12237</v>
      </c>
      <c r="L4881" s="417"/>
      <c r="M4881" s="417" t="s">
        <v>28840</v>
      </c>
    </row>
    <row r="4882" spans="1:13" x14ac:dyDescent="0.25">
      <c r="A4882" s="417" t="s">
        <v>3385</v>
      </c>
      <c r="B4882" s="417" t="s">
        <v>3405</v>
      </c>
      <c r="C4882" s="417" t="s">
        <v>12238</v>
      </c>
      <c r="D4882" s="417" t="s">
        <v>73</v>
      </c>
      <c r="E4882" s="423">
        <v>6.6584492555457883E-2</v>
      </c>
      <c r="F4882" s="423">
        <v>2.296392333583186E-4</v>
      </c>
      <c r="G4882" s="422">
        <v>82.677200749250318</v>
      </c>
      <c r="H4882" s="417" t="s">
        <v>2616</v>
      </c>
      <c r="I4882" s="417" t="s">
        <v>1392</v>
      </c>
      <c r="J4882" s="417" t="s">
        <v>12178</v>
      </c>
      <c r="K4882" s="417" t="s">
        <v>12239</v>
      </c>
      <c r="L4882" s="417"/>
      <c r="M4882" s="417" t="s">
        <v>28840</v>
      </c>
    </row>
    <row r="4883" spans="1:13" x14ac:dyDescent="0.25">
      <c r="A4883" s="417" t="s">
        <v>3385</v>
      </c>
      <c r="B4883" s="417" t="s">
        <v>3405</v>
      </c>
      <c r="C4883" s="417" t="s">
        <v>12240</v>
      </c>
      <c r="D4883" s="417" t="s">
        <v>73</v>
      </c>
      <c r="E4883" s="423">
        <v>7.0303761879856874E-2</v>
      </c>
      <c r="F4883" s="423">
        <v>9.0519195995687648E-5</v>
      </c>
      <c r="G4883" s="422">
        <v>89.102700506057815</v>
      </c>
      <c r="H4883" s="417" t="s">
        <v>2616</v>
      </c>
      <c r="I4883" s="417" t="s">
        <v>1392</v>
      </c>
      <c r="J4883" s="417" t="s">
        <v>12178</v>
      </c>
      <c r="K4883" s="417" t="s">
        <v>12241</v>
      </c>
      <c r="L4883" s="417"/>
      <c r="M4883" s="417" t="s">
        <v>28840</v>
      </c>
    </row>
    <row r="4884" spans="1:13" x14ac:dyDescent="0.25">
      <c r="A4884" s="417" t="s">
        <v>3385</v>
      </c>
      <c r="B4884" s="417" t="s">
        <v>3405</v>
      </c>
      <c r="C4884" s="417" t="s">
        <v>12242</v>
      </c>
      <c r="D4884" s="417" t="s">
        <v>73</v>
      </c>
      <c r="E4884" s="423">
        <v>6.7369570694402262E-2</v>
      </c>
      <c r="F4884" s="423">
        <v>4.7417680309630081E-4</v>
      </c>
      <c r="G4884" s="422">
        <v>91.770826391500094</v>
      </c>
      <c r="H4884" s="417" t="s">
        <v>2616</v>
      </c>
      <c r="I4884" s="417" t="s">
        <v>1392</v>
      </c>
      <c r="J4884" s="417" t="s">
        <v>12178</v>
      </c>
      <c r="K4884" s="417" t="s">
        <v>12243</v>
      </c>
      <c r="L4884" s="417"/>
      <c r="M4884" s="417" t="s">
        <v>28840</v>
      </c>
    </row>
    <row r="4885" spans="1:13" x14ac:dyDescent="0.25">
      <c r="A4885" s="417" t="s">
        <v>3385</v>
      </c>
      <c r="B4885" s="417" t="s">
        <v>3405</v>
      </c>
      <c r="C4885" s="417" t="s">
        <v>12244</v>
      </c>
      <c r="D4885" s="417" t="s">
        <v>73</v>
      </c>
      <c r="E4885" s="423">
        <v>4.6532096127688168E-2</v>
      </c>
      <c r="F4885" s="423">
        <v>8.9416521501092458E-5</v>
      </c>
      <c r="G4885" s="422">
        <v>58.241426159888071</v>
      </c>
      <c r="H4885" s="417" t="s">
        <v>2616</v>
      </c>
      <c r="I4885" s="417" t="s">
        <v>1392</v>
      </c>
      <c r="J4885" s="417" t="s">
        <v>12178</v>
      </c>
      <c r="K4885" s="417" t="s">
        <v>12245</v>
      </c>
      <c r="L4885" s="417"/>
      <c r="M4885" s="417" t="s">
        <v>28840</v>
      </c>
    </row>
    <row r="4886" spans="1:13" x14ac:dyDescent="0.25">
      <c r="A4886" s="417" t="s">
        <v>3385</v>
      </c>
      <c r="B4886" s="417" t="s">
        <v>3405</v>
      </c>
      <c r="C4886" s="417" t="s">
        <v>12246</v>
      </c>
      <c r="D4886" s="417" t="s">
        <v>73</v>
      </c>
      <c r="E4886" s="423">
        <v>8.5799228952776977E-3</v>
      </c>
      <c r="F4886" s="423">
        <v>1.7891316044203031E-3</v>
      </c>
      <c r="G4886" s="422">
        <v>38.119541250200562</v>
      </c>
      <c r="H4886" s="417" t="s">
        <v>2616</v>
      </c>
      <c r="I4886" s="417" t="s">
        <v>1392</v>
      </c>
      <c r="J4886" s="417" t="s">
        <v>4417</v>
      </c>
      <c r="K4886" s="417" t="s">
        <v>12247</v>
      </c>
      <c r="L4886" s="417"/>
      <c r="M4886" s="417" t="s">
        <v>28840</v>
      </c>
    </row>
    <row r="4887" spans="1:13" x14ac:dyDescent="0.25">
      <c r="A4887" s="417" t="s">
        <v>3385</v>
      </c>
      <c r="B4887" s="417" t="s">
        <v>3405</v>
      </c>
      <c r="C4887" s="417" t="s">
        <v>12248</v>
      </c>
      <c r="D4887" s="417" t="s">
        <v>73</v>
      </c>
      <c r="E4887" s="423">
        <v>0.15477486055861331</v>
      </c>
      <c r="F4887" s="423">
        <v>6.0280566326879057E-4</v>
      </c>
      <c r="G4887" s="422">
        <v>303.29507972851047</v>
      </c>
      <c r="H4887" s="417" t="s">
        <v>2616</v>
      </c>
      <c r="I4887" s="417" t="s">
        <v>1392</v>
      </c>
      <c r="J4887" s="417" t="s">
        <v>12055</v>
      </c>
      <c r="K4887" s="417" t="s">
        <v>12249</v>
      </c>
      <c r="L4887" s="417"/>
      <c r="M4887" s="417" t="s">
        <v>28840</v>
      </c>
    </row>
    <row r="4888" spans="1:13" x14ac:dyDescent="0.25">
      <c r="A4888" s="417" t="s">
        <v>3385</v>
      </c>
      <c r="B4888" s="417" t="s">
        <v>3405</v>
      </c>
      <c r="C4888" s="417" t="s">
        <v>12250</v>
      </c>
      <c r="D4888" s="417" t="s">
        <v>73</v>
      </c>
      <c r="E4888" s="423">
        <v>0.17092716152431839</v>
      </c>
      <c r="F4888" s="423">
        <v>8.8790321276712293E-4</v>
      </c>
      <c r="G4888" s="422">
        <v>252.9233544534568</v>
      </c>
      <c r="H4888" s="417" t="s">
        <v>2616</v>
      </c>
      <c r="I4888" s="417" t="s">
        <v>1392</v>
      </c>
      <c r="J4888" s="417" t="s">
        <v>12055</v>
      </c>
      <c r="K4888" s="417" t="s">
        <v>12251</v>
      </c>
      <c r="L4888" s="417"/>
      <c r="M4888" s="417" t="s">
        <v>28840</v>
      </c>
    </row>
    <row r="4889" spans="1:13" x14ac:dyDescent="0.25">
      <c r="A4889" s="417" t="s">
        <v>3385</v>
      </c>
      <c r="B4889" s="417" t="s">
        <v>3405</v>
      </c>
      <c r="C4889" s="417" t="s">
        <v>12252</v>
      </c>
      <c r="D4889" s="417" t="s">
        <v>73</v>
      </c>
      <c r="E4889" s="423">
        <v>0.1002576217863838</v>
      </c>
      <c r="F4889" s="423">
        <v>3.5172088225385068E-4</v>
      </c>
      <c r="G4889" s="422">
        <v>117.7221597469655</v>
      </c>
      <c r="H4889" s="417" t="s">
        <v>2616</v>
      </c>
      <c r="I4889" s="417" t="s">
        <v>1392</v>
      </c>
      <c r="J4889" s="417" t="s">
        <v>12055</v>
      </c>
      <c r="K4889" s="417" t="s">
        <v>12253</v>
      </c>
      <c r="L4889" s="417"/>
      <c r="M4889" s="417" t="s">
        <v>28840</v>
      </c>
    </row>
    <row r="4890" spans="1:13" x14ac:dyDescent="0.25">
      <c r="A4890" s="417" t="s">
        <v>3385</v>
      </c>
      <c r="B4890" s="417" t="s">
        <v>3405</v>
      </c>
      <c r="C4890" s="417" t="s">
        <v>12254</v>
      </c>
      <c r="D4890" s="417" t="s">
        <v>73</v>
      </c>
      <c r="E4890" s="423">
        <v>9.3167900642268597E-2</v>
      </c>
      <c r="F4890" s="423">
        <v>4.7280056454614112E-4</v>
      </c>
      <c r="G4890" s="422">
        <v>114.6844667014323</v>
      </c>
      <c r="H4890" s="417" t="s">
        <v>2616</v>
      </c>
      <c r="I4890" s="417" t="s">
        <v>1392</v>
      </c>
      <c r="J4890" s="417" t="s">
        <v>12055</v>
      </c>
      <c r="K4890" s="417" t="s">
        <v>12255</v>
      </c>
      <c r="L4890" s="417"/>
      <c r="M4890" s="417" t="s">
        <v>28840</v>
      </c>
    </row>
    <row r="4891" spans="1:13" x14ac:dyDescent="0.25">
      <c r="A4891" s="417" t="s">
        <v>3385</v>
      </c>
      <c r="B4891" s="417" t="s">
        <v>3405</v>
      </c>
      <c r="C4891" s="417" t="s">
        <v>12256</v>
      </c>
      <c r="D4891" s="417" t="s">
        <v>73</v>
      </c>
      <c r="E4891" s="423">
        <v>0.1051205555721175</v>
      </c>
      <c r="F4891" s="423">
        <v>1.8496870378736829E-4</v>
      </c>
      <c r="G4891" s="422">
        <v>123.9170668345857</v>
      </c>
      <c r="H4891" s="417" t="s">
        <v>2616</v>
      </c>
      <c r="I4891" s="417" t="s">
        <v>1392</v>
      </c>
      <c r="J4891" s="417" t="s">
        <v>12055</v>
      </c>
      <c r="K4891" s="417" t="s">
        <v>12257</v>
      </c>
      <c r="L4891" s="417"/>
      <c r="M4891" s="417" t="s">
        <v>28840</v>
      </c>
    </row>
    <row r="4892" spans="1:13" x14ac:dyDescent="0.25">
      <c r="A4892" s="417" t="s">
        <v>3385</v>
      </c>
      <c r="B4892" s="417" t="s">
        <v>3405</v>
      </c>
      <c r="C4892" s="417" t="s">
        <v>12258</v>
      </c>
      <c r="D4892" s="417" t="s">
        <v>73</v>
      </c>
      <c r="E4892" s="423">
        <v>0.1207167268726928</v>
      </c>
      <c r="F4892" s="423">
        <v>3.5116724775077849E-4</v>
      </c>
      <c r="G4892" s="422">
        <v>145.71100111921561</v>
      </c>
      <c r="H4892" s="417" t="s">
        <v>2616</v>
      </c>
      <c r="I4892" s="417" t="s">
        <v>1392</v>
      </c>
      <c r="J4892" s="417" t="s">
        <v>12055</v>
      </c>
      <c r="K4892" s="417" t="s">
        <v>12259</v>
      </c>
      <c r="L4892" s="417"/>
      <c r="M4892" s="417" t="s">
        <v>28840</v>
      </c>
    </row>
    <row r="4893" spans="1:13" x14ac:dyDescent="0.25">
      <c r="A4893" s="417" t="s">
        <v>3385</v>
      </c>
      <c r="B4893" s="417" t="s">
        <v>3405</v>
      </c>
      <c r="C4893" s="417" t="s">
        <v>12260</v>
      </c>
      <c r="D4893" s="417" t="s">
        <v>73</v>
      </c>
      <c r="E4893" s="423">
        <v>8.6041953789447442E-2</v>
      </c>
      <c r="F4893" s="423">
        <v>3.8650621763326818E-4</v>
      </c>
      <c r="G4893" s="422">
        <v>102.9060726684327</v>
      </c>
      <c r="H4893" s="417" t="s">
        <v>2616</v>
      </c>
      <c r="I4893" s="417" t="s">
        <v>1392</v>
      </c>
      <c r="J4893" s="417" t="s">
        <v>12055</v>
      </c>
      <c r="K4893" s="417" t="s">
        <v>12261</v>
      </c>
      <c r="L4893" s="417"/>
      <c r="M4893" s="417" t="s">
        <v>28840</v>
      </c>
    </row>
    <row r="4894" spans="1:13" x14ac:dyDescent="0.25">
      <c r="A4894" s="417" t="s">
        <v>3385</v>
      </c>
      <c r="B4894" s="417" t="s">
        <v>3405</v>
      </c>
      <c r="C4894" s="417" t="s">
        <v>12262</v>
      </c>
      <c r="D4894" s="417" t="s">
        <v>73</v>
      </c>
      <c r="E4894" s="423">
        <v>9.5899790643963936E-2</v>
      </c>
      <c r="F4894" s="423">
        <v>3.3240946583101898E-4</v>
      </c>
      <c r="G4894" s="422">
        <v>117.20062165859839</v>
      </c>
      <c r="H4894" s="417" t="s">
        <v>2616</v>
      </c>
      <c r="I4894" s="417" t="s">
        <v>1392</v>
      </c>
      <c r="J4894" s="417" t="s">
        <v>12055</v>
      </c>
      <c r="K4894" s="417" t="s">
        <v>12263</v>
      </c>
      <c r="L4894" s="417"/>
      <c r="M4894" s="417" t="s">
        <v>28840</v>
      </c>
    </row>
    <row r="4895" spans="1:13" x14ac:dyDescent="0.25">
      <c r="A4895" s="417" t="s">
        <v>3385</v>
      </c>
      <c r="B4895" s="417" t="s">
        <v>3405</v>
      </c>
      <c r="C4895" s="417" t="s">
        <v>12264</v>
      </c>
      <c r="D4895" s="417" t="s">
        <v>73</v>
      </c>
      <c r="E4895" s="423">
        <v>9.3702650295073103E-2</v>
      </c>
      <c r="F4895" s="423">
        <v>4.2714192040487978E-4</v>
      </c>
      <c r="G4895" s="422">
        <v>115.7083164359414</v>
      </c>
      <c r="H4895" s="417" t="s">
        <v>2616</v>
      </c>
      <c r="I4895" s="417" t="s">
        <v>1392</v>
      </c>
      <c r="J4895" s="417" t="s">
        <v>12055</v>
      </c>
      <c r="K4895" s="417" t="s">
        <v>12265</v>
      </c>
      <c r="L4895" s="417"/>
      <c r="M4895" s="417" t="s">
        <v>28840</v>
      </c>
    </row>
    <row r="4896" spans="1:13" x14ac:dyDescent="0.25">
      <c r="A4896" s="417" t="s">
        <v>3385</v>
      </c>
      <c r="B4896" s="417" t="s">
        <v>3405</v>
      </c>
      <c r="C4896" s="417" t="s">
        <v>12266</v>
      </c>
      <c r="D4896" s="417" t="s">
        <v>73</v>
      </c>
      <c r="E4896" s="423">
        <v>0.10737447333029</v>
      </c>
      <c r="F4896" s="423">
        <v>4.3627004356148509E-4</v>
      </c>
      <c r="G4896" s="422">
        <v>134.5344707293151</v>
      </c>
      <c r="H4896" s="417" t="s">
        <v>2616</v>
      </c>
      <c r="I4896" s="417" t="s">
        <v>1392</v>
      </c>
      <c r="J4896" s="417" t="s">
        <v>12055</v>
      </c>
      <c r="K4896" s="417" t="s">
        <v>12267</v>
      </c>
      <c r="L4896" s="417"/>
      <c r="M4896" s="417" t="s">
        <v>28840</v>
      </c>
    </row>
    <row r="4897" spans="1:13" x14ac:dyDescent="0.25">
      <c r="A4897" s="417" t="s">
        <v>3385</v>
      </c>
      <c r="B4897" s="417" t="s">
        <v>3405</v>
      </c>
      <c r="C4897" s="417" t="s">
        <v>12268</v>
      </c>
      <c r="D4897" s="417" t="s">
        <v>73</v>
      </c>
      <c r="E4897" s="423">
        <v>9.260998262813136E-2</v>
      </c>
      <c r="F4897" s="423">
        <v>2.7291572910299178E-4</v>
      </c>
      <c r="G4897" s="422">
        <v>108.4232836306098</v>
      </c>
      <c r="H4897" s="417" t="s">
        <v>2616</v>
      </c>
      <c r="I4897" s="417" t="s">
        <v>1392</v>
      </c>
      <c r="J4897" s="417" t="s">
        <v>12055</v>
      </c>
      <c r="K4897" s="417" t="s">
        <v>12269</v>
      </c>
      <c r="L4897" s="417"/>
      <c r="M4897" s="417" t="s">
        <v>28840</v>
      </c>
    </row>
    <row r="4898" spans="1:13" x14ac:dyDescent="0.25">
      <c r="A4898" s="417" t="s">
        <v>3385</v>
      </c>
      <c r="B4898" s="417" t="s">
        <v>3405</v>
      </c>
      <c r="C4898" s="417" t="s">
        <v>12270</v>
      </c>
      <c r="D4898" s="417" t="s">
        <v>73</v>
      </c>
      <c r="E4898" s="423">
        <v>8.1617439320561133E-2</v>
      </c>
      <c r="F4898" s="423">
        <v>3.7154444651218299E-4</v>
      </c>
      <c r="G4898" s="422">
        <v>97.72854924142203</v>
      </c>
      <c r="H4898" s="417" t="s">
        <v>2616</v>
      </c>
      <c r="I4898" s="417" t="s">
        <v>1392</v>
      </c>
      <c r="J4898" s="417" t="s">
        <v>12055</v>
      </c>
      <c r="K4898" s="417" t="s">
        <v>12271</v>
      </c>
      <c r="L4898" s="417"/>
      <c r="M4898" s="417" t="s">
        <v>28840</v>
      </c>
    </row>
    <row r="4899" spans="1:13" x14ac:dyDescent="0.25">
      <c r="A4899" s="417" t="s">
        <v>3385</v>
      </c>
      <c r="B4899" s="417" t="s">
        <v>3405</v>
      </c>
      <c r="C4899" s="417" t="s">
        <v>12272</v>
      </c>
      <c r="D4899" s="417" t="s">
        <v>73</v>
      </c>
      <c r="E4899" s="423">
        <v>9.8050682006428788E-2</v>
      </c>
      <c r="F4899" s="423">
        <v>2.9466285785130752E-4</v>
      </c>
      <c r="G4899" s="422">
        <v>121.59278381069581</v>
      </c>
      <c r="H4899" s="417" t="s">
        <v>2616</v>
      </c>
      <c r="I4899" s="417" t="s">
        <v>1392</v>
      </c>
      <c r="J4899" s="417" t="s">
        <v>12055</v>
      </c>
      <c r="K4899" s="417" t="s">
        <v>12273</v>
      </c>
      <c r="L4899" s="417"/>
      <c r="M4899" s="417" t="s">
        <v>28840</v>
      </c>
    </row>
    <row r="4900" spans="1:13" x14ac:dyDescent="0.25">
      <c r="A4900" s="417" t="s">
        <v>3385</v>
      </c>
      <c r="B4900" s="417" t="s">
        <v>3405</v>
      </c>
      <c r="C4900" s="417" t="s">
        <v>12274</v>
      </c>
      <c r="D4900" s="417" t="s">
        <v>73</v>
      </c>
      <c r="E4900" s="423">
        <v>0.10676210418242291</v>
      </c>
      <c r="F4900" s="423">
        <v>2.6506078399327168E-4</v>
      </c>
      <c r="G4900" s="422">
        <v>142.96450343838231</v>
      </c>
      <c r="H4900" s="417" t="s">
        <v>2616</v>
      </c>
      <c r="I4900" s="417" t="s">
        <v>1392</v>
      </c>
      <c r="J4900" s="417" t="s">
        <v>12055</v>
      </c>
      <c r="K4900" s="417" t="s">
        <v>12275</v>
      </c>
      <c r="L4900" s="417"/>
      <c r="M4900" s="417" t="s">
        <v>28840</v>
      </c>
    </row>
    <row r="4901" spans="1:13" x14ac:dyDescent="0.25">
      <c r="A4901" s="417" t="s">
        <v>3385</v>
      </c>
      <c r="B4901" s="417" t="s">
        <v>3405</v>
      </c>
      <c r="C4901" s="417" t="s">
        <v>12276</v>
      </c>
      <c r="D4901" s="417" t="s">
        <v>73</v>
      </c>
      <c r="E4901" s="423">
        <v>0.1044192531855786</v>
      </c>
      <c r="F4901" s="423">
        <v>4.8165008215997882E-4</v>
      </c>
      <c r="G4901" s="422">
        <v>125.3001463548008</v>
      </c>
      <c r="H4901" s="417" t="s">
        <v>2616</v>
      </c>
      <c r="I4901" s="417" t="s">
        <v>1392</v>
      </c>
      <c r="J4901" s="417" t="s">
        <v>12055</v>
      </c>
      <c r="K4901" s="417" t="s">
        <v>12277</v>
      </c>
      <c r="L4901" s="417"/>
      <c r="M4901" s="417" t="s">
        <v>28840</v>
      </c>
    </row>
    <row r="4902" spans="1:13" x14ac:dyDescent="0.25">
      <c r="A4902" s="417" t="s">
        <v>3385</v>
      </c>
      <c r="B4902" s="417" t="s">
        <v>3405</v>
      </c>
      <c r="C4902" s="417" t="s">
        <v>12278</v>
      </c>
      <c r="D4902" s="417" t="s">
        <v>73</v>
      </c>
      <c r="E4902" s="423">
        <v>0.1009283633813481</v>
      </c>
      <c r="F4902" s="423">
        <v>1.935777825253938E-4</v>
      </c>
      <c r="G4902" s="422">
        <v>122.61814138623861</v>
      </c>
      <c r="H4902" s="417" t="s">
        <v>2616</v>
      </c>
      <c r="I4902" s="417" t="s">
        <v>1392</v>
      </c>
      <c r="J4902" s="417" t="s">
        <v>12055</v>
      </c>
      <c r="K4902" s="417" t="s">
        <v>12279</v>
      </c>
      <c r="L4902" s="417"/>
      <c r="M4902" s="417" t="s">
        <v>28840</v>
      </c>
    </row>
    <row r="4903" spans="1:13" x14ac:dyDescent="0.25">
      <c r="A4903" s="417" t="s">
        <v>3385</v>
      </c>
      <c r="B4903" s="417" t="s">
        <v>3405</v>
      </c>
      <c r="C4903" s="417" t="s">
        <v>12280</v>
      </c>
      <c r="D4903" s="417" t="s">
        <v>73</v>
      </c>
      <c r="E4903" s="423">
        <v>4.5088539099664348E-3</v>
      </c>
      <c r="F4903" s="423">
        <v>0.1085521759132109</v>
      </c>
      <c r="G4903" s="422">
        <v>37.049960508602908</v>
      </c>
      <c r="H4903" s="417" t="s">
        <v>2616</v>
      </c>
      <c r="I4903" s="417" t="s">
        <v>1392</v>
      </c>
      <c r="J4903" s="417" t="s">
        <v>11284</v>
      </c>
      <c r="K4903" s="417" t="s">
        <v>12281</v>
      </c>
      <c r="L4903" s="417"/>
      <c r="M4903" s="417" t="s">
        <v>28840</v>
      </c>
    </row>
    <row r="4904" spans="1:13" x14ac:dyDescent="0.25">
      <c r="A4904" s="417" t="s">
        <v>3385</v>
      </c>
      <c r="B4904" s="417" t="s">
        <v>3405</v>
      </c>
      <c r="C4904" s="417" t="s">
        <v>12282</v>
      </c>
      <c r="D4904" s="417" t="s">
        <v>73</v>
      </c>
      <c r="E4904" s="423">
        <v>3.910932109040202E-3</v>
      </c>
      <c r="F4904" s="423">
        <v>0.1097134955969024</v>
      </c>
      <c r="G4904" s="422">
        <v>36.807895178513341</v>
      </c>
      <c r="H4904" s="417" t="s">
        <v>2616</v>
      </c>
      <c r="I4904" s="417" t="s">
        <v>1392</v>
      </c>
      <c r="J4904" s="417" t="s">
        <v>11284</v>
      </c>
      <c r="K4904" s="417" t="s">
        <v>12283</v>
      </c>
      <c r="L4904" s="417"/>
      <c r="M4904" s="417" t="s">
        <v>28840</v>
      </c>
    </row>
    <row r="4905" spans="1:13" x14ac:dyDescent="0.25">
      <c r="A4905" s="417" t="s">
        <v>3385</v>
      </c>
      <c r="B4905" s="417" t="s">
        <v>3405</v>
      </c>
      <c r="C4905" s="417" t="s">
        <v>12284</v>
      </c>
      <c r="D4905" s="417" t="s">
        <v>73</v>
      </c>
      <c r="E4905" s="423">
        <v>4.0366358381592488E-3</v>
      </c>
      <c r="F4905" s="423">
        <v>0.1072721948223659</v>
      </c>
      <c r="G4905" s="422">
        <v>34.114715729240267</v>
      </c>
      <c r="H4905" s="417" t="s">
        <v>2616</v>
      </c>
      <c r="I4905" s="417" t="s">
        <v>1392</v>
      </c>
      <c r="J4905" s="417" t="s">
        <v>11284</v>
      </c>
      <c r="K4905" s="417" t="s">
        <v>12285</v>
      </c>
      <c r="L4905" s="417"/>
      <c r="M4905" s="417" t="s">
        <v>28840</v>
      </c>
    </row>
    <row r="4906" spans="1:13" x14ac:dyDescent="0.25">
      <c r="A4906" s="417" t="s">
        <v>3385</v>
      </c>
      <c r="B4906" s="417" t="s">
        <v>3405</v>
      </c>
      <c r="C4906" s="417" t="s">
        <v>12286</v>
      </c>
      <c r="D4906" s="417" t="s">
        <v>73</v>
      </c>
      <c r="E4906" s="423">
        <v>5.7231956845423364E-3</v>
      </c>
      <c r="F4906" s="423">
        <v>0.1098072395706873</v>
      </c>
      <c r="G4906" s="422">
        <v>45.379087876169727</v>
      </c>
      <c r="H4906" s="417" t="s">
        <v>2616</v>
      </c>
      <c r="I4906" s="417" t="s">
        <v>1392</v>
      </c>
      <c r="J4906" s="417" t="s">
        <v>11284</v>
      </c>
      <c r="K4906" s="417" t="s">
        <v>12287</v>
      </c>
      <c r="L4906" s="417"/>
      <c r="M4906" s="417" t="s">
        <v>28840</v>
      </c>
    </row>
    <row r="4907" spans="1:13" x14ac:dyDescent="0.25">
      <c r="A4907" s="417" t="s">
        <v>3385</v>
      </c>
      <c r="B4907" s="417" t="s">
        <v>3405</v>
      </c>
      <c r="C4907" s="417" t="s">
        <v>12288</v>
      </c>
      <c r="D4907" s="417" t="s">
        <v>73</v>
      </c>
      <c r="E4907" s="423">
        <v>4.6383956437175012E-3</v>
      </c>
      <c r="F4907" s="423">
        <v>0.10859746452169181</v>
      </c>
      <c r="G4907" s="422">
        <v>36.866314202987553</v>
      </c>
      <c r="H4907" s="417" t="s">
        <v>2616</v>
      </c>
      <c r="I4907" s="417" t="s">
        <v>1392</v>
      </c>
      <c r="J4907" s="417" t="s">
        <v>11284</v>
      </c>
      <c r="K4907" s="417" t="s">
        <v>12289</v>
      </c>
      <c r="L4907" s="417"/>
      <c r="M4907" s="417" t="s">
        <v>28840</v>
      </c>
    </row>
    <row r="4908" spans="1:13" x14ac:dyDescent="0.25">
      <c r="A4908" s="417" t="s">
        <v>3385</v>
      </c>
      <c r="B4908" s="417" t="s">
        <v>3405</v>
      </c>
      <c r="C4908" s="417" t="s">
        <v>12290</v>
      </c>
      <c r="D4908" s="417" t="s">
        <v>73</v>
      </c>
      <c r="E4908" s="423">
        <v>4.0321374698591263E-3</v>
      </c>
      <c r="F4908" s="423">
        <v>0.1097569672731063</v>
      </c>
      <c r="G4908" s="422">
        <v>36.573614576593883</v>
      </c>
      <c r="H4908" s="417" t="s">
        <v>2616</v>
      </c>
      <c r="I4908" s="417" t="s">
        <v>1392</v>
      </c>
      <c r="J4908" s="417" t="s">
        <v>11284</v>
      </c>
      <c r="K4908" s="417" t="s">
        <v>12291</v>
      </c>
      <c r="L4908" s="417"/>
      <c r="M4908" s="417" t="s">
        <v>28840</v>
      </c>
    </row>
    <row r="4909" spans="1:13" x14ac:dyDescent="0.25">
      <c r="A4909" s="417" t="s">
        <v>3385</v>
      </c>
      <c r="B4909" s="417" t="s">
        <v>3405</v>
      </c>
      <c r="C4909" s="417" t="s">
        <v>12292</v>
      </c>
      <c r="D4909" s="417" t="s">
        <v>73</v>
      </c>
      <c r="E4909" s="423">
        <v>4.0448184802665821E-3</v>
      </c>
      <c r="F4909" s="423">
        <v>0.1073070808941352</v>
      </c>
      <c r="G4909" s="422">
        <v>33.45100080058188</v>
      </c>
      <c r="H4909" s="417" t="s">
        <v>2616</v>
      </c>
      <c r="I4909" s="417" t="s">
        <v>1392</v>
      </c>
      <c r="J4909" s="417" t="s">
        <v>11284</v>
      </c>
      <c r="K4909" s="417" t="s">
        <v>12293</v>
      </c>
      <c r="L4909" s="417"/>
      <c r="M4909" s="417" t="s">
        <v>28840</v>
      </c>
    </row>
    <row r="4910" spans="1:13" x14ac:dyDescent="0.25">
      <c r="A4910" s="417" t="s">
        <v>3385</v>
      </c>
      <c r="B4910" s="417" t="s">
        <v>3405</v>
      </c>
      <c r="C4910" s="417" t="s">
        <v>12294</v>
      </c>
      <c r="D4910" s="417" t="s">
        <v>73</v>
      </c>
      <c r="E4910" s="423">
        <v>5.854024842605947E-3</v>
      </c>
      <c r="F4910" s="423">
        <v>0.1098530064951159</v>
      </c>
      <c r="G4910" s="422">
        <v>45.192009952403048</v>
      </c>
      <c r="H4910" s="417" t="s">
        <v>2616</v>
      </c>
      <c r="I4910" s="417" t="s">
        <v>1392</v>
      </c>
      <c r="J4910" s="417" t="s">
        <v>11284</v>
      </c>
      <c r="K4910" s="417" t="s">
        <v>12295</v>
      </c>
      <c r="L4910" s="417"/>
      <c r="M4910" s="417" t="s">
        <v>28840</v>
      </c>
    </row>
    <row r="4911" spans="1:13" x14ac:dyDescent="0.25">
      <c r="A4911" s="417" t="s">
        <v>3385</v>
      </c>
      <c r="B4911" s="417" t="s">
        <v>3405</v>
      </c>
      <c r="C4911" s="417" t="s">
        <v>12296</v>
      </c>
      <c r="D4911" s="417" t="s">
        <v>73</v>
      </c>
      <c r="E4911" s="423">
        <v>8.694753150403774E-3</v>
      </c>
      <c r="F4911" s="423">
        <v>0.1152381603007647</v>
      </c>
      <c r="G4911" s="422">
        <v>66.368715511536053</v>
      </c>
      <c r="H4911" s="417" t="s">
        <v>2616</v>
      </c>
      <c r="I4911" s="417" t="s">
        <v>1392</v>
      </c>
      <c r="J4911" s="417" t="s">
        <v>11284</v>
      </c>
      <c r="K4911" s="417" t="s">
        <v>12297</v>
      </c>
      <c r="L4911" s="417"/>
      <c r="M4911" s="417" t="s">
        <v>28840</v>
      </c>
    </row>
    <row r="4912" spans="1:13" x14ac:dyDescent="0.25">
      <c r="A4912" s="417" t="s">
        <v>3385</v>
      </c>
      <c r="B4912" s="417" t="s">
        <v>3405</v>
      </c>
      <c r="C4912" s="417" t="s">
        <v>12298</v>
      </c>
      <c r="D4912" s="417" t="s">
        <v>73</v>
      </c>
      <c r="E4912" s="423">
        <v>9.1121476186046494E-3</v>
      </c>
      <c r="F4912" s="423">
        <v>0.1138924847430217</v>
      </c>
      <c r="G4912" s="422">
        <v>66.438543082373954</v>
      </c>
      <c r="H4912" s="417" t="s">
        <v>2616</v>
      </c>
      <c r="I4912" s="417" t="s">
        <v>1392</v>
      </c>
      <c r="J4912" s="417" t="s">
        <v>11284</v>
      </c>
      <c r="K4912" s="417" t="s">
        <v>12299</v>
      </c>
      <c r="L4912" s="417"/>
      <c r="M4912" s="417" t="s">
        <v>28840</v>
      </c>
    </row>
    <row r="4913" spans="1:13" x14ac:dyDescent="0.25">
      <c r="A4913" s="417" t="s">
        <v>3385</v>
      </c>
      <c r="B4913" s="417" t="s">
        <v>3405</v>
      </c>
      <c r="C4913" s="417" t="s">
        <v>12300</v>
      </c>
      <c r="D4913" s="417" t="s">
        <v>73</v>
      </c>
      <c r="E4913" s="423">
        <v>9.6749217360067689E-3</v>
      </c>
      <c r="F4913" s="423">
        <v>0.1197698130786196</v>
      </c>
      <c r="G4913" s="422">
        <v>69.958446387622388</v>
      </c>
      <c r="H4913" s="417" t="s">
        <v>2616</v>
      </c>
      <c r="I4913" s="417" t="s">
        <v>1392</v>
      </c>
      <c r="J4913" s="417" t="s">
        <v>11284</v>
      </c>
      <c r="K4913" s="417" t="s">
        <v>12301</v>
      </c>
      <c r="L4913" s="417"/>
      <c r="M4913" s="417" t="s">
        <v>28840</v>
      </c>
    </row>
    <row r="4914" spans="1:13" x14ac:dyDescent="0.25">
      <c r="A4914" s="417" t="s">
        <v>3385</v>
      </c>
      <c r="B4914" s="417" t="s">
        <v>3405</v>
      </c>
      <c r="C4914" s="417" t="s">
        <v>12302</v>
      </c>
      <c r="D4914" s="417" t="s">
        <v>73</v>
      </c>
      <c r="E4914" s="423">
        <v>0.1028179753854201</v>
      </c>
      <c r="F4914" s="423">
        <v>2.4576622049112473E-4</v>
      </c>
      <c r="G4914" s="422">
        <v>133.61589712386089</v>
      </c>
      <c r="H4914" s="417" t="s">
        <v>2616</v>
      </c>
      <c r="I4914" s="417" t="s">
        <v>1392</v>
      </c>
      <c r="J4914" s="417" t="s">
        <v>4694</v>
      </c>
      <c r="K4914" s="417" t="s">
        <v>12303</v>
      </c>
      <c r="L4914" s="417"/>
      <c r="M4914" s="417" t="s">
        <v>28840</v>
      </c>
    </row>
    <row r="4915" spans="1:13" x14ac:dyDescent="0.25">
      <c r="A4915" s="417" t="s">
        <v>3385</v>
      </c>
      <c r="B4915" s="417" t="s">
        <v>3405</v>
      </c>
      <c r="C4915" s="417" t="s">
        <v>12304</v>
      </c>
      <c r="D4915" s="417" t="s">
        <v>73</v>
      </c>
      <c r="E4915" s="423">
        <v>0.10237699443158529</v>
      </c>
      <c r="F4915" s="423">
        <v>3.7015923409611712E-4</v>
      </c>
      <c r="G4915" s="422">
        <v>133.29481232545919</v>
      </c>
      <c r="H4915" s="417" t="s">
        <v>2616</v>
      </c>
      <c r="I4915" s="417" t="s">
        <v>1392</v>
      </c>
      <c r="J4915" s="417" t="s">
        <v>4694</v>
      </c>
      <c r="K4915" s="417" t="s">
        <v>12305</v>
      </c>
      <c r="L4915" s="417"/>
      <c r="M4915" s="417" t="s">
        <v>28840</v>
      </c>
    </row>
    <row r="4916" spans="1:13" x14ac:dyDescent="0.25">
      <c r="A4916" s="417" t="s">
        <v>3385</v>
      </c>
      <c r="B4916" s="417" t="s">
        <v>3405</v>
      </c>
      <c r="C4916" s="417" t="s">
        <v>12306</v>
      </c>
      <c r="D4916" s="417" t="s">
        <v>73</v>
      </c>
      <c r="E4916" s="423">
        <v>3.1297880063918611E-3</v>
      </c>
      <c r="F4916" s="423">
        <v>0.24624551237822651</v>
      </c>
      <c r="G4916" s="422">
        <v>67.620285024723714</v>
      </c>
      <c r="H4916" s="417" t="s">
        <v>2616</v>
      </c>
      <c r="I4916" s="417" t="s">
        <v>1392</v>
      </c>
      <c r="J4916" s="417" t="s">
        <v>4245</v>
      </c>
      <c r="K4916" s="417" t="s">
        <v>12307</v>
      </c>
      <c r="L4916" s="417"/>
      <c r="M4916" s="417" t="s">
        <v>28840</v>
      </c>
    </row>
    <row r="4917" spans="1:13" x14ac:dyDescent="0.25">
      <c r="A4917" s="417" t="s">
        <v>3385</v>
      </c>
      <c r="B4917" s="417" t="s">
        <v>3405</v>
      </c>
      <c r="C4917" s="417" t="s">
        <v>12308</v>
      </c>
      <c r="D4917" s="417" t="s">
        <v>73</v>
      </c>
      <c r="E4917" s="423">
        <v>2.994982417426953E-3</v>
      </c>
      <c r="F4917" s="423">
        <v>0.24616467188098781</v>
      </c>
      <c r="G4917" s="422">
        <v>79.934875664929081</v>
      </c>
      <c r="H4917" s="417" t="s">
        <v>2616</v>
      </c>
      <c r="I4917" s="417" t="s">
        <v>1392</v>
      </c>
      <c r="J4917" s="417" t="s">
        <v>4245</v>
      </c>
      <c r="K4917" s="417" t="s">
        <v>12309</v>
      </c>
      <c r="L4917" s="417"/>
      <c r="M4917" s="417" t="s">
        <v>28840</v>
      </c>
    </row>
    <row r="4918" spans="1:13" x14ac:dyDescent="0.25">
      <c r="A4918" s="417" t="s">
        <v>3385</v>
      </c>
      <c r="B4918" s="417" t="s">
        <v>3405</v>
      </c>
      <c r="C4918" s="417" t="s">
        <v>12310</v>
      </c>
      <c r="D4918" s="417" t="s">
        <v>73</v>
      </c>
      <c r="E4918" s="423">
        <v>3.1002045523339352E-3</v>
      </c>
      <c r="F4918" s="423">
        <v>0.24617751979179231</v>
      </c>
      <c r="G4918" s="422">
        <v>63.372971369300657</v>
      </c>
      <c r="H4918" s="417" t="s">
        <v>2616</v>
      </c>
      <c r="I4918" s="417" t="s">
        <v>1392</v>
      </c>
      <c r="J4918" s="417" t="s">
        <v>4245</v>
      </c>
      <c r="K4918" s="417" t="s">
        <v>12311</v>
      </c>
      <c r="L4918" s="417"/>
      <c r="M4918" s="417" t="s">
        <v>28840</v>
      </c>
    </row>
    <row r="4919" spans="1:13" x14ac:dyDescent="0.25">
      <c r="A4919" s="417" t="s">
        <v>3385</v>
      </c>
      <c r="B4919" s="417" t="s">
        <v>3405</v>
      </c>
      <c r="C4919" s="417" t="s">
        <v>12312</v>
      </c>
      <c r="D4919" s="417" t="s">
        <v>73</v>
      </c>
      <c r="E4919" s="423">
        <v>3.323746898903167E-3</v>
      </c>
      <c r="F4919" s="423">
        <v>0.2464623271456701</v>
      </c>
      <c r="G4919" s="422">
        <v>63.799670020987072</v>
      </c>
      <c r="H4919" s="417" t="s">
        <v>2616</v>
      </c>
      <c r="I4919" s="417" t="s">
        <v>1392</v>
      </c>
      <c r="J4919" s="417" t="s">
        <v>4245</v>
      </c>
      <c r="K4919" s="417" t="s">
        <v>12313</v>
      </c>
      <c r="L4919" s="417"/>
      <c r="M4919" s="417" t="s">
        <v>28840</v>
      </c>
    </row>
    <row r="4920" spans="1:13" x14ac:dyDescent="0.25">
      <c r="A4920" s="417" t="s">
        <v>3385</v>
      </c>
      <c r="B4920" s="417" t="s">
        <v>3405</v>
      </c>
      <c r="C4920" s="417" t="s">
        <v>12314</v>
      </c>
      <c r="D4920" s="417" t="s">
        <v>73</v>
      </c>
      <c r="E4920" s="423">
        <v>9.5469789676469519E-2</v>
      </c>
      <c r="F4920" s="423">
        <v>2.9906185449251108E-4</v>
      </c>
      <c r="G4920" s="422">
        <v>119.8500255689702</v>
      </c>
      <c r="H4920" s="417" t="s">
        <v>2616</v>
      </c>
      <c r="I4920" s="417" t="s">
        <v>1392</v>
      </c>
      <c r="J4920" s="417" t="s">
        <v>4694</v>
      </c>
      <c r="K4920" s="417" t="s">
        <v>12315</v>
      </c>
      <c r="L4920" s="417"/>
      <c r="M4920" s="417" t="s">
        <v>28840</v>
      </c>
    </row>
    <row r="4921" spans="1:13" x14ac:dyDescent="0.25">
      <c r="A4921" s="417" t="s">
        <v>3385</v>
      </c>
      <c r="B4921" s="417" t="s">
        <v>3405</v>
      </c>
      <c r="C4921" s="417" t="s">
        <v>12316</v>
      </c>
      <c r="D4921" s="417" t="s">
        <v>73</v>
      </c>
      <c r="E4921" s="423">
        <v>9.1262202840784873E-2</v>
      </c>
      <c r="F4921" s="423">
        <v>2.861000908026278E-4</v>
      </c>
      <c r="G4921" s="422">
        <v>114.5389502505175</v>
      </c>
      <c r="H4921" s="417" t="s">
        <v>2616</v>
      </c>
      <c r="I4921" s="417" t="s">
        <v>1392</v>
      </c>
      <c r="J4921" s="417" t="s">
        <v>4694</v>
      </c>
      <c r="K4921" s="417" t="s">
        <v>12317</v>
      </c>
      <c r="L4921" s="417"/>
      <c r="M4921" s="417" t="s">
        <v>28840</v>
      </c>
    </row>
    <row r="4922" spans="1:13" x14ac:dyDescent="0.25">
      <c r="A4922" s="417" t="s">
        <v>3385</v>
      </c>
      <c r="B4922" s="417" t="s">
        <v>3405</v>
      </c>
      <c r="C4922" s="417" t="s">
        <v>12318</v>
      </c>
      <c r="D4922" s="417" t="s">
        <v>73</v>
      </c>
      <c r="E4922" s="423">
        <v>9.0914726106949825E-2</v>
      </c>
      <c r="F4922" s="423">
        <v>2.8500905226891508E-4</v>
      </c>
      <c r="G4922" s="422">
        <v>113.7451230836287</v>
      </c>
      <c r="H4922" s="417" t="s">
        <v>2616</v>
      </c>
      <c r="I4922" s="417" t="s">
        <v>1392</v>
      </c>
      <c r="J4922" s="417" t="s">
        <v>4694</v>
      </c>
      <c r="K4922" s="417" t="s">
        <v>12319</v>
      </c>
      <c r="L4922" s="417"/>
      <c r="M4922" s="417" t="s">
        <v>28840</v>
      </c>
    </row>
    <row r="4923" spans="1:13" x14ac:dyDescent="0.25">
      <c r="A4923" s="417" t="s">
        <v>3385</v>
      </c>
      <c r="B4923" s="417" t="s">
        <v>3405</v>
      </c>
      <c r="C4923" s="417" t="s">
        <v>12320</v>
      </c>
      <c r="D4923" s="417" t="s">
        <v>73</v>
      </c>
      <c r="E4923" s="423">
        <v>0.1015468425509201</v>
      </c>
      <c r="F4923" s="423">
        <v>3.1769053942867369E-4</v>
      </c>
      <c r="G4923" s="422">
        <v>127.4567642657088</v>
      </c>
      <c r="H4923" s="417" t="s">
        <v>2616</v>
      </c>
      <c r="I4923" s="417" t="s">
        <v>1392</v>
      </c>
      <c r="J4923" s="417" t="s">
        <v>4694</v>
      </c>
      <c r="K4923" s="417" t="s">
        <v>12321</v>
      </c>
      <c r="L4923" s="417"/>
      <c r="M4923" s="417" t="s">
        <v>28840</v>
      </c>
    </row>
    <row r="4924" spans="1:13" x14ac:dyDescent="0.25">
      <c r="A4924" s="417" t="s">
        <v>3385</v>
      </c>
      <c r="B4924" s="417" t="s">
        <v>3405</v>
      </c>
      <c r="C4924" s="417" t="s">
        <v>12322</v>
      </c>
      <c r="D4924" s="417" t="s">
        <v>73</v>
      </c>
      <c r="E4924" s="423">
        <v>9.6441494903300728E-2</v>
      </c>
      <c r="F4924" s="423">
        <v>3.7009075798817922E-4</v>
      </c>
      <c r="G4924" s="422">
        <v>122.3969552071769</v>
      </c>
      <c r="H4924" s="417" t="s">
        <v>2616</v>
      </c>
      <c r="I4924" s="417" t="s">
        <v>1392</v>
      </c>
      <c r="J4924" s="417" t="s">
        <v>4694</v>
      </c>
      <c r="K4924" s="417" t="s">
        <v>12323</v>
      </c>
      <c r="L4924" s="417"/>
      <c r="M4924" s="417" t="s">
        <v>28840</v>
      </c>
    </row>
    <row r="4925" spans="1:13" x14ac:dyDescent="0.25">
      <c r="A4925" s="417" t="s">
        <v>3385</v>
      </c>
      <c r="B4925" s="417" t="s">
        <v>3405</v>
      </c>
      <c r="C4925" s="417" t="s">
        <v>12324</v>
      </c>
      <c r="D4925" s="417" t="s">
        <v>73</v>
      </c>
      <c r="E4925" s="423">
        <v>9.3146721994204831E-2</v>
      </c>
      <c r="F4925" s="423">
        <v>3.3907132771380632E-4</v>
      </c>
      <c r="G4925" s="422">
        <v>117.62764955562059</v>
      </c>
      <c r="H4925" s="417" t="s">
        <v>2616</v>
      </c>
      <c r="I4925" s="417" t="s">
        <v>1392</v>
      </c>
      <c r="J4925" s="417" t="s">
        <v>4694</v>
      </c>
      <c r="K4925" s="417" t="s">
        <v>12325</v>
      </c>
      <c r="L4925" s="417"/>
      <c r="M4925" s="417" t="s">
        <v>28840</v>
      </c>
    </row>
    <row r="4926" spans="1:13" x14ac:dyDescent="0.25">
      <c r="A4926" s="417" t="s">
        <v>3385</v>
      </c>
      <c r="B4926" s="417" t="s">
        <v>3405</v>
      </c>
      <c r="C4926" s="417" t="s">
        <v>12326</v>
      </c>
      <c r="D4926" s="417" t="s">
        <v>73</v>
      </c>
      <c r="E4926" s="423">
        <v>9.2467444846866739E-2</v>
      </c>
      <c r="F4926" s="423">
        <v>3.3659863303285407E-4</v>
      </c>
      <c r="G4926" s="422">
        <v>116.4540407402646</v>
      </c>
      <c r="H4926" s="417" t="s">
        <v>2616</v>
      </c>
      <c r="I4926" s="417" t="s">
        <v>1392</v>
      </c>
      <c r="J4926" s="417" t="s">
        <v>4694</v>
      </c>
      <c r="K4926" s="417" t="s">
        <v>12327</v>
      </c>
      <c r="L4926" s="417"/>
      <c r="M4926" s="417" t="s">
        <v>28840</v>
      </c>
    </row>
    <row r="4927" spans="1:13" x14ac:dyDescent="0.25">
      <c r="A4927" s="417" t="s">
        <v>3385</v>
      </c>
      <c r="B4927" s="417" t="s">
        <v>3405</v>
      </c>
      <c r="C4927" s="417" t="s">
        <v>12328</v>
      </c>
      <c r="D4927" s="417" t="s">
        <v>73</v>
      </c>
      <c r="E4927" s="423">
        <v>0.10258054242035559</v>
      </c>
      <c r="F4927" s="423">
        <v>3.9325076498927022E-4</v>
      </c>
      <c r="G4927" s="422">
        <v>130.16618663655501</v>
      </c>
      <c r="H4927" s="417" t="s">
        <v>2616</v>
      </c>
      <c r="I4927" s="417" t="s">
        <v>1392</v>
      </c>
      <c r="J4927" s="417" t="s">
        <v>4694</v>
      </c>
      <c r="K4927" s="417" t="s">
        <v>12329</v>
      </c>
      <c r="L4927" s="417"/>
      <c r="M4927" s="417" t="s">
        <v>28840</v>
      </c>
    </row>
    <row r="4928" spans="1:13" x14ac:dyDescent="0.25">
      <c r="A4928" s="417" t="s">
        <v>3385</v>
      </c>
      <c r="B4928" s="417" t="s">
        <v>3405</v>
      </c>
      <c r="C4928" s="417" t="s">
        <v>12330</v>
      </c>
      <c r="D4928" s="417" t="s">
        <v>73</v>
      </c>
      <c r="E4928" s="423">
        <v>9.9923922940080012E-2</v>
      </c>
      <c r="F4928" s="423">
        <v>2.8350557936717352E-4</v>
      </c>
      <c r="G4928" s="422">
        <v>122.70634215879581</v>
      </c>
      <c r="H4928" s="417" t="s">
        <v>2616</v>
      </c>
      <c r="I4928" s="417" t="s">
        <v>1392</v>
      </c>
      <c r="J4928" s="417" t="s">
        <v>4694</v>
      </c>
      <c r="K4928" s="417" t="s">
        <v>12331</v>
      </c>
      <c r="L4928" s="417"/>
      <c r="M4928" s="417" t="s">
        <v>28840</v>
      </c>
    </row>
    <row r="4929" spans="1:13" x14ac:dyDescent="0.25">
      <c r="A4929" s="417" t="s">
        <v>3385</v>
      </c>
      <c r="B4929" s="417" t="s">
        <v>3405</v>
      </c>
      <c r="C4929" s="417" t="s">
        <v>12332</v>
      </c>
      <c r="D4929" s="417" t="s">
        <v>73</v>
      </c>
      <c r="E4929" s="423">
        <v>0.10014646327062141</v>
      </c>
      <c r="F4929" s="423">
        <v>3.5494939832569298E-4</v>
      </c>
      <c r="G4929" s="422">
        <v>122.67001639527</v>
      </c>
      <c r="H4929" s="417" t="s">
        <v>2616</v>
      </c>
      <c r="I4929" s="417" t="s">
        <v>1392</v>
      </c>
      <c r="J4929" s="417" t="s">
        <v>4694</v>
      </c>
      <c r="K4929" s="417" t="s">
        <v>12333</v>
      </c>
      <c r="L4929" s="417"/>
      <c r="M4929" s="417" t="s">
        <v>28840</v>
      </c>
    </row>
    <row r="4930" spans="1:13" x14ac:dyDescent="0.25">
      <c r="A4930" s="417" t="s">
        <v>3385</v>
      </c>
      <c r="B4930" s="417" t="s">
        <v>3405</v>
      </c>
      <c r="C4930" s="417" t="s">
        <v>12334</v>
      </c>
      <c r="D4930" s="417" t="s">
        <v>73</v>
      </c>
      <c r="E4930" s="423">
        <v>9.8519087173472769E-2</v>
      </c>
      <c r="F4930" s="423">
        <v>7.7887102656593656E-5</v>
      </c>
      <c r="G4930" s="422">
        <v>122.8639162091556</v>
      </c>
      <c r="H4930" s="417" t="s">
        <v>2616</v>
      </c>
      <c r="I4930" s="417" t="s">
        <v>1392</v>
      </c>
      <c r="J4930" s="417" t="s">
        <v>12335</v>
      </c>
      <c r="K4930" s="417" t="s">
        <v>12336</v>
      </c>
      <c r="L4930" s="417"/>
      <c r="M4930" s="417" t="s">
        <v>28840</v>
      </c>
    </row>
    <row r="4931" spans="1:13" x14ac:dyDescent="0.25">
      <c r="A4931" s="417" t="s">
        <v>3385</v>
      </c>
      <c r="B4931" s="417" t="s">
        <v>3405</v>
      </c>
      <c r="C4931" s="417" t="s">
        <v>12337</v>
      </c>
      <c r="D4931" s="417" t="s">
        <v>73</v>
      </c>
      <c r="E4931" s="423">
        <v>0.10070126751415739</v>
      </c>
      <c r="F4931" s="423">
        <v>7.4831442679538495E-5</v>
      </c>
      <c r="G4931" s="422">
        <v>118.5772800657182</v>
      </c>
      <c r="H4931" s="417" t="s">
        <v>2616</v>
      </c>
      <c r="I4931" s="417" t="s">
        <v>1392</v>
      </c>
      <c r="J4931" s="417" t="s">
        <v>12335</v>
      </c>
      <c r="K4931" s="417" t="s">
        <v>12338</v>
      </c>
      <c r="L4931" s="417"/>
      <c r="M4931" s="417" t="s">
        <v>28840</v>
      </c>
    </row>
    <row r="4932" spans="1:13" x14ac:dyDescent="0.25">
      <c r="A4932" s="417" t="s">
        <v>3385</v>
      </c>
      <c r="B4932" s="417" t="s">
        <v>3405</v>
      </c>
      <c r="C4932" s="417" t="s">
        <v>12339</v>
      </c>
      <c r="D4932" s="417" t="s">
        <v>73</v>
      </c>
      <c r="E4932" s="423">
        <v>8.3298779610430806E-2</v>
      </c>
      <c r="F4932" s="423">
        <v>7.6717329188266927E-5</v>
      </c>
      <c r="G4932" s="422">
        <v>97.149415737434921</v>
      </c>
      <c r="H4932" s="417" t="s">
        <v>2616</v>
      </c>
      <c r="I4932" s="417" t="s">
        <v>1392</v>
      </c>
      <c r="J4932" s="417" t="s">
        <v>12335</v>
      </c>
      <c r="K4932" s="417" t="s">
        <v>12340</v>
      </c>
      <c r="L4932" s="417"/>
      <c r="M4932" s="417" t="s">
        <v>28840</v>
      </c>
    </row>
    <row r="4933" spans="1:13" x14ac:dyDescent="0.25">
      <c r="A4933" s="417" t="s">
        <v>3385</v>
      </c>
      <c r="B4933" s="417" t="s">
        <v>3405</v>
      </c>
      <c r="C4933" s="417" t="s">
        <v>12341</v>
      </c>
      <c r="D4933" s="417" t="s">
        <v>73</v>
      </c>
      <c r="E4933" s="423">
        <v>9.8413230926013201E-2</v>
      </c>
      <c r="F4933" s="423">
        <v>8.1863041034587809E-5</v>
      </c>
      <c r="G4933" s="422">
        <v>116.7226497259874</v>
      </c>
      <c r="H4933" s="417" t="s">
        <v>2616</v>
      </c>
      <c r="I4933" s="417" t="s">
        <v>1392</v>
      </c>
      <c r="J4933" s="417" t="s">
        <v>12335</v>
      </c>
      <c r="K4933" s="417" t="s">
        <v>12342</v>
      </c>
      <c r="L4933" s="417"/>
      <c r="M4933" s="417" t="s">
        <v>28840</v>
      </c>
    </row>
    <row r="4934" spans="1:13" x14ac:dyDescent="0.25">
      <c r="A4934" s="417" t="s">
        <v>3385</v>
      </c>
      <c r="B4934" s="417" t="s">
        <v>3405</v>
      </c>
      <c r="C4934" s="417" t="s">
        <v>12343</v>
      </c>
      <c r="D4934" s="417" t="s">
        <v>73</v>
      </c>
      <c r="E4934" s="423">
        <v>0.113616002593597</v>
      </c>
      <c r="F4934" s="423">
        <v>1.6560328681617051E-4</v>
      </c>
      <c r="G4934" s="422">
        <v>142.81567569422339</v>
      </c>
      <c r="H4934" s="417" t="s">
        <v>2616</v>
      </c>
      <c r="I4934" s="417" t="s">
        <v>1392</v>
      </c>
      <c r="J4934" s="417" t="s">
        <v>12335</v>
      </c>
      <c r="K4934" s="417" t="s">
        <v>12344</v>
      </c>
      <c r="L4934" s="417"/>
      <c r="M4934" s="417" t="s">
        <v>28840</v>
      </c>
    </row>
    <row r="4935" spans="1:13" x14ac:dyDescent="0.25">
      <c r="A4935" s="417" t="s">
        <v>3385</v>
      </c>
      <c r="B4935" s="417" t="s">
        <v>3405</v>
      </c>
      <c r="C4935" s="417" t="s">
        <v>12345</v>
      </c>
      <c r="D4935" s="417" t="s">
        <v>73</v>
      </c>
      <c r="E4935" s="423">
        <v>0.1110984468517542</v>
      </c>
      <c r="F4935" s="423">
        <v>1.028353858725631E-4</v>
      </c>
      <c r="G4935" s="422">
        <v>131.5405204322407</v>
      </c>
      <c r="H4935" s="417" t="s">
        <v>2616</v>
      </c>
      <c r="I4935" s="417" t="s">
        <v>1392</v>
      </c>
      <c r="J4935" s="417" t="s">
        <v>12335</v>
      </c>
      <c r="K4935" s="417" t="s">
        <v>12346</v>
      </c>
      <c r="L4935" s="417"/>
      <c r="M4935" s="417" t="s">
        <v>28840</v>
      </c>
    </row>
    <row r="4936" spans="1:13" x14ac:dyDescent="0.25">
      <c r="A4936" s="417" t="s">
        <v>3385</v>
      </c>
      <c r="B4936" s="417" t="s">
        <v>3405</v>
      </c>
      <c r="C4936" s="417" t="s">
        <v>12347</v>
      </c>
      <c r="D4936" s="417" t="s">
        <v>73</v>
      </c>
      <c r="E4936" s="423">
        <v>9.626089670102049E-2</v>
      </c>
      <c r="F4936" s="423">
        <v>9.1848242198754845E-5</v>
      </c>
      <c r="G4936" s="422">
        <v>116.9918296424688</v>
      </c>
      <c r="H4936" s="417" t="s">
        <v>2616</v>
      </c>
      <c r="I4936" s="417" t="s">
        <v>1392</v>
      </c>
      <c r="J4936" s="417" t="s">
        <v>12335</v>
      </c>
      <c r="K4936" s="417" t="s">
        <v>12348</v>
      </c>
      <c r="L4936" s="417"/>
      <c r="M4936" s="417" t="s">
        <v>28840</v>
      </c>
    </row>
    <row r="4937" spans="1:13" x14ac:dyDescent="0.25">
      <c r="A4937" s="417" t="s">
        <v>3385</v>
      </c>
      <c r="B4937" s="417" t="s">
        <v>3405</v>
      </c>
      <c r="C4937" s="417" t="s">
        <v>12349</v>
      </c>
      <c r="D4937" s="417" t="s">
        <v>73</v>
      </c>
      <c r="E4937" s="423">
        <v>0.10950108965649689</v>
      </c>
      <c r="F4937" s="423">
        <v>1.089290188721153E-4</v>
      </c>
      <c r="G4937" s="422">
        <v>147.90507912659751</v>
      </c>
      <c r="H4937" s="417" t="s">
        <v>2616</v>
      </c>
      <c r="I4937" s="417" t="s">
        <v>1392</v>
      </c>
      <c r="J4937" s="417" t="s">
        <v>12335</v>
      </c>
      <c r="K4937" s="417" t="s">
        <v>12350</v>
      </c>
      <c r="L4937" s="417"/>
      <c r="M4937" s="417" t="s">
        <v>28840</v>
      </c>
    </row>
    <row r="4938" spans="1:13" x14ac:dyDescent="0.25">
      <c r="A4938" s="417" t="s">
        <v>3385</v>
      </c>
      <c r="B4938" s="417" t="s">
        <v>3405</v>
      </c>
      <c r="C4938" s="417" t="s">
        <v>12351</v>
      </c>
      <c r="D4938" s="417" t="s">
        <v>73</v>
      </c>
      <c r="E4938" s="423">
        <v>0.1266439845688222</v>
      </c>
      <c r="F4938" s="423">
        <v>1.043332095506239E-4</v>
      </c>
      <c r="G4938" s="422">
        <v>145.1659626049115</v>
      </c>
      <c r="H4938" s="417" t="s">
        <v>2616</v>
      </c>
      <c r="I4938" s="417" t="s">
        <v>1392</v>
      </c>
      <c r="J4938" s="417" t="s">
        <v>12335</v>
      </c>
      <c r="K4938" s="417" t="s">
        <v>12352</v>
      </c>
      <c r="L4938" s="417"/>
      <c r="M4938" s="417" t="s">
        <v>28840</v>
      </c>
    </row>
    <row r="4939" spans="1:13" x14ac:dyDescent="0.25">
      <c r="A4939" s="417" t="s">
        <v>3385</v>
      </c>
      <c r="B4939" s="417" t="s">
        <v>3405</v>
      </c>
      <c r="C4939" s="417" t="s">
        <v>12353</v>
      </c>
      <c r="D4939" s="417" t="s">
        <v>73</v>
      </c>
      <c r="E4939" s="423">
        <v>0.11688037030561781</v>
      </c>
      <c r="F4939" s="423">
        <v>9.4910218376414958E-5</v>
      </c>
      <c r="G4939" s="422">
        <v>135.9660636561976</v>
      </c>
      <c r="H4939" s="417" t="s">
        <v>2616</v>
      </c>
      <c r="I4939" s="417" t="s">
        <v>1392</v>
      </c>
      <c r="J4939" s="417" t="s">
        <v>12335</v>
      </c>
      <c r="K4939" s="417" t="s">
        <v>12354</v>
      </c>
      <c r="L4939" s="417"/>
      <c r="M4939" s="417" t="s">
        <v>28840</v>
      </c>
    </row>
    <row r="4940" spans="1:13" x14ac:dyDescent="0.25">
      <c r="A4940" s="417" t="s">
        <v>3385</v>
      </c>
      <c r="B4940" s="417" t="s">
        <v>3405</v>
      </c>
      <c r="C4940" s="417" t="s">
        <v>12355</v>
      </c>
      <c r="D4940" s="417" t="s">
        <v>73</v>
      </c>
      <c r="E4940" s="423">
        <v>4.9938245026423002E-3</v>
      </c>
      <c r="F4940" s="423">
        <v>0.1085973479351473</v>
      </c>
      <c r="G4940" s="422">
        <v>38.071549504072152</v>
      </c>
      <c r="H4940" s="417" t="s">
        <v>2616</v>
      </c>
      <c r="I4940" s="417" t="s">
        <v>1392</v>
      </c>
      <c r="J4940" s="417" t="s">
        <v>11284</v>
      </c>
      <c r="K4940" s="417" t="s">
        <v>12356</v>
      </c>
      <c r="L4940" s="417"/>
      <c r="M4940" s="417" t="s">
        <v>28840</v>
      </c>
    </row>
    <row r="4941" spans="1:13" x14ac:dyDescent="0.25">
      <c r="A4941" s="417" t="s">
        <v>3385</v>
      </c>
      <c r="B4941" s="417" t="s">
        <v>3405</v>
      </c>
      <c r="C4941" s="417" t="s">
        <v>12357</v>
      </c>
      <c r="D4941" s="417" t="s">
        <v>73</v>
      </c>
      <c r="E4941" s="423">
        <v>4.7557799282993609E-3</v>
      </c>
      <c r="F4941" s="423">
        <v>0.1097803246673332</v>
      </c>
      <c r="G4941" s="422">
        <v>38.370931073881103</v>
      </c>
      <c r="H4941" s="417" t="s">
        <v>2616</v>
      </c>
      <c r="I4941" s="417" t="s">
        <v>1392</v>
      </c>
      <c r="J4941" s="417" t="s">
        <v>11284</v>
      </c>
      <c r="K4941" s="417" t="s">
        <v>12358</v>
      </c>
      <c r="L4941" s="417"/>
      <c r="M4941" s="417" t="s">
        <v>28840</v>
      </c>
    </row>
    <row r="4942" spans="1:13" x14ac:dyDescent="0.25">
      <c r="A4942" s="417" t="s">
        <v>3385</v>
      </c>
      <c r="B4942" s="417" t="s">
        <v>3405</v>
      </c>
      <c r="C4942" s="417" t="s">
        <v>12359</v>
      </c>
      <c r="D4942" s="417" t="s">
        <v>73</v>
      </c>
      <c r="E4942" s="423">
        <v>4.4798650550366683E-3</v>
      </c>
      <c r="F4942" s="423">
        <v>0.1073144446467359</v>
      </c>
      <c r="G4942" s="422">
        <v>35.058541738896047</v>
      </c>
      <c r="H4942" s="417" t="s">
        <v>2616</v>
      </c>
      <c r="I4942" s="417" t="s">
        <v>1392</v>
      </c>
      <c r="J4942" s="417" t="s">
        <v>11284</v>
      </c>
      <c r="K4942" s="417" t="s">
        <v>12360</v>
      </c>
      <c r="L4942" s="417"/>
      <c r="M4942" s="417" t="s">
        <v>28840</v>
      </c>
    </row>
    <row r="4943" spans="1:13" x14ac:dyDescent="0.25">
      <c r="A4943" s="417" t="s">
        <v>3385</v>
      </c>
      <c r="B4943" s="417" t="s">
        <v>3405</v>
      </c>
      <c r="C4943" s="417" t="s">
        <v>12361</v>
      </c>
      <c r="D4943" s="417" t="s">
        <v>73</v>
      </c>
      <c r="E4943" s="423">
        <v>6.4640785718694319E-3</v>
      </c>
      <c r="F4943" s="423">
        <v>0.1098691905402453</v>
      </c>
      <c r="G4943" s="422">
        <v>47.003819959913827</v>
      </c>
      <c r="H4943" s="417" t="s">
        <v>2616</v>
      </c>
      <c r="I4943" s="417" t="s">
        <v>1392</v>
      </c>
      <c r="J4943" s="417" t="s">
        <v>11284</v>
      </c>
      <c r="K4943" s="417" t="s">
        <v>12362</v>
      </c>
      <c r="L4943" s="417"/>
      <c r="M4943" s="417" t="s">
        <v>28840</v>
      </c>
    </row>
    <row r="4944" spans="1:13" x14ac:dyDescent="0.25">
      <c r="A4944" s="417" t="s">
        <v>3385</v>
      </c>
      <c r="B4944" s="417" t="s">
        <v>3405</v>
      </c>
      <c r="C4944" s="417" t="s">
        <v>12363</v>
      </c>
      <c r="D4944" s="417" t="s">
        <v>73</v>
      </c>
      <c r="E4944" s="423">
        <v>4.7775830303262634E-3</v>
      </c>
      <c r="F4944" s="423">
        <v>0.1086135942882395</v>
      </c>
      <c r="G4944" s="422">
        <v>37.223549967905093</v>
      </c>
      <c r="H4944" s="417" t="s">
        <v>2616</v>
      </c>
      <c r="I4944" s="417" t="s">
        <v>1392</v>
      </c>
      <c r="J4944" s="417" t="s">
        <v>11284</v>
      </c>
      <c r="K4944" s="417" t="s">
        <v>12364</v>
      </c>
      <c r="L4944" s="417"/>
      <c r="M4944" s="417" t="s">
        <v>28840</v>
      </c>
    </row>
    <row r="4945" spans="1:13" x14ac:dyDescent="0.25">
      <c r="A4945" s="417" t="s">
        <v>3385</v>
      </c>
      <c r="B4945" s="417" t="s">
        <v>3405</v>
      </c>
      <c r="C4945" s="417" t="s">
        <v>12365</v>
      </c>
      <c r="D4945" s="417" t="s">
        <v>73</v>
      </c>
      <c r="E4945" s="423">
        <v>4.53671114151088E-3</v>
      </c>
      <c r="F4945" s="423">
        <v>0.10979670377285081</v>
      </c>
      <c r="G4945" s="422">
        <v>37.511594422210223</v>
      </c>
      <c r="H4945" s="417" t="s">
        <v>2616</v>
      </c>
      <c r="I4945" s="417" t="s">
        <v>1392</v>
      </c>
      <c r="J4945" s="417" t="s">
        <v>11284</v>
      </c>
      <c r="K4945" s="417" t="s">
        <v>12366</v>
      </c>
      <c r="L4945" s="417"/>
      <c r="M4945" s="417" t="s">
        <v>28840</v>
      </c>
    </row>
    <row r="4946" spans="1:13" x14ac:dyDescent="0.25">
      <c r="A4946" s="417" t="s">
        <v>3385</v>
      </c>
      <c r="B4946" s="417" t="s">
        <v>3405</v>
      </c>
      <c r="C4946" s="417" t="s">
        <v>12367</v>
      </c>
      <c r="D4946" s="417" t="s">
        <v>73</v>
      </c>
      <c r="E4946" s="423">
        <v>4.2658934903569961E-3</v>
      </c>
      <c r="F4946" s="423">
        <v>0.1073304426504407</v>
      </c>
      <c r="G4946" s="422">
        <v>34.219199791340138</v>
      </c>
      <c r="H4946" s="417" t="s">
        <v>2616</v>
      </c>
      <c r="I4946" s="417" t="s">
        <v>1392</v>
      </c>
      <c r="J4946" s="417" t="s">
        <v>11284</v>
      </c>
      <c r="K4946" s="417" t="s">
        <v>12368</v>
      </c>
      <c r="L4946" s="417"/>
      <c r="M4946" s="417" t="s">
        <v>28840</v>
      </c>
    </row>
    <row r="4947" spans="1:13" x14ac:dyDescent="0.25">
      <c r="A4947" s="417" t="s">
        <v>3385</v>
      </c>
      <c r="B4947" s="417" t="s">
        <v>3405</v>
      </c>
      <c r="C4947" s="417" t="s">
        <v>12369</v>
      </c>
      <c r="D4947" s="417" t="s">
        <v>73</v>
      </c>
      <c r="E4947" s="423">
        <v>6.245009830966701E-3</v>
      </c>
      <c r="F4947" s="423">
        <v>0.10988556965424599</v>
      </c>
      <c r="G4947" s="422">
        <v>46.144483425807152</v>
      </c>
      <c r="H4947" s="417" t="s">
        <v>2616</v>
      </c>
      <c r="I4947" s="417" t="s">
        <v>1392</v>
      </c>
      <c r="J4947" s="417" t="s">
        <v>11284</v>
      </c>
      <c r="K4947" s="417" t="s">
        <v>12370</v>
      </c>
      <c r="L4947" s="417"/>
      <c r="M4947" s="417" t="s">
        <v>28840</v>
      </c>
    </row>
    <row r="4948" spans="1:13" x14ac:dyDescent="0.25">
      <c r="A4948" s="417" t="s">
        <v>3385</v>
      </c>
      <c r="B4948" s="417" t="s">
        <v>3405</v>
      </c>
      <c r="C4948" s="417" t="s">
        <v>12371</v>
      </c>
      <c r="D4948" s="417" t="s">
        <v>73</v>
      </c>
      <c r="E4948" s="423">
        <v>9.4027400205258585E-3</v>
      </c>
      <c r="F4948" s="423">
        <v>0.1153030673175595</v>
      </c>
      <c r="G4948" s="422">
        <v>67.925425862052137</v>
      </c>
      <c r="H4948" s="417" t="s">
        <v>2616</v>
      </c>
      <c r="I4948" s="417" t="s">
        <v>1392</v>
      </c>
      <c r="J4948" s="417" t="s">
        <v>11284</v>
      </c>
      <c r="K4948" s="417" t="s">
        <v>12372</v>
      </c>
      <c r="L4948" s="417"/>
      <c r="M4948" s="417" t="s">
        <v>28840</v>
      </c>
    </row>
    <row r="4949" spans="1:13" x14ac:dyDescent="0.25">
      <c r="A4949" s="417" t="s">
        <v>3385</v>
      </c>
      <c r="B4949" s="417" t="s">
        <v>3405</v>
      </c>
      <c r="C4949" s="417" t="s">
        <v>12373</v>
      </c>
      <c r="D4949" s="417" t="s">
        <v>73</v>
      </c>
      <c r="E4949" s="423">
        <v>8.5486701797525995E-3</v>
      </c>
      <c r="F4949" s="423">
        <v>0.1138443201595906</v>
      </c>
      <c r="G4949" s="422">
        <v>65.033359680857373</v>
      </c>
      <c r="H4949" s="417" t="s">
        <v>2616</v>
      </c>
      <c r="I4949" s="417" t="s">
        <v>1392</v>
      </c>
      <c r="J4949" s="417" t="s">
        <v>11284</v>
      </c>
      <c r="K4949" s="417" t="s">
        <v>12374</v>
      </c>
      <c r="L4949" s="417"/>
      <c r="M4949" s="417" t="s">
        <v>28840</v>
      </c>
    </row>
    <row r="4950" spans="1:13" x14ac:dyDescent="0.25">
      <c r="A4950" s="417" t="s">
        <v>3385</v>
      </c>
      <c r="B4950" s="417" t="s">
        <v>3405</v>
      </c>
      <c r="C4950" s="417" t="s">
        <v>12375</v>
      </c>
      <c r="D4950" s="417" t="s">
        <v>73</v>
      </c>
      <c r="E4950" s="423">
        <v>1.0407218100386841E-2</v>
      </c>
      <c r="F4950" s="423">
        <v>0.1198370216196725</v>
      </c>
      <c r="G4950" s="422">
        <v>71.575382571293233</v>
      </c>
      <c r="H4950" s="417" t="s">
        <v>2616</v>
      </c>
      <c r="I4950" s="417" t="s">
        <v>1392</v>
      </c>
      <c r="J4950" s="417" t="s">
        <v>11284</v>
      </c>
      <c r="K4950" s="417" t="s">
        <v>12376</v>
      </c>
      <c r="L4950" s="417"/>
      <c r="M4950" s="417" t="s">
        <v>28840</v>
      </c>
    </row>
    <row r="4951" spans="1:13" x14ac:dyDescent="0.25">
      <c r="A4951" s="417" t="s">
        <v>3385</v>
      </c>
      <c r="B4951" s="417" t="s">
        <v>3405</v>
      </c>
      <c r="C4951" s="417" t="s">
        <v>12377</v>
      </c>
      <c r="D4951" s="417" t="s">
        <v>73</v>
      </c>
      <c r="E4951" s="423">
        <v>2.1372144809421699E-2</v>
      </c>
      <c r="F4951" s="423">
        <v>1.5491630812792311E-4</v>
      </c>
      <c r="G4951" s="422">
        <v>28.220020145244408</v>
      </c>
      <c r="H4951" s="417" t="s">
        <v>2616</v>
      </c>
      <c r="I4951" s="417" t="s">
        <v>1392</v>
      </c>
      <c r="J4951" s="417" t="s">
        <v>11945</v>
      </c>
      <c r="K4951" s="417" t="s">
        <v>12378</v>
      </c>
      <c r="L4951" s="417"/>
      <c r="M4951" s="417" t="s">
        <v>28840</v>
      </c>
    </row>
    <row r="4952" spans="1:13" x14ac:dyDescent="0.25">
      <c r="A4952" s="417" t="s">
        <v>3385</v>
      </c>
      <c r="B4952" s="417" t="s">
        <v>3405</v>
      </c>
      <c r="C4952" s="417" t="s">
        <v>12379</v>
      </c>
      <c r="D4952" s="417" t="s">
        <v>73</v>
      </c>
      <c r="E4952" s="423">
        <v>7.4744976968166135E-2</v>
      </c>
      <c r="F4952" s="423">
        <v>3.2922714904881032E-4</v>
      </c>
      <c r="G4952" s="422">
        <v>93.457426667348884</v>
      </c>
      <c r="H4952" s="417" t="s">
        <v>2616</v>
      </c>
      <c r="I4952" s="417" t="s">
        <v>1392</v>
      </c>
      <c r="J4952" s="417" t="s">
        <v>12178</v>
      </c>
      <c r="K4952" s="417" t="s">
        <v>12380</v>
      </c>
      <c r="L4952" s="417"/>
      <c r="M4952" s="417" t="s">
        <v>28840</v>
      </c>
    </row>
    <row r="4953" spans="1:13" x14ac:dyDescent="0.25">
      <c r="A4953" s="417" t="s">
        <v>3385</v>
      </c>
      <c r="B4953" s="417" t="s">
        <v>3405</v>
      </c>
      <c r="C4953" s="417" t="s">
        <v>12381</v>
      </c>
      <c r="D4953" s="417" t="s">
        <v>73</v>
      </c>
      <c r="E4953" s="423">
        <v>7.0009904792845717E-2</v>
      </c>
      <c r="F4953" s="423">
        <v>3.2716327586028101E-4</v>
      </c>
      <c r="G4953" s="422">
        <v>87.835300811719407</v>
      </c>
      <c r="H4953" s="417" t="s">
        <v>2616</v>
      </c>
      <c r="I4953" s="417" t="s">
        <v>1392</v>
      </c>
      <c r="J4953" s="417" t="s">
        <v>11340</v>
      </c>
      <c r="K4953" s="417" t="s">
        <v>12382</v>
      </c>
      <c r="L4953" s="417"/>
      <c r="M4953" s="417" t="s">
        <v>28840</v>
      </c>
    </row>
    <row r="4954" spans="1:13" x14ac:dyDescent="0.25">
      <c r="A4954" s="417" t="s">
        <v>3385</v>
      </c>
      <c r="B4954" s="417" t="s">
        <v>3405</v>
      </c>
      <c r="C4954" s="417" t="s">
        <v>12383</v>
      </c>
      <c r="D4954" s="417" t="s">
        <v>73</v>
      </c>
      <c r="E4954" s="423">
        <v>6.9526557283522E-2</v>
      </c>
      <c r="F4954" s="423">
        <v>3.0624172559364768E-4</v>
      </c>
      <c r="G4954" s="422">
        <v>86.932572533798933</v>
      </c>
      <c r="H4954" s="417" t="s">
        <v>2616</v>
      </c>
      <c r="I4954" s="417" t="s">
        <v>1392</v>
      </c>
      <c r="J4954" s="417" t="s">
        <v>11340</v>
      </c>
      <c r="K4954" s="417" t="s">
        <v>12384</v>
      </c>
      <c r="L4954" s="417"/>
      <c r="M4954" s="417" t="s">
        <v>28840</v>
      </c>
    </row>
    <row r="4955" spans="1:13" x14ac:dyDescent="0.25">
      <c r="A4955" s="417" t="s">
        <v>3385</v>
      </c>
      <c r="B4955" s="417" t="s">
        <v>3405</v>
      </c>
      <c r="C4955" s="417" t="s">
        <v>12385</v>
      </c>
      <c r="D4955" s="417" t="s">
        <v>73</v>
      </c>
      <c r="E4955" s="423">
        <v>6.2721284868119495E-2</v>
      </c>
      <c r="F4955" s="423">
        <v>2.7735337847633571E-4</v>
      </c>
      <c r="G4955" s="422">
        <v>78.36409516839764</v>
      </c>
      <c r="H4955" s="417" t="s">
        <v>2616</v>
      </c>
      <c r="I4955" s="417" t="s">
        <v>1392</v>
      </c>
      <c r="J4955" s="417" t="s">
        <v>11340</v>
      </c>
      <c r="K4955" s="417" t="s">
        <v>12386</v>
      </c>
      <c r="L4955" s="417"/>
      <c r="M4955" s="417" t="s">
        <v>28840</v>
      </c>
    </row>
    <row r="4956" spans="1:13" x14ac:dyDescent="0.25">
      <c r="A4956" s="417" t="s">
        <v>3385</v>
      </c>
      <c r="B4956" s="417" t="s">
        <v>3405</v>
      </c>
      <c r="C4956" s="417" t="s">
        <v>12387</v>
      </c>
      <c r="D4956" s="417" t="s">
        <v>73</v>
      </c>
      <c r="E4956" s="423">
        <v>6.9799303617258529E-2</v>
      </c>
      <c r="F4956" s="423">
        <v>3.125586775501849E-4</v>
      </c>
      <c r="G4956" s="422">
        <v>87.370773997623132</v>
      </c>
      <c r="H4956" s="417" t="s">
        <v>2616</v>
      </c>
      <c r="I4956" s="417" t="s">
        <v>1392</v>
      </c>
      <c r="J4956" s="417" t="s">
        <v>11340</v>
      </c>
      <c r="K4956" s="417" t="s">
        <v>12388</v>
      </c>
      <c r="L4956" s="417"/>
      <c r="M4956" s="417" t="s">
        <v>28840</v>
      </c>
    </row>
    <row r="4957" spans="1:13" x14ac:dyDescent="0.25">
      <c r="A4957" s="417" t="s">
        <v>3385</v>
      </c>
      <c r="B4957" s="417" t="s">
        <v>3405</v>
      </c>
      <c r="C4957" s="417" t="s">
        <v>12389</v>
      </c>
      <c r="D4957" s="417" t="s">
        <v>73</v>
      </c>
      <c r="E4957" s="423">
        <v>4.7833245837477112E-2</v>
      </c>
      <c r="F4957" s="423">
        <v>9.9478767524769854E-5</v>
      </c>
      <c r="G4957" s="422">
        <v>58.594743985601902</v>
      </c>
      <c r="H4957" s="417" t="s">
        <v>2616</v>
      </c>
      <c r="I4957" s="417" t="s">
        <v>1392</v>
      </c>
      <c r="J4957" s="417" t="s">
        <v>12178</v>
      </c>
      <c r="K4957" s="417" t="s">
        <v>12390</v>
      </c>
      <c r="L4957" s="417"/>
      <c r="M4957" s="417" t="s">
        <v>28840</v>
      </c>
    </row>
    <row r="4958" spans="1:13" x14ac:dyDescent="0.25">
      <c r="A4958" s="417" t="s">
        <v>3385</v>
      </c>
      <c r="B4958" s="417" t="s">
        <v>3405</v>
      </c>
      <c r="C4958" s="417" t="s">
        <v>12391</v>
      </c>
      <c r="D4958" s="417" t="s">
        <v>73</v>
      </c>
      <c r="E4958" s="423">
        <v>4.7076610584981048E-2</v>
      </c>
      <c r="F4958" s="423">
        <v>2.002588203616905E-4</v>
      </c>
      <c r="G4958" s="422">
        <v>58.745360443859973</v>
      </c>
      <c r="H4958" s="417" t="s">
        <v>2616</v>
      </c>
      <c r="I4958" s="417" t="s">
        <v>1392</v>
      </c>
      <c r="J4958" s="417" t="s">
        <v>12178</v>
      </c>
      <c r="K4958" s="417" t="s">
        <v>12392</v>
      </c>
      <c r="L4958" s="417"/>
      <c r="M4958" s="417" t="s">
        <v>28840</v>
      </c>
    </row>
    <row r="4959" spans="1:13" x14ac:dyDescent="0.25">
      <c r="A4959" s="417" t="s">
        <v>3385</v>
      </c>
      <c r="B4959" s="417" t="s">
        <v>3405</v>
      </c>
      <c r="C4959" s="417" t="s">
        <v>12393</v>
      </c>
      <c r="D4959" s="417" t="s">
        <v>73</v>
      </c>
      <c r="E4959" s="423">
        <v>5.0809662715434148E-2</v>
      </c>
      <c r="F4959" s="423">
        <v>7.2096815567143383E-5</v>
      </c>
      <c r="G4959" s="422">
        <v>62.759848535970058</v>
      </c>
      <c r="H4959" s="417" t="s">
        <v>2616</v>
      </c>
      <c r="I4959" s="417" t="s">
        <v>1392</v>
      </c>
      <c r="J4959" s="417" t="s">
        <v>12178</v>
      </c>
      <c r="K4959" s="417" t="s">
        <v>12394</v>
      </c>
      <c r="L4959" s="417"/>
      <c r="M4959" s="417" t="s">
        <v>28840</v>
      </c>
    </row>
    <row r="4960" spans="1:13" x14ac:dyDescent="0.25">
      <c r="A4960" s="417" t="s">
        <v>3385</v>
      </c>
      <c r="B4960" s="417" t="s">
        <v>3405</v>
      </c>
      <c r="C4960" s="417" t="s">
        <v>12395</v>
      </c>
      <c r="D4960" s="417" t="s">
        <v>73</v>
      </c>
      <c r="E4960" s="423">
        <v>4.6815468585028483E-2</v>
      </c>
      <c r="F4960" s="423">
        <v>1.917947574330452E-4</v>
      </c>
      <c r="G4960" s="422">
        <v>60.567954086286257</v>
      </c>
      <c r="H4960" s="417" t="s">
        <v>2616</v>
      </c>
      <c r="I4960" s="417" t="s">
        <v>1392</v>
      </c>
      <c r="J4960" s="417" t="s">
        <v>12178</v>
      </c>
      <c r="K4960" s="417" t="s">
        <v>12396</v>
      </c>
      <c r="L4960" s="417"/>
      <c r="M4960" s="417" t="s">
        <v>28840</v>
      </c>
    </row>
    <row r="4961" spans="1:13" x14ac:dyDescent="0.25">
      <c r="A4961" s="417" t="s">
        <v>3385</v>
      </c>
      <c r="B4961" s="417" t="s">
        <v>3405</v>
      </c>
      <c r="C4961" s="417" t="s">
        <v>12397</v>
      </c>
      <c r="D4961" s="417" t="s">
        <v>73</v>
      </c>
      <c r="E4961" s="423">
        <v>5.753491573880043E-2</v>
      </c>
      <c r="F4961" s="423">
        <v>2.2750521240561309E-4</v>
      </c>
      <c r="G4961" s="422">
        <v>80.544268406789115</v>
      </c>
      <c r="H4961" s="417" t="s">
        <v>2616</v>
      </c>
      <c r="I4961" s="417" t="s">
        <v>1392</v>
      </c>
      <c r="J4961" s="417" t="s">
        <v>12178</v>
      </c>
      <c r="K4961" s="417" t="s">
        <v>12398</v>
      </c>
      <c r="L4961" s="417"/>
      <c r="M4961" s="417" t="s">
        <v>28840</v>
      </c>
    </row>
    <row r="4962" spans="1:13" x14ac:dyDescent="0.25">
      <c r="A4962" s="417" t="s">
        <v>3385</v>
      </c>
      <c r="B4962" s="417" t="s">
        <v>3405</v>
      </c>
      <c r="C4962" s="417" t="s">
        <v>12399</v>
      </c>
      <c r="D4962" s="417" t="s">
        <v>73</v>
      </c>
      <c r="E4962" s="423">
        <v>4.1606880319333163E-2</v>
      </c>
      <c r="F4962" s="423">
        <v>3.3817520530469922E-5</v>
      </c>
      <c r="G4962" s="422">
        <v>52.384683236709478</v>
      </c>
      <c r="H4962" s="417" t="s">
        <v>2616</v>
      </c>
      <c r="I4962" s="417" t="s">
        <v>1392</v>
      </c>
      <c r="J4962" s="417" t="s">
        <v>12178</v>
      </c>
      <c r="K4962" s="417" t="s">
        <v>12400</v>
      </c>
      <c r="L4962" s="417"/>
      <c r="M4962" s="417" t="s">
        <v>28840</v>
      </c>
    </row>
    <row r="4963" spans="1:13" x14ac:dyDescent="0.25">
      <c r="A4963" s="417" t="s">
        <v>3385</v>
      </c>
      <c r="B4963" s="417" t="s">
        <v>3405</v>
      </c>
      <c r="C4963" s="417" t="s">
        <v>12401</v>
      </c>
      <c r="D4963" s="417" t="s">
        <v>73</v>
      </c>
      <c r="E4963" s="423">
        <v>4.3495553606994891E-2</v>
      </c>
      <c r="F4963" s="423">
        <v>1.381188330653204E-4</v>
      </c>
      <c r="G4963" s="422">
        <v>53.857396614048483</v>
      </c>
      <c r="H4963" s="417" t="s">
        <v>2616</v>
      </c>
      <c r="I4963" s="417" t="s">
        <v>1392</v>
      </c>
      <c r="J4963" s="417" t="s">
        <v>12178</v>
      </c>
      <c r="K4963" s="417" t="s">
        <v>12402</v>
      </c>
      <c r="L4963" s="417"/>
      <c r="M4963" s="417" t="s">
        <v>28840</v>
      </c>
    </row>
    <row r="4964" spans="1:13" x14ac:dyDescent="0.25">
      <c r="A4964" s="417" t="s">
        <v>3385</v>
      </c>
      <c r="B4964" s="417" t="s">
        <v>3405</v>
      </c>
      <c r="C4964" s="417" t="s">
        <v>12403</v>
      </c>
      <c r="D4964" s="417" t="s">
        <v>73</v>
      </c>
      <c r="E4964" s="423">
        <v>3.6947974923416588E-2</v>
      </c>
      <c r="F4964" s="423">
        <v>3.2279976874982287E-5</v>
      </c>
      <c r="G4964" s="422">
        <v>44.856677068081517</v>
      </c>
      <c r="H4964" s="417" t="s">
        <v>2616</v>
      </c>
      <c r="I4964" s="417" t="s">
        <v>1392</v>
      </c>
      <c r="J4964" s="417" t="s">
        <v>12178</v>
      </c>
      <c r="K4964" s="417" t="s">
        <v>12404</v>
      </c>
      <c r="L4964" s="417"/>
      <c r="M4964" s="417" t="s">
        <v>28840</v>
      </c>
    </row>
    <row r="4965" spans="1:13" x14ac:dyDescent="0.25">
      <c r="A4965" s="417" t="s">
        <v>3385</v>
      </c>
      <c r="B4965" s="417" t="s">
        <v>3405</v>
      </c>
      <c r="C4965" s="417" t="s">
        <v>12405</v>
      </c>
      <c r="D4965" s="417" t="s">
        <v>73</v>
      </c>
      <c r="E4965" s="423">
        <v>4.6490930504323853E-2</v>
      </c>
      <c r="F4965" s="423">
        <v>1.6033976118370489E-4</v>
      </c>
      <c r="G4965" s="422">
        <v>58.124820410451889</v>
      </c>
      <c r="H4965" s="417" t="s">
        <v>2616</v>
      </c>
      <c r="I4965" s="417" t="s">
        <v>1392</v>
      </c>
      <c r="J4965" s="417" t="s">
        <v>12178</v>
      </c>
      <c r="K4965" s="417" t="s">
        <v>12406</v>
      </c>
      <c r="L4965" s="417"/>
      <c r="M4965" s="417" t="s">
        <v>28840</v>
      </c>
    </row>
    <row r="4966" spans="1:13" x14ac:dyDescent="0.25">
      <c r="A4966" s="417" t="s">
        <v>3385</v>
      </c>
      <c r="B4966" s="417" t="s">
        <v>3405</v>
      </c>
      <c r="C4966" s="417" t="s">
        <v>12407</v>
      </c>
      <c r="D4966" s="417" t="s">
        <v>73</v>
      </c>
      <c r="E4966" s="423">
        <v>4.6055078029854001E-2</v>
      </c>
      <c r="F4966" s="423">
        <v>1.5883657600083249E-4</v>
      </c>
      <c r="G4966" s="422">
        <v>59.617710886202232</v>
      </c>
      <c r="H4966" s="417" t="s">
        <v>2616</v>
      </c>
      <c r="I4966" s="417" t="s">
        <v>1392</v>
      </c>
      <c r="J4966" s="417" t="s">
        <v>12178</v>
      </c>
      <c r="K4966" s="417" t="s">
        <v>12408</v>
      </c>
      <c r="L4966" s="417"/>
      <c r="M4966" s="417" t="s">
        <v>28840</v>
      </c>
    </row>
    <row r="4967" spans="1:13" x14ac:dyDescent="0.25">
      <c r="A4967" s="417" t="s">
        <v>3385</v>
      </c>
      <c r="B4967" s="417" t="s">
        <v>3405</v>
      </c>
      <c r="C4967" s="417" t="s">
        <v>12409</v>
      </c>
      <c r="D4967" s="417" t="s">
        <v>73</v>
      </c>
      <c r="E4967" s="423">
        <v>3.2925922085345852E-2</v>
      </c>
      <c r="F4967" s="423">
        <v>1.3901766938014329E-4</v>
      </c>
      <c r="G4967" s="422">
        <v>41.262899301367383</v>
      </c>
      <c r="H4967" s="417" t="s">
        <v>2616</v>
      </c>
      <c r="I4967" s="417" t="s">
        <v>1392</v>
      </c>
      <c r="J4967" s="417" t="s">
        <v>12178</v>
      </c>
      <c r="K4967" s="417" t="s">
        <v>12410</v>
      </c>
      <c r="L4967" s="417"/>
      <c r="M4967" s="417" t="s">
        <v>28840</v>
      </c>
    </row>
    <row r="4968" spans="1:13" x14ac:dyDescent="0.25">
      <c r="A4968" s="417" t="s">
        <v>3385</v>
      </c>
      <c r="B4968" s="417" t="s">
        <v>3405</v>
      </c>
      <c r="C4968" s="417" t="s">
        <v>12411</v>
      </c>
      <c r="D4968" s="417" t="s">
        <v>73</v>
      </c>
      <c r="E4968" s="423">
        <v>5.2409849709720298E-2</v>
      </c>
      <c r="F4968" s="423">
        <v>3.222833721570642E-4</v>
      </c>
      <c r="G4968" s="422">
        <v>66.996105656138397</v>
      </c>
      <c r="H4968" s="417" t="s">
        <v>2616</v>
      </c>
      <c r="I4968" s="417" t="s">
        <v>1392</v>
      </c>
      <c r="J4968" s="417" t="s">
        <v>12178</v>
      </c>
      <c r="K4968" s="417" t="s">
        <v>12412</v>
      </c>
      <c r="L4968" s="417"/>
      <c r="M4968" s="417" t="s">
        <v>28840</v>
      </c>
    </row>
    <row r="4969" spans="1:13" x14ac:dyDescent="0.25">
      <c r="A4969" s="417" t="s">
        <v>3385</v>
      </c>
      <c r="B4969" s="417" t="s">
        <v>3405</v>
      </c>
      <c r="C4969" s="417" t="s">
        <v>12413</v>
      </c>
      <c r="D4969" s="417" t="s">
        <v>73</v>
      </c>
      <c r="E4969" s="423">
        <v>4.6403318587287481E-2</v>
      </c>
      <c r="F4969" s="423">
        <v>1.9750634050616229E-4</v>
      </c>
      <c r="G4969" s="422">
        <v>58.173467750136773</v>
      </c>
      <c r="H4969" s="417" t="s">
        <v>2616</v>
      </c>
      <c r="I4969" s="417" t="s">
        <v>1392</v>
      </c>
      <c r="J4969" s="417" t="s">
        <v>12178</v>
      </c>
      <c r="K4969" s="417" t="s">
        <v>12414</v>
      </c>
      <c r="L4969" s="417"/>
      <c r="M4969" s="417" t="s">
        <v>28840</v>
      </c>
    </row>
    <row r="4970" spans="1:13" x14ac:dyDescent="0.25">
      <c r="A4970" s="417" t="s">
        <v>3385</v>
      </c>
      <c r="B4970" s="417" t="s">
        <v>3405</v>
      </c>
      <c r="C4970" s="417" t="s">
        <v>12415</v>
      </c>
      <c r="D4970" s="417" t="s">
        <v>73</v>
      </c>
      <c r="E4970" s="423">
        <v>2.737614855296908E-2</v>
      </c>
      <c r="F4970" s="423">
        <v>7.5981778879486138E-5</v>
      </c>
      <c r="G4970" s="422">
        <v>35.316107313397453</v>
      </c>
      <c r="H4970" s="417" t="s">
        <v>2616</v>
      </c>
      <c r="I4970" s="417" t="s">
        <v>1392</v>
      </c>
      <c r="J4970" s="417" t="s">
        <v>12178</v>
      </c>
      <c r="K4970" s="417" t="s">
        <v>12416</v>
      </c>
      <c r="L4970" s="417"/>
      <c r="M4970" s="417" t="s">
        <v>28840</v>
      </c>
    </row>
    <row r="4971" spans="1:13" x14ac:dyDescent="0.25">
      <c r="A4971" s="417" t="s">
        <v>3385</v>
      </c>
      <c r="B4971" s="417" t="s">
        <v>3405</v>
      </c>
      <c r="C4971" s="417" t="s">
        <v>12417</v>
      </c>
      <c r="D4971" s="417" t="s">
        <v>73</v>
      </c>
      <c r="E4971" s="423">
        <v>4.9586736921881473E-2</v>
      </c>
      <c r="F4971" s="423">
        <v>1.928432629421863E-4</v>
      </c>
      <c r="G4971" s="422">
        <v>61.886226978727059</v>
      </c>
      <c r="H4971" s="417" t="s">
        <v>2616</v>
      </c>
      <c r="I4971" s="417" t="s">
        <v>1392</v>
      </c>
      <c r="J4971" s="417" t="s">
        <v>12178</v>
      </c>
      <c r="K4971" s="417" t="s">
        <v>12418</v>
      </c>
      <c r="L4971" s="417"/>
      <c r="M4971" s="417" t="s">
        <v>28840</v>
      </c>
    </row>
    <row r="4972" spans="1:13" x14ac:dyDescent="0.25">
      <c r="A4972" s="417" t="s">
        <v>3385</v>
      </c>
      <c r="B4972" s="417" t="s">
        <v>3405</v>
      </c>
      <c r="C4972" s="417" t="s">
        <v>12419</v>
      </c>
      <c r="D4972" s="417" t="s">
        <v>73</v>
      </c>
      <c r="E4972" s="423">
        <v>5.7253521768053338E-2</v>
      </c>
      <c r="F4972" s="423">
        <v>4.0252937798239088E-4</v>
      </c>
      <c r="G4972" s="422">
        <v>74.314377280441533</v>
      </c>
      <c r="H4972" s="417" t="s">
        <v>2616</v>
      </c>
      <c r="I4972" s="417" t="s">
        <v>1392</v>
      </c>
      <c r="J4972" s="417" t="s">
        <v>12178</v>
      </c>
      <c r="K4972" s="417" t="s">
        <v>12420</v>
      </c>
      <c r="L4972" s="417"/>
      <c r="M4972" s="417" t="s">
        <v>28840</v>
      </c>
    </row>
    <row r="4973" spans="1:13" x14ac:dyDescent="0.25">
      <c r="A4973" s="417" t="s">
        <v>3385</v>
      </c>
      <c r="B4973" s="417" t="s">
        <v>3405</v>
      </c>
      <c r="C4973" s="417" t="s">
        <v>12421</v>
      </c>
      <c r="D4973" s="417" t="s">
        <v>73</v>
      </c>
      <c r="E4973" s="423">
        <v>5.3333238065112407E-2</v>
      </c>
      <c r="F4973" s="423">
        <v>8.3479069951322422E-5</v>
      </c>
      <c r="G4973" s="422">
        <v>65.465810429902845</v>
      </c>
      <c r="H4973" s="417" t="s">
        <v>2616</v>
      </c>
      <c r="I4973" s="417" t="s">
        <v>1392</v>
      </c>
      <c r="J4973" s="417" t="s">
        <v>12178</v>
      </c>
      <c r="K4973" s="417" t="s">
        <v>12422</v>
      </c>
      <c r="L4973" s="417"/>
      <c r="M4973" s="417" t="s">
        <v>28840</v>
      </c>
    </row>
    <row r="4974" spans="1:13" x14ac:dyDescent="0.25">
      <c r="A4974" s="417" t="s">
        <v>3385</v>
      </c>
      <c r="B4974" s="417" t="s">
        <v>3405</v>
      </c>
      <c r="C4974" s="417" t="s">
        <v>12423</v>
      </c>
      <c r="D4974" s="417" t="s">
        <v>73</v>
      </c>
      <c r="E4974" s="423">
        <v>2.779498060861876E-2</v>
      </c>
      <c r="F4974" s="423">
        <v>7.8103748851449675E-5</v>
      </c>
      <c r="G4974" s="422">
        <v>34.23341825961073</v>
      </c>
      <c r="H4974" s="417" t="s">
        <v>2616</v>
      </c>
      <c r="I4974" s="417" t="s">
        <v>1392</v>
      </c>
      <c r="J4974" s="417" t="s">
        <v>12178</v>
      </c>
      <c r="K4974" s="417" t="s">
        <v>12424</v>
      </c>
      <c r="L4974" s="417"/>
      <c r="M4974" s="417" t="s">
        <v>28840</v>
      </c>
    </row>
    <row r="4975" spans="1:13" x14ac:dyDescent="0.25">
      <c r="A4975" s="417" t="s">
        <v>3385</v>
      </c>
      <c r="B4975" s="417" t="s">
        <v>3405</v>
      </c>
      <c r="C4975" s="417" t="s">
        <v>12425</v>
      </c>
      <c r="D4975" s="417" t="s">
        <v>73</v>
      </c>
      <c r="E4975" s="423">
        <v>4.5858879679662713E-2</v>
      </c>
      <c r="F4975" s="423">
        <v>1.0971541645569519E-4</v>
      </c>
      <c r="G4975" s="422">
        <v>56.290589870221893</v>
      </c>
      <c r="H4975" s="417" t="s">
        <v>2616</v>
      </c>
      <c r="I4975" s="417" t="s">
        <v>1392</v>
      </c>
      <c r="J4975" s="417" t="s">
        <v>12178</v>
      </c>
      <c r="K4975" s="417" t="s">
        <v>12426</v>
      </c>
      <c r="L4975" s="417"/>
      <c r="M4975" s="417" t="s">
        <v>28840</v>
      </c>
    </row>
    <row r="4976" spans="1:13" x14ac:dyDescent="0.25">
      <c r="A4976" s="417" t="s">
        <v>3385</v>
      </c>
      <c r="B4976" s="417" t="s">
        <v>3405</v>
      </c>
      <c r="C4976" s="417" t="s">
        <v>12427</v>
      </c>
      <c r="D4976" s="417" t="s">
        <v>73</v>
      </c>
      <c r="E4976" s="423">
        <v>8.1168157282264411E-2</v>
      </c>
      <c r="F4976" s="423">
        <v>5.7129734938181234E-4</v>
      </c>
      <c r="G4976" s="422">
        <v>110.1818624745072</v>
      </c>
      <c r="H4976" s="417" t="s">
        <v>2616</v>
      </c>
      <c r="I4976" s="417" t="s">
        <v>1392</v>
      </c>
      <c r="J4976" s="417" t="s">
        <v>12178</v>
      </c>
      <c r="K4976" s="417" t="s">
        <v>12428</v>
      </c>
      <c r="L4976" s="417"/>
      <c r="M4976" s="417" t="s">
        <v>28840</v>
      </c>
    </row>
    <row r="4977" spans="1:13" x14ac:dyDescent="0.25">
      <c r="A4977" s="417" t="s">
        <v>3385</v>
      </c>
      <c r="B4977" s="417" t="s">
        <v>3405</v>
      </c>
      <c r="C4977" s="417" t="s">
        <v>12429</v>
      </c>
      <c r="D4977" s="417" t="s">
        <v>73</v>
      </c>
      <c r="E4977" s="423">
        <v>4.532775720673541E-2</v>
      </c>
      <c r="F4977" s="423">
        <v>1.8881037699697959E-4</v>
      </c>
      <c r="G4977" s="422">
        <v>56.695843514203837</v>
      </c>
      <c r="H4977" s="417" t="s">
        <v>2616</v>
      </c>
      <c r="I4977" s="417" t="s">
        <v>1392</v>
      </c>
      <c r="J4977" s="417" t="s">
        <v>12178</v>
      </c>
      <c r="K4977" s="417" t="s">
        <v>12430</v>
      </c>
      <c r="L4977" s="417"/>
      <c r="M4977" s="417" t="s">
        <v>28840</v>
      </c>
    </row>
    <row r="4978" spans="1:13" x14ac:dyDescent="0.25">
      <c r="A4978" s="417" t="s">
        <v>3385</v>
      </c>
      <c r="B4978" s="417" t="s">
        <v>3405</v>
      </c>
      <c r="C4978" s="417" t="s">
        <v>12431</v>
      </c>
      <c r="D4978" s="417" t="s">
        <v>73</v>
      </c>
      <c r="E4978" s="423">
        <v>4.7667381750984929E-2</v>
      </c>
      <c r="F4978" s="423">
        <v>9.301288666464963E-5</v>
      </c>
      <c r="G4978" s="422">
        <v>56.572844130700993</v>
      </c>
      <c r="H4978" s="417" t="s">
        <v>2616</v>
      </c>
      <c r="I4978" s="417" t="s">
        <v>1392</v>
      </c>
      <c r="J4978" s="417" t="s">
        <v>12178</v>
      </c>
      <c r="K4978" s="417" t="s">
        <v>12432</v>
      </c>
      <c r="L4978" s="417"/>
      <c r="M4978" s="417" t="s">
        <v>28840</v>
      </c>
    </row>
    <row r="4979" spans="1:13" x14ac:dyDescent="0.25">
      <c r="A4979" s="417" t="s">
        <v>3385</v>
      </c>
      <c r="B4979" s="417" t="s">
        <v>3405</v>
      </c>
      <c r="C4979" s="417" t="s">
        <v>12433</v>
      </c>
      <c r="D4979" s="417" t="s">
        <v>73</v>
      </c>
      <c r="E4979" s="423">
        <v>5.8617996478450639E-2</v>
      </c>
      <c r="F4979" s="423">
        <v>1.143807119934434E-4</v>
      </c>
      <c r="G4979" s="422">
        <v>66.966418320731805</v>
      </c>
      <c r="H4979" s="417" t="s">
        <v>2616</v>
      </c>
      <c r="I4979" s="417" t="s">
        <v>1392</v>
      </c>
      <c r="J4979" s="417" t="s">
        <v>12178</v>
      </c>
      <c r="K4979" s="417" t="s">
        <v>12434</v>
      </c>
      <c r="L4979" s="417"/>
      <c r="M4979" s="417" t="s">
        <v>28840</v>
      </c>
    </row>
    <row r="4980" spans="1:13" x14ac:dyDescent="0.25">
      <c r="A4980" s="417" t="s">
        <v>3385</v>
      </c>
      <c r="B4980" s="417" t="s">
        <v>3405</v>
      </c>
      <c r="C4980" s="417" t="s">
        <v>12435</v>
      </c>
      <c r="D4980" s="417" t="s">
        <v>73</v>
      </c>
      <c r="E4980" s="423">
        <v>4.2858826556046441E-2</v>
      </c>
      <c r="F4980" s="423">
        <v>1.478132174463903E-4</v>
      </c>
      <c r="G4980" s="422">
        <v>53.437973289655297</v>
      </c>
      <c r="H4980" s="417" t="s">
        <v>2616</v>
      </c>
      <c r="I4980" s="417" t="s">
        <v>1392</v>
      </c>
      <c r="J4980" s="417" t="s">
        <v>12178</v>
      </c>
      <c r="K4980" s="417" t="s">
        <v>12436</v>
      </c>
      <c r="L4980" s="417"/>
      <c r="M4980" s="417" t="s">
        <v>28840</v>
      </c>
    </row>
    <row r="4981" spans="1:13" x14ac:dyDescent="0.25">
      <c r="A4981" s="417" t="s">
        <v>3385</v>
      </c>
      <c r="B4981" s="417" t="s">
        <v>3405</v>
      </c>
      <c r="C4981" s="417" t="s">
        <v>12437</v>
      </c>
      <c r="D4981" s="417" t="s">
        <v>73</v>
      </c>
      <c r="E4981" s="423">
        <v>4.2857390857581758E-2</v>
      </c>
      <c r="F4981" s="423">
        <v>1.8621292303721971E-4</v>
      </c>
      <c r="G4981" s="422">
        <v>53.532725272231438</v>
      </c>
      <c r="H4981" s="417" t="s">
        <v>2616</v>
      </c>
      <c r="I4981" s="417" t="s">
        <v>1392</v>
      </c>
      <c r="J4981" s="417" t="s">
        <v>12178</v>
      </c>
      <c r="K4981" s="417" t="s">
        <v>12438</v>
      </c>
      <c r="L4981" s="417"/>
      <c r="M4981" s="417" t="s">
        <v>28840</v>
      </c>
    </row>
    <row r="4982" spans="1:13" x14ac:dyDescent="0.25">
      <c r="A4982" s="417" t="s">
        <v>3385</v>
      </c>
      <c r="B4982" s="417" t="s">
        <v>3405</v>
      </c>
      <c r="C4982" s="417" t="s">
        <v>12439</v>
      </c>
      <c r="D4982" s="417" t="s">
        <v>73</v>
      </c>
      <c r="E4982" s="423">
        <v>4.6010385997277067E-2</v>
      </c>
      <c r="F4982" s="423">
        <v>1.522669675910963E-4</v>
      </c>
      <c r="G4982" s="422">
        <v>59.601733609052211</v>
      </c>
      <c r="H4982" s="417" t="s">
        <v>2616</v>
      </c>
      <c r="I4982" s="417" t="s">
        <v>1392</v>
      </c>
      <c r="J4982" s="417" t="s">
        <v>12178</v>
      </c>
      <c r="K4982" s="417" t="s">
        <v>12440</v>
      </c>
      <c r="L4982" s="417"/>
      <c r="M4982" s="417" t="s">
        <v>28840</v>
      </c>
    </row>
    <row r="4983" spans="1:13" x14ac:dyDescent="0.25">
      <c r="A4983" s="417" t="s">
        <v>3385</v>
      </c>
      <c r="B4983" s="417" t="s">
        <v>3405</v>
      </c>
      <c r="C4983" s="417" t="s">
        <v>12441</v>
      </c>
      <c r="D4983" s="417" t="s">
        <v>73</v>
      </c>
      <c r="E4983" s="423">
        <v>5.0849455237450172E-2</v>
      </c>
      <c r="F4983" s="423">
        <v>1.7537161380295401E-4</v>
      </c>
      <c r="G4983" s="422">
        <v>63.095381636093457</v>
      </c>
      <c r="H4983" s="417" t="s">
        <v>2616</v>
      </c>
      <c r="I4983" s="417" t="s">
        <v>1392</v>
      </c>
      <c r="J4983" s="417" t="s">
        <v>12178</v>
      </c>
      <c r="K4983" s="417" t="s">
        <v>12442</v>
      </c>
      <c r="L4983" s="417"/>
      <c r="M4983" s="417" t="s">
        <v>28840</v>
      </c>
    </row>
    <row r="4984" spans="1:13" x14ac:dyDescent="0.25">
      <c r="A4984" s="417" t="s">
        <v>3385</v>
      </c>
      <c r="B4984" s="417" t="s">
        <v>3405</v>
      </c>
      <c r="C4984" s="417" t="s">
        <v>12443</v>
      </c>
      <c r="D4984" s="417" t="s">
        <v>73</v>
      </c>
      <c r="E4984" s="423">
        <v>5.1495117905416193E-2</v>
      </c>
      <c r="F4984" s="423">
        <v>4.4705192129362739E-5</v>
      </c>
      <c r="G4984" s="422">
        <v>63.028904457336878</v>
      </c>
      <c r="H4984" s="417" t="s">
        <v>2616</v>
      </c>
      <c r="I4984" s="417" t="s">
        <v>1392</v>
      </c>
      <c r="J4984" s="417" t="s">
        <v>12178</v>
      </c>
      <c r="K4984" s="417" t="s">
        <v>12444</v>
      </c>
      <c r="L4984" s="417"/>
      <c r="M4984" s="417" t="s">
        <v>28840</v>
      </c>
    </row>
    <row r="4985" spans="1:13" x14ac:dyDescent="0.25">
      <c r="A4985" s="417" t="s">
        <v>3385</v>
      </c>
      <c r="B4985" s="417" t="s">
        <v>3405</v>
      </c>
      <c r="C4985" s="417" t="s">
        <v>12445</v>
      </c>
      <c r="D4985" s="417" t="s">
        <v>73</v>
      </c>
      <c r="E4985" s="423">
        <v>6.1516332355455082E-2</v>
      </c>
      <c r="F4985" s="423">
        <v>7.6495794283205361E-5</v>
      </c>
      <c r="G4985" s="422">
        <v>77.864579856393135</v>
      </c>
      <c r="H4985" s="417" t="s">
        <v>2616</v>
      </c>
      <c r="I4985" s="417" t="s">
        <v>1392</v>
      </c>
      <c r="J4985" s="417" t="s">
        <v>12178</v>
      </c>
      <c r="K4985" s="417" t="s">
        <v>12446</v>
      </c>
      <c r="L4985" s="417"/>
      <c r="M4985" s="417" t="s">
        <v>28840</v>
      </c>
    </row>
    <row r="4986" spans="1:13" x14ac:dyDescent="0.25">
      <c r="A4986" s="417" t="s">
        <v>3385</v>
      </c>
      <c r="B4986" s="417" t="s">
        <v>3405</v>
      </c>
      <c r="C4986" s="417" t="s">
        <v>12447</v>
      </c>
      <c r="D4986" s="417" t="s">
        <v>73</v>
      </c>
      <c r="E4986" s="423">
        <v>5.0070498310536678E-2</v>
      </c>
      <c r="F4986" s="423">
        <v>8.7864081243269068E-5</v>
      </c>
      <c r="G4986" s="422">
        <v>60.918531843276959</v>
      </c>
      <c r="H4986" s="417" t="s">
        <v>2616</v>
      </c>
      <c r="I4986" s="417" t="s">
        <v>1392</v>
      </c>
      <c r="J4986" s="417" t="s">
        <v>12178</v>
      </c>
      <c r="K4986" s="417" t="s">
        <v>12448</v>
      </c>
      <c r="L4986" s="417"/>
      <c r="M4986" s="417" t="s">
        <v>28840</v>
      </c>
    </row>
    <row r="4987" spans="1:13" x14ac:dyDescent="0.25">
      <c r="A4987" s="417" t="s">
        <v>3385</v>
      </c>
      <c r="B4987" s="417" t="s">
        <v>3405</v>
      </c>
      <c r="C4987" s="417" t="s">
        <v>12449</v>
      </c>
      <c r="D4987" s="417" t="s">
        <v>73</v>
      </c>
      <c r="E4987" s="423">
        <v>4.5038088924279511E-2</v>
      </c>
      <c r="F4987" s="423">
        <v>1.5532914373890471E-4</v>
      </c>
      <c r="G4987" s="422">
        <v>55.923278466402571</v>
      </c>
      <c r="H4987" s="417" t="s">
        <v>2616</v>
      </c>
      <c r="I4987" s="417" t="s">
        <v>1392</v>
      </c>
      <c r="J4987" s="417" t="s">
        <v>12178</v>
      </c>
      <c r="K4987" s="417" t="s">
        <v>12450</v>
      </c>
      <c r="L4987" s="417"/>
      <c r="M4987" s="417" t="s">
        <v>28840</v>
      </c>
    </row>
    <row r="4988" spans="1:13" x14ac:dyDescent="0.25">
      <c r="A4988" s="417" t="s">
        <v>3385</v>
      </c>
      <c r="B4988" s="417" t="s">
        <v>3405</v>
      </c>
      <c r="C4988" s="417" t="s">
        <v>12451</v>
      </c>
      <c r="D4988" s="417" t="s">
        <v>73</v>
      </c>
      <c r="E4988" s="423">
        <v>5.6887233312828613E-2</v>
      </c>
      <c r="F4988" s="423">
        <v>7.3244920957866845E-5</v>
      </c>
      <c r="G4988" s="422">
        <v>72.098648001740543</v>
      </c>
      <c r="H4988" s="417" t="s">
        <v>2616</v>
      </c>
      <c r="I4988" s="417" t="s">
        <v>1392</v>
      </c>
      <c r="J4988" s="417" t="s">
        <v>12178</v>
      </c>
      <c r="K4988" s="417" t="s">
        <v>12452</v>
      </c>
      <c r="L4988" s="417"/>
      <c r="M4988" s="417" t="s">
        <v>28840</v>
      </c>
    </row>
    <row r="4989" spans="1:13" x14ac:dyDescent="0.25">
      <c r="A4989" s="417" t="s">
        <v>3385</v>
      </c>
      <c r="B4989" s="417" t="s">
        <v>3405</v>
      </c>
      <c r="C4989" s="417" t="s">
        <v>12453</v>
      </c>
      <c r="D4989" s="417" t="s">
        <v>73</v>
      </c>
      <c r="E4989" s="423">
        <v>6.7369570694402262E-2</v>
      </c>
      <c r="F4989" s="423">
        <v>4.7417680309630081E-4</v>
      </c>
      <c r="G4989" s="422">
        <v>91.770826391500094</v>
      </c>
      <c r="H4989" s="417" t="s">
        <v>2616</v>
      </c>
      <c r="I4989" s="417" t="s">
        <v>1392</v>
      </c>
      <c r="J4989" s="417" t="s">
        <v>12178</v>
      </c>
      <c r="K4989" s="417" t="s">
        <v>12454</v>
      </c>
      <c r="L4989" s="417"/>
      <c r="M4989" s="417" t="s">
        <v>28840</v>
      </c>
    </row>
    <row r="4990" spans="1:13" x14ac:dyDescent="0.25">
      <c r="A4990" s="417" t="s">
        <v>3385</v>
      </c>
      <c r="B4990" s="417" t="s">
        <v>3405</v>
      </c>
      <c r="C4990" s="417" t="s">
        <v>12455</v>
      </c>
      <c r="D4990" s="417" t="s">
        <v>73</v>
      </c>
      <c r="E4990" s="423">
        <v>4.6532096127688168E-2</v>
      </c>
      <c r="F4990" s="423">
        <v>8.9416521501092458E-5</v>
      </c>
      <c r="G4990" s="422">
        <v>58.241426159888071</v>
      </c>
      <c r="H4990" s="417" t="s">
        <v>2616</v>
      </c>
      <c r="I4990" s="417" t="s">
        <v>1392</v>
      </c>
      <c r="J4990" s="417" t="s">
        <v>12178</v>
      </c>
      <c r="K4990" s="417" t="s">
        <v>12456</v>
      </c>
      <c r="L4990" s="417"/>
      <c r="M4990" s="417" t="s">
        <v>28840</v>
      </c>
    </row>
    <row r="4991" spans="1:13" x14ac:dyDescent="0.25">
      <c r="A4991" s="417" t="s">
        <v>3385</v>
      </c>
      <c r="B4991" s="417" t="s">
        <v>3405</v>
      </c>
      <c r="C4991" s="417" t="s">
        <v>12457</v>
      </c>
      <c r="D4991" s="417" t="s">
        <v>73</v>
      </c>
      <c r="E4991" s="423">
        <v>5.9870834958446528E-2</v>
      </c>
      <c r="F4991" s="423">
        <v>4.322354889577759E-4</v>
      </c>
      <c r="G4991" s="422">
        <v>78.61824521151695</v>
      </c>
      <c r="H4991" s="417" t="s">
        <v>2616</v>
      </c>
      <c r="I4991" s="417" t="s">
        <v>1392</v>
      </c>
      <c r="J4991" s="417" t="s">
        <v>4326</v>
      </c>
      <c r="K4991" s="417" t="s">
        <v>12458</v>
      </c>
      <c r="L4991" s="417"/>
      <c r="M4991" s="417" t="s">
        <v>28840</v>
      </c>
    </row>
    <row r="4992" spans="1:13" x14ac:dyDescent="0.25">
      <c r="A4992" s="417" t="s">
        <v>3385</v>
      </c>
      <c r="B4992" s="417" t="s">
        <v>3405</v>
      </c>
      <c r="C4992" s="417" t="s">
        <v>12459</v>
      </c>
      <c r="D4992" s="417" t="s">
        <v>73</v>
      </c>
      <c r="E4992" s="423">
        <v>8.669775851943623E-2</v>
      </c>
      <c r="F4992" s="423">
        <v>1.803052748369499E-4</v>
      </c>
      <c r="G4992" s="422">
        <v>106.2029739836604</v>
      </c>
      <c r="H4992" s="417" t="s">
        <v>2616</v>
      </c>
      <c r="I4992" s="417" t="s">
        <v>1392</v>
      </c>
      <c r="J4992" s="417" t="s">
        <v>12178</v>
      </c>
      <c r="K4992" s="417" t="s">
        <v>12460</v>
      </c>
      <c r="L4992" s="417"/>
      <c r="M4992" s="417" t="s">
        <v>28840</v>
      </c>
    </row>
    <row r="4993" spans="1:13" x14ac:dyDescent="0.25">
      <c r="A4993" s="417" t="s">
        <v>3385</v>
      </c>
      <c r="B4993" s="417" t="s">
        <v>3405</v>
      </c>
      <c r="C4993" s="417" t="s">
        <v>12461</v>
      </c>
      <c r="D4993" s="417" t="s">
        <v>73</v>
      </c>
      <c r="E4993" s="423">
        <v>9.1980454472042533E-2</v>
      </c>
      <c r="F4993" s="423">
        <v>3.9127492298368047E-4</v>
      </c>
      <c r="G4993" s="422">
        <v>114.7793963467027</v>
      </c>
      <c r="H4993" s="417" t="s">
        <v>2616</v>
      </c>
      <c r="I4993" s="417" t="s">
        <v>1392</v>
      </c>
      <c r="J4993" s="417" t="s">
        <v>12178</v>
      </c>
      <c r="K4993" s="417" t="s">
        <v>12462</v>
      </c>
      <c r="L4993" s="417"/>
      <c r="M4993" s="417" t="s">
        <v>28840</v>
      </c>
    </row>
    <row r="4994" spans="1:13" x14ac:dyDescent="0.25">
      <c r="A4994" s="417" t="s">
        <v>3385</v>
      </c>
      <c r="B4994" s="417" t="s">
        <v>3405</v>
      </c>
      <c r="C4994" s="417" t="s">
        <v>12463</v>
      </c>
      <c r="D4994" s="417" t="s">
        <v>73</v>
      </c>
      <c r="E4994" s="423">
        <v>9.1739665440234999E-2</v>
      </c>
      <c r="F4994" s="423">
        <v>1.3017405900648941E-4</v>
      </c>
      <c r="G4994" s="422">
        <v>113.3163851946944</v>
      </c>
      <c r="H4994" s="417" t="s">
        <v>2616</v>
      </c>
      <c r="I4994" s="417" t="s">
        <v>1392</v>
      </c>
      <c r="J4994" s="417" t="s">
        <v>12178</v>
      </c>
      <c r="K4994" s="417" t="s">
        <v>12464</v>
      </c>
      <c r="L4994" s="417"/>
      <c r="M4994" s="417" t="s">
        <v>28840</v>
      </c>
    </row>
    <row r="4995" spans="1:13" x14ac:dyDescent="0.25">
      <c r="A4995" s="417" t="s">
        <v>3385</v>
      </c>
      <c r="B4995" s="417" t="s">
        <v>3405</v>
      </c>
      <c r="C4995" s="417" t="s">
        <v>12465</v>
      </c>
      <c r="D4995" s="417" t="s">
        <v>73</v>
      </c>
      <c r="E4995" s="423">
        <v>8.5456807748521157E-2</v>
      </c>
      <c r="F4995" s="423">
        <v>3.5010154340705472E-4</v>
      </c>
      <c r="G4995" s="422">
        <v>110.5605511449992</v>
      </c>
      <c r="H4995" s="417" t="s">
        <v>2616</v>
      </c>
      <c r="I4995" s="417" t="s">
        <v>1392</v>
      </c>
      <c r="J4995" s="417" t="s">
        <v>12178</v>
      </c>
      <c r="K4995" s="417" t="s">
        <v>12466</v>
      </c>
      <c r="L4995" s="417"/>
      <c r="M4995" s="417" t="s">
        <v>28840</v>
      </c>
    </row>
    <row r="4996" spans="1:13" x14ac:dyDescent="0.25">
      <c r="A4996" s="417" t="s">
        <v>3385</v>
      </c>
      <c r="B4996" s="417" t="s">
        <v>3405</v>
      </c>
      <c r="C4996" s="417" t="s">
        <v>12467</v>
      </c>
      <c r="D4996" s="417" t="s">
        <v>73</v>
      </c>
      <c r="E4996" s="423">
        <v>6.8309806116155031E-2</v>
      </c>
      <c r="F4996" s="423">
        <v>5.5521309006890421E-5</v>
      </c>
      <c r="G4996" s="422">
        <v>86.004707610621111</v>
      </c>
      <c r="H4996" s="417" t="s">
        <v>2616</v>
      </c>
      <c r="I4996" s="417" t="s">
        <v>1392</v>
      </c>
      <c r="J4996" s="417" t="s">
        <v>12178</v>
      </c>
      <c r="K4996" s="417" t="s">
        <v>12468</v>
      </c>
      <c r="L4996" s="417"/>
      <c r="M4996" s="417" t="s">
        <v>28840</v>
      </c>
    </row>
    <row r="4997" spans="1:13" x14ac:dyDescent="0.25">
      <c r="A4997" s="417" t="s">
        <v>3385</v>
      </c>
      <c r="B4997" s="417" t="s">
        <v>3405</v>
      </c>
      <c r="C4997" s="417" t="s">
        <v>12469</v>
      </c>
      <c r="D4997" s="417" t="s">
        <v>73</v>
      </c>
      <c r="E4997" s="423">
        <v>7.7476454631244543E-2</v>
      </c>
      <c r="F4997" s="423">
        <v>2.4602415733717369E-4</v>
      </c>
      <c r="G4997" s="422">
        <v>95.933487170220275</v>
      </c>
      <c r="H4997" s="417" t="s">
        <v>2616</v>
      </c>
      <c r="I4997" s="417" t="s">
        <v>1392</v>
      </c>
      <c r="J4997" s="417" t="s">
        <v>12178</v>
      </c>
      <c r="K4997" s="417" t="s">
        <v>12470</v>
      </c>
      <c r="L4997" s="417"/>
      <c r="M4997" s="417" t="s">
        <v>28840</v>
      </c>
    </row>
    <row r="4998" spans="1:13" x14ac:dyDescent="0.25">
      <c r="A4998" s="417" t="s">
        <v>3385</v>
      </c>
      <c r="B4998" s="417" t="s">
        <v>3405</v>
      </c>
      <c r="C4998" s="417" t="s">
        <v>12471</v>
      </c>
      <c r="D4998" s="417" t="s">
        <v>73</v>
      </c>
      <c r="E4998" s="423">
        <v>6.2993268486864942E-2</v>
      </c>
      <c r="F4998" s="423">
        <v>5.5034687321815777E-5</v>
      </c>
      <c r="G4998" s="422">
        <v>76.47695745480739</v>
      </c>
      <c r="H4998" s="417" t="s">
        <v>2616</v>
      </c>
      <c r="I4998" s="417" t="s">
        <v>1392</v>
      </c>
      <c r="J4998" s="417" t="s">
        <v>12178</v>
      </c>
      <c r="K4998" s="417" t="s">
        <v>12472</v>
      </c>
      <c r="L4998" s="417"/>
      <c r="M4998" s="417" t="s">
        <v>28840</v>
      </c>
    </row>
    <row r="4999" spans="1:13" x14ac:dyDescent="0.25">
      <c r="A4999" s="417" t="s">
        <v>3385</v>
      </c>
      <c r="B4999" s="417" t="s">
        <v>3405</v>
      </c>
      <c r="C4999" s="417" t="s">
        <v>12473</v>
      </c>
      <c r="D4999" s="417" t="s">
        <v>73</v>
      </c>
      <c r="E4999" s="423">
        <v>0.1016989104726114</v>
      </c>
      <c r="F4999" s="423">
        <v>3.5074322755080989E-4</v>
      </c>
      <c r="G4999" s="422">
        <v>127.14804462227551</v>
      </c>
      <c r="H4999" s="417" t="s">
        <v>2616</v>
      </c>
      <c r="I4999" s="417" t="s">
        <v>1392</v>
      </c>
      <c r="J4999" s="417" t="s">
        <v>12178</v>
      </c>
      <c r="K4999" s="417" t="s">
        <v>12474</v>
      </c>
      <c r="L4999" s="417"/>
      <c r="M4999" s="417" t="s">
        <v>28840</v>
      </c>
    </row>
    <row r="5000" spans="1:13" x14ac:dyDescent="0.25">
      <c r="A5000" s="417" t="s">
        <v>3385</v>
      </c>
      <c r="B5000" s="417" t="s">
        <v>3405</v>
      </c>
      <c r="C5000" s="417" t="s">
        <v>12475</v>
      </c>
      <c r="D5000" s="417" t="s">
        <v>73</v>
      </c>
      <c r="E5000" s="423">
        <v>8.7896915487317179E-2</v>
      </c>
      <c r="F5000" s="423">
        <v>3.031423609737407E-4</v>
      </c>
      <c r="G5000" s="422">
        <v>113.78143562261219</v>
      </c>
      <c r="H5000" s="417" t="s">
        <v>2616</v>
      </c>
      <c r="I5000" s="417" t="s">
        <v>1392</v>
      </c>
      <c r="J5000" s="417" t="s">
        <v>12178</v>
      </c>
      <c r="K5000" s="417" t="s">
        <v>12476</v>
      </c>
      <c r="L5000" s="417"/>
      <c r="M5000" s="417" t="s">
        <v>28840</v>
      </c>
    </row>
    <row r="5001" spans="1:13" x14ac:dyDescent="0.25">
      <c r="A5001" s="417" t="s">
        <v>3385</v>
      </c>
      <c r="B5001" s="417" t="s">
        <v>3405</v>
      </c>
      <c r="C5001" s="417" t="s">
        <v>12477</v>
      </c>
      <c r="D5001" s="417" t="s">
        <v>73</v>
      </c>
      <c r="E5001" s="423">
        <v>8.893792724950067E-2</v>
      </c>
      <c r="F5001" s="423">
        <v>5.4690513363386622E-4</v>
      </c>
      <c r="G5001" s="422">
        <v>113.69036197417</v>
      </c>
      <c r="H5001" s="417" t="s">
        <v>2616</v>
      </c>
      <c r="I5001" s="417" t="s">
        <v>1392</v>
      </c>
      <c r="J5001" s="417" t="s">
        <v>12178</v>
      </c>
      <c r="K5001" s="417" t="s">
        <v>12478</v>
      </c>
      <c r="L5001" s="417"/>
      <c r="M5001" s="417" t="s">
        <v>28840</v>
      </c>
    </row>
    <row r="5002" spans="1:13" x14ac:dyDescent="0.25">
      <c r="A5002" s="417" t="s">
        <v>3385</v>
      </c>
      <c r="B5002" s="417" t="s">
        <v>3405</v>
      </c>
      <c r="C5002" s="417" t="s">
        <v>12479</v>
      </c>
      <c r="D5002" s="417" t="s">
        <v>73</v>
      </c>
      <c r="E5002" s="423">
        <v>7.9548546226521549E-2</v>
      </c>
      <c r="F5002" s="423">
        <v>3.3858230203420839E-4</v>
      </c>
      <c r="G5002" s="422">
        <v>99.725944892494383</v>
      </c>
      <c r="H5002" s="417" t="s">
        <v>2616</v>
      </c>
      <c r="I5002" s="417" t="s">
        <v>1392</v>
      </c>
      <c r="J5002" s="417" t="s">
        <v>12178</v>
      </c>
      <c r="K5002" s="417" t="s">
        <v>12480</v>
      </c>
      <c r="L5002" s="417"/>
      <c r="M5002" s="417" t="s">
        <v>28840</v>
      </c>
    </row>
    <row r="5003" spans="1:13" x14ac:dyDescent="0.25">
      <c r="A5003" s="417" t="s">
        <v>3385</v>
      </c>
      <c r="B5003" s="417" t="s">
        <v>3405</v>
      </c>
      <c r="C5003" s="417" t="s">
        <v>12481</v>
      </c>
      <c r="D5003" s="417" t="s">
        <v>73</v>
      </c>
      <c r="E5003" s="423">
        <v>9.8423772264922382E-2</v>
      </c>
      <c r="F5003" s="423">
        <v>2.7317258683389519E-4</v>
      </c>
      <c r="G5003" s="422">
        <v>126.9698144255001</v>
      </c>
      <c r="H5003" s="417" t="s">
        <v>2616</v>
      </c>
      <c r="I5003" s="417" t="s">
        <v>1392</v>
      </c>
      <c r="J5003" s="417" t="s">
        <v>12178</v>
      </c>
      <c r="K5003" s="417" t="s">
        <v>12482</v>
      </c>
      <c r="L5003" s="417"/>
      <c r="M5003" s="417" t="s">
        <v>28840</v>
      </c>
    </row>
    <row r="5004" spans="1:13" x14ac:dyDescent="0.25">
      <c r="A5004" s="417" t="s">
        <v>3385</v>
      </c>
      <c r="B5004" s="417" t="s">
        <v>3405</v>
      </c>
      <c r="C5004" s="417" t="s">
        <v>12483</v>
      </c>
      <c r="D5004" s="417" t="s">
        <v>73</v>
      </c>
      <c r="E5004" s="423">
        <v>9.5695172611553372E-2</v>
      </c>
      <c r="F5004" s="423">
        <v>6.7279913726461132E-4</v>
      </c>
      <c r="G5004" s="422">
        <v>124.21117408332501</v>
      </c>
      <c r="H5004" s="417" t="s">
        <v>2616</v>
      </c>
      <c r="I5004" s="417" t="s">
        <v>1392</v>
      </c>
      <c r="J5004" s="417" t="s">
        <v>12178</v>
      </c>
      <c r="K5004" s="417" t="s">
        <v>12484</v>
      </c>
      <c r="L5004" s="417"/>
      <c r="M5004" s="417" t="s">
        <v>28840</v>
      </c>
    </row>
    <row r="5005" spans="1:13" x14ac:dyDescent="0.25">
      <c r="A5005" s="417" t="s">
        <v>3385</v>
      </c>
      <c r="B5005" s="417" t="s">
        <v>3405</v>
      </c>
      <c r="C5005" s="417" t="s">
        <v>12485</v>
      </c>
      <c r="D5005" s="417" t="s">
        <v>73</v>
      </c>
      <c r="E5005" s="423">
        <v>8.5024002113672503E-2</v>
      </c>
      <c r="F5005" s="423">
        <v>1.3308247347687701E-4</v>
      </c>
      <c r="G5005" s="422">
        <v>104.3657837564422</v>
      </c>
      <c r="H5005" s="417" t="s">
        <v>2616</v>
      </c>
      <c r="I5005" s="417" t="s">
        <v>1392</v>
      </c>
      <c r="J5005" s="417" t="s">
        <v>12178</v>
      </c>
      <c r="K5005" s="417" t="s">
        <v>12486</v>
      </c>
      <c r="L5005" s="417"/>
      <c r="M5005" s="417" t="s">
        <v>28840</v>
      </c>
    </row>
    <row r="5006" spans="1:13" x14ac:dyDescent="0.25">
      <c r="A5006" s="417" t="s">
        <v>3385</v>
      </c>
      <c r="B5006" s="417" t="s">
        <v>3405</v>
      </c>
      <c r="C5006" s="417" t="s">
        <v>12487</v>
      </c>
      <c r="D5006" s="417" t="s">
        <v>73</v>
      </c>
      <c r="E5006" s="423">
        <v>8.0071059746892298E-2</v>
      </c>
      <c r="F5006" s="423">
        <v>1.915665982746019E-4</v>
      </c>
      <c r="G5006" s="422">
        <v>98.285156892890257</v>
      </c>
      <c r="H5006" s="417" t="s">
        <v>2616</v>
      </c>
      <c r="I5006" s="417" t="s">
        <v>1392</v>
      </c>
      <c r="J5006" s="417" t="s">
        <v>12178</v>
      </c>
      <c r="K5006" s="417" t="s">
        <v>12488</v>
      </c>
      <c r="L5006" s="417"/>
      <c r="M5006" s="417" t="s">
        <v>28840</v>
      </c>
    </row>
    <row r="5007" spans="1:13" x14ac:dyDescent="0.25">
      <c r="A5007" s="417" t="s">
        <v>3385</v>
      </c>
      <c r="B5007" s="417" t="s">
        <v>3405</v>
      </c>
      <c r="C5007" s="417" t="s">
        <v>12489</v>
      </c>
      <c r="D5007" s="417" t="s">
        <v>73</v>
      </c>
      <c r="E5007" s="423">
        <v>8.6849928504915005E-2</v>
      </c>
      <c r="F5007" s="423">
        <v>6.1128817783733577E-4</v>
      </c>
      <c r="G5007" s="422">
        <v>117.8945933469895</v>
      </c>
      <c r="H5007" s="417" t="s">
        <v>2616</v>
      </c>
      <c r="I5007" s="417" t="s">
        <v>1392</v>
      </c>
      <c r="J5007" s="417" t="s">
        <v>12178</v>
      </c>
      <c r="K5007" s="417" t="s">
        <v>12490</v>
      </c>
      <c r="L5007" s="417"/>
      <c r="M5007" s="417" t="s">
        <v>28840</v>
      </c>
    </row>
    <row r="5008" spans="1:13" x14ac:dyDescent="0.25">
      <c r="A5008" s="417" t="s">
        <v>3385</v>
      </c>
      <c r="B5008" s="417" t="s">
        <v>3405</v>
      </c>
      <c r="C5008" s="417" t="s">
        <v>12491</v>
      </c>
      <c r="D5008" s="417" t="s">
        <v>73</v>
      </c>
      <c r="E5008" s="423">
        <v>7.2799125147391994E-2</v>
      </c>
      <c r="F5008" s="423">
        <v>3.0324090687219282E-4</v>
      </c>
      <c r="G5008" s="422">
        <v>91.056960699509716</v>
      </c>
      <c r="H5008" s="417" t="s">
        <v>2616</v>
      </c>
      <c r="I5008" s="417" t="s">
        <v>1392</v>
      </c>
      <c r="J5008" s="417" t="s">
        <v>12178</v>
      </c>
      <c r="K5008" s="417" t="s">
        <v>12492</v>
      </c>
      <c r="L5008" s="417"/>
      <c r="M5008" s="417" t="s">
        <v>28840</v>
      </c>
    </row>
    <row r="5009" spans="1:13" x14ac:dyDescent="0.25">
      <c r="A5009" s="417" t="s">
        <v>3385</v>
      </c>
      <c r="B5009" s="417" t="s">
        <v>3405</v>
      </c>
      <c r="C5009" s="417" t="s">
        <v>12493</v>
      </c>
      <c r="D5009" s="417" t="s">
        <v>73</v>
      </c>
      <c r="E5009" s="423">
        <v>7.6654303087335049E-2</v>
      </c>
      <c r="F5009" s="423">
        <v>1.495747771649463E-4</v>
      </c>
      <c r="G5009" s="422">
        <v>90.975249354908428</v>
      </c>
      <c r="H5009" s="417" t="s">
        <v>2616</v>
      </c>
      <c r="I5009" s="417" t="s">
        <v>1392</v>
      </c>
      <c r="J5009" s="417" t="s">
        <v>12178</v>
      </c>
      <c r="K5009" s="417" t="s">
        <v>12494</v>
      </c>
      <c r="L5009" s="417"/>
      <c r="M5009" s="417" t="s">
        <v>28840</v>
      </c>
    </row>
    <row r="5010" spans="1:13" x14ac:dyDescent="0.25">
      <c r="A5010" s="417" t="s">
        <v>3385</v>
      </c>
      <c r="B5010" s="417" t="s">
        <v>3405</v>
      </c>
      <c r="C5010" s="417" t="s">
        <v>12495</v>
      </c>
      <c r="D5010" s="417" t="s">
        <v>73</v>
      </c>
      <c r="E5010" s="423">
        <v>8.2451687352569247E-2</v>
      </c>
      <c r="F5010" s="423">
        <v>1.6088715521880571E-4</v>
      </c>
      <c r="G5010" s="422">
        <v>94.194522465877398</v>
      </c>
      <c r="H5010" s="417" t="s">
        <v>2616</v>
      </c>
      <c r="I5010" s="417" t="s">
        <v>1392</v>
      </c>
      <c r="J5010" s="417" t="s">
        <v>12178</v>
      </c>
      <c r="K5010" s="417" t="s">
        <v>12496</v>
      </c>
      <c r="L5010" s="417"/>
      <c r="M5010" s="417" t="s">
        <v>28840</v>
      </c>
    </row>
    <row r="5011" spans="1:13" x14ac:dyDescent="0.25">
      <c r="A5011" s="417" t="s">
        <v>3385</v>
      </c>
      <c r="B5011" s="417" t="s">
        <v>3405</v>
      </c>
      <c r="C5011" s="417" t="s">
        <v>12497</v>
      </c>
      <c r="D5011" s="417" t="s">
        <v>73</v>
      </c>
      <c r="E5011" s="423">
        <v>7.4821341276133921E-2</v>
      </c>
      <c r="F5011" s="423">
        <v>2.5804680320611967E-4</v>
      </c>
      <c r="G5011" s="422">
        <v>93.290021144335213</v>
      </c>
      <c r="H5011" s="417" t="s">
        <v>2616</v>
      </c>
      <c r="I5011" s="417" t="s">
        <v>1392</v>
      </c>
      <c r="J5011" s="417" t="s">
        <v>12178</v>
      </c>
      <c r="K5011" s="417" t="s">
        <v>12498</v>
      </c>
      <c r="L5011" s="417"/>
      <c r="M5011" s="417" t="s">
        <v>28840</v>
      </c>
    </row>
    <row r="5012" spans="1:13" x14ac:dyDescent="0.25">
      <c r="A5012" s="417" t="s">
        <v>3385</v>
      </c>
      <c r="B5012" s="417" t="s">
        <v>3405</v>
      </c>
      <c r="C5012" s="417" t="s">
        <v>12499</v>
      </c>
      <c r="D5012" s="417" t="s">
        <v>73</v>
      </c>
      <c r="E5012" s="423">
        <v>8.2857622825191754E-2</v>
      </c>
      <c r="F5012" s="423">
        <v>3.6001167764220318E-4</v>
      </c>
      <c r="G5012" s="422">
        <v>103.4966033099526</v>
      </c>
      <c r="H5012" s="417" t="s">
        <v>2616</v>
      </c>
      <c r="I5012" s="417" t="s">
        <v>1392</v>
      </c>
      <c r="J5012" s="417" t="s">
        <v>12178</v>
      </c>
      <c r="K5012" s="417" t="s">
        <v>12500</v>
      </c>
      <c r="L5012" s="417"/>
      <c r="M5012" s="417" t="s">
        <v>28840</v>
      </c>
    </row>
    <row r="5013" spans="1:13" x14ac:dyDescent="0.25">
      <c r="A5013" s="417" t="s">
        <v>3385</v>
      </c>
      <c r="B5013" s="417" t="s">
        <v>3405</v>
      </c>
      <c r="C5013" s="417" t="s">
        <v>12501</v>
      </c>
      <c r="D5013" s="417" t="s">
        <v>73</v>
      </c>
      <c r="E5013" s="423">
        <v>7.6912883910848648E-2</v>
      </c>
      <c r="F5013" s="423">
        <v>2.54535800723135E-4</v>
      </c>
      <c r="G5013" s="422">
        <v>99.632748367909741</v>
      </c>
      <c r="H5013" s="417" t="s">
        <v>2616</v>
      </c>
      <c r="I5013" s="417" t="s">
        <v>1392</v>
      </c>
      <c r="J5013" s="417" t="s">
        <v>12178</v>
      </c>
      <c r="K5013" s="417" t="s">
        <v>12502</v>
      </c>
      <c r="L5013" s="417"/>
      <c r="M5013" s="417" t="s">
        <v>28840</v>
      </c>
    </row>
    <row r="5014" spans="1:13" x14ac:dyDescent="0.25">
      <c r="A5014" s="417" t="s">
        <v>3385</v>
      </c>
      <c r="B5014" s="417" t="s">
        <v>3405</v>
      </c>
      <c r="C5014" s="417" t="s">
        <v>12503</v>
      </c>
      <c r="D5014" s="417" t="s">
        <v>73</v>
      </c>
      <c r="E5014" s="423">
        <v>9.6031435426993328E-2</v>
      </c>
      <c r="F5014" s="423">
        <v>8.3369163623100631E-5</v>
      </c>
      <c r="G5014" s="422">
        <v>117.54038843823071</v>
      </c>
      <c r="H5014" s="417" t="s">
        <v>2616</v>
      </c>
      <c r="I5014" s="417" t="s">
        <v>1392</v>
      </c>
      <c r="J5014" s="417" t="s">
        <v>12178</v>
      </c>
      <c r="K5014" s="417" t="s">
        <v>12504</v>
      </c>
      <c r="L5014" s="417"/>
      <c r="M5014" s="417" t="s">
        <v>28840</v>
      </c>
    </row>
    <row r="5015" spans="1:13" x14ac:dyDescent="0.25">
      <c r="A5015" s="417" t="s">
        <v>3385</v>
      </c>
      <c r="B5015" s="417" t="s">
        <v>3405</v>
      </c>
      <c r="C5015" s="417" t="s">
        <v>12505</v>
      </c>
      <c r="D5015" s="417" t="s">
        <v>73</v>
      </c>
      <c r="E5015" s="423">
        <v>8.5852463861361944E-2</v>
      </c>
      <c r="F5015" s="423">
        <v>1.067578698418995E-4</v>
      </c>
      <c r="G5015" s="422">
        <v>108.6681499795279</v>
      </c>
      <c r="H5015" s="417" t="s">
        <v>2616</v>
      </c>
      <c r="I5015" s="417" t="s">
        <v>1392</v>
      </c>
      <c r="J5015" s="417" t="s">
        <v>12178</v>
      </c>
      <c r="K5015" s="417" t="s">
        <v>12506</v>
      </c>
      <c r="L5015" s="417"/>
      <c r="M5015" s="417" t="s">
        <v>28840</v>
      </c>
    </row>
    <row r="5016" spans="1:13" x14ac:dyDescent="0.25">
      <c r="A5016" s="417" t="s">
        <v>3385</v>
      </c>
      <c r="B5016" s="417" t="s">
        <v>3405</v>
      </c>
      <c r="C5016" s="417" t="s">
        <v>12507</v>
      </c>
      <c r="D5016" s="417" t="s">
        <v>73</v>
      </c>
      <c r="E5016" s="423">
        <v>6.8277952044299636E-2</v>
      </c>
      <c r="F5016" s="423">
        <v>1.198147122678645E-4</v>
      </c>
      <c r="G5016" s="422">
        <v>83.070725088681328</v>
      </c>
      <c r="H5016" s="417" t="s">
        <v>2616</v>
      </c>
      <c r="I5016" s="417" t="s">
        <v>1392</v>
      </c>
      <c r="J5016" s="417" t="s">
        <v>12178</v>
      </c>
      <c r="K5016" s="417" t="s">
        <v>12508</v>
      </c>
      <c r="L5016" s="417"/>
      <c r="M5016" s="417" t="s">
        <v>28840</v>
      </c>
    </row>
    <row r="5017" spans="1:13" x14ac:dyDescent="0.25">
      <c r="A5017" s="417" t="s">
        <v>3385</v>
      </c>
      <c r="B5017" s="417" t="s">
        <v>3405</v>
      </c>
      <c r="C5017" s="417" t="s">
        <v>12509</v>
      </c>
      <c r="D5017" s="417" t="s">
        <v>73</v>
      </c>
      <c r="E5017" s="423">
        <v>9.2981861012745456E-2</v>
      </c>
      <c r="F5017" s="423">
        <v>3.2067952250576759E-4</v>
      </c>
      <c r="G5017" s="422">
        <v>115.454510405512</v>
      </c>
      <c r="H5017" s="417" t="s">
        <v>2616</v>
      </c>
      <c r="I5017" s="417" t="s">
        <v>1392</v>
      </c>
      <c r="J5017" s="417" t="s">
        <v>12178</v>
      </c>
      <c r="K5017" s="417" t="s">
        <v>12510</v>
      </c>
      <c r="L5017" s="417"/>
      <c r="M5017" s="417" t="s">
        <v>28840</v>
      </c>
    </row>
    <row r="5018" spans="1:13" x14ac:dyDescent="0.25">
      <c r="A5018" s="417" t="s">
        <v>3385</v>
      </c>
      <c r="B5018" s="417" t="s">
        <v>3405</v>
      </c>
      <c r="C5018" s="417" t="s">
        <v>12511</v>
      </c>
      <c r="D5018" s="417" t="s">
        <v>73</v>
      </c>
      <c r="E5018" s="423">
        <v>8.5720488561558408E-2</v>
      </c>
      <c r="F5018" s="423">
        <v>1.103688874665396E-4</v>
      </c>
      <c r="G5018" s="422">
        <v>108.6417975189577</v>
      </c>
      <c r="H5018" s="417" t="s">
        <v>2616</v>
      </c>
      <c r="I5018" s="417" t="s">
        <v>1392</v>
      </c>
      <c r="J5018" s="417" t="s">
        <v>12178</v>
      </c>
      <c r="K5018" s="417" t="s">
        <v>12512</v>
      </c>
      <c r="L5018" s="417"/>
      <c r="M5018" s="417" t="s">
        <v>28840</v>
      </c>
    </row>
    <row r="5019" spans="1:13" x14ac:dyDescent="0.25">
      <c r="A5019" s="417" t="s">
        <v>3385</v>
      </c>
      <c r="B5019" s="417" t="s">
        <v>3405</v>
      </c>
      <c r="C5019" s="417" t="s">
        <v>12513</v>
      </c>
      <c r="D5019" s="417" t="s">
        <v>73</v>
      </c>
      <c r="E5019" s="423">
        <v>8.0260626704014751E-2</v>
      </c>
      <c r="F5019" s="423">
        <v>3.5297527002307969E-4</v>
      </c>
      <c r="G5019" s="422">
        <v>99.849807322306006</v>
      </c>
      <c r="H5019" s="417" t="s">
        <v>2616</v>
      </c>
      <c r="I5019" s="417" t="s">
        <v>1392</v>
      </c>
      <c r="J5019" s="417" t="s">
        <v>11340</v>
      </c>
      <c r="K5019" s="417" t="s">
        <v>12514</v>
      </c>
      <c r="L5019" s="417"/>
      <c r="M5019" s="417" t="s">
        <v>28840</v>
      </c>
    </row>
    <row r="5020" spans="1:13" x14ac:dyDescent="0.25">
      <c r="A5020" s="417" t="s">
        <v>3385</v>
      </c>
      <c r="B5020" s="417" t="s">
        <v>3405</v>
      </c>
      <c r="C5020" s="417" t="s">
        <v>12515</v>
      </c>
      <c r="D5020" s="417" t="s">
        <v>73</v>
      </c>
      <c r="E5020" s="423">
        <v>1.6232866527974898E-2</v>
      </c>
      <c r="F5020" s="423">
        <v>0.14861277525035441</v>
      </c>
      <c r="G5020" s="422">
        <v>69.687158548863991</v>
      </c>
      <c r="H5020" s="417" t="s">
        <v>2616</v>
      </c>
      <c r="I5020" s="417" t="s">
        <v>1392</v>
      </c>
      <c r="J5020" s="417" t="s">
        <v>4245</v>
      </c>
      <c r="K5020" s="417" t="s">
        <v>12516</v>
      </c>
      <c r="L5020" s="417"/>
      <c r="M5020" s="417" t="s">
        <v>28840</v>
      </c>
    </row>
    <row r="5021" spans="1:13" x14ac:dyDescent="0.25">
      <c r="A5021" s="417" t="s">
        <v>3385</v>
      </c>
      <c r="B5021" s="417" t="s">
        <v>3405</v>
      </c>
      <c r="C5021" s="417" t="s">
        <v>12517</v>
      </c>
      <c r="D5021" s="417" t="s">
        <v>73</v>
      </c>
      <c r="E5021" s="423">
        <v>1.6067759281841641E-2</v>
      </c>
      <c r="F5021" s="423">
        <v>0.1471891294838773</v>
      </c>
      <c r="G5021" s="422">
        <v>69.568289300395548</v>
      </c>
      <c r="H5021" s="417" t="s">
        <v>2616</v>
      </c>
      <c r="I5021" s="417" t="s">
        <v>1392</v>
      </c>
      <c r="J5021" s="417" t="s">
        <v>4245</v>
      </c>
      <c r="K5021" s="417" t="s">
        <v>12518</v>
      </c>
      <c r="L5021" s="417"/>
      <c r="M5021" s="417" t="s">
        <v>28840</v>
      </c>
    </row>
    <row r="5022" spans="1:13" x14ac:dyDescent="0.25">
      <c r="A5022" s="417" t="s">
        <v>3385</v>
      </c>
      <c r="B5022" s="417" t="s">
        <v>3405</v>
      </c>
      <c r="C5022" s="417" t="s">
        <v>12519</v>
      </c>
      <c r="D5022" s="417" t="s">
        <v>73</v>
      </c>
      <c r="E5022" s="423">
        <v>1.639797376988571E-2</v>
      </c>
      <c r="F5022" s="423">
        <v>0.1500364210147748</v>
      </c>
      <c r="G5022" s="422">
        <v>69.806027783871073</v>
      </c>
      <c r="H5022" s="417" t="s">
        <v>2616</v>
      </c>
      <c r="I5022" s="417" t="s">
        <v>1392</v>
      </c>
      <c r="J5022" s="417" t="s">
        <v>4245</v>
      </c>
      <c r="K5022" s="417" t="s">
        <v>12520</v>
      </c>
      <c r="L5022" s="417"/>
      <c r="M5022" s="417" t="s">
        <v>28840</v>
      </c>
    </row>
    <row r="5023" spans="1:13" x14ac:dyDescent="0.25">
      <c r="A5023" s="417" t="s">
        <v>3385</v>
      </c>
      <c r="B5023" s="417" t="s">
        <v>3405</v>
      </c>
      <c r="C5023" s="417" t="s">
        <v>12521</v>
      </c>
      <c r="D5023" s="417" t="s">
        <v>73</v>
      </c>
      <c r="E5023" s="423">
        <v>1.652501209784631E-2</v>
      </c>
      <c r="F5023" s="423">
        <v>0.147292418129296</v>
      </c>
      <c r="G5023" s="422">
        <v>71.538238369683</v>
      </c>
      <c r="H5023" s="417" t="s">
        <v>2616</v>
      </c>
      <c r="I5023" s="417" t="s">
        <v>1392</v>
      </c>
      <c r="J5023" s="417" t="s">
        <v>4245</v>
      </c>
      <c r="K5023" s="417" t="s">
        <v>12522</v>
      </c>
      <c r="L5023" s="417"/>
      <c r="M5023" s="417" t="s">
        <v>28840</v>
      </c>
    </row>
    <row r="5024" spans="1:13" x14ac:dyDescent="0.25">
      <c r="A5024" s="417" t="s">
        <v>3385</v>
      </c>
      <c r="B5024" s="417" t="s">
        <v>3405</v>
      </c>
      <c r="C5024" s="417" t="s">
        <v>12523</v>
      </c>
      <c r="D5024" s="417" t="s">
        <v>73</v>
      </c>
      <c r="E5024" s="423">
        <v>8.5893280332739561E-2</v>
      </c>
      <c r="F5024" s="423">
        <v>7.5113466595927081E-5</v>
      </c>
      <c r="G5024" s="422">
        <v>92.155672493749591</v>
      </c>
      <c r="H5024" s="417" t="s">
        <v>2616</v>
      </c>
      <c r="I5024" s="417" t="s">
        <v>1392</v>
      </c>
      <c r="J5024" s="417" t="s">
        <v>12335</v>
      </c>
      <c r="K5024" s="417" t="s">
        <v>12524</v>
      </c>
      <c r="L5024" s="417"/>
      <c r="M5024" s="417" t="s">
        <v>28840</v>
      </c>
    </row>
    <row r="5025" spans="1:13" x14ac:dyDescent="0.25">
      <c r="A5025" s="417" t="s">
        <v>3385</v>
      </c>
      <c r="B5025" s="417" t="s">
        <v>3405</v>
      </c>
      <c r="C5025" s="417" t="s">
        <v>12525</v>
      </c>
      <c r="D5025" s="417" t="s">
        <v>73</v>
      </c>
      <c r="E5025" s="423">
        <v>2.185642890946677E-2</v>
      </c>
      <c r="F5025" s="423">
        <v>0.11556021992289479</v>
      </c>
      <c r="G5025" s="422">
        <v>103.6768855685667</v>
      </c>
      <c r="H5025" s="417" t="s">
        <v>2616</v>
      </c>
      <c r="I5025" s="417" t="s">
        <v>1392</v>
      </c>
      <c r="J5025" s="417" t="s">
        <v>4245</v>
      </c>
      <c r="K5025" s="417" t="s">
        <v>12526</v>
      </c>
      <c r="L5025" s="417"/>
      <c r="M5025" s="417" t="s">
        <v>28840</v>
      </c>
    </row>
    <row r="5026" spans="1:13" x14ac:dyDescent="0.25">
      <c r="A5026" s="417" t="s">
        <v>3385</v>
      </c>
      <c r="B5026" s="417" t="s">
        <v>3405</v>
      </c>
      <c r="C5026" s="417" t="s">
        <v>12527</v>
      </c>
      <c r="D5026" s="417" t="s">
        <v>73</v>
      </c>
      <c r="E5026" s="423">
        <v>2.2590307578845871E-2</v>
      </c>
      <c r="F5026" s="423">
        <v>0.1160109670232367</v>
      </c>
      <c r="G5026" s="422">
        <v>80.177143390093178</v>
      </c>
      <c r="H5026" s="417" t="s">
        <v>2616</v>
      </c>
      <c r="I5026" s="417" t="s">
        <v>1392</v>
      </c>
      <c r="J5026" s="417" t="s">
        <v>4245</v>
      </c>
      <c r="K5026" s="417" t="s">
        <v>12528</v>
      </c>
      <c r="L5026" s="417"/>
      <c r="M5026" s="417" t="s">
        <v>28840</v>
      </c>
    </row>
    <row r="5027" spans="1:13" x14ac:dyDescent="0.25">
      <c r="A5027" s="417" t="s">
        <v>3385</v>
      </c>
      <c r="B5027" s="417" t="s">
        <v>3405</v>
      </c>
      <c r="C5027" s="417" t="s">
        <v>12529</v>
      </c>
      <c r="D5027" s="417" t="s">
        <v>73</v>
      </c>
      <c r="E5027" s="423">
        <v>2.2027459450501479E-2</v>
      </c>
      <c r="F5027" s="423">
        <v>0.11558062431280711</v>
      </c>
      <c r="G5027" s="422">
        <v>80.124096089152744</v>
      </c>
      <c r="H5027" s="417" t="s">
        <v>2616</v>
      </c>
      <c r="I5027" s="417" t="s">
        <v>1392</v>
      </c>
      <c r="J5027" s="417" t="s">
        <v>4245</v>
      </c>
      <c r="K5027" s="417" t="s">
        <v>12530</v>
      </c>
      <c r="L5027" s="417"/>
      <c r="M5027" s="417" t="s">
        <v>28840</v>
      </c>
    </row>
    <row r="5028" spans="1:13" x14ac:dyDescent="0.25">
      <c r="A5028" s="417" t="s">
        <v>3385</v>
      </c>
      <c r="B5028" s="417" t="s">
        <v>3405</v>
      </c>
      <c r="C5028" s="417" t="s">
        <v>12531</v>
      </c>
      <c r="D5028" s="417" t="s">
        <v>73</v>
      </c>
      <c r="E5028" s="423">
        <v>8.1923861264256489E-3</v>
      </c>
      <c r="F5028" s="423">
        <v>0.133616562470769</v>
      </c>
      <c r="G5028" s="422">
        <v>76.474307361351663</v>
      </c>
      <c r="H5028" s="417" t="s">
        <v>2616</v>
      </c>
      <c r="I5028" s="417" t="s">
        <v>1392</v>
      </c>
      <c r="J5028" s="417" t="s">
        <v>4245</v>
      </c>
      <c r="K5028" s="417" t="s">
        <v>12532</v>
      </c>
      <c r="L5028" s="417"/>
      <c r="M5028" s="417" t="s">
        <v>28840</v>
      </c>
    </row>
    <row r="5029" spans="1:13" x14ac:dyDescent="0.25">
      <c r="A5029" s="417" t="s">
        <v>3385</v>
      </c>
      <c r="B5029" s="417" t="s">
        <v>3405</v>
      </c>
      <c r="C5029" s="417" t="s">
        <v>12533</v>
      </c>
      <c r="D5029" s="417" t="s">
        <v>73</v>
      </c>
      <c r="E5029" s="423">
        <v>2.2125414957212E-2</v>
      </c>
      <c r="F5029" s="423">
        <v>0.1156831100486056</v>
      </c>
      <c r="G5029" s="422">
        <v>86.025621709955161</v>
      </c>
      <c r="H5029" s="417" t="s">
        <v>2616</v>
      </c>
      <c r="I5029" s="417" t="s">
        <v>1392</v>
      </c>
      <c r="J5029" s="417" t="s">
        <v>4245</v>
      </c>
      <c r="K5029" s="417" t="s">
        <v>12534</v>
      </c>
      <c r="L5029" s="417"/>
      <c r="M5029" s="417" t="s">
        <v>28840</v>
      </c>
    </row>
    <row r="5030" spans="1:13" x14ac:dyDescent="0.25">
      <c r="A5030" s="417" t="s">
        <v>3385</v>
      </c>
      <c r="B5030" s="417" t="s">
        <v>3405</v>
      </c>
      <c r="C5030" s="417" t="s">
        <v>12535</v>
      </c>
      <c r="D5030" s="417" t="s">
        <v>73</v>
      </c>
      <c r="E5030" s="423">
        <v>8.0972942592387048E-2</v>
      </c>
      <c r="F5030" s="423">
        <v>1.7218657628769319E-4</v>
      </c>
      <c r="G5030" s="422">
        <v>100.478961580647</v>
      </c>
      <c r="H5030" s="417" t="s">
        <v>2616</v>
      </c>
      <c r="I5030" s="417" t="s">
        <v>1392</v>
      </c>
      <c r="J5030" s="417" t="s">
        <v>11340</v>
      </c>
      <c r="K5030" s="417" t="s">
        <v>12536</v>
      </c>
      <c r="L5030" s="417"/>
      <c r="M5030" s="417" t="s">
        <v>28840</v>
      </c>
    </row>
    <row r="5031" spans="1:13" x14ac:dyDescent="0.25">
      <c r="A5031" s="417" t="s">
        <v>3385</v>
      </c>
      <c r="B5031" s="417" t="s">
        <v>3405</v>
      </c>
      <c r="C5031" s="417" t="s">
        <v>12537</v>
      </c>
      <c r="D5031" s="417" t="s">
        <v>73</v>
      </c>
      <c r="E5031" s="423">
        <v>9.4542879798028875E-2</v>
      </c>
      <c r="F5031" s="423">
        <v>8.4513840648167671E-4</v>
      </c>
      <c r="G5031" s="422">
        <v>126.2336951557992</v>
      </c>
      <c r="H5031" s="417" t="s">
        <v>2616</v>
      </c>
      <c r="I5031" s="417" t="s">
        <v>1392</v>
      </c>
      <c r="J5031" s="417" t="s">
        <v>10580</v>
      </c>
      <c r="K5031" s="417" t="s">
        <v>12538</v>
      </c>
      <c r="L5031" s="417"/>
      <c r="M5031" s="417" t="s">
        <v>28840</v>
      </c>
    </row>
    <row r="5032" spans="1:13" x14ac:dyDescent="0.25">
      <c r="A5032" s="417" t="s">
        <v>3385</v>
      </c>
      <c r="B5032" s="417" t="s">
        <v>3405</v>
      </c>
      <c r="C5032" s="417" t="s">
        <v>12539</v>
      </c>
      <c r="D5032" s="417" t="s">
        <v>73</v>
      </c>
      <c r="E5032" s="423">
        <v>2.8726263795516509E-2</v>
      </c>
      <c r="F5032" s="423">
        <v>8.3449475972052528E-4</v>
      </c>
      <c r="G5032" s="422">
        <v>58.756404550191839</v>
      </c>
      <c r="H5032" s="417" t="s">
        <v>2616</v>
      </c>
      <c r="I5032" s="417" t="s">
        <v>1392</v>
      </c>
      <c r="J5032" s="417" t="s">
        <v>10580</v>
      </c>
      <c r="K5032" s="417" t="s">
        <v>12540</v>
      </c>
      <c r="L5032" s="417"/>
      <c r="M5032" s="417" t="s">
        <v>28840</v>
      </c>
    </row>
    <row r="5033" spans="1:13" x14ac:dyDescent="0.25">
      <c r="A5033" s="417" t="s">
        <v>3385</v>
      </c>
      <c r="B5033" s="417" t="s">
        <v>3405</v>
      </c>
      <c r="C5033" s="417" t="s">
        <v>12541</v>
      </c>
      <c r="D5033" s="417" t="s">
        <v>73</v>
      </c>
      <c r="E5033" s="423">
        <v>4.2901161854282652E-2</v>
      </c>
      <c r="F5033" s="423">
        <v>9.6357591892599209E-3</v>
      </c>
      <c r="G5033" s="422">
        <v>202.18684414659089</v>
      </c>
      <c r="H5033" s="417" t="s">
        <v>2616</v>
      </c>
      <c r="I5033" s="417" t="s">
        <v>1392</v>
      </c>
      <c r="J5033" s="417" t="s">
        <v>10580</v>
      </c>
      <c r="K5033" s="417" t="s">
        <v>12542</v>
      </c>
      <c r="L5033" s="417"/>
      <c r="M5033" s="417" t="s">
        <v>28840</v>
      </c>
    </row>
    <row r="5034" spans="1:13" x14ac:dyDescent="0.25">
      <c r="A5034" s="417" t="s">
        <v>3385</v>
      </c>
      <c r="B5034" s="417" t="s">
        <v>3405</v>
      </c>
      <c r="C5034" s="417" t="s">
        <v>12543</v>
      </c>
      <c r="D5034" s="417" t="s">
        <v>73</v>
      </c>
      <c r="E5034" s="423">
        <v>4.4117946590230127E-2</v>
      </c>
      <c r="F5034" s="423">
        <v>9.9600139913600325E-3</v>
      </c>
      <c r="G5034" s="422">
        <v>207.89682349719411</v>
      </c>
      <c r="H5034" s="417" t="s">
        <v>2616</v>
      </c>
      <c r="I5034" s="417" t="s">
        <v>1392</v>
      </c>
      <c r="J5034" s="417" t="s">
        <v>10580</v>
      </c>
      <c r="K5034" s="417" t="s">
        <v>12544</v>
      </c>
      <c r="L5034" s="417"/>
      <c r="M5034" s="417" t="s">
        <v>28840</v>
      </c>
    </row>
    <row r="5035" spans="1:13" x14ac:dyDescent="0.25">
      <c r="A5035" s="417" t="s">
        <v>3385</v>
      </c>
      <c r="B5035" s="417" t="s">
        <v>3405</v>
      </c>
      <c r="C5035" s="417" t="s">
        <v>12545</v>
      </c>
      <c r="D5035" s="417" t="s">
        <v>73</v>
      </c>
      <c r="E5035" s="423">
        <v>1.234874971916838E-2</v>
      </c>
      <c r="F5035" s="423">
        <v>9.3526167915006534E-4</v>
      </c>
      <c r="G5035" s="422">
        <v>37.687396437851348</v>
      </c>
      <c r="H5035" s="417" t="s">
        <v>2616</v>
      </c>
      <c r="I5035" s="417" t="s">
        <v>1392</v>
      </c>
      <c r="J5035" s="417" t="s">
        <v>10580</v>
      </c>
      <c r="K5035" s="417" t="s">
        <v>12546</v>
      </c>
      <c r="L5035" s="417"/>
      <c r="M5035" s="417" t="s">
        <v>28840</v>
      </c>
    </row>
    <row r="5036" spans="1:13" x14ac:dyDescent="0.25">
      <c r="A5036" s="417" t="s">
        <v>3385</v>
      </c>
      <c r="B5036" s="417" t="s">
        <v>3405</v>
      </c>
      <c r="C5036" s="417" t="s">
        <v>12547</v>
      </c>
      <c r="D5036" s="417" t="s">
        <v>73</v>
      </c>
      <c r="E5036" s="423">
        <v>4.0242485414690353E-2</v>
      </c>
      <c r="F5036" s="423">
        <v>8.5298804377765738E-3</v>
      </c>
      <c r="G5036" s="422">
        <v>180.94028520118101</v>
      </c>
      <c r="H5036" s="417" t="s">
        <v>2616</v>
      </c>
      <c r="I5036" s="417" t="s">
        <v>1392</v>
      </c>
      <c r="J5036" s="417" t="s">
        <v>10580</v>
      </c>
      <c r="K5036" s="417" t="s">
        <v>12548</v>
      </c>
      <c r="L5036" s="417"/>
      <c r="M5036" s="417" t="s">
        <v>28840</v>
      </c>
    </row>
    <row r="5037" spans="1:13" x14ac:dyDescent="0.25">
      <c r="A5037" s="417" t="s">
        <v>3385</v>
      </c>
      <c r="B5037" s="417" t="s">
        <v>3405</v>
      </c>
      <c r="C5037" s="417" t="s">
        <v>12549</v>
      </c>
      <c r="D5037" s="417" t="s">
        <v>73</v>
      </c>
      <c r="E5037" s="423">
        <v>4.9173177839983359E-2</v>
      </c>
      <c r="F5037" s="423">
        <v>7.9995147313382843E-3</v>
      </c>
      <c r="G5037" s="422">
        <v>183.31670906038241</v>
      </c>
      <c r="H5037" s="417" t="s">
        <v>2616</v>
      </c>
      <c r="I5037" s="417" t="s">
        <v>1392</v>
      </c>
      <c r="J5037" s="417" t="s">
        <v>10580</v>
      </c>
      <c r="K5037" s="417" t="s">
        <v>12550</v>
      </c>
      <c r="L5037" s="417"/>
      <c r="M5037" s="417" t="s">
        <v>28840</v>
      </c>
    </row>
    <row r="5038" spans="1:13" x14ac:dyDescent="0.25">
      <c r="A5038" s="417" t="s">
        <v>3385</v>
      </c>
      <c r="B5038" s="417" t="s">
        <v>3405</v>
      </c>
      <c r="C5038" s="417" t="s">
        <v>12551</v>
      </c>
      <c r="D5038" s="417" t="s">
        <v>73</v>
      </c>
      <c r="E5038" s="423">
        <v>6.6723153194640519E-2</v>
      </c>
      <c r="F5038" s="423">
        <v>1.911790966554118E-3</v>
      </c>
      <c r="G5038" s="422">
        <v>156.4821588552559</v>
      </c>
      <c r="H5038" s="417" t="s">
        <v>2616</v>
      </c>
      <c r="I5038" s="417" t="s">
        <v>1392</v>
      </c>
      <c r="J5038" s="417" t="s">
        <v>10580</v>
      </c>
      <c r="K5038" s="417" t="s">
        <v>12552</v>
      </c>
      <c r="L5038" s="417"/>
      <c r="M5038" s="417" t="s">
        <v>28840</v>
      </c>
    </row>
    <row r="5039" spans="1:13" x14ac:dyDescent="0.25">
      <c r="A5039" s="417" t="s">
        <v>3385</v>
      </c>
      <c r="B5039" s="417" t="s">
        <v>3405</v>
      </c>
      <c r="C5039" s="417" t="s">
        <v>12553</v>
      </c>
      <c r="D5039" s="417" t="s">
        <v>73</v>
      </c>
      <c r="E5039" s="423">
        <v>6.3448573029826608E-2</v>
      </c>
      <c r="F5039" s="423">
        <v>2.303934131838087E-3</v>
      </c>
      <c r="G5039" s="422">
        <v>156.0128948994367</v>
      </c>
      <c r="H5039" s="417" t="s">
        <v>2616</v>
      </c>
      <c r="I5039" s="417" t="s">
        <v>1392</v>
      </c>
      <c r="J5039" s="417" t="s">
        <v>10580</v>
      </c>
      <c r="K5039" s="417" t="s">
        <v>12554</v>
      </c>
      <c r="L5039" s="417"/>
      <c r="M5039" s="417" t="s">
        <v>28840</v>
      </c>
    </row>
    <row r="5040" spans="1:13" x14ac:dyDescent="0.25">
      <c r="A5040" s="417" t="s">
        <v>3385</v>
      </c>
      <c r="B5040" s="417" t="s">
        <v>3405</v>
      </c>
      <c r="C5040" s="417" t="s">
        <v>12555</v>
      </c>
      <c r="D5040" s="417" t="s">
        <v>73</v>
      </c>
      <c r="E5040" s="423">
        <v>9.4047648200066669E-2</v>
      </c>
      <c r="F5040" s="423">
        <v>5.5960699172311675E-4</v>
      </c>
      <c r="G5040" s="422">
        <v>121.3103528800623</v>
      </c>
      <c r="H5040" s="417" t="s">
        <v>2616</v>
      </c>
      <c r="I5040" s="417" t="s">
        <v>1392</v>
      </c>
      <c r="J5040" s="417" t="s">
        <v>10580</v>
      </c>
      <c r="K5040" s="417" t="s">
        <v>12556</v>
      </c>
      <c r="L5040" s="417"/>
      <c r="M5040" s="417" t="s">
        <v>28840</v>
      </c>
    </row>
    <row r="5041" spans="1:13" x14ac:dyDescent="0.25">
      <c r="A5041" s="417" t="s">
        <v>3385</v>
      </c>
      <c r="B5041" s="417" t="s">
        <v>3405</v>
      </c>
      <c r="C5041" s="417" t="s">
        <v>12557</v>
      </c>
      <c r="D5041" s="417" t="s">
        <v>73</v>
      </c>
      <c r="E5041" s="423">
        <v>9.1958609545959857E-2</v>
      </c>
      <c r="F5041" s="423">
        <v>8.0977716563430426E-4</v>
      </c>
      <c r="G5041" s="422">
        <v>121.01098331495869</v>
      </c>
      <c r="H5041" s="417" t="s">
        <v>2616</v>
      </c>
      <c r="I5041" s="417" t="s">
        <v>1392</v>
      </c>
      <c r="J5041" s="417" t="s">
        <v>10580</v>
      </c>
      <c r="K5041" s="417" t="s">
        <v>12558</v>
      </c>
      <c r="L5041" s="417"/>
      <c r="M5041" s="417" t="s">
        <v>28840</v>
      </c>
    </row>
    <row r="5042" spans="1:13" x14ac:dyDescent="0.25">
      <c r="A5042" s="417" t="s">
        <v>3385</v>
      </c>
      <c r="B5042" s="417" t="s">
        <v>3405</v>
      </c>
      <c r="C5042" s="417" t="s">
        <v>12559</v>
      </c>
      <c r="D5042" s="417" t="s">
        <v>73</v>
      </c>
      <c r="E5042" s="423">
        <v>4.5890836354398987E-2</v>
      </c>
      <c r="F5042" s="423">
        <v>5.7716042603738794E-4</v>
      </c>
      <c r="G5042" s="422">
        <v>73.214629912708318</v>
      </c>
      <c r="H5042" s="417" t="s">
        <v>2616</v>
      </c>
      <c r="I5042" s="417" t="s">
        <v>1392</v>
      </c>
      <c r="J5042" s="417" t="s">
        <v>10580</v>
      </c>
      <c r="K5042" s="417" t="s">
        <v>12560</v>
      </c>
      <c r="L5042" s="417"/>
      <c r="M5042" s="417" t="s">
        <v>28840</v>
      </c>
    </row>
    <row r="5043" spans="1:13" x14ac:dyDescent="0.25">
      <c r="A5043" s="417" t="s">
        <v>3385</v>
      </c>
      <c r="B5043" s="417" t="s">
        <v>3405</v>
      </c>
      <c r="C5043" s="417" t="s">
        <v>12561</v>
      </c>
      <c r="D5043" s="417" t="s">
        <v>73</v>
      </c>
      <c r="E5043" s="423">
        <v>4.3786421704993819E-2</v>
      </c>
      <c r="F5043" s="423">
        <v>8.231576803681708E-4</v>
      </c>
      <c r="G5043" s="422">
        <v>72.832416155017526</v>
      </c>
      <c r="H5043" s="417" t="s">
        <v>2616</v>
      </c>
      <c r="I5043" s="417" t="s">
        <v>1392</v>
      </c>
      <c r="J5043" s="417" t="s">
        <v>10580</v>
      </c>
      <c r="K5043" s="417" t="s">
        <v>12562</v>
      </c>
      <c r="L5043" s="417"/>
      <c r="M5043" s="417" t="s">
        <v>28840</v>
      </c>
    </row>
    <row r="5044" spans="1:13" x14ac:dyDescent="0.25">
      <c r="A5044" s="417" t="s">
        <v>3385</v>
      </c>
      <c r="B5044" s="417" t="s">
        <v>3405</v>
      </c>
      <c r="C5044" s="417" t="s">
        <v>12563</v>
      </c>
      <c r="D5044" s="417" t="s">
        <v>73</v>
      </c>
      <c r="E5044" s="423">
        <v>5.9521534751362543E-2</v>
      </c>
      <c r="F5044" s="423">
        <v>1.0794452468009809E-2</v>
      </c>
      <c r="G5044" s="422">
        <v>239.3916238649048</v>
      </c>
      <c r="H5044" s="417" t="s">
        <v>2616</v>
      </c>
      <c r="I5044" s="417" t="s">
        <v>1392</v>
      </c>
      <c r="J5044" s="417" t="s">
        <v>10580</v>
      </c>
      <c r="K5044" s="417" t="s">
        <v>12564</v>
      </c>
      <c r="L5044" s="417"/>
      <c r="M5044" s="417" t="s">
        <v>28840</v>
      </c>
    </row>
    <row r="5045" spans="1:13" x14ac:dyDescent="0.25">
      <c r="A5045" s="417" t="s">
        <v>3385</v>
      </c>
      <c r="B5045" s="417" t="s">
        <v>3405</v>
      </c>
      <c r="C5045" s="417" t="s">
        <v>12565</v>
      </c>
      <c r="D5045" s="417" t="s">
        <v>73</v>
      </c>
      <c r="E5045" s="423">
        <v>5.9535965571980487E-2</v>
      </c>
      <c r="F5045" s="423">
        <v>1.1089154563632009E-2</v>
      </c>
      <c r="G5045" s="422">
        <v>242.80916716391101</v>
      </c>
      <c r="H5045" s="417" t="s">
        <v>2616</v>
      </c>
      <c r="I5045" s="417" t="s">
        <v>1392</v>
      </c>
      <c r="J5045" s="417" t="s">
        <v>10580</v>
      </c>
      <c r="K5045" s="417" t="s">
        <v>12566</v>
      </c>
      <c r="L5045" s="417"/>
      <c r="M5045" s="417" t="s">
        <v>28840</v>
      </c>
    </row>
    <row r="5046" spans="1:13" x14ac:dyDescent="0.25">
      <c r="A5046" s="417" t="s">
        <v>3385</v>
      </c>
      <c r="B5046" s="417" t="s">
        <v>3405</v>
      </c>
      <c r="C5046" s="417" t="s">
        <v>12567</v>
      </c>
      <c r="D5046" s="417" t="s">
        <v>73</v>
      </c>
      <c r="E5046" s="423">
        <v>5.5559585182495812E-2</v>
      </c>
      <c r="F5046" s="423">
        <v>9.621810528603102E-3</v>
      </c>
      <c r="G5046" s="422">
        <v>215.15115790539201</v>
      </c>
      <c r="H5046" s="417" t="s">
        <v>2616</v>
      </c>
      <c r="I5046" s="417" t="s">
        <v>1392</v>
      </c>
      <c r="J5046" s="417" t="s">
        <v>10580</v>
      </c>
      <c r="K5046" s="417" t="s">
        <v>12568</v>
      </c>
      <c r="L5046" s="417"/>
      <c r="M5046" s="417" t="s">
        <v>28840</v>
      </c>
    </row>
    <row r="5047" spans="1:13" x14ac:dyDescent="0.25">
      <c r="A5047" s="417" t="s">
        <v>3385</v>
      </c>
      <c r="B5047" s="417" t="s">
        <v>3405</v>
      </c>
      <c r="C5047" s="417" t="s">
        <v>12569</v>
      </c>
      <c r="D5047" s="417" t="s">
        <v>73</v>
      </c>
      <c r="E5047" s="423">
        <v>6.4722290599901505E-2</v>
      </c>
      <c r="F5047" s="423">
        <v>9.0776663021817881E-3</v>
      </c>
      <c r="G5047" s="422">
        <v>217.58931370948</v>
      </c>
      <c r="H5047" s="417" t="s">
        <v>2616</v>
      </c>
      <c r="I5047" s="417" t="s">
        <v>1392</v>
      </c>
      <c r="J5047" s="417" t="s">
        <v>10580</v>
      </c>
      <c r="K5047" s="417" t="s">
        <v>12570</v>
      </c>
      <c r="L5047" s="417"/>
      <c r="M5047" s="417" t="s">
        <v>28840</v>
      </c>
    </row>
    <row r="5048" spans="1:13" x14ac:dyDescent="0.25">
      <c r="A5048" s="417" t="s">
        <v>3385</v>
      </c>
      <c r="B5048" s="417" t="s">
        <v>3405</v>
      </c>
      <c r="C5048" s="417" t="s">
        <v>12571</v>
      </c>
      <c r="D5048" s="417" t="s">
        <v>73</v>
      </c>
      <c r="E5048" s="423">
        <v>5.8598044632944497E-2</v>
      </c>
      <c r="F5048" s="423">
        <v>1.110211038172141E-2</v>
      </c>
      <c r="G5048" s="422">
        <v>243.47737606061719</v>
      </c>
      <c r="H5048" s="417" t="s">
        <v>2616</v>
      </c>
      <c r="I5048" s="417" t="s">
        <v>1392</v>
      </c>
      <c r="J5048" s="417" t="s">
        <v>10580</v>
      </c>
      <c r="K5048" s="417" t="s">
        <v>12572</v>
      </c>
      <c r="L5048" s="417"/>
      <c r="M5048" s="417" t="s">
        <v>28840</v>
      </c>
    </row>
    <row r="5049" spans="1:13" x14ac:dyDescent="0.25">
      <c r="A5049" s="417" t="s">
        <v>3385</v>
      </c>
      <c r="B5049" s="417" t="s">
        <v>3405</v>
      </c>
      <c r="C5049" s="417" t="s">
        <v>12573</v>
      </c>
      <c r="D5049" s="417" t="s">
        <v>73</v>
      </c>
      <c r="E5049" s="423">
        <v>2.0926512221130081E-2</v>
      </c>
      <c r="F5049" s="423">
        <v>1.8380284295019481E-4</v>
      </c>
      <c r="G5049" s="422">
        <v>28.065767337995499</v>
      </c>
      <c r="H5049" s="417" t="s">
        <v>2616</v>
      </c>
      <c r="I5049" s="417" t="s">
        <v>1392</v>
      </c>
      <c r="J5049" s="417" t="s">
        <v>10580</v>
      </c>
      <c r="K5049" s="417" t="s">
        <v>12574</v>
      </c>
      <c r="L5049" s="417"/>
      <c r="M5049" s="417" t="s">
        <v>28840</v>
      </c>
    </row>
    <row r="5050" spans="1:13" x14ac:dyDescent="0.25">
      <c r="A5050" s="417" t="s">
        <v>3385</v>
      </c>
      <c r="B5050" s="417" t="s">
        <v>3405</v>
      </c>
      <c r="C5050" s="417" t="s">
        <v>12575</v>
      </c>
      <c r="D5050" s="417" t="s">
        <v>73</v>
      </c>
      <c r="E5050" s="423">
        <v>6.3483246330150204E-3</v>
      </c>
      <c r="F5050" s="423">
        <v>1.81445306390315E-4</v>
      </c>
      <c r="G5050" s="422">
        <v>13.119745160463291</v>
      </c>
      <c r="H5050" s="417" t="s">
        <v>2616</v>
      </c>
      <c r="I5050" s="417" t="s">
        <v>1392</v>
      </c>
      <c r="J5050" s="417" t="s">
        <v>10580</v>
      </c>
      <c r="K5050" s="417" t="s">
        <v>12576</v>
      </c>
      <c r="L5050" s="417"/>
      <c r="M5050" s="417" t="s">
        <v>28840</v>
      </c>
    </row>
    <row r="5051" spans="1:13" x14ac:dyDescent="0.25">
      <c r="A5051" s="417" t="s">
        <v>3385</v>
      </c>
      <c r="B5051" s="417" t="s">
        <v>3405</v>
      </c>
      <c r="C5051" s="417" t="s">
        <v>12577</v>
      </c>
      <c r="D5051" s="417" t="s">
        <v>73</v>
      </c>
      <c r="E5051" s="423">
        <v>9.4880230124848013E-3</v>
      </c>
      <c r="F5051" s="423">
        <v>2.1308995878422201E-3</v>
      </c>
      <c r="G5051" s="422">
        <v>44.889166872652737</v>
      </c>
      <c r="H5051" s="417" t="s">
        <v>2616</v>
      </c>
      <c r="I5051" s="417" t="s">
        <v>1392</v>
      </c>
      <c r="J5051" s="417" t="s">
        <v>10580</v>
      </c>
      <c r="K5051" s="417" t="s">
        <v>12578</v>
      </c>
      <c r="L5051" s="417"/>
      <c r="M5051" s="417" t="s">
        <v>28840</v>
      </c>
    </row>
    <row r="5052" spans="1:13" x14ac:dyDescent="0.25">
      <c r="A5052" s="417" t="s">
        <v>3385</v>
      </c>
      <c r="B5052" s="417" t="s">
        <v>3405</v>
      </c>
      <c r="C5052" s="417" t="s">
        <v>12579</v>
      </c>
      <c r="D5052" s="417" t="s">
        <v>73</v>
      </c>
      <c r="E5052" s="423">
        <v>9.7575372487369201E-3</v>
      </c>
      <c r="F5052" s="423">
        <v>2.202721076256318E-3</v>
      </c>
      <c r="G5052" s="422">
        <v>46.15391091006498</v>
      </c>
      <c r="H5052" s="417" t="s">
        <v>2616</v>
      </c>
      <c r="I5052" s="417" t="s">
        <v>1392</v>
      </c>
      <c r="J5052" s="417" t="s">
        <v>10580</v>
      </c>
      <c r="K5052" s="417" t="s">
        <v>12580</v>
      </c>
      <c r="L5052" s="417"/>
      <c r="M5052" s="417" t="s">
        <v>28840</v>
      </c>
    </row>
    <row r="5053" spans="1:13" x14ac:dyDescent="0.25">
      <c r="A5053" s="417" t="s">
        <v>3385</v>
      </c>
      <c r="B5053" s="417" t="s">
        <v>3405</v>
      </c>
      <c r="C5053" s="417" t="s">
        <v>12581</v>
      </c>
      <c r="D5053" s="417" t="s">
        <v>73</v>
      </c>
      <c r="E5053" s="423">
        <v>2.7207532522927399E-3</v>
      </c>
      <c r="F5053" s="423">
        <v>2.037648837747794E-4</v>
      </c>
      <c r="G5053" s="422">
        <v>8.453021599873658</v>
      </c>
      <c r="H5053" s="417" t="s">
        <v>2616</v>
      </c>
      <c r="I5053" s="417" t="s">
        <v>1392</v>
      </c>
      <c r="J5053" s="417" t="s">
        <v>10580</v>
      </c>
      <c r="K5053" s="417" t="s">
        <v>12582</v>
      </c>
      <c r="L5053" s="417"/>
      <c r="M5053" s="417" t="s">
        <v>28840</v>
      </c>
    </row>
    <row r="5054" spans="1:13" x14ac:dyDescent="0.25">
      <c r="A5054" s="417" t="s">
        <v>3385</v>
      </c>
      <c r="B5054" s="417" t="s">
        <v>3405</v>
      </c>
      <c r="C5054" s="417" t="s">
        <v>12583</v>
      </c>
      <c r="D5054" s="417" t="s">
        <v>73</v>
      </c>
      <c r="E5054" s="423">
        <v>8.8991339729456147E-3</v>
      </c>
      <c r="F5054" s="423">
        <v>1.8859506849026879E-3</v>
      </c>
      <c r="G5054" s="422">
        <v>40.183117551213002</v>
      </c>
      <c r="H5054" s="417" t="s">
        <v>2616</v>
      </c>
      <c r="I5054" s="417" t="s">
        <v>1392</v>
      </c>
      <c r="J5054" s="417" t="s">
        <v>10580</v>
      </c>
      <c r="K5054" s="417" t="s">
        <v>12584</v>
      </c>
      <c r="L5054" s="417"/>
      <c r="M5054" s="417" t="s">
        <v>28840</v>
      </c>
    </row>
    <row r="5055" spans="1:13" x14ac:dyDescent="0.25">
      <c r="A5055" s="417" t="s">
        <v>3385</v>
      </c>
      <c r="B5055" s="417" t="s">
        <v>3405</v>
      </c>
      <c r="C5055" s="417" t="s">
        <v>12585</v>
      </c>
      <c r="D5055" s="417" t="s">
        <v>73</v>
      </c>
      <c r="E5055" s="423">
        <v>1.0877256171879309E-2</v>
      </c>
      <c r="F5055" s="423">
        <v>1.7684762350626069E-3</v>
      </c>
      <c r="G5055" s="422">
        <v>40.709487481977781</v>
      </c>
      <c r="H5055" s="417" t="s">
        <v>2616</v>
      </c>
      <c r="I5055" s="417" t="s">
        <v>1392</v>
      </c>
      <c r="J5055" s="417" t="s">
        <v>10580</v>
      </c>
      <c r="K5055" s="417" t="s">
        <v>12586</v>
      </c>
      <c r="L5055" s="417"/>
      <c r="M5055" s="417" t="s">
        <v>28840</v>
      </c>
    </row>
    <row r="5056" spans="1:13" x14ac:dyDescent="0.25">
      <c r="A5056" s="417" t="s">
        <v>3385</v>
      </c>
      <c r="B5056" s="417" t="s">
        <v>3405</v>
      </c>
      <c r="C5056" s="417" t="s">
        <v>12587</v>
      </c>
      <c r="D5056" s="417" t="s">
        <v>73</v>
      </c>
      <c r="E5056" s="423">
        <v>1.476452429344092E-2</v>
      </c>
      <c r="F5056" s="423">
        <v>4.2006325949449223E-4</v>
      </c>
      <c r="G5056" s="422">
        <v>34.765713350661869</v>
      </c>
      <c r="H5056" s="417" t="s">
        <v>2616</v>
      </c>
      <c r="I5056" s="417" t="s">
        <v>1392</v>
      </c>
      <c r="J5056" s="417" t="s">
        <v>10580</v>
      </c>
      <c r="K5056" s="417" t="s">
        <v>12588</v>
      </c>
      <c r="L5056" s="417"/>
      <c r="M5056" s="417" t="s">
        <v>28840</v>
      </c>
    </row>
    <row r="5057" spans="1:13" x14ac:dyDescent="0.25">
      <c r="A5057" s="417" t="s">
        <v>3385</v>
      </c>
      <c r="B5057" s="417" t="s">
        <v>3405</v>
      </c>
      <c r="C5057" s="417" t="s">
        <v>12589</v>
      </c>
      <c r="D5057" s="417" t="s">
        <v>73</v>
      </c>
      <c r="E5057" s="423">
        <v>1.403921438353959E-2</v>
      </c>
      <c r="F5057" s="423">
        <v>5.069218215543105E-4</v>
      </c>
      <c r="G5057" s="422">
        <v>34.661772803589344</v>
      </c>
      <c r="H5057" s="417" t="s">
        <v>2616</v>
      </c>
      <c r="I5057" s="417" t="s">
        <v>1392</v>
      </c>
      <c r="J5057" s="417" t="s">
        <v>10580</v>
      </c>
      <c r="K5057" s="417" t="s">
        <v>12590</v>
      </c>
      <c r="L5057" s="417"/>
      <c r="M5057" s="417" t="s">
        <v>28840</v>
      </c>
    </row>
    <row r="5058" spans="1:13" x14ac:dyDescent="0.25">
      <c r="A5058" s="417" t="s">
        <v>3385</v>
      </c>
      <c r="B5058" s="417" t="s">
        <v>3405</v>
      </c>
      <c r="C5058" s="417" t="s">
        <v>12591</v>
      </c>
      <c r="D5058" s="417" t="s">
        <v>73</v>
      </c>
      <c r="E5058" s="423">
        <v>2.081681987249738E-2</v>
      </c>
      <c r="F5058" s="423">
        <v>1.205584712562907E-4</v>
      </c>
      <c r="G5058" s="422">
        <v>26.975261415361999</v>
      </c>
      <c r="H5058" s="417" t="s">
        <v>2616</v>
      </c>
      <c r="I5058" s="417" t="s">
        <v>1392</v>
      </c>
      <c r="J5058" s="417" t="s">
        <v>10580</v>
      </c>
      <c r="K5058" s="417" t="s">
        <v>12592</v>
      </c>
      <c r="L5058" s="417"/>
      <c r="M5058" s="417" t="s">
        <v>28840</v>
      </c>
    </row>
    <row r="5059" spans="1:13" x14ac:dyDescent="0.25">
      <c r="A5059" s="417" t="s">
        <v>3385</v>
      </c>
      <c r="B5059" s="417" t="s">
        <v>3405</v>
      </c>
      <c r="C5059" s="417" t="s">
        <v>12593</v>
      </c>
      <c r="D5059" s="417" t="s">
        <v>73</v>
      </c>
      <c r="E5059" s="423">
        <v>2.0354103932660659E-2</v>
      </c>
      <c r="F5059" s="423">
        <v>1.7597043171324161E-4</v>
      </c>
      <c r="G5059" s="422">
        <v>26.908951943172099</v>
      </c>
      <c r="H5059" s="417" t="s">
        <v>2616</v>
      </c>
      <c r="I5059" s="417" t="s">
        <v>1392</v>
      </c>
      <c r="J5059" s="417" t="s">
        <v>10580</v>
      </c>
      <c r="K5059" s="417" t="s">
        <v>12594</v>
      </c>
      <c r="L5059" s="417"/>
      <c r="M5059" s="417" t="s">
        <v>28840</v>
      </c>
    </row>
    <row r="5060" spans="1:13" x14ac:dyDescent="0.25">
      <c r="A5060" s="417" t="s">
        <v>3385</v>
      </c>
      <c r="B5060" s="417" t="s">
        <v>3405</v>
      </c>
      <c r="C5060" s="417" t="s">
        <v>12595</v>
      </c>
      <c r="D5060" s="417" t="s">
        <v>73</v>
      </c>
      <c r="E5060" s="423">
        <v>1.0150227158397951E-2</v>
      </c>
      <c r="F5060" s="423">
        <v>1.2444650552505019E-4</v>
      </c>
      <c r="G5060" s="422">
        <v>16.322199692053861</v>
      </c>
      <c r="H5060" s="417" t="s">
        <v>2616</v>
      </c>
      <c r="I5060" s="417" t="s">
        <v>1392</v>
      </c>
      <c r="J5060" s="417" t="s">
        <v>10580</v>
      </c>
      <c r="K5060" s="417" t="s">
        <v>12596</v>
      </c>
      <c r="L5060" s="417"/>
      <c r="M5060" s="417" t="s">
        <v>28840</v>
      </c>
    </row>
    <row r="5061" spans="1:13" x14ac:dyDescent="0.25">
      <c r="A5061" s="417" t="s">
        <v>3385</v>
      </c>
      <c r="B5061" s="417" t="s">
        <v>3405</v>
      </c>
      <c r="C5061" s="417" t="s">
        <v>12597</v>
      </c>
      <c r="D5061" s="417" t="s">
        <v>73</v>
      </c>
      <c r="E5061" s="423">
        <v>9.6841054795977401E-3</v>
      </c>
      <c r="F5061" s="423">
        <v>1.789341765302229E-4</v>
      </c>
      <c r="G5061" s="422">
        <v>16.23754046201709</v>
      </c>
      <c r="H5061" s="417" t="s">
        <v>2616</v>
      </c>
      <c r="I5061" s="417" t="s">
        <v>1392</v>
      </c>
      <c r="J5061" s="417" t="s">
        <v>10580</v>
      </c>
      <c r="K5061" s="417" t="s">
        <v>12598</v>
      </c>
      <c r="L5061" s="417"/>
      <c r="M5061" s="417" t="s">
        <v>28840</v>
      </c>
    </row>
    <row r="5062" spans="1:13" x14ac:dyDescent="0.25">
      <c r="A5062" s="417" t="s">
        <v>3385</v>
      </c>
      <c r="B5062" s="417" t="s">
        <v>3405</v>
      </c>
      <c r="C5062" s="417" t="s">
        <v>12599</v>
      </c>
      <c r="D5062" s="417" t="s">
        <v>73</v>
      </c>
      <c r="E5062" s="423">
        <v>1.293227010316479E-2</v>
      </c>
      <c r="F5062" s="423">
        <v>2.3802469978598442E-3</v>
      </c>
      <c r="G5062" s="422">
        <v>52.660869906070843</v>
      </c>
      <c r="H5062" s="417" t="s">
        <v>2616</v>
      </c>
      <c r="I5062" s="417" t="s">
        <v>1392</v>
      </c>
      <c r="J5062" s="417" t="s">
        <v>10580</v>
      </c>
      <c r="K5062" s="417" t="s">
        <v>12600</v>
      </c>
      <c r="L5062" s="417"/>
      <c r="M5062" s="417" t="s">
        <v>28840</v>
      </c>
    </row>
    <row r="5063" spans="1:13" x14ac:dyDescent="0.25">
      <c r="A5063" s="417" t="s">
        <v>3385</v>
      </c>
      <c r="B5063" s="417" t="s">
        <v>3405</v>
      </c>
      <c r="C5063" s="417" t="s">
        <v>12601</v>
      </c>
      <c r="D5063" s="417" t="s">
        <v>73</v>
      </c>
      <c r="E5063" s="423">
        <v>1.317250082335115E-2</v>
      </c>
      <c r="F5063" s="423">
        <v>2.4528192469378822E-3</v>
      </c>
      <c r="G5063" s="422">
        <v>53.886721348473273</v>
      </c>
      <c r="H5063" s="417" t="s">
        <v>2616</v>
      </c>
      <c r="I5063" s="417" t="s">
        <v>1392</v>
      </c>
      <c r="J5063" s="417" t="s">
        <v>10580</v>
      </c>
      <c r="K5063" s="417" t="s">
        <v>12602</v>
      </c>
      <c r="L5063" s="417"/>
      <c r="M5063" s="417" t="s">
        <v>28840</v>
      </c>
    </row>
    <row r="5064" spans="1:13" x14ac:dyDescent="0.25">
      <c r="A5064" s="417" t="s">
        <v>3385</v>
      </c>
      <c r="B5064" s="417" t="s">
        <v>3405</v>
      </c>
      <c r="C5064" s="417" t="s">
        <v>12603</v>
      </c>
      <c r="D5064" s="417" t="s">
        <v>73</v>
      </c>
      <c r="E5064" s="423">
        <v>1.2291744479019651E-2</v>
      </c>
      <c r="F5064" s="423">
        <v>2.127806941211455E-3</v>
      </c>
      <c r="G5064" s="422">
        <v>47.760554454401792</v>
      </c>
      <c r="H5064" s="417" t="s">
        <v>2616</v>
      </c>
      <c r="I5064" s="417" t="s">
        <v>1392</v>
      </c>
      <c r="J5064" s="417" t="s">
        <v>10580</v>
      </c>
      <c r="K5064" s="417" t="s">
        <v>12604</v>
      </c>
      <c r="L5064" s="417"/>
      <c r="M5064" s="417" t="s">
        <v>28840</v>
      </c>
    </row>
    <row r="5065" spans="1:13" x14ac:dyDescent="0.25">
      <c r="A5065" s="417" t="s">
        <v>3385</v>
      </c>
      <c r="B5065" s="417" t="s">
        <v>3405</v>
      </c>
      <c r="C5065" s="417" t="s">
        <v>12605</v>
      </c>
      <c r="D5065" s="417" t="s">
        <v>73</v>
      </c>
      <c r="E5065" s="423">
        <v>1.432125628094571E-2</v>
      </c>
      <c r="F5065" s="423">
        <v>2.0072806258577239E-3</v>
      </c>
      <c r="G5065" s="422">
        <v>48.300599151109139</v>
      </c>
      <c r="H5065" s="417" t="s">
        <v>2616</v>
      </c>
      <c r="I5065" s="417" t="s">
        <v>1392</v>
      </c>
      <c r="J5065" s="417" t="s">
        <v>10580</v>
      </c>
      <c r="K5065" s="417" t="s">
        <v>12606</v>
      </c>
      <c r="L5065" s="417"/>
      <c r="M5065" s="417" t="s">
        <v>28840</v>
      </c>
    </row>
    <row r="5066" spans="1:13" x14ac:dyDescent="0.25">
      <c r="A5066" s="417" t="s">
        <v>3385</v>
      </c>
      <c r="B5066" s="417" t="s">
        <v>3405</v>
      </c>
      <c r="C5066" s="417" t="s">
        <v>12607</v>
      </c>
      <c r="D5066" s="417" t="s">
        <v>73</v>
      </c>
      <c r="E5066" s="423">
        <v>0.13049062840175801</v>
      </c>
      <c r="F5066" s="423">
        <v>1.82106697665236E-2</v>
      </c>
      <c r="G5066" s="422">
        <v>406.02941823506961</v>
      </c>
      <c r="H5066" s="417" t="s">
        <v>2616</v>
      </c>
      <c r="I5066" s="417" t="s">
        <v>1392</v>
      </c>
      <c r="J5066" s="417" t="s">
        <v>10580</v>
      </c>
      <c r="K5066" s="417" t="s">
        <v>12608</v>
      </c>
      <c r="L5066" s="417"/>
      <c r="M5066" s="417" t="s">
        <v>28840</v>
      </c>
    </row>
    <row r="5067" spans="1:13" x14ac:dyDescent="0.25">
      <c r="A5067" s="417" t="s">
        <v>3385</v>
      </c>
      <c r="B5067" s="417" t="s">
        <v>3405</v>
      </c>
      <c r="C5067" s="417" t="s">
        <v>12609</v>
      </c>
      <c r="D5067" s="417" t="s">
        <v>73</v>
      </c>
      <c r="E5067" s="423">
        <v>0.13877318125673341</v>
      </c>
      <c r="F5067" s="423">
        <v>0.1018914597751886</v>
      </c>
      <c r="G5067" s="422">
        <v>430.60680619369748</v>
      </c>
      <c r="H5067" s="417" t="s">
        <v>2616</v>
      </c>
      <c r="I5067" s="417" t="s">
        <v>1392</v>
      </c>
      <c r="J5067" s="417" t="s">
        <v>10580</v>
      </c>
      <c r="K5067" s="417" t="s">
        <v>12610</v>
      </c>
      <c r="L5067" s="417"/>
      <c r="M5067" s="417" t="s">
        <v>28840</v>
      </c>
    </row>
    <row r="5068" spans="1:13" x14ac:dyDescent="0.25">
      <c r="A5068" s="417" t="s">
        <v>3385</v>
      </c>
      <c r="B5068" s="417" t="s">
        <v>3405</v>
      </c>
      <c r="C5068" s="417" t="s">
        <v>12611</v>
      </c>
      <c r="D5068" s="417" t="s">
        <v>73</v>
      </c>
      <c r="E5068" s="423">
        <v>0.12945777280002371</v>
      </c>
      <c r="F5068" s="423">
        <v>2.5061259795609948E-2</v>
      </c>
      <c r="G5068" s="422">
        <v>406.36262002040252</v>
      </c>
      <c r="H5068" s="417" t="s">
        <v>2616</v>
      </c>
      <c r="I5068" s="417" t="s">
        <v>1392</v>
      </c>
      <c r="J5068" s="417" t="s">
        <v>10580</v>
      </c>
      <c r="K5068" s="417" t="s">
        <v>12612</v>
      </c>
      <c r="L5068" s="417"/>
      <c r="M5068" s="417" t="s">
        <v>28840</v>
      </c>
    </row>
    <row r="5069" spans="1:13" x14ac:dyDescent="0.25">
      <c r="A5069" s="417" t="s">
        <v>3385</v>
      </c>
      <c r="B5069" s="417" t="s">
        <v>3405</v>
      </c>
      <c r="C5069" s="417" t="s">
        <v>12613</v>
      </c>
      <c r="D5069" s="417" t="s">
        <v>73</v>
      </c>
      <c r="E5069" s="423">
        <v>0.1046759551824729</v>
      </c>
      <c r="F5069" s="423">
        <v>2.4952811179032999E-2</v>
      </c>
      <c r="G5069" s="422">
        <v>375.16318537138568</v>
      </c>
      <c r="H5069" s="417" t="s">
        <v>2616</v>
      </c>
      <c r="I5069" s="417" t="s">
        <v>1392</v>
      </c>
      <c r="J5069" s="417" t="s">
        <v>10580</v>
      </c>
      <c r="K5069" s="417" t="s">
        <v>12614</v>
      </c>
      <c r="L5069" s="417"/>
      <c r="M5069" s="417" t="s">
        <v>28840</v>
      </c>
    </row>
    <row r="5070" spans="1:13" x14ac:dyDescent="0.25">
      <c r="A5070" s="417" t="s">
        <v>3385</v>
      </c>
      <c r="B5070" s="417" t="s">
        <v>3405</v>
      </c>
      <c r="C5070" s="417" t="s">
        <v>12615</v>
      </c>
      <c r="D5070" s="417" t="s">
        <v>73</v>
      </c>
      <c r="E5070" s="423">
        <v>9.6532091105250614E-2</v>
      </c>
      <c r="F5070" s="423">
        <v>8.9699784530932553E-2</v>
      </c>
      <c r="G5070" s="422">
        <v>202.09751207859929</v>
      </c>
      <c r="H5070" s="417" t="s">
        <v>2616</v>
      </c>
      <c r="I5070" s="417" t="s">
        <v>1392</v>
      </c>
      <c r="J5070" s="417" t="s">
        <v>10580</v>
      </c>
      <c r="K5070" s="417" t="s">
        <v>12616</v>
      </c>
      <c r="L5070" s="417"/>
      <c r="M5070" s="417" t="s">
        <v>28840</v>
      </c>
    </row>
    <row r="5071" spans="1:13" x14ac:dyDescent="0.25">
      <c r="A5071" s="417" t="s">
        <v>3385</v>
      </c>
      <c r="B5071" s="417" t="s">
        <v>3405</v>
      </c>
      <c r="C5071" s="417" t="s">
        <v>12617</v>
      </c>
      <c r="D5071" s="417" t="s">
        <v>73</v>
      </c>
      <c r="E5071" s="423">
        <v>8.7695840285269916E-2</v>
      </c>
      <c r="F5071" s="423">
        <v>1.6592766500854419E-2</v>
      </c>
      <c r="G5071" s="422">
        <v>335.32233683441501</v>
      </c>
      <c r="H5071" s="417" t="s">
        <v>2616</v>
      </c>
      <c r="I5071" s="417" t="s">
        <v>1392</v>
      </c>
      <c r="J5071" s="417" t="s">
        <v>10580</v>
      </c>
      <c r="K5071" s="417" t="s">
        <v>12618</v>
      </c>
      <c r="L5071" s="417"/>
      <c r="M5071" s="417" t="s">
        <v>28840</v>
      </c>
    </row>
    <row r="5072" spans="1:13" x14ac:dyDescent="0.25">
      <c r="A5072" s="417" t="s">
        <v>3385</v>
      </c>
      <c r="B5072" s="417" t="s">
        <v>3405</v>
      </c>
      <c r="C5072" s="417" t="s">
        <v>12619</v>
      </c>
      <c r="D5072" s="417" t="s">
        <v>73</v>
      </c>
      <c r="E5072" s="423">
        <v>9.290114371002918E-2</v>
      </c>
      <c r="F5072" s="423">
        <v>6.8944964870671158E-2</v>
      </c>
      <c r="G5072" s="422">
        <v>351.23640400390349</v>
      </c>
      <c r="H5072" s="417" t="s">
        <v>2616</v>
      </c>
      <c r="I5072" s="417" t="s">
        <v>1392</v>
      </c>
      <c r="J5072" s="417" t="s">
        <v>10580</v>
      </c>
      <c r="K5072" s="417" t="s">
        <v>12620</v>
      </c>
      <c r="L5072" s="417"/>
      <c r="M5072" s="417" t="s">
        <v>28840</v>
      </c>
    </row>
    <row r="5073" spans="1:13" x14ac:dyDescent="0.25">
      <c r="A5073" s="417" t="s">
        <v>3385</v>
      </c>
      <c r="B5073" s="417" t="s">
        <v>3405</v>
      </c>
      <c r="C5073" s="417" t="s">
        <v>12621</v>
      </c>
      <c r="D5073" s="417" t="s">
        <v>73</v>
      </c>
      <c r="E5073" s="423">
        <v>8.694798340181692E-2</v>
      </c>
      <c r="F5073" s="423">
        <v>2.1073508552878852E-2</v>
      </c>
      <c r="G5073" s="422">
        <v>335.49272435366498</v>
      </c>
      <c r="H5073" s="417" t="s">
        <v>2616</v>
      </c>
      <c r="I5073" s="417" t="s">
        <v>1392</v>
      </c>
      <c r="J5073" s="417" t="s">
        <v>10580</v>
      </c>
      <c r="K5073" s="417" t="s">
        <v>12622</v>
      </c>
      <c r="L5073" s="417"/>
      <c r="M5073" s="417" t="s">
        <v>28840</v>
      </c>
    </row>
    <row r="5074" spans="1:13" x14ac:dyDescent="0.25">
      <c r="A5074" s="417" t="s">
        <v>3385</v>
      </c>
      <c r="B5074" s="417" t="s">
        <v>3405</v>
      </c>
      <c r="C5074" s="417" t="s">
        <v>12623</v>
      </c>
      <c r="D5074" s="417" t="s">
        <v>73</v>
      </c>
      <c r="E5074" s="423">
        <v>7.0739024489843899E-2</v>
      </c>
      <c r="F5074" s="423">
        <v>2.1002575937980411E-2</v>
      </c>
      <c r="G5074" s="422">
        <v>315.08626622565959</v>
      </c>
      <c r="H5074" s="417" t="s">
        <v>2616</v>
      </c>
      <c r="I5074" s="417" t="s">
        <v>1392</v>
      </c>
      <c r="J5074" s="417" t="s">
        <v>10580</v>
      </c>
      <c r="K5074" s="417" t="s">
        <v>12624</v>
      </c>
      <c r="L5074" s="417"/>
      <c r="M5074" s="417" t="s">
        <v>28840</v>
      </c>
    </row>
    <row r="5075" spans="1:13" x14ac:dyDescent="0.25">
      <c r="A5075" s="417" t="s">
        <v>3385</v>
      </c>
      <c r="B5075" s="417" t="s">
        <v>3405</v>
      </c>
      <c r="C5075" s="417" t="s">
        <v>12625</v>
      </c>
      <c r="D5075" s="417" t="s">
        <v>73</v>
      </c>
      <c r="E5075" s="423">
        <v>5.5068918130786911E-2</v>
      </c>
      <c r="F5075" s="423">
        <v>5.8025781518741069E-2</v>
      </c>
      <c r="G5075" s="422">
        <v>146.57749906692709</v>
      </c>
      <c r="H5075" s="417" t="s">
        <v>2616</v>
      </c>
      <c r="I5075" s="417" t="s">
        <v>1392</v>
      </c>
      <c r="J5075" s="417" t="s">
        <v>10580</v>
      </c>
      <c r="K5075" s="417" t="s">
        <v>12626</v>
      </c>
      <c r="L5075" s="417"/>
      <c r="M5075" s="417" t="s">
        <v>28840</v>
      </c>
    </row>
    <row r="5076" spans="1:13" x14ac:dyDescent="0.25">
      <c r="A5076" s="417" t="s">
        <v>3385</v>
      </c>
      <c r="B5076" s="417" t="s">
        <v>3405</v>
      </c>
      <c r="C5076" s="417" t="s">
        <v>12627</v>
      </c>
      <c r="D5076" s="417" t="s">
        <v>73</v>
      </c>
      <c r="E5076" s="423">
        <v>8.1287724086943958E-2</v>
      </c>
      <c r="F5076" s="423">
        <v>1.289265303868313E-2</v>
      </c>
      <c r="G5076" s="422">
        <v>288.12931620869023</v>
      </c>
      <c r="H5076" s="417" t="s">
        <v>2616</v>
      </c>
      <c r="I5076" s="417" t="s">
        <v>1392</v>
      </c>
      <c r="J5076" s="417" t="s">
        <v>10580</v>
      </c>
      <c r="K5076" s="417" t="s">
        <v>12628</v>
      </c>
      <c r="L5076" s="417"/>
      <c r="M5076" s="417" t="s">
        <v>28840</v>
      </c>
    </row>
    <row r="5077" spans="1:13" x14ac:dyDescent="0.25">
      <c r="A5077" s="417" t="s">
        <v>3385</v>
      </c>
      <c r="B5077" s="417" t="s">
        <v>3405</v>
      </c>
      <c r="C5077" s="417" t="s">
        <v>12629</v>
      </c>
      <c r="D5077" s="417" t="s">
        <v>73</v>
      </c>
      <c r="E5077" s="423">
        <v>8.6493021253626706E-2</v>
      </c>
      <c r="F5077" s="423">
        <v>6.5244847718761073E-2</v>
      </c>
      <c r="G5077" s="422">
        <v>304.04333241512597</v>
      </c>
      <c r="H5077" s="417" t="s">
        <v>2616</v>
      </c>
      <c r="I5077" s="417" t="s">
        <v>1392</v>
      </c>
      <c r="J5077" s="417" t="s">
        <v>10580</v>
      </c>
      <c r="K5077" s="417" t="s">
        <v>12630</v>
      </c>
      <c r="L5077" s="417"/>
      <c r="M5077" s="417" t="s">
        <v>28840</v>
      </c>
    </row>
    <row r="5078" spans="1:13" x14ac:dyDescent="0.25">
      <c r="A5078" s="417" t="s">
        <v>3385</v>
      </c>
      <c r="B5078" s="417" t="s">
        <v>3405</v>
      </c>
      <c r="C5078" s="417" t="s">
        <v>12631</v>
      </c>
      <c r="D5078" s="417" t="s">
        <v>73</v>
      </c>
      <c r="E5078" s="423">
        <v>8.0539867330152101E-2</v>
      </c>
      <c r="F5078" s="423">
        <v>1.737339509238248E-2</v>
      </c>
      <c r="G5078" s="422">
        <v>288.29970384521692</v>
      </c>
      <c r="H5078" s="417" t="s">
        <v>2616</v>
      </c>
      <c r="I5078" s="417" t="s">
        <v>1392</v>
      </c>
      <c r="J5078" s="417" t="s">
        <v>10580</v>
      </c>
      <c r="K5078" s="417" t="s">
        <v>12632</v>
      </c>
      <c r="L5078" s="417"/>
      <c r="M5078" s="417" t="s">
        <v>28840</v>
      </c>
    </row>
    <row r="5079" spans="1:13" x14ac:dyDescent="0.25">
      <c r="A5079" s="417" t="s">
        <v>3385</v>
      </c>
      <c r="B5079" s="417" t="s">
        <v>3405</v>
      </c>
      <c r="C5079" s="417" t="s">
        <v>12633</v>
      </c>
      <c r="D5079" s="417" t="s">
        <v>73</v>
      </c>
      <c r="E5079" s="423">
        <v>6.4330908521937749E-2</v>
      </c>
      <c r="F5079" s="423">
        <v>1.730246247490461E-2</v>
      </c>
      <c r="G5079" s="422">
        <v>267.8932465311367</v>
      </c>
      <c r="H5079" s="417" t="s">
        <v>2616</v>
      </c>
      <c r="I5079" s="417" t="s">
        <v>1392</v>
      </c>
      <c r="J5079" s="417" t="s">
        <v>10580</v>
      </c>
      <c r="K5079" s="417" t="s">
        <v>12634</v>
      </c>
      <c r="L5079" s="417"/>
      <c r="M5079" s="417" t="s">
        <v>28840</v>
      </c>
    </row>
    <row r="5080" spans="1:13" x14ac:dyDescent="0.25">
      <c r="A5080" s="417" t="s">
        <v>3385</v>
      </c>
      <c r="B5080" s="417" t="s">
        <v>3405</v>
      </c>
      <c r="C5080" s="417" t="s">
        <v>12635</v>
      </c>
      <c r="D5080" s="417" t="s">
        <v>73</v>
      </c>
      <c r="E5080" s="423">
        <v>4.8796991654254128E-2</v>
      </c>
      <c r="F5080" s="423">
        <v>5.4364973428579627E-2</v>
      </c>
      <c r="G5080" s="422">
        <v>100.12120239475161</v>
      </c>
      <c r="H5080" s="417" t="s">
        <v>2616</v>
      </c>
      <c r="I5080" s="417" t="s">
        <v>1392</v>
      </c>
      <c r="J5080" s="417" t="s">
        <v>10580</v>
      </c>
      <c r="K5080" s="417" t="s">
        <v>12636</v>
      </c>
      <c r="L5080" s="417"/>
      <c r="M5080" s="417" t="s">
        <v>28840</v>
      </c>
    </row>
    <row r="5081" spans="1:13" x14ac:dyDescent="0.25">
      <c r="A5081" s="417" t="s">
        <v>3385</v>
      </c>
      <c r="B5081" s="417" t="s">
        <v>3405</v>
      </c>
      <c r="C5081" s="417" t="s">
        <v>12637</v>
      </c>
      <c r="D5081" s="417" t="s">
        <v>73</v>
      </c>
      <c r="E5081" s="423">
        <v>2.5949591922350732E-2</v>
      </c>
      <c r="F5081" s="423">
        <v>2.3039982418468551E-4</v>
      </c>
      <c r="G5081" s="422">
        <v>35.066955419110293</v>
      </c>
      <c r="H5081" s="417" t="s">
        <v>2616</v>
      </c>
      <c r="I5081" s="417" t="s">
        <v>1392</v>
      </c>
      <c r="J5081" s="417" t="s">
        <v>10580</v>
      </c>
      <c r="K5081" s="417" t="s">
        <v>12638</v>
      </c>
      <c r="L5081" s="417"/>
      <c r="M5081" s="417" t="s">
        <v>28840</v>
      </c>
    </row>
    <row r="5082" spans="1:13" x14ac:dyDescent="0.25">
      <c r="A5082" s="417" t="s">
        <v>3385</v>
      </c>
      <c r="B5082" s="417" t="s">
        <v>3405</v>
      </c>
      <c r="C5082" s="417" t="s">
        <v>12639</v>
      </c>
      <c r="D5082" s="417" t="s">
        <v>73</v>
      </c>
      <c r="E5082" s="423">
        <v>7.9155596651987702E-3</v>
      </c>
      <c r="F5082" s="423">
        <v>2.2748341977314211E-4</v>
      </c>
      <c r="G5082" s="422">
        <v>16.577891280701571</v>
      </c>
      <c r="H5082" s="417" t="s">
        <v>2616</v>
      </c>
      <c r="I5082" s="417" t="s">
        <v>1392</v>
      </c>
      <c r="J5082" s="417" t="s">
        <v>10580</v>
      </c>
      <c r="K5082" s="417" t="s">
        <v>12640</v>
      </c>
      <c r="L5082" s="417"/>
      <c r="M5082" s="417" t="s">
        <v>28840</v>
      </c>
    </row>
    <row r="5083" spans="1:13" x14ac:dyDescent="0.25">
      <c r="A5083" s="417" t="s">
        <v>3385</v>
      </c>
      <c r="B5083" s="417" t="s">
        <v>3405</v>
      </c>
      <c r="C5083" s="417" t="s">
        <v>12641</v>
      </c>
      <c r="D5083" s="417" t="s">
        <v>73</v>
      </c>
      <c r="E5083" s="423">
        <v>1.1799541913572841E-2</v>
      </c>
      <c r="F5083" s="423">
        <v>2.639067245407203E-3</v>
      </c>
      <c r="G5083" s="422">
        <v>55.878440238408572</v>
      </c>
      <c r="H5083" s="417" t="s">
        <v>2616</v>
      </c>
      <c r="I5083" s="417" t="s">
        <v>1392</v>
      </c>
      <c r="J5083" s="417" t="s">
        <v>10580</v>
      </c>
      <c r="K5083" s="417" t="s">
        <v>12642</v>
      </c>
      <c r="L5083" s="417"/>
      <c r="M5083" s="417" t="s">
        <v>28840</v>
      </c>
    </row>
    <row r="5084" spans="1:13" x14ac:dyDescent="0.25">
      <c r="A5084" s="417" t="s">
        <v>3385</v>
      </c>
      <c r="B5084" s="417" t="s">
        <v>3405</v>
      </c>
      <c r="C5084" s="417" t="s">
        <v>12643</v>
      </c>
      <c r="D5084" s="417" t="s">
        <v>73</v>
      </c>
      <c r="E5084" s="423">
        <v>1.213294611235766E-2</v>
      </c>
      <c r="F5084" s="423">
        <v>2.7279144380260782E-3</v>
      </c>
      <c r="G5084" s="422">
        <v>57.44299947771313</v>
      </c>
      <c r="H5084" s="417" t="s">
        <v>2616</v>
      </c>
      <c r="I5084" s="417" t="s">
        <v>1392</v>
      </c>
      <c r="J5084" s="417" t="s">
        <v>10580</v>
      </c>
      <c r="K5084" s="417" t="s">
        <v>12644</v>
      </c>
      <c r="L5084" s="417"/>
      <c r="M5084" s="417" t="s">
        <v>28840</v>
      </c>
    </row>
    <row r="5085" spans="1:13" x14ac:dyDescent="0.25">
      <c r="A5085" s="417" t="s">
        <v>3385</v>
      </c>
      <c r="B5085" s="417" t="s">
        <v>3405</v>
      </c>
      <c r="C5085" s="417" t="s">
        <v>12645</v>
      </c>
      <c r="D5085" s="417" t="s">
        <v>73</v>
      </c>
      <c r="E5085" s="423">
        <v>3.428051264643457E-3</v>
      </c>
      <c r="F5085" s="423">
        <v>2.5509398356935998E-4</v>
      </c>
      <c r="G5085" s="422">
        <v>10.804893596224559</v>
      </c>
      <c r="H5085" s="417" t="s">
        <v>2616</v>
      </c>
      <c r="I5085" s="417" t="s">
        <v>1392</v>
      </c>
      <c r="J5085" s="417" t="s">
        <v>10580</v>
      </c>
      <c r="K5085" s="417" t="s">
        <v>12646</v>
      </c>
      <c r="L5085" s="417"/>
      <c r="M5085" s="417" t="s">
        <v>28840</v>
      </c>
    </row>
    <row r="5086" spans="1:13" x14ac:dyDescent="0.25">
      <c r="A5086" s="417" t="s">
        <v>3385</v>
      </c>
      <c r="B5086" s="417" t="s">
        <v>3405</v>
      </c>
      <c r="C5086" s="417" t="s">
        <v>12647</v>
      </c>
      <c r="D5086" s="417" t="s">
        <v>73</v>
      </c>
      <c r="E5086" s="423">
        <v>1.107105327149926E-2</v>
      </c>
      <c r="F5086" s="423">
        <v>2.336051771659593E-3</v>
      </c>
      <c r="G5086" s="422">
        <v>50.056793918860137</v>
      </c>
      <c r="H5086" s="417" t="s">
        <v>2616</v>
      </c>
      <c r="I5086" s="417" t="s">
        <v>1392</v>
      </c>
      <c r="J5086" s="417" t="s">
        <v>10580</v>
      </c>
      <c r="K5086" s="417" t="s">
        <v>12648</v>
      </c>
      <c r="L5086" s="417"/>
      <c r="M5086" s="417" t="s">
        <v>28840</v>
      </c>
    </row>
    <row r="5087" spans="1:13" x14ac:dyDescent="0.25">
      <c r="A5087" s="417" t="s">
        <v>3385</v>
      </c>
      <c r="B5087" s="417" t="s">
        <v>3405</v>
      </c>
      <c r="C5087" s="417" t="s">
        <v>12649</v>
      </c>
      <c r="D5087" s="417" t="s">
        <v>73</v>
      </c>
      <c r="E5087" s="423">
        <v>1.351810092382779E-2</v>
      </c>
      <c r="F5087" s="423">
        <v>2.1907293161045139E-3</v>
      </c>
      <c r="G5087" s="422">
        <v>50.707943540635462</v>
      </c>
      <c r="H5087" s="417" t="s">
        <v>2616</v>
      </c>
      <c r="I5087" s="417" t="s">
        <v>1392</v>
      </c>
      <c r="J5087" s="417" t="s">
        <v>10580</v>
      </c>
      <c r="K5087" s="417" t="s">
        <v>12650</v>
      </c>
      <c r="L5087" s="417"/>
      <c r="M5087" s="417" t="s">
        <v>28840</v>
      </c>
    </row>
    <row r="5088" spans="1:13" x14ac:dyDescent="0.25">
      <c r="A5088" s="417" t="s">
        <v>3385</v>
      </c>
      <c r="B5088" s="417" t="s">
        <v>3405</v>
      </c>
      <c r="C5088" s="417" t="s">
        <v>12651</v>
      </c>
      <c r="D5088" s="417" t="s">
        <v>73</v>
      </c>
      <c r="E5088" s="423">
        <v>1.832686870160357E-2</v>
      </c>
      <c r="F5088" s="423">
        <v>5.2266715488255349E-4</v>
      </c>
      <c r="G5088" s="422">
        <v>43.355162876252557</v>
      </c>
      <c r="H5088" s="417" t="s">
        <v>2616</v>
      </c>
      <c r="I5088" s="417" t="s">
        <v>1392</v>
      </c>
      <c r="J5088" s="417" t="s">
        <v>10580</v>
      </c>
      <c r="K5088" s="417" t="s">
        <v>12652</v>
      </c>
      <c r="L5088" s="417"/>
      <c r="M5088" s="417" t="s">
        <v>28840</v>
      </c>
    </row>
    <row r="5089" spans="1:13" x14ac:dyDescent="0.25">
      <c r="A5089" s="417" t="s">
        <v>3385</v>
      </c>
      <c r="B5089" s="417" t="s">
        <v>3405</v>
      </c>
      <c r="C5089" s="417" t="s">
        <v>12653</v>
      </c>
      <c r="D5089" s="417" t="s">
        <v>73</v>
      </c>
      <c r="E5089" s="423">
        <v>1.7429619835210609E-2</v>
      </c>
      <c r="F5089" s="423">
        <v>6.3011604732747875E-4</v>
      </c>
      <c r="G5089" s="422">
        <v>43.226582650749037</v>
      </c>
      <c r="H5089" s="417" t="s">
        <v>2616</v>
      </c>
      <c r="I5089" s="417" t="s">
        <v>1392</v>
      </c>
      <c r="J5089" s="417" t="s">
        <v>10580</v>
      </c>
      <c r="K5089" s="417" t="s">
        <v>12654</v>
      </c>
      <c r="L5089" s="417"/>
      <c r="M5089" s="417" t="s">
        <v>28840</v>
      </c>
    </row>
    <row r="5090" spans="1:13" x14ac:dyDescent="0.25">
      <c r="A5090" s="417" t="s">
        <v>3385</v>
      </c>
      <c r="B5090" s="417" t="s">
        <v>3405</v>
      </c>
      <c r="C5090" s="417" t="s">
        <v>12655</v>
      </c>
      <c r="D5090" s="417" t="s">
        <v>73</v>
      </c>
      <c r="E5090" s="423">
        <v>2.5813896360873011E-2</v>
      </c>
      <c r="F5090" s="423">
        <v>1.5216300410850249E-4</v>
      </c>
      <c r="G5090" s="422">
        <v>33.717938723170441</v>
      </c>
      <c r="H5090" s="417" t="s">
        <v>2616</v>
      </c>
      <c r="I5090" s="417" t="s">
        <v>1392</v>
      </c>
      <c r="J5090" s="417" t="s">
        <v>10580</v>
      </c>
      <c r="K5090" s="417" t="s">
        <v>12656</v>
      </c>
      <c r="L5090" s="417"/>
      <c r="M5090" s="417" t="s">
        <v>28840</v>
      </c>
    </row>
    <row r="5091" spans="1:13" x14ac:dyDescent="0.25">
      <c r="A5091" s="417" t="s">
        <v>3385</v>
      </c>
      <c r="B5091" s="417" t="s">
        <v>3405</v>
      </c>
      <c r="C5091" s="417" t="s">
        <v>12657</v>
      </c>
      <c r="D5091" s="417" t="s">
        <v>73</v>
      </c>
      <c r="E5091" s="423">
        <v>2.5241490901999491E-2</v>
      </c>
      <c r="F5091" s="423">
        <v>2.207106940321726E-4</v>
      </c>
      <c r="G5091" s="422">
        <v>33.635910186909648</v>
      </c>
      <c r="H5091" s="417" t="s">
        <v>2616</v>
      </c>
      <c r="I5091" s="417" t="s">
        <v>1392</v>
      </c>
      <c r="J5091" s="417" t="s">
        <v>10580</v>
      </c>
      <c r="K5091" s="417" t="s">
        <v>12658</v>
      </c>
      <c r="L5091" s="417"/>
      <c r="M5091" s="417" t="s">
        <v>28840</v>
      </c>
    </row>
    <row r="5092" spans="1:13" x14ac:dyDescent="0.25">
      <c r="A5092" s="417" t="s">
        <v>3385</v>
      </c>
      <c r="B5092" s="417" t="s">
        <v>3405</v>
      </c>
      <c r="C5092" s="417" t="s">
        <v>12659</v>
      </c>
      <c r="D5092" s="417" t="s">
        <v>73</v>
      </c>
      <c r="E5092" s="423">
        <v>1.261872543089766E-2</v>
      </c>
      <c r="F5092" s="423">
        <v>1.5697271965643369E-4</v>
      </c>
      <c r="G5092" s="422">
        <v>20.539506375233639</v>
      </c>
      <c r="H5092" s="417" t="s">
        <v>2616</v>
      </c>
      <c r="I5092" s="417" t="s">
        <v>1392</v>
      </c>
      <c r="J5092" s="417" t="s">
        <v>10580</v>
      </c>
      <c r="K5092" s="417" t="s">
        <v>12660</v>
      </c>
      <c r="L5092" s="417"/>
      <c r="M5092" s="417" t="s">
        <v>28840</v>
      </c>
    </row>
    <row r="5093" spans="1:13" x14ac:dyDescent="0.25">
      <c r="A5093" s="417" t="s">
        <v>3385</v>
      </c>
      <c r="B5093" s="417" t="s">
        <v>3405</v>
      </c>
      <c r="C5093" s="417" t="s">
        <v>12661</v>
      </c>
      <c r="D5093" s="417" t="s">
        <v>73</v>
      </c>
      <c r="E5093" s="423">
        <v>1.204210688080685E-2</v>
      </c>
      <c r="F5093" s="423">
        <v>2.2437701187912049E-4</v>
      </c>
      <c r="G5093" s="422">
        <v>20.434778228211421</v>
      </c>
      <c r="H5093" s="417" t="s">
        <v>2616</v>
      </c>
      <c r="I5093" s="417" t="s">
        <v>1392</v>
      </c>
      <c r="J5093" s="417" t="s">
        <v>10580</v>
      </c>
      <c r="K5093" s="417" t="s">
        <v>12662</v>
      </c>
      <c r="L5093" s="417"/>
      <c r="M5093" s="417" t="s">
        <v>28840</v>
      </c>
    </row>
    <row r="5094" spans="1:13" x14ac:dyDescent="0.25">
      <c r="A5094" s="417" t="s">
        <v>3385</v>
      </c>
      <c r="B5094" s="417" t="s">
        <v>3405</v>
      </c>
      <c r="C5094" s="417" t="s">
        <v>12663</v>
      </c>
      <c r="D5094" s="417" t="s">
        <v>73</v>
      </c>
      <c r="E5094" s="423">
        <v>1.6013181567753641E-2</v>
      </c>
      <c r="F5094" s="423">
        <v>2.9460788981280229E-3</v>
      </c>
      <c r="G5094" s="422">
        <v>65.399390122801336</v>
      </c>
      <c r="H5094" s="417" t="s">
        <v>2616</v>
      </c>
      <c r="I5094" s="417" t="s">
        <v>1392</v>
      </c>
      <c r="J5094" s="417" t="s">
        <v>10580</v>
      </c>
      <c r="K5094" s="417" t="s">
        <v>12664</v>
      </c>
      <c r="L5094" s="417"/>
      <c r="M5094" s="417" t="s">
        <v>28840</v>
      </c>
    </row>
    <row r="5095" spans="1:13" x14ac:dyDescent="0.25">
      <c r="A5095" s="417" t="s">
        <v>3385</v>
      </c>
      <c r="B5095" s="417" t="s">
        <v>3405</v>
      </c>
      <c r="C5095" s="417" t="s">
        <v>12665</v>
      </c>
      <c r="D5095" s="417" t="s">
        <v>73</v>
      </c>
      <c r="E5095" s="423">
        <v>1.6355259036450309E-2</v>
      </c>
      <c r="F5095" s="423">
        <v>3.037237083372799E-3</v>
      </c>
      <c r="G5095" s="422">
        <v>67.004652124854857</v>
      </c>
      <c r="H5095" s="417" t="s">
        <v>2616</v>
      </c>
      <c r="I5095" s="417" t="s">
        <v>1392</v>
      </c>
      <c r="J5095" s="417" t="s">
        <v>10580</v>
      </c>
      <c r="K5095" s="417" t="s">
        <v>12666</v>
      </c>
      <c r="L5095" s="417"/>
      <c r="M5095" s="417" t="s">
        <v>28840</v>
      </c>
    </row>
    <row r="5096" spans="1:13" x14ac:dyDescent="0.25">
      <c r="A5096" s="417" t="s">
        <v>3385</v>
      </c>
      <c r="B5096" s="417" t="s">
        <v>3405</v>
      </c>
      <c r="C5096" s="417" t="s">
        <v>12667</v>
      </c>
      <c r="D5096" s="417" t="s">
        <v>73</v>
      </c>
      <c r="E5096" s="423">
        <v>1.52657123319749E-2</v>
      </c>
      <c r="F5096" s="423">
        <v>2.6351779816688888E-3</v>
      </c>
      <c r="G5096" s="422">
        <v>59.426227589564022</v>
      </c>
      <c r="H5096" s="417" t="s">
        <v>2616</v>
      </c>
      <c r="I5096" s="417" t="s">
        <v>1392</v>
      </c>
      <c r="J5096" s="417" t="s">
        <v>10580</v>
      </c>
      <c r="K5096" s="417" t="s">
        <v>12668</v>
      </c>
      <c r="L5096" s="417"/>
      <c r="M5096" s="417" t="s">
        <v>28840</v>
      </c>
    </row>
    <row r="5097" spans="1:13" x14ac:dyDescent="0.25">
      <c r="A5097" s="417" t="s">
        <v>3385</v>
      </c>
      <c r="B5097" s="417" t="s">
        <v>3405</v>
      </c>
      <c r="C5097" s="417" t="s">
        <v>12669</v>
      </c>
      <c r="D5097" s="417" t="s">
        <v>73</v>
      </c>
      <c r="E5097" s="423">
        <v>1.777633628926575E-2</v>
      </c>
      <c r="F5097" s="423">
        <v>2.4860799279357929E-3</v>
      </c>
      <c r="G5097" s="422">
        <v>60.094294945631248</v>
      </c>
      <c r="H5097" s="417" t="s">
        <v>2616</v>
      </c>
      <c r="I5097" s="417" t="s">
        <v>1392</v>
      </c>
      <c r="J5097" s="417" t="s">
        <v>10580</v>
      </c>
      <c r="K5097" s="417" t="s">
        <v>12670</v>
      </c>
      <c r="L5097" s="417"/>
      <c r="M5097" s="417" t="s">
        <v>28840</v>
      </c>
    </row>
    <row r="5098" spans="1:13" x14ac:dyDescent="0.25">
      <c r="A5098" s="417" t="s">
        <v>3385</v>
      </c>
      <c r="B5098" s="417" t="s">
        <v>3405</v>
      </c>
      <c r="C5098" s="417" t="s">
        <v>12671</v>
      </c>
      <c r="D5098" s="417" t="s">
        <v>73</v>
      </c>
      <c r="E5098" s="423">
        <v>2.5961064671182851E-2</v>
      </c>
      <c r="F5098" s="423">
        <v>2.291091019704573E-4</v>
      </c>
      <c r="G5098" s="422">
        <v>34.524557884080693</v>
      </c>
      <c r="H5098" s="417" t="s">
        <v>2616</v>
      </c>
      <c r="I5098" s="417" t="s">
        <v>1392</v>
      </c>
      <c r="J5098" s="417" t="s">
        <v>10580</v>
      </c>
      <c r="K5098" s="417" t="s">
        <v>12672</v>
      </c>
      <c r="L5098" s="417"/>
      <c r="M5098" s="417" t="s">
        <v>28840</v>
      </c>
    </row>
    <row r="5099" spans="1:13" x14ac:dyDescent="0.25">
      <c r="A5099" s="417" t="s">
        <v>3385</v>
      </c>
      <c r="B5099" s="417" t="s">
        <v>3405</v>
      </c>
      <c r="C5099" s="417" t="s">
        <v>12673</v>
      </c>
      <c r="D5099" s="417" t="s">
        <v>73</v>
      </c>
      <c r="E5099" s="423">
        <v>7.8743479987719595E-3</v>
      </c>
      <c r="F5099" s="423">
        <v>2.2618417762252209E-4</v>
      </c>
      <c r="G5099" s="422">
        <v>15.981479944510831</v>
      </c>
      <c r="H5099" s="417" t="s">
        <v>2616</v>
      </c>
      <c r="I5099" s="417" t="s">
        <v>1392</v>
      </c>
      <c r="J5099" s="417" t="s">
        <v>10580</v>
      </c>
      <c r="K5099" s="417" t="s">
        <v>12674</v>
      </c>
      <c r="L5099" s="417"/>
      <c r="M5099" s="417" t="s">
        <v>28840</v>
      </c>
    </row>
    <row r="5100" spans="1:13" x14ac:dyDescent="0.25">
      <c r="A5100" s="417" t="s">
        <v>3385</v>
      </c>
      <c r="B5100" s="417" t="s">
        <v>3405</v>
      </c>
      <c r="C5100" s="417" t="s">
        <v>12675</v>
      </c>
      <c r="D5100" s="417" t="s">
        <v>73</v>
      </c>
      <c r="E5100" s="423">
        <v>1.176967687236375E-2</v>
      </c>
      <c r="F5100" s="423">
        <v>2.6448131763177609E-3</v>
      </c>
      <c r="G5100" s="422">
        <v>55.396841875444963</v>
      </c>
      <c r="H5100" s="417" t="s">
        <v>2616</v>
      </c>
      <c r="I5100" s="417" t="s">
        <v>1392</v>
      </c>
      <c r="J5100" s="417" t="s">
        <v>10580</v>
      </c>
      <c r="K5100" s="417" t="s">
        <v>12676</v>
      </c>
      <c r="L5100" s="417"/>
      <c r="M5100" s="417" t="s">
        <v>28840</v>
      </c>
    </row>
    <row r="5101" spans="1:13" x14ac:dyDescent="0.25">
      <c r="A5101" s="417" t="s">
        <v>3385</v>
      </c>
      <c r="B5101" s="417" t="s">
        <v>3405</v>
      </c>
      <c r="C5101" s="417" t="s">
        <v>12677</v>
      </c>
      <c r="D5101" s="417" t="s">
        <v>73</v>
      </c>
      <c r="E5101" s="423">
        <v>1.210405505363458E-2</v>
      </c>
      <c r="F5101" s="423">
        <v>2.7339199262960559E-3</v>
      </c>
      <c r="G5101" s="422">
        <v>56.965970419921682</v>
      </c>
      <c r="H5101" s="417" t="s">
        <v>2616</v>
      </c>
      <c r="I5101" s="417" t="s">
        <v>1392</v>
      </c>
      <c r="J5101" s="417" t="s">
        <v>10580</v>
      </c>
      <c r="K5101" s="417" t="s">
        <v>12678</v>
      </c>
      <c r="L5101" s="417"/>
      <c r="M5101" s="417" t="s">
        <v>28840</v>
      </c>
    </row>
    <row r="5102" spans="1:13" x14ac:dyDescent="0.25">
      <c r="A5102" s="417" t="s">
        <v>3385</v>
      </c>
      <c r="B5102" s="417" t="s">
        <v>3405</v>
      </c>
      <c r="C5102" s="417" t="s">
        <v>12679</v>
      </c>
      <c r="D5102" s="417" t="s">
        <v>73</v>
      </c>
      <c r="E5102" s="423">
        <v>3.3737298444012761E-3</v>
      </c>
      <c r="F5102" s="423">
        <v>2.5387540260474488E-4</v>
      </c>
      <c r="G5102" s="422">
        <v>10.191617092164689</v>
      </c>
      <c r="H5102" s="417" t="s">
        <v>2616</v>
      </c>
      <c r="I5102" s="417" t="s">
        <v>1392</v>
      </c>
      <c r="J5102" s="417" t="s">
        <v>10580</v>
      </c>
      <c r="K5102" s="417" t="s">
        <v>12680</v>
      </c>
      <c r="L5102" s="417"/>
      <c r="M5102" s="417" t="s">
        <v>28840</v>
      </c>
    </row>
    <row r="5103" spans="1:13" x14ac:dyDescent="0.25">
      <c r="A5103" s="417" t="s">
        <v>3385</v>
      </c>
      <c r="B5103" s="417" t="s">
        <v>3405</v>
      </c>
      <c r="C5103" s="417" t="s">
        <v>12681</v>
      </c>
      <c r="D5103" s="417" t="s">
        <v>73</v>
      </c>
      <c r="E5103" s="423">
        <v>1.1039060029662789E-2</v>
      </c>
      <c r="F5103" s="423">
        <v>2.340912476980323E-3</v>
      </c>
      <c r="G5103" s="422">
        <v>49.558187613577992</v>
      </c>
      <c r="H5103" s="417" t="s">
        <v>2616</v>
      </c>
      <c r="I5103" s="417" t="s">
        <v>1392</v>
      </c>
      <c r="J5103" s="417" t="s">
        <v>10580</v>
      </c>
      <c r="K5103" s="417" t="s">
        <v>12682</v>
      </c>
      <c r="L5103" s="417"/>
      <c r="M5103" s="417" t="s">
        <v>28840</v>
      </c>
    </row>
    <row r="5104" spans="1:13" x14ac:dyDescent="0.25">
      <c r="A5104" s="417" t="s">
        <v>3385</v>
      </c>
      <c r="B5104" s="417" t="s">
        <v>3405</v>
      </c>
      <c r="C5104" s="417" t="s">
        <v>12683</v>
      </c>
      <c r="D5104" s="417" t="s">
        <v>73</v>
      </c>
      <c r="E5104" s="423">
        <v>1.349325646263767E-2</v>
      </c>
      <c r="F5104" s="423">
        <v>2.1951654780802462E-3</v>
      </c>
      <c r="G5104" s="422">
        <v>50.21123886205843</v>
      </c>
      <c r="H5104" s="417" t="s">
        <v>2616</v>
      </c>
      <c r="I5104" s="417" t="s">
        <v>1392</v>
      </c>
      <c r="J5104" s="417" t="s">
        <v>10580</v>
      </c>
      <c r="K5104" s="417" t="s">
        <v>12684</v>
      </c>
      <c r="L5104" s="417"/>
      <c r="M5104" s="417" t="s">
        <v>28840</v>
      </c>
    </row>
    <row r="5105" spans="1:13" x14ac:dyDescent="0.25">
      <c r="A5105" s="417" t="s">
        <v>3385</v>
      </c>
      <c r="B5105" s="417" t="s">
        <v>3405</v>
      </c>
      <c r="C5105" s="417" t="s">
        <v>12685</v>
      </c>
      <c r="D5105" s="417" t="s">
        <v>73</v>
      </c>
      <c r="E5105" s="423">
        <v>1.8316072513888761E-2</v>
      </c>
      <c r="F5105" s="423">
        <v>5.2223025905444136E-4</v>
      </c>
      <c r="G5105" s="422">
        <v>42.836978447702847</v>
      </c>
      <c r="H5105" s="417" t="s">
        <v>2616</v>
      </c>
      <c r="I5105" s="417" t="s">
        <v>1392</v>
      </c>
      <c r="J5105" s="417" t="s">
        <v>10580</v>
      </c>
      <c r="K5105" s="417" t="s">
        <v>12686</v>
      </c>
      <c r="L5105" s="417"/>
      <c r="M5105" s="417" t="s">
        <v>28840</v>
      </c>
    </row>
    <row r="5106" spans="1:13" x14ac:dyDescent="0.25">
      <c r="A5106" s="417" t="s">
        <v>3385</v>
      </c>
      <c r="B5106" s="417" t="s">
        <v>3405</v>
      </c>
      <c r="C5106" s="417" t="s">
        <v>12687</v>
      </c>
      <c r="D5106" s="417" t="s">
        <v>73</v>
      </c>
      <c r="E5106" s="423">
        <v>1.7416202437906991E-2</v>
      </c>
      <c r="F5106" s="423">
        <v>6.2999305146881057E-4</v>
      </c>
      <c r="G5106" s="422">
        <v>42.708022483666909</v>
      </c>
      <c r="H5106" s="417" t="s">
        <v>2616</v>
      </c>
      <c r="I5106" s="417" t="s">
        <v>1392</v>
      </c>
      <c r="J5106" s="417" t="s">
        <v>10580</v>
      </c>
      <c r="K5106" s="417" t="s">
        <v>12688</v>
      </c>
      <c r="L5106" s="417"/>
      <c r="M5106" s="417" t="s">
        <v>28840</v>
      </c>
    </row>
    <row r="5107" spans="1:13" x14ac:dyDescent="0.25">
      <c r="A5107" s="417" t="s">
        <v>3385</v>
      </c>
      <c r="B5107" s="417" t="s">
        <v>3405</v>
      </c>
      <c r="C5107" s="417" t="s">
        <v>12689</v>
      </c>
      <c r="D5107" s="417" t="s">
        <v>73</v>
      </c>
      <c r="E5107" s="423">
        <v>2.582497269050461E-2</v>
      </c>
      <c r="F5107" s="423">
        <v>1.5064372174812261E-4</v>
      </c>
      <c r="G5107" s="422">
        <v>33.171600138623049</v>
      </c>
      <c r="H5107" s="417" t="s">
        <v>2616</v>
      </c>
      <c r="I5107" s="417" t="s">
        <v>1392</v>
      </c>
      <c r="J5107" s="417" t="s">
        <v>10580</v>
      </c>
      <c r="K5107" s="417" t="s">
        <v>12690</v>
      </c>
      <c r="L5107" s="417"/>
      <c r="M5107" s="417" t="s">
        <v>28840</v>
      </c>
    </row>
    <row r="5108" spans="1:13" x14ac:dyDescent="0.25">
      <c r="A5108" s="417" t="s">
        <v>3385</v>
      </c>
      <c r="B5108" s="417" t="s">
        <v>3405</v>
      </c>
      <c r="C5108" s="417" t="s">
        <v>12691</v>
      </c>
      <c r="D5108" s="417" t="s">
        <v>73</v>
      </c>
      <c r="E5108" s="423">
        <v>2.525089501088966E-2</v>
      </c>
      <c r="F5108" s="423">
        <v>2.1939166610588661E-4</v>
      </c>
      <c r="G5108" s="422">
        <v>33.089331993560798</v>
      </c>
      <c r="H5108" s="417" t="s">
        <v>2616</v>
      </c>
      <c r="I5108" s="417" t="s">
        <v>1392</v>
      </c>
      <c r="J5108" s="417" t="s">
        <v>10580</v>
      </c>
      <c r="K5108" s="417" t="s">
        <v>12692</v>
      </c>
      <c r="L5108" s="417"/>
      <c r="M5108" s="417" t="s">
        <v>28840</v>
      </c>
    </row>
    <row r="5109" spans="1:13" x14ac:dyDescent="0.25">
      <c r="A5109" s="417" t="s">
        <v>3385</v>
      </c>
      <c r="B5109" s="417" t="s">
        <v>3405</v>
      </c>
      <c r="C5109" s="417" t="s">
        <v>12693</v>
      </c>
      <c r="D5109" s="417" t="s">
        <v>73</v>
      </c>
      <c r="E5109" s="423">
        <v>1.2591253538837079E-2</v>
      </c>
      <c r="F5109" s="423">
        <v>1.5546748833875399E-4</v>
      </c>
      <c r="G5109" s="422">
        <v>19.95466845196411</v>
      </c>
      <c r="H5109" s="417" t="s">
        <v>2616</v>
      </c>
      <c r="I5109" s="417" t="s">
        <v>1392</v>
      </c>
      <c r="J5109" s="417" t="s">
        <v>10580</v>
      </c>
      <c r="K5109" s="417" t="s">
        <v>12694</v>
      </c>
      <c r="L5109" s="417"/>
      <c r="M5109" s="417" t="s">
        <v>28840</v>
      </c>
    </row>
    <row r="5110" spans="1:13" x14ac:dyDescent="0.25">
      <c r="A5110" s="417" t="s">
        <v>3385</v>
      </c>
      <c r="B5110" s="417" t="s">
        <v>3405</v>
      </c>
      <c r="C5110" s="417" t="s">
        <v>12695</v>
      </c>
      <c r="D5110" s="417" t="s">
        <v>73</v>
      </c>
      <c r="E5110" s="423">
        <v>1.201295045960862E-2</v>
      </c>
      <c r="F5110" s="423">
        <v>2.2306869469131241E-4</v>
      </c>
      <c r="G5110" s="422">
        <v>19.849634360614761</v>
      </c>
      <c r="H5110" s="417" t="s">
        <v>2616</v>
      </c>
      <c r="I5110" s="417" t="s">
        <v>1392</v>
      </c>
      <c r="J5110" s="417" t="s">
        <v>10580</v>
      </c>
      <c r="K5110" s="417" t="s">
        <v>12696</v>
      </c>
      <c r="L5110" s="417"/>
      <c r="M5110" s="417" t="s">
        <v>28840</v>
      </c>
    </row>
    <row r="5111" spans="1:13" x14ac:dyDescent="0.25">
      <c r="A5111" s="417" t="s">
        <v>3385</v>
      </c>
      <c r="B5111" s="417" t="s">
        <v>3405</v>
      </c>
      <c r="C5111" s="417" t="s">
        <v>12697</v>
      </c>
      <c r="D5111" s="417" t="s">
        <v>73</v>
      </c>
      <c r="E5111" s="423">
        <v>1.5998547179558158E-2</v>
      </c>
      <c r="F5111" s="423">
        <v>2.9528044987922769E-3</v>
      </c>
      <c r="G5111" s="422">
        <v>64.951287130316587</v>
      </c>
      <c r="H5111" s="417" t="s">
        <v>2616</v>
      </c>
      <c r="I5111" s="417" t="s">
        <v>1392</v>
      </c>
      <c r="J5111" s="417" t="s">
        <v>10580</v>
      </c>
      <c r="K5111" s="417" t="s">
        <v>12698</v>
      </c>
      <c r="L5111" s="417"/>
      <c r="M5111" s="417" t="s">
        <v>28840</v>
      </c>
    </row>
    <row r="5112" spans="1:13" x14ac:dyDescent="0.25">
      <c r="A5112" s="417" t="s">
        <v>3385</v>
      </c>
      <c r="B5112" s="417" t="s">
        <v>3405</v>
      </c>
      <c r="C5112" s="417" t="s">
        <v>12699</v>
      </c>
      <c r="D5112" s="417" t="s">
        <v>73</v>
      </c>
      <c r="E5112" s="423">
        <v>1.6341623006352678E-2</v>
      </c>
      <c r="F5112" s="423">
        <v>3.044228727207447E-3</v>
      </c>
      <c r="G5112" s="422">
        <v>66.561233186527687</v>
      </c>
      <c r="H5112" s="417" t="s">
        <v>2616</v>
      </c>
      <c r="I5112" s="417" t="s">
        <v>1392</v>
      </c>
      <c r="J5112" s="417" t="s">
        <v>10580</v>
      </c>
      <c r="K5112" s="417" t="s">
        <v>12700</v>
      </c>
      <c r="L5112" s="417"/>
      <c r="M5112" s="417" t="s">
        <v>28840</v>
      </c>
    </row>
    <row r="5113" spans="1:13" x14ac:dyDescent="0.25">
      <c r="A5113" s="417" t="s">
        <v>3385</v>
      </c>
      <c r="B5113" s="417" t="s">
        <v>3405</v>
      </c>
      <c r="C5113" s="417" t="s">
        <v>12701</v>
      </c>
      <c r="D5113" s="417" t="s">
        <v>73</v>
      </c>
      <c r="E5113" s="423">
        <v>1.5248896454778451E-2</v>
      </c>
      <c r="F5113" s="423">
        <v>2.640996226058259E-3</v>
      </c>
      <c r="G5113" s="422">
        <v>58.960691626778669</v>
      </c>
      <c r="H5113" s="417" t="s">
        <v>2616</v>
      </c>
      <c r="I5113" s="417" t="s">
        <v>1392</v>
      </c>
      <c r="J5113" s="417" t="s">
        <v>10580</v>
      </c>
      <c r="K5113" s="417" t="s">
        <v>12702</v>
      </c>
      <c r="L5113" s="417"/>
      <c r="M5113" s="417" t="s">
        <v>28840</v>
      </c>
    </row>
    <row r="5114" spans="1:13" x14ac:dyDescent="0.25">
      <c r="A5114" s="417" t="s">
        <v>3385</v>
      </c>
      <c r="B5114" s="417" t="s">
        <v>3405</v>
      </c>
      <c r="C5114" s="417" t="s">
        <v>12703</v>
      </c>
      <c r="D5114" s="417" t="s">
        <v>73</v>
      </c>
      <c r="E5114" s="423">
        <v>1.7766847631656629E-2</v>
      </c>
      <c r="F5114" s="423">
        <v>2.4914630338447792E-3</v>
      </c>
      <c r="G5114" s="422">
        <v>59.63070813685259</v>
      </c>
      <c r="H5114" s="417" t="s">
        <v>2616</v>
      </c>
      <c r="I5114" s="417" t="s">
        <v>1392</v>
      </c>
      <c r="J5114" s="417" t="s">
        <v>10580</v>
      </c>
      <c r="K5114" s="417" t="s">
        <v>12704</v>
      </c>
      <c r="L5114" s="417"/>
      <c r="M5114" s="417" t="s">
        <v>28840</v>
      </c>
    </row>
    <row r="5115" spans="1:13" x14ac:dyDescent="0.25">
      <c r="A5115" s="417" t="s">
        <v>3385</v>
      </c>
      <c r="B5115" s="417" t="s">
        <v>3405</v>
      </c>
      <c r="C5115" s="417" t="s">
        <v>12705</v>
      </c>
      <c r="D5115" s="417" t="s">
        <v>73</v>
      </c>
      <c r="E5115" s="423">
        <v>4.124455139252118E-2</v>
      </c>
      <c r="F5115" s="423">
        <v>5.7045832799101862E-3</v>
      </c>
      <c r="G5115" s="422">
        <v>128.82789454608371</v>
      </c>
      <c r="H5115" s="417" t="s">
        <v>2616</v>
      </c>
      <c r="I5115" s="417" t="s">
        <v>1392</v>
      </c>
      <c r="J5115" s="417" t="s">
        <v>10580</v>
      </c>
      <c r="K5115" s="417" t="s">
        <v>12706</v>
      </c>
      <c r="L5115" s="417"/>
      <c r="M5115" s="417" t="s">
        <v>28840</v>
      </c>
    </row>
    <row r="5116" spans="1:13" x14ac:dyDescent="0.25">
      <c r="A5116" s="417" t="s">
        <v>3385</v>
      </c>
      <c r="B5116" s="417" t="s">
        <v>3405</v>
      </c>
      <c r="C5116" s="417" t="s">
        <v>12707</v>
      </c>
      <c r="D5116" s="417" t="s">
        <v>73</v>
      </c>
      <c r="E5116" s="423">
        <v>4.3842911559550217E-2</v>
      </c>
      <c r="F5116" s="423">
        <v>1.999514429171351E-2</v>
      </c>
      <c r="G5116" s="422">
        <v>136.54243842411671</v>
      </c>
      <c r="H5116" s="417" t="s">
        <v>2616</v>
      </c>
      <c r="I5116" s="417" t="s">
        <v>1392</v>
      </c>
      <c r="J5116" s="417" t="s">
        <v>10580</v>
      </c>
      <c r="K5116" s="417" t="s">
        <v>12708</v>
      </c>
      <c r="L5116" s="417"/>
      <c r="M5116" s="417" t="s">
        <v>28840</v>
      </c>
    </row>
    <row r="5117" spans="1:13" x14ac:dyDescent="0.25">
      <c r="A5117" s="417" t="s">
        <v>3385</v>
      </c>
      <c r="B5117" s="417" t="s">
        <v>3405</v>
      </c>
      <c r="C5117" s="417" t="s">
        <v>12709</v>
      </c>
      <c r="D5117" s="417" t="s">
        <v>73</v>
      </c>
      <c r="E5117" s="423">
        <v>4.0920529105278422E-2</v>
      </c>
      <c r="F5117" s="423">
        <v>7.8537154646770926E-3</v>
      </c>
      <c r="G5117" s="422">
        <v>128.93450667056601</v>
      </c>
      <c r="H5117" s="417" t="s">
        <v>2616</v>
      </c>
      <c r="I5117" s="417" t="s">
        <v>1392</v>
      </c>
      <c r="J5117" s="417" t="s">
        <v>10580</v>
      </c>
      <c r="K5117" s="417" t="s">
        <v>12710</v>
      </c>
      <c r="L5117" s="417"/>
      <c r="M5117" s="417" t="s">
        <v>28840</v>
      </c>
    </row>
    <row r="5118" spans="1:13" x14ac:dyDescent="0.25">
      <c r="A5118" s="417" t="s">
        <v>3385</v>
      </c>
      <c r="B5118" s="417" t="s">
        <v>3405</v>
      </c>
      <c r="C5118" s="417" t="s">
        <v>12711</v>
      </c>
      <c r="D5118" s="417" t="s">
        <v>73</v>
      </c>
      <c r="E5118" s="423">
        <v>3.3146103628454243E-2</v>
      </c>
      <c r="F5118" s="423">
        <v>7.8196935172208694E-3</v>
      </c>
      <c r="G5118" s="422">
        <v>119.1467797958077</v>
      </c>
      <c r="H5118" s="417" t="s">
        <v>2616</v>
      </c>
      <c r="I5118" s="417" t="s">
        <v>1392</v>
      </c>
      <c r="J5118" s="417" t="s">
        <v>10580</v>
      </c>
      <c r="K5118" s="417" t="s">
        <v>12712</v>
      </c>
      <c r="L5118" s="417"/>
      <c r="M5118" s="417" t="s">
        <v>28840</v>
      </c>
    </row>
    <row r="5119" spans="1:13" x14ac:dyDescent="0.25">
      <c r="A5119" s="417" t="s">
        <v>3385</v>
      </c>
      <c r="B5119" s="417" t="s">
        <v>3405</v>
      </c>
      <c r="C5119" s="417" t="s">
        <v>12713</v>
      </c>
      <c r="D5119" s="417" t="s">
        <v>73</v>
      </c>
      <c r="E5119" s="423">
        <v>3.0591252079078899E-2</v>
      </c>
      <c r="F5119" s="423">
        <v>2.81304340775986E-2</v>
      </c>
      <c r="G5119" s="422">
        <v>64.855667038574765</v>
      </c>
      <c r="H5119" s="417" t="s">
        <v>2616</v>
      </c>
      <c r="I5119" s="417" t="s">
        <v>1392</v>
      </c>
      <c r="J5119" s="417" t="s">
        <v>10580</v>
      </c>
      <c r="K5119" s="417" t="s">
        <v>12714</v>
      </c>
      <c r="L5119" s="417"/>
      <c r="M5119" s="417" t="s">
        <v>28840</v>
      </c>
    </row>
    <row r="5120" spans="1:13" x14ac:dyDescent="0.25">
      <c r="A5120" s="417" t="s">
        <v>3385</v>
      </c>
      <c r="B5120" s="417" t="s">
        <v>3405</v>
      </c>
      <c r="C5120" s="417" t="s">
        <v>12715</v>
      </c>
      <c r="D5120" s="417" t="s">
        <v>73</v>
      </c>
      <c r="E5120" s="423">
        <v>1.443494337137316E-2</v>
      </c>
      <c r="F5120" s="423">
        <v>1.8028372411620149E-3</v>
      </c>
      <c r="G5120" s="422">
        <v>47.512168966771</v>
      </c>
      <c r="H5120" s="417" t="s">
        <v>2616</v>
      </c>
      <c r="I5120" s="417" t="s">
        <v>1392</v>
      </c>
      <c r="J5120" s="417" t="s">
        <v>12716</v>
      </c>
      <c r="K5120" s="417" t="s">
        <v>12717</v>
      </c>
      <c r="L5120" s="417"/>
      <c r="M5120" s="417" t="s">
        <v>28840</v>
      </c>
    </row>
    <row r="5121" spans="1:13" x14ac:dyDescent="0.25">
      <c r="A5121" s="417" t="s">
        <v>3385</v>
      </c>
      <c r="B5121" s="417" t="s">
        <v>3405</v>
      </c>
      <c r="C5121" s="417" t="s">
        <v>12718</v>
      </c>
      <c r="D5121" s="417" t="s">
        <v>73</v>
      </c>
      <c r="E5121" s="423">
        <v>9.6248920119987556E-3</v>
      </c>
      <c r="F5121" s="423">
        <v>2.6028933566021791E-4</v>
      </c>
      <c r="G5121" s="422">
        <v>19.003196610341121</v>
      </c>
      <c r="H5121" s="417" t="s">
        <v>2616</v>
      </c>
      <c r="I5121" s="417" t="s">
        <v>1392</v>
      </c>
      <c r="J5121" s="417" t="s">
        <v>12716</v>
      </c>
      <c r="K5121" s="417" t="s">
        <v>12719</v>
      </c>
      <c r="L5121" s="417"/>
      <c r="M5121" s="417" t="s">
        <v>28840</v>
      </c>
    </row>
    <row r="5122" spans="1:13" x14ac:dyDescent="0.25">
      <c r="A5122" s="417" t="s">
        <v>3385</v>
      </c>
      <c r="B5122" s="417" t="s">
        <v>3405</v>
      </c>
      <c r="C5122" s="417" t="s">
        <v>12720</v>
      </c>
      <c r="D5122" s="417" t="s">
        <v>73</v>
      </c>
      <c r="E5122" s="423">
        <v>1.3813660521271601E-2</v>
      </c>
      <c r="F5122" s="423">
        <v>1.787070050262228E-3</v>
      </c>
      <c r="G5122" s="422">
        <v>46.618869170793857</v>
      </c>
      <c r="H5122" s="417" t="s">
        <v>2616</v>
      </c>
      <c r="I5122" s="417" t="s">
        <v>1392</v>
      </c>
      <c r="J5122" s="417" t="s">
        <v>12716</v>
      </c>
      <c r="K5122" s="417" t="s">
        <v>12721</v>
      </c>
      <c r="L5122" s="417"/>
      <c r="M5122" s="417" t="s">
        <v>28840</v>
      </c>
    </row>
    <row r="5123" spans="1:13" x14ac:dyDescent="0.25">
      <c r="A5123" s="417" t="s">
        <v>3385</v>
      </c>
      <c r="B5123" s="417" t="s">
        <v>3405</v>
      </c>
      <c r="C5123" s="417" t="s">
        <v>12722</v>
      </c>
      <c r="D5123" s="417" t="s">
        <v>73</v>
      </c>
      <c r="E5123" s="423">
        <v>9.0036091210663489E-3</v>
      </c>
      <c r="F5123" s="423">
        <v>2.4452214080648892E-4</v>
      </c>
      <c r="G5123" s="422">
        <v>18.109896613509989</v>
      </c>
      <c r="H5123" s="417" t="s">
        <v>2616</v>
      </c>
      <c r="I5123" s="417" t="s">
        <v>1392</v>
      </c>
      <c r="J5123" s="417" t="s">
        <v>12716</v>
      </c>
      <c r="K5123" s="417" t="s">
        <v>12723</v>
      </c>
      <c r="L5123" s="417"/>
      <c r="M5123" s="417" t="s">
        <v>28840</v>
      </c>
    </row>
    <row r="5124" spans="1:13" x14ac:dyDescent="0.25">
      <c r="A5124" s="417" t="s">
        <v>3385</v>
      </c>
      <c r="B5124" s="417" t="s">
        <v>3405</v>
      </c>
      <c r="C5124" s="417" t="s">
        <v>12724</v>
      </c>
      <c r="D5124" s="417" t="s">
        <v>73</v>
      </c>
      <c r="E5124" s="423">
        <v>1.7262250827914841E-2</v>
      </c>
      <c r="F5124" s="423">
        <v>2.3900688296937551E-3</v>
      </c>
      <c r="G5124" s="422">
        <v>59.991168565064051</v>
      </c>
      <c r="H5124" s="417" t="s">
        <v>2616</v>
      </c>
      <c r="I5124" s="417" t="s">
        <v>1392</v>
      </c>
      <c r="J5124" s="417" t="s">
        <v>12716</v>
      </c>
      <c r="K5124" s="417" t="s">
        <v>12725</v>
      </c>
      <c r="L5124" s="417"/>
      <c r="M5124" s="417" t="s">
        <v>28840</v>
      </c>
    </row>
    <row r="5125" spans="1:13" x14ac:dyDescent="0.25">
      <c r="A5125" s="417" t="s">
        <v>3385</v>
      </c>
      <c r="B5125" s="417" t="s">
        <v>3405</v>
      </c>
      <c r="C5125" s="417" t="s">
        <v>12726</v>
      </c>
      <c r="D5125" s="417" t="s">
        <v>73</v>
      </c>
      <c r="E5125" s="423">
        <v>1.0562753464071459E-2</v>
      </c>
      <c r="F5125" s="423">
        <v>2.415895641186192E-4</v>
      </c>
      <c r="G5125" s="422">
        <v>20.283529939890041</v>
      </c>
      <c r="H5125" s="417" t="s">
        <v>2616</v>
      </c>
      <c r="I5125" s="417" t="s">
        <v>1392</v>
      </c>
      <c r="J5125" s="417" t="s">
        <v>12716</v>
      </c>
      <c r="K5125" s="417" t="s">
        <v>12727</v>
      </c>
      <c r="L5125" s="417"/>
      <c r="M5125" s="417" t="s">
        <v>28840</v>
      </c>
    </row>
    <row r="5126" spans="1:13" x14ac:dyDescent="0.25">
      <c r="A5126" s="417" t="s">
        <v>3385</v>
      </c>
      <c r="B5126" s="417" t="s">
        <v>3405</v>
      </c>
      <c r="C5126" s="417" t="s">
        <v>12728</v>
      </c>
      <c r="D5126" s="417" t="s">
        <v>73</v>
      </c>
      <c r="E5126" s="423">
        <v>7.9038120623010424E-3</v>
      </c>
      <c r="F5126" s="423">
        <v>0.36955112598288642</v>
      </c>
      <c r="G5126" s="422">
        <v>307.12844427087072</v>
      </c>
      <c r="H5126" s="417" t="s">
        <v>2616</v>
      </c>
      <c r="I5126" s="417" t="s">
        <v>1392</v>
      </c>
      <c r="J5126" s="417" t="s">
        <v>4245</v>
      </c>
      <c r="K5126" s="417" t="s">
        <v>12729</v>
      </c>
      <c r="L5126" s="417"/>
      <c r="M5126" s="417" t="s">
        <v>28840</v>
      </c>
    </row>
    <row r="5127" spans="1:13" x14ac:dyDescent="0.25">
      <c r="A5127" s="417" t="s">
        <v>3385</v>
      </c>
      <c r="B5127" s="417" t="s">
        <v>3405</v>
      </c>
      <c r="C5127" s="417" t="s">
        <v>12730</v>
      </c>
      <c r="D5127" s="417" t="s">
        <v>73</v>
      </c>
      <c r="E5127" s="423">
        <v>8.0580229060208779E-3</v>
      </c>
      <c r="F5127" s="423">
        <v>0.36956967281470449</v>
      </c>
      <c r="G5127" s="422">
        <v>243.09698826195449</v>
      </c>
      <c r="H5127" s="417" t="s">
        <v>2616</v>
      </c>
      <c r="I5127" s="417" t="s">
        <v>1392</v>
      </c>
      <c r="J5127" s="417" t="s">
        <v>4245</v>
      </c>
      <c r="K5127" s="417" t="s">
        <v>12731</v>
      </c>
      <c r="L5127" s="417"/>
      <c r="M5127" s="417" t="s">
        <v>28840</v>
      </c>
    </row>
    <row r="5128" spans="1:13" x14ac:dyDescent="0.25">
      <c r="A5128" s="417" t="s">
        <v>3385</v>
      </c>
      <c r="B5128" s="417" t="s">
        <v>3405</v>
      </c>
      <c r="C5128" s="417" t="s">
        <v>12732</v>
      </c>
      <c r="D5128" s="417" t="s">
        <v>73</v>
      </c>
      <c r="E5128" s="423">
        <v>8.1786981544561075E-3</v>
      </c>
      <c r="F5128" s="423">
        <v>0.3696667995074952</v>
      </c>
      <c r="G5128" s="422">
        <v>259.20658867545262</v>
      </c>
      <c r="H5128" s="417" t="s">
        <v>2616</v>
      </c>
      <c r="I5128" s="417" t="s">
        <v>1392</v>
      </c>
      <c r="J5128" s="417" t="s">
        <v>4245</v>
      </c>
      <c r="K5128" s="417" t="s">
        <v>12733</v>
      </c>
      <c r="L5128" s="417"/>
      <c r="M5128" s="417" t="s">
        <v>28840</v>
      </c>
    </row>
    <row r="5129" spans="1:13" x14ac:dyDescent="0.25">
      <c r="A5129" s="417" t="s">
        <v>3385</v>
      </c>
      <c r="B5129" s="417" t="s">
        <v>3405</v>
      </c>
      <c r="C5129" s="417" t="s">
        <v>12734</v>
      </c>
      <c r="D5129" s="417" t="s">
        <v>73</v>
      </c>
      <c r="E5129" s="423">
        <v>8.6949118993521774E-3</v>
      </c>
      <c r="F5129" s="423">
        <v>0.36997671494095469</v>
      </c>
      <c r="G5129" s="422">
        <v>243.50213496829289</v>
      </c>
      <c r="H5129" s="417" t="s">
        <v>2616</v>
      </c>
      <c r="I5129" s="417" t="s">
        <v>1392</v>
      </c>
      <c r="J5129" s="417" t="s">
        <v>4245</v>
      </c>
      <c r="K5129" s="417" t="s">
        <v>12735</v>
      </c>
      <c r="L5129" s="417"/>
      <c r="M5129" s="417" t="s">
        <v>28840</v>
      </c>
    </row>
    <row r="5130" spans="1:13" x14ac:dyDescent="0.25">
      <c r="A5130" s="417" t="s">
        <v>3385</v>
      </c>
      <c r="B5130" s="417" t="s">
        <v>3405</v>
      </c>
      <c r="C5130" s="417" t="s">
        <v>12736</v>
      </c>
      <c r="D5130" s="417" t="s">
        <v>73</v>
      </c>
      <c r="E5130" s="423">
        <v>5.7694456029185699E-3</v>
      </c>
      <c r="F5130" s="423">
        <v>0.1086667858382529</v>
      </c>
      <c r="G5130" s="422">
        <v>39.9719626808076</v>
      </c>
      <c r="H5130" s="417" t="s">
        <v>2616</v>
      </c>
      <c r="I5130" s="417" t="s">
        <v>1392</v>
      </c>
      <c r="J5130" s="417" t="s">
        <v>11284</v>
      </c>
      <c r="K5130" s="417" t="s">
        <v>12737</v>
      </c>
      <c r="L5130" s="417"/>
      <c r="M5130" s="417" t="s">
        <v>28840</v>
      </c>
    </row>
    <row r="5131" spans="1:13" x14ac:dyDescent="0.25">
      <c r="A5131" s="417" t="s">
        <v>3385</v>
      </c>
      <c r="B5131" s="417" t="s">
        <v>3405</v>
      </c>
      <c r="C5131" s="417" t="s">
        <v>12738</v>
      </c>
      <c r="D5131" s="417" t="s">
        <v>73</v>
      </c>
      <c r="E5131" s="423">
        <v>5.3731385265227477E-3</v>
      </c>
      <c r="F5131" s="423">
        <v>0.1098378184575332</v>
      </c>
      <c r="G5131" s="422">
        <v>39.667238339999493</v>
      </c>
      <c r="H5131" s="417" t="s">
        <v>2616</v>
      </c>
      <c r="I5131" s="417" t="s">
        <v>1392</v>
      </c>
      <c r="J5131" s="417" t="s">
        <v>11284</v>
      </c>
      <c r="K5131" s="417" t="s">
        <v>12739</v>
      </c>
      <c r="L5131" s="417"/>
      <c r="M5131" s="417" t="s">
        <v>28840</v>
      </c>
    </row>
    <row r="5132" spans="1:13" x14ac:dyDescent="0.25">
      <c r="A5132" s="417" t="s">
        <v>3385</v>
      </c>
      <c r="B5132" s="417" t="s">
        <v>3405</v>
      </c>
      <c r="C5132" s="417" t="s">
        <v>12740</v>
      </c>
      <c r="D5132" s="417" t="s">
        <v>73</v>
      </c>
      <c r="E5132" s="423">
        <v>5.2525345708952396E-3</v>
      </c>
      <c r="F5132" s="423">
        <v>0.1073834783411788</v>
      </c>
      <c r="G5132" s="422">
        <v>36.946203307227833</v>
      </c>
      <c r="H5132" s="417" t="s">
        <v>2616</v>
      </c>
      <c r="I5132" s="417" t="s">
        <v>1392</v>
      </c>
      <c r="J5132" s="417" t="s">
        <v>11284</v>
      </c>
      <c r="K5132" s="417" t="s">
        <v>12741</v>
      </c>
      <c r="L5132" s="417"/>
      <c r="M5132" s="417" t="s">
        <v>28840</v>
      </c>
    </row>
    <row r="5133" spans="1:13" x14ac:dyDescent="0.25">
      <c r="A5133" s="417" t="s">
        <v>3385</v>
      </c>
      <c r="B5133" s="417" t="s">
        <v>3405</v>
      </c>
      <c r="C5133" s="417" t="s">
        <v>12742</v>
      </c>
      <c r="D5133" s="417" t="s">
        <v>73</v>
      </c>
      <c r="E5133" s="423">
        <v>7.1617937629003953E-3</v>
      </c>
      <c r="F5133" s="423">
        <v>0.1099319020566371</v>
      </c>
      <c r="G5133" s="422">
        <v>48.490597099055783</v>
      </c>
      <c r="H5133" s="417" t="s">
        <v>2616</v>
      </c>
      <c r="I5133" s="417" t="s">
        <v>1392</v>
      </c>
      <c r="J5133" s="417" t="s">
        <v>11284</v>
      </c>
      <c r="K5133" s="417" t="s">
        <v>12743</v>
      </c>
      <c r="L5133" s="417"/>
      <c r="M5133" s="417" t="s">
        <v>28840</v>
      </c>
    </row>
    <row r="5134" spans="1:13" x14ac:dyDescent="0.25">
      <c r="A5134" s="417" t="s">
        <v>3385</v>
      </c>
      <c r="B5134" s="417" t="s">
        <v>3405</v>
      </c>
      <c r="C5134" s="417" t="s">
        <v>12744</v>
      </c>
      <c r="D5134" s="417" t="s">
        <v>73</v>
      </c>
      <c r="E5134" s="423">
        <v>5.0769264316704206E-3</v>
      </c>
      <c r="F5134" s="423">
        <v>0.1086451681114332</v>
      </c>
      <c r="G5134" s="422">
        <v>38.180695987630337</v>
      </c>
      <c r="H5134" s="417" t="s">
        <v>2616</v>
      </c>
      <c r="I5134" s="417" t="s">
        <v>1392</v>
      </c>
      <c r="J5134" s="417" t="s">
        <v>11284</v>
      </c>
      <c r="K5134" s="417" t="s">
        <v>12745</v>
      </c>
      <c r="L5134" s="417"/>
      <c r="M5134" s="417" t="s">
        <v>28840</v>
      </c>
    </row>
    <row r="5135" spans="1:13" x14ac:dyDescent="0.25">
      <c r="A5135" s="417" t="s">
        <v>3385</v>
      </c>
      <c r="B5135" s="417" t="s">
        <v>3405</v>
      </c>
      <c r="C5135" s="417" t="s">
        <v>12746</v>
      </c>
      <c r="D5135" s="417" t="s">
        <v>73</v>
      </c>
      <c r="E5135" s="423">
        <v>4.7141230464210187E-3</v>
      </c>
      <c r="F5135" s="423">
        <v>0.1098172465828441</v>
      </c>
      <c r="G5135" s="422">
        <v>37.962632297886643</v>
      </c>
      <c r="H5135" s="417" t="s">
        <v>2616</v>
      </c>
      <c r="I5135" s="417" t="s">
        <v>1392</v>
      </c>
      <c r="J5135" s="417" t="s">
        <v>11284</v>
      </c>
      <c r="K5135" s="417" t="s">
        <v>12747</v>
      </c>
      <c r="L5135" s="417"/>
      <c r="M5135" s="417" t="s">
        <v>28840</v>
      </c>
    </row>
    <row r="5136" spans="1:13" x14ac:dyDescent="0.25">
      <c r="A5136" s="417" t="s">
        <v>3385</v>
      </c>
      <c r="B5136" s="417" t="s">
        <v>3405</v>
      </c>
      <c r="C5136" s="417" t="s">
        <v>12748</v>
      </c>
      <c r="D5136" s="417" t="s">
        <v>73</v>
      </c>
      <c r="E5136" s="423">
        <v>4.4246841194731804E-3</v>
      </c>
      <c r="F5136" s="423">
        <v>0.10734961930419989</v>
      </c>
      <c r="G5136" s="422">
        <v>34.622607441097877</v>
      </c>
      <c r="H5136" s="417" t="s">
        <v>2616</v>
      </c>
      <c r="I5136" s="417" t="s">
        <v>1392</v>
      </c>
      <c r="J5136" s="417" t="s">
        <v>11284</v>
      </c>
      <c r="K5136" s="417" t="s">
        <v>12749</v>
      </c>
      <c r="L5136" s="417"/>
      <c r="M5136" s="417" t="s">
        <v>28840</v>
      </c>
    </row>
    <row r="5137" spans="1:13" x14ac:dyDescent="0.25">
      <c r="A5137" s="417" t="s">
        <v>3385</v>
      </c>
      <c r="B5137" s="417" t="s">
        <v>3405</v>
      </c>
      <c r="C5137" s="417" t="s">
        <v>12750</v>
      </c>
      <c r="D5137" s="417" t="s">
        <v>73</v>
      </c>
      <c r="E5137" s="423">
        <v>6.5027784390383992E-3</v>
      </c>
      <c r="F5137" s="423">
        <v>0.10991133019334109</v>
      </c>
      <c r="G5137" s="422">
        <v>46.785991476024527</v>
      </c>
      <c r="H5137" s="417" t="s">
        <v>2616</v>
      </c>
      <c r="I5137" s="417" t="s">
        <v>1392</v>
      </c>
      <c r="J5137" s="417" t="s">
        <v>11284</v>
      </c>
      <c r="K5137" s="417" t="s">
        <v>12751</v>
      </c>
      <c r="L5137" s="417"/>
      <c r="M5137" s="417" t="s">
        <v>28840</v>
      </c>
    </row>
    <row r="5138" spans="1:13" x14ac:dyDescent="0.25">
      <c r="A5138" s="417" t="s">
        <v>3385</v>
      </c>
      <c r="B5138" s="417" t="s">
        <v>3405</v>
      </c>
      <c r="C5138" s="417" t="s">
        <v>12752</v>
      </c>
      <c r="D5138" s="417" t="s">
        <v>73</v>
      </c>
      <c r="E5138" s="423">
        <v>9.8010448579798019E-3</v>
      </c>
      <c r="F5138" s="423">
        <v>0.1153395818559777</v>
      </c>
      <c r="G5138" s="422">
        <v>68.794988429108173</v>
      </c>
      <c r="H5138" s="417" t="s">
        <v>2616</v>
      </c>
      <c r="I5138" s="417" t="s">
        <v>1392</v>
      </c>
      <c r="J5138" s="417" t="s">
        <v>11284</v>
      </c>
      <c r="K5138" s="417" t="s">
        <v>12753</v>
      </c>
      <c r="L5138" s="417"/>
      <c r="M5138" s="417" t="s">
        <v>28840</v>
      </c>
    </row>
    <row r="5139" spans="1:13" x14ac:dyDescent="0.25">
      <c r="A5139" s="417" t="s">
        <v>3385</v>
      </c>
      <c r="B5139" s="417" t="s">
        <v>3405</v>
      </c>
      <c r="C5139" s="417" t="s">
        <v>12754</v>
      </c>
      <c r="D5139" s="417" t="s">
        <v>73</v>
      </c>
      <c r="E5139" s="423">
        <v>7.7363663898578289E-3</v>
      </c>
      <c r="F5139" s="423">
        <v>0.11377316340092759</v>
      </c>
      <c r="G5139" s="422">
        <v>63.093902231639831</v>
      </c>
      <c r="H5139" s="417" t="s">
        <v>2616</v>
      </c>
      <c r="I5139" s="417" t="s">
        <v>1392</v>
      </c>
      <c r="J5139" s="417" t="s">
        <v>11284</v>
      </c>
      <c r="K5139" s="417" t="s">
        <v>12755</v>
      </c>
      <c r="L5139" s="417"/>
      <c r="M5139" s="417" t="s">
        <v>28840</v>
      </c>
    </row>
    <row r="5140" spans="1:13" x14ac:dyDescent="0.25">
      <c r="A5140" s="417" t="s">
        <v>3385</v>
      </c>
      <c r="B5140" s="417" t="s">
        <v>3405</v>
      </c>
      <c r="C5140" s="417" t="s">
        <v>12756</v>
      </c>
      <c r="D5140" s="417" t="s">
        <v>73</v>
      </c>
      <c r="E5140" s="423">
        <v>1.082208691289614E-2</v>
      </c>
      <c r="F5140" s="423">
        <v>0.11987502134351501</v>
      </c>
      <c r="G5140" s="422">
        <v>72.490769403376575</v>
      </c>
      <c r="H5140" s="417" t="s">
        <v>2616</v>
      </c>
      <c r="I5140" s="417" t="s">
        <v>1392</v>
      </c>
      <c r="J5140" s="417" t="s">
        <v>11284</v>
      </c>
      <c r="K5140" s="417" t="s">
        <v>12757</v>
      </c>
      <c r="L5140" s="417"/>
      <c r="M5140" s="417" t="s">
        <v>28840</v>
      </c>
    </row>
    <row r="5141" spans="1:13" x14ac:dyDescent="0.25">
      <c r="A5141" s="417" t="s">
        <v>3385</v>
      </c>
      <c r="B5141" s="417" t="s">
        <v>3405</v>
      </c>
      <c r="C5141" s="417" t="s">
        <v>12758</v>
      </c>
      <c r="D5141" s="417" t="s">
        <v>73</v>
      </c>
      <c r="E5141" s="423">
        <v>0.1088458917307539</v>
      </c>
      <c r="F5141" s="423">
        <v>5.6426397479229405E-4</v>
      </c>
      <c r="G5141" s="422">
        <v>139.3334782839712</v>
      </c>
      <c r="H5141" s="417" t="s">
        <v>2616</v>
      </c>
      <c r="I5141" s="417" t="s">
        <v>1392</v>
      </c>
      <c r="J5141" s="417" t="s">
        <v>12759</v>
      </c>
      <c r="K5141" s="417" t="s">
        <v>12760</v>
      </c>
      <c r="L5141" s="417"/>
      <c r="M5141" s="417" t="s">
        <v>28840</v>
      </c>
    </row>
    <row r="5142" spans="1:13" x14ac:dyDescent="0.25">
      <c r="A5142" s="417" t="s">
        <v>3385</v>
      </c>
      <c r="B5142" s="417" t="s">
        <v>3405</v>
      </c>
      <c r="C5142" s="417" t="s">
        <v>12761</v>
      </c>
      <c r="D5142" s="417" t="s">
        <v>73</v>
      </c>
      <c r="E5142" s="423">
        <v>9.9888762890019724E-3</v>
      </c>
      <c r="F5142" s="423">
        <v>0.110881287193849</v>
      </c>
      <c r="G5142" s="422">
        <v>43.120737345287587</v>
      </c>
      <c r="H5142" s="417" t="s">
        <v>2616</v>
      </c>
      <c r="I5142" s="417" t="s">
        <v>1392</v>
      </c>
      <c r="J5142" s="417" t="s">
        <v>11284</v>
      </c>
      <c r="K5142" s="417" t="s">
        <v>12762</v>
      </c>
      <c r="L5142" s="417"/>
      <c r="M5142" s="417" t="s">
        <v>28840</v>
      </c>
    </row>
    <row r="5143" spans="1:13" x14ac:dyDescent="0.25">
      <c r="A5143" s="417" t="s">
        <v>3385</v>
      </c>
      <c r="B5143" s="417" t="s">
        <v>3405</v>
      </c>
      <c r="C5143" s="417" t="s">
        <v>12763</v>
      </c>
      <c r="D5143" s="417" t="s">
        <v>73</v>
      </c>
      <c r="E5143" s="423">
        <v>8.04514942363929E-3</v>
      </c>
      <c r="F5143" s="423">
        <v>0.10234508887359869</v>
      </c>
      <c r="G5143" s="422">
        <v>34.299229661575318</v>
      </c>
      <c r="H5143" s="417" t="s">
        <v>2616</v>
      </c>
      <c r="I5143" s="417" t="s">
        <v>1392</v>
      </c>
      <c r="J5143" s="417" t="s">
        <v>11284</v>
      </c>
      <c r="K5143" s="417" t="s">
        <v>12764</v>
      </c>
      <c r="L5143" s="417"/>
      <c r="M5143" s="417" t="s">
        <v>28840</v>
      </c>
    </row>
    <row r="5144" spans="1:13" x14ac:dyDescent="0.25">
      <c r="A5144" s="417" t="s">
        <v>3385</v>
      </c>
      <c r="B5144" s="417" t="s">
        <v>3405</v>
      </c>
      <c r="C5144" s="417" t="s">
        <v>12765</v>
      </c>
      <c r="D5144" s="417" t="s">
        <v>73</v>
      </c>
      <c r="E5144" s="423">
        <v>8.6300935549067301E-3</v>
      </c>
      <c r="F5144" s="423">
        <v>0.1058337363984436</v>
      </c>
      <c r="G5144" s="422">
        <v>37.268434905890437</v>
      </c>
      <c r="H5144" s="417" t="s">
        <v>2616</v>
      </c>
      <c r="I5144" s="417" t="s">
        <v>1392</v>
      </c>
      <c r="J5144" s="417" t="s">
        <v>11284</v>
      </c>
      <c r="K5144" s="417" t="s">
        <v>12766</v>
      </c>
      <c r="L5144" s="417"/>
      <c r="M5144" s="417" t="s">
        <v>28840</v>
      </c>
    </row>
    <row r="5145" spans="1:13" x14ac:dyDescent="0.25">
      <c r="A5145" s="417" t="s">
        <v>3385</v>
      </c>
      <c r="B5145" s="417" t="s">
        <v>2627</v>
      </c>
      <c r="C5145" s="417" t="s">
        <v>12767</v>
      </c>
      <c r="D5145" s="417" t="s">
        <v>563</v>
      </c>
      <c r="E5145" s="423">
        <v>1.201131635203909</v>
      </c>
      <c r="F5145" s="423">
        <v>4.3850066088035697E-2</v>
      </c>
      <c r="G5145" s="422">
        <v>2055.185202051076</v>
      </c>
      <c r="H5145" s="417" t="s">
        <v>2616</v>
      </c>
      <c r="I5145" s="417" t="s">
        <v>1392</v>
      </c>
      <c r="J5145" s="417" t="s">
        <v>4347</v>
      </c>
      <c r="K5145" s="417" t="s">
        <v>12768</v>
      </c>
      <c r="L5145" s="417"/>
      <c r="M5145" s="417" t="s">
        <v>28840</v>
      </c>
    </row>
    <row r="5146" spans="1:13" x14ac:dyDescent="0.25">
      <c r="A5146" s="417" t="s">
        <v>3385</v>
      </c>
      <c r="B5146" s="417" t="s">
        <v>2627</v>
      </c>
      <c r="C5146" s="417" t="s">
        <v>12769</v>
      </c>
      <c r="D5146" s="417" t="s">
        <v>563</v>
      </c>
      <c r="E5146" s="423">
        <v>17.203230469132031</v>
      </c>
      <c r="F5146" s="423">
        <v>0.77129875925224611</v>
      </c>
      <c r="G5146" s="422">
        <v>83232.983075311844</v>
      </c>
      <c r="H5146" s="417" t="s">
        <v>2616</v>
      </c>
      <c r="I5146" s="417" t="s">
        <v>1392</v>
      </c>
      <c r="J5146" s="417" t="s">
        <v>4347</v>
      </c>
      <c r="K5146" s="417" t="s">
        <v>12770</v>
      </c>
      <c r="L5146" s="417"/>
      <c r="M5146" s="417" t="s">
        <v>28840</v>
      </c>
    </row>
    <row r="5147" spans="1:13" x14ac:dyDescent="0.25">
      <c r="A5147" s="417" t="s">
        <v>3385</v>
      </c>
      <c r="B5147" s="417" t="s">
        <v>2627</v>
      </c>
      <c r="C5147" s="417" t="s">
        <v>12771</v>
      </c>
      <c r="D5147" s="417" t="s">
        <v>563</v>
      </c>
      <c r="E5147" s="423">
        <v>39.785589793329123</v>
      </c>
      <c r="F5147" s="423">
        <v>1.571969480342319</v>
      </c>
      <c r="G5147" s="422">
        <v>173093.9402600211</v>
      </c>
      <c r="H5147" s="417" t="s">
        <v>2616</v>
      </c>
      <c r="I5147" s="417" t="s">
        <v>1392</v>
      </c>
      <c r="J5147" s="417" t="s">
        <v>4347</v>
      </c>
      <c r="K5147" s="417" t="s">
        <v>12772</v>
      </c>
      <c r="L5147" s="417"/>
      <c r="M5147" s="417" t="s">
        <v>28840</v>
      </c>
    </row>
    <row r="5148" spans="1:13" x14ac:dyDescent="0.25">
      <c r="A5148" s="417" t="s">
        <v>3385</v>
      </c>
      <c r="B5148" s="417" t="s">
        <v>3405</v>
      </c>
      <c r="C5148" s="417" t="s">
        <v>12773</v>
      </c>
      <c r="D5148" s="417" t="s">
        <v>989</v>
      </c>
      <c r="E5148" s="423">
        <v>3973.4785242238472</v>
      </c>
      <c r="F5148" s="423">
        <v>200.11749275628401</v>
      </c>
      <c r="G5148" s="422">
        <v>6555511.202154791</v>
      </c>
      <c r="H5148" s="417" t="s">
        <v>2616</v>
      </c>
      <c r="I5148" s="417" t="s">
        <v>1392</v>
      </c>
      <c r="J5148" s="417" t="s">
        <v>3588</v>
      </c>
      <c r="K5148" s="417" t="s">
        <v>12774</v>
      </c>
      <c r="L5148" s="417"/>
      <c r="M5148" s="417" t="s">
        <v>28840</v>
      </c>
    </row>
    <row r="5149" spans="1:13" x14ac:dyDescent="0.25">
      <c r="A5149" s="417" t="s">
        <v>3385</v>
      </c>
      <c r="B5149" s="417" t="s">
        <v>3405</v>
      </c>
      <c r="C5149" s="417" t="s">
        <v>12775</v>
      </c>
      <c r="D5149" s="417" t="s">
        <v>989</v>
      </c>
      <c r="E5149" s="423">
        <v>1914.6128571114809</v>
      </c>
      <c r="F5149" s="423">
        <v>57.101202399972053</v>
      </c>
      <c r="G5149" s="422">
        <v>2868075.5855130069</v>
      </c>
      <c r="H5149" s="417" t="s">
        <v>2616</v>
      </c>
      <c r="I5149" s="417" t="s">
        <v>1392</v>
      </c>
      <c r="J5149" s="417" t="s">
        <v>3588</v>
      </c>
      <c r="K5149" s="417" t="s">
        <v>12776</v>
      </c>
      <c r="L5149" s="417"/>
      <c r="M5149" s="417" t="s">
        <v>28840</v>
      </c>
    </row>
    <row r="5150" spans="1:13" x14ac:dyDescent="0.25">
      <c r="A5150" s="417" t="s">
        <v>3385</v>
      </c>
      <c r="B5150" s="417" t="s">
        <v>2437</v>
      </c>
      <c r="C5150" s="417" t="s">
        <v>630</v>
      </c>
      <c r="D5150" s="417" t="s">
        <v>989</v>
      </c>
      <c r="E5150" s="423">
        <v>176286.86882907021</v>
      </c>
      <c r="F5150" s="423">
        <v>7498.8621747742873</v>
      </c>
      <c r="G5150" s="422">
        <v>490993780.1966632</v>
      </c>
      <c r="H5150" s="417" t="s">
        <v>2616</v>
      </c>
      <c r="I5150" s="417" t="s">
        <v>28985</v>
      </c>
      <c r="J5150" s="417" t="s">
        <v>4167</v>
      </c>
      <c r="K5150" s="417" t="s">
        <v>12777</v>
      </c>
      <c r="L5150" s="417"/>
      <c r="M5150" s="417" t="s">
        <v>28840</v>
      </c>
    </row>
    <row r="5151" spans="1:13" x14ac:dyDescent="0.25">
      <c r="A5151" s="417" t="s">
        <v>3385</v>
      </c>
      <c r="B5151" s="417" t="s">
        <v>2437</v>
      </c>
      <c r="C5151" s="417" t="s">
        <v>12778</v>
      </c>
      <c r="D5151" s="417" t="s">
        <v>989</v>
      </c>
      <c r="E5151" s="423">
        <v>103071.72987170931</v>
      </c>
      <c r="F5151" s="423">
        <v>4766.1086197015902</v>
      </c>
      <c r="G5151" s="422">
        <v>255230580.9320311</v>
      </c>
      <c r="H5151" s="417" t="s">
        <v>2616</v>
      </c>
      <c r="I5151" s="417" t="s">
        <v>1392</v>
      </c>
      <c r="J5151" s="417" t="s">
        <v>4167</v>
      </c>
      <c r="K5151" s="417" t="s">
        <v>12779</v>
      </c>
      <c r="L5151" s="417"/>
      <c r="M5151" s="417" t="s">
        <v>28840</v>
      </c>
    </row>
    <row r="5152" spans="1:13" x14ac:dyDescent="0.25">
      <c r="A5152" s="417" t="s">
        <v>3385</v>
      </c>
      <c r="B5152" s="417" t="s">
        <v>2437</v>
      </c>
      <c r="C5152" s="417" t="s">
        <v>634</v>
      </c>
      <c r="D5152" s="417" t="s">
        <v>989</v>
      </c>
      <c r="E5152" s="423">
        <v>198242.55272213169</v>
      </c>
      <c r="F5152" s="423">
        <v>8616.4887124948127</v>
      </c>
      <c r="G5152" s="422">
        <v>542798366.81607008</v>
      </c>
      <c r="H5152" s="417" t="s">
        <v>2616</v>
      </c>
      <c r="I5152" s="417" t="s">
        <v>28985</v>
      </c>
      <c r="J5152" s="417" t="s">
        <v>4167</v>
      </c>
      <c r="K5152" s="417" t="s">
        <v>12780</v>
      </c>
      <c r="L5152" s="417"/>
      <c r="M5152" s="417" t="s">
        <v>28840</v>
      </c>
    </row>
    <row r="5153" spans="1:13" x14ac:dyDescent="0.25">
      <c r="A5153" s="417" t="s">
        <v>3385</v>
      </c>
      <c r="B5153" s="417" t="s">
        <v>2437</v>
      </c>
      <c r="C5153" s="417" t="s">
        <v>12781</v>
      </c>
      <c r="D5153" s="417" t="s">
        <v>989</v>
      </c>
      <c r="E5153" s="423">
        <v>122657.41796774</v>
      </c>
      <c r="F5153" s="423">
        <v>5789.7221848798736</v>
      </c>
      <c r="G5153" s="422">
        <v>299288018.15713167</v>
      </c>
      <c r="H5153" s="417" t="s">
        <v>2616</v>
      </c>
      <c r="I5153" s="417" t="s">
        <v>1392</v>
      </c>
      <c r="J5153" s="417" t="s">
        <v>4167</v>
      </c>
      <c r="K5153" s="417" t="s">
        <v>12782</v>
      </c>
      <c r="L5153" s="417"/>
      <c r="M5153" s="417" t="s">
        <v>28840</v>
      </c>
    </row>
    <row r="5154" spans="1:13" x14ac:dyDescent="0.25">
      <c r="A5154" s="417" t="s">
        <v>3385</v>
      </c>
      <c r="B5154" s="417" t="s">
        <v>2437</v>
      </c>
      <c r="C5154" s="417" t="s">
        <v>12783</v>
      </c>
      <c r="D5154" s="417" t="s">
        <v>989</v>
      </c>
      <c r="E5154" s="423">
        <v>168803.29167674371</v>
      </c>
      <c r="F5154" s="423">
        <v>7624.2300606170966</v>
      </c>
      <c r="G5154" s="422">
        <v>498059381.97056472</v>
      </c>
      <c r="H5154" s="417" t="s">
        <v>2616</v>
      </c>
      <c r="I5154" s="417" t="s">
        <v>1392</v>
      </c>
      <c r="J5154" s="417" t="s">
        <v>4167</v>
      </c>
      <c r="K5154" s="417" t="s">
        <v>12784</v>
      </c>
      <c r="L5154" s="417"/>
      <c r="M5154" s="417" t="s">
        <v>28840</v>
      </c>
    </row>
    <row r="5155" spans="1:13" x14ac:dyDescent="0.25">
      <c r="A5155" s="417" t="s">
        <v>3385</v>
      </c>
      <c r="B5155" s="417" t="s">
        <v>2437</v>
      </c>
      <c r="C5155" s="417" t="s">
        <v>12785</v>
      </c>
      <c r="D5155" s="417" t="s">
        <v>989</v>
      </c>
      <c r="E5155" s="423">
        <v>100728.2253714395</v>
      </c>
      <c r="F5155" s="423">
        <v>4824.3888325452499</v>
      </c>
      <c r="G5155" s="422">
        <v>258992874.76261929</v>
      </c>
      <c r="H5155" s="417" t="s">
        <v>2616</v>
      </c>
      <c r="I5155" s="417" t="s">
        <v>1392</v>
      </c>
      <c r="J5155" s="417" t="s">
        <v>4167</v>
      </c>
      <c r="K5155" s="417" t="s">
        <v>12786</v>
      </c>
      <c r="L5155" s="417"/>
      <c r="M5155" s="417" t="s">
        <v>28840</v>
      </c>
    </row>
    <row r="5156" spans="1:13" x14ac:dyDescent="0.25">
      <c r="A5156" s="417" t="s">
        <v>3385</v>
      </c>
      <c r="B5156" s="417" t="s">
        <v>2437</v>
      </c>
      <c r="C5156" s="417" t="s">
        <v>12787</v>
      </c>
      <c r="D5156" s="417" t="s">
        <v>989</v>
      </c>
      <c r="E5156" s="423">
        <v>190725.05586953671</v>
      </c>
      <c r="F5156" s="423">
        <v>8764.1110460782693</v>
      </c>
      <c r="G5156" s="422">
        <v>551805399.45152485</v>
      </c>
      <c r="H5156" s="417" t="s">
        <v>2616</v>
      </c>
      <c r="I5156" s="417" t="s">
        <v>1392</v>
      </c>
      <c r="J5156" s="417" t="s">
        <v>4167</v>
      </c>
      <c r="K5156" s="417" t="s">
        <v>12788</v>
      </c>
      <c r="L5156" s="417"/>
      <c r="M5156" s="417" t="s">
        <v>28840</v>
      </c>
    </row>
    <row r="5157" spans="1:13" x14ac:dyDescent="0.25">
      <c r="A5157" s="417" t="s">
        <v>3385</v>
      </c>
      <c r="B5157" s="417" t="s">
        <v>2437</v>
      </c>
      <c r="C5157" s="417" t="s">
        <v>12789</v>
      </c>
      <c r="D5157" s="417" t="s">
        <v>989</v>
      </c>
      <c r="E5157" s="423">
        <v>120425.59997603251</v>
      </c>
      <c r="F5157" s="423">
        <v>5864.9555953191539</v>
      </c>
      <c r="G5157" s="422">
        <v>304347509.73607928</v>
      </c>
      <c r="H5157" s="417" t="s">
        <v>2616</v>
      </c>
      <c r="I5157" s="417" t="s">
        <v>1392</v>
      </c>
      <c r="J5157" s="417" t="s">
        <v>4167</v>
      </c>
      <c r="K5157" s="417" t="s">
        <v>12790</v>
      </c>
      <c r="L5157" s="417"/>
      <c r="M5157" s="417" t="s">
        <v>28840</v>
      </c>
    </row>
    <row r="5158" spans="1:13" x14ac:dyDescent="0.25">
      <c r="A5158" s="417" t="s">
        <v>3385</v>
      </c>
      <c r="B5158" s="417" t="s">
        <v>2437</v>
      </c>
      <c r="C5158" s="417" t="s">
        <v>12791</v>
      </c>
      <c r="D5158" s="417" t="s">
        <v>989</v>
      </c>
      <c r="E5158" s="423">
        <v>184440.33737082829</v>
      </c>
      <c r="F5158" s="423">
        <v>8533.4953757175062</v>
      </c>
      <c r="G5158" s="422">
        <v>534127803.21500462</v>
      </c>
      <c r="H5158" s="417" t="s">
        <v>2616</v>
      </c>
      <c r="I5158" s="417" t="s">
        <v>1392</v>
      </c>
      <c r="J5158" s="417" t="s">
        <v>4167</v>
      </c>
      <c r="K5158" s="417" t="s">
        <v>12792</v>
      </c>
      <c r="L5158" s="417"/>
      <c r="M5158" s="417" t="s">
        <v>28840</v>
      </c>
    </row>
    <row r="5159" spans="1:13" x14ac:dyDescent="0.25">
      <c r="A5159" s="417" t="s">
        <v>3385</v>
      </c>
      <c r="B5159" s="417" t="s">
        <v>2437</v>
      </c>
      <c r="C5159" s="417" t="s">
        <v>12793</v>
      </c>
      <c r="D5159" s="417" t="s">
        <v>989</v>
      </c>
      <c r="E5159" s="423">
        <v>106099.2475855204</v>
      </c>
      <c r="F5159" s="423">
        <v>5134.323139068314</v>
      </c>
      <c r="G5159" s="422">
        <v>270918100.32360959</v>
      </c>
      <c r="H5159" s="417" t="s">
        <v>2616</v>
      </c>
      <c r="I5159" s="417" t="s">
        <v>1392</v>
      </c>
      <c r="J5159" s="417" t="s">
        <v>4167</v>
      </c>
      <c r="K5159" s="417" t="s">
        <v>12794</v>
      </c>
      <c r="L5159" s="417"/>
      <c r="M5159" s="417" t="s">
        <v>28840</v>
      </c>
    </row>
    <row r="5160" spans="1:13" x14ac:dyDescent="0.25">
      <c r="A5160" s="417" t="s">
        <v>3385</v>
      </c>
      <c r="B5160" s="417" t="s">
        <v>2437</v>
      </c>
      <c r="C5160" s="417" t="s">
        <v>12795</v>
      </c>
      <c r="D5160" s="417" t="s">
        <v>989</v>
      </c>
      <c r="E5160" s="423">
        <v>207235.44727080481</v>
      </c>
      <c r="F5160" s="423">
        <v>9725.8467990134741</v>
      </c>
      <c r="G5160" s="422">
        <v>589703981.79181087</v>
      </c>
      <c r="H5160" s="417" t="s">
        <v>2616</v>
      </c>
      <c r="I5160" s="417" t="s">
        <v>1392</v>
      </c>
      <c r="J5160" s="417" t="s">
        <v>4167</v>
      </c>
      <c r="K5160" s="417" t="s">
        <v>12796</v>
      </c>
      <c r="L5160" s="417"/>
      <c r="M5160" s="417" t="s">
        <v>28840</v>
      </c>
    </row>
    <row r="5161" spans="1:13" x14ac:dyDescent="0.25">
      <c r="A5161" s="417" t="s">
        <v>3385</v>
      </c>
      <c r="B5161" s="417" t="s">
        <v>2437</v>
      </c>
      <c r="C5161" s="417" t="s">
        <v>12797</v>
      </c>
      <c r="D5161" s="417" t="s">
        <v>989</v>
      </c>
      <c r="E5161" s="423">
        <v>125897.75951321291</v>
      </c>
      <c r="F5161" s="423">
        <v>6192.7404422211021</v>
      </c>
      <c r="G5161" s="422">
        <v>316244839.13878942</v>
      </c>
      <c r="H5161" s="417" t="s">
        <v>2616</v>
      </c>
      <c r="I5161" s="417" t="s">
        <v>1392</v>
      </c>
      <c r="J5161" s="417" t="s">
        <v>4167</v>
      </c>
      <c r="K5161" s="417" t="s">
        <v>12798</v>
      </c>
      <c r="L5161" s="417"/>
      <c r="M5161" s="417" t="s">
        <v>28840</v>
      </c>
    </row>
    <row r="5162" spans="1:13" x14ac:dyDescent="0.25">
      <c r="A5162" s="417" t="s">
        <v>3385</v>
      </c>
      <c r="B5162" s="417" t="s">
        <v>2437</v>
      </c>
      <c r="C5162" s="417" t="s">
        <v>12799</v>
      </c>
      <c r="D5162" s="417" t="s">
        <v>989</v>
      </c>
      <c r="E5162" s="423">
        <v>71849.628903696052</v>
      </c>
      <c r="F5162" s="423">
        <v>3609.26132579467</v>
      </c>
      <c r="G5162" s="422">
        <v>143802943.23646721</v>
      </c>
      <c r="H5162" s="417" t="s">
        <v>2616</v>
      </c>
      <c r="I5162" s="417" t="s">
        <v>1392</v>
      </c>
      <c r="J5162" s="417" t="s">
        <v>4167</v>
      </c>
      <c r="K5162" s="417" t="s">
        <v>12800</v>
      </c>
      <c r="L5162" s="417"/>
      <c r="M5162" s="417" t="s">
        <v>28840</v>
      </c>
    </row>
    <row r="5163" spans="1:13" x14ac:dyDescent="0.25">
      <c r="A5163" s="417" t="s">
        <v>3385</v>
      </c>
      <c r="B5163" s="417" t="s">
        <v>2437</v>
      </c>
      <c r="C5163" s="417" t="s">
        <v>12801</v>
      </c>
      <c r="D5163" s="417" t="s">
        <v>989</v>
      </c>
      <c r="E5163" s="423">
        <v>70660.181946254321</v>
      </c>
      <c r="F5163" s="423">
        <v>3559.737175434821</v>
      </c>
      <c r="G5163" s="422">
        <v>141128667.89948341</v>
      </c>
      <c r="H5163" s="417" t="s">
        <v>2616</v>
      </c>
      <c r="I5163" s="417" t="s">
        <v>1392</v>
      </c>
      <c r="J5163" s="417" t="s">
        <v>4167</v>
      </c>
      <c r="K5163" s="417" t="s">
        <v>12802</v>
      </c>
      <c r="L5163" s="417"/>
      <c r="M5163" s="417" t="s">
        <v>28840</v>
      </c>
    </row>
    <row r="5164" spans="1:13" x14ac:dyDescent="0.25">
      <c r="A5164" s="417" t="s">
        <v>3385</v>
      </c>
      <c r="B5164" s="417" t="s">
        <v>2437</v>
      </c>
      <c r="C5164" s="417" t="s">
        <v>12803</v>
      </c>
      <c r="D5164" s="417" t="s">
        <v>989</v>
      </c>
      <c r="E5164" s="423">
        <v>70059.096513904195</v>
      </c>
      <c r="F5164" s="423">
        <v>3534.6963663529082</v>
      </c>
      <c r="G5164" s="422">
        <v>139778039.91373661</v>
      </c>
      <c r="H5164" s="417" t="s">
        <v>2616</v>
      </c>
      <c r="I5164" s="417" t="s">
        <v>1392</v>
      </c>
      <c r="J5164" s="417" t="s">
        <v>4167</v>
      </c>
      <c r="K5164" s="417" t="s">
        <v>12804</v>
      </c>
      <c r="L5164" s="417"/>
      <c r="M5164" s="417" t="s">
        <v>28840</v>
      </c>
    </row>
    <row r="5165" spans="1:13" x14ac:dyDescent="0.25">
      <c r="A5165" s="417" t="s">
        <v>3385</v>
      </c>
      <c r="B5165" s="417" t="s">
        <v>2437</v>
      </c>
      <c r="C5165" s="417" t="s">
        <v>12805</v>
      </c>
      <c r="D5165" s="417" t="s">
        <v>989</v>
      </c>
      <c r="E5165" s="423">
        <v>89091.590557773423</v>
      </c>
      <c r="F5165" s="423">
        <v>4542.1672395783571</v>
      </c>
      <c r="G5165" s="422">
        <v>178560049.6877034</v>
      </c>
      <c r="H5165" s="417" t="s">
        <v>2616</v>
      </c>
      <c r="I5165" s="417" t="s">
        <v>1392</v>
      </c>
      <c r="J5165" s="417" t="s">
        <v>4167</v>
      </c>
      <c r="K5165" s="417" t="s">
        <v>12806</v>
      </c>
      <c r="L5165" s="417"/>
      <c r="M5165" s="417" t="s">
        <v>28840</v>
      </c>
    </row>
    <row r="5166" spans="1:13" x14ac:dyDescent="0.25">
      <c r="A5166" s="417" t="s">
        <v>3385</v>
      </c>
      <c r="B5166" s="417" t="s">
        <v>2437</v>
      </c>
      <c r="C5166" s="417" t="s">
        <v>12807</v>
      </c>
      <c r="D5166" s="417" t="s">
        <v>989</v>
      </c>
      <c r="E5166" s="423">
        <v>87900.56550124388</v>
      </c>
      <c r="F5166" s="423">
        <v>4492.5738121307031</v>
      </c>
      <c r="G5166" s="422">
        <v>175883312.46620089</v>
      </c>
      <c r="H5166" s="417" t="s">
        <v>2616</v>
      </c>
      <c r="I5166" s="417" t="s">
        <v>1392</v>
      </c>
      <c r="J5166" s="417" t="s">
        <v>4167</v>
      </c>
      <c r="K5166" s="417" t="s">
        <v>12808</v>
      </c>
      <c r="L5166" s="417"/>
      <c r="M5166" s="417" t="s">
        <v>28840</v>
      </c>
    </row>
    <row r="5167" spans="1:13" x14ac:dyDescent="0.25">
      <c r="A5167" s="417" t="s">
        <v>3385</v>
      </c>
      <c r="B5167" s="417" t="s">
        <v>2437</v>
      </c>
      <c r="C5167" s="417" t="s">
        <v>12809</v>
      </c>
      <c r="D5167" s="417" t="s">
        <v>989</v>
      </c>
      <c r="E5167" s="423">
        <v>87298.954037182484</v>
      </c>
      <c r="F5167" s="423">
        <v>4467.5099106703547</v>
      </c>
      <c r="G5167" s="422">
        <v>174531863.86396971</v>
      </c>
      <c r="H5167" s="417" t="s">
        <v>2616</v>
      </c>
      <c r="I5167" s="417" t="s">
        <v>1392</v>
      </c>
      <c r="J5167" s="417" t="s">
        <v>4167</v>
      </c>
      <c r="K5167" s="417" t="s">
        <v>12810</v>
      </c>
      <c r="L5167" s="417"/>
      <c r="M5167" s="417" t="s">
        <v>28840</v>
      </c>
    </row>
    <row r="5168" spans="1:13" x14ac:dyDescent="0.25">
      <c r="A5168" s="417" t="s">
        <v>3385</v>
      </c>
      <c r="B5168" s="417" t="s">
        <v>2437</v>
      </c>
      <c r="C5168" s="417" t="s">
        <v>12811</v>
      </c>
      <c r="D5168" s="417" t="s">
        <v>989</v>
      </c>
      <c r="E5168" s="423">
        <v>68363.237543188705</v>
      </c>
      <c r="F5168" s="423">
        <v>3492.0066331853268</v>
      </c>
      <c r="G5168" s="422">
        <v>138730632.4524782</v>
      </c>
      <c r="H5168" s="417" t="s">
        <v>2616</v>
      </c>
      <c r="I5168" s="417" t="s">
        <v>1392</v>
      </c>
      <c r="J5168" s="417" t="s">
        <v>4167</v>
      </c>
      <c r="K5168" s="417" t="s">
        <v>12812</v>
      </c>
      <c r="L5168" s="417"/>
      <c r="M5168" s="417" t="s">
        <v>28840</v>
      </c>
    </row>
    <row r="5169" spans="1:13" x14ac:dyDescent="0.25">
      <c r="A5169" s="417" t="s">
        <v>3385</v>
      </c>
      <c r="B5169" s="417" t="s">
        <v>2437</v>
      </c>
      <c r="C5169" s="417" t="s">
        <v>611</v>
      </c>
      <c r="D5169" s="417" t="s">
        <v>989</v>
      </c>
      <c r="E5169" s="423">
        <v>68152.89014491206</v>
      </c>
      <c r="F5169" s="423">
        <v>3484.1481102360231</v>
      </c>
      <c r="G5169" s="422">
        <v>138302980.72583789</v>
      </c>
      <c r="H5169" s="417" t="s">
        <v>2616</v>
      </c>
      <c r="I5169" s="417" t="s">
        <v>28985</v>
      </c>
      <c r="J5169" s="417" t="s">
        <v>4167</v>
      </c>
      <c r="K5169" s="417" t="s">
        <v>12813</v>
      </c>
      <c r="L5169" s="417"/>
      <c r="M5169" s="417" t="s">
        <v>28840</v>
      </c>
    </row>
    <row r="5170" spans="1:13" x14ac:dyDescent="0.25">
      <c r="A5170" s="417" t="s">
        <v>3385</v>
      </c>
      <c r="B5170" s="417" t="s">
        <v>2437</v>
      </c>
      <c r="C5170" s="417" t="s">
        <v>12814</v>
      </c>
      <c r="D5170" s="417" t="s">
        <v>989</v>
      </c>
      <c r="E5170" s="423">
        <v>67918.255504902394</v>
      </c>
      <c r="F5170" s="423">
        <v>3475.2427179236361</v>
      </c>
      <c r="G5170" s="422">
        <v>137818676.31750071</v>
      </c>
      <c r="H5170" s="417" t="s">
        <v>2616</v>
      </c>
      <c r="I5170" s="417" t="s">
        <v>1392</v>
      </c>
      <c r="J5170" s="417" t="s">
        <v>4167</v>
      </c>
      <c r="K5170" s="417" t="s">
        <v>12815</v>
      </c>
      <c r="L5170" s="417"/>
      <c r="M5170" s="417" t="s">
        <v>28840</v>
      </c>
    </row>
    <row r="5171" spans="1:13" x14ac:dyDescent="0.25">
      <c r="A5171" s="417" t="s">
        <v>3385</v>
      </c>
      <c r="B5171" s="417" t="s">
        <v>2437</v>
      </c>
      <c r="C5171" s="417" t="s">
        <v>12816</v>
      </c>
      <c r="D5171" s="417" t="s">
        <v>989</v>
      </c>
      <c r="E5171" s="423">
        <v>85305.919410595277</v>
      </c>
      <c r="F5171" s="423">
        <v>4417.3528493671238</v>
      </c>
      <c r="G5171" s="422">
        <v>173250451.85116091</v>
      </c>
      <c r="H5171" s="417" t="s">
        <v>2616</v>
      </c>
      <c r="I5171" s="417" t="s">
        <v>1392</v>
      </c>
      <c r="J5171" s="417" t="s">
        <v>4167</v>
      </c>
      <c r="K5171" s="417" t="s">
        <v>12817</v>
      </c>
      <c r="L5171" s="417"/>
      <c r="M5171" s="417" t="s">
        <v>28840</v>
      </c>
    </row>
    <row r="5172" spans="1:13" x14ac:dyDescent="0.25">
      <c r="A5172" s="417" t="s">
        <v>3385</v>
      </c>
      <c r="B5172" s="417" t="s">
        <v>2437</v>
      </c>
      <c r="C5172" s="417" t="s">
        <v>613</v>
      </c>
      <c r="D5172" s="417" t="s">
        <v>989</v>
      </c>
      <c r="E5172" s="423">
        <v>85085.164543651466</v>
      </c>
      <c r="F5172" s="423">
        <v>4409.1760877119477</v>
      </c>
      <c r="G5172" s="422">
        <v>172804248.78791681</v>
      </c>
      <c r="H5172" s="417" t="s">
        <v>2616</v>
      </c>
      <c r="I5172" s="417" t="s">
        <v>28985</v>
      </c>
      <c r="J5172" s="417" t="s">
        <v>4167</v>
      </c>
      <c r="K5172" s="417" t="s">
        <v>12818</v>
      </c>
      <c r="L5172" s="417"/>
      <c r="M5172" s="417" t="s">
        <v>28840</v>
      </c>
    </row>
    <row r="5173" spans="1:13" x14ac:dyDescent="0.25">
      <c r="A5173" s="417" t="s">
        <v>3385</v>
      </c>
      <c r="B5173" s="417" t="s">
        <v>2437</v>
      </c>
      <c r="C5173" s="417" t="s">
        <v>12819</v>
      </c>
      <c r="D5173" s="417" t="s">
        <v>989</v>
      </c>
      <c r="E5173" s="423">
        <v>84867.393061615425</v>
      </c>
      <c r="F5173" s="423">
        <v>4400.847192094051</v>
      </c>
      <c r="G5173" s="422">
        <v>172353013.2809909</v>
      </c>
      <c r="H5173" s="417" t="s">
        <v>2616</v>
      </c>
      <c r="I5173" s="417" t="s">
        <v>1392</v>
      </c>
      <c r="J5173" s="417" t="s">
        <v>4167</v>
      </c>
      <c r="K5173" s="417" t="s">
        <v>12820</v>
      </c>
      <c r="L5173" s="417"/>
      <c r="M5173" s="417" t="s">
        <v>28840</v>
      </c>
    </row>
    <row r="5174" spans="1:13" x14ac:dyDescent="0.25">
      <c r="A5174" s="417" t="s">
        <v>3385</v>
      </c>
      <c r="B5174" s="417" t="s">
        <v>2437</v>
      </c>
      <c r="C5174" s="417" t="s">
        <v>12821</v>
      </c>
      <c r="D5174" s="417" t="s">
        <v>989</v>
      </c>
      <c r="E5174" s="423">
        <v>69813.28025841144</v>
      </c>
      <c r="F5174" s="423">
        <v>3528.0218499476741</v>
      </c>
      <c r="G5174" s="422">
        <v>139051981.1916762</v>
      </c>
      <c r="H5174" s="417" t="s">
        <v>2616</v>
      </c>
      <c r="I5174" s="417" t="s">
        <v>1392</v>
      </c>
      <c r="J5174" s="417" t="s">
        <v>4167</v>
      </c>
      <c r="K5174" s="417" t="s">
        <v>12822</v>
      </c>
      <c r="L5174" s="417"/>
      <c r="M5174" s="417" t="s">
        <v>28840</v>
      </c>
    </row>
    <row r="5175" spans="1:13" x14ac:dyDescent="0.25">
      <c r="A5175" s="417" t="s">
        <v>3385</v>
      </c>
      <c r="B5175" s="417" t="s">
        <v>2437</v>
      </c>
      <c r="C5175" s="417" t="s">
        <v>12823</v>
      </c>
      <c r="D5175" s="417" t="s">
        <v>989</v>
      </c>
      <c r="E5175" s="423">
        <v>69575.043960768991</v>
      </c>
      <c r="F5175" s="423">
        <v>3519.3876564272282</v>
      </c>
      <c r="G5175" s="422">
        <v>138586032.9968574</v>
      </c>
      <c r="H5175" s="417" t="s">
        <v>2616</v>
      </c>
      <c r="I5175" s="417" t="s">
        <v>1392</v>
      </c>
      <c r="J5175" s="417" t="s">
        <v>4167</v>
      </c>
      <c r="K5175" s="417" t="s">
        <v>12824</v>
      </c>
      <c r="L5175" s="417"/>
      <c r="M5175" s="417" t="s">
        <v>28840</v>
      </c>
    </row>
    <row r="5176" spans="1:13" x14ac:dyDescent="0.25">
      <c r="A5176" s="417" t="s">
        <v>3385</v>
      </c>
      <c r="B5176" s="417" t="s">
        <v>2437</v>
      </c>
      <c r="C5176" s="417" t="s">
        <v>12825</v>
      </c>
      <c r="D5176" s="417" t="s">
        <v>989</v>
      </c>
      <c r="E5176" s="423">
        <v>69394.720067086513</v>
      </c>
      <c r="F5176" s="423">
        <v>3512.1364442461709</v>
      </c>
      <c r="G5176" s="422">
        <v>138209559.5532479</v>
      </c>
      <c r="H5176" s="417" t="s">
        <v>2616</v>
      </c>
      <c r="I5176" s="417" t="s">
        <v>1392</v>
      </c>
      <c r="J5176" s="417" t="s">
        <v>4167</v>
      </c>
      <c r="K5176" s="417" t="s">
        <v>12826</v>
      </c>
      <c r="L5176" s="417"/>
      <c r="M5176" s="417" t="s">
        <v>28840</v>
      </c>
    </row>
    <row r="5177" spans="1:13" x14ac:dyDescent="0.25">
      <c r="A5177" s="417" t="s">
        <v>3385</v>
      </c>
      <c r="B5177" s="417" t="s">
        <v>2437</v>
      </c>
      <c r="C5177" s="417" t="s">
        <v>12827</v>
      </c>
      <c r="D5177" s="417" t="s">
        <v>989</v>
      </c>
      <c r="E5177" s="423">
        <v>69642.089216581866</v>
      </c>
      <c r="F5177" s="423">
        <v>3523.0771949912828</v>
      </c>
      <c r="G5177" s="422">
        <v>138750612.39151859</v>
      </c>
      <c r="H5177" s="417" t="s">
        <v>2616</v>
      </c>
      <c r="I5177" s="417" t="s">
        <v>1392</v>
      </c>
      <c r="J5177" s="417" t="s">
        <v>4167</v>
      </c>
      <c r="K5177" s="417" t="s">
        <v>12828</v>
      </c>
      <c r="L5177" s="417"/>
      <c r="M5177" s="417" t="s">
        <v>28840</v>
      </c>
    </row>
    <row r="5178" spans="1:13" x14ac:dyDescent="0.25">
      <c r="A5178" s="417" t="s">
        <v>3385</v>
      </c>
      <c r="B5178" s="417" t="s">
        <v>2437</v>
      </c>
      <c r="C5178" s="417" t="s">
        <v>12829</v>
      </c>
      <c r="D5178" s="417" t="s">
        <v>989</v>
      </c>
      <c r="E5178" s="423">
        <v>69403.85291908127</v>
      </c>
      <c r="F5178" s="423">
        <v>3514.4430014651621</v>
      </c>
      <c r="G5178" s="422">
        <v>138284664.1295844</v>
      </c>
      <c r="H5178" s="417" t="s">
        <v>2616</v>
      </c>
      <c r="I5178" s="417" t="s">
        <v>1392</v>
      </c>
      <c r="J5178" s="417" t="s">
        <v>4167</v>
      </c>
      <c r="K5178" s="417" t="s">
        <v>12830</v>
      </c>
      <c r="L5178" s="417"/>
      <c r="M5178" s="417" t="s">
        <v>28840</v>
      </c>
    </row>
    <row r="5179" spans="1:13" x14ac:dyDescent="0.25">
      <c r="A5179" s="417" t="s">
        <v>3385</v>
      </c>
      <c r="B5179" s="417" t="s">
        <v>2437</v>
      </c>
      <c r="C5179" s="417" t="s">
        <v>12831</v>
      </c>
      <c r="D5179" s="417" t="s">
        <v>989</v>
      </c>
      <c r="E5179" s="423">
        <v>69138.860174751957</v>
      </c>
      <c r="F5179" s="423">
        <v>3504.7651784918121</v>
      </c>
      <c r="G5179" s="422">
        <v>137758230.95867971</v>
      </c>
      <c r="H5179" s="417" t="s">
        <v>2616</v>
      </c>
      <c r="I5179" s="417" t="s">
        <v>1392</v>
      </c>
      <c r="J5179" s="417" t="s">
        <v>4167</v>
      </c>
      <c r="K5179" s="417" t="s">
        <v>12832</v>
      </c>
      <c r="L5179" s="417"/>
      <c r="M5179" s="417" t="s">
        <v>28840</v>
      </c>
    </row>
    <row r="5180" spans="1:13" x14ac:dyDescent="0.25">
      <c r="A5180" s="417" t="s">
        <v>3385</v>
      </c>
      <c r="B5180" s="417" t="s">
        <v>2437</v>
      </c>
      <c r="C5180" s="417" t="s">
        <v>12833</v>
      </c>
      <c r="D5180" s="417" t="s">
        <v>989</v>
      </c>
      <c r="E5180" s="423">
        <v>69470.898178151459</v>
      </c>
      <c r="F5180" s="423">
        <v>3518.132540037031</v>
      </c>
      <c r="G5180" s="422">
        <v>138449243.47127581</v>
      </c>
      <c r="H5180" s="417" t="s">
        <v>2616</v>
      </c>
      <c r="I5180" s="417" t="s">
        <v>1392</v>
      </c>
      <c r="J5180" s="417" t="s">
        <v>4167</v>
      </c>
      <c r="K5180" s="417" t="s">
        <v>12834</v>
      </c>
      <c r="L5180" s="417"/>
      <c r="M5180" s="417" t="s">
        <v>28840</v>
      </c>
    </row>
    <row r="5181" spans="1:13" x14ac:dyDescent="0.25">
      <c r="A5181" s="417" t="s">
        <v>3385</v>
      </c>
      <c r="B5181" s="417" t="s">
        <v>2437</v>
      </c>
      <c r="C5181" s="417" t="s">
        <v>12835</v>
      </c>
      <c r="D5181" s="417" t="s">
        <v>989</v>
      </c>
      <c r="E5181" s="423">
        <v>69232.83722351928</v>
      </c>
      <c r="F5181" s="423">
        <v>3509.50604396679</v>
      </c>
      <c r="G5181" s="422">
        <v>137983568.82710421</v>
      </c>
      <c r="H5181" s="417" t="s">
        <v>2616</v>
      </c>
      <c r="I5181" s="417" t="s">
        <v>1392</v>
      </c>
      <c r="J5181" s="417" t="s">
        <v>4167</v>
      </c>
      <c r="K5181" s="417" t="s">
        <v>12836</v>
      </c>
      <c r="L5181" s="417"/>
      <c r="M5181" s="417" t="s">
        <v>28840</v>
      </c>
    </row>
    <row r="5182" spans="1:13" x14ac:dyDescent="0.25">
      <c r="A5182" s="417" t="s">
        <v>3385</v>
      </c>
      <c r="B5182" s="417" t="s">
        <v>2437</v>
      </c>
      <c r="C5182" s="417" t="s">
        <v>12837</v>
      </c>
      <c r="D5182" s="417" t="s">
        <v>989</v>
      </c>
      <c r="E5182" s="423">
        <v>68967.66913410605</v>
      </c>
      <c r="F5182" s="423">
        <v>3499.8205235201908</v>
      </c>
      <c r="G5182" s="422">
        <v>137456862.07116961</v>
      </c>
      <c r="H5182" s="417" t="s">
        <v>2616</v>
      </c>
      <c r="I5182" s="417" t="s">
        <v>1392</v>
      </c>
      <c r="J5182" s="417" t="s">
        <v>4167</v>
      </c>
      <c r="K5182" s="417" t="s">
        <v>12838</v>
      </c>
      <c r="L5182" s="417"/>
      <c r="M5182" s="417" t="s">
        <v>28840</v>
      </c>
    </row>
    <row r="5183" spans="1:13" x14ac:dyDescent="0.25">
      <c r="A5183" s="417" t="s">
        <v>3385</v>
      </c>
      <c r="B5183" s="417" t="s">
        <v>2437</v>
      </c>
      <c r="C5183" s="417" t="s">
        <v>12839</v>
      </c>
      <c r="D5183" s="417" t="s">
        <v>989</v>
      </c>
      <c r="E5183" s="423">
        <v>69198.167338660685</v>
      </c>
      <c r="F5183" s="423">
        <v>3511.7682094346628</v>
      </c>
      <c r="G5183" s="422">
        <v>138257446.86167261</v>
      </c>
      <c r="H5183" s="417" t="s">
        <v>2616</v>
      </c>
      <c r="I5183" s="417" t="s">
        <v>1392</v>
      </c>
      <c r="J5183" s="417" t="s">
        <v>4167</v>
      </c>
      <c r="K5183" s="417" t="s">
        <v>12840</v>
      </c>
      <c r="L5183" s="417"/>
      <c r="M5183" s="417" t="s">
        <v>28840</v>
      </c>
    </row>
    <row r="5184" spans="1:13" x14ac:dyDescent="0.25">
      <c r="A5184" s="417" t="s">
        <v>3385</v>
      </c>
      <c r="B5184" s="417" t="s">
        <v>2437</v>
      </c>
      <c r="C5184" s="417" t="s">
        <v>12841</v>
      </c>
      <c r="D5184" s="417" t="s">
        <v>989</v>
      </c>
      <c r="E5184" s="423">
        <v>68933.942875614797</v>
      </c>
      <c r="F5184" s="423">
        <v>3502.3837672442392</v>
      </c>
      <c r="G5184" s="422">
        <v>137745089.60973129</v>
      </c>
      <c r="H5184" s="417" t="s">
        <v>2616</v>
      </c>
      <c r="I5184" s="417" t="s">
        <v>1392</v>
      </c>
      <c r="J5184" s="417" t="s">
        <v>4167</v>
      </c>
      <c r="K5184" s="417" t="s">
        <v>12842</v>
      </c>
      <c r="L5184" s="417"/>
      <c r="M5184" s="417" t="s">
        <v>28840</v>
      </c>
    </row>
    <row r="5185" spans="1:13" x14ac:dyDescent="0.25">
      <c r="A5185" s="417" t="s">
        <v>3385</v>
      </c>
      <c r="B5185" s="417" t="s">
        <v>2437</v>
      </c>
      <c r="C5185" s="417" t="s">
        <v>12843</v>
      </c>
      <c r="D5185" s="417" t="s">
        <v>989</v>
      </c>
      <c r="E5185" s="423">
        <v>68702.381754304792</v>
      </c>
      <c r="F5185" s="423">
        <v>3493.6594669049782</v>
      </c>
      <c r="G5185" s="422">
        <v>137277671.87989229</v>
      </c>
      <c r="H5185" s="417" t="s">
        <v>2616</v>
      </c>
      <c r="I5185" s="417" t="s">
        <v>1392</v>
      </c>
      <c r="J5185" s="417" t="s">
        <v>4167</v>
      </c>
      <c r="K5185" s="417" t="s">
        <v>12844</v>
      </c>
      <c r="L5185" s="417"/>
      <c r="M5185" s="417" t="s">
        <v>28840</v>
      </c>
    </row>
    <row r="5186" spans="1:13" x14ac:dyDescent="0.25">
      <c r="A5186" s="417" t="s">
        <v>3385</v>
      </c>
      <c r="B5186" s="417" t="s">
        <v>2437</v>
      </c>
      <c r="C5186" s="417" t="s">
        <v>12845</v>
      </c>
      <c r="D5186" s="417" t="s">
        <v>989</v>
      </c>
      <c r="E5186" s="423">
        <v>87163.835607433735</v>
      </c>
      <c r="F5186" s="423">
        <v>4463.8976041169608</v>
      </c>
      <c r="G5186" s="422">
        <v>173935110.1100429</v>
      </c>
      <c r="H5186" s="417" t="s">
        <v>2616</v>
      </c>
      <c r="I5186" s="417" t="s">
        <v>1392</v>
      </c>
      <c r="J5186" s="417" t="s">
        <v>4167</v>
      </c>
      <c r="K5186" s="417" t="s">
        <v>12846</v>
      </c>
      <c r="L5186" s="417"/>
      <c r="M5186" s="417" t="s">
        <v>28840</v>
      </c>
    </row>
    <row r="5187" spans="1:13" x14ac:dyDescent="0.25">
      <c r="A5187" s="417" t="s">
        <v>3385</v>
      </c>
      <c r="B5187" s="417" t="s">
        <v>2437</v>
      </c>
      <c r="C5187" s="417" t="s">
        <v>12847</v>
      </c>
      <c r="D5187" s="417" t="s">
        <v>989</v>
      </c>
      <c r="E5187" s="423">
        <v>86922.580730622489</v>
      </c>
      <c r="F5187" s="423">
        <v>4455.1359344639604</v>
      </c>
      <c r="G5187" s="422">
        <v>173463731.89011559</v>
      </c>
      <c r="H5187" s="417" t="s">
        <v>2616</v>
      </c>
      <c r="I5187" s="417" t="s">
        <v>1392</v>
      </c>
      <c r="J5187" s="417" t="s">
        <v>4167</v>
      </c>
      <c r="K5187" s="417" t="s">
        <v>12848</v>
      </c>
      <c r="L5187" s="417"/>
      <c r="M5187" s="417" t="s">
        <v>28840</v>
      </c>
    </row>
    <row r="5188" spans="1:13" x14ac:dyDescent="0.25">
      <c r="A5188" s="417" t="s">
        <v>3385</v>
      </c>
      <c r="B5188" s="417" t="s">
        <v>2437</v>
      </c>
      <c r="C5188" s="417" t="s">
        <v>12849</v>
      </c>
      <c r="D5188" s="417" t="s">
        <v>989</v>
      </c>
      <c r="E5188" s="423">
        <v>86665.917893353893</v>
      </c>
      <c r="F5188" s="423">
        <v>4445.7885299971576</v>
      </c>
      <c r="G5188" s="422">
        <v>172955340.1230222</v>
      </c>
      <c r="H5188" s="417" t="s">
        <v>2616</v>
      </c>
      <c r="I5188" s="417" t="s">
        <v>1392</v>
      </c>
      <c r="J5188" s="417" t="s">
        <v>4167</v>
      </c>
      <c r="K5188" s="417" t="s">
        <v>12850</v>
      </c>
      <c r="L5188" s="417"/>
      <c r="M5188" s="417" t="s">
        <v>28840</v>
      </c>
    </row>
    <row r="5189" spans="1:13" x14ac:dyDescent="0.25">
      <c r="A5189" s="417" t="s">
        <v>3385</v>
      </c>
      <c r="B5189" s="417" t="s">
        <v>2437</v>
      </c>
      <c r="C5189" s="417" t="s">
        <v>12851</v>
      </c>
      <c r="D5189" s="417" t="s">
        <v>989</v>
      </c>
      <c r="E5189" s="423">
        <v>86908.188782690951</v>
      </c>
      <c r="F5189" s="423">
        <v>4456.530655171563</v>
      </c>
      <c r="G5189" s="422">
        <v>173484834.86726791</v>
      </c>
      <c r="H5189" s="417" t="s">
        <v>2616</v>
      </c>
      <c r="I5189" s="417" t="s">
        <v>1392</v>
      </c>
      <c r="J5189" s="417" t="s">
        <v>4167</v>
      </c>
      <c r="K5189" s="417" t="s">
        <v>12852</v>
      </c>
      <c r="L5189" s="417"/>
      <c r="M5189" s="417" t="s">
        <v>28840</v>
      </c>
    </row>
    <row r="5190" spans="1:13" x14ac:dyDescent="0.25">
      <c r="A5190" s="417" t="s">
        <v>3385</v>
      </c>
      <c r="B5190" s="417" t="s">
        <v>2437</v>
      </c>
      <c r="C5190" s="417" t="s">
        <v>12853</v>
      </c>
      <c r="D5190" s="417" t="s">
        <v>989</v>
      </c>
      <c r="E5190" s="423">
        <v>86666.933909781612</v>
      </c>
      <c r="F5190" s="423">
        <v>4447.7689855399794</v>
      </c>
      <c r="G5190" s="422">
        <v>173013456.6543496</v>
      </c>
      <c r="H5190" s="417" t="s">
        <v>2616</v>
      </c>
      <c r="I5190" s="417" t="s">
        <v>1392</v>
      </c>
      <c r="J5190" s="417" t="s">
        <v>4167</v>
      </c>
      <c r="K5190" s="417" t="s">
        <v>12854</v>
      </c>
      <c r="L5190" s="417"/>
      <c r="M5190" s="417" t="s">
        <v>28840</v>
      </c>
    </row>
    <row r="5191" spans="1:13" x14ac:dyDescent="0.25">
      <c r="A5191" s="417" t="s">
        <v>3385</v>
      </c>
      <c r="B5191" s="417" t="s">
        <v>2437</v>
      </c>
      <c r="C5191" s="417" t="s">
        <v>12855</v>
      </c>
      <c r="D5191" s="417" t="s">
        <v>989</v>
      </c>
      <c r="E5191" s="423">
        <v>86493.850131235915</v>
      </c>
      <c r="F5191" s="423">
        <v>4440.8053877670882</v>
      </c>
      <c r="G5191" s="422">
        <v>172652603.58214951</v>
      </c>
      <c r="H5191" s="417" t="s">
        <v>2616</v>
      </c>
      <c r="I5191" s="417" t="s">
        <v>1392</v>
      </c>
      <c r="J5191" s="417" t="s">
        <v>4167</v>
      </c>
      <c r="K5191" s="417" t="s">
        <v>12856</v>
      </c>
      <c r="L5191" s="417"/>
      <c r="M5191" s="417" t="s">
        <v>28840</v>
      </c>
    </row>
    <row r="5192" spans="1:13" x14ac:dyDescent="0.25">
      <c r="A5192" s="417" t="s">
        <v>3385</v>
      </c>
      <c r="B5192" s="417" t="s">
        <v>2437</v>
      </c>
      <c r="C5192" s="417" t="s">
        <v>12857</v>
      </c>
      <c r="D5192" s="417" t="s">
        <v>989</v>
      </c>
      <c r="E5192" s="423">
        <v>86652.541961957962</v>
      </c>
      <c r="F5192" s="423">
        <v>4449.1637062439586</v>
      </c>
      <c r="G5192" s="422">
        <v>173034559.58954611</v>
      </c>
      <c r="H5192" s="417" t="s">
        <v>2616</v>
      </c>
      <c r="I5192" s="417" t="s">
        <v>1392</v>
      </c>
      <c r="J5192" s="417" t="s">
        <v>4167</v>
      </c>
      <c r="K5192" s="417" t="s">
        <v>12858</v>
      </c>
      <c r="L5192" s="417"/>
      <c r="M5192" s="417" t="s">
        <v>28840</v>
      </c>
    </row>
    <row r="5193" spans="1:13" x14ac:dyDescent="0.25">
      <c r="A5193" s="417" t="s">
        <v>3385</v>
      </c>
      <c r="B5193" s="417" t="s">
        <v>2437</v>
      </c>
      <c r="C5193" s="417" t="s">
        <v>12859</v>
      </c>
      <c r="D5193" s="417" t="s">
        <v>989</v>
      </c>
      <c r="E5193" s="423">
        <v>86495.041491638156</v>
      </c>
      <c r="F5193" s="423">
        <v>4442.7935407601426</v>
      </c>
      <c r="G5193" s="422">
        <v>172710993.5837031</v>
      </c>
      <c r="H5193" s="417" t="s">
        <v>2616</v>
      </c>
      <c r="I5193" s="417" t="s">
        <v>1392</v>
      </c>
      <c r="J5193" s="417" t="s">
        <v>4167</v>
      </c>
      <c r="K5193" s="417" t="s">
        <v>12860</v>
      </c>
      <c r="L5193" s="417"/>
      <c r="M5193" s="417" t="s">
        <v>28840</v>
      </c>
    </row>
    <row r="5194" spans="1:13" x14ac:dyDescent="0.25">
      <c r="A5194" s="417" t="s">
        <v>3385</v>
      </c>
      <c r="B5194" s="417" t="s">
        <v>2437</v>
      </c>
      <c r="C5194" s="417" t="s">
        <v>12861</v>
      </c>
      <c r="D5194" s="417" t="s">
        <v>989</v>
      </c>
      <c r="E5194" s="423">
        <v>86238.378654587446</v>
      </c>
      <c r="F5194" s="423">
        <v>4433.4461362815846</v>
      </c>
      <c r="G5194" s="422">
        <v>172202601.82859579</v>
      </c>
      <c r="H5194" s="417" t="s">
        <v>2616</v>
      </c>
      <c r="I5194" s="417" t="s">
        <v>1392</v>
      </c>
      <c r="J5194" s="417" t="s">
        <v>4167</v>
      </c>
      <c r="K5194" s="417" t="s">
        <v>12862</v>
      </c>
      <c r="L5194" s="417"/>
      <c r="M5194" s="417" t="s">
        <v>28840</v>
      </c>
    </row>
    <row r="5195" spans="1:13" x14ac:dyDescent="0.25">
      <c r="A5195" s="417" t="s">
        <v>3385</v>
      </c>
      <c r="B5195" s="417" t="s">
        <v>2437</v>
      </c>
      <c r="C5195" s="417" t="s">
        <v>12863</v>
      </c>
      <c r="D5195" s="417" t="s">
        <v>989</v>
      </c>
      <c r="E5195" s="423">
        <v>86375.915359717852</v>
      </c>
      <c r="F5195" s="423">
        <v>4443.0598541281697</v>
      </c>
      <c r="G5195" s="422">
        <v>172908760.17261109</v>
      </c>
      <c r="H5195" s="417" t="s">
        <v>2616</v>
      </c>
      <c r="I5195" s="417" t="s">
        <v>1392</v>
      </c>
      <c r="J5195" s="417" t="s">
        <v>4167</v>
      </c>
      <c r="K5195" s="417" t="s">
        <v>12864</v>
      </c>
      <c r="L5195" s="417"/>
      <c r="M5195" s="417" t="s">
        <v>28840</v>
      </c>
    </row>
    <row r="5196" spans="1:13" x14ac:dyDescent="0.25">
      <c r="A5196" s="417" t="s">
        <v>3385</v>
      </c>
      <c r="B5196" s="417" t="s">
        <v>2437</v>
      </c>
      <c r="C5196" s="417" t="s">
        <v>12865</v>
      </c>
      <c r="D5196" s="417" t="s">
        <v>989</v>
      </c>
      <c r="E5196" s="423">
        <v>86135.011172348415</v>
      </c>
      <c r="F5196" s="423">
        <v>4434.3135793769579</v>
      </c>
      <c r="G5196" s="422">
        <v>172437929.06973839</v>
      </c>
      <c r="H5196" s="417" t="s">
        <v>2616</v>
      </c>
      <c r="I5196" s="417" t="s">
        <v>1392</v>
      </c>
      <c r="J5196" s="417" t="s">
        <v>4167</v>
      </c>
      <c r="K5196" s="417" t="s">
        <v>12866</v>
      </c>
      <c r="L5196" s="417"/>
      <c r="M5196" s="417" t="s">
        <v>28840</v>
      </c>
    </row>
    <row r="5197" spans="1:13" x14ac:dyDescent="0.25">
      <c r="A5197" s="417" t="s">
        <v>3385</v>
      </c>
      <c r="B5197" s="417" t="s">
        <v>2437</v>
      </c>
      <c r="C5197" s="417" t="s">
        <v>12867</v>
      </c>
      <c r="D5197" s="417" t="s">
        <v>989</v>
      </c>
      <c r="E5197" s="423">
        <v>85877.25854547607</v>
      </c>
      <c r="F5197" s="423">
        <v>4424.9233708193769</v>
      </c>
      <c r="G5197" s="422">
        <v>171927116.23213521</v>
      </c>
      <c r="H5197" s="417" t="s">
        <v>2616</v>
      </c>
      <c r="I5197" s="417" t="s">
        <v>1392</v>
      </c>
      <c r="J5197" s="417" t="s">
        <v>4167</v>
      </c>
      <c r="K5197" s="417" t="s">
        <v>12868</v>
      </c>
      <c r="L5197" s="417"/>
      <c r="M5197" s="417" t="s">
        <v>28840</v>
      </c>
    </row>
    <row r="5198" spans="1:13" x14ac:dyDescent="0.25">
      <c r="A5198" s="417" t="s">
        <v>3385</v>
      </c>
      <c r="B5198" s="417" t="s">
        <v>2437</v>
      </c>
      <c r="C5198" s="417" t="s">
        <v>12869</v>
      </c>
      <c r="D5198" s="417" t="s">
        <v>989</v>
      </c>
      <c r="E5198" s="423">
        <v>88795.887744884574</v>
      </c>
      <c r="F5198" s="423">
        <v>4218.6410273528363</v>
      </c>
      <c r="G5198" s="422">
        <v>203544528.8390016</v>
      </c>
      <c r="H5198" s="417" t="s">
        <v>2616</v>
      </c>
      <c r="I5198" s="417" t="s">
        <v>1392</v>
      </c>
      <c r="J5198" s="417" t="s">
        <v>4167</v>
      </c>
      <c r="K5198" s="417" t="s">
        <v>12870</v>
      </c>
      <c r="L5198" s="417"/>
      <c r="M5198" s="417" t="s">
        <v>28840</v>
      </c>
    </row>
    <row r="5199" spans="1:13" x14ac:dyDescent="0.25">
      <c r="A5199" s="417" t="s">
        <v>3385</v>
      </c>
      <c r="B5199" s="417" t="s">
        <v>2437</v>
      </c>
      <c r="C5199" s="417" t="s">
        <v>12871</v>
      </c>
      <c r="D5199" s="417" t="s">
        <v>989</v>
      </c>
      <c r="E5199" s="423">
        <v>77704.145069005142</v>
      </c>
      <c r="F5199" s="423">
        <v>3815.7381925332911</v>
      </c>
      <c r="G5199" s="422">
        <v>171553633.6261189</v>
      </c>
      <c r="H5199" s="417" t="s">
        <v>2616</v>
      </c>
      <c r="I5199" s="417" t="s">
        <v>1392</v>
      </c>
      <c r="J5199" s="417" t="s">
        <v>4167</v>
      </c>
      <c r="K5199" s="417" t="s">
        <v>12872</v>
      </c>
      <c r="L5199" s="417"/>
      <c r="M5199" s="417" t="s">
        <v>28840</v>
      </c>
    </row>
    <row r="5200" spans="1:13" x14ac:dyDescent="0.25">
      <c r="A5200" s="417" t="s">
        <v>3385</v>
      </c>
      <c r="B5200" s="417" t="s">
        <v>2437</v>
      </c>
      <c r="C5200" s="417" t="s">
        <v>12873</v>
      </c>
      <c r="D5200" s="417" t="s">
        <v>989</v>
      </c>
      <c r="E5200" s="423">
        <v>69129.685753296377</v>
      </c>
      <c r="F5200" s="423">
        <v>3524.5926076438541</v>
      </c>
      <c r="G5200" s="422">
        <v>147756065.88679299</v>
      </c>
      <c r="H5200" s="417" t="s">
        <v>2616</v>
      </c>
      <c r="I5200" s="417" t="s">
        <v>1392</v>
      </c>
      <c r="J5200" s="417" t="s">
        <v>4167</v>
      </c>
      <c r="K5200" s="417" t="s">
        <v>12874</v>
      </c>
      <c r="L5200" s="417"/>
      <c r="M5200" s="417" t="s">
        <v>28840</v>
      </c>
    </row>
    <row r="5201" spans="1:13" x14ac:dyDescent="0.25">
      <c r="A5201" s="417" t="s">
        <v>3385</v>
      </c>
      <c r="B5201" s="417" t="s">
        <v>2437</v>
      </c>
      <c r="C5201" s="417" t="s">
        <v>12875</v>
      </c>
      <c r="D5201" s="417" t="s">
        <v>989</v>
      </c>
      <c r="E5201" s="423">
        <v>107765.0881750393</v>
      </c>
      <c r="F5201" s="423">
        <v>5193.9058500834863</v>
      </c>
      <c r="G5201" s="422">
        <v>243753105.18741271</v>
      </c>
      <c r="H5201" s="417" t="s">
        <v>2616</v>
      </c>
      <c r="I5201" s="417" t="s">
        <v>1392</v>
      </c>
      <c r="J5201" s="417" t="s">
        <v>4167</v>
      </c>
      <c r="K5201" s="417" t="s">
        <v>12876</v>
      </c>
      <c r="L5201" s="417"/>
      <c r="M5201" s="417" t="s">
        <v>28840</v>
      </c>
    </row>
    <row r="5202" spans="1:13" x14ac:dyDescent="0.25">
      <c r="A5202" s="417" t="s">
        <v>3385</v>
      </c>
      <c r="B5202" s="417" t="s">
        <v>2437</v>
      </c>
      <c r="C5202" s="417" t="s">
        <v>12877</v>
      </c>
      <c r="D5202" s="417" t="s">
        <v>989</v>
      </c>
      <c r="E5202" s="423">
        <v>94136.491975976314</v>
      </c>
      <c r="F5202" s="423">
        <v>4723.3495442468547</v>
      </c>
      <c r="G5202" s="422">
        <v>205561113.4224768</v>
      </c>
      <c r="H5202" s="417" t="s">
        <v>2616</v>
      </c>
      <c r="I5202" s="417" t="s">
        <v>1392</v>
      </c>
      <c r="J5202" s="417" t="s">
        <v>4167</v>
      </c>
      <c r="K5202" s="417" t="s">
        <v>12878</v>
      </c>
      <c r="L5202" s="417"/>
      <c r="M5202" s="417" t="s">
        <v>28840</v>
      </c>
    </row>
    <row r="5203" spans="1:13" x14ac:dyDescent="0.25">
      <c r="A5203" s="417" t="s">
        <v>3385</v>
      </c>
      <c r="B5203" s="417" t="s">
        <v>2437</v>
      </c>
      <c r="C5203" s="417" t="s">
        <v>12879</v>
      </c>
      <c r="D5203" s="417" t="s">
        <v>989</v>
      </c>
      <c r="E5203" s="423">
        <v>85342.000269375319</v>
      </c>
      <c r="F5203" s="423">
        <v>4423.1561488522129</v>
      </c>
      <c r="G5203" s="422">
        <v>181071721.98791069</v>
      </c>
      <c r="H5203" s="417" t="s">
        <v>2616</v>
      </c>
      <c r="I5203" s="417" t="s">
        <v>1392</v>
      </c>
      <c r="J5203" s="417" t="s">
        <v>4167</v>
      </c>
      <c r="K5203" s="417" t="s">
        <v>12880</v>
      </c>
      <c r="L5203" s="417"/>
      <c r="M5203" s="417" t="s">
        <v>28840</v>
      </c>
    </row>
    <row r="5204" spans="1:13" x14ac:dyDescent="0.25">
      <c r="A5204" s="417" t="s">
        <v>3385</v>
      </c>
      <c r="B5204" s="417" t="s">
        <v>2437</v>
      </c>
      <c r="C5204" s="417" t="s">
        <v>12881</v>
      </c>
      <c r="D5204" s="417" t="s">
        <v>989</v>
      </c>
      <c r="E5204" s="423">
        <v>77264.688356597617</v>
      </c>
      <c r="F5204" s="423">
        <v>3876.185299881347</v>
      </c>
      <c r="G5204" s="422">
        <v>168784042.55146071</v>
      </c>
      <c r="H5204" s="417" t="s">
        <v>2616</v>
      </c>
      <c r="I5204" s="417" t="s">
        <v>1392</v>
      </c>
      <c r="J5204" s="417" t="s">
        <v>4167</v>
      </c>
      <c r="K5204" s="417" t="s">
        <v>12882</v>
      </c>
      <c r="L5204" s="417"/>
      <c r="M5204" s="417" t="s">
        <v>28840</v>
      </c>
    </row>
    <row r="5205" spans="1:13" x14ac:dyDescent="0.25">
      <c r="A5205" s="417" t="s">
        <v>3385</v>
      </c>
      <c r="B5205" s="417" t="s">
        <v>2437</v>
      </c>
      <c r="C5205" s="417" t="s">
        <v>12883</v>
      </c>
      <c r="D5205" s="417" t="s">
        <v>989</v>
      </c>
      <c r="E5205" s="423">
        <v>95500.574336487785</v>
      </c>
      <c r="F5205" s="423">
        <v>4859.4002929403414</v>
      </c>
      <c r="G5205" s="422">
        <v>207808794.5051659</v>
      </c>
      <c r="H5205" s="417" t="s">
        <v>2616</v>
      </c>
      <c r="I5205" s="417" t="s">
        <v>1392</v>
      </c>
      <c r="J5205" s="417" t="s">
        <v>4167</v>
      </c>
      <c r="K5205" s="417" t="s">
        <v>12884</v>
      </c>
      <c r="L5205" s="417"/>
      <c r="M5205" s="417" t="s">
        <v>28840</v>
      </c>
    </row>
    <row r="5206" spans="1:13" x14ac:dyDescent="0.25">
      <c r="A5206" s="417" t="s">
        <v>3385</v>
      </c>
      <c r="B5206" s="417" t="s">
        <v>2627</v>
      </c>
      <c r="C5206" s="417" t="s">
        <v>12885</v>
      </c>
      <c r="D5206" s="417" t="s">
        <v>88</v>
      </c>
      <c r="E5206" s="423">
        <v>0.83117579186078505</v>
      </c>
      <c r="F5206" s="423">
        <v>6.0228189602688264E-3</v>
      </c>
      <c r="G5206" s="422">
        <v>1620.5980379833479</v>
      </c>
      <c r="H5206" s="417" t="s">
        <v>2616</v>
      </c>
      <c r="I5206" s="417" t="s">
        <v>1392</v>
      </c>
      <c r="J5206" s="417" t="s">
        <v>4123</v>
      </c>
      <c r="K5206" s="417" t="s">
        <v>12886</v>
      </c>
      <c r="L5206" s="417"/>
      <c r="M5206" s="417" t="s">
        <v>28840</v>
      </c>
    </row>
    <row r="5207" spans="1:13" x14ac:dyDescent="0.25">
      <c r="A5207" s="417" t="s">
        <v>3385</v>
      </c>
      <c r="B5207" s="417" t="s">
        <v>2627</v>
      </c>
      <c r="C5207" s="417" t="s">
        <v>12887</v>
      </c>
      <c r="D5207" s="417" t="s">
        <v>88</v>
      </c>
      <c r="E5207" s="423">
        <v>0.76218573598308781</v>
      </c>
      <c r="F5207" s="423">
        <v>7.6803393701649304E-3</v>
      </c>
      <c r="G5207" s="422">
        <v>1503.808722271991</v>
      </c>
      <c r="H5207" s="417" t="s">
        <v>2616</v>
      </c>
      <c r="I5207" s="417" t="s">
        <v>1392</v>
      </c>
      <c r="J5207" s="417" t="s">
        <v>4123</v>
      </c>
      <c r="K5207" s="417" t="s">
        <v>12888</v>
      </c>
      <c r="L5207" s="417"/>
      <c r="M5207" s="417" t="s">
        <v>28840</v>
      </c>
    </row>
    <row r="5208" spans="1:13" x14ac:dyDescent="0.25">
      <c r="A5208" s="417" t="s">
        <v>3385</v>
      </c>
      <c r="B5208" s="417" t="s">
        <v>2627</v>
      </c>
      <c r="C5208" s="417" t="s">
        <v>12889</v>
      </c>
      <c r="D5208" s="417" t="s">
        <v>88</v>
      </c>
      <c r="E5208" s="423">
        <v>0.83881036680787358</v>
      </c>
      <c r="F5208" s="423">
        <v>8.7559609196686573E-3</v>
      </c>
      <c r="G5208" s="422">
        <v>1653.69702789853</v>
      </c>
      <c r="H5208" s="417" t="s">
        <v>2616</v>
      </c>
      <c r="I5208" s="417" t="s">
        <v>1392</v>
      </c>
      <c r="J5208" s="417" t="s">
        <v>5765</v>
      </c>
      <c r="K5208" s="417" t="s">
        <v>12890</v>
      </c>
      <c r="L5208" s="417"/>
      <c r="M5208" s="417" t="s">
        <v>28840</v>
      </c>
    </row>
    <row r="5209" spans="1:13" x14ac:dyDescent="0.25">
      <c r="A5209" s="417" t="s">
        <v>3385</v>
      </c>
      <c r="B5209" s="417" t="s">
        <v>2627</v>
      </c>
      <c r="C5209" s="417" t="s">
        <v>12891</v>
      </c>
      <c r="D5209" s="417" t="s">
        <v>88</v>
      </c>
      <c r="E5209" s="423">
        <v>0.81484632137392454</v>
      </c>
      <c r="F5209" s="423">
        <v>1.3185154683488919E-2</v>
      </c>
      <c r="G5209" s="422">
        <v>1607.998766876698</v>
      </c>
      <c r="H5209" s="417" t="s">
        <v>2616</v>
      </c>
      <c r="I5209" s="417" t="s">
        <v>1392</v>
      </c>
      <c r="J5209" s="417" t="s">
        <v>5765</v>
      </c>
      <c r="K5209" s="417" t="s">
        <v>12892</v>
      </c>
      <c r="L5209" s="417"/>
      <c r="M5209" s="417" t="s">
        <v>28840</v>
      </c>
    </row>
    <row r="5210" spans="1:13" x14ac:dyDescent="0.25">
      <c r="A5210" s="417" t="s">
        <v>3385</v>
      </c>
      <c r="B5210" s="417" t="s">
        <v>3405</v>
      </c>
      <c r="C5210" s="417" t="s">
        <v>12893</v>
      </c>
      <c r="D5210" s="417" t="s">
        <v>73</v>
      </c>
      <c r="E5210" s="423">
        <v>9.7810098341497856E-2</v>
      </c>
      <c r="F5210" s="423">
        <v>2.3379587195012169E-4</v>
      </c>
      <c r="G5210" s="422">
        <v>127.10796907568739</v>
      </c>
      <c r="H5210" s="417" t="s">
        <v>2616</v>
      </c>
      <c r="I5210" s="417" t="s">
        <v>1392</v>
      </c>
      <c r="J5210" s="417" t="s">
        <v>4694</v>
      </c>
      <c r="K5210" s="417" t="s">
        <v>12894</v>
      </c>
      <c r="L5210" s="417"/>
      <c r="M5210" s="417" t="s">
        <v>28840</v>
      </c>
    </row>
    <row r="5211" spans="1:13" x14ac:dyDescent="0.25">
      <c r="A5211" s="417" t="s">
        <v>3385</v>
      </c>
      <c r="B5211" s="417" t="s">
        <v>3405</v>
      </c>
      <c r="C5211" s="417" t="s">
        <v>12895</v>
      </c>
      <c r="D5211" s="417" t="s">
        <v>73</v>
      </c>
      <c r="E5211" s="423">
        <v>9.7390595914219238E-2</v>
      </c>
      <c r="F5211" s="423">
        <v>3.5213016470340671E-4</v>
      </c>
      <c r="G5211" s="422">
        <v>126.8025231231414</v>
      </c>
      <c r="H5211" s="417" t="s">
        <v>2616</v>
      </c>
      <c r="I5211" s="417" t="s">
        <v>1392</v>
      </c>
      <c r="J5211" s="417" t="s">
        <v>4694</v>
      </c>
      <c r="K5211" s="417" t="s">
        <v>12896</v>
      </c>
      <c r="L5211" s="417"/>
      <c r="M5211" s="417" t="s">
        <v>28840</v>
      </c>
    </row>
    <row r="5212" spans="1:13" x14ac:dyDescent="0.25">
      <c r="A5212" s="417" t="s">
        <v>3385</v>
      </c>
      <c r="B5212" s="417" t="s">
        <v>3405</v>
      </c>
      <c r="C5212" s="417" t="s">
        <v>12897</v>
      </c>
      <c r="D5212" s="417" t="s">
        <v>73</v>
      </c>
      <c r="E5212" s="423">
        <v>9.8487671252280001E-2</v>
      </c>
      <c r="F5212" s="423">
        <v>3.3812711957215911E-4</v>
      </c>
      <c r="G5212" s="422">
        <v>123.0895609302091</v>
      </c>
      <c r="H5212" s="417" t="s">
        <v>2616</v>
      </c>
      <c r="I5212" s="417" t="s">
        <v>1392</v>
      </c>
      <c r="J5212" s="417" t="s">
        <v>12898</v>
      </c>
      <c r="K5212" s="417" t="s">
        <v>12899</v>
      </c>
      <c r="L5212" s="417"/>
      <c r="M5212" s="417" t="s">
        <v>28840</v>
      </c>
    </row>
    <row r="5213" spans="1:13" x14ac:dyDescent="0.25">
      <c r="A5213" s="417" t="s">
        <v>3385</v>
      </c>
      <c r="B5213" s="417" t="s">
        <v>3405</v>
      </c>
      <c r="C5213" s="417" t="s">
        <v>12900</v>
      </c>
      <c r="D5213" s="417" t="s">
        <v>73</v>
      </c>
      <c r="E5213" s="423">
        <v>9.8902129316922827E-2</v>
      </c>
      <c r="F5213" s="423">
        <v>3.3812711956812019E-4</v>
      </c>
      <c r="G5213" s="422">
        <v>133.20466131219391</v>
      </c>
      <c r="H5213" s="417" t="s">
        <v>2616</v>
      </c>
      <c r="I5213" s="417" t="s">
        <v>1392</v>
      </c>
      <c r="J5213" s="417" t="s">
        <v>12898</v>
      </c>
      <c r="K5213" s="417" t="s">
        <v>12901</v>
      </c>
      <c r="L5213" s="417"/>
      <c r="M5213" s="417" t="s">
        <v>28840</v>
      </c>
    </row>
    <row r="5214" spans="1:13" x14ac:dyDescent="0.25">
      <c r="A5214" s="417" t="s">
        <v>3385</v>
      </c>
      <c r="B5214" s="417" t="s">
        <v>3405</v>
      </c>
      <c r="C5214" s="417" t="s">
        <v>12902</v>
      </c>
      <c r="D5214" s="417" t="s">
        <v>73</v>
      </c>
      <c r="E5214" s="423">
        <v>0.1003121293169013</v>
      </c>
      <c r="F5214" s="423">
        <v>3.3812711957072851E-4</v>
      </c>
      <c r="G5214" s="422">
        <v>142.4749418067141</v>
      </c>
      <c r="H5214" s="417" t="s">
        <v>2616</v>
      </c>
      <c r="I5214" s="417" t="s">
        <v>1392</v>
      </c>
      <c r="J5214" s="417" t="s">
        <v>12898</v>
      </c>
      <c r="K5214" s="417" t="s">
        <v>12903</v>
      </c>
      <c r="L5214" s="417"/>
      <c r="M5214" s="417" t="s">
        <v>28840</v>
      </c>
    </row>
    <row r="5215" spans="1:13" x14ac:dyDescent="0.25">
      <c r="A5215" s="417" t="s">
        <v>3385</v>
      </c>
      <c r="B5215" s="417" t="s">
        <v>3405</v>
      </c>
      <c r="C5215" s="417" t="s">
        <v>12904</v>
      </c>
      <c r="D5215" s="417" t="s">
        <v>73</v>
      </c>
      <c r="E5215" s="423">
        <v>0.1000121293193544</v>
      </c>
      <c r="F5215" s="423">
        <v>3.3812712020260728E-4</v>
      </c>
      <c r="G5215" s="422">
        <v>134.2060020215259</v>
      </c>
      <c r="H5215" s="417" t="s">
        <v>2616</v>
      </c>
      <c r="I5215" s="417" t="s">
        <v>1392</v>
      </c>
      <c r="J5215" s="417" t="s">
        <v>12898</v>
      </c>
      <c r="K5215" s="417" t="s">
        <v>12905</v>
      </c>
      <c r="L5215" s="417"/>
      <c r="M5215" s="417" t="s">
        <v>28840</v>
      </c>
    </row>
    <row r="5216" spans="1:13" x14ac:dyDescent="0.25">
      <c r="A5216" s="417" t="s">
        <v>3385</v>
      </c>
      <c r="B5216" s="417" t="s">
        <v>3405</v>
      </c>
      <c r="C5216" s="417" t="s">
        <v>12906</v>
      </c>
      <c r="D5216" s="417" t="s">
        <v>73</v>
      </c>
      <c r="E5216" s="423">
        <v>9.9121857266344135E-2</v>
      </c>
      <c r="F5216" s="423">
        <v>3.26271265324614E-4</v>
      </c>
      <c r="G5216" s="422">
        <v>124.89332133900091</v>
      </c>
      <c r="H5216" s="417" t="s">
        <v>2616</v>
      </c>
      <c r="I5216" s="417" t="s">
        <v>1392</v>
      </c>
      <c r="J5216" s="417" t="s">
        <v>12898</v>
      </c>
      <c r="K5216" s="417" t="s">
        <v>12907</v>
      </c>
      <c r="L5216" s="417"/>
      <c r="M5216" s="417" t="s">
        <v>28840</v>
      </c>
    </row>
    <row r="5217" spans="1:13" x14ac:dyDescent="0.25">
      <c r="A5217" s="417" t="s">
        <v>3385</v>
      </c>
      <c r="B5217" s="417" t="s">
        <v>3405</v>
      </c>
      <c r="C5217" s="417" t="s">
        <v>12908</v>
      </c>
      <c r="D5217" s="417" t="s">
        <v>73</v>
      </c>
      <c r="E5217" s="423">
        <v>0.10102272641139109</v>
      </c>
      <c r="F5217" s="423">
        <v>3.3812711956769691E-4</v>
      </c>
      <c r="G5217" s="422">
        <v>144.02116520144321</v>
      </c>
      <c r="H5217" s="417" t="s">
        <v>2616</v>
      </c>
      <c r="I5217" s="417" t="s">
        <v>1392</v>
      </c>
      <c r="J5217" s="417" t="s">
        <v>12898</v>
      </c>
      <c r="K5217" s="417" t="s">
        <v>12909</v>
      </c>
      <c r="L5217" s="417"/>
      <c r="M5217" s="417" t="s">
        <v>28840</v>
      </c>
    </row>
    <row r="5218" spans="1:13" x14ac:dyDescent="0.25">
      <c r="A5218" s="417" t="s">
        <v>3385</v>
      </c>
      <c r="B5218" s="417" t="s">
        <v>3405</v>
      </c>
      <c r="C5218" s="417" t="s">
        <v>12910</v>
      </c>
      <c r="D5218" s="417" t="s">
        <v>73</v>
      </c>
      <c r="E5218" s="423">
        <v>0.10036379539231161</v>
      </c>
      <c r="F5218" s="423">
        <v>3.415475232178332E-4</v>
      </c>
      <c r="G5218" s="422">
        <v>138.86273084489559</v>
      </c>
      <c r="H5218" s="417" t="s">
        <v>2616</v>
      </c>
      <c r="I5218" s="417" t="s">
        <v>1392</v>
      </c>
      <c r="J5218" s="417" t="s">
        <v>12898</v>
      </c>
      <c r="K5218" s="417" t="s">
        <v>12911</v>
      </c>
      <c r="L5218" s="417"/>
      <c r="M5218" s="417" t="s">
        <v>28840</v>
      </c>
    </row>
    <row r="5219" spans="1:13" x14ac:dyDescent="0.25">
      <c r="A5219" s="417" t="s">
        <v>3385</v>
      </c>
      <c r="B5219" s="417" t="s">
        <v>3405</v>
      </c>
      <c r="C5219" s="417" t="s">
        <v>12912</v>
      </c>
      <c r="D5219" s="417" t="s">
        <v>73</v>
      </c>
      <c r="E5219" s="423">
        <v>9.8276129927187955E-2</v>
      </c>
      <c r="F5219" s="423">
        <v>3.3812722172594562E-4</v>
      </c>
      <c r="G5219" s="422">
        <v>134.72951334229279</v>
      </c>
      <c r="H5219" s="417" t="s">
        <v>2616</v>
      </c>
      <c r="I5219" s="417" t="s">
        <v>1392</v>
      </c>
      <c r="J5219" s="417" t="s">
        <v>12898</v>
      </c>
      <c r="K5219" s="417" t="s">
        <v>12913</v>
      </c>
      <c r="L5219" s="417"/>
      <c r="M5219" s="417" t="s">
        <v>28840</v>
      </c>
    </row>
    <row r="5220" spans="1:13" x14ac:dyDescent="0.25">
      <c r="A5220" s="417" t="s">
        <v>3385</v>
      </c>
      <c r="B5220" s="417" t="s">
        <v>3405</v>
      </c>
      <c r="C5220" s="417" t="s">
        <v>12914</v>
      </c>
      <c r="D5220" s="417" t="s">
        <v>73</v>
      </c>
      <c r="E5220" s="423">
        <v>0.1003535499293824</v>
      </c>
      <c r="F5220" s="423">
        <v>3.4365169915148128E-4</v>
      </c>
      <c r="G5220" s="422">
        <v>145.0455975012265</v>
      </c>
      <c r="H5220" s="417" t="s">
        <v>2616</v>
      </c>
      <c r="I5220" s="417" t="s">
        <v>1392</v>
      </c>
      <c r="J5220" s="417" t="s">
        <v>12898</v>
      </c>
      <c r="K5220" s="417" t="s">
        <v>12915</v>
      </c>
      <c r="L5220" s="417"/>
      <c r="M5220" s="417" t="s">
        <v>28840</v>
      </c>
    </row>
    <row r="5221" spans="1:13" x14ac:dyDescent="0.25">
      <c r="A5221" s="417" t="s">
        <v>3385</v>
      </c>
      <c r="B5221" s="417" t="s">
        <v>3405</v>
      </c>
      <c r="C5221" s="417" t="s">
        <v>12916</v>
      </c>
      <c r="D5221" s="417" t="s">
        <v>73</v>
      </c>
      <c r="E5221" s="423">
        <v>0.100047038848883</v>
      </c>
      <c r="F5221" s="423">
        <v>3.263371830725872E-4</v>
      </c>
      <c r="G5221" s="422">
        <v>144.62117069926211</v>
      </c>
      <c r="H5221" s="417" t="s">
        <v>2616</v>
      </c>
      <c r="I5221" s="417" t="s">
        <v>1392</v>
      </c>
      <c r="J5221" s="417" t="s">
        <v>12898</v>
      </c>
      <c r="K5221" s="417" t="s">
        <v>12917</v>
      </c>
      <c r="L5221" s="417"/>
      <c r="M5221" s="417" t="s">
        <v>28840</v>
      </c>
    </row>
    <row r="5222" spans="1:13" x14ac:dyDescent="0.25">
      <c r="A5222" s="417" t="s">
        <v>3385</v>
      </c>
      <c r="B5222" s="417" t="s">
        <v>3405</v>
      </c>
      <c r="C5222" s="417" t="s">
        <v>12918</v>
      </c>
      <c r="D5222" s="417" t="s">
        <v>73</v>
      </c>
      <c r="E5222" s="423">
        <v>0.1016184276541834</v>
      </c>
      <c r="F5222" s="423">
        <v>3.3812710431422791E-4</v>
      </c>
      <c r="G5222" s="422">
        <v>141.53437261836731</v>
      </c>
      <c r="H5222" s="417" t="s">
        <v>2616</v>
      </c>
      <c r="I5222" s="417" t="s">
        <v>1392</v>
      </c>
      <c r="J5222" s="417" t="s">
        <v>12898</v>
      </c>
      <c r="K5222" s="417" t="s">
        <v>12919</v>
      </c>
      <c r="L5222" s="417"/>
      <c r="M5222" s="417" t="s">
        <v>28840</v>
      </c>
    </row>
    <row r="5223" spans="1:13" x14ac:dyDescent="0.25">
      <c r="A5223" s="417" t="s">
        <v>3385</v>
      </c>
      <c r="B5223" s="417" t="s">
        <v>3405</v>
      </c>
      <c r="C5223" s="417" t="s">
        <v>12920</v>
      </c>
      <c r="D5223" s="417" t="s">
        <v>73</v>
      </c>
      <c r="E5223" s="423">
        <v>9.8740129316902292E-2</v>
      </c>
      <c r="F5223" s="423">
        <v>3.3812711956748658E-4</v>
      </c>
      <c r="G5223" s="422">
        <v>146.74962504753151</v>
      </c>
      <c r="H5223" s="417" t="s">
        <v>2616</v>
      </c>
      <c r="I5223" s="417" t="s">
        <v>1392</v>
      </c>
      <c r="J5223" s="417" t="s">
        <v>12898</v>
      </c>
      <c r="K5223" s="417" t="s">
        <v>12921</v>
      </c>
      <c r="L5223" s="417"/>
      <c r="M5223" s="417" t="s">
        <v>28840</v>
      </c>
    </row>
    <row r="5224" spans="1:13" x14ac:dyDescent="0.25">
      <c r="A5224" s="417" t="s">
        <v>3385</v>
      </c>
      <c r="B5224" s="417" t="s">
        <v>3405</v>
      </c>
      <c r="C5224" s="417" t="s">
        <v>12922</v>
      </c>
      <c r="D5224" s="417" t="s">
        <v>73</v>
      </c>
      <c r="E5224" s="423">
        <v>9.8086769346499666E-2</v>
      </c>
      <c r="F5224" s="423">
        <v>3.381271195205442E-4</v>
      </c>
      <c r="G5224" s="422">
        <v>146.63644117720301</v>
      </c>
      <c r="H5224" s="417" t="s">
        <v>2616</v>
      </c>
      <c r="I5224" s="417" t="s">
        <v>1392</v>
      </c>
      <c r="J5224" s="417" t="s">
        <v>12898</v>
      </c>
      <c r="K5224" s="417" t="s">
        <v>12923</v>
      </c>
      <c r="L5224" s="417"/>
      <c r="M5224" s="417" t="s">
        <v>28840</v>
      </c>
    </row>
    <row r="5225" spans="1:13" x14ac:dyDescent="0.25">
      <c r="A5225" s="417" t="s">
        <v>3385</v>
      </c>
      <c r="B5225" s="417" t="s">
        <v>3405</v>
      </c>
      <c r="C5225" s="417" t="s">
        <v>12924</v>
      </c>
      <c r="D5225" s="417" t="s">
        <v>73</v>
      </c>
      <c r="E5225" s="423">
        <v>0.1008627620778144</v>
      </c>
      <c r="F5225" s="423">
        <v>3.5188485705058958E-4</v>
      </c>
      <c r="G5225" s="422">
        <v>147.24618406135971</v>
      </c>
      <c r="H5225" s="417" t="s">
        <v>2616</v>
      </c>
      <c r="I5225" s="417" t="s">
        <v>1392</v>
      </c>
      <c r="J5225" s="417" t="s">
        <v>12898</v>
      </c>
      <c r="K5225" s="417" t="s">
        <v>12925</v>
      </c>
      <c r="L5225" s="417"/>
      <c r="M5225" s="417" t="s">
        <v>28840</v>
      </c>
    </row>
    <row r="5226" spans="1:13" x14ac:dyDescent="0.25">
      <c r="A5226" s="417" t="s">
        <v>3385</v>
      </c>
      <c r="B5226" s="417" t="s">
        <v>3405</v>
      </c>
      <c r="C5226" s="417" t="s">
        <v>12926</v>
      </c>
      <c r="D5226" s="417" t="s">
        <v>73</v>
      </c>
      <c r="E5226" s="423">
        <v>0.1024011323667237</v>
      </c>
      <c r="F5226" s="423">
        <v>3.3812794320313449E-4</v>
      </c>
      <c r="G5226" s="422">
        <v>143.39378651511609</v>
      </c>
      <c r="H5226" s="417" t="s">
        <v>2616</v>
      </c>
      <c r="I5226" s="417" t="s">
        <v>1392</v>
      </c>
      <c r="J5226" s="417" t="s">
        <v>12898</v>
      </c>
      <c r="K5226" s="417" t="s">
        <v>12927</v>
      </c>
      <c r="L5226" s="417"/>
      <c r="M5226" s="417" t="s">
        <v>28840</v>
      </c>
    </row>
    <row r="5227" spans="1:13" x14ac:dyDescent="0.25">
      <c r="A5227" s="417" t="s">
        <v>3385</v>
      </c>
      <c r="B5227" s="417" t="s">
        <v>3405</v>
      </c>
      <c r="C5227" s="417" t="s">
        <v>12928</v>
      </c>
      <c r="D5227" s="417" t="s">
        <v>73</v>
      </c>
      <c r="E5227" s="423">
        <v>9.6112129316729009E-2</v>
      </c>
      <c r="F5227" s="423">
        <v>3.3812711951833883E-4</v>
      </c>
      <c r="G5227" s="422">
        <v>124.513661311907</v>
      </c>
      <c r="H5227" s="417" t="s">
        <v>2616</v>
      </c>
      <c r="I5227" s="417" t="s">
        <v>1392</v>
      </c>
      <c r="J5227" s="417" t="s">
        <v>12898</v>
      </c>
      <c r="K5227" s="417" t="s">
        <v>12929</v>
      </c>
      <c r="L5227" s="417"/>
      <c r="M5227" s="417" t="s">
        <v>28840</v>
      </c>
    </row>
    <row r="5228" spans="1:13" x14ac:dyDescent="0.25">
      <c r="A5228" s="417" t="s">
        <v>3385</v>
      </c>
      <c r="B5228" s="417" t="s">
        <v>3405</v>
      </c>
      <c r="C5228" s="417" t="s">
        <v>12930</v>
      </c>
      <c r="D5228" s="417" t="s">
        <v>73</v>
      </c>
      <c r="E5228" s="423">
        <v>9.9208816304516417E-2</v>
      </c>
      <c r="F5228" s="423">
        <v>3.3169011302118349E-4</v>
      </c>
      <c r="G5228" s="422">
        <v>154.6774768815018</v>
      </c>
      <c r="H5228" s="417" t="s">
        <v>2616</v>
      </c>
      <c r="I5228" s="417" t="s">
        <v>1392</v>
      </c>
      <c r="J5228" s="417" t="s">
        <v>12898</v>
      </c>
      <c r="K5228" s="417" t="s">
        <v>12931</v>
      </c>
      <c r="L5228" s="417"/>
      <c r="M5228" s="417" t="s">
        <v>28840</v>
      </c>
    </row>
    <row r="5229" spans="1:13" x14ac:dyDescent="0.25">
      <c r="A5229" s="417" t="s">
        <v>3385</v>
      </c>
      <c r="B5229" s="417" t="s">
        <v>3405</v>
      </c>
      <c r="C5229" s="417" t="s">
        <v>12932</v>
      </c>
      <c r="D5229" s="417" t="s">
        <v>73</v>
      </c>
      <c r="E5229" s="423">
        <v>0.10001212922052891</v>
      </c>
      <c r="F5229" s="423">
        <v>3.3812708422340112E-4</v>
      </c>
      <c r="G5229" s="422">
        <v>136.59907166799081</v>
      </c>
      <c r="H5229" s="417" t="s">
        <v>2616</v>
      </c>
      <c r="I5229" s="417" t="s">
        <v>1392</v>
      </c>
      <c r="J5229" s="417" t="s">
        <v>12898</v>
      </c>
      <c r="K5229" s="417" t="s">
        <v>12933</v>
      </c>
      <c r="L5229" s="417"/>
      <c r="M5229" s="417" t="s">
        <v>28840</v>
      </c>
    </row>
    <row r="5230" spans="1:13" x14ac:dyDescent="0.25">
      <c r="A5230" s="417" t="s">
        <v>3385</v>
      </c>
      <c r="B5230" s="417" t="s">
        <v>3405</v>
      </c>
      <c r="C5230" s="417" t="s">
        <v>12934</v>
      </c>
      <c r="D5230" s="417" t="s">
        <v>73</v>
      </c>
      <c r="E5230" s="423">
        <v>9.8474171252024734E-2</v>
      </c>
      <c r="F5230" s="423">
        <v>3.3812711951826309E-4</v>
      </c>
      <c r="G5230" s="422">
        <v>129.4895311081053</v>
      </c>
      <c r="H5230" s="417" t="s">
        <v>2616</v>
      </c>
      <c r="I5230" s="417" t="s">
        <v>1392</v>
      </c>
      <c r="J5230" s="417" t="s">
        <v>12898</v>
      </c>
      <c r="K5230" s="417" t="s">
        <v>12935</v>
      </c>
      <c r="L5230" s="417"/>
      <c r="M5230" s="417" t="s">
        <v>28840</v>
      </c>
    </row>
    <row r="5231" spans="1:13" x14ac:dyDescent="0.25">
      <c r="A5231" s="417" t="s">
        <v>3385</v>
      </c>
      <c r="B5231" s="417" t="s">
        <v>3405</v>
      </c>
      <c r="C5231" s="417" t="s">
        <v>12936</v>
      </c>
      <c r="D5231" s="417" t="s">
        <v>73</v>
      </c>
      <c r="E5231" s="423">
        <v>0.1000121293166963</v>
      </c>
      <c r="F5231" s="423">
        <v>3.3812711951832408E-4</v>
      </c>
      <c r="G5231" s="422">
        <v>126.6040110105055</v>
      </c>
      <c r="H5231" s="417" t="s">
        <v>2616</v>
      </c>
      <c r="I5231" s="417" t="s">
        <v>1392</v>
      </c>
      <c r="J5231" s="417" t="s">
        <v>12898</v>
      </c>
      <c r="K5231" s="417" t="s">
        <v>12937</v>
      </c>
      <c r="L5231" s="417"/>
      <c r="M5231" s="417" t="s">
        <v>28840</v>
      </c>
    </row>
    <row r="5232" spans="1:13" x14ac:dyDescent="0.25">
      <c r="A5232" s="417" t="s">
        <v>3385</v>
      </c>
      <c r="B5232" s="417" t="s">
        <v>3405</v>
      </c>
      <c r="C5232" s="417" t="s">
        <v>12938</v>
      </c>
      <c r="D5232" s="417" t="s">
        <v>73</v>
      </c>
      <c r="E5232" s="423">
        <v>9.98944013002247E-2</v>
      </c>
      <c r="F5232" s="423">
        <v>3.7035743092346768E-4</v>
      </c>
      <c r="G5232" s="422">
        <v>193.5015579423376</v>
      </c>
      <c r="H5232" s="417" t="s">
        <v>2616</v>
      </c>
      <c r="I5232" s="417" t="s">
        <v>1392</v>
      </c>
      <c r="J5232" s="417" t="s">
        <v>12898</v>
      </c>
      <c r="K5232" s="417" t="s">
        <v>12939</v>
      </c>
      <c r="L5232" s="417"/>
      <c r="M5232" s="417" t="s">
        <v>28840</v>
      </c>
    </row>
    <row r="5233" spans="1:13" x14ac:dyDescent="0.25">
      <c r="A5233" s="417" t="s">
        <v>3385</v>
      </c>
      <c r="B5233" s="417" t="s">
        <v>3405</v>
      </c>
      <c r="C5233" s="417" t="s">
        <v>12940</v>
      </c>
      <c r="D5233" s="417" t="s">
        <v>73</v>
      </c>
      <c r="E5233" s="423">
        <v>9.7532200715640907E-2</v>
      </c>
      <c r="F5233" s="423">
        <v>1.4710491706387621E-4</v>
      </c>
      <c r="G5233" s="422">
        <v>132.73787537650071</v>
      </c>
      <c r="H5233" s="417" t="s">
        <v>2616</v>
      </c>
      <c r="I5233" s="417" t="s">
        <v>1392</v>
      </c>
      <c r="J5233" s="417" t="s">
        <v>4694</v>
      </c>
      <c r="K5233" s="417" t="s">
        <v>12941</v>
      </c>
      <c r="L5233" s="417"/>
      <c r="M5233" s="417" t="s">
        <v>28840</v>
      </c>
    </row>
    <row r="5234" spans="1:13" x14ac:dyDescent="0.25">
      <c r="A5234" s="417" t="s">
        <v>3385</v>
      </c>
      <c r="B5234" s="417" t="s">
        <v>3405</v>
      </c>
      <c r="C5234" s="417" t="s">
        <v>12942</v>
      </c>
      <c r="D5234" s="417" t="s">
        <v>73</v>
      </c>
      <c r="E5234" s="423">
        <v>9.6046870059739942E-2</v>
      </c>
      <c r="F5234" s="423">
        <v>1.8733624474705761E-4</v>
      </c>
      <c r="G5234" s="422">
        <v>132.92909931466929</v>
      </c>
      <c r="H5234" s="417" t="s">
        <v>2616</v>
      </c>
      <c r="I5234" s="417" t="s">
        <v>1392</v>
      </c>
      <c r="J5234" s="417" t="s">
        <v>4694</v>
      </c>
      <c r="K5234" s="417" t="s">
        <v>12943</v>
      </c>
      <c r="L5234" s="417"/>
      <c r="M5234" s="417" t="s">
        <v>28840</v>
      </c>
    </row>
    <row r="5235" spans="1:13" x14ac:dyDescent="0.25">
      <c r="A5235" s="417" t="s">
        <v>3385</v>
      </c>
      <c r="B5235" s="417" t="s">
        <v>2627</v>
      </c>
      <c r="C5235" s="417" t="s">
        <v>957</v>
      </c>
      <c r="D5235" s="417" t="s">
        <v>88</v>
      </c>
      <c r="E5235" s="423">
        <v>1.205875067331821</v>
      </c>
      <c r="F5235" s="423">
        <v>1.7585142955999871E-2</v>
      </c>
      <c r="G5235" s="422">
        <v>2187.4241633797969</v>
      </c>
      <c r="H5235" s="417" t="s">
        <v>2616</v>
      </c>
      <c r="I5235" s="417" t="s">
        <v>28841</v>
      </c>
      <c r="J5235" s="417" t="s">
        <v>3932</v>
      </c>
      <c r="K5235" s="417" t="s">
        <v>12944</v>
      </c>
      <c r="L5235" s="417"/>
      <c r="M5235" s="417" t="s">
        <v>28840</v>
      </c>
    </row>
    <row r="5236" spans="1:13" x14ac:dyDescent="0.25">
      <c r="A5236" s="417" t="s">
        <v>3385</v>
      </c>
      <c r="B5236" s="417" t="s">
        <v>2627</v>
      </c>
      <c r="C5236" s="417" t="s">
        <v>12945</v>
      </c>
      <c r="D5236" s="417" t="s">
        <v>88</v>
      </c>
      <c r="E5236" s="423">
        <v>1.0824484168080311</v>
      </c>
      <c r="F5236" s="423">
        <v>1.70479438E-2</v>
      </c>
      <c r="G5236" s="422">
        <v>4258.3232353144067</v>
      </c>
      <c r="H5236" s="417" t="s">
        <v>2616</v>
      </c>
      <c r="I5236" s="417" t="s">
        <v>1392</v>
      </c>
      <c r="J5236" s="417" t="s">
        <v>6666</v>
      </c>
      <c r="K5236" s="417" t="s">
        <v>12946</v>
      </c>
      <c r="L5236" s="417"/>
      <c r="M5236" s="417" t="s">
        <v>28840</v>
      </c>
    </row>
    <row r="5237" spans="1:13" x14ac:dyDescent="0.25">
      <c r="A5237" s="417" t="s">
        <v>3385</v>
      </c>
      <c r="B5237" s="417" t="s">
        <v>2627</v>
      </c>
      <c r="C5237" s="417" t="s">
        <v>12947</v>
      </c>
      <c r="D5237" s="417" t="s">
        <v>88</v>
      </c>
      <c r="E5237" s="423">
        <v>0.12592681661497951</v>
      </c>
      <c r="F5237" s="423">
        <v>1.9826365379999999E-3</v>
      </c>
      <c r="G5237" s="422">
        <v>1075.3687482681089</v>
      </c>
      <c r="H5237" s="417" t="s">
        <v>2616</v>
      </c>
      <c r="I5237" s="417" t="s">
        <v>1392</v>
      </c>
      <c r="J5237" s="417" t="s">
        <v>6666</v>
      </c>
      <c r="K5237" s="417" t="s">
        <v>12948</v>
      </c>
      <c r="L5237" s="417"/>
      <c r="M5237" s="417" t="s">
        <v>28840</v>
      </c>
    </row>
    <row r="5238" spans="1:13" x14ac:dyDescent="0.25">
      <c r="A5238" s="417" t="s">
        <v>3385</v>
      </c>
      <c r="B5238" s="417" t="s">
        <v>2627</v>
      </c>
      <c r="C5238" s="417" t="s">
        <v>12949</v>
      </c>
      <c r="D5238" s="417" t="s">
        <v>88</v>
      </c>
      <c r="E5238" s="423">
        <v>0.31021645061873998</v>
      </c>
      <c r="F5238" s="423">
        <v>1.2928149327E-2</v>
      </c>
      <c r="G5238" s="422">
        <v>637.5374915165014</v>
      </c>
      <c r="H5238" s="417" t="s">
        <v>2616</v>
      </c>
      <c r="I5238" s="417" t="s">
        <v>1392</v>
      </c>
      <c r="J5238" s="417" t="s">
        <v>6666</v>
      </c>
      <c r="K5238" s="417" t="s">
        <v>12950</v>
      </c>
      <c r="L5238" s="417"/>
      <c r="M5238" s="417" t="s">
        <v>28840</v>
      </c>
    </row>
    <row r="5239" spans="1:13" x14ac:dyDescent="0.25">
      <c r="A5239" s="417" t="s">
        <v>3385</v>
      </c>
      <c r="B5239" s="417" t="s">
        <v>2627</v>
      </c>
      <c r="C5239" s="417" t="s">
        <v>12951</v>
      </c>
      <c r="D5239" s="417" t="s">
        <v>88</v>
      </c>
      <c r="E5239" s="423">
        <v>0.32262510763263241</v>
      </c>
      <c r="F5239" s="423">
        <v>1.344527526E-2</v>
      </c>
      <c r="G5239" s="422">
        <v>663.03898830429421</v>
      </c>
      <c r="H5239" s="417" t="s">
        <v>2616</v>
      </c>
      <c r="I5239" s="417" t="s">
        <v>1392</v>
      </c>
      <c r="J5239" s="417" t="s">
        <v>6666</v>
      </c>
      <c r="K5239" s="417" t="s">
        <v>12952</v>
      </c>
      <c r="L5239" s="417"/>
      <c r="M5239" s="417" t="s">
        <v>28840</v>
      </c>
    </row>
    <row r="5240" spans="1:13" x14ac:dyDescent="0.25">
      <c r="A5240" s="417" t="s">
        <v>3385</v>
      </c>
      <c r="B5240" s="417" t="s">
        <v>2627</v>
      </c>
      <c r="C5240" s="417" t="s">
        <v>12953</v>
      </c>
      <c r="D5240" s="417" t="s">
        <v>88</v>
      </c>
      <c r="E5240" s="423">
        <v>4.4127520006028619E-2</v>
      </c>
      <c r="F5240" s="423">
        <v>2.1498372874E-3</v>
      </c>
      <c r="G5240" s="422">
        <v>316.97760748333309</v>
      </c>
      <c r="H5240" s="417" t="s">
        <v>2616</v>
      </c>
      <c r="I5240" s="417" t="s">
        <v>1392</v>
      </c>
      <c r="J5240" s="417" t="s">
        <v>6666</v>
      </c>
      <c r="K5240" s="417" t="s">
        <v>12954</v>
      </c>
      <c r="L5240" s="417"/>
      <c r="M5240" s="417" t="s">
        <v>28840</v>
      </c>
    </row>
    <row r="5241" spans="1:13" x14ac:dyDescent="0.25">
      <c r="A5241" s="417" t="s">
        <v>3385</v>
      </c>
      <c r="B5241" s="417" t="s">
        <v>2627</v>
      </c>
      <c r="C5241" s="417" t="s">
        <v>12955</v>
      </c>
      <c r="D5241" s="417" t="s">
        <v>88</v>
      </c>
      <c r="E5241" s="423">
        <v>0.28882916345554682</v>
      </c>
      <c r="F5241" s="423">
        <v>1.4071393868E-2</v>
      </c>
      <c r="G5241" s="422">
        <v>2074.7229336729361</v>
      </c>
      <c r="H5241" s="417" t="s">
        <v>2616</v>
      </c>
      <c r="I5241" s="417" t="s">
        <v>1392</v>
      </c>
      <c r="J5241" s="417" t="s">
        <v>6666</v>
      </c>
      <c r="K5241" s="417" t="s">
        <v>12956</v>
      </c>
      <c r="L5241" s="417"/>
      <c r="M5241" s="417" t="s">
        <v>28840</v>
      </c>
    </row>
    <row r="5242" spans="1:13" x14ac:dyDescent="0.25">
      <c r="A5242" s="417" t="s">
        <v>3385</v>
      </c>
      <c r="B5242" s="417" t="s">
        <v>2627</v>
      </c>
      <c r="C5242" s="417" t="s">
        <v>12957</v>
      </c>
      <c r="D5242" s="417" t="s">
        <v>88</v>
      </c>
      <c r="E5242" s="423">
        <v>0.1620864089601993</v>
      </c>
      <c r="F5242" s="423">
        <v>7.8966460059999993E-3</v>
      </c>
      <c r="G5242" s="422">
        <v>1164.3020655553009</v>
      </c>
      <c r="H5242" s="417" t="s">
        <v>2616</v>
      </c>
      <c r="I5242" s="417" t="s">
        <v>1392</v>
      </c>
      <c r="J5242" s="417" t="s">
        <v>6666</v>
      </c>
      <c r="K5242" s="417" t="s">
        <v>12958</v>
      </c>
      <c r="L5242" s="417"/>
      <c r="M5242" s="417" t="s">
        <v>28840</v>
      </c>
    </row>
    <row r="5243" spans="1:13" x14ac:dyDescent="0.25">
      <c r="A5243" s="417" t="s">
        <v>3385</v>
      </c>
      <c r="B5243" s="417" t="s">
        <v>2627</v>
      </c>
      <c r="C5243" s="417" t="s">
        <v>12959</v>
      </c>
      <c r="D5243" s="417" t="s">
        <v>88</v>
      </c>
      <c r="E5243" s="423">
        <v>1.3046806071429791</v>
      </c>
      <c r="F5243" s="423">
        <v>2.0086425365729521E-2</v>
      </c>
      <c r="G5243" s="422">
        <v>2567.569449487457</v>
      </c>
      <c r="H5243" s="417" t="s">
        <v>2616</v>
      </c>
      <c r="I5243" s="417" t="s">
        <v>1392</v>
      </c>
      <c r="J5243" s="417" t="s">
        <v>3396</v>
      </c>
      <c r="K5243" s="417" t="s">
        <v>12960</v>
      </c>
      <c r="L5243" s="417"/>
      <c r="M5243" s="417" t="s">
        <v>28840</v>
      </c>
    </row>
    <row r="5244" spans="1:13" x14ac:dyDescent="0.25">
      <c r="A5244" s="417" t="s">
        <v>3385</v>
      </c>
      <c r="B5244" s="417" t="s">
        <v>2627</v>
      </c>
      <c r="C5244" s="417" t="s">
        <v>12961</v>
      </c>
      <c r="D5244" s="417" t="s">
        <v>88</v>
      </c>
      <c r="E5244" s="423">
        <v>6.836653705403454</v>
      </c>
      <c r="F5244" s="423">
        <v>0.62731613882596482</v>
      </c>
      <c r="G5244" s="422">
        <v>17042.244255536709</v>
      </c>
      <c r="H5244" s="417" t="s">
        <v>2616</v>
      </c>
      <c r="I5244" s="417" t="s">
        <v>1392</v>
      </c>
      <c r="J5244" s="417" t="s">
        <v>3396</v>
      </c>
      <c r="K5244" s="417" t="s">
        <v>12962</v>
      </c>
      <c r="L5244" s="417"/>
      <c r="M5244" s="417" t="s">
        <v>28840</v>
      </c>
    </row>
    <row r="5245" spans="1:13" x14ac:dyDescent="0.25">
      <c r="A5245" s="417" t="s">
        <v>3385</v>
      </c>
      <c r="B5245" s="417" t="s">
        <v>2627</v>
      </c>
      <c r="C5245" s="417" t="s">
        <v>12963</v>
      </c>
      <c r="D5245" s="417" t="s">
        <v>88</v>
      </c>
      <c r="E5245" s="423">
        <v>3.0692838737936792</v>
      </c>
      <c r="F5245" s="423">
        <v>0.22462786624942979</v>
      </c>
      <c r="G5245" s="422">
        <v>5102.0001224893222</v>
      </c>
      <c r="H5245" s="417" t="s">
        <v>2616</v>
      </c>
      <c r="I5245" s="417" t="s">
        <v>1392</v>
      </c>
      <c r="J5245" s="417" t="s">
        <v>3396</v>
      </c>
      <c r="K5245" s="417" t="s">
        <v>12964</v>
      </c>
      <c r="L5245" s="417"/>
      <c r="M5245" s="417" t="s">
        <v>28840</v>
      </c>
    </row>
    <row r="5246" spans="1:13" x14ac:dyDescent="0.25">
      <c r="A5246" s="417" t="s">
        <v>3385</v>
      </c>
      <c r="B5246" s="417" t="s">
        <v>2627</v>
      </c>
      <c r="C5246" s="417" t="s">
        <v>12965</v>
      </c>
      <c r="D5246" s="417" t="s">
        <v>88</v>
      </c>
      <c r="E5246" s="423">
        <v>1.3047210189481571</v>
      </c>
      <c r="F5246" s="423">
        <v>2.0087124339339329E-2</v>
      </c>
      <c r="G5246" s="422">
        <v>2567.646053065127</v>
      </c>
      <c r="H5246" s="417" t="s">
        <v>2616</v>
      </c>
      <c r="I5246" s="417" t="s">
        <v>1392</v>
      </c>
      <c r="J5246" s="417" t="s">
        <v>3396</v>
      </c>
      <c r="K5246" s="417" t="s">
        <v>12966</v>
      </c>
      <c r="L5246" s="417"/>
      <c r="M5246" s="417" t="s">
        <v>28840</v>
      </c>
    </row>
    <row r="5247" spans="1:13" x14ac:dyDescent="0.25">
      <c r="A5247" s="417" t="s">
        <v>3385</v>
      </c>
      <c r="B5247" s="417" t="s">
        <v>2437</v>
      </c>
      <c r="C5247" s="417" t="s">
        <v>12967</v>
      </c>
      <c r="D5247" s="417" t="s">
        <v>88</v>
      </c>
      <c r="E5247" s="423">
        <v>400.0908059037161</v>
      </c>
      <c r="F5247" s="423">
        <v>10.00609481634455</v>
      </c>
      <c r="G5247" s="422">
        <v>954386.05227736139</v>
      </c>
      <c r="H5247" s="417" t="s">
        <v>2616</v>
      </c>
      <c r="I5247" s="417" t="s">
        <v>1392</v>
      </c>
      <c r="J5247" s="417" t="s">
        <v>4531</v>
      </c>
      <c r="K5247" s="417" t="s">
        <v>12968</v>
      </c>
      <c r="L5247" s="417"/>
      <c r="M5247" s="417" t="s">
        <v>28840</v>
      </c>
    </row>
    <row r="5248" spans="1:13" x14ac:dyDescent="0.25">
      <c r="A5248" s="417" t="s">
        <v>3385</v>
      </c>
      <c r="B5248" s="417" t="s">
        <v>2437</v>
      </c>
      <c r="C5248" s="417" t="s">
        <v>12969</v>
      </c>
      <c r="D5248" s="417" t="s">
        <v>989</v>
      </c>
      <c r="E5248" s="423">
        <v>5184.8990467791446</v>
      </c>
      <c r="F5248" s="423">
        <v>159.60653702918339</v>
      </c>
      <c r="G5248" s="422">
        <v>10256203.89365685</v>
      </c>
      <c r="H5248" s="417" t="s">
        <v>2616</v>
      </c>
      <c r="I5248" s="417" t="s">
        <v>1392</v>
      </c>
      <c r="J5248" s="417" t="s">
        <v>4944</v>
      </c>
      <c r="K5248" s="417" t="s">
        <v>12970</v>
      </c>
      <c r="L5248" s="417"/>
      <c r="M5248" s="417" t="s">
        <v>28840</v>
      </c>
    </row>
    <row r="5249" spans="1:13" x14ac:dyDescent="0.25">
      <c r="A5249" s="417" t="s">
        <v>3385</v>
      </c>
      <c r="B5249" s="417" t="s">
        <v>2437</v>
      </c>
      <c r="C5249" s="417" t="s">
        <v>12971</v>
      </c>
      <c r="D5249" s="417" t="s">
        <v>989</v>
      </c>
      <c r="E5249" s="423">
        <v>4660.0412210852737</v>
      </c>
      <c r="F5249" s="423">
        <v>166.85657504238841</v>
      </c>
      <c r="G5249" s="422">
        <v>10630132.60079544</v>
      </c>
      <c r="H5249" s="417" t="s">
        <v>2616</v>
      </c>
      <c r="I5249" s="417" t="s">
        <v>1392</v>
      </c>
      <c r="J5249" s="417" t="s">
        <v>4944</v>
      </c>
      <c r="K5249" s="417" t="s">
        <v>12972</v>
      </c>
      <c r="L5249" s="417"/>
      <c r="M5249" s="417" t="s">
        <v>28840</v>
      </c>
    </row>
    <row r="5250" spans="1:13" x14ac:dyDescent="0.25">
      <c r="A5250" s="417" t="s">
        <v>3385</v>
      </c>
      <c r="B5250" s="417" t="s">
        <v>2627</v>
      </c>
      <c r="C5250" s="417" t="s">
        <v>12973</v>
      </c>
      <c r="D5250" s="417" t="s">
        <v>563</v>
      </c>
      <c r="E5250" s="423">
        <v>26.919485249619221</v>
      </c>
      <c r="F5250" s="423">
        <v>17.94256378334839</v>
      </c>
      <c r="G5250" s="422">
        <v>51408.545404954537</v>
      </c>
      <c r="H5250" s="417" t="s">
        <v>2616</v>
      </c>
      <c r="I5250" s="417" t="s">
        <v>1392</v>
      </c>
      <c r="J5250" s="417" t="s">
        <v>12974</v>
      </c>
      <c r="K5250" s="417" t="s">
        <v>12975</v>
      </c>
      <c r="L5250" s="417"/>
      <c r="M5250" s="417" t="s">
        <v>28840</v>
      </c>
    </row>
    <row r="5251" spans="1:13" x14ac:dyDescent="0.25">
      <c r="A5251" s="417" t="s">
        <v>3385</v>
      </c>
      <c r="B5251" s="417" t="s">
        <v>2627</v>
      </c>
      <c r="C5251" s="417" t="s">
        <v>12976</v>
      </c>
      <c r="D5251" s="417" t="s">
        <v>563</v>
      </c>
      <c r="E5251" s="423">
        <v>25.17505891324295</v>
      </c>
      <c r="F5251" s="423">
        <v>18.407717432437991</v>
      </c>
      <c r="G5251" s="422">
        <v>50094.711383576701</v>
      </c>
      <c r="H5251" s="417" t="s">
        <v>2616</v>
      </c>
      <c r="I5251" s="417" t="s">
        <v>1392</v>
      </c>
      <c r="J5251" s="417" t="s">
        <v>12974</v>
      </c>
      <c r="K5251" s="417" t="s">
        <v>12977</v>
      </c>
      <c r="L5251" s="417"/>
      <c r="M5251" s="417" t="s">
        <v>28840</v>
      </c>
    </row>
    <row r="5252" spans="1:13" x14ac:dyDescent="0.25">
      <c r="A5252" s="417" t="s">
        <v>3385</v>
      </c>
      <c r="B5252" s="417" t="s">
        <v>2627</v>
      </c>
      <c r="C5252" s="417" t="s">
        <v>12978</v>
      </c>
      <c r="D5252" s="417" t="s">
        <v>563</v>
      </c>
      <c r="E5252" s="423">
        <v>25.77058864784378</v>
      </c>
      <c r="F5252" s="423">
        <v>17.15798169263153</v>
      </c>
      <c r="G5252" s="422">
        <v>47175.168564625783</v>
      </c>
      <c r="H5252" s="417" t="s">
        <v>2616</v>
      </c>
      <c r="I5252" s="417" t="s">
        <v>1392</v>
      </c>
      <c r="J5252" s="417" t="s">
        <v>12974</v>
      </c>
      <c r="K5252" s="417" t="s">
        <v>12979</v>
      </c>
      <c r="L5252" s="417"/>
      <c r="M5252" s="417" t="s">
        <v>28840</v>
      </c>
    </row>
    <row r="5253" spans="1:13" x14ac:dyDescent="0.25">
      <c r="A5253" s="417" t="s">
        <v>3385</v>
      </c>
      <c r="B5253" s="417" t="s">
        <v>2627</v>
      </c>
      <c r="C5253" s="417" t="s">
        <v>12980</v>
      </c>
      <c r="D5253" s="417" t="s">
        <v>563</v>
      </c>
      <c r="E5253" s="423">
        <v>8.637634546052736E-2</v>
      </c>
      <c r="F5253" s="423">
        <v>2.439714433349818E-2</v>
      </c>
      <c r="G5253" s="422">
        <v>168.75740891315769</v>
      </c>
      <c r="H5253" s="417" t="s">
        <v>2616</v>
      </c>
      <c r="I5253" s="417" t="s">
        <v>1392</v>
      </c>
      <c r="J5253" s="417" t="s">
        <v>12974</v>
      </c>
      <c r="K5253" s="417" t="s">
        <v>12981</v>
      </c>
      <c r="L5253" s="417"/>
      <c r="M5253" s="417" t="s">
        <v>28840</v>
      </c>
    </row>
    <row r="5254" spans="1:13" x14ac:dyDescent="0.25">
      <c r="A5254" s="417" t="s">
        <v>3385</v>
      </c>
      <c r="B5254" s="417" t="s">
        <v>2627</v>
      </c>
      <c r="C5254" s="417" t="s">
        <v>12982</v>
      </c>
      <c r="D5254" s="417" t="s">
        <v>563</v>
      </c>
      <c r="E5254" s="423">
        <v>1.505240388454655</v>
      </c>
      <c r="F5254" s="423">
        <v>0.1497367906517863</v>
      </c>
      <c r="G5254" s="422">
        <v>2882.4269106480519</v>
      </c>
      <c r="H5254" s="417" t="s">
        <v>2616</v>
      </c>
      <c r="I5254" s="417" t="s">
        <v>1392</v>
      </c>
      <c r="J5254" s="417" t="s">
        <v>12974</v>
      </c>
      <c r="K5254" s="417" t="s">
        <v>12983</v>
      </c>
      <c r="L5254" s="417"/>
      <c r="M5254" s="417" t="s">
        <v>28840</v>
      </c>
    </row>
    <row r="5255" spans="1:13" x14ac:dyDescent="0.25">
      <c r="A5255" s="417" t="s">
        <v>3385</v>
      </c>
      <c r="B5255" s="417" t="s">
        <v>2627</v>
      </c>
      <c r="C5255" s="417" t="s">
        <v>12984</v>
      </c>
      <c r="D5255" s="417" t="s">
        <v>563</v>
      </c>
      <c r="E5255" s="423">
        <v>1.2153298644207171</v>
      </c>
      <c r="F5255" s="423">
        <v>0.12089736294561269</v>
      </c>
      <c r="G5255" s="422">
        <v>2327.2691416698271</v>
      </c>
      <c r="H5255" s="417" t="s">
        <v>2616</v>
      </c>
      <c r="I5255" s="417" t="s">
        <v>1392</v>
      </c>
      <c r="J5255" s="417" t="s">
        <v>12974</v>
      </c>
      <c r="K5255" s="417" t="s">
        <v>12985</v>
      </c>
      <c r="L5255" s="417"/>
      <c r="M5255" s="417" t="s">
        <v>28840</v>
      </c>
    </row>
    <row r="5256" spans="1:13" x14ac:dyDescent="0.25">
      <c r="A5256" s="417" t="s">
        <v>3385</v>
      </c>
      <c r="B5256" s="417" t="s">
        <v>2437</v>
      </c>
      <c r="C5256" s="417" t="s">
        <v>12986</v>
      </c>
      <c r="D5256" s="417" t="s">
        <v>88</v>
      </c>
      <c r="E5256" s="423">
        <v>16.344875126254799</v>
      </c>
      <c r="F5256" s="423">
        <v>1.1568853340332239</v>
      </c>
      <c r="G5256" s="422">
        <v>65313.017519033681</v>
      </c>
      <c r="H5256" s="417" t="s">
        <v>2616</v>
      </c>
      <c r="I5256" s="417" t="s">
        <v>1392</v>
      </c>
      <c r="J5256" s="417" t="s">
        <v>3871</v>
      </c>
      <c r="K5256" s="417" t="s">
        <v>12987</v>
      </c>
      <c r="L5256" s="417"/>
      <c r="M5256" s="417" t="s">
        <v>28840</v>
      </c>
    </row>
    <row r="5257" spans="1:13" x14ac:dyDescent="0.25">
      <c r="A5257" s="417" t="s">
        <v>3385</v>
      </c>
      <c r="B5257" s="417" t="s">
        <v>3655</v>
      </c>
      <c r="C5257" s="417" t="s">
        <v>12988</v>
      </c>
      <c r="D5257" s="417" t="s">
        <v>1052</v>
      </c>
      <c r="E5257" s="423">
        <v>22.260520418989969</v>
      </c>
      <c r="F5257" s="423">
        <v>1.532627667405235</v>
      </c>
      <c r="G5257" s="422">
        <v>42533.696195441727</v>
      </c>
      <c r="H5257" s="417" t="s">
        <v>2616</v>
      </c>
      <c r="I5257" s="417" t="s">
        <v>1392</v>
      </c>
      <c r="J5257" s="417" t="s">
        <v>3918</v>
      </c>
      <c r="K5257" s="417" t="s">
        <v>12989</v>
      </c>
      <c r="L5257" s="417"/>
      <c r="M5257" s="417" t="s">
        <v>28840</v>
      </c>
    </row>
    <row r="5258" spans="1:13" x14ac:dyDescent="0.25">
      <c r="A5258" s="417" t="s">
        <v>3385</v>
      </c>
      <c r="B5258" s="417" t="s">
        <v>2627</v>
      </c>
      <c r="C5258" s="417" t="s">
        <v>12990</v>
      </c>
      <c r="D5258" s="417" t="s">
        <v>83</v>
      </c>
      <c r="E5258" s="423">
        <v>42.80083652133878</v>
      </c>
      <c r="F5258" s="423">
        <v>177.41644253839209</v>
      </c>
      <c r="G5258" s="422">
        <v>169131.26673282281</v>
      </c>
      <c r="H5258" s="417" t="s">
        <v>2616</v>
      </c>
      <c r="I5258" s="417" t="s">
        <v>1392</v>
      </c>
      <c r="J5258" s="417" t="s">
        <v>4025</v>
      </c>
      <c r="K5258" s="417" t="s">
        <v>12991</v>
      </c>
      <c r="L5258" s="417"/>
      <c r="M5258" s="417" t="s">
        <v>28840</v>
      </c>
    </row>
    <row r="5259" spans="1:13" x14ac:dyDescent="0.25">
      <c r="A5259" s="417" t="s">
        <v>3385</v>
      </c>
      <c r="B5259" s="417" t="s">
        <v>2627</v>
      </c>
      <c r="C5259" s="417" t="s">
        <v>12992</v>
      </c>
      <c r="D5259" s="417" t="s">
        <v>83</v>
      </c>
      <c r="E5259" s="423">
        <v>42.80083652133878</v>
      </c>
      <c r="F5259" s="423">
        <v>177.41644253839209</v>
      </c>
      <c r="G5259" s="422">
        <v>160763.73508482281</v>
      </c>
      <c r="H5259" s="417" t="s">
        <v>2616</v>
      </c>
      <c r="I5259" s="417" t="s">
        <v>1392</v>
      </c>
      <c r="J5259" s="417" t="s">
        <v>4025</v>
      </c>
      <c r="K5259" s="417" t="s">
        <v>12993</v>
      </c>
      <c r="L5259" s="417"/>
      <c r="M5259" s="417" t="s">
        <v>28840</v>
      </c>
    </row>
    <row r="5260" spans="1:13" x14ac:dyDescent="0.25">
      <c r="A5260" s="417" t="s">
        <v>3385</v>
      </c>
      <c r="B5260" s="417" t="s">
        <v>2627</v>
      </c>
      <c r="C5260" s="417" t="s">
        <v>12994</v>
      </c>
      <c r="D5260" s="417" t="s">
        <v>83</v>
      </c>
      <c r="E5260" s="423">
        <v>1.138962471550196</v>
      </c>
      <c r="F5260" s="423">
        <v>0.23528260147908789</v>
      </c>
      <c r="G5260" s="422">
        <v>2252.9378791042718</v>
      </c>
      <c r="H5260" s="417" t="s">
        <v>2616</v>
      </c>
      <c r="I5260" s="417" t="s">
        <v>1392</v>
      </c>
      <c r="J5260" s="417" t="s">
        <v>4823</v>
      </c>
      <c r="K5260" s="417" t="s">
        <v>12995</v>
      </c>
      <c r="L5260" s="417"/>
      <c r="M5260" s="417" t="s">
        <v>28840</v>
      </c>
    </row>
    <row r="5261" spans="1:13" x14ac:dyDescent="0.25">
      <c r="A5261" s="417" t="s">
        <v>3385</v>
      </c>
      <c r="B5261" s="417" t="s">
        <v>3405</v>
      </c>
      <c r="C5261" s="417" t="s">
        <v>12996</v>
      </c>
      <c r="D5261" s="417" t="s">
        <v>73</v>
      </c>
      <c r="E5261" s="423">
        <v>2.6602532966938301E-3</v>
      </c>
      <c r="F5261" s="423">
        <v>0.20930345293465349</v>
      </c>
      <c r="G5261" s="422">
        <v>57.475805357567459</v>
      </c>
      <c r="H5261" s="417" t="s">
        <v>2616</v>
      </c>
      <c r="I5261" s="417" t="s">
        <v>1392</v>
      </c>
      <c r="J5261" s="417" t="s">
        <v>4245</v>
      </c>
      <c r="K5261" s="417" t="s">
        <v>12997</v>
      </c>
      <c r="L5261" s="417"/>
      <c r="M5261" s="417" t="s">
        <v>28840</v>
      </c>
    </row>
    <row r="5262" spans="1:13" x14ac:dyDescent="0.25">
      <c r="A5262" s="417" t="s">
        <v>3385</v>
      </c>
      <c r="B5262" s="417" t="s">
        <v>3405</v>
      </c>
      <c r="C5262" s="417" t="s">
        <v>12998</v>
      </c>
      <c r="D5262" s="417" t="s">
        <v>73</v>
      </c>
      <c r="E5262" s="423">
        <v>2.5456714133956821E-3</v>
      </c>
      <c r="F5262" s="423">
        <v>0.20923474022958721</v>
      </c>
      <c r="G5262" s="422">
        <v>67.942945745325034</v>
      </c>
      <c r="H5262" s="417" t="s">
        <v>2616</v>
      </c>
      <c r="I5262" s="417" t="s">
        <v>1392</v>
      </c>
      <c r="J5262" s="417" t="s">
        <v>4245</v>
      </c>
      <c r="K5262" s="417" t="s">
        <v>12999</v>
      </c>
      <c r="L5262" s="417"/>
      <c r="M5262" s="417" t="s">
        <v>28840</v>
      </c>
    </row>
    <row r="5263" spans="1:13" x14ac:dyDescent="0.25">
      <c r="A5263" s="417" t="s">
        <v>3385</v>
      </c>
      <c r="B5263" s="417" t="s">
        <v>3405</v>
      </c>
      <c r="C5263" s="417" t="s">
        <v>13000</v>
      </c>
      <c r="D5263" s="417" t="s">
        <v>73</v>
      </c>
      <c r="E5263" s="423">
        <v>2.8251142384882709E-3</v>
      </c>
      <c r="F5263" s="423">
        <v>0.20948774088022301</v>
      </c>
      <c r="G5263" s="422">
        <v>54.228363830247261</v>
      </c>
      <c r="H5263" s="417" t="s">
        <v>2616</v>
      </c>
      <c r="I5263" s="417" t="s">
        <v>1392</v>
      </c>
      <c r="J5263" s="417" t="s">
        <v>4245</v>
      </c>
      <c r="K5263" s="417" t="s">
        <v>13001</v>
      </c>
      <c r="L5263" s="417"/>
      <c r="M5263" s="417" t="s">
        <v>28840</v>
      </c>
    </row>
    <row r="5264" spans="1:13" x14ac:dyDescent="0.25">
      <c r="A5264" s="417" t="s">
        <v>3385</v>
      </c>
      <c r="B5264" s="417" t="s">
        <v>3405</v>
      </c>
      <c r="C5264" s="417" t="s">
        <v>13002</v>
      </c>
      <c r="D5264" s="417" t="s">
        <v>73</v>
      </c>
      <c r="E5264" s="423">
        <v>2.635107994288924E-3</v>
      </c>
      <c r="F5264" s="423">
        <v>0.2092456606818697</v>
      </c>
      <c r="G5264" s="422">
        <v>53.865679019562279</v>
      </c>
      <c r="H5264" s="417" t="s">
        <v>2616</v>
      </c>
      <c r="I5264" s="417" t="s">
        <v>1392</v>
      </c>
      <c r="J5264" s="417" t="s">
        <v>4245</v>
      </c>
      <c r="K5264" s="417" t="s">
        <v>13003</v>
      </c>
      <c r="L5264" s="417"/>
      <c r="M5264" s="417" t="s">
        <v>28840</v>
      </c>
    </row>
    <row r="5265" spans="1:13" x14ac:dyDescent="0.25">
      <c r="A5265" s="417" t="s">
        <v>3385</v>
      </c>
      <c r="B5265" s="417" t="s">
        <v>3655</v>
      </c>
      <c r="C5265" s="417" t="s">
        <v>13004</v>
      </c>
      <c r="D5265" s="417" t="s">
        <v>88</v>
      </c>
      <c r="E5265" s="423">
        <v>0.1661053684870348</v>
      </c>
      <c r="F5265" s="423">
        <v>6.8693652558752078E-3</v>
      </c>
      <c r="G5265" s="422">
        <v>307.0624363298702</v>
      </c>
      <c r="H5265" s="417" t="s">
        <v>2616</v>
      </c>
      <c r="I5265" s="417" t="s">
        <v>1392</v>
      </c>
      <c r="J5265" s="417" t="s">
        <v>4549</v>
      </c>
      <c r="K5265" s="417" t="s">
        <v>13005</v>
      </c>
      <c r="L5265" s="417"/>
      <c r="M5265" s="417" t="s">
        <v>28840</v>
      </c>
    </row>
    <row r="5266" spans="1:13" x14ac:dyDescent="0.25">
      <c r="A5266" s="417" t="s">
        <v>3385</v>
      </c>
      <c r="B5266" s="417" t="s">
        <v>3655</v>
      </c>
      <c r="C5266" s="417" t="s">
        <v>13006</v>
      </c>
      <c r="D5266" s="417" t="s">
        <v>88</v>
      </c>
      <c r="E5266" s="423">
        <v>0.29453359196899581</v>
      </c>
      <c r="F5266" s="423">
        <v>8.8953073679801584E-3</v>
      </c>
      <c r="G5266" s="422">
        <v>508.86293622152209</v>
      </c>
      <c r="H5266" s="417" t="s">
        <v>2616</v>
      </c>
      <c r="I5266" s="417" t="s">
        <v>1392</v>
      </c>
      <c r="J5266" s="417" t="s">
        <v>4549</v>
      </c>
      <c r="K5266" s="417" t="s">
        <v>13007</v>
      </c>
      <c r="L5266" s="417"/>
      <c r="M5266" s="417" t="s">
        <v>28840</v>
      </c>
    </row>
    <row r="5267" spans="1:13" x14ac:dyDescent="0.25">
      <c r="A5267" s="417" t="s">
        <v>3385</v>
      </c>
      <c r="B5267" s="417" t="s">
        <v>3405</v>
      </c>
      <c r="C5267" s="417" t="s">
        <v>13008</v>
      </c>
      <c r="D5267" s="417" t="s">
        <v>989</v>
      </c>
      <c r="E5267" s="423">
        <v>731.51354549478265</v>
      </c>
      <c r="F5267" s="423">
        <v>33.514146532823403</v>
      </c>
      <c r="G5267" s="422">
        <v>1571651.6538014701</v>
      </c>
      <c r="H5267" s="417" t="s">
        <v>2616</v>
      </c>
      <c r="I5267" s="417" t="s">
        <v>1392</v>
      </c>
      <c r="J5267" s="417" t="s">
        <v>10869</v>
      </c>
      <c r="K5267" s="417" t="s">
        <v>13009</v>
      </c>
      <c r="L5267" s="417"/>
      <c r="M5267" s="417" t="s">
        <v>28840</v>
      </c>
    </row>
    <row r="5268" spans="1:13" x14ac:dyDescent="0.25">
      <c r="A5268" s="417" t="s">
        <v>3385</v>
      </c>
      <c r="B5268" s="417" t="s">
        <v>3405</v>
      </c>
      <c r="C5268" s="417" t="s">
        <v>13010</v>
      </c>
      <c r="D5268" s="417" t="s">
        <v>989</v>
      </c>
      <c r="E5268" s="423">
        <v>480850.90983175178</v>
      </c>
      <c r="F5268" s="423">
        <v>154601.55168213131</v>
      </c>
      <c r="G5268" s="422">
        <v>1234770612.922369</v>
      </c>
      <c r="H5268" s="417" t="s">
        <v>2616</v>
      </c>
      <c r="I5268" s="417" t="s">
        <v>1392</v>
      </c>
      <c r="J5268" s="417" t="s">
        <v>10869</v>
      </c>
      <c r="K5268" s="417" t="s">
        <v>13011</v>
      </c>
      <c r="L5268" s="417"/>
      <c r="M5268" s="417" t="s">
        <v>28840</v>
      </c>
    </row>
    <row r="5269" spans="1:13" x14ac:dyDescent="0.25">
      <c r="A5269" s="417" t="s">
        <v>3385</v>
      </c>
      <c r="B5269" s="417" t="s">
        <v>2437</v>
      </c>
      <c r="C5269" s="417" t="s">
        <v>13012</v>
      </c>
      <c r="D5269" s="417" t="s">
        <v>989</v>
      </c>
      <c r="E5269" s="423">
        <v>5139.260965580238</v>
      </c>
      <c r="F5269" s="423">
        <v>173.87563634664079</v>
      </c>
      <c r="G5269" s="422">
        <v>10183085.759632491</v>
      </c>
      <c r="H5269" s="417" t="s">
        <v>2616</v>
      </c>
      <c r="I5269" s="417" t="s">
        <v>1392</v>
      </c>
      <c r="J5269" s="417" t="s">
        <v>3650</v>
      </c>
      <c r="K5269" s="417" t="s">
        <v>13013</v>
      </c>
      <c r="L5269" s="417"/>
      <c r="M5269" s="417" t="s">
        <v>28840</v>
      </c>
    </row>
    <row r="5270" spans="1:13" x14ac:dyDescent="0.25">
      <c r="A5270" s="417" t="s">
        <v>3385</v>
      </c>
      <c r="B5270" s="417" t="s">
        <v>2627</v>
      </c>
      <c r="C5270" s="417" t="s">
        <v>13014</v>
      </c>
      <c r="D5270" s="417" t="s">
        <v>989</v>
      </c>
      <c r="E5270" s="423">
        <v>25590797.34622921</v>
      </c>
      <c r="F5270" s="423">
        <v>8691423.6015082728</v>
      </c>
      <c r="G5270" s="422">
        <v>70900544714.349854</v>
      </c>
      <c r="H5270" s="417" t="s">
        <v>2616</v>
      </c>
      <c r="I5270" s="417" t="s">
        <v>1392</v>
      </c>
      <c r="J5270" s="417" t="s">
        <v>2628</v>
      </c>
      <c r="K5270" s="417" t="s">
        <v>13015</v>
      </c>
      <c r="L5270" s="417"/>
      <c r="M5270" s="417" t="s">
        <v>28840</v>
      </c>
    </row>
    <row r="5271" spans="1:13" x14ac:dyDescent="0.25">
      <c r="A5271" s="417" t="s">
        <v>3385</v>
      </c>
      <c r="B5271" s="417" t="s">
        <v>3655</v>
      </c>
      <c r="C5271" s="417" t="s">
        <v>13016</v>
      </c>
      <c r="D5271" s="417" t="s">
        <v>989</v>
      </c>
      <c r="E5271" s="423">
        <v>1311.0484934313399</v>
      </c>
      <c r="F5271" s="423">
        <v>163.4290015880749</v>
      </c>
      <c r="G5271" s="422">
        <v>2745625.12516311</v>
      </c>
      <c r="H5271" s="417" t="s">
        <v>2616</v>
      </c>
      <c r="I5271" s="417" t="s">
        <v>1392</v>
      </c>
      <c r="J5271" s="417" t="s">
        <v>3657</v>
      </c>
      <c r="K5271" s="417" t="s">
        <v>13017</v>
      </c>
      <c r="L5271" s="417"/>
      <c r="M5271" s="417" t="s">
        <v>28840</v>
      </c>
    </row>
    <row r="5272" spans="1:13" x14ac:dyDescent="0.25">
      <c r="A5272" s="417" t="s">
        <v>3385</v>
      </c>
      <c r="B5272" s="417" t="s">
        <v>2627</v>
      </c>
      <c r="C5272" s="417" t="s">
        <v>13018</v>
      </c>
      <c r="D5272" s="417" t="s">
        <v>88</v>
      </c>
      <c r="E5272" s="423">
        <v>7.0006331778048116E-5</v>
      </c>
      <c r="F5272" s="423">
        <v>1.764676261169882E-6</v>
      </c>
      <c r="G5272" s="422">
        <v>1887.708840771189</v>
      </c>
      <c r="H5272" s="417" t="s">
        <v>2616</v>
      </c>
      <c r="I5272" s="417" t="s">
        <v>1392</v>
      </c>
      <c r="J5272" s="417" t="s">
        <v>4047</v>
      </c>
      <c r="K5272" s="417" t="s">
        <v>13019</v>
      </c>
      <c r="L5272" s="417"/>
      <c r="M5272" s="417" t="s">
        <v>28840</v>
      </c>
    </row>
    <row r="5273" spans="1:13" x14ac:dyDescent="0.25">
      <c r="A5273" s="417" t="s">
        <v>3385</v>
      </c>
      <c r="B5273" s="417" t="s">
        <v>3405</v>
      </c>
      <c r="C5273" s="417" t="s">
        <v>13020</v>
      </c>
      <c r="D5273" s="417" t="s">
        <v>563</v>
      </c>
      <c r="E5273" s="423">
        <v>279.8276459607041</v>
      </c>
      <c r="F5273" s="423">
        <v>15.72916679044325</v>
      </c>
      <c r="G5273" s="422">
        <v>636435.78278365871</v>
      </c>
      <c r="H5273" s="417" t="s">
        <v>2616</v>
      </c>
      <c r="I5273" s="417" t="s">
        <v>1392</v>
      </c>
      <c r="J5273" s="417" t="s">
        <v>3414</v>
      </c>
      <c r="K5273" s="417" t="s">
        <v>13021</v>
      </c>
      <c r="L5273" s="417"/>
      <c r="M5273" s="417" t="s">
        <v>28840</v>
      </c>
    </row>
    <row r="5274" spans="1:13" x14ac:dyDescent="0.25">
      <c r="A5274" s="417" t="s">
        <v>3385</v>
      </c>
      <c r="B5274" s="417" t="s">
        <v>3405</v>
      </c>
      <c r="C5274" s="417" t="s">
        <v>13022</v>
      </c>
      <c r="D5274" s="417" t="s">
        <v>563</v>
      </c>
      <c r="E5274" s="423">
        <v>304.33712911024833</v>
      </c>
      <c r="F5274" s="423">
        <v>16.819200683786359</v>
      </c>
      <c r="G5274" s="422">
        <v>688286.94163070153</v>
      </c>
      <c r="H5274" s="417" t="s">
        <v>2616</v>
      </c>
      <c r="I5274" s="417" t="s">
        <v>1392</v>
      </c>
      <c r="J5274" s="417" t="s">
        <v>3414</v>
      </c>
      <c r="K5274" s="417" t="s">
        <v>13023</v>
      </c>
      <c r="L5274" s="417"/>
      <c r="M5274" s="417" t="s">
        <v>28840</v>
      </c>
    </row>
    <row r="5275" spans="1:13" x14ac:dyDescent="0.25">
      <c r="A5275" s="417" t="s">
        <v>3385</v>
      </c>
      <c r="B5275" s="417" t="s">
        <v>2627</v>
      </c>
      <c r="C5275" s="417" t="s">
        <v>13024</v>
      </c>
      <c r="D5275" s="417" t="s">
        <v>88</v>
      </c>
      <c r="E5275" s="423">
        <v>0.28672193048611577</v>
      </c>
      <c r="F5275" s="423">
        <v>3.141613490291247E-3</v>
      </c>
      <c r="G5275" s="422">
        <v>421.04847948470098</v>
      </c>
      <c r="H5275" s="417" t="s">
        <v>2616</v>
      </c>
      <c r="I5275" s="417" t="s">
        <v>1392</v>
      </c>
      <c r="J5275" s="417" t="s">
        <v>4190</v>
      </c>
      <c r="K5275" s="417" t="s">
        <v>13025</v>
      </c>
      <c r="L5275" s="417"/>
      <c r="M5275" s="417" t="s">
        <v>28840</v>
      </c>
    </row>
    <row r="5276" spans="1:13" x14ac:dyDescent="0.25">
      <c r="A5276" s="417" t="s">
        <v>3385</v>
      </c>
      <c r="B5276" s="417" t="s">
        <v>2437</v>
      </c>
      <c r="C5276" s="417" t="s">
        <v>13026</v>
      </c>
      <c r="D5276" s="417" t="s">
        <v>989</v>
      </c>
      <c r="E5276" s="423">
        <v>40482.489965627843</v>
      </c>
      <c r="F5276" s="423">
        <v>1191.432421414311</v>
      </c>
      <c r="G5276" s="422">
        <v>72878856.066993549</v>
      </c>
      <c r="H5276" s="417" t="s">
        <v>2616</v>
      </c>
      <c r="I5276" s="417" t="s">
        <v>1392</v>
      </c>
      <c r="J5276" s="417" t="s">
        <v>2634</v>
      </c>
      <c r="K5276" s="417" t="s">
        <v>13027</v>
      </c>
      <c r="L5276" s="417"/>
      <c r="M5276" s="417" t="s">
        <v>28840</v>
      </c>
    </row>
    <row r="5277" spans="1:13" x14ac:dyDescent="0.25">
      <c r="A5277" s="417" t="s">
        <v>3385</v>
      </c>
      <c r="B5277" s="417" t="s">
        <v>2627</v>
      </c>
      <c r="C5277" s="417" t="s">
        <v>949</v>
      </c>
      <c r="D5277" s="417" t="s">
        <v>88</v>
      </c>
      <c r="E5277" s="423">
        <v>0.55574670741255683</v>
      </c>
      <c r="F5277" s="423">
        <v>5.2724080039333078E-2</v>
      </c>
      <c r="G5277" s="422">
        <v>1340.7978402154099</v>
      </c>
      <c r="H5277" s="417" t="s">
        <v>2616</v>
      </c>
      <c r="I5277" s="417" t="s">
        <v>28841</v>
      </c>
      <c r="J5277" s="417" t="s">
        <v>4333</v>
      </c>
      <c r="K5277" s="417" t="s">
        <v>13028</v>
      </c>
      <c r="L5277" s="417"/>
      <c r="M5277" s="417" t="s">
        <v>28840</v>
      </c>
    </row>
    <row r="5278" spans="1:13" x14ac:dyDescent="0.25">
      <c r="A5278" s="417" t="s">
        <v>3385</v>
      </c>
      <c r="B5278" s="417" t="s">
        <v>2627</v>
      </c>
      <c r="C5278" s="417" t="s">
        <v>13029</v>
      </c>
      <c r="D5278" s="417" t="s">
        <v>88</v>
      </c>
      <c r="E5278" s="423">
        <v>0.33625707669673632</v>
      </c>
      <c r="F5278" s="423">
        <v>1.9334470208807301E-2</v>
      </c>
      <c r="G5278" s="422">
        <v>592.91642738869712</v>
      </c>
      <c r="H5278" s="417" t="s">
        <v>2616</v>
      </c>
      <c r="I5278" s="417" t="s">
        <v>1392</v>
      </c>
      <c r="J5278" s="417" t="s">
        <v>4333</v>
      </c>
      <c r="K5278" s="417" t="s">
        <v>13030</v>
      </c>
      <c r="L5278" s="417"/>
      <c r="M5278" s="417" t="s">
        <v>28840</v>
      </c>
    </row>
    <row r="5279" spans="1:13" x14ac:dyDescent="0.25">
      <c r="A5279" s="417" t="s">
        <v>3385</v>
      </c>
      <c r="B5279" s="417" t="s">
        <v>2627</v>
      </c>
      <c r="C5279" s="417" t="s">
        <v>13031</v>
      </c>
      <c r="D5279" s="417" t="s">
        <v>88</v>
      </c>
      <c r="E5279" s="423">
        <v>0.77523633819057081</v>
      </c>
      <c r="F5279" s="423">
        <v>8.611368991065757E-2</v>
      </c>
      <c r="G5279" s="422">
        <v>2088.6792550659688</v>
      </c>
      <c r="H5279" s="417" t="s">
        <v>2616</v>
      </c>
      <c r="I5279" s="417" t="s">
        <v>1392</v>
      </c>
      <c r="J5279" s="417" t="s">
        <v>4333</v>
      </c>
      <c r="K5279" s="417" t="s">
        <v>13032</v>
      </c>
      <c r="L5279" s="417"/>
      <c r="M5279" s="417" t="s">
        <v>28840</v>
      </c>
    </row>
    <row r="5280" spans="1:13" x14ac:dyDescent="0.25">
      <c r="A5280" s="417" t="s">
        <v>3385</v>
      </c>
      <c r="B5280" s="417" t="s">
        <v>2627</v>
      </c>
      <c r="C5280" s="417" t="s">
        <v>13033</v>
      </c>
      <c r="D5280" s="417" t="s">
        <v>88</v>
      </c>
      <c r="E5280" s="423">
        <v>7.770091943748044</v>
      </c>
      <c r="F5280" s="423">
        <v>1.301400699144419E-2</v>
      </c>
      <c r="G5280" s="422">
        <v>9859.3492049208562</v>
      </c>
      <c r="H5280" s="417" t="s">
        <v>2616</v>
      </c>
      <c r="I5280" s="417" t="s">
        <v>1392</v>
      </c>
      <c r="J5280" s="417" t="s">
        <v>4333</v>
      </c>
      <c r="K5280" s="417" t="s">
        <v>13034</v>
      </c>
      <c r="L5280" s="417"/>
      <c r="M5280" s="417" t="s">
        <v>28840</v>
      </c>
    </row>
    <row r="5281" spans="1:13" x14ac:dyDescent="0.25">
      <c r="A5281" s="417" t="s">
        <v>3385</v>
      </c>
      <c r="B5281" s="417" t="s">
        <v>2437</v>
      </c>
      <c r="C5281" s="417" t="s">
        <v>13035</v>
      </c>
      <c r="D5281" s="417" t="s">
        <v>3936</v>
      </c>
      <c r="E5281" s="423">
        <v>21208.038207722951</v>
      </c>
      <c r="F5281" s="423">
        <v>509.83667498599311</v>
      </c>
      <c r="G5281" s="422">
        <v>41553901.061483011</v>
      </c>
      <c r="H5281" s="417" t="s">
        <v>2616</v>
      </c>
      <c r="I5281" s="417" t="s">
        <v>1392</v>
      </c>
      <c r="J5281" s="417" t="s">
        <v>4944</v>
      </c>
      <c r="K5281" s="417" t="s">
        <v>13036</v>
      </c>
      <c r="L5281" s="417"/>
      <c r="M5281" s="417" t="s">
        <v>28840</v>
      </c>
    </row>
    <row r="5282" spans="1:13" x14ac:dyDescent="0.25">
      <c r="A5282" s="417" t="s">
        <v>3385</v>
      </c>
      <c r="B5282" s="417" t="s">
        <v>2437</v>
      </c>
      <c r="C5282" s="417" t="s">
        <v>13037</v>
      </c>
      <c r="D5282" s="417" t="s">
        <v>3936</v>
      </c>
      <c r="E5282" s="423">
        <v>259.92468731031238</v>
      </c>
      <c r="F5282" s="423">
        <v>15.777893455079189</v>
      </c>
      <c r="G5282" s="422">
        <v>1172786.27074234</v>
      </c>
      <c r="H5282" s="417" t="s">
        <v>2616</v>
      </c>
      <c r="I5282" s="417" t="s">
        <v>1392</v>
      </c>
      <c r="J5282" s="417" t="s">
        <v>4944</v>
      </c>
      <c r="K5282" s="417" t="s">
        <v>13038</v>
      </c>
      <c r="L5282" s="417"/>
      <c r="M5282" s="417" t="s">
        <v>28840</v>
      </c>
    </row>
    <row r="5283" spans="1:13" x14ac:dyDescent="0.25">
      <c r="A5283" s="417" t="s">
        <v>3385</v>
      </c>
      <c r="B5283" s="417" t="s">
        <v>2627</v>
      </c>
      <c r="C5283" s="417" t="s">
        <v>13039</v>
      </c>
      <c r="D5283" s="417" t="s">
        <v>88</v>
      </c>
      <c r="E5283" s="423">
        <v>2.1056790799917908</v>
      </c>
      <c r="F5283" s="423">
        <v>0.16441799880791599</v>
      </c>
      <c r="G5283" s="422">
        <v>4751.8933150665198</v>
      </c>
      <c r="H5283" s="417" t="s">
        <v>2616</v>
      </c>
      <c r="I5283" s="417" t="s">
        <v>1392</v>
      </c>
      <c r="J5283" s="417" t="s">
        <v>3749</v>
      </c>
      <c r="K5283" s="417" t="s">
        <v>13040</v>
      </c>
      <c r="L5283" s="417"/>
      <c r="M5283" s="417" t="s">
        <v>28840</v>
      </c>
    </row>
    <row r="5284" spans="1:13" x14ac:dyDescent="0.25">
      <c r="A5284" s="417" t="s">
        <v>3385</v>
      </c>
      <c r="B5284" s="417" t="s">
        <v>2627</v>
      </c>
      <c r="C5284" s="417" t="s">
        <v>940</v>
      </c>
      <c r="D5284" s="417" t="s">
        <v>88</v>
      </c>
      <c r="E5284" s="423">
        <v>1.016523712171743</v>
      </c>
      <c r="F5284" s="423">
        <v>9.7498648499904375E-2</v>
      </c>
      <c r="G5284" s="422">
        <v>1586.700378554892</v>
      </c>
      <c r="H5284" s="417" t="s">
        <v>2616</v>
      </c>
      <c r="I5284" s="417" t="s">
        <v>28841</v>
      </c>
      <c r="J5284" s="417" t="s">
        <v>3742</v>
      </c>
      <c r="K5284" s="417" t="s">
        <v>13041</v>
      </c>
      <c r="L5284" s="417"/>
      <c r="M5284" s="417" t="s">
        <v>28840</v>
      </c>
    </row>
    <row r="5285" spans="1:13" x14ac:dyDescent="0.25">
      <c r="A5285" s="417" t="s">
        <v>3385</v>
      </c>
      <c r="B5285" s="417" t="s">
        <v>2627</v>
      </c>
      <c r="C5285" s="417" t="s">
        <v>13042</v>
      </c>
      <c r="D5285" s="417" t="s">
        <v>989</v>
      </c>
      <c r="E5285" s="423">
        <v>79375020.532211334</v>
      </c>
      <c r="F5285" s="423">
        <v>10219273.17691952</v>
      </c>
      <c r="G5285" s="422">
        <v>208459914348.25961</v>
      </c>
      <c r="H5285" s="417" t="s">
        <v>2616</v>
      </c>
      <c r="I5285" s="417" t="s">
        <v>1392</v>
      </c>
      <c r="J5285" s="417" t="s">
        <v>13043</v>
      </c>
      <c r="K5285" s="417" t="s">
        <v>13044</v>
      </c>
      <c r="L5285" s="417"/>
      <c r="M5285" s="417" t="s">
        <v>28840</v>
      </c>
    </row>
    <row r="5286" spans="1:13" x14ac:dyDescent="0.25">
      <c r="A5286" s="417" t="s">
        <v>3385</v>
      </c>
      <c r="B5286" s="417" t="s">
        <v>2627</v>
      </c>
      <c r="C5286" s="417" t="s">
        <v>13045</v>
      </c>
      <c r="D5286" s="417" t="s">
        <v>88</v>
      </c>
      <c r="E5286" s="423">
        <v>12.17043019126964</v>
      </c>
      <c r="F5286" s="423">
        <v>6.0405085271599351E-2</v>
      </c>
      <c r="G5286" s="422">
        <v>15433.66235670376</v>
      </c>
      <c r="H5286" s="417" t="s">
        <v>2616</v>
      </c>
      <c r="I5286" s="417" t="s">
        <v>1392</v>
      </c>
      <c r="J5286" s="417" t="s">
        <v>13043</v>
      </c>
      <c r="K5286" s="417" t="s">
        <v>13046</v>
      </c>
      <c r="L5286" s="417"/>
      <c r="M5286" s="417" t="s">
        <v>28840</v>
      </c>
    </row>
    <row r="5287" spans="1:13" x14ac:dyDescent="0.25">
      <c r="A5287" s="417" t="s">
        <v>3385</v>
      </c>
      <c r="B5287" s="417" t="s">
        <v>2627</v>
      </c>
      <c r="C5287" s="417" t="s">
        <v>13047</v>
      </c>
      <c r="D5287" s="417" t="s">
        <v>88</v>
      </c>
      <c r="E5287" s="423">
        <v>3.5077387786210359</v>
      </c>
      <c r="F5287" s="423">
        <v>5.9004183344602452E-2</v>
      </c>
      <c r="G5287" s="422">
        <v>6552.3952598342812</v>
      </c>
      <c r="H5287" s="417" t="s">
        <v>2616</v>
      </c>
      <c r="I5287" s="417" t="s">
        <v>1392</v>
      </c>
      <c r="J5287" s="417" t="s">
        <v>13043</v>
      </c>
      <c r="K5287" s="417" t="s">
        <v>13048</v>
      </c>
      <c r="L5287" s="417"/>
      <c r="M5287" s="417" t="s">
        <v>28840</v>
      </c>
    </row>
    <row r="5288" spans="1:13" x14ac:dyDescent="0.25">
      <c r="A5288" s="417" t="s">
        <v>3385</v>
      </c>
      <c r="B5288" s="417" t="s">
        <v>2627</v>
      </c>
      <c r="C5288" s="417" t="s">
        <v>13049</v>
      </c>
      <c r="D5288" s="417" t="s">
        <v>88</v>
      </c>
      <c r="E5288" s="423">
        <v>4.7353248046235086</v>
      </c>
      <c r="F5288" s="423">
        <v>1.00313368761707</v>
      </c>
      <c r="G5288" s="422">
        <v>21220.684602345991</v>
      </c>
      <c r="H5288" s="417" t="s">
        <v>2616</v>
      </c>
      <c r="I5288" s="417" t="s">
        <v>1392</v>
      </c>
      <c r="J5288" s="417" t="s">
        <v>13043</v>
      </c>
      <c r="K5288" s="417" t="s">
        <v>13050</v>
      </c>
      <c r="L5288" s="417"/>
      <c r="M5288" s="417" t="s">
        <v>28840</v>
      </c>
    </row>
    <row r="5289" spans="1:13" x14ac:dyDescent="0.25">
      <c r="A5289" s="417" t="s">
        <v>3385</v>
      </c>
      <c r="B5289" s="417" t="s">
        <v>2627</v>
      </c>
      <c r="C5289" s="417" t="s">
        <v>13051</v>
      </c>
      <c r="D5289" s="417" t="s">
        <v>88</v>
      </c>
      <c r="E5289" s="423">
        <v>5.9107701205566539</v>
      </c>
      <c r="F5289" s="423">
        <v>0.93332769141829852</v>
      </c>
      <c r="G5289" s="422">
        <v>21533.46596495932</v>
      </c>
      <c r="H5289" s="417" t="s">
        <v>2616</v>
      </c>
      <c r="I5289" s="417" t="s">
        <v>1392</v>
      </c>
      <c r="J5289" s="417" t="s">
        <v>13043</v>
      </c>
      <c r="K5289" s="417" t="s">
        <v>13052</v>
      </c>
      <c r="L5289" s="417"/>
      <c r="M5289" s="417" t="s">
        <v>28840</v>
      </c>
    </row>
    <row r="5290" spans="1:13" x14ac:dyDescent="0.25">
      <c r="A5290" s="417" t="s">
        <v>3385</v>
      </c>
      <c r="B5290" s="417" t="s">
        <v>2627</v>
      </c>
      <c r="C5290" s="417" t="s">
        <v>13053</v>
      </c>
      <c r="D5290" s="417" t="s">
        <v>88</v>
      </c>
      <c r="E5290" s="423">
        <v>8.1777488837531678</v>
      </c>
      <c r="F5290" s="423">
        <v>0.27623767564452278</v>
      </c>
      <c r="G5290" s="422">
        <v>19843.188700190189</v>
      </c>
      <c r="H5290" s="417" t="s">
        <v>2616</v>
      </c>
      <c r="I5290" s="417" t="s">
        <v>1392</v>
      </c>
      <c r="J5290" s="417" t="s">
        <v>13043</v>
      </c>
      <c r="K5290" s="417" t="s">
        <v>13054</v>
      </c>
      <c r="L5290" s="417"/>
      <c r="M5290" s="417" t="s">
        <v>28840</v>
      </c>
    </row>
    <row r="5291" spans="1:13" x14ac:dyDescent="0.25">
      <c r="A5291" s="417" t="s">
        <v>3385</v>
      </c>
      <c r="B5291" s="417" t="s">
        <v>2627</v>
      </c>
      <c r="C5291" s="417" t="s">
        <v>13055</v>
      </c>
      <c r="D5291" s="417" t="s">
        <v>88</v>
      </c>
      <c r="E5291" s="423">
        <v>8.6087445637310811</v>
      </c>
      <c r="F5291" s="423">
        <v>0.22462433785609309</v>
      </c>
      <c r="G5291" s="422">
        <v>19904.952575854029</v>
      </c>
      <c r="H5291" s="417" t="s">
        <v>2616</v>
      </c>
      <c r="I5291" s="417" t="s">
        <v>1392</v>
      </c>
      <c r="J5291" s="417" t="s">
        <v>13043</v>
      </c>
      <c r="K5291" s="417" t="s">
        <v>13056</v>
      </c>
      <c r="L5291" s="417"/>
      <c r="M5291" s="417" t="s">
        <v>28840</v>
      </c>
    </row>
    <row r="5292" spans="1:13" x14ac:dyDescent="0.25">
      <c r="A5292" s="417" t="s">
        <v>3385</v>
      </c>
      <c r="B5292" s="417" t="s">
        <v>2627</v>
      </c>
      <c r="C5292" s="417" t="s">
        <v>13057</v>
      </c>
      <c r="D5292" s="417" t="s">
        <v>88</v>
      </c>
      <c r="E5292" s="423">
        <v>5.3569444212913773</v>
      </c>
      <c r="F5292" s="423">
        <v>1.213485165337421</v>
      </c>
      <c r="G5292" s="422">
        <v>25349.704902589121</v>
      </c>
      <c r="H5292" s="417" t="s">
        <v>2616</v>
      </c>
      <c r="I5292" s="417" t="s">
        <v>1392</v>
      </c>
      <c r="J5292" s="417" t="s">
        <v>13043</v>
      </c>
      <c r="K5292" s="417" t="s">
        <v>13058</v>
      </c>
      <c r="L5292" s="417"/>
      <c r="M5292" s="417" t="s">
        <v>28840</v>
      </c>
    </row>
    <row r="5293" spans="1:13" x14ac:dyDescent="0.25">
      <c r="A5293" s="417" t="s">
        <v>3385</v>
      </c>
      <c r="B5293" s="417" t="s">
        <v>2627</v>
      </c>
      <c r="C5293" s="417" t="s">
        <v>13059</v>
      </c>
      <c r="D5293" s="417" t="s">
        <v>88</v>
      </c>
      <c r="E5293" s="423">
        <v>1.204417095899686</v>
      </c>
      <c r="F5293" s="423">
        <v>4.521442975188663E-2</v>
      </c>
      <c r="G5293" s="422">
        <v>3166.2592352494648</v>
      </c>
      <c r="H5293" s="417" t="s">
        <v>2616</v>
      </c>
      <c r="I5293" s="417" t="s">
        <v>1392</v>
      </c>
      <c r="J5293" s="417" t="s">
        <v>13043</v>
      </c>
      <c r="K5293" s="417" t="s">
        <v>13060</v>
      </c>
      <c r="L5293" s="417"/>
      <c r="M5293" s="417" t="s">
        <v>28840</v>
      </c>
    </row>
    <row r="5294" spans="1:13" x14ac:dyDescent="0.25">
      <c r="A5294" s="417" t="s">
        <v>3385</v>
      </c>
      <c r="B5294" s="417" t="s">
        <v>2627</v>
      </c>
      <c r="C5294" s="417" t="s">
        <v>13061</v>
      </c>
      <c r="D5294" s="417" t="s">
        <v>88</v>
      </c>
      <c r="E5294" s="423">
        <v>5.5481184984764678</v>
      </c>
      <c r="F5294" s="423">
        <v>1.263561966714883</v>
      </c>
      <c r="G5294" s="422">
        <v>26253.40351959207</v>
      </c>
      <c r="H5294" s="417" t="s">
        <v>2616</v>
      </c>
      <c r="I5294" s="417" t="s">
        <v>1392</v>
      </c>
      <c r="J5294" s="417" t="s">
        <v>13043</v>
      </c>
      <c r="K5294" s="417" t="s">
        <v>13062</v>
      </c>
      <c r="L5294" s="417"/>
      <c r="M5294" s="417" t="s">
        <v>28840</v>
      </c>
    </row>
    <row r="5295" spans="1:13" x14ac:dyDescent="0.25">
      <c r="A5295" s="417" t="s">
        <v>3385</v>
      </c>
      <c r="B5295" s="417" t="s">
        <v>2627</v>
      </c>
      <c r="C5295" s="417" t="s">
        <v>13063</v>
      </c>
      <c r="D5295" s="417" t="s">
        <v>88</v>
      </c>
      <c r="E5295" s="423">
        <v>12.105248498156801</v>
      </c>
      <c r="F5295" s="423">
        <v>2.2823837840618071E-2</v>
      </c>
      <c r="G5295" s="422">
        <v>14785.65888130307</v>
      </c>
      <c r="H5295" s="417" t="s">
        <v>2616</v>
      </c>
      <c r="I5295" s="417" t="s">
        <v>1392</v>
      </c>
      <c r="J5295" s="417" t="s">
        <v>13043</v>
      </c>
      <c r="K5295" s="417" t="s">
        <v>13064</v>
      </c>
      <c r="L5295" s="417"/>
      <c r="M5295" s="417" t="s">
        <v>28840</v>
      </c>
    </row>
    <row r="5296" spans="1:13" x14ac:dyDescent="0.25">
      <c r="A5296" s="417" t="s">
        <v>3385</v>
      </c>
      <c r="B5296" s="417" t="s">
        <v>2627</v>
      </c>
      <c r="C5296" s="417" t="s">
        <v>13065</v>
      </c>
      <c r="D5296" s="417" t="s">
        <v>88</v>
      </c>
      <c r="E5296" s="423">
        <v>5.7669159333015569</v>
      </c>
      <c r="F5296" s="423">
        <v>2.513419642900214E-2</v>
      </c>
      <c r="G5296" s="422">
        <v>8455.3667378702758</v>
      </c>
      <c r="H5296" s="417" t="s">
        <v>2616</v>
      </c>
      <c r="I5296" s="417" t="s">
        <v>1392</v>
      </c>
      <c r="J5296" s="417" t="s">
        <v>13043</v>
      </c>
      <c r="K5296" s="417" t="s">
        <v>13066</v>
      </c>
      <c r="L5296" s="417"/>
      <c r="M5296" s="417" t="s">
        <v>28840</v>
      </c>
    </row>
    <row r="5297" spans="1:13" x14ac:dyDescent="0.25">
      <c r="A5297" s="417" t="s">
        <v>3385</v>
      </c>
      <c r="B5297" s="417" t="s">
        <v>2627</v>
      </c>
      <c r="C5297" s="417" t="s">
        <v>13067</v>
      </c>
      <c r="D5297" s="417" t="s">
        <v>88</v>
      </c>
      <c r="E5297" s="423">
        <v>11.830292137087319</v>
      </c>
      <c r="F5297" s="423">
        <v>5.5750887917226162E-2</v>
      </c>
      <c r="G5297" s="422">
        <v>14746.25628044708</v>
      </c>
      <c r="H5297" s="417" t="s">
        <v>2616</v>
      </c>
      <c r="I5297" s="417" t="s">
        <v>1392</v>
      </c>
      <c r="J5297" s="417" t="s">
        <v>13043</v>
      </c>
      <c r="K5297" s="417" t="s">
        <v>13068</v>
      </c>
      <c r="L5297" s="417"/>
      <c r="M5297" s="417" t="s">
        <v>28840</v>
      </c>
    </row>
    <row r="5298" spans="1:13" x14ac:dyDescent="0.25">
      <c r="A5298" s="417" t="s">
        <v>3385</v>
      </c>
      <c r="B5298" s="417" t="s">
        <v>2627</v>
      </c>
      <c r="C5298" s="417" t="s">
        <v>13069</v>
      </c>
      <c r="D5298" s="417" t="s">
        <v>88</v>
      </c>
      <c r="E5298" s="423">
        <v>5.4899358046947464</v>
      </c>
      <c r="F5298" s="423">
        <v>5.7512012721848672E-2</v>
      </c>
      <c r="G5298" s="422">
        <v>8405.0603081853842</v>
      </c>
      <c r="H5298" s="417" t="s">
        <v>2616</v>
      </c>
      <c r="I5298" s="417" t="s">
        <v>1392</v>
      </c>
      <c r="J5298" s="417" t="s">
        <v>13043</v>
      </c>
      <c r="K5298" s="417" t="s">
        <v>13070</v>
      </c>
      <c r="L5298" s="417"/>
      <c r="M5298" s="417" t="s">
        <v>28840</v>
      </c>
    </row>
    <row r="5299" spans="1:13" x14ac:dyDescent="0.25">
      <c r="A5299" s="417" t="s">
        <v>3385</v>
      </c>
      <c r="B5299" s="417" t="s">
        <v>2437</v>
      </c>
      <c r="C5299" s="417" t="s">
        <v>13071</v>
      </c>
      <c r="D5299" s="417" t="s">
        <v>989</v>
      </c>
      <c r="E5299" s="423">
        <v>273555.52194552479</v>
      </c>
      <c r="F5299" s="423">
        <v>12323.21914595459</v>
      </c>
      <c r="G5299" s="422">
        <v>673368654.5119307</v>
      </c>
      <c r="H5299" s="417" t="s">
        <v>2616</v>
      </c>
      <c r="I5299" s="417" t="s">
        <v>1392</v>
      </c>
      <c r="J5299" s="417" t="s">
        <v>4531</v>
      </c>
      <c r="K5299" s="417" t="s">
        <v>13072</v>
      </c>
      <c r="L5299" s="417"/>
      <c r="M5299" s="417" t="s">
        <v>28840</v>
      </c>
    </row>
    <row r="5300" spans="1:13" x14ac:dyDescent="0.25">
      <c r="A5300" s="417" t="s">
        <v>3385</v>
      </c>
      <c r="B5300" s="417" t="s">
        <v>2627</v>
      </c>
      <c r="C5300" s="417" t="s">
        <v>958</v>
      </c>
      <c r="D5300" s="417" t="s">
        <v>88</v>
      </c>
      <c r="E5300" s="423">
        <v>0.27137258831373101</v>
      </c>
      <c r="F5300" s="423">
        <v>1.8777020839589691E-2</v>
      </c>
      <c r="G5300" s="422">
        <v>542.08614064400354</v>
      </c>
      <c r="H5300" s="417" t="s">
        <v>2616</v>
      </c>
      <c r="I5300" s="417" t="s">
        <v>28841</v>
      </c>
      <c r="J5300" s="417" t="s">
        <v>3932</v>
      </c>
      <c r="K5300" s="417" t="s">
        <v>13073</v>
      </c>
      <c r="L5300" s="417"/>
      <c r="M5300" s="417" t="s">
        <v>28840</v>
      </c>
    </row>
    <row r="5301" spans="1:13" x14ac:dyDescent="0.25">
      <c r="A5301" s="417" t="s">
        <v>3385</v>
      </c>
      <c r="B5301" s="417" t="s">
        <v>2627</v>
      </c>
      <c r="C5301" s="417" t="s">
        <v>13074</v>
      </c>
      <c r="D5301" s="417" t="s">
        <v>88</v>
      </c>
      <c r="E5301" s="423">
        <v>12.48140767253417</v>
      </c>
      <c r="F5301" s="423">
        <v>0.10873993014313189</v>
      </c>
      <c r="G5301" s="422">
        <v>16567.28993343488</v>
      </c>
      <c r="H5301" s="417" t="s">
        <v>2616</v>
      </c>
      <c r="I5301" s="417" t="s">
        <v>1392</v>
      </c>
      <c r="J5301" s="417" t="s">
        <v>13043</v>
      </c>
      <c r="K5301" s="417" t="s">
        <v>13075</v>
      </c>
      <c r="L5301" s="417"/>
      <c r="M5301" s="417" t="s">
        <v>28840</v>
      </c>
    </row>
    <row r="5302" spans="1:13" x14ac:dyDescent="0.25">
      <c r="A5302" s="417" t="s">
        <v>3385</v>
      </c>
      <c r="B5302" s="417" t="s">
        <v>2627</v>
      </c>
      <c r="C5302" s="417" t="s">
        <v>13076</v>
      </c>
      <c r="D5302" s="417" t="s">
        <v>88</v>
      </c>
      <c r="E5302" s="423">
        <v>3.7588224095575971</v>
      </c>
      <c r="F5302" s="423">
        <v>0.1073293423317033</v>
      </c>
      <c r="G5302" s="422">
        <v>7624.6177515589279</v>
      </c>
      <c r="H5302" s="417" t="s">
        <v>2616</v>
      </c>
      <c r="I5302" s="417" t="s">
        <v>1392</v>
      </c>
      <c r="J5302" s="417" t="s">
        <v>13043</v>
      </c>
      <c r="K5302" s="417" t="s">
        <v>13077</v>
      </c>
      <c r="L5302" s="417"/>
      <c r="M5302" s="417" t="s">
        <v>28840</v>
      </c>
    </row>
    <row r="5303" spans="1:13" x14ac:dyDescent="0.25">
      <c r="A5303" s="417" t="s">
        <v>3385</v>
      </c>
      <c r="B5303" s="417" t="s">
        <v>2627</v>
      </c>
      <c r="C5303" s="417" t="s">
        <v>13078</v>
      </c>
      <c r="D5303" s="417" t="s">
        <v>88</v>
      </c>
      <c r="E5303" s="423">
        <v>5.6374020774812141</v>
      </c>
      <c r="F5303" s="423">
        <v>1.273748767415902</v>
      </c>
      <c r="G5303" s="422">
        <v>26633.255670389539</v>
      </c>
      <c r="H5303" s="417" t="s">
        <v>2616</v>
      </c>
      <c r="I5303" s="417" t="s">
        <v>1392</v>
      </c>
      <c r="J5303" s="417" t="s">
        <v>13043</v>
      </c>
      <c r="K5303" s="417" t="s">
        <v>13079</v>
      </c>
      <c r="L5303" s="417"/>
      <c r="M5303" s="417" t="s">
        <v>28840</v>
      </c>
    </row>
    <row r="5304" spans="1:13" x14ac:dyDescent="0.25">
      <c r="A5304" s="417" t="s">
        <v>3385</v>
      </c>
      <c r="B5304" s="417" t="s">
        <v>2627</v>
      </c>
      <c r="C5304" s="417" t="s">
        <v>13080</v>
      </c>
      <c r="D5304" s="417" t="s">
        <v>88</v>
      </c>
      <c r="E5304" s="423">
        <v>5.7986608828020669</v>
      </c>
      <c r="F5304" s="423">
        <v>1.3167218088276029</v>
      </c>
      <c r="G5304" s="422">
        <v>27389.99138328373</v>
      </c>
      <c r="H5304" s="417" t="s">
        <v>2616</v>
      </c>
      <c r="I5304" s="417" t="s">
        <v>1392</v>
      </c>
      <c r="J5304" s="417" t="s">
        <v>13043</v>
      </c>
      <c r="K5304" s="417" t="s">
        <v>13081</v>
      </c>
      <c r="L5304" s="417"/>
      <c r="M5304" s="417" t="s">
        <v>28840</v>
      </c>
    </row>
    <row r="5305" spans="1:13" x14ac:dyDescent="0.25">
      <c r="A5305" s="417" t="s">
        <v>3385</v>
      </c>
      <c r="B5305" s="417" t="s">
        <v>2627</v>
      </c>
      <c r="C5305" s="417" t="s">
        <v>13082</v>
      </c>
      <c r="D5305" s="417" t="s">
        <v>88</v>
      </c>
      <c r="E5305" s="423">
        <v>1.588333077954889</v>
      </c>
      <c r="F5305" s="423">
        <v>0.12068384306282449</v>
      </c>
      <c r="G5305" s="422">
        <v>4832.3711758089694</v>
      </c>
      <c r="H5305" s="417" t="s">
        <v>2616</v>
      </c>
      <c r="I5305" s="417" t="s">
        <v>1392</v>
      </c>
      <c r="J5305" s="417" t="s">
        <v>13043</v>
      </c>
      <c r="K5305" s="417" t="s">
        <v>13083</v>
      </c>
      <c r="L5305" s="417"/>
      <c r="M5305" s="417" t="s">
        <v>28840</v>
      </c>
    </row>
    <row r="5306" spans="1:13" x14ac:dyDescent="0.25">
      <c r="A5306" s="417" t="s">
        <v>3385</v>
      </c>
      <c r="B5306" s="417" t="s">
        <v>2627</v>
      </c>
      <c r="C5306" s="417" t="s">
        <v>13084</v>
      </c>
      <c r="D5306" s="417" t="s">
        <v>88</v>
      </c>
      <c r="E5306" s="423">
        <v>5.2850513568870259</v>
      </c>
      <c r="F5306" s="423">
        <v>1.1271881830912169</v>
      </c>
      <c r="G5306" s="422">
        <v>23817.4791650923</v>
      </c>
      <c r="H5306" s="417" t="s">
        <v>2616</v>
      </c>
      <c r="I5306" s="417" t="s">
        <v>1392</v>
      </c>
      <c r="J5306" s="417" t="s">
        <v>13043</v>
      </c>
      <c r="K5306" s="417" t="s">
        <v>13085</v>
      </c>
      <c r="L5306" s="417"/>
      <c r="M5306" s="417" t="s">
        <v>28840</v>
      </c>
    </row>
    <row r="5307" spans="1:13" x14ac:dyDescent="0.25">
      <c r="A5307" s="417" t="s">
        <v>3385</v>
      </c>
      <c r="B5307" s="417" t="s">
        <v>2627</v>
      </c>
      <c r="C5307" s="417" t="s">
        <v>13086</v>
      </c>
      <c r="D5307" s="417" t="s">
        <v>88</v>
      </c>
      <c r="E5307" s="423">
        <v>6.4686236955864818</v>
      </c>
      <c r="F5307" s="423">
        <v>1.056899548174915</v>
      </c>
      <c r="G5307" s="422">
        <v>24132.422930302509</v>
      </c>
      <c r="H5307" s="417" t="s">
        <v>2616</v>
      </c>
      <c r="I5307" s="417" t="s">
        <v>1392</v>
      </c>
      <c r="J5307" s="417" t="s">
        <v>13043</v>
      </c>
      <c r="K5307" s="417" t="s">
        <v>13087</v>
      </c>
      <c r="L5307" s="417"/>
      <c r="M5307" s="417" t="s">
        <v>28840</v>
      </c>
    </row>
    <row r="5308" spans="1:13" x14ac:dyDescent="0.25">
      <c r="A5308" s="417" t="s">
        <v>3385</v>
      </c>
      <c r="B5308" s="417" t="s">
        <v>2627</v>
      </c>
      <c r="C5308" s="417" t="s">
        <v>13088</v>
      </c>
      <c r="D5308" s="417" t="s">
        <v>88</v>
      </c>
      <c r="E5308" s="423">
        <v>8.7944977088555198</v>
      </c>
      <c r="F5308" s="423">
        <v>0.25010192147986632</v>
      </c>
      <c r="G5308" s="422">
        <v>20576.077034840629</v>
      </c>
      <c r="H5308" s="417" t="s">
        <v>2616</v>
      </c>
      <c r="I5308" s="417" t="s">
        <v>1392</v>
      </c>
      <c r="J5308" s="417" t="s">
        <v>13043</v>
      </c>
      <c r="K5308" s="417" t="s">
        <v>13089</v>
      </c>
      <c r="L5308" s="417"/>
      <c r="M5308" s="417" t="s">
        <v>28840</v>
      </c>
    </row>
    <row r="5309" spans="1:13" x14ac:dyDescent="0.25">
      <c r="A5309" s="417" t="s">
        <v>3385</v>
      </c>
      <c r="B5309" s="417" t="s">
        <v>2627</v>
      </c>
      <c r="C5309" s="417" t="s">
        <v>13090</v>
      </c>
      <c r="D5309" s="417" t="s">
        <v>88</v>
      </c>
      <c r="E5309" s="423">
        <v>8.3605221202784197</v>
      </c>
      <c r="F5309" s="423">
        <v>0.30207211385164329</v>
      </c>
      <c r="G5309" s="422">
        <v>20513.88621434545</v>
      </c>
      <c r="H5309" s="417" t="s">
        <v>2616</v>
      </c>
      <c r="I5309" s="417" t="s">
        <v>1392</v>
      </c>
      <c r="J5309" s="417" t="s">
        <v>13043</v>
      </c>
      <c r="K5309" s="417" t="s">
        <v>13091</v>
      </c>
      <c r="L5309" s="417"/>
      <c r="M5309" s="417" t="s">
        <v>28840</v>
      </c>
    </row>
    <row r="5310" spans="1:13" x14ac:dyDescent="0.25">
      <c r="A5310" s="417" t="s">
        <v>3385</v>
      </c>
      <c r="B5310" s="417" t="s">
        <v>2627</v>
      </c>
      <c r="C5310" s="417" t="s">
        <v>13092</v>
      </c>
      <c r="D5310" s="417" t="s">
        <v>88</v>
      </c>
      <c r="E5310" s="423">
        <v>12.4157753129748</v>
      </c>
      <c r="F5310" s="423">
        <v>7.0898845909905375E-2</v>
      </c>
      <c r="G5310" s="422">
        <v>15914.80614753744</v>
      </c>
      <c r="H5310" s="417" t="s">
        <v>2616</v>
      </c>
      <c r="I5310" s="417" t="s">
        <v>1392</v>
      </c>
      <c r="J5310" s="417" t="s">
        <v>13043</v>
      </c>
      <c r="K5310" s="417" t="s">
        <v>13093</v>
      </c>
      <c r="L5310" s="417"/>
      <c r="M5310" s="417" t="s">
        <v>28840</v>
      </c>
    </row>
    <row r="5311" spans="1:13" x14ac:dyDescent="0.25">
      <c r="A5311" s="417" t="s">
        <v>3385</v>
      </c>
      <c r="B5311" s="417" t="s">
        <v>2627</v>
      </c>
      <c r="C5311" s="417" t="s">
        <v>13094</v>
      </c>
      <c r="D5311" s="417" t="s">
        <v>88</v>
      </c>
      <c r="E5311" s="423">
        <v>12.13891790424208</v>
      </c>
      <c r="F5311" s="423">
        <v>0.10405355370220799</v>
      </c>
      <c r="G5311" s="422">
        <v>15875.131128797229</v>
      </c>
      <c r="H5311" s="417" t="s">
        <v>2616</v>
      </c>
      <c r="I5311" s="417" t="s">
        <v>1392</v>
      </c>
      <c r="J5311" s="417" t="s">
        <v>13043</v>
      </c>
      <c r="K5311" s="417" t="s">
        <v>13095</v>
      </c>
      <c r="L5311" s="417"/>
      <c r="M5311" s="417" t="s">
        <v>28840</v>
      </c>
    </row>
    <row r="5312" spans="1:13" x14ac:dyDescent="0.25">
      <c r="A5312" s="417" t="s">
        <v>3385</v>
      </c>
      <c r="B5312" s="417" t="s">
        <v>2627</v>
      </c>
      <c r="C5312" s="417" t="s">
        <v>13096</v>
      </c>
      <c r="D5312" s="417" t="s">
        <v>88</v>
      </c>
      <c r="E5312" s="423">
        <v>6.0336195164809281</v>
      </c>
      <c r="F5312" s="423">
        <v>7.322517832557307E-2</v>
      </c>
      <c r="G5312" s="422">
        <v>9540.746376371475</v>
      </c>
      <c r="H5312" s="417" t="s">
        <v>2616</v>
      </c>
      <c r="I5312" s="417" t="s">
        <v>1392</v>
      </c>
      <c r="J5312" s="417" t="s">
        <v>13043</v>
      </c>
      <c r="K5312" s="417" t="s">
        <v>13097</v>
      </c>
      <c r="L5312" s="417"/>
      <c r="M5312" s="417" t="s">
        <v>28840</v>
      </c>
    </row>
    <row r="5313" spans="1:13" x14ac:dyDescent="0.25">
      <c r="A5313" s="417" t="s">
        <v>3385</v>
      </c>
      <c r="B5313" s="417" t="s">
        <v>2627</v>
      </c>
      <c r="C5313" s="417" t="s">
        <v>13098</v>
      </c>
      <c r="D5313" s="417" t="s">
        <v>88</v>
      </c>
      <c r="E5313" s="423">
        <v>5.7547243470010203</v>
      </c>
      <c r="F5313" s="423">
        <v>0.1058268548504197</v>
      </c>
      <c r="G5313" s="422">
        <v>9490.0921199096301</v>
      </c>
      <c r="H5313" s="417" t="s">
        <v>2616</v>
      </c>
      <c r="I5313" s="417" t="s">
        <v>1392</v>
      </c>
      <c r="J5313" s="417" t="s">
        <v>13043</v>
      </c>
      <c r="K5313" s="417" t="s">
        <v>13099</v>
      </c>
      <c r="L5313" s="417"/>
      <c r="M5313" s="417" t="s">
        <v>28840</v>
      </c>
    </row>
    <row r="5314" spans="1:13" x14ac:dyDescent="0.25">
      <c r="A5314" s="417" t="s">
        <v>3385</v>
      </c>
      <c r="B5314" s="417" t="s">
        <v>2627</v>
      </c>
      <c r="C5314" s="417" t="s">
        <v>13100</v>
      </c>
      <c r="D5314" s="417" t="s">
        <v>88</v>
      </c>
      <c r="E5314" s="423">
        <v>6.3683735931975676</v>
      </c>
      <c r="F5314" s="423">
        <v>1.3672502574484411</v>
      </c>
      <c r="G5314" s="422">
        <v>28453.035491840459</v>
      </c>
      <c r="H5314" s="417" t="s">
        <v>2616</v>
      </c>
      <c r="I5314" s="417" t="s">
        <v>1392</v>
      </c>
      <c r="J5314" s="417" t="s">
        <v>13043</v>
      </c>
      <c r="K5314" s="417" t="s">
        <v>13101</v>
      </c>
      <c r="L5314" s="417"/>
      <c r="M5314" s="417" t="s">
        <v>28840</v>
      </c>
    </row>
    <row r="5315" spans="1:13" x14ac:dyDescent="0.25">
      <c r="A5315" s="417" t="s">
        <v>3385</v>
      </c>
      <c r="B5315" s="417" t="s">
        <v>2627</v>
      </c>
      <c r="C5315" s="417" t="s">
        <v>13102</v>
      </c>
      <c r="D5315" s="417" t="s">
        <v>88</v>
      </c>
      <c r="E5315" s="423">
        <v>6.5317687191544902</v>
      </c>
      <c r="F5315" s="423">
        <v>1.4107924467424291</v>
      </c>
      <c r="G5315" s="422">
        <v>29219.79714036622</v>
      </c>
      <c r="H5315" s="417" t="s">
        <v>2616</v>
      </c>
      <c r="I5315" s="417" t="s">
        <v>1392</v>
      </c>
      <c r="J5315" s="417" t="s">
        <v>13043</v>
      </c>
      <c r="K5315" s="417" t="s">
        <v>13103</v>
      </c>
      <c r="L5315" s="417"/>
      <c r="M5315" s="417" t="s">
        <v>28840</v>
      </c>
    </row>
    <row r="5316" spans="1:13" x14ac:dyDescent="0.25">
      <c r="A5316" s="417" t="s">
        <v>3385</v>
      </c>
      <c r="B5316" s="417" t="s">
        <v>2627</v>
      </c>
      <c r="C5316" s="417" t="s">
        <v>13104</v>
      </c>
      <c r="D5316" s="417" t="s">
        <v>88</v>
      </c>
      <c r="E5316" s="423">
        <v>6.0113409513693172</v>
      </c>
      <c r="F5316" s="423">
        <v>1.2187467913333709</v>
      </c>
      <c r="G5316" s="422">
        <v>25599.923206277439</v>
      </c>
      <c r="H5316" s="417" t="s">
        <v>2616</v>
      </c>
      <c r="I5316" s="417" t="s">
        <v>1392</v>
      </c>
      <c r="J5316" s="417" t="s">
        <v>13043</v>
      </c>
      <c r="K5316" s="417" t="s">
        <v>13105</v>
      </c>
      <c r="L5316" s="417"/>
      <c r="M5316" s="417" t="s">
        <v>28840</v>
      </c>
    </row>
    <row r="5317" spans="1:13" x14ac:dyDescent="0.25">
      <c r="A5317" s="417" t="s">
        <v>3385</v>
      </c>
      <c r="B5317" s="417" t="s">
        <v>2627</v>
      </c>
      <c r="C5317" s="417" t="s">
        <v>13106</v>
      </c>
      <c r="D5317" s="417" t="s">
        <v>88</v>
      </c>
      <c r="E5317" s="423">
        <v>7.2105537655207561</v>
      </c>
      <c r="F5317" s="423">
        <v>1.1475293179646651</v>
      </c>
      <c r="G5317" s="422">
        <v>25919.028593798961</v>
      </c>
      <c r="H5317" s="417" t="s">
        <v>2616</v>
      </c>
      <c r="I5317" s="417" t="s">
        <v>1392</v>
      </c>
      <c r="J5317" s="417" t="s">
        <v>13043</v>
      </c>
      <c r="K5317" s="417" t="s">
        <v>13107</v>
      </c>
      <c r="L5317" s="417"/>
      <c r="M5317" s="417" t="s">
        <v>28840</v>
      </c>
    </row>
    <row r="5318" spans="1:13" x14ac:dyDescent="0.25">
      <c r="A5318" s="417" t="s">
        <v>3385</v>
      </c>
      <c r="B5318" s="417" t="s">
        <v>2437</v>
      </c>
      <c r="C5318" s="417" t="s">
        <v>13108</v>
      </c>
      <c r="D5318" s="417" t="s">
        <v>3936</v>
      </c>
      <c r="E5318" s="423">
        <v>2065385.7668095699</v>
      </c>
      <c r="F5318" s="423">
        <v>48721.31523900247</v>
      </c>
      <c r="G5318" s="422">
        <v>4001242169.8131089</v>
      </c>
      <c r="H5318" s="417" t="s">
        <v>2616</v>
      </c>
      <c r="I5318" s="417" t="s">
        <v>1392</v>
      </c>
      <c r="J5318" s="417" t="s">
        <v>4944</v>
      </c>
      <c r="K5318" s="417" t="s">
        <v>13109</v>
      </c>
      <c r="L5318" s="417"/>
      <c r="M5318" s="417" t="s">
        <v>28840</v>
      </c>
    </row>
    <row r="5319" spans="1:13" x14ac:dyDescent="0.25">
      <c r="A5319" s="417" t="s">
        <v>3385</v>
      </c>
      <c r="B5319" s="417" t="s">
        <v>2437</v>
      </c>
      <c r="C5319" s="417" t="s">
        <v>13110</v>
      </c>
      <c r="D5319" s="417" t="s">
        <v>3936</v>
      </c>
      <c r="E5319" s="423">
        <v>25992.468747944989</v>
      </c>
      <c r="F5319" s="423">
        <v>1577.7893491940829</v>
      </c>
      <c r="G5319" s="422">
        <v>117278627.1646696</v>
      </c>
      <c r="H5319" s="417" t="s">
        <v>2616</v>
      </c>
      <c r="I5319" s="417" t="s">
        <v>1392</v>
      </c>
      <c r="J5319" s="417" t="s">
        <v>4944</v>
      </c>
      <c r="K5319" s="417" t="s">
        <v>13111</v>
      </c>
      <c r="L5319" s="417"/>
      <c r="M5319" s="417" t="s">
        <v>28840</v>
      </c>
    </row>
    <row r="5320" spans="1:13" x14ac:dyDescent="0.25">
      <c r="A5320" s="417" t="s">
        <v>3385</v>
      </c>
      <c r="B5320" s="417" t="s">
        <v>2627</v>
      </c>
      <c r="C5320" s="417" t="s">
        <v>13112</v>
      </c>
      <c r="D5320" s="417" t="s">
        <v>88</v>
      </c>
      <c r="E5320" s="423">
        <v>1.783190807649762</v>
      </c>
      <c r="F5320" s="423">
        <v>3.883453210307964E-3</v>
      </c>
      <c r="G5320" s="422">
        <v>2577.1705133883302</v>
      </c>
      <c r="H5320" s="417" t="s">
        <v>2616</v>
      </c>
      <c r="I5320" s="417" t="s">
        <v>1392</v>
      </c>
      <c r="J5320" s="417" t="s">
        <v>3932</v>
      </c>
      <c r="K5320" s="417" t="s">
        <v>13113</v>
      </c>
      <c r="L5320" s="417"/>
      <c r="M5320" s="417" t="s">
        <v>28840</v>
      </c>
    </row>
    <row r="5321" spans="1:13" x14ac:dyDescent="0.25">
      <c r="A5321" s="417" t="s">
        <v>3385</v>
      </c>
      <c r="B5321" s="417" t="s">
        <v>2437</v>
      </c>
      <c r="C5321" s="417" t="s">
        <v>13114</v>
      </c>
      <c r="D5321" s="417" t="s">
        <v>88</v>
      </c>
      <c r="E5321" s="423">
        <v>5.3876302962007951</v>
      </c>
      <c r="F5321" s="423">
        <v>1.277899069087471</v>
      </c>
      <c r="G5321" s="422">
        <v>26411.57045596472</v>
      </c>
      <c r="H5321" s="417" t="s">
        <v>2616</v>
      </c>
      <c r="I5321" s="417" t="s">
        <v>1392</v>
      </c>
      <c r="J5321" s="417" t="s">
        <v>13115</v>
      </c>
      <c r="K5321" s="417" t="s">
        <v>13116</v>
      </c>
      <c r="L5321" s="417"/>
      <c r="M5321" s="417" t="s">
        <v>28840</v>
      </c>
    </row>
    <row r="5322" spans="1:13" x14ac:dyDescent="0.25">
      <c r="A5322" s="417" t="s">
        <v>3385</v>
      </c>
      <c r="B5322" s="417" t="s">
        <v>2437</v>
      </c>
      <c r="C5322" s="417" t="s">
        <v>13117</v>
      </c>
      <c r="D5322" s="417" t="s">
        <v>88</v>
      </c>
      <c r="E5322" s="423">
        <v>0.8530737758348802</v>
      </c>
      <c r="F5322" s="423">
        <v>0.47955414957712428</v>
      </c>
      <c r="G5322" s="422">
        <v>4700.282139778411</v>
      </c>
      <c r="H5322" s="417" t="s">
        <v>2616</v>
      </c>
      <c r="I5322" s="417" t="s">
        <v>1392</v>
      </c>
      <c r="J5322" s="417" t="s">
        <v>13115</v>
      </c>
      <c r="K5322" s="417" t="s">
        <v>13118</v>
      </c>
      <c r="L5322" s="417"/>
      <c r="M5322" s="417" t="s">
        <v>28840</v>
      </c>
    </row>
    <row r="5323" spans="1:13" x14ac:dyDescent="0.25">
      <c r="A5323" s="417" t="s">
        <v>3385</v>
      </c>
      <c r="B5323" s="417" t="s">
        <v>2437</v>
      </c>
      <c r="C5323" s="417" t="s">
        <v>13119</v>
      </c>
      <c r="D5323" s="417" t="s">
        <v>88</v>
      </c>
      <c r="E5323" s="423">
        <v>5.9454180352652459</v>
      </c>
      <c r="F5323" s="423">
        <v>1.389365896537923</v>
      </c>
      <c r="G5323" s="422">
        <v>28739.384933847861</v>
      </c>
      <c r="H5323" s="417" t="s">
        <v>2616</v>
      </c>
      <c r="I5323" s="417" t="s">
        <v>1392</v>
      </c>
      <c r="J5323" s="417" t="s">
        <v>13115</v>
      </c>
      <c r="K5323" s="417" t="s">
        <v>13120</v>
      </c>
      <c r="L5323" s="417"/>
      <c r="M5323" s="417" t="s">
        <v>28840</v>
      </c>
    </row>
    <row r="5324" spans="1:13" x14ac:dyDescent="0.25">
      <c r="A5324" s="417" t="s">
        <v>3385</v>
      </c>
      <c r="B5324" s="417" t="s">
        <v>2437</v>
      </c>
      <c r="C5324" s="417" t="s">
        <v>13121</v>
      </c>
      <c r="D5324" s="417" t="s">
        <v>88</v>
      </c>
      <c r="E5324" s="423">
        <v>1.0563416529813701</v>
      </c>
      <c r="F5324" s="423">
        <v>0.52860491981930591</v>
      </c>
      <c r="G5324" s="422">
        <v>5330.6683071208536</v>
      </c>
      <c r="H5324" s="417" t="s">
        <v>2616</v>
      </c>
      <c r="I5324" s="417" t="s">
        <v>1392</v>
      </c>
      <c r="J5324" s="417" t="s">
        <v>13115</v>
      </c>
      <c r="K5324" s="417" t="s">
        <v>13122</v>
      </c>
      <c r="L5324" s="417"/>
      <c r="M5324" s="417" t="s">
        <v>28840</v>
      </c>
    </row>
    <row r="5325" spans="1:13" x14ac:dyDescent="0.25">
      <c r="A5325" s="417" t="s">
        <v>3385</v>
      </c>
      <c r="B5325" s="417" t="s">
        <v>2437</v>
      </c>
      <c r="C5325" s="417" t="s">
        <v>13123</v>
      </c>
      <c r="D5325" s="417" t="s">
        <v>88</v>
      </c>
      <c r="E5325" s="423">
        <v>12.65110240305936</v>
      </c>
      <c r="F5325" s="423">
        <v>0.16174642560526989</v>
      </c>
      <c r="G5325" s="422">
        <v>17284.664611578341</v>
      </c>
      <c r="H5325" s="417" t="s">
        <v>2616</v>
      </c>
      <c r="I5325" s="417" t="s">
        <v>1392</v>
      </c>
      <c r="J5325" s="417" t="s">
        <v>13115</v>
      </c>
      <c r="K5325" s="417" t="s">
        <v>13124</v>
      </c>
      <c r="L5325" s="417"/>
      <c r="M5325" s="417" t="s">
        <v>28840</v>
      </c>
    </row>
    <row r="5326" spans="1:13" x14ac:dyDescent="0.25">
      <c r="A5326" s="417" t="s">
        <v>3385</v>
      </c>
      <c r="B5326" s="417" t="s">
        <v>2627</v>
      </c>
      <c r="C5326" s="417" t="s">
        <v>954</v>
      </c>
      <c r="D5326" s="417" t="s">
        <v>88</v>
      </c>
      <c r="E5326" s="423">
        <v>1.722929540235218</v>
      </c>
      <c r="F5326" s="423">
        <v>7.0646062493309094E-3</v>
      </c>
      <c r="G5326" s="422">
        <v>2530.4209728437172</v>
      </c>
      <c r="H5326" s="417" t="s">
        <v>2616</v>
      </c>
      <c r="I5326" s="417" t="s">
        <v>28841</v>
      </c>
      <c r="J5326" s="417" t="s">
        <v>3932</v>
      </c>
      <c r="K5326" s="417" t="s">
        <v>13125</v>
      </c>
      <c r="L5326" s="417"/>
      <c r="M5326" s="417" t="s">
        <v>28840</v>
      </c>
    </row>
    <row r="5327" spans="1:13" x14ac:dyDescent="0.25">
      <c r="A5327" s="417" t="s">
        <v>3385</v>
      </c>
      <c r="B5327" s="417" t="s">
        <v>2627</v>
      </c>
      <c r="C5327" s="417" t="s">
        <v>13126</v>
      </c>
      <c r="D5327" s="417" t="s">
        <v>88</v>
      </c>
      <c r="E5327" s="423">
        <v>0.53765072825007632</v>
      </c>
      <c r="F5327" s="423">
        <v>6.2540240734153305E-2</v>
      </c>
      <c r="G5327" s="422">
        <v>1140.521551291376</v>
      </c>
      <c r="H5327" s="417" t="s">
        <v>2616</v>
      </c>
      <c r="I5327" s="417" t="s">
        <v>1392</v>
      </c>
      <c r="J5327" s="417" t="s">
        <v>3932</v>
      </c>
      <c r="K5327" s="417" t="s">
        <v>13127</v>
      </c>
      <c r="L5327" s="417"/>
      <c r="M5327" s="417" t="s">
        <v>28840</v>
      </c>
    </row>
    <row r="5328" spans="1:13" x14ac:dyDescent="0.25">
      <c r="A5328" s="417" t="s">
        <v>3385</v>
      </c>
      <c r="B5328" s="417" t="s">
        <v>2627</v>
      </c>
      <c r="C5328" s="417" t="s">
        <v>13128</v>
      </c>
      <c r="D5328" s="417" t="s">
        <v>88</v>
      </c>
      <c r="E5328" s="423">
        <v>0.57796505877515192</v>
      </c>
      <c r="F5328" s="423">
        <v>6.7506483569189035E-2</v>
      </c>
      <c r="G5328" s="422">
        <v>1642.1791638888831</v>
      </c>
      <c r="H5328" s="417" t="s">
        <v>2616</v>
      </c>
      <c r="I5328" s="417" t="s">
        <v>1392</v>
      </c>
      <c r="J5328" s="417" t="s">
        <v>3932</v>
      </c>
      <c r="K5328" s="417" t="s">
        <v>13129</v>
      </c>
      <c r="L5328" s="417"/>
      <c r="M5328" s="417" t="s">
        <v>28840</v>
      </c>
    </row>
    <row r="5329" spans="1:13" x14ac:dyDescent="0.25">
      <c r="A5329" s="417" t="s">
        <v>3385</v>
      </c>
      <c r="B5329" s="417" t="s">
        <v>2627</v>
      </c>
      <c r="C5329" s="417" t="s">
        <v>13130</v>
      </c>
      <c r="D5329" s="417" t="s">
        <v>88</v>
      </c>
      <c r="E5329" s="423">
        <v>0.52995700605793961</v>
      </c>
      <c r="F5329" s="423">
        <v>6.1430565196240038E-2</v>
      </c>
      <c r="G5329" s="422">
        <v>1120.4341774305519</v>
      </c>
      <c r="H5329" s="417" t="s">
        <v>2616</v>
      </c>
      <c r="I5329" s="417" t="s">
        <v>1392</v>
      </c>
      <c r="J5329" s="417" t="s">
        <v>3932</v>
      </c>
      <c r="K5329" s="417" t="s">
        <v>13131</v>
      </c>
      <c r="L5329" s="417"/>
      <c r="M5329" s="417" t="s">
        <v>28840</v>
      </c>
    </row>
    <row r="5330" spans="1:13" x14ac:dyDescent="0.25">
      <c r="A5330" s="417" t="s">
        <v>3385</v>
      </c>
      <c r="B5330" s="417" t="s">
        <v>2627</v>
      </c>
      <c r="C5330" s="417" t="s">
        <v>13132</v>
      </c>
      <c r="D5330" s="417" t="s">
        <v>88</v>
      </c>
      <c r="E5330" s="423">
        <v>0.61380460677123472</v>
      </c>
      <c r="F5330" s="423">
        <v>7.198436670138933E-2</v>
      </c>
      <c r="G5330" s="422">
        <v>2058.7725714537451</v>
      </c>
      <c r="H5330" s="417" t="s">
        <v>2616</v>
      </c>
      <c r="I5330" s="417" t="s">
        <v>1392</v>
      </c>
      <c r="J5330" s="417" t="s">
        <v>3932</v>
      </c>
      <c r="K5330" s="417" t="s">
        <v>13133</v>
      </c>
      <c r="L5330" s="417"/>
      <c r="M5330" s="417" t="s">
        <v>28840</v>
      </c>
    </row>
    <row r="5331" spans="1:13" x14ac:dyDescent="0.25">
      <c r="A5331" s="417" t="s">
        <v>3385</v>
      </c>
      <c r="B5331" s="417" t="s">
        <v>2627</v>
      </c>
      <c r="C5331" s="417" t="s">
        <v>13134</v>
      </c>
      <c r="D5331" s="417" t="s">
        <v>88</v>
      </c>
      <c r="E5331" s="423">
        <v>13.718960886110921</v>
      </c>
      <c r="F5331" s="423">
        <v>0.73708763727131366</v>
      </c>
      <c r="G5331" s="422">
        <v>43401.830391097908</v>
      </c>
      <c r="H5331" s="417" t="s">
        <v>2616</v>
      </c>
      <c r="I5331" s="417" t="s">
        <v>1392</v>
      </c>
      <c r="J5331" s="417" t="s">
        <v>3714</v>
      </c>
      <c r="K5331" s="417" t="s">
        <v>13135</v>
      </c>
      <c r="L5331" s="417"/>
      <c r="M5331" s="417" t="s">
        <v>28840</v>
      </c>
    </row>
    <row r="5332" spans="1:13" x14ac:dyDescent="0.25">
      <c r="A5332" s="417" t="s">
        <v>3385</v>
      </c>
      <c r="B5332" s="417" t="s">
        <v>2437</v>
      </c>
      <c r="C5332" s="417" t="s">
        <v>13136</v>
      </c>
      <c r="D5332" s="417" t="s">
        <v>88</v>
      </c>
      <c r="E5332" s="423">
        <v>12.99316286807832</v>
      </c>
      <c r="F5332" s="423">
        <v>1.082707227322224</v>
      </c>
      <c r="G5332" s="422">
        <v>34443.87332105924</v>
      </c>
      <c r="H5332" s="417" t="s">
        <v>2616</v>
      </c>
      <c r="I5332" s="417" t="s">
        <v>1392</v>
      </c>
      <c r="J5332" s="417" t="s">
        <v>3871</v>
      </c>
      <c r="K5332" s="417" t="s">
        <v>13137</v>
      </c>
      <c r="L5332" s="417"/>
      <c r="M5332" s="417" t="s">
        <v>28840</v>
      </c>
    </row>
    <row r="5333" spans="1:13" x14ac:dyDescent="0.25">
      <c r="A5333" s="417" t="s">
        <v>3385</v>
      </c>
      <c r="B5333" s="417" t="s">
        <v>2437</v>
      </c>
      <c r="C5333" s="417" t="s">
        <v>13138</v>
      </c>
      <c r="D5333" s="417" t="s">
        <v>88</v>
      </c>
      <c r="E5333" s="423">
        <v>3.73094663569701</v>
      </c>
      <c r="F5333" s="423">
        <v>0.2337715922039339</v>
      </c>
      <c r="G5333" s="422">
        <v>7124.4548288753431</v>
      </c>
      <c r="H5333" s="417" t="s">
        <v>2616</v>
      </c>
      <c r="I5333" s="417" t="s">
        <v>1392</v>
      </c>
      <c r="J5333" s="417" t="s">
        <v>3871</v>
      </c>
      <c r="K5333" s="417" t="s">
        <v>13139</v>
      </c>
      <c r="L5333" s="417"/>
      <c r="M5333" s="417" t="s">
        <v>28840</v>
      </c>
    </row>
    <row r="5334" spans="1:13" x14ac:dyDescent="0.25">
      <c r="A5334" s="417" t="s">
        <v>3385</v>
      </c>
      <c r="B5334" s="417" t="s">
        <v>2437</v>
      </c>
      <c r="C5334" s="417" t="s">
        <v>13140</v>
      </c>
      <c r="D5334" s="417" t="s">
        <v>989</v>
      </c>
      <c r="E5334" s="423">
        <v>2060650.8652139099</v>
      </c>
      <c r="F5334" s="423">
        <v>70851.040599383225</v>
      </c>
      <c r="G5334" s="422">
        <v>4362091085.9147797</v>
      </c>
      <c r="H5334" s="417" t="s">
        <v>2616</v>
      </c>
      <c r="I5334" s="417" t="s">
        <v>1392</v>
      </c>
      <c r="J5334" s="417" t="s">
        <v>5056</v>
      </c>
      <c r="K5334" s="417" t="s">
        <v>13141</v>
      </c>
      <c r="L5334" s="417"/>
      <c r="M5334" s="417" t="s">
        <v>28840</v>
      </c>
    </row>
    <row r="5335" spans="1:13" x14ac:dyDescent="0.25">
      <c r="A5335" s="417" t="s">
        <v>3385</v>
      </c>
      <c r="B5335" s="417" t="s">
        <v>3405</v>
      </c>
      <c r="C5335" s="417" t="s">
        <v>13142</v>
      </c>
      <c r="D5335" s="417" t="s">
        <v>989</v>
      </c>
      <c r="E5335" s="423">
        <v>1882.9179987750181</v>
      </c>
      <c r="F5335" s="423">
        <v>216.42218397260299</v>
      </c>
      <c r="G5335" s="422">
        <v>3807867.2963138539</v>
      </c>
      <c r="H5335" s="417" t="s">
        <v>2616</v>
      </c>
      <c r="I5335" s="417" t="s">
        <v>1392</v>
      </c>
      <c r="J5335" s="417" t="s">
        <v>4326</v>
      </c>
      <c r="K5335" s="417" t="s">
        <v>13143</v>
      </c>
      <c r="L5335" s="417"/>
      <c r="M5335" s="417" t="s">
        <v>28840</v>
      </c>
    </row>
    <row r="5336" spans="1:13" x14ac:dyDescent="0.25">
      <c r="A5336" s="417" t="s">
        <v>3385</v>
      </c>
      <c r="B5336" s="417" t="s">
        <v>2627</v>
      </c>
      <c r="C5336" s="417" t="s">
        <v>1098</v>
      </c>
      <c r="D5336" s="417" t="s">
        <v>88</v>
      </c>
      <c r="E5336" s="423">
        <v>142.76375381728229</v>
      </c>
      <c r="F5336" s="423">
        <v>3.2206287084897061</v>
      </c>
      <c r="G5336" s="422">
        <v>890379.29861315747</v>
      </c>
      <c r="H5336" s="417" t="s">
        <v>2616</v>
      </c>
      <c r="I5336" s="417" t="s">
        <v>28841</v>
      </c>
      <c r="J5336" s="417" t="s">
        <v>3915</v>
      </c>
      <c r="K5336" s="417" t="s">
        <v>13144</v>
      </c>
      <c r="L5336" s="417"/>
      <c r="M5336" s="417" t="s">
        <v>28840</v>
      </c>
    </row>
    <row r="5337" spans="1:13" x14ac:dyDescent="0.25">
      <c r="A5337" s="417" t="s">
        <v>3385</v>
      </c>
      <c r="B5337" s="417" t="s">
        <v>2627</v>
      </c>
      <c r="C5337" s="417" t="s">
        <v>13145</v>
      </c>
      <c r="D5337" s="417" t="s">
        <v>88</v>
      </c>
      <c r="E5337" s="423">
        <v>84.655040739647703</v>
      </c>
      <c r="F5337" s="423">
        <v>3.4377098034119209</v>
      </c>
      <c r="G5337" s="422">
        <v>754829.02071896952</v>
      </c>
      <c r="H5337" s="417" t="s">
        <v>2616</v>
      </c>
      <c r="I5337" s="417" t="s">
        <v>1392</v>
      </c>
      <c r="J5337" s="417" t="s">
        <v>3899</v>
      </c>
      <c r="K5337" s="417" t="s">
        <v>13146</v>
      </c>
      <c r="L5337" s="417"/>
      <c r="M5337" s="417" t="s">
        <v>28840</v>
      </c>
    </row>
    <row r="5338" spans="1:13" x14ac:dyDescent="0.25">
      <c r="A5338" s="417" t="s">
        <v>3385</v>
      </c>
      <c r="B5338" s="417" t="s">
        <v>2627</v>
      </c>
      <c r="C5338" s="417" t="s">
        <v>13147</v>
      </c>
      <c r="D5338" s="417" t="s">
        <v>88</v>
      </c>
      <c r="E5338" s="423">
        <v>55.801040606960548</v>
      </c>
      <c r="F5338" s="423">
        <v>2.3260424298247599</v>
      </c>
      <c r="G5338" s="422">
        <v>395791.39342923358</v>
      </c>
      <c r="H5338" s="417" t="s">
        <v>2616</v>
      </c>
      <c r="I5338" s="417" t="s">
        <v>1392</v>
      </c>
      <c r="J5338" s="417" t="s">
        <v>3899</v>
      </c>
      <c r="K5338" s="417" t="s">
        <v>13148</v>
      </c>
      <c r="L5338" s="417"/>
      <c r="M5338" s="417" t="s">
        <v>28840</v>
      </c>
    </row>
    <row r="5339" spans="1:13" x14ac:dyDescent="0.25">
      <c r="A5339" s="417" t="s">
        <v>3385</v>
      </c>
      <c r="B5339" s="417" t="s">
        <v>2627</v>
      </c>
      <c r="C5339" s="417" t="s">
        <v>13149</v>
      </c>
      <c r="D5339" s="417" t="s">
        <v>88</v>
      </c>
      <c r="E5339" s="423">
        <v>38.494199432468953</v>
      </c>
      <c r="F5339" s="423">
        <v>1.5574188744405431</v>
      </c>
      <c r="G5339" s="422">
        <v>76309.72924184399</v>
      </c>
      <c r="H5339" s="417" t="s">
        <v>2616</v>
      </c>
      <c r="I5339" s="417" t="s">
        <v>1392</v>
      </c>
      <c r="J5339" s="417" t="s">
        <v>3899</v>
      </c>
      <c r="K5339" s="417" t="s">
        <v>13150</v>
      </c>
      <c r="L5339" s="417"/>
      <c r="M5339" s="417" t="s">
        <v>28840</v>
      </c>
    </row>
    <row r="5340" spans="1:13" x14ac:dyDescent="0.25">
      <c r="A5340" s="417" t="s">
        <v>3385</v>
      </c>
      <c r="B5340" s="417" t="s">
        <v>2627</v>
      </c>
      <c r="C5340" s="417" t="s">
        <v>13151</v>
      </c>
      <c r="D5340" s="417" t="s">
        <v>88</v>
      </c>
      <c r="E5340" s="423">
        <v>59.649497090931767</v>
      </c>
      <c r="F5340" s="423">
        <v>2.4403659655132839</v>
      </c>
      <c r="G5340" s="422">
        <v>408972.62469033903</v>
      </c>
      <c r="H5340" s="417" t="s">
        <v>2616</v>
      </c>
      <c r="I5340" s="417" t="s">
        <v>1392</v>
      </c>
      <c r="J5340" s="417" t="s">
        <v>3899</v>
      </c>
      <c r="K5340" s="417" t="s">
        <v>13152</v>
      </c>
      <c r="L5340" s="417"/>
      <c r="M5340" s="417" t="s">
        <v>28840</v>
      </c>
    </row>
    <row r="5341" spans="1:13" x14ac:dyDescent="0.25">
      <c r="A5341" s="417" t="s">
        <v>3385</v>
      </c>
      <c r="B5341" s="417" t="s">
        <v>3405</v>
      </c>
      <c r="C5341" s="417" t="s">
        <v>13153</v>
      </c>
      <c r="D5341" s="417" t="s">
        <v>989</v>
      </c>
      <c r="E5341" s="423">
        <v>11956.2651883613</v>
      </c>
      <c r="F5341" s="423">
        <v>282.3754893343733</v>
      </c>
      <c r="G5341" s="422">
        <v>30888281.32564345</v>
      </c>
      <c r="H5341" s="417" t="s">
        <v>2616</v>
      </c>
      <c r="I5341" s="417" t="s">
        <v>1392</v>
      </c>
      <c r="J5341" s="417" t="s">
        <v>4694</v>
      </c>
      <c r="K5341" s="417" t="s">
        <v>13154</v>
      </c>
      <c r="L5341" s="417"/>
      <c r="M5341" s="417" t="s">
        <v>28840</v>
      </c>
    </row>
    <row r="5342" spans="1:13" x14ac:dyDescent="0.25">
      <c r="A5342" s="417" t="s">
        <v>3385</v>
      </c>
      <c r="B5342" s="417" t="s">
        <v>3405</v>
      </c>
      <c r="C5342" s="417" t="s">
        <v>13155</v>
      </c>
      <c r="D5342" s="417" t="s">
        <v>989</v>
      </c>
      <c r="E5342" s="423">
        <v>9075.6946542522219</v>
      </c>
      <c r="F5342" s="423">
        <v>235.47393773478291</v>
      </c>
      <c r="G5342" s="422">
        <v>23552914.919966981</v>
      </c>
      <c r="H5342" s="417" t="s">
        <v>2616</v>
      </c>
      <c r="I5342" s="417" t="s">
        <v>1392</v>
      </c>
      <c r="J5342" s="417" t="s">
        <v>11340</v>
      </c>
      <c r="K5342" s="417" t="s">
        <v>13156</v>
      </c>
      <c r="L5342" s="417"/>
      <c r="M5342" s="417" t="s">
        <v>28840</v>
      </c>
    </row>
    <row r="5343" spans="1:13" x14ac:dyDescent="0.25">
      <c r="A5343" s="417" t="s">
        <v>3385</v>
      </c>
      <c r="B5343" s="417" t="s">
        <v>3405</v>
      </c>
      <c r="C5343" s="417" t="s">
        <v>13157</v>
      </c>
      <c r="D5343" s="417" t="s">
        <v>989</v>
      </c>
      <c r="E5343" s="423">
        <v>225035.39832288949</v>
      </c>
      <c r="F5343" s="423">
        <v>7175.3410760233091</v>
      </c>
      <c r="G5343" s="422">
        <v>390023656.71640891</v>
      </c>
      <c r="H5343" s="417" t="s">
        <v>2616</v>
      </c>
      <c r="I5343" s="417" t="s">
        <v>1392</v>
      </c>
      <c r="J5343" s="417" t="s">
        <v>4808</v>
      </c>
      <c r="K5343" s="417" t="s">
        <v>13158</v>
      </c>
      <c r="L5343" s="417"/>
      <c r="M5343" s="417" t="s">
        <v>28840</v>
      </c>
    </row>
    <row r="5344" spans="1:13" x14ac:dyDescent="0.25">
      <c r="A5344" s="417" t="s">
        <v>3385</v>
      </c>
      <c r="B5344" s="417" t="s">
        <v>2437</v>
      </c>
      <c r="C5344" s="417" t="s">
        <v>13159</v>
      </c>
      <c r="D5344" s="417" t="s">
        <v>88</v>
      </c>
      <c r="E5344" s="423">
        <v>2.3234887638938182</v>
      </c>
      <c r="F5344" s="423">
        <v>5.2155238166154652E-2</v>
      </c>
      <c r="G5344" s="422">
        <v>5027.5830192578442</v>
      </c>
      <c r="H5344" s="417" t="s">
        <v>2616</v>
      </c>
      <c r="I5344" s="417" t="s">
        <v>1392</v>
      </c>
      <c r="J5344" s="417" t="s">
        <v>2634</v>
      </c>
      <c r="K5344" s="417" t="s">
        <v>13160</v>
      </c>
      <c r="L5344" s="417"/>
      <c r="M5344" s="417" t="s">
        <v>28840</v>
      </c>
    </row>
    <row r="5345" spans="1:13" x14ac:dyDescent="0.25">
      <c r="A5345" s="417" t="s">
        <v>3385</v>
      </c>
      <c r="B5345" s="417" t="s">
        <v>2627</v>
      </c>
      <c r="C5345" s="417" t="s">
        <v>13161</v>
      </c>
      <c r="D5345" s="417" t="s">
        <v>83</v>
      </c>
      <c r="E5345" s="423">
        <v>32.391627064877902</v>
      </c>
      <c r="F5345" s="423">
        <v>167.36892342065849</v>
      </c>
      <c r="G5345" s="422">
        <v>140880.6633958926</v>
      </c>
      <c r="H5345" s="417" t="s">
        <v>2616</v>
      </c>
      <c r="I5345" s="417" t="s">
        <v>1392</v>
      </c>
      <c r="J5345" s="417" t="s">
        <v>4025</v>
      </c>
      <c r="K5345" s="417" t="s">
        <v>13162</v>
      </c>
      <c r="L5345" s="417"/>
      <c r="M5345" s="417" t="s">
        <v>28840</v>
      </c>
    </row>
    <row r="5346" spans="1:13" x14ac:dyDescent="0.25">
      <c r="A5346" s="417" t="s">
        <v>3385</v>
      </c>
      <c r="B5346" s="417" t="s">
        <v>2627</v>
      </c>
      <c r="C5346" s="417" t="s">
        <v>13163</v>
      </c>
      <c r="D5346" s="417" t="s">
        <v>83</v>
      </c>
      <c r="E5346" s="423">
        <v>9.3799092392953902</v>
      </c>
      <c r="F5346" s="423">
        <v>15.348701540824999</v>
      </c>
      <c r="G5346" s="422">
        <v>53000.496631828442</v>
      </c>
      <c r="H5346" s="417" t="s">
        <v>2616</v>
      </c>
      <c r="I5346" s="417" t="s">
        <v>1392</v>
      </c>
      <c r="J5346" s="417" t="s">
        <v>4025</v>
      </c>
      <c r="K5346" s="417" t="s">
        <v>13164</v>
      </c>
      <c r="L5346" s="417"/>
      <c r="M5346" s="417" t="s">
        <v>28840</v>
      </c>
    </row>
    <row r="5347" spans="1:13" x14ac:dyDescent="0.25">
      <c r="A5347" s="417" t="s">
        <v>3385</v>
      </c>
      <c r="B5347" s="417" t="s">
        <v>2627</v>
      </c>
      <c r="C5347" s="417" t="s">
        <v>13165</v>
      </c>
      <c r="D5347" s="417" t="s">
        <v>83</v>
      </c>
      <c r="E5347" s="423">
        <v>3.105827536949314</v>
      </c>
      <c r="F5347" s="423">
        <v>0.18523913687985991</v>
      </c>
      <c r="G5347" s="422">
        <v>33734.48890834998</v>
      </c>
      <c r="H5347" s="417" t="s">
        <v>2616</v>
      </c>
      <c r="I5347" s="417" t="s">
        <v>1392</v>
      </c>
      <c r="J5347" s="417" t="s">
        <v>4025</v>
      </c>
      <c r="K5347" s="417" t="s">
        <v>13166</v>
      </c>
      <c r="L5347" s="417"/>
      <c r="M5347" s="417" t="s">
        <v>28840</v>
      </c>
    </row>
    <row r="5348" spans="1:13" x14ac:dyDescent="0.25">
      <c r="A5348" s="417" t="s">
        <v>3385</v>
      </c>
      <c r="B5348" s="417" t="s">
        <v>3405</v>
      </c>
      <c r="C5348" s="417" t="s">
        <v>13167</v>
      </c>
      <c r="D5348" s="417" t="s">
        <v>73</v>
      </c>
      <c r="E5348" s="423">
        <v>8.506457013548463E-3</v>
      </c>
      <c r="F5348" s="423">
        <v>1.6182038689651179E-5</v>
      </c>
      <c r="G5348" s="422">
        <v>9.4259341162972792</v>
      </c>
      <c r="H5348" s="417" t="s">
        <v>2616</v>
      </c>
      <c r="I5348" s="417" t="s">
        <v>1392</v>
      </c>
      <c r="J5348" s="417" t="s">
        <v>13168</v>
      </c>
      <c r="K5348" s="417" t="s">
        <v>13169</v>
      </c>
      <c r="L5348" s="417"/>
      <c r="M5348" s="417" t="s">
        <v>28840</v>
      </c>
    </row>
    <row r="5349" spans="1:13" x14ac:dyDescent="0.25">
      <c r="A5349" s="417" t="s">
        <v>3385</v>
      </c>
      <c r="B5349" s="417" t="s">
        <v>3405</v>
      </c>
      <c r="C5349" s="417" t="s">
        <v>13170</v>
      </c>
      <c r="D5349" s="417" t="s">
        <v>73</v>
      </c>
      <c r="E5349" s="423">
        <v>6.1852587404124344E-3</v>
      </c>
      <c r="F5349" s="423">
        <v>3.889311230649085E-5</v>
      </c>
      <c r="G5349" s="422">
        <v>7.3946396885147756</v>
      </c>
      <c r="H5349" s="417" t="s">
        <v>2616</v>
      </c>
      <c r="I5349" s="417" t="s">
        <v>1392</v>
      </c>
      <c r="J5349" s="417" t="s">
        <v>13168</v>
      </c>
      <c r="K5349" s="417" t="s">
        <v>13171</v>
      </c>
      <c r="L5349" s="417"/>
      <c r="M5349" s="417" t="s">
        <v>28840</v>
      </c>
    </row>
    <row r="5350" spans="1:13" x14ac:dyDescent="0.25">
      <c r="A5350" s="417" t="s">
        <v>3385</v>
      </c>
      <c r="B5350" s="417" t="s">
        <v>3405</v>
      </c>
      <c r="C5350" s="417" t="s">
        <v>13172</v>
      </c>
      <c r="D5350" s="417" t="s">
        <v>73</v>
      </c>
      <c r="E5350" s="423">
        <v>1.2976044737290941E-3</v>
      </c>
      <c r="F5350" s="423">
        <v>2.0386334238425329E-5</v>
      </c>
      <c r="G5350" s="422">
        <v>2.4677803251041008</v>
      </c>
      <c r="H5350" s="417" t="s">
        <v>2616</v>
      </c>
      <c r="I5350" s="417" t="s">
        <v>1392</v>
      </c>
      <c r="J5350" s="417" t="s">
        <v>13168</v>
      </c>
      <c r="K5350" s="417" t="s">
        <v>13173</v>
      </c>
      <c r="L5350" s="417"/>
      <c r="M5350" s="417" t="s">
        <v>28840</v>
      </c>
    </row>
    <row r="5351" spans="1:13" x14ac:dyDescent="0.25">
      <c r="A5351" s="417" t="s">
        <v>3385</v>
      </c>
      <c r="B5351" s="417" t="s">
        <v>3655</v>
      </c>
      <c r="C5351" s="417" t="s">
        <v>13174</v>
      </c>
      <c r="D5351" s="417" t="s">
        <v>88</v>
      </c>
      <c r="E5351" s="423">
        <v>1.018231726984427</v>
      </c>
      <c r="F5351" s="423">
        <v>6.5277408601667156E-2</v>
      </c>
      <c r="G5351" s="422">
        <v>1778.3632984341421</v>
      </c>
      <c r="H5351" s="417" t="s">
        <v>2616</v>
      </c>
      <c r="I5351" s="417" t="s">
        <v>1392</v>
      </c>
      <c r="J5351" s="417" t="s">
        <v>4473</v>
      </c>
      <c r="K5351" s="417" t="s">
        <v>13175</v>
      </c>
      <c r="L5351" s="417"/>
      <c r="M5351" s="417" t="s">
        <v>28840</v>
      </c>
    </row>
    <row r="5352" spans="1:13" x14ac:dyDescent="0.25">
      <c r="A5352" s="417" t="s">
        <v>3385</v>
      </c>
      <c r="B5352" s="417" t="s">
        <v>2627</v>
      </c>
      <c r="C5352" s="417" t="s">
        <v>13176</v>
      </c>
      <c r="D5352" s="417" t="s">
        <v>989</v>
      </c>
      <c r="E5352" s="423">
        <v>0.57751220339854548</v>
      </c>
      <c r="F5352" s="423">
        <v>3.7875599152207687E-2</v>
      </c>
      <c r="G5352" s="422">
        <v>1283.629178298441</v>
      </c>
      <c r="H5352" s="417" t="s">
        <v>2616</v>
      </c>
      <c r="I5352" s="417" t="s">
        <v>1392</v>
      </c>
      <c r="J5352" s="417" t="s">
        <v>3699</v>
      </c>
      <c r="K5352" s="417" t="s">
        <v>13177</v>
      </c>
      <c r="L5352" s="417"/>
      <c r="M5352" s="417" t="s">
        <v>28840</v>
      </c>
    </row>
    <row r="5353" spans="1:13" x14ac:dyDescent="0.25">
      <c r="A5353" s="417" t="s">
        <v>3385</v>
      </c>
      <c r="B5353" s="417" t="s">
        <v>2437</v>
      </c>
      <c r="C5353" s="417" t="s">
        <v>13178</v>
      </c>
      <c r="D5353" s="417" t="s">
        <v>88</v>
      </c>
      <c r="E5353" s="423">
        <v>8.2349937754336686</v>
      </c>
      <c r="F5353" s="423">
        <v>0.12031592730193209</v>
      </c>
      <c r="G5353" s="422">
        <v>15132.34122689476</v>
      </c>
      <c r="H5353" s="417" t="s">
        <v>2616</v>
      </c>
      <c r="I5353" s="417" t="s">
        <v>1392</v>
      </c>
      <c r="J5353" s="417" t="s">
        <v>3871</v>
      </c>
      <c r="K5353" s="417" t="s">
        <v>13179</v>
      </c>
      <c r="L5353" s="417"/>
      <c r="M5353" s="417" t="s">
        <v>28840</v>
      </c>
    </row>
    <row r="5354" spans="1:13" x14ac:dyDescent="0.25">
      <c r="A5354" s="417" t="s">
        <v>3385</v>
      </c>
      <c r="B5354" s="417" t="s">
        <v>2627</v>
      </c>
      <c r="C5354" s="417" t="s">
        <v>13180</v>
      </c>
      <c r="D5354" s="417" t="s">
        <v>83</v>
      </c>
      <c r="E5354" s="423">
        <v>0.13044874274966459</v>
      </c>
      <c r="F5354" s="423">
        <v>3.4676568278310901E-3</v>
      </c>
      <c r="G5354" s="422">
        <v>199.38707402799739</v>
      </c>
      <c r="H5354" s="417" t="s">
        <v>2616</v>
      </c>
      <c r="I5354" s="417" t="s">
        <v>1392</v>
      </c>
      <c r="J5354" s="417" t="s">
        <v>13181</v>
      </c>
      <c r="K5354" s="417" t="s">
        <v>13182</v>
      </c>
      <c r="L5354" s="417"/>
      <c r="M5354" s="417" t="s">
        <v>28840</v>
      </c>
    </row>
    <row r="5355" spans="1:13" x14ac:dyDescent="0.25">
      <c r="A5355" s="417" t="s">
        <v>3385</v>
      </c>
      <c r="B5355" s="417" t="s">
        <v>2437</v>
      </c>
      <c r="C5355" s="417" t="s">
        <v>13183</v>
      </c>
      <c r="D5355" s="417" t="s">
        <v>88</v>
      </c>
      <c r="E5355" s="423">
        <v>10.98710133742501</v>
      </c>
      <c r="F5355" s="423">
        <v>0.31200380318645698</v>
      </c>
      <c r="G5355" s="422">
        <v>24011.715395009669</v>
      </c>
      <c r="H5355" s="417" t="s">
        <v>2616</v>
      </c>
      <c r="I5355" s="417" t="s">
        <v>1392</v>
      </c>
      <c r="J5355" s="417" t="s">
        <v>4342</v>
      </c>
      <c r="K5355" s="417" t="s">
        <v>13184</v>
      </c>
      <c r="L5355" s="417"/>
      <c r="M5355" s="417" t="s">
        <v>28840</v>
      </c>
    </row>
    <row r="5356" spans="1:13" x14ac:dyDescent="0.25">
      <c r="A5356" s="417" t="s">
        <v>3385</v>
      </c>
      <c r="B5356" s="417" t="s">
        <v>2627</v>
      </c>
      <c r="C5356" s="417" t="s">
        <v>13185</v>
      </c>
      <c r="D5356" s="417" t="s">
        <v>4315</v>
      </c>
      <c r="E5356" s="423">
        <v>12.75126750631304</v>
      </c>
      <c r="F5356" s="423">
        <v>0.40933307995279988</v>
      </c>
      <c r="G5356" s="422">
        <v>32123.654153580781</v>
      </c>
      <c r="H5356" s="417" t="s">
        <v>2616</v>
      </c>
      <c r="I5356" s="417" t="s">
        <v>1392</v>
      </c>
      <c r="J5356" s="417" t="s">
        <v>3667</v>
      </c>
      <c r="K5356" s="417" t="s">
        <v>13186</v>
      </c>
      <c r="L5356" s="417"/>
      <c r="M5356" s="417" t="s">
        <v>28840</v>
      </c>
    </row>
    <row r="5357" spans="1:13" x14ac:dyDescent="0.25">
      <c r="A5357" s="417" t="s">
        <v>3385</v>
      </c>
      <c r="B5357" s="417" t="s">
        <v>2627</v>
      </c>
      <c r="C5357" s="417" t="s">
        <v>13187</v>
      </c>
      <c r="D5357" s="417" t="s">
        <v>88</v>
      </c>
      <c r="E5357" s="423">
        <v>602.48843921145112</v>
      </c>
      <c r="F5357" s="423">
        <v>19.525104808395181</v>
      </c>
      <c r="G5357" s="422">
        <v>3643087.1687582661</v>
      </c>
      <c r="H5357" s="417" t="s">
        <v>2616</v>
      </c>
      <c r="I5357" s="417" t="s">
        <v>1392</v>
      </c>
      <c r="J5357" s="417" t="s">
        <v>3899</v>
      </c>
      <c r="K5357" s="417" t="s">
        <v>13188</v>
      </c>
      <c r="L5357" s="417"/>
      <c r="M5357" s="417" t="s">
        <v>28840</v>
      </c>
    </row>
    <row r="5358" spans="1:13" x14ac:dyDescent="0.25">
      <c r="A5358" s="417" t="s">
        <v>3385</v>
      </c>
      <c r="B5358" s="417" t="s">
        <v>2627</v>
      </c>
      <c r="C5358" s="417" t="s">
        <v>13189</v>
      </c>
      <c r="D5358" s="417" t="s">
        <v>88</v>
      </c>
      <c r="E5358" s="423">
        <v>347.49770370608752</v>
      </c>
      <c r="F5358" s="423">
        <v>12.721300138499441</v>
      </c>
      <c r="G5358" s="422">
        <v>2553065.0548328971</v>
      </c>
      <c r="H5358" s="417" t="s">
        <v>2616</v>
      </c>
      <c r="I5358" s="417" t="s">
        <v>1392</v>
      </c>
      <c r="J5358" s="417" t="s">
        <v>3899</v>
      </c>
      <c r="K5358" s="417" t="s">
        <v>13190</v>
      </c>
      <c r="L5358" s="417"/>
      <c r="M5358" s="417" t="s">
        <v>28840</v>
      </c>
    </row>
    <row r="5359" spans="1:13" x14ac:dyDescent="0.25">
      <c r="A5359" s="417" t="s">
        <v>3385</v>
      </c>
      <c r="B5359" s="417" t="s">
        <v>2627</v>
      </c>
      <c r="C5359" s="417" t="s">
        <v>13191</v>
      </c>
      <c r="D5359" s="417" t="s">
        <v>989</v>
      </c>
      <c r="E5359" s="423">
        <v>0.10389060951324031</v>
      </c>
      <c r="F5359" s="423">
        <v>9.9725951540906785E-3</v>
      </c>
      <c r="G5359" s="422">
        <v>278.44013688493681</v>
      </c>
      <c r="H5359" s="417" t="s">
        <v>2616</v>
      </c>
      <c r="I5359" s="417" t="s">
        <v>1392</v>
      </c>
      <c r="J5359" s="417" t="s">
        <v>13192</v>
      </c>
      <c r="K5359" s="417" t="s">
        <v>13193</v>
      </c>
      <c r="L5359" s="417"/>
      <c r="M5359" s="417" t="s">
        <v>28840</v>
      </c>
    </row>
    <row r="5360" spans="1:13" x14ac:dyDescent="0.25">
      <c r="A5360" s="417" t="s">
        <v>3385</v>
      </c>
      <c r="B5360" s="417" t="s">
        <v>2627</v>
      </c>
      <c r="C5360" s="417" t="s">
        <v>13194</v>
      </c>
      <c r="D5360" s="417" t="s">
        <v>989</v>
      </c>
      <c r="E5360" s="423">
        <v>2.228729216425842E-2</v>
      </c>
      <c r="F5360" s="423">
        <v>1.8783070099153199E-3</v>
      </c>
      <c r="G5360" s="422">
        <v>64.902415576425113</v>
      </c>
      <c r="H5360" s="417" t="s">
        <v>2616</v>
      </c>
      <c r="I5360" s="417" t="s">
        <v>1392</v>
      </c>
      <c r="J5360" s="417" t="s">
        <v>13192</v>
      </c>
      <c r="K5360" s="417" t="s">
        <v>13195</v>
      </c>
      <c r="L5360" s="417"/>
      <c r="M5360" s="417" t="s">
        <v>28840</v>
      </c>
    </row>
    <row r="5361" spans="1:13" x14ac:dyDescent="0.25">
      <c r="A5361" s="417" t="s">
        <v>3385</v>
      </c>
      <c r="B5361" s="417" t="s">
        <v>2627</v>
      </c>
      <c r="C5361" s="417" t="s">
        <v>13196</v>
      </c>
      <c r="D5361" s="417" t="s">
        <v>989</v>
      </c>
      <c r="E5361" s="423">
        <v>0.27447030109694009</v>
      </c>
      <c r="F5361" s="423">
        <v>2.9487403166365569E-2</v>
      </c>
      <c r="G5361" s="422">
        <v>920.05540878093655</v>
      </c>
      <c r="H5361" s="417" t="s">
        <v>2616</v>
      </c>
      <c r="I5361" s="417" t="s">
        <v>1392</v>
      </c>
      <c r="J5361" s="417" t="s">
        <v>13192</v>
      </c>
      <c r="K5361" s="417" t="s">
        <v>13197</v>
      </c>
      <c r="L5361" s="417"/>
      <c r="M5361" s="417" t="s">
        <v>28840</v>
      </c>
    </row>
    <row r="5362" spans="1:13" x14ac:dyDescent="0.25">
      <c r="A5362" s="417" t="s">
        <v>3385</v>
      </c>
      <c r="B5362" s="417" t="s">
        <v>3655</v>
      </c>
      <c r="C5362" s="417" t="s">
        <v>13198</v>
      </c>
      <c r="D5362" s="417" t="s">
        <v>989</v>
      </c>
      <c r="E5362" s="423">
        <v>4559842.9318190776</v>
      </c>
      <c r="F5362" s="423">
        <v>203193.55742039671</v>
      </c>
      <c r="G5362" s="422">
        <v>9725674706.7456646</v>
      </c>
      <c r="H5362" s="417" t="s">
        <v>2616</v>
      </c>
      <c r="I5362" s="417" t="s">
        <v>1392</v>
      </c>
      <c r="J5362" s="417" t="s">
        <v>11063</v>
      </c>
      <c r="K5362" s="417" t="s">
        <v>13199</v>
      </c>
      <c r="L5362" s="417"/>
      <c r="M5362" s="417" t="s">
        <v>28840</v>
      </c>
    </row>
    <row r="5363" spans="1:13" x14ac:dyDescent="0.25">
      <c r="A5363" s="417" t="s">
        <v>3385</v>
      </c>
      <c r="B5363" s="417" t="s">
        <v>3655</v>
      </c>
      <c r="C5363" s="417" t="s">
        <v>13200</v>
      </c>
      <c r="D5363" s="417" t="s">
        <v>989</v>
      </c>
      <c r="E5363" s="423">
        <v>4559842.931857341</v>
      </c>
      <c r="F5363" s="423">
        <v>203193.55742061191</v>
      </c>
      <c r="G5363" s="422">
        <v>9725674709.1352196</v>
      </c>
      <c r="H5363" s="417" t="s">
        <v>2616</v>
      </c>
      <c r="I5363" s="417" t="s">
        <v>1392</v>
      </c>
      <c r="J5363" s="417" t="s">
        <v>11063</v>
      </c>
      <c r="K5363" s="417" t="s">
        <v>13201</v>
      </c>
      <c r="L5363" s="417"/>
      <c r="M5363" s="417" t="s">
        <v>28840</v>
      </c>
    </row>
    <row r="5364" spans="1:13" x14ac:dyDescent="0.25">
      <c r="A5364" s="417" t="s">
        <v>3385</v>
      </c>
      <c r="B5364" s="417" t="s">
        <v>2437</v>
      </c>
      <c r="C5364" s="417" t="s">
        <v>13202</v>
      </c>
      <c r="D5364" s="417" t="s">
        <v>88</v>
      </c>
      <c r="E5364" s="423">
        <v>8.3579061921390512</v>
      </c>
      <c r="F5364" s="423">
        <v>0.2383806718120087</v>
      </c>
      <c r="G5364" s="422">
        <v>14753.8676731537</v>
      </c>
      <c r="H5364" s="417" t="s">
        <v>2616</v>
      </c>
      <c r="I5364" s="417" t="s">
        <v>1392</v>
      </c>
      <c r="J5364" s="417" t="s">
        <v>13203</v>
      </c>
      <c r="K5364" s="417" t="s">
        <v>13204</v>
      </c>
      <c r="L5364" s="417"/>
      <c r="M5364" s="417" t="s">
        <v>28840</v>
      </c>
    </row>
    <row r="5365" spans="1:13" x14ac:dyDescent="0.25">
      <c r="A5365" s="417" t="s">
        <v>3385</v>
      </c>
      <c r="B5365" s="417" t="s">
        <v>2437</v>
      </c>
      <c r="C5365" s="417" t="s">
        <v>13205</v>
      </c>
      <c r="D5365" s="417" t="s">
        <v>88</v>
      </c>
      <c r="E5365" s="423">
        <v>5.5131782432267906</v>
      </c>
      <c r="F5365" s="423">
        <v>0.12741615711787749</v>
      </c>
      <c r="G5365" s="422">
        <v>15067.505978233399</v>
      </c>
      <c r="H5365" s="417" t="s">
        <v>2616</v>
      </c>
      <c r="I5365" s="417" t="s">
        <v>1392</v>
      </c>
      <c r="J5365" s="417" t="s">
        <v>4342</v>
      </c>
      <c r="K5365" s="417" t="s">
        <v>13206</v>
      </c>
      <c r="L5365" s="417"/>
      <c r="M5365" s="417" t="s">
        <v>28840</v>
      </c>
    </row>
    <row r="5366" spans="1:13" x14ac:dyDescent="0.25">
      <c r="A5366" s="417" t="s">
        <v>3385</v>
      </c>
      <c r="B5366" s="417" t="s">
        <v>2627</v>
      </c>
      <c r="C5366" s="417" t="s">
        <v>13207</v>
      </c>
      <c r="D5366" s="417" t="s">
        <v>989</v>
      </c>
      <c r="E5366" s="423">
        <v>680.56407995876975</v>
      </c>
      <c r="F5366" s="423">
        <v>36.278230012747542</v>
      </c>
      <c r="G5366" s="422">
        <v>3071428.4964325461</v>
      </c>
      <c r="H5366" s="417" t="s">
        <v>2616</v>
      </c>
      <c r="I5366" s="417" t="s">
        <v>1392</v>
      </c>
      <c r="J5366" s="417" t="s">
        <v>3433</v>
      </c>
      <c r="K5366" s="417" t="s">
        <v>13208</v>
      </c>
      <c r="L5366" s="417"/>
      <c r="M5366" s="417" t="s">
        <v>28840</v>
      </c>
    </row>
    <row r="5367" spans="1:13" x14ac:dyDescent="0.25">
      <c r="A5367" s="417" t="s">
        <v>3385</v>
      </c>
      <c r="B5367" s="417" t="s">
        <v>2627</v>
      </c>
      <c r="C5367" s="417" t="s">
        <v>13209</v>
      </c>
      <c r="D5367" s="417" t="s">
        <v>989</v>
      </c>
      <c r="E5367" s="423">
        <v>265.13419689337348</v>
      </c>
      <c r="F5367" s="423">
        <v>14.133322787704939</v>
      </c>
      <c r="G5367" s="422">
        <v>1196569.343608639</v>
      </c>
      <c r="H5367" s="417" t="s">
        <v>2616</v>
      </c>
      <c r="I5367" s="417" t="s">
        <v>1392</v>
      </c>
      <c r="J5367" s="417" t="s">
        <v>3433</v>
      </c>
      <c r="K5367" s="417" t="s">
        <v>13210</v>
      </c>
      <c r="L5367" s="417"/>
      <c r="M5367" s="417" t="s">
        <v>28840</v>
      </c>
    </row>
    <row r="5368" spans="1:13" x14ac:dyDescent="0.25">
      <c r="A5368" s="417" t="s">
        <v>3385</v>
      </c>
      <c r="B5368" s="417" t="s">
        <v>2627</v>
      </c>
      <c r="C5368" s="417" t="s">
        <v>13211</v>
      </c>
      <c r="D5368" s="417" t="s">
        <v>989</v>
      </c>
      <c r="E5368" s="423">
        <v>1090.3403320174691</v>
      </c>
      <c r="F5368" s="423">
        <v>58.122172839819839</v>
      </c>
      <c r="G5368" s="422">
        <v>4920779.1298277164</v>
      </c>
      <c r="H5368" s="417" t="s">
        <v>2616</v>
      </c>
      <c r="I5368" s="417" t="s">
        <v>1392</v>
      </c>
      <c r="J5368" s="417" t="s">
        <v>3433</v>
      </c>
      <c r="K5368" s="417" t="s">
        <v>13212</v>
      </c>
      <c r="L5368" s="417"/>
      <c r="M5368" s="417" t="s">
        <v>28840</v>
      </c>
    </row>
    <row r="5369" spans="1:13" x14ac:dyDescent="0.25">
      <c r="A5369" s="417" t="s">
        <v>3385</v>
      </c>
      <c r="B5369" s="417" t="s">
        <v>2627</v>
      </c>
      <c r="C5369" s="417" t="s">
        <v>13213</v>
      </c>
      <c r="D5369" s="417" t="s">
        <v>989</v>
      </c>
      <c r="E5369" s="423">
        <v>145.92370516434369</v>
      </c>
      <c r="F5369" s="423">
        <v>11.79225812681894</v>
      </c>
      <c r="G5369" s="422">
        <v>520401.80302115361</v>
      </c>
      <c r="H5369" s="417" t="s">
        <v>2616</v>
      </c>
      <c r="I5369" s="417" t="s">
        <v>1392</v>
      </c>
      <c r="J5369" s="417" t="s">
        <v>13214</v>
      </c>
      <c r="K5369" s="417" t="s">
        <v>13215</v>
      </c>
      <c r="L5369" s="417"/>
      <c r="M5369" s="417" t="s">
        <v>28840</v>
      </c>
    </row>
    <row r="5370" spans="1:13" x14ac:dyDescent="0.25">
      <c r="A5370" s="417" t="s">
        <v>3385</v>
      </c>
      <c r="B5370" s="417" t="s">
        <v>2627</v>
      </c>
      <c r="C5370" s="417" t="s">
        <v>13216</v>
      </c>
      <c r="D5370" s="417" t="s">
        <v>989</v>
      </c>
      <c r="E5370" s="423">
        <v>424.77845632230168</v>
      </c>
      <c r="F5370" s="423">
        <v>22.64347989152283</v>
      </c>
      <c r="G5370" s="422">
        <v>1917048.7586169459</v>
      </c>
      <c r="H5370" s="417" t="s">
        <v>2616</v>
      </c>
      <c r="I5370" s="417" t="s">
        <v>1392</v>
      </c>
      <c r="J5370" s="417" t="s">
        <v>3433</v>
      </c>
      <c r="K5370" s="417" t="s">
        <v>13217</v>
      </c>
      <c r="L5370" s="417"/>
      <c r="M5370" s="417" t="s">
        <v>28840</v>
      </c>
    </row>
    <row r="5371" spans="1:13" x14ac:dyDescent="0.25">
      <c r="A5371" s="417" t="s">
        <v>3385</v>
      </c>
      <c r="B5371" s="417" t="s">
        <v>2627</v>
      </c>
      <c r="C5371" s="417" t="s">
        <v>13218</v>
      </c>
      <c r="D5371" s="417" t="s">
        <v>989</v>
      </c>
      <c r="E5371" s="423">
        <v>12258.973639479969</v>
      </c>
      <c r="F5371" s="423">
        <v>725.09995939717476</v>
      </c>
      <c r="G5371" s="422">
        <v>29831916.075250581</v>
      </c>
      <c r="H5371" s="417" t="s">
        <v>2616</v>
      </c>
      <c r="I5371" s="417" t="s">
        <v>1392</v>
      </c>
      <c r="J5371" s="417" t="s">
        <v>13214</v>
      </c>
      <c r="K5371" s="417" t="s">
        <v>13219</v>
      </c>
      <c r="L5371" s="417"/>
      <c r="M5371" s="417" t="s">
        <v>28840</v>
      </c>
    </row>
    <row r="5372" spans="1:13" x14ac:dyDescent="0.25">
      <c r="A5372" s="417" t="s">
        <v>3385</v>
      </c>
      <c r="B5372" s="417" t="s">
        <v>2437</v>
      </c>
      <c r="C5372" s="417" t="s">
        <v>13220</v>
      </c>
      <c r="D5372" s="417" t="s">
        <v>88</v>
      </c>
      <c r="E5372" s="423">
        <v>23.656936330505069</v>
      </c>
      <c r="F5372" s="423">
        <v>0.6829877343683779</v>
      </c>
      <c r="G5372" s="422">
        <v>95800.645485432251</v>
      </c>
      <c r="H5372" s="417" t="s">
        <v>2616</v>
      </c>
      <c r="I5372" s="417" t="s">
        <v>1392</v>
      </c>
      <c r="J5372" s="417" t="s">
        <v>4342</v>
      </c>
      <c r="K5372" s="417" t="s">
        <v>13221</v>
      </c>
      <c r="L5372" s="417"/>
      <c r="M5372" s="417" t="s">
        <v>28840</v>
      </c>
    </row>
    <row r="5373" spans="1:13" x14ac:dyDescent="0.25">
      <c r="A5373" s="417" t="s">
        <v>3385</v>
      </c>
      <c r="B5373" s="417" t="s">
        <v>3405</v>
      </c>
      <c r="C5373" s="417" t="s">
        <v>13222</v>
      </c>
      <c r="D5373" s="417" t="s">
        <v>989</v>
      </c>
      <c r="E5373" s="423">
        <v>58832.376737382212</v>
      </c>
      <c r="F5373" s="423">
        <v>1380.589884367497</v>
      </c>
      <c r="G5373" s="422">
        <v>303450000.03390008</v>
      </c>
      <c r="H5373" s="417" t="s">
        <v>2616</v>
      </c>
      <c r="I5373" s="417" t="s">
        <v>1392</v>
      </c>
      <c r="J5373" s="417" t="s">
        <v>9578</v>
      </c>
      <c r="K5373" s="417" t="s">
        <v>13223</v>
      </c>
      <c r="L5373" s="417"/>
      <c r="M5373" s="417" t="s">
        <v>28840</v>
      </c>
    </row>
    <row r="5374" spans="1:13" x14ac:dyDescent="0.25">
      <c r="A5374" s="417" t="s">
        <v>3385</v>
      </c>
      <c r="B5374" s="417" t="s">
        <v>2627</v>
      </c>
      <c r="C5374" s="417" t="s">
        <v>13224</v>
      </c>
      <c r="D5374" s="417" t="s">
        <v>88</v>
      </c>
      <c r="E5374" s="423">
        <v>4.7631320740654512</v>
      </c>
      <c r="F5374" s="423">
        <v>7.0027469793543712E-2</v>
      </c>
      <c r="G5374" s="422">
        <v>6737.8585844737891</v>
      </c>
      <c r="H5374" s="417" t="s">
        <v>2616</v>
      </c>
      <c r="I5374" s="417" t="s">
        <v>1392</v>
      </c>
      <c r="J5374" s="417" t="s">
        <v>3749</v>
      </c>
      <c r="K5374" s="417" t="s">
        <v>13225</v>
      </c>
      <c r="L5374" s="417"/>
      <c r="M5374" s="417" t="s">
        <v>28840</v>
      </c>
    </row>
    <row r="5375" spans="1:13" x14ac:dyDescent="0.25">
      <c r="A5375" s="417" t="s">
        <v>3385</v>
      </c>
      <c r="B5375" s="417" t="s">
        <v>2437</v>
      </c>
      <c r="C5375" s="417" t="s">
        <v>13226</v>
      </c>
      <c r="D5375" s="417" t="s">
        <v>88</v>
      </c>
      <c r="E5375" s="423">
        <v>12012.89796576112</v>
      </c>
      <c r="F5375" s="423">
        <v>412.2</v>
      </c>
      <c r="G5375" s="422">
        <v>46064805.421639018</v>
      </c>
      <c r="H5375" s="417" t="s">
        <v>2616</v>
      </c>
      <c r="I5375" s="417" t="s">
        <v>1392</v>
      </c>
      <c r="J5375" s="417" t="s">
        <v>4944</v>
      </c>
      <c r="K5375" s="417" t="s">
        <v>13227</v>
      </c>
      <c r="L5375" s="417"/>
      <c r="M5375" s="417" t="s">
        <v>28840</v>
      </c>
    </row>
    <row r="5376" spans="1:13" x14ac:dyDescent="0.25">
      <c r="A5376" s="417" t="s">
        <v>3385</v>
      </c>
      <c r="B5376" s="417" t="s">
        <v>2627</v>
      </c>
      <c r="C5376" s="417" t="s">
        <v>1073</v>
      </c>
      <c r="D5376" s="417" t="s">
        <v>88</v>
      </c>
      <c r="E5376" s="423">
        <v>4.1142407024126326</v>
      </c>
      <c r="F5376" s="423">
        <v>0.21751973652047091</v>
      </c>
      <c r="G5376" s="422">
        <v>19769.633829021848</v>
      </c>
      <c r="H5376" s="417" t="s">
        <v>2616</v>
      </c>
      <c r="I5376" s="417" t="s">
        <v>28841</v>
      </c>
      <c r="J5376" s="417" t="s">
        <v>3703</v>
      </c>
      <c r="K5376" s="417" t="s">
        <v>13228</v>
      </c>
      <c r="L5376" s="417"/>
      <c r="M5376" s="417" t="s">
        <v>28840</v>
      </c>
    </row>
    <row r="5377" spans="1:13" x14ac:dyDescent="0.25">
      <c r="A5377" s="417" t="s">
        <v>3385</v>
      </c>
      <c r="B5377" s="417" t="s">
        <v>2627</v>
      </c>
      <c r="C5377" s="417" t="s">
        <v>13229</v>
      </c>
      <c r="D5377" s="417" t="s">
        <v>88</v>
      </c>
      <c r="E5377" s="423">
        <v>0.49626546084758583</v>
      </c>
      <c r="F5377" s="423">
        <v>5.9031730172594707E-2</v>
      </c>
      <c r="G5377" s="422">
        <v>2665.4902430109519</v>
      </c>
      <c r="H5377" s="417" t="s">
        <v>2616</v>
      </c>
      <c r="I5377" s="417" t="s">
        <v>1392</v>
      </c>
      <c r="J5377" s="417" t="s">
        <v>3742</v>
      </c>
      <c r="K5377" s="417" t="s">
        <v>13230</v>
      </c>
      <c r="L5377" s="417"/>
      <c r="M5377" s="417" t="s">
        <v>28840</v>
      </c>
    </row>
    <row r="5378" spans="1:13" x14ac:dyDescent="0.25">
      <c r="A5378" s="417" t="s">
        <v>3385</v>
      </c>
      <c r="B5378" s="417" t="s">
        <v>2627</v>
      </c>
      <c r="C5378" s="417" t="s">
        <v>13231</v>
      </c>
      <c r="D5378" s="417" t="s">
        <v>88</v>
      </c>
      <c r="E5378" s="423">
        <v>4.7280176819865958E-3</v>
      </c>
      <c r="F5378" s="423">
        <v>1.6197498924233229E-4</v>
      </c>
      <c r="G5378" s="422">
        <v>242.4656790374392</v>
      </c>
      <c r="H5378" s="417" t="s">
        <v>2616</v>
      </c>
      <c r="I5378" s="417" t="s">
        <v>1392</v>
      </c>
      <c r="J5378" s="417" t="s">
        <v>3860</v>
      </c>
      <c r="K5378" s="417" t="s">
        <v>13232</v>
      </c>
      <c r="L5378" s="417"/>
      <c r="M5378" s="417" t="s">
        <v>28840</v>
      </c>
    </row>
    <row r="5379" spans="1:13" x14ac:dyDescent="0.25">
      <c r="A5379" s="417" t="s">
        <v>3385</v>
      </c>
      <c r="B5379" s="417" t="s">
        <v>2627</v>
      </c>
      <c r="C5379" s="417" t="s">
        <v>13233</v>
      </c>
      <c r="D5379" s="417" t="s">
        <v>88</v>
      </c>
      <c r="E5379" s="423">
        <v>1.296787948482305E-2</v>
      </c>
      <c r="F5379" s="423">
        <v>9.0609515673246673E-4</v>
      </c>
      <c r="G5379" s="422">
        <v>414.68896324297651</v>
      </c>
      <c r="H5379" s="417" t="s">
        <v>2616</v>
      </c>
      <c r="I5379" s="417" t="s">
        <v>1392</v>
      </c>
      <c r="J5379" s="417" t="s">
        <v>3860</v>
      </c>
      <c r="K5379" s="417" t="s">
        <v>13234</v>
      </c>
      <c r="L5379" s="417"/>
      <c r="M5379" s="417" t="s">
        <v>28840</v>
      </c>
    </row>
    <row r="5380" spans="1:13" x14ac:dyDescent="0.25">
      <c r="A5380" s="417" t="s">
        <v>3385</v>
      </c>
      <c r="B5380" s="417" t="s">
        <v>2627</v>
      </c>
      <c r="C5380" s="417" t="s">
        <v>13235</v>
      </c>
      <c r="D5380" s="417" t="s">
        <v>88</v>
      </c>
      <c r="E5380" s="423">
        <v>3.825632288326701E-2</v>
      </c>
      <c r="F5380" s="423">
        <v>4.1776833759080336E-3</v>
      </c>
      <c r="G5380" s="422">
        <v>78.592380835476789</v>
      </c>
      <c r="H5380" s="417" t="s">
        <v>2616</v>
      </c>
      <c r="I5380" s="417" t="s">
        <v>1392</v>
      </c>
      <c r="J5380" s="417" t="s">
        <v>3772</v>
      </c>
      <c r="K5380" s="417" t="s">
        <v>13236</v>
      </c>
      <c r="L5380" s="417"/>
      <c r="M5380" s="417" t="s">
        <v>28840</v>
      </c>
    </row>
    <row r="5381" spans="1:13" x14ac:dyDescent="0.25">
      <c r="A5381" s="417" t="s">
        <v>3385</v>
      </c>
      <c r="B5381" s="417" t="s">
        <v>2627</v>
      </c>
      <c r="C5381" s="417" t="s">
        <v>13237</v>
      </c>
      <c r="D5381" s="417" t="s">
        <v>88</v>
      </c>
      <c r="E5381" s="423">
        <v>4.0716940785424802E-2</v>
      </c>
      <c r="F5381" s="423">
        <v>4.3842377663145951E-3</v>
      </c>
      <c r="G5381" s="422">
        <v>81.461856119860684</v>
      </c>
      <c r="H5381" s="417" t="s">
        <v>2616</v>
      </c>
      <c r="I5381" s="417" t="s">
        <v>1392</v>
      </c>
      <c r="J5381" s="417" t="s">
        <v>3769</v>
      </c>
      <c r="K5381" s="417" t="s">
        <v>13238</v>
      </c>
      <c r="L5381" s="417"/>
      <c r="M5381" s="417" t="s">
        <v>28840</v>
      </c>
    </row>
    <row r="5382" spans="1:13" x14ac:dyDescent="0.25">
      <c r="A5382" s="417" t="s">
        <v>3385</v>
      </c>
      <c r="B5382" s="417" t="s">
        <v>2623</v>
      </c>
      <c r="C5382" s="417" t="s">
        <v>13239</v>
      </c>
      <c r="D5382" s="417" t="s">
        <v>88</v>
      </c>
      <c r="E5382" s="423">
        <v>5.1123027789266489E-3</v>
      </c>
      <c r="F5382" s="423">
        <v>3.4299321600903888E-4</v>
      </c>
      <c r="G5382" s="422">
        <v>12.500348305096139</v>
      </c>
      <c r="H5382" s="417" t="s">
        <v>2616</v>
      </c>
      <c r="I5382" s="417" t="s">
        <v>1392</v>
      </c>
      <c r="J5382" s="417" t="s">
        <v>2624</v>
      </c>
      <c r="K5382" s="417" t="s">
        <v>13240</v>
      </c>
      <c r="L5382" s="417"/>
      <c r="M5382" s="417" t="s">
        <v>28840</v>
      </c>
    </row>
    <row r="5383" spans="1:13" x14ac:dyDescent="0.25">
      <c r="A5383" s="417" t="s">
        <v>3385</v>
      </c>
      <c r="B5383" s="417" t="s">
        <v>2627</v>
      </c>
      <c r="C5383" s="417" t="s">
        <v>13241</v>
      </c>
      <c r="D5383" s="417" t="s">
        <v>88</v>
      </c>
      <c r="E5383" s="423">
        <v>9.9473810951741071E-2</v>
      </c>
      <c r="F5383" s="423">
        <v>1.2933965468603851E-2</v>
      </c>
      <c r="G5383" s="422">
        <v>231.22984587103161</v>
      </c>
      <c r="H5383" s="417" t="s">
        <v>2616</v>
      </c>
      <c r="I5383" s="417" t="s">
        <v>1392</v>
      </c>
      <c r="J5383" s="417" t="s">
        <v>3742</v>
      </c>
      <c r="K5383" s="417" t="s">
        <v>13242</v>
      </c>
      <c r="L5383" s="417"/>
      <c r="M5383" s="417" t="s">
        <v>28840</v>
      </c>
    </row>
    <row r="5384" spans="1:13" x14ac:dyDescent="0.25">
      <c r="A5384" s="417" t="s">
        <v>3385</v>
      </c>
      <c r="B5384" s="417" t="s">
        <v>3655</v>
      </c>
      <c r="C5384" s="417" t="s">
        <v>13243</v>
      </c>
      <c r="D5384" s="417" t="s">
        <v>1052</v>
      </c>
      <c r="E5384" s="423">
        <v>290.20840689398011</v>
      </c>
      <c r="F5384" s="423">
        <v>34.787158652525932</v>
      </c>
      <c r="G5384" s="422">
        <v>934729.3843601452</v>
      </c>
      <c r="H5384" s="417" t="s">
        <v>2616</v>
      </c>
      <c r="I5384" s="417" t="s">
        <v>1392</v>
      </c>
      <c r="J5384" s="417" t="s">
        <v>3918</v>
      </c>
      <c r="K5384" s="417" t="s">
        <v>13244</v>
      </c>
      <c r="L5384" s="417"/>
      <c r="M5384" s="417" t="s">
        <v>28840</v>
      </c>
    </row>
    <row r="5385" spans="1:13" x14ac:dyDescent="0.25">
      <c r="A5385" s="417" t="s">
        <v>3385</v>
      </c>
      <c r="B5385" s="417" t="s">
        <v>3655</v>
      </c>
      <c r="C5385" s="417" t="s">
        <v>13245</v>
      </c>
      <c r="D5385" s="417" t="s">
        <v>83</v>
      </c>
      <c r="E5385" s="423">
        <v>0.2767593212927561</v>
      </c>
      <c r="F5385" s="423">
        <v>1.4405902254549449E-2</v>
      </c>
      <c r="G5385" s="422">
        <v>602.18771925454587</v>
      </c>
      <c r="H5385" s="417" t="s">
        <v>2616</v>
      </c>
      <c r="I5385" s="417" t="s">
        <v>1392</v>
      </c>
      <c r="J5385" s="417" t="s">
        <v>3918</v>
      </c>
      <c r="K5385" s="417" t="s">
        <v>13246</v>
      </c>
      <c r="L5385" s="417"/>
      <c r="M5385" s="417" t="s">
        <v>28840</v>
      </c>
    </row>
    <row r="5386" spans="1:13" x14ac:dyDescent="0.25">
      <c r="A5386" s="417" t="s">
        <v>3385</v>
      </c>
      <c r="B5386" s="417" t="s">
        <v>2627</v>
      </c>
      <c r="C5386" s="417" t="s">
        <v>13247</v>
      </c>
      <c r="D5386" s="417" t="s">
        <v>83</v>
      </c>
      <c r="E5386" s="423">
        <v>0.1013522132825242</v>
      </c>
      <c r="F5386" s="423">
        <v>1.641062784039406E-2</v>
      </c>
      <c r="G5386" s="422">
        <v>373.37086586679072</v>
      </c>
      <c r="H5386" s="417" t="s">
        <v>2616</v>
      </c>
      <c r="I5386" s="417" t="s">
        <v>1392</v>
      </c>
      <c r="J5386" s="417" t="s">
        <v>13181</v>
      </c>
      <c r="K5386" s="417" t="s">
        <v>13248</v>
      </c>
      <c r="L5386" s="417"/>
      <c r="M5386" s="417" t="s">
        <v>28840</v>
      </c>
    </row>
    <row r="5387" spans="1:13" x14ac:dyDescent="0.25">
      <c r="A5387" s="417" t="s">
        <v>3385</v>
      </c>
      <c r="B5387" s="417" t="s">
        <v>2627</v>
      </c>
      <c r="C5387" s="417" t="s">
        <v>13249</v>
      </c>
      <c r="D5387" s="417" t="s">
        <v>88</v>
      </c>
      <c r="E5387" s="423">
        <v>2.745896513464785</v>
      </c>
      <c r="F5387" s="423">
        <v>2.4921132890389219E-2</v>
      </c>
      <c r="G5387" s="422">
        <v>4149.5493935465238</v>
      </c>
      <c r="H5387" s="417" t="s">
        <v>2616</v>
      </c>
      <c r="I5387" s="417" t="s">
        <v>1392</v>
      </c>
      <c r="J5387" s="417" t="s">
        <v>3396</v>
      </c>
      <c r="K5387" s="417" t="s">
        <v>13250</v>
      </c>
      <c r="L5387" s="417"/>
      <c r="M5387" s="417" t="s">
        <v>28840</v>
      </c>
    </row>
    <row r="5388" spans="1:13" x14ac:dyDescent="0.25">
      <c r="A5388" s="417" t="s">
        <v>3385</v>
      </c>
      <c r="B5388" s="417" t="s">
        <v>2627</v>
      </c>
      <c r="C5388" s="417" t="s">
        <v>966</v>
      </c>
      <c r="D5388" s="417" t="s">
        <v>88</v>
      </c>
      <c r="E5388" s="423">
        <v>1.8763438095757401</v>
      </c>
      <c r="F5388" s="423">
        <v>2.1333020625070739E-2</v>
      </c>
      <c r="G5388" s="422">
        <v>3758.4924415307869</v>
      </c>
      <c r="H5388" s="417" t="s">
        <v>2616</v>
      </c>
      <c r="I5388" s="417" t="s">
        <v>28841</v>
      </c>
      <c r="J5388" s="417" t="s">
        <v>3396</v>
      </c>
      <c r="K5388" s="417" t="s">
        <v>13251</v>
      </c>
      <c r="L5388" s="417"/>
      <c r="M5388" s="417" t="s">
        <v>28840</v>
      </c>
    </row>
    <row r="5389" spans="1:13" x14ac:dyDescent="0.25">
      <c r="A5389" s="417" t="s">
        <v>3385</v>
      </c>
      <c r="B5389" s="417" t="s">
        <v>2627</v>
      </c>
      <c r="C5389" s="417" t="s">
        <v>13252</v>
      </c>
      <c r="D5389" s="417" t="s">
        <v>88</v>
      </c>
      <c r="E5389" s="423">
        <v>17.881100412639888</v>
      </c>
      <c r="F5389" s="423">
        <v>0.69099775674006336</v>
      </c>
      <c r="G5389" s="422">
        <v>95683.739563694602</v>
      </c>
      <c r="H5389" s="417" t="s">
        <v>2616</v>
      </c>
      <c r="I5389" s="417" t="s">
        <v>1392</v>
      </c>
      <c r="J5389" s="417" t="s">
        <v>3970</v>
      </c>
      <c r="K5389" s="417" t="s">
        <v>13253</v>
      </c>
      <c r="L5389" s="417"/>
      <c r="M5389" s="417" t="s">
        <v>28840</v>
      </c>
    </row>
    <row r="5390" spans="1:13" x14ac:dyDescent="0.25">
      <c r="A5390" s="417" t="s">
        <v>3385</v>
      </c>
      <c r="B5390" s="417" t="s">
        <v>2627</v>
      </c>
      <c r="C5390" s="417" t="s">
        <v>13254</v>
      </c>
      <c r="D5390" s="417" t="s">
        <v>88</v>
      </c>
      <c r="E5390" s="423">
        <v>33.577282375124398</v>
      </c>
      <c r="F5390" s="423">
        <v>0.95105922885617211</v>
      </c>
      <c r="G5390" s="422">
        <v>192596.8783439743</v>
      </c>
      <c r="H5390" s="417" t="s">
        <v>2616</v>
      </c>
      <c r="I5390" s="417" t="s">
        <v>1392</v>
      </c>
      <c r="J5390" s="417" t="s">
        <v>3970</v>
      </c>
      <c r="K5390" s="417" t="s">
        <v>13255</v>
      </c>
      <c r="L5390" s="417"/>
      <c r="M5390" s="417" t="s">
        <v>28840</v>
      </c>
    </row>
    <row r="5391" spans="1:13" x14ac:dyDescent="0.25">
      <c r="A5391" s="417" t="s">
        <v>3385</v>
      </c>
      <c r="B5391" s="417" t="s">
        <v>2627</v>
      </c>
      <c r="C5391" s="417" t="s">
        <v>13256</v>
      </c>
      <c r="D5391" s="417" t="s">
        <v>88</v>
      </c>
      <c r="E5391" s="423">
        <v>0.1029958159559994</v>
      </c>
      <c r="F5391" s="423">
        <v>8.8076203350000003E-3</v>
      </c>
      <c r="G5391" s="422">
        <v>416.20351609980861</v>
      </c>
      <c r="H5391" s="417" t="s">
        <v>2616</v>
      </c>
      <c r="I5391" s="417" t="s">
        <v>1392</v>
      </c>
      <c r="J5391" s="417" t="s">
        <v>6523</v>
      </c>
      <c r="K5391" s="417" t="s">
        <v>13257</v>
      </c>
      <c r="L5391" s="417"/>
      <c r="M5391" s="417" t="s">
        <v>28840</v>
      </c>
    </row>
    <row r="5392" spans="1:13" x14ac:dyDescent="0.25">
      <c r="A5392" s="417" t="s">
        <v>3385</v>
      </c>
      <c r="B5392" s="417" t="s">
        <v>2627</v>
      </c>
      <c r="C5392" s="417" t="s">
        <v>13258</v>
      </c>
      <c r="D5392" s="417" t="s">
        <v>88</v>
      </c>
      <c r="E5392" s="423">
        <v>0.59068340735446301</v>
      </c>
      <c r="F5392" s="423">
        <v>4.3134570526022617E-3</v>
      </c>
      <c r="G5392" s="422">
        <v>4862.8924106759368</v>
      </c>
      <c r="H5392" s="417" t="s">
        <v>2616</v>
      </c>
      <c r="I5392" s="417" t="s">
        <v>1392</v>
      </c>
      <c r="J5392" s="417" t="s">
        <v>4047</v>
      </c>
      <c r="K5392" s="417" t="s">
        <v>13259</v>
      </c>
      <c r="L5392" s="417"/>
      <c r="M5392" s="417" t="s">
        <v>28840</v>
      </c>
    </row>
    <row r="5393" spans="1:13" x14ac:dyDescent="0.25">
      <c r="A5393" s="417" t="s">
        <v>3385</v>
      </c>
      <c r="B5393" s="417" t="s">
        <v>2627</v>
      </c>
      <c r="C5393" s="417" t="s">
        <v>13260</v>
      </c>
      <c r="D5393" s="417" t="s">
        <v>88</v>
      </c>
      <c r="E5393" s="423">
        <v>0.56587945789938032</v>
      </c>
      <c r="F5393" s="423">
        <v>5.8689997309500632E-3</v>
      </c>
      <c r="G5393" s="422">
        <v>4708.7462933143697</v>
      </c>
      <c r="H5393" s="417" t="s">
        <v>2616</v>
      </c>
      <c r="I5393" s="417" t="s">
        <v>1392</v>
      </c>
      <c r="J5393" s="417" t="s">
        <v>4047</v>
      </c>
      <c r="K5393" s="417" t="s">
        <v>13261</v>
      </c>
      <c r="L5393" s="417"/>
      <c r="M5393" s="417" t="s">
        <v>28840</v>
      </c>
    </row>
    <row r="5394" spans="1:13" x14ac:dyDescent="0.25">
      <c r="A5394" s="417" t="s">
        <v>3385</v>
      </c>
      <c r="B5394" s="417" t="s">
        <v>2627</v>
      </c>
      <c r="C5394" s="417" t="s">
        <v>1058</v>
      </c>
      <c r="D5394" s="417" t="s">
        <v>88</v>
      </c>
      <c r="E5394" s="423">
        <v>0.16080084818188259</v>
      </c>
      <c r="F5394" s="423">
        <v>1.1855432035347479E-2</v>
      </c>
      <c r="G5394" s="422">
        <v>254.39338323703069</v>
      </c>
      <c r="H5394" s="417" t="s">
        <v>2616</v>
      </c>
      <c r="I5394" s="417" t="s">
        <v>28841</v>
      </c>
      <c r="J5394" s="417" t="s">
        <v>3742</v>
      </c>
      <c r="K5394" s="417" t="s">
        <v>13262</v>
      </c>
      <c r="L5394" s="417"/>
      <c r="M5394" s="417" t="s">
        <v>28840</v>
      </c>
    </row>
    <row r="5395" spans="1:13" x14ac:dyDescent="0.25">
      <c r="A5395" s="417" t="s">
        <v>3385</v>
      </c>
      <c r="B5395" s="417" t="s">
        <v>2627</v>
      </c>
      <c r="C5395" s="417" t="s">
        <v>13263</v>
      </c>
      <c r="D5395" s="417" t="s">
        <v>88</v>
      </c>
      <c r="E5395" s="423">
        <v>0.56954396424375664</v>
      </c>
      <c r="F5395" s="423">
        <v>5.9568814548479378E-3</v>
      </c>
      <c r="G5395" s="422">
        <v>4324.8661345595056</v>
      </c>
      <c r="H5395" s="417" t="s">
        <v>2616</v>
      </c>
      <c r="I5395" s="417" t="s">
        <v>1392</v>
      </c>
      <c r="J5395" s="417" t="s">
        <v>4047</v>
      </c>
      <c r="K5395" s="417" t="s">
        <v>13264</v>
      </c>
      <c r="L5395" s="417"/>
      <c r="M5395" s="417" t="s">
        <v>28840</v>
      </c>
    </row>
    <row r="5396" spans="1:13" x14ac:dyDescent="0.25">
      <c r="A5396" s="417" t="s">
        <v>3385</v>
      </c>
      <c r="B5396" s="417" t="s">
        <v>2627</v>
      </c>
      <c r="C5396" s="417" t="s">
        <v>13265</v>
      </c>
      <c r="D5396" s="417" t="s">
        <v>88</v>
      </c>
      <c r="E5396" s="423">
        <v>0.91305451310752828</v>
      </c>
      <c r="F5396" s="423">
        <v>6.0714902607394107E-3</v>
      </c>
      <c r="G5396" s="422">
        <v>1747.7537138733221</v>
      </c>
      <c r="H5396" s="417" t="s">
        <v>2616</v>
      </c>
      <c r="I5396" s="417" t="s">
        <v>1392</v>
      </c>
      <c r="J5396" s="417" t="s">
        <v>4123</v>
      </c>
      <c r="K5396" s="417" t="s">
        <v>13266</v>
      </c>
      <c r="L5396" s="417"/>
      <c r="M5396" s="417" t="s">
        <v>28840</v>
      </c>
    </row>
    <row r="5397" spans="1:13" x14ac:dyDescent="0.25">
      <c r="A5397" s="417" t="s">
        <v>3385</v>
      </c>
      <c r="B5397" s="417" t="s">
        <v>2627</v>
      </c>
      <c r="C5397" s="417" t="s">
        <v>13267</v>
      </c>
      <c r="D5397" s="417" t="s">
        <v>88</v>
      </c>
      <c r="E5397" s="423">
        <v>0.85360746210162031</v>
      </c>
      <c r="F5397" s="423">
        <v>7.4091318374456729E-3</v>
      </c>
      <c r="G5397" s="422">
        <v>1642.253072833159</v>
      </c>
      <c r="H5397" s="417" t="s">
        <v>2616</v>
      </c>
      <c r="I5397" s="417" t="s">
        <v>1392</v>
      </c>
      <c r="J5397" s="417" t="s">
        <v>4123</v>
      </c>
      <c r="K5397" s="417" t="s">
        <v>13268</v>
      </c>
      <c r="L5397" s="417"/>
      <c r="M5397" s="417" t="s">
        <v>28840</v>
      </c>
    </row>
    <row r="5398" spans="1:13" x14ac:dyDescent="0.25">
      <c r="A5398" s="417" t="s">
        <v>3385</v>
      </c>
      <c r="B5398" s="417" t="s">
        <v>2627</v>
      </c>
      <c r="C5398" s="417" t="s">
        <v>13269</v>
      </c>
      <c r="D5398" s="417" t="s">
        <v>88</v>
      </c>
      <c r="E5398" s="423">
        <v>0.88657571778519662</v>
      </c>
      <c r="F5398" s="423">
        <v>1.09172332286567E-2</v>
      </c>
      <c r="G5398" s="422">
        <v>1722.7154360516231</v>
      </c>
      <c r="H5398" s="417" t="s">
        <v>2616</v>
      </c>
      <c r="I5398" s="417" t="s">
        <v>1392</v>
      </c>
      <c r="J5398" s="417" t="s">
        <v>5765</v>
      </c>
      <c r="K5398" s="417" t="s">
        <v>13270</v>
      </c>
      <c r="L5398" s="417"/>
      <c r="M5398" s="417" t="s">
        <v>28840</v>
      </c>
    </row>
    <row r="5399" spans="1:13" x14ac:dyDescent="0.25">
      <c r="A5399" s="417" t="s">
        <v>3385</v>
      </c>
      <c r="B5399" s="417" t="s">
        <v>2627</v>
      </c>
      <c r="C5399" s="417" t="s">
        <v>13271</v>
      </c>
      <c r="D5399" s="417" t="s">
        <v>88</v>
      </c>
      <c r="E5399" s="423">
        <v>0.88202047251688753</v>
      </c>
      <c r="F5399" s="423">
        <v>1.051700344865324E-2</v>
      </c>
      <c r="G5399" s="422">
        <v>1702.2501659493671</v>
      </c>
      <c r="H5399" s="417" t="s">
        <v>2616</v>
      </c>
      <c r="I5399" s="417" t="s">
        <v>1392</v>
      </c>
      <c r="J5399" s="417" t="s">
        <v>5765</v>
      </c>
      <c r="K5399" s="417" t="s">
        <v>13272</v>
      </c>
      <c r="L5399" s="417"/>
      <c r="M5399" s="417" t="s">
        <v>28840</v>
      </c>
    </row>
    <row r="5400" spans="1:13" x14ac:dyDescent="0.25">
      <c r="A5400" s="417" t="s">
        <v>3385</v>
      </c>
      <c r="B5400" s="417" t="s">
        <v>2627</v>
      </c>
      <c r="C5400" s="417" t="s">
        <v>13273</v>
      </c>
      <c r="D5400" s="417" t="s">
        <v>989</v>
      </c>
      <c r="E5400" s="423">
        <v>9.2680000327698835</v>
      </c>
      <c r="F5400" s="423">
        <v>0.58941604873217868</v>
      </c>
      <c r="G5400" s="422">
        <v>27505.141622651681</v>
      </c>
      <c r="H5400" s="417" t="s">
        <v>2616</v>
      </c>
      <c r="I5400" s="417" t="s">
        <v>1392</v>
      </c>
      <c r="J5400" s="417" t="s">
        <v>3699</v>
      </c>
      <c r="K5400" s="417" t="s">
        <v>13274</v>
      </c>
      <c r="L5400" s="417"/>
      <c r="M5400" s="417" t="s">
        <v>28840</v>
      </c>
    </row>
    <row r="5401" spans="1:13" x14ac:dyDescent="0.25">
      <c r="A5401" s="417" t="s">
        <v>3385</v>
      </c>
      <c r="B5401" s="417" t="s">
        <v>2627</v>
      </c>
      <c r="C5401" s="417" t="s">
        <v>13275</v>
      </c>
      <c r="D5401" s="417" t="s">
        <v>989</v>
      </c>
      <c r="E5401" s="423">
        <v>12.473941699257811</v>
      </c>
      <c r="F5401" s="423">
        <v>0.70576749223242807</v>
      </c>
      <c r="G5401" s="422">
        <v>42352.535785432898</v>
      </c>
      <c r="H5401" s="417" t="s">
        <v>2616</v>
      </c>
      <c r="I5401" s="417" t="s">
        <v>1392</v>
      </c>
      <c r="J5401" s="417" t="s">
        <v>3699</v>
      </c>
      <c r="K5401" s="417" t="s">
        <v>13276</v>
      </c>
      <c r="L5401" s="417"/>
      <c r="M5401" s="417" t="s">
        <v>28840</v>
      </c>
    </row>
    <row r="5402" spans="1:13" x14ac:dyDescent="0.25">
      <c r="A5402" s="417" t="s">
        <v>3385</v>
      </c>
      <c r="B5402" s="417" t="s">
        <v>2437</v>
      </c>
      <c r="C5402" s="417" t="s">
        <v>13277</v>
      </c>
      <c r="D5402" s="417" t="s">
        <v>989</v>
      </c>
      <c r="E5402" s="423">
        <v>72.571099433155354</v>
      </c>
      <c r="F5402" s="423">
        <v>3.602244644065026</v>
      </c>
      <c r="G5402" s="422">
        <v>174409.21673265161</v>
      </c>
      <c r="H5402" s="417" t="s">
        <v>2616</v>
      </c>
      <c r="I5402" s="417" t="s">
        <v>1392</v>
      </c>
      <c r="J5402" s="417" t="s">
        <v>4167</v>
      </c>
      <c r="K5402" s="417" t="s">
        <v>13278</v>
      </c>
      <c r="L5402" s="417"/>
      <c r="M5402" s="417" t="s">
        <v>28840</v>
      </c>
    </row>
    <row r="5403" spans="1:13" x14ac:dyDescent="0.25">
      <c r="A5403" s="417" t="s">
        <v>3385</v>
      </c>
      <c r="B5403" s="417" t="s">
        <v>2437</v>
      </c>
      <c r="C5403" s="417" t="s">
        <v>13279</v>
      </c>
      <c r="D5403" s="417" t="s">
        <v>989</v>
      </c>
      <c r="E5403" s="423">
        <v>69.179536674468537</v>
      </c>
      <c r="F5403" s="423">
        <v>3.5109574896635278</v>
      </c>
      <c r="G5403" s="422">
        <v>170713.79875310339</v>
      </c>
      <c r="H5403" s="417" t="s">
        <v>2616</v>
      </c>
      <c r="I5403" s="417" t="s">
        <v>1392</v>
      </c>
      <c r="J5403" s="417" t="s">
        <v>4167</v>
      </c>
      <c r="K5403" s="417" t="s">
        <v>13280</v>
      </c>
      <c r="L5403" s="417"/>
      <c r="M5403" s="417" t="s">
        <v>28840</v>
      </c>
    </row>
    <row r="5404" spans="1:13" x14ac:dyDescent="0.25">
      <c r="A5404" s="417" t="s">
        <v>3385</v>
      </c>
      <c r="B5404" s="417" t="s">
        <v>2437</v>
      </c>
      <c r="C5404" s="417" t="s">
        <v>13281</v>
      </c>
      <c r="D5404" s="417" t="s">
        <v>989</v>
      </c>
      <c r="E5404" s="423">
        <v>70.989307188570052</v>
      </c>
      <c r="F5404" s="423">
        <v>3.6263355749231261</v>
      </c>
      <c r="G5404" s="422">
        <v>174255.40438571709</v>
      </c>
      <c r="H5404" s="417" t="s">
        <v>2616</v>
      </c>
      <c r="I5404" s="417" t="s">
        <v>1392</v>
      </c>
      <c r="J5404" s="417" t="s">
        <v>4167</v>
      </c>
      <c r="K5404" s="417" t="s">
        <v>13282</v>
      </c>
      <c r="L5404" s="417"/>
      <c r="M5404" s="417" t="s">
        <v>28840</v>
      </c>
    </row>
    <row r="5405" spans="1:13" x14ac:dyDescent="0.25">
      <c r="A5405" s="417" t="s">
        <v>3385</v>
      </c>
      <c r="B5405" s="417" t="s">
        <v>2627</v>
      </c>
      <c r="C5405" s="417" t="s">
        <v>13283</v>
      </c>
      <c r="D5405" s="417" t="s">
        <v>83</v>
      </c>
      <c r="E5405" s="423">
        <v>105.591656740109</v>
      </c>
      <c r="F5405" s="423">
        <v>46.983307809325581</v>
      </c>
      <c r="G5405" s="422">
        <v>192000.86783923779</v>
      </c>
      <c r="H5405" s="417" t="s">
        <v>2616</v>
      </c>
      <c r="I5405" s="417" t="s">
        <v>1392</v>
      </c>
      <c r="J5405" s="417" t="s">
        <v>3798</v>
      </c>
      <c r="K5405" s="417" t="s">
        <v>13284</v>
      </c>
      <c r="L5405" s="417"/>
      <c r="M5405" s="417" t="s">
        <v>28840</v>
      </c>
    </row>
    <row r="5406" spans="1:13" x14ac:dyDescent="0.25">
      <c r="A5406" s="417" t="s">
        <v>3385</v>
      </c>
      <c r="B5406" s="417" t="s">
        <v>2627</v>
      </c>
      <c r="C5406" s="417" t="s">
        <v>13285</v>
      </c>
      <c r="D5406" s="417" t="s">
        <v>83</v>
      </c>
      <c r="E5406" s="423">
        <v>688.27009102546162</v>
      </c>
      <c r="F5406" s="423">
        <v>21.009947892203201</v>
      </c>
      <c r="G5406" s="422">
        <v>1751132.106974842</v>
      </c>
      <c r="H5406" s="417" t="s">
        <v>2616</v>
      </c>
      <c r="I5406" s="417" t="s">
        <v>1392</v>
      </c>
      <c r="J5406" s="417" t="s">
        <v>3798</v>
      </c>
      <c r="K5406" s="417" t="s">
        <v>13286</v>
      </c>
      <c r="L5406" s="417"/>
      <c r="M5406" s="417" t="s">
        <v>28840</v>
      </c>
    </row>
    <row r="5407" spans="1:13" x14ac:dyDescent="0.25">
      <c r="A5407" s="417" t="s">
        <v>3385</v>
      </c>
      <c r="B5407" s="417" t="s">
        <v>2627</v>
      </c>
      <c r="C5407" s="417" t="s">
        <v>13287</v>
      </c>
      <c r="D5407" s="417" t="s">
        <v>83</v>
      </c>
      <c r="E5407" s="423">
        <v>100.255827502776</v>
      </c>
      <c r="F5407" s="423">
        <v>46.144156940422327</v>
      </c>
      <c r="G5407" s="422">
        <v>182937.57621000661</v>
      </c>
      <c r="H5407" s="417" t="s">
        <v>2616</v>
      </c>
      <c r="I5407" s="417" t="s">
        <v>1392</v>
      </c>
      <c r="J5407" s="417" t="s">
        <v>3798</v>
      </c>
      <c r="K5407" s="417" t="s">
        <v>13288</v>
      </c>
      <c r="L5407" s="417"/>
      <c r="M5407" s="417" t="s">
        <v>28840</v>
      </c>
    </row>
    <row r="5408" spans="1:13" x14ac:dyDescent="0.25">
      <c r="A5408" s="417" t="s">
        <v>3385</v>
      </c>
      <c r="B5408" s="417" t="s">
        <v>2627</v>
      </c>
      <c r="C5408" s="417" t="s">
        <v>13289</v>
      </c>
      <c r="D5408" s="417" t="s">
        <v>83</v>
      </c>
      <c r="E5408" s="423">
        <v>58.551603132060848</v>
      </c>
      <c r="F5408" s="423">
        <v>41.632816340169633</v>
      </c>
      <c r="G5408" s="422">
        <v>132429.46537123621</v>
      </c>
      <c r="H5408" s="417" t="s">
        <v>2616</v>
      </c>
      <c r="I5408" s="417" t="s">
        <v>1392</v>
      </c>
      <c r="J5408" s="417" t="s">
        <v>3798</v>
      </c>
      <c r="K5408" s="417" t="s">
        <v>13290</v>
      </c>
      <c r="L5408" s="417"/>
      <c r="M5408" s="417" t="s">
        <v>28840</v>
      </c>
    </row>
    <row r="5409" spans="1:13" x14ac:dyDescent="0.25">
      <c r="A5409" s="417" t="s">
        <v>3385</v>
      </c>
      <c r="B5409" s="417" t="s">
        <v>2627</v>
      </c>
      <c r="C5409" s="417" t="s">
        <v>13291</v>
      </c>
      <c r="D5409" s="417" t="s">
        <v>83</v>
      </c>
      <c r="E5409" s="423">
        <v>101.64191171753519</v>
      </c>
      <c r="F5409" s="423">
        <v>47.482267176621548</v>
      </c>
      <c r="G5409" s="422">
        <v>186513.61061511649</v>
      </c>
      <c r="H5409" s="417" t="s">
        <v>2616</v>
      </c>
      <c r="I5409" s="417" t="s">
        <v>1392</v>
      </c>
      <c r="J5409" s="417" t="s">
        <v>3798</v>
      </c>
      <c r="K5409" s="417" t="s">
        <v>13292</v>
      </c>
      <c r="L5409" s="417"/>
      <c r="M5409" s="417" t="s">
        <v>28840</v>
      </c>
    </row>
    <row r="5410" spans="1:13" x14ac:dyDescent="0.25">
      <c r="A5410" s="417" t="s">
        <v>3385</v>
      </c>
      <c r="B5410" s="417" t="s">
        <v>2627</v>
      </c>
      <c r="C5410" s="417" t="s">
        <v>13293</v>
      </c>
      <c r="D5410" s="417" t="s">
        <v>563</v>
      </c>
      <c r="E5410" s="423">
        <v>76.527199303591757</v>
      </c>
      <c r="F5410" s="423">
        <v>1.1941654871982039</v>
      </c>
      <c r="G5410" s="422">
        <v>117468.5025080217</v>
      </c>
      <c r="H5410" s="417" t="s">
        <v>2616</v>
      </c>
      <c r="I5410" s="417" t="s">
        <v>1392</v>
      </c>
      <c r="J5410" s="417" t="s">
        <v>3798</v>
      </c>
      <c r="K5410" s="417" t="s">
        <v>13294</v>
      </c>
      <c r="L5410" s="417"/>
      <c r="M5410" s="417" t="s">
        <v>28840</v>
      </c>
    </row>
    <row r="5411" spans="1:13" x14ac:dyDescent="0.25">
      <c r="A5411" s="417" t="s">
        <v>3385</v>
      </c>
      <c r="B5411" s="417" t="s">
        <v>2627</v>
      </c>
      <c r="C5411" s="417" t="s">
        <v>13295</v>
      </c>
      <c r="D5411" s="417" t="s">
        <v>563</v>
      </c>
      <c r="E5411" s="423">
        <v>304.21275572344859</v>
      </c>
      <c r="F5411" s="423">
        <v>14.370236368188211</v>
      </c>
      <c r="G5411" s="422">
        <v>803350.9391961802</v>
      </c>
      <c r="H5411" s="417" t="s">
        <v>2616</v>
      </c>
      <c r="I5411" s="417" t="s">
        <v>1392</v>
      </c>
      <c r="J5411" s="417" t="s">
        <v>3798</v>
      </c>
      <c r="K5411" s="417" t="s">
        <v>13296</v>
      </c>
      <c r="L5411" s="417"/>
      <c r="M5411" s="417" t="s">
        <v>28840</v>
      </c>
    </row>
    <row r="5412" spans="1:13" x14ac:dyDescent="0.25">
      <c r="A5412" s="417" t="s">
        <v>3385</v>
      </c>
      <c r="B5412" s="417" t="s">
        <v>2627</v>
      </c>
      <c r="C5412" s="417" t="s">
        <v>13297</v>
      </c>
      <c r="D5412" s="417" t="s">
        <v>563</v>
      </c>
      <c r="E5412" s="423">
        <v>51.404315743550889</v>
      </c>
      <c r="F5412" s="423">
        <v>5.6680570835344621</v>
      </c>
      <c r="G5412" s="422">
        <v>131009.3537401388</v>
      </c>
      <c r="H5412" s="417" t="s">
        <v>2616</v>
      </c>
      <c r="I5412" s="417" t="s">
        <v>1392</v>
      </c>
      <c r="J5412" s="417" t="s">
        <v>3798</v>
      </c>
      <c r="K5412" s="417" t="s">
        <v>13298</v>
      </c>
      <c r="L5412" s="417"/>
      <c r="M5412" s="417" t="s">
        <v>28840</v>
      </c>
    </row>
    <row r="5413" spans="1:13" x14ac:dyDescent="0.25">
      <c r="A5413" s="417" t="s">
        <v>3385</v>
      </c>
      <c r="B5413" s="417" t="s">
        <v>2627</v>
      </c>
      <c r="C5413" s="417" t="s">
        <v>13299</v>
      </c>
      <c r="D5413" s="417" t="s">
        <v>563</v>
      </c>
      <c r="E5413" s="423">
        <v>18.339026463773941</v>
      </c>
      <c r="F5413" s="423">
        <v>10.792036403558541</v>
      </c>
      <c r="G5413" s="422">
        <v>32678.410229500809</v>
      </c>
      <c r="H5413" s="417" t="s">
        <v>2616</v>
      </c>
      <c r="I5413" s="417" t="s">
        <v>1392</v>
      </c>
      <c r="J5413" s="417" t="s">
        <v>3798</v>
      </c>
      <c r="K5413" s="417" t="s">
        <v>13300</v>
      </c>
      <c r="L5413" s="417"/>
      <c r="M5413" s="417" t="s">
        <v>28840</v>
      </c>
    </row>
    <row r="5414" spans="1:13" x14ac:dyDescent="0.25">
      <c r="A5414" s="417" t="s">
        <v>3385</v>
      </c>
      <c r="B5414" s="417" t="s">
        <v>2627</v>
      </c>
      <c r="C5414" s="417" t="s">
        <v>13301</v>
      </c>
      <c r="D5414" s="417" t="s">
        <v>563</v>
      </c>
      <c r="E5414" s="423">
        <v>36.141109861220983</v>
      </c>
      <c r="F5414" s="423">
        <v>3.8983695304294308</v>
      </c>
      <c r="G5414" s="422">
        <v>149212.5841372174</v>
      </c>
      <c r="H5414" s="417" t="s">
        <v>2616</v>
      </c>
      <c r="I5414" s="417" t="s">
        <v>1392</v>
      </c>
      <c r="J5414" s="417" t="s">
        <v>3798</v>
      </c>
      <c r="K5414" s="417" t="s">
        <v>13302</v>
      </c>
      <c r="L5414" s="417"/>
      <c r="M5414" s="417" t="s">
        <v>28840</v>
      </c>
    </row>
    <row r="5415" spans="1:13" x14ac:dyDescent="0.25">
      <c r="A5415" s="417" t="s">
        <v>3385</v>
      </c>
      <c r="B5415" s="417" t="s">
        <v>2627</v>
      </c>
      <c r="C5415" s="417" t="s">
        <v>13303</v>
      </c>
      <c r="D5415" s="417" t="s">
        <v>563</v>
      </c>
      <c r="E5415" s="423">
        <v>10.28805577953035</v>
      </c>
      <c r="F5415" s="423">
        <v>11.855545253363029</v>
      </c>
      <c r="G5415" s="422">
        <v>24700.565884685529</v>
      </c>
      <c r="H5415" s="417" t="s">
        <v>2616</v>
      </c>
      <c r="I5415" s="417" t="s">
        <v>1392</v>
      </c>
      <c r="J5415" s="417" t="s">
        <v>3798</v>
      </c>
      <c r="K5415" s="417" t="s">
        <v>13304</v>
      </c>
      <c r="L5415" s="417"/>
      <c r="M5415" s="417" t="s">
        <v>28840</v>
      </c>
    </row>
    <row r="5416" spans="1:13" x14ac:dyDescent="0.25">
      <c r="A5416" s="417" t="s">
        <v>3385</v>
      </c>
      <c r="B5416" s="417" t="s">
        <v>2627</v>
      </c>
      <c r="C5416" s="417" t="s">
        <v>13305</v>
      </c>
      <c r="D5416" s="417" t="s">
        <v>989</v>
      </c>
      <c r="E5416" s="423">
        <v>524.21490887795562</v>
      </c>
      <c r="F5416" s="423">
        <v>172.30948714602519</v>
      </c>
      <c r="G5416" s="422">
        <v>1093279.39022817</v>
      </c>
      <c r="H5416" s="417" t="s">
        <v>2616</v>
      </c>
      <c r="I5416" s="417" t="s">
        <v>1392</v>
      </c>
      <c r="J5416" s="417" t="s">
        <v>3798</v>
      </c>
      <c r="K5416" s="417" t="s">
        <v>13306</v>
      </c>
      <c r="L5416" s="417"/>
      <c r="M5416" s="417" t="s">
        <v>28840</v>
      </c>
    </row>
    <row r="5417" spans="1:13" x14ac:dyDescent="0.25">
      <c r="A5417" s="417" t="s">
        <v>3385</v>
      </c>
      <c r="B5417" s="417" t="s">
        <v>2627</v>
      </c>
      <c r="C5417" s="417" t="s">
        <v>13307</v>
      </c>
      <c r="D5417" s="417" t="s">
        <v>989</v>
      </c>
      <c r="E5417" s="423">
        <v>2480.9584185198401</v>
      </c>
      <c r="F5417" s="423">
        <v>85.086107294288894</v>
      </c>
      <c r="G5417" s="422">
        <v>6329134.5096450159</v>
      </c>
      <c r="H5417" s="417" t="s">
        <v>2616</v>
      </c>
      <c r="I5417" s="417" t="s">
        <v>1392</v>
      </c>
      <c r="J5417" s="417" t="s">
        <v>3798</v>
      </c>
      <c r="K5417" s="417" t="s">
        <v>13308</v>
      </c>
      <c r="L5417" s="417"/>
      <c r="M5417" s="417" t="s">
        <v>28840</v>
      </c>
    </row>
    <row r="5418" spans="1:13" x14ac:dyDescent="0.25">
      <c r="A5418" s="417" t="s">
        <v>3385</v>
      </c>
      <c r="B5418" s="417" t="s">
        <v>2627</v>
      </c>
      <c r="C5418" s="417" t="s">
        <v>13309</v>
      </c>
      <c r="D5418" s="417" t="s">
        <v>989</v>
      </c>
      <c r="E5418" s="423">
        <v>506.29699918063687</v>
      </c>
      <c r="F5418" s="423">
        <v>169.49187779652979</v>
      </c>
      <c r="G5418" s="422">
        <v>1062844.6000460431</v>
      </c>
      <c r="H5418" s="417" t="s">
        <v>2616</v>
      </c>
      <c r="I5418" s="417" t="s">
        <v>1392</v>
      </c>
      <c r="J5418" s="417" t="s">
        <v>3798</v>
      </c>
      <c r="K5418" s="417" t="s">
        <v>13310</v>
      </c>
      <c r="L5418" s="417"/>
      <c r="M5418" s="417" t="s">
        <v>28840</v>
      </c>
    </row>
    <row r="5419" spans="1:13" x14ac:dyDescent="0.25">
      <c r="A5419" s="417" t="s">
        <v>3385</v>
      </c>
      <c r="B5419" s="417" t="s">
        <v>2627</v>
      </c>
      <c r="C5419" s="417" t="s">
        <v>13311</v>
      </c>
      <c r="D5419" s="417" t="s">
        <v>989</v>
      </c>
      <c r="E5419" s="423">
        <v>513.82097427189626</v>
      </c>
      <c r="F5419" s="423">
        <v>171.9288132448404</v>
      </c>
      <c r="G5419" s="422">
        <v>1076992.089569445</v>
      </c>
      <c r="H5419" s="417" t="s">
        <v>2616</v>
      </c>
      <c r="I5419" s="417" t="s">
        <v>1392</v>
      </c>
      <c r="J5419" s="417" t="s">
        <v>3798</v>
      </c>
      <c r="K5419" s="417" t="s">
        <v>13312</v>
      </c>
      <c r="L5419" s="417"/>
      <c r="M5419" s="417" t="s">
        <v>28840</v>
      </c>
    </row>
    <row r="5420" spans="1:13" x14ac:dyDescent="0.25">
      <c r="A5420" s="417" t="s">
        <v>3385</v>
      </c>
      <c r="B5420" s="417" t="s">
        <v>2627</v>
      </c>
      <c r="C5420" s="417" t="s">
        <v>13313</v>
      </c>
      <c r="D5420" s="417" t="s">
        <v>989</v>
      </c>
      <c r="E5420" s="423">
        <v>366.24346223786227</v>
      </c>
      <c r="F5420" s="423">
        <v>154.3392632434616</v>
      </c>
      <c r="G5420" s="422">
        <v>893222.14266375033</v>
      </c>
      <c r="H5420" s="417" t="s">
        <v>2616</v>
      </c>
      <c r="I5420" s="417" t="s">
        <v>1392</v>
      </c>
      <c r="J5420" s="417" t="s">
        <v>3798</v>
      </c>
      <c r="K5420" s="417" t="s">
        <v>13314</v>
      </c>
      <c r="L5420" s="417"/>
      <c r="M5420" s="417" t="s">
        <v>28840</v>
      </c>
    </row>
    <row r="5421" spans="1:13" x14ac:dyDescent="0.25">
      <c r="A5421" s="417" t="s">
        <v>3385</v>
      </c>
      <c r="B5421" s="417" t="s">
        <v>2627</v>
      </c>
      <c r="C5421" s="417" t="s">
        <v>13315</v>
      </c>
      <c r="D5421" s="417" t="s">
        <v>989</v>
      </c>
      <c r="E5421" s="423">
        <v>510.95101489366192</v>
      </c>
      <c r="F5421" s="423">
        <v>173.98507484062591</v>
      </c>
      <c r="G5421" s="422">
        <v>1074852.2774613169</v>
      </c>
      <c r="H5421" s="417" t="s">
        <v>2616</v>
      </c>
      <c r="I5421" s="417" t="s">
        <v>1392</v>
      </c>
      <c r="J5421" s="417" t="s">
        <v>3798</v>
      </c>
      <c r="K5421" s="417" t="s">
        <v>13316</v>
      </c>
      <c r="L5421" s="417"/>
      <c r="M5421" s="417" t="s">
        <v>28840</v>
      </c>
    </row>
    <row r="5422" spans="1:13" x14ac:dyDescent="0.25">
      <c r="A5422" s="417" t="s">
        <v>3385</v>
      </c>
      <c r="B5422" s="417" t="s">
        <v>2627</v>
      </c>
      <c r="C5422" s="417" t="s">
        <v>1129</v>
      </c>
      <c r="D5422" s="417" t="s">
        <v>88</v>
      </c>
      <c r="E5422" s="423">
        <v>1.5225501027226189</v>
      </c>
      <c r="F5422" s="423">
        <v>2.2736107531607659</v>
      </c>
      <c r="G5422" s="422">
        <v>3211.5159568035888</v>
      </c>
      <c r="H5422" s="417" t="s">
        <v>2616</v>
      </c>
      <c r="I5422" s="417" t="s">
        <v>28841</v>
      </c>
      <c r="J5422" s="417" t="s">
        <v>13317</v>
      </c>
      <c r="K5422" s="417" t="s">
        <v>13318</v>
      </c>
      <c r="L5422" s="417"/>
      <c r="M5422" s="417" t="s">
        <v>28840</v>
      </c>
    </row>
    <row r="5423" spans="1:13" x14ac:dyDescent="0.25">
      <c r="A5423" s="417" t="s">
        <v>3385</v>
      </c>
      <c r="B5423" s="417" t="s">
        <v>2627</v>
      </c>
      <c r="C5423" s="417" t="s">
        <v>1128</v>
      </c>
      <c r="D5423" s="417" t="s">
        <v>88</v>
      </c>
      <c r="E5423" s="423">
        <v>0.71108089745422931</v>
      </c>
      <c r="F5423" s="423">
        <v>2.0982400187986352</v>
      </c>
      <c r="G5423" s="422">
        <v>1804.1299783219281</v>
      </c>
      <c r="H5423" s="417" t="s">
        <v>2616</v>
      </c>
      <c r="I5423" s="417" t="s">
        <v>28841</v>
      </c>
      <c r="J5423" s="417" t="s">
        <v>13317</v>
      </c>
      <c r="K5423" s="417" t="s">
        <v>13319</v>
      </c>
      <c r="L5423" s="417"/>
      <c r="M5423" s="417" t="s">
        <v>28840</v>
      </c>
    </row>
    <row r="5424" spans="1:13" x14ac:dyDescent="0.25">
      <c r="A5424" s="417" t="s">
        <v>3385</v>
      </c>
      <c r="B5424" s="417" t="s">
        <v>2627</v>
      </c>
      <c r="C5424" s="417" t="s">
        <v>13320</v>
      </c>
      <c r="D5424" s="417" t="s">
        <v>88</v>
      </c>
      <c r="E5424" s="423">
        <v>60.490828022691353</v>
      </c>
      <c r="F5424" s="423">
        <v>7.5070884333576728</v>
      </c>
      <c r="G5424" s="422">
        <v>126762.4463308986</v>
      </c>
      <c r="H5424" s="417" t="s">
        <v>2616</v>
      </c>
      <c r="I5424" s="417" t="s">
        <v>1392</v>
      </c>
      <c r="J5424" s="417" t="s">
        <v>3932</v>
      </c>
      <c r="K5424" s="417" t="s">
        <v>13321</v>
      </c>
      <c r="L5424" s="417"/>
      <c r="M5424" s="417" t="s">
        <v>28840</v>
      </c>
    </row>
    <row r="5425" spans="1:13" x14ac:dyDescent="0.25">
      <c r="A5425" s="417" t="s">
        <v>3385</v>
      </c>
      <c r="B5425" s="417" t="s">
        <v>2627</v>
      </c>
      <c r="C5425" s="417" t="s">
        <v>13322</v>
      </c>
      <c r="D5425" s="417" t="s">
        <v>88</v>
      </c>
      <c r="E5425" s="423">
        <v>60.529819499163587</v>
      </c>
      <c r="F5425" s="423">
        <v>7.510771540428836</v>
      </c>
      <c r="G5425" s="422">
        <v>126848.2133603589</v>
      </c>
      <c r="H5425" s="417" t="s">
        <v>2616</v>
      </c>
      <c r="I5425" s="417" t="s">
        <v>1392</v>
      </c>
      <c r="J5425" s="417" t="s">
        <v>3932</v>
      </c>
      <c r="K5425" s="417" t="s">
        <v>13323</v>
      </c>
      <c r="L5425" s="417"/>
      <c r="M5425" s="417" t="s">
        <v>28840</v>
      </c>
    </row>
    <row r="5426" spans="1:13" x14ac:dyDescent="0.25">
      <c r="A5426" s="417" t="s">
        <v>3385</v>
      </c>
      <c r="B5426" s="417" t="s">
        <v>3655</v>
      </c>
      <c r="C5426" s="417" t="s">
        <v>13324</v>
      </c>
      <c r="D5426" s="417" t="s">
        <v>989</v>
      </c>
      <c r="E5426" s="423">
        <v>1372.8422555651091</v>
      </c>
      <c r="F5426" s="423">
        <v>343.40299214114032</v>
      </c>
      <c r="G5426" s="422">
        <v>3029207.082912439</v>
      </c>
      <c r="H5426" s="417" t="s">
        <v>2616</v>
      </c>
      <c r="I5426" s="417" t="s">
        <v>1392</v>
      </c>
      <c r="J5426" s="417" t="s">
        <v>3657</v>
      </c>
      <c r="K5426" s="417" t="s">
        <v>13325</v>
      </c>
      <c r="L5426" s="417"/>
      <c r="M5426" s="417" t="s">
        <v>28840</v>
      </c>
    </row>
    <row r="5427" spans="1:13" x14ac:dyDescent="0.25">
      <c r="A5427" s="417" t="s">
        <v>3385</v>
      </c>
      <c r="B5427" s="417" t="s">
        <v>2627</v>
      </c>
      <c r="C5427" s="417" t="s">
        <v>13326</v>
      </c>
      <c r="D5427" s="417" t="s">
        <v>563</v>
      </c>
      <c r="E5427" s="423">
        <v>32.237486335059941</v>
      </c>
      <c r="F5427" s="423">
        <v>1.368043144612844</v>
      </c>
      <c r="G5427" s="422">
        <v>54726.5000698843</v>
      </c>
      <c r="H5427" s="417" t="s">
        <v>2616</v>
      </c>
      <c r="I5427" s="417" t="s">
        <v>1392</v>
      </c>
      <c r="J5427" s="417" t="s">
        <v>4815</v>
      </c>
      <c r="K5427" s="417" t="s">
        <v>13327</v>
      </c>
      <c r="L5427" s="417"/>
      <c r="M5427" s="417" t="s">
        <v>28840</v>
      </c>
    </row>
    <row r="5428" spans="1:13" x14ac:dyDescent="0.25">
      <c r="A5428" s="417" t="s">
        <v>3385</v>
      </c>
      <c r="B5428" s="417" t="s">
        <v>2627</v>
      </c>
      <c r="C5428" s="417" t="s">
        <v>13328</v>
      </c>
      <c r="D5428" s="417" t="s">
        <v>83</v>
      </c>
      <c r="E5428" s="423">
        <v>191.24487260573181</v>
      </c>
      <c r="F5428" s="423">
        <v>137.2572783350906</v>
      </c>
      <c r="G5428" s="422">
        <v>460043.55583084218</v>
      </c>
      <c r="H5428" s="417" t="s">
        <v>2616</v>
      </c>
      <c r="I5428" s="417" t="s">
        <v>1392</v>
      </c>
      <c r="J5428" s="417" t="s">
        <v>10862</v>
      </c>
      <c r="K5428" s="417" t="s">
        <v>13329</v>
      </c>
      <c r="L5428" s="417"/>
      <c r="M5428" s="417" t="s">
        <v>28840</v>
      </c>
    </row>
    <row r="5429" spans="1:13" x14ac:dyDescent="0.25">
      <c r="A5429" s="417" t="s">
        <v>3385</v>
      </c>
      <c r="B5429" s="417" t="s">
        <v>2627</v>
      </c>
      <c r="C5429" s="417" t="s">
        <v>13330</v>
      </c>
      <c r="D5429" s="417" t="s">
        <v>83</v>
      </c>
      <c r="E5429" s="423">
        <v>191.24487260573181</v>
      </c>
      <c r="F5429" s="423">
        <v>137.2572783350906</v>
      </c>
      <c r="G5429" s="422">
        <v>447189.03583084221</v>
      </c>
      <c r="H5429" s="417" t="s">
        <v>2616</v>
      </c>
      <c r="I5429" s="417" t="s">
        <v>1392</v>
      </c>
      <c r="J5429" s="417" t="s">
        <v>3627</v>
      </c>
      <c r="K5429" s="417" t="s">
        <v>13331</v>
      </c>
      <c r="L5429" s="417"/>
      <c r="M5429" s="417" t="s">
        <v>28840</v>
      </c>
    </row>
    <row r="5430" spans="1:13" x14ac:dyDescent="0.25">
      <c r="A5430" s="417" t="s">
        <v>3385</v>
      </c>
      <c r="B5430" s="417" t="s">
        <v>3655</v>
      </c>
      <c r="C5430" s="417" t="s">
        <v>13332</v>
      </c>
      <c r="D5430" s="417" t="s">
        <v>563</v>
      </c>
      <c r="E5430" s="423">
        <v>7.7555376220918258E-3</v>
      </c>
      <c r="F5430" s="423">
        <v>6.7722118248987649E-4</v>
      </c>
      <c r="G5430" s="422">
        <v>14.806044963436539</v>
      </c>
      <c r="H5430" s="417" t="s">
        <v>2616</v>
      </c>
      <c r="I5430" s="417" t="s">
        <v>1392</v>
      </c>
      <c r="J5430" s="417" t="s">
        <v>4310</v>
      </c>
      <c r="K5430" s="417" t="s">
        <v>13333</v>
      </c>
      <c r="L5430" s="417"/>
      <c r="M5430" s="417" t="s">
        <v>28840</v>
      </c>
    </row>
    <row r="5431" spans="1:13" x14ac:dyDescent="0.25">
      <c r="A5431" s="417" t="s">
        <v>3385</v>
      </c>
      <c r="B5431" s="417" t="s">
        <v>2627</v>
      </c>
      <c r="C5431" s="417" t="s">
        <v>13334</v>
      </c>
      <c r="D5431" s="417" t="s">
        <v>88</v>
      </c>
      <c r="E5431" s="423">
        <v>9.0137750712855507</v>
      </c>
      <c r="F5431" s="423">
        <v>0.27964393960817707</v>
      </c>
      <c r="G5431" s="422">
        <v>16794.027925515431</v>
      </c>
      <c r="H5431" s="417" t="s">
        <v>2616</v>
      </c>
      <c r="I5431" s="417" t="s">
        <v>1392</v>
      </c>
      <c r="J5431" s="417" t="s">
        <v>3742</v>
      </c>
      <c r="K5431" s="417" t="s">
        <v>13335</v>
      </c>
      <c r="L5431" s="417"/>
      <c r="M5431" s="417" t="s">
        <v>28840</v>
      </c>
    </row>
    <row r="5432" spans="1:13" x14ac:dyDescent="0.25">
      <c r="A5432" s="417" t="s">
        <v>3385</v>
      </c>
      <c r="B5432" s="417" t="s">
        <v>2627</v>
      </c>
      <c r="C5432" s="417" t="s">
        <v>988</v>
      </c>
      <c r="D5432" s="417" t="s">
        <v>989</v>
      </c>
      <c r="E5432" s="423">
        <v>123.56349281242581</v>
      </c>
      <c r="F5432" s="423">
        <v>4.9309170003841079</v>
      </c>
      <c r="G5432" s="422">
        <v>523273.13211226522</v>
      </c>
      <c r="H5432" s="417" t="s">
        <v>2616</v>
      </c>
      <c r="I5432" s="417" t="s">
        <v>28841</v>
      </c>
      <c r="J5432" s="417" t="s">
        <v>3699</v>
      </c>
      <c r="K5432" s="417" t="s">
        <v>13336</v>
      </c>
      <c r="L5432" s="417"/>
      <c r="M5432" s="417" t="s">
        <v>28840</v>
      </c>
    </row>
    <row r="5433" spans="1:13" x14ac:dyDescent="0.25">
      <c r="A5433" s="417" t="s">
        <v>3385</v>
      </c>
      <c r="B5433" s="417" t="s">
        <v>2627</v>
      </c>
      <c r="C5433" s="417" t="s">
        <v>13337</v>
      </c>
      <c r="D5433" s="417" t="s">
        <v>88</v>
      </c>
      <c r="E5433" s="423">
        <v>2.6677824736380971</v>
      </c>
      <c r="F5433" s="423">
        <v>1.22588465E-2</v>
      </c>
      <c r="G5433" s="422">
        <v>4685.8902823052304</v>
      </c>
      <c r="H5433" s="417" t="s">
        <v>2616</v>
      </c>
      <c r="I5433" s="417" t="s">
        <v>1392</v>
      </c>
      <c r="J5433" s="417" t="s">
        <v>3633</v>
      </c>
      <c r="K5433" s="417" t="s">
        <v>13338</v>
      </c>
      <c r="L5433" s="417"/>
      <c r="M5433" s="417" t="s">
        <v>28840</v>
      </c>
    </row>
    <row r="5434" spans="1:13" x14ac:dyDescent="0.25">
      <c r="A5434" s="417" t="s">
        <v>3385</v>
      </c>
      <c r="B5434" s="417" t="s">
        <v>2627</v>
      </c>
      <c r="C5434" s="417" t="s">
        <v>13339</v>
      </c>
      <c r="D5434" s="417" t="s">
        <v>989</v>
      </c>
      <c r="E5434" s="423">
        <v>150.45831319957111</v>
      </c>
      <c r="F5434" s="423">
        <v>6.6422218040318484</v>
      </c>
      <c r="G5434" s="422">
        <v>419750.97115522978</v>
      </c>
      <c r="H5434" s="417" t="s">
        <v>2616</v>
      </c>
      <c r="I5434" s="417" t="s">
        <v>1392</v>
      </c>
      <c r="J5434" s="417" t="s">
        <v>3699</v>
      </c>
      <c r="K5434" s="417" t="s">
        <v>13340</v>
      </c>
      <c r="L5434" s="417"/>
      <c r="M5434" s="417" t="s">
        <v>28840</v>
      </c>
    </row>
    <row r="5435" spans="1:13" x14ac:dyDescent="0.25">
      <c r="A5435" s="417" t="s">
        <v>3385</v>
      </c>
      <c r="B5435" s="417" t="s">
        <v>2627</v>
      </c>
      <c r="C5435" s="417" t="s">
        <v>13341</v>
      </c>
      <c r="D5435" s="417" t="s">
        <v>88</v>
      </c>
      <c r="E5435" s="423">
        <v>3.1199723981352641</v>
      </c>
      <c r="F5435" s="423">
        <v>7.1945604013714845E-2</v>
      </c>
      <c r="G5435" s="422">
        <v>5086.5844617631656</v>
      </c>
      <c r="H5435" s="417" t="s">
        <v>2616</v>
      </c>
      <c r="I5435" s="417" t="s">
        <v>1392</v>
      </c>
      <c r="J5435" s="417" t="s">
        <v>3699</v>
      </c>
      <c r="K5435" s="417" t="s">
        <v>13342</v>
      </c>
      <c r="L5435" s="417"/>
      <c r="M5435" s="417" t="s">
        <v>28840</v>
      </c>
    </row>
    <row r="5436" spans="1:13" x14ac:dyDescent="0.25">
      <c r="A5436" s="417" t="s">
        <v>3385</v>
      </c>
      <c r="B5436" s="417" t="s">
        <v>2627</v>
      </c>
      <c r="C5436" s="417" t="s">
        <v>995</v>
      </c>
      <c r="D5436" s="417" t="s">
        <v>88</v>
      </c>
      <c r="E5436" s="423">
        <v>45.922721583268469</v>
      </c>
      <c r="F5436" s="423">
        <v>1.791555698248178</v>
      </c>
      <c r="G5436" s="422">
        <v>123147.18723790511</v>
      </c>
      <c r="H5436" s="417" t="s">
        <v>2616</v>
      </c>
      <c r="I5436" s="417" t="s">
        <v>28841</v>
      </c>
      <c r="J5436" s="417" t="s">
        <v>3699</v>
      </c>
      <c r="K5436" s="417" t="s">
        <v>13343</v>
      </c>
      <c r="L5436" s="417"/>
      <c r="M5436" s="417" t="s">
        <v>28840</v>
      </c>
    </row>
    <row r="5437" spans="1:13" x14ac:dyDescent="0.25">
      <c r="A5437" s="417" t="s">
        <v>3385</v>
      </c>
      <c r="B5437" s="417" t="s">
        <v>2627</v>
      </c>
      <c r="C5437" s="417" t="s">
        <v>13344</v>
      </c>
      <c r="D5437" s="417" t="s">
        <v>88</v>
      </c>
      <c r="E5437" s="423">
        <v>6.878429695061774</v>
      </c>
      <c r="F5437" s="423">
        <v>0.45007381326030937</v>
      </c>
      <c r="G5437" s="422">
        <v>14437.22986886025</v>
      </c>
      <c r="H5437" s="417" t="s">
        <v>2616</v>
      </c>
      <c r="I5437" s="417" t="s">
        <v>1392</v>
      </c>
      <c r="J5437" s="417" t="s">
        <v>3699</v>
      </c>
      <c r="K5437" s="417" t="s">
        <v>13345</v>
      </c>
      <c r="L5437" s="417"/>
      <c r="M5437" s="417" t="s">
        <v>28840</v>
      </c>
    </row>
    <row r="5438" spans="1:13" x14ac:dyDescent="0.25">
      <c r="A5438" s="417" t="s">
        <v>3385</v>
      </c>
      <c r="B5438" s="417" t="s">
        <v>2627</v>
      </c>
      <c r="C5438" s="417" t="s">
        <v>13346</v>
      </c>
      <c r="D5438" s="417" t="s">
        <v>88</v>
      </c>
      <c r="E5438" s="423">
        <v>1.245641112977343E-2</v>
      </c>
      <c r="F5438" s="423">
        <v>2.7912572801352958E-4</v>
      </c>
      <c r="G5438" s="422">
        <v>86.505881358013724</v>
      </c>
      <c r="H5438" s="417" t="s">
        <v>2616</v>
      </c>
      <c r="I5438" s="417" t="s">
        <v>1392</v>
      </c>
      <c r="J5438" s="417" t="s">
        <v>3772</v>
      </c>
      <c r="K5438" s="417" t="s">
        <v>13347</v>
      </c>
      <c r="L5438" s="417"/>
      <c r="M5438" s="417" t="s">
        <v>28840</v>
      </c>
    </row>
    <row r="5439" spans="1:13" x14ac:dyDescent="0.25">
      <c r="A5439" s="417" t="s">
        <v>3385</v>
      </c>
      <c r="B5439" s="417" t="s">
        <v>2437</v>
      </c>
      <c r="C5439" s="417" t="s">
        <v>13348</v>
      </c>
      <c r="D5439" s="417" t="s">
        <v>88</v>
      </c>
      <c r="E5439" s="423">
        <v>1.7237548348555209</v>
      </c>
      <c r="F5439" s="423">
        <v>9.5892055007205365E-2</v>
      </c>
      <c r="G5439" s="422">
        <v>5258.4660490304141</v>
      </c>
      <c r="H5439" s="417" t="s">
        <v>2616</v>
      </c>
      <c r="I5439" s="417" t="s">
        <v>1392</v>
      </c>
      <c r="J5439" s="417" t="s">
        <v>13349</v>
      </c>
      <c r="K5439" s="417" t="s">
        <v>13350</v>
      </c>
      <c r="L5439" s="417"/>
      <c r="M5439" s="417" t="s">
        <v>28840</v>
      </c>
    </row>
    <row r="5440" spans="1:13" x14ac:dyDescent="0.25">
      <c r="A5440" s="417" t="s">
        <v>3385</v>
      </c>
      <c r="B5440" s="417" t="s">
        <v>2627</v>
      </c>
      <c r="C5440" s="417" t="s">
        <v>13351</v>
      </c>
      <c r="D5440" s="417" t="s">
        <v>88</v>
      </c>
      <c r="E5440" s="423">
        <v>0.27698967788927809</v>
      </c>
      <c r="F5440" s="423">
        <v>1.317498120518969E-2</v>
      </c>
      <c r="G5440" s="422">
        <v>3657.879884648667</v>
      </c>
      <c r="H5440" s="417" t="s">
        <v>2616</v>
      </c>
      <c r="I5440" s="417" t="s">
        <v>1392</v>
      </c>
      <c r="J5440" s="417" t="s">
        <v>3915</v>
      </c>
      <c r="K5440" s="417" t="s">
        <v>13352</v>
      </c>
      <c r="L5440" s="417"/>
      <c r="M5440" s="417" t="s">
        <v>28840</v>
      </c>
    </row>
    <row r="5441" spans="1:13" x14ac:dyDescent="0.25">
      <c r="A5441" s="417" t="s">
        <v>3385</v>
      </c>
      <c r="B5441" s="417" t="s">
        <v>2627</v>
      </c>
      <c r="C5441" s="417" t="s">
        <v>1099</v>
      </c>
      <c r="D5441" s="417" t="s">
        <v>88</v>
      </c>
      <c r="E5441" s="423">
        <v>0.93469461464417891</v>
      </c>
      <c r="F5441" s="423">
        <v>5.3237294240497772E-2</v>
      </c>
      <c r="G5441" s="422">
        <v>4310.8337602098009</v>
      </c>
      <c r="H5441" s="417" t="s">
        <v>2616</v>
      </c>
      <c r="I5441" s="417" t="s">
        <v>28841</v>
      </c>
      <c r="J5441" s="417" t="s">
        <v>3915</v>
      </c>
      <c r="K5441" s="417" t="s">
        <v>13353</v>
      </c>
      <c r="L5441" s="417"/>
      <c r="M5441" s="417" t="s">
        <v>28840</v>
      </c>
    </row>
    <row r="5442" spans="1:13" x14ac:dyDescent="0.25">
      <c r="A5442" s="417" t="s">
        <v>3385</v>
      </c>
      <c r="B5442" s="417" t="s">
        <v>2627</v>
      </c>
      <c r="C5442" s="417" t="s">
        <v>13354</v>
      </c>
      <c r="D5442" s="417" t="s">
        <v>88</v>
      </c>
      <c r="E5442" s="423">
        <v>0.93469461464417891</v>
      </c>
      <c r="F5442" s="423">
        <v>5.3237294240497772E-2</v>
      </c>
      <c r="G5442" s="422">
        <v>3736.833760209799</v>
      </c>
      <c r="H5442" s="417" t="s">
        <v>2616</v>
      </c>
      <c r="I5442" s="417" t="s">
        <v>1392</v>
      </c>
      <c r="J5442" s="417" t="s">
        <v>3627</v>
      </c>
      <c r="K5442" s="417" t="s">
        <v>13355</v>
      </c>
      <c r="L5442" s="417"/>
      <c r="M5442" s="417" t="s">
        <v>28840</v>
      </c>
    </row>
    <row r="5443" spans="1:13" x14ac:dyDescent="0.25">
      <c r="A5443" s="417" t="s">
        <v>3385</v>
      </c>
      <c r="B5443" s="417" t="s">
        <v>2627</v>
      </c>
      <c r="C5443" s="417" t="s">
        <v>13356</v>
      </c>
      <c r="D5443" s="417" t="s">
        <v>88</v>
      </c>
      <c r="E5443" s="423">
        <v>0.2198394610769385</v>
      </c>
      <c r="F5443" s="423">
        <v>3.9705818480320051E-2</v>
      </c>
      <c r="G5443" s="422">
        <v>4137.4775935427378</v>
      </c>
      <c r="H5443" s="417" t="s">
        <v>2616</v>
      </c>
      <c r="I5443" s="417" t="s">
        <v>1392</v>
      </c>
      <c r="J5443" s="417" t="s">
        <v>3915</v>
      </c>
      <c r="K5443" s="417" t="s">
        <v>13357</v>
      </c>
      <c r="L5443" s="417"/>
      <c r="M5443" s="417" t="s">
        <v>28840</v>
      </c>
    </row>
    <row r="5444" spans="1:13" x14ac:dyDescent="0.25">
      <c r="A5444" s="417" t="s">
        <v>3385</v>
      </c>
      <c r="B5444" s="417" t="s">
        <v>2627</v>
      </c>
      <c r="C5444" s="417" t="s">
        <v>13358</v>
      </c>
      <c r="D5444" s="417" t="s">
        <v>88</v>
      </c>
      <c r="E5444" s="423">
        <v>1.9535829171632439</v>
      </c>
      <c r="F5444" s="423">
        <v>8.1563907867540905E-2</v>
      </c>
      <c r="G5444" s="422">
        <v>13209.764243326041</v>
      </c>
      <c r="H5444" s="417" t="s">
        <v>2616</v>
      </c>
      <c r="I5444" s="417" t="s">
        <v>1392</v>
      </c>
      <c r="J5444" s="417" t="s">
        <v>3915</v>
      </c>
      <c r="K5444" s="417" t="s">
        <v>13359</v>
      </c>
      <c r="L5444" s="417"/>
      <c r="M5444" s="417" t="s">
        <v>28840</v>
      </c>
    </row>
    <row r="5445" spans="1:13" x14ac:dyDescent="0.25">
      <c r="A5445" s="417" t="s">
        <v>3385</v>
      </c>
      <c r="B5445" s="417" t="s">
        <v>2627</v>
      </c>
      <c r="C5445" s="417" t="s">
        <v>13360</v>
      </c>
      <c r="D5445" s="417" t="s">
        <v>88</v>
      </c>
      <c r="E5445" s="423">
        <v>0.55395317911734943</v>
      </c>
      <c r="F5445" s="423">
        <v>4.0740177697379351E-2</v>
      </c>
      <c r="G5445" s="422">
        <v>1258.354803698353</v>
      </c>
      <c r="H5445" s="417" t="s">
        <v>2616</v>
      </c>
      <c r="I5445" s="417" t="s">
        <v>1392</v>
      </c>
      <c r="J5445" s="417" t="s">
        <v>3915</v>
      </c>
      <c r="K5445" s="417" t="s">
        <v>13361</v>
      </c>
      <c r="L5445" s="417"/>
      <c r="M5445" s="417" t="s">
        <v>28840</v>
      </c>
    </row>
    <row r="5446" spans="1:13" x14ac:dyDescent="0.25">
      <c r="A5446" s="417" t="s">
        <v>3385</v>
      </c>
      <c r="B5446" s="417" t="s">
        <v>2627</v>
      </c>
      <c r="C5446" s="417" t="s">
        <v>13362</v>
      </c>
      <c r="D5446" s="417" t="s">
        <v>83</v>
      </c>
      <c r="E5446" s="423">
        <v>75.854948993987151</v>
      </c>
      <c r="F5446" s="423">
        <v>5.6386036360180043</v>
      </c>
      <c r="G5446" s="422">
        <v>104016.157608301</v>
      </c>
      <c r="H5446" s="417" t="s">
        <v>2616</v>
      </c>
      <c r="I5446" s="417" t="s">
        <v>1392</v>
      </c>
      <c r="J5446" s="417" t="s">
        <v>4399</v>
      </c>
      <c r="K5446" s="417" t="s">
        <v>13363</v>
      </c>
      <c r="L5446" s="417"/>
      <c r="M5446" s="417" t="s">
        <v>28840</v>
      </c>
    </row>
    <row r="5447" spans="1:13" x14ac:dyDescent="0.25">
      <c r="A5447" s="417" t="s">
        <v>3385</v>
      </c>
      <c r="B5447" s="417" t="s">
        <v>2627</v>
      </c>
      <c r="C5447" s="417" t="s">
        <v>13364</v>
      </c>
      <c r="D5447" s="417" t="s">
        <v>83</v>
      </c>
      <c r="E5447" s="423">
        <v>80.866385236810217</v>
      </c>
      <c r="F5447" s="423">
        <v>5.3848915989355941</v>
      </c>
      <c r="G5447" s="422">
        <v>122639.1561865039</v>
      </c>
      <c r="H5447" s="417" t="s">
        <v>2616</v>
      </c>
      <c r="I5447" s="417" t="s">
        <v>1392</v>
      </c>
      <c r="J5447" s="417" t="s">
        <v>4399</v>
      </c>
      <c r="K5447" s="417" t="s">
        <v>13365</v>
      </c>
      <c r="L5447" s="417"/>
      <c r="M5447" s="417" t="s">
        <v>28840</v>
      </c>
    </row>
    <row r="5448" spans="1:13" x14ac:dyDescent="0.25">
      <c r="A5448" s="417" t="s">
        <v>3385</v>
      </c>
      <c r="B5448" s="417" t="s">
        <v>2627</v>
      </c>
      <c r="C5448" s="417" t="s">
        <v>13366</v>
      </c>
      <c r="D5448" s="417" t="s">
        <v>83</v>
      </c>
      <c r="E5448" s="423">
        <v>53.265087980476139</v>
      </c>
      <c r="F5448" s="423">
        <v>4.1884132196089627</v>
      </c>
      <c r="G5448" s="422">
        <v>79776.570809053796</v>
      </c>
      <c r="H5448" s="417" t="s">
        <v>2616</v>
      </c>
      <c r="I5448" s="417" t="s">
        <v>1392</v>
      </c>
      <c r="J5448" s="417" t="s">
        <v>4399</v>
      </c>
      <c r="K5448" s="417" t="s">
        <v>13367</v>
      </c>
      <c r="L5448" s="417"/>
      <c r="M5448" s="417" t="s">
        <v>28840</v>
      </c>
    </row>
    <row r="5449" spans="1:13" x14ac:dyDescent="0.25">
      <c r="A5449" s="417" t="s">
        <v>3385</v>
      </c>
      <c r="B5449" s="417" t="s">
        <v>2627</v>
      </c>
      <c r="C5449" s="417" t="s">
        <v>13368</v>
      </c>
      <c r="D5449" s="417" t="s">
        <v>83</v>
      </c>
      <c r="E5449" s="423">
        <v>58.276524229515402</v>
      </c>
      <c r="F5449" s="423">
        <v>3.9347011822014082</v>
      </c>
      <c r="G5449" s="422">
        <v>98399.569316114168</v>
      </c>
      <c r="H5449" s="417" t="s">
        <v>2616</v>
      </c>
      <c r="I5449" s="417" t="s">
        <v>1392</v>
      </c>
      <c r="J5449" s="417" t="s">
        <v>4399</v>
      </c>
      <c r="K5449" s="417" t="s">
        <v>13369</v>
      </c>
      <c r="L5449" s="417"/>
      <c r="M5449" s="417" t="s">
        <v>28840</v>
      </c>
    </row>
    <row r="5450" spans="1:13" x14ac:dyDescent="0.25">
      <c r="A5450" s="417" t="s">
        <v>3385</v>
      </c>
      <c r="B5450" s="417" t="s">
        <v>2627</v>
      </c>
      <c r="C5450" s="417" t="s">
        <v>13370</v>
      </c>
      <c r="D5450" s="417" t="s">
        <v>83</v>
      </c>
      <c r="E5450" s="423">
        <v>2.5770623000514261</v>
      </c>
      <c r="F5450" s="423">
        <v>0.38601640958550298</v>
      </c>
      <c r="G5450" s="422">
        <v>7124.3433410400175</v>
      </c>
      <c r="H5450" s="417" t="s">
        <v>2616</v>
      </c>
      <c r="I5450" s="417" t="s">
        <v>1392</v>
      </c>
      <c r="J5450" s="417" t="s">
        <v>4399</v>
      </c>
      <c r="K5450" s="417" t="s">
        <v>13371</v>
      </c>
      <c r="L5450" s="417"/>
      <c r="M5450" s="417" t="s">
        <v>28840</v>
      </c>
    </row>
    <row r="5451" spans="1:13" x14ac:dyDescent="0.25">
      <c r="A5451" s="417" t="s">
        <v>3385</v>
      </c>
      <c r="B5451" s="417" t="s">
        <v>2627</v>
      </c>
      <c r="C5451" s="417" t="s">
        <v>920</v>
      </c>
      <c r="D5451" s="417" t="s">
        <v>83</v>
      </c>
      <c r="E5451" s="423">
        <v>108.5863264306363</v>
      </c>
      <c r="F5451" s="423">
        <v>7.2460422428250837</v>
      </c>
      <c r="G5451" s="422">
        <v>168276.6367955746</v>
      </c>
      <c r="H5451" s="417" t="s">
        <v>2616</v>
      </c>
      <c r="I5451" s="417" t="s">
        <v>28841</v>
      </c>
      <c r="J5451" s="417" t="s">
        <v>4399</v>
      </c>
      <c r="K5451" s="417" t="s">
        <v>13372</v>
      </c>
      <c r="L5451" s="417"/>
      <c r="M5451" s="417" t="s">
        <v>28840</v>
      </c>
    </row>
    <row r="5452" spans="1:13" x14ac:dyDescent="0.25">
      <c r="A5452" s="417" t="s">
        <v>3385</v>
      </c>
      <c r="B5452" s="417" t="s">
        <v>2627</v>
      </c>
      <c r="C5452" s="417" t="s">
        <v>13373</v>
      </c>
      <c r="D5452" s="417" t="s">
        <v>83</v>
      </c>
      <c r="E5452" s="423">
        <v>108.5863264306363</v>
      </c>
      <c r="F5452" s="423">
        <v>7.2460422428250837</v>
      </c>
      <c r="G5452" s="422">
        <v>150166.2367955746</v>
      </c>
      <c r="H5452" s="417" t="s">
        <v>2616</v>
      </c>
      <c r="I5452" s="417" t="s">
        <v>1392</v>
      </c>
      <c r="J5452" s="417" t="s">
        <v>4399</v>
      </c>
      <c r="K5452" s="417" t="s">
        <v>13374</v>
      </c>
      <c r="L5452" s="417"/>
      <c r="M5452" s="417" t="s">
        <v>28840</v>
      </c>
    </row>
    <row r="5453" spans="1:13" x14ac:dyDescent="0.25">
      <c r="A5453" s="417" t="s">
        <v>3385</v>
      </c>
      <c r="B5453" s="417" t="s">
        <v>2627</v>
      </c>
      <c r="C5453" s="417" t="s">
        <v>13375</v>
      </c>
      <c r="D5453" s="417" t="s">
        <v>88</v>
      </c>
      <c r="E5453" s="423">
        <v>68.914347403006502</v>
      </c>
      <c r="F5453" s="423">
        <v>2.7426395809623161</v>
      </c>
      <c r="G5453" s="422">
        <v>163048.17550131009</v>
      </c>
      <c r="H5453" s="417" t="s">
        <v>2616</v>
      </c>
      <c r="I5453" s="417" t="s">
        <v>1392</v>
      </c>
      <c r="J5453" s="417" t="s">
        <v>3699</v>
      </c>
      <c r="K5453" s="417" t="s">
        <v>13376</v>
      </c>
      <c r="L5453" s="417"/>
      <c r="M5453" s="417" t="s">
        <v>28840</v>
      </c>
    </row>
    <row r="5454" spans="1:13" x14ac:dyDescent="0.25">
      <c r="A5454" s="417" t="s">
        <v>3385</v>
      </c>
      <c r="B5454" s="417" t="s">
        <v>2627</v>
      </c>
      <c r="C5454" s="417" t="s">
        <v>993</v>
      </c>
      <c r="D5454" s="417" t="s">
        <v>989</v>
      </c>
      <c r="E5454" s="423">
        <v>114.1076381761403</v>
      </c>
      <c r="F5454" s="423">
        <v>4.9454385719896061</v>
      </c>
      <c r="G5454" s="422">
        <v>276736.114371075</v>
      </c>
      <c r="H5454" s="417" t="s">
        <v>2616</v>
      </c>
      <c r="I5454" s="417" t="s">
        <v>28841</v>
      </c>
      <c r="J5454" s="417" t="s">
        <v>3699</v>
      </c>
      <c r="K5454" s="417" t="s">
        <v>13377</v>
      </c>
      <c r="L5454" s="417"/>
      <c r="M5454" s="417" t="s">
        <v>28840</v>
      </c>
    </row>
    <row r="5455" spans="1:13" x14ac:dyDescent="0.25">
      <c r="A5455" s="417" t="s">
        <v>3385</v>
      </c>
      <c r="B5455" s="417" t="s">
        <v>2627</v>
      </c>
      <c r="C5455" s="417" t="s">
        <v>917</v>
      </c>
      <c r="D5455" s="417" t="s">
        <v>88</v>
      </c>
      <c r="E5455" s="423">
        <v>0.17599130486140621</v>
      </c>
      <c r="F5455" s="423">
        <v>4.8493646197979136E-3</v>
      </c>
      <c r="G5455" s="422">
        <v>330.3056188190705</v>
      </c>
      <c r="H5455" s="417" t="s">
        <v>2616</v>
      </c>
      <c r="I5455" s="417" t="s">
        <v>28841</v>
      </c>
      <c r="J5455" s="417" t="s">
        <v>4358</v>
      </c>
      <c r="K5455" s="417" t="s">
        <v>13378</v>
      </c>
      <c r="L5455" s="417"/>
      <c r="M5455" s="417" t="s">
        <v>28840</v>
      </c>
    </row>
    <row r="5456" spans="1:13" x14ac:dyDescent="0.25">
      <c r="A5456" s="417" t="s">
        <v>3385</v>
      </c>
      <c r="B5456" s="417" t="s">
        <v>2437</v>
      </c>
      <c r="C5456" s="417" t="s">
        <v>13379</v>
      </c>
      <c r="D5456" s="417" t="s">
        <v>989</v>
      </c>
      <c r="E5456" s="423">
        <v>17865.72190992488</v>
      </c>
      <c r="F5456" s="423">
        <v>809.90457981179952</v>
      </c>
      <c r="G5456" s="422">
        <v>46394352.626206689</v>
      </c>
      <c r="H5456" s="417" t="s">
        <v>2616</v>
      </c>
      <c r="I5456" s="417" t="s">
        <v>28985</v>
      </c>
      <c r="J5456" s="417" t="s">
        <v>4167</v>
      </c>
      <c r="K5456" s="417" t="s">
        <v>13380</v>
      </c>
      <c r="L5456" s="417"/>
      <c r="M5456" s="417" t="s">
        <v>28840</v>
      </c>
    </row>
    <row r="5457" spans="1:13" x14ac:dyDescent="0.25">
      <c r="A5457" s="417" t="s">
        <v>3385</v>
      </c>
      <c r="B5457" s="417" t="s">
        <v>2437</v>
      </c>
      <c r="C5457" s="417" t="s">
        <v>618</v>
      </c>
      <c r="D5457" s="417" t="s">
        <v>989</v>
      </c>
      <c r="E5457" s="423">
        <v>61714.830945526213</v>
      </c>
      <c r="F5457" s="423">
        <v>2620.650835195931</v>
      </c>
      <c r="G5457" s="422">
        <v>174320440.05036309</v>
      </c>
      <c r="H5457" s="417" t="s">
        <v>2616</v>
      </c>
      <c r="I5457" s="417" t="s">
        <v>28985</v>
      </c>
      <c r="J5457" s="417" t="s">
        <v>4167</v>
      </c>
      <c r="K5457" s="417" t="s">
        <v>13381</v>
      </c>
      <c r="L5457" s="417"/>
      <c r="M5457" s="417" t="s">
        <v>28840</v>
      </c>
    </row>
    <row r="5458" spans="1:13" x14ac:dyDescent="0.25">
      <c r="A5458" s="417" t="s">
        <v>3385</v>
      </c>
      <c r="B5458" s="417" t="s">
        <v>2437</v>
      </c>
      <c r="C5458" s="417" t="s">
        <v>13382</v>
      </c>
      <c r="D5458" s="417" t="s">
        <v>989</v>
      </c>
      <c r="E5458" s="423">
        <v>33153.995068742573</v>
      </c>
      <c r="F5458" s="423">
        <v>1554.6926588625311</v>
      </c>
      <c r="G5458" s="422">
        <v>82462684.680684641</v>
      </c>
      <c r="H5458" s="417" t="s">
        <v>2616</v>
      </c>
      <c r="I5458" s="417" t="s">
        <v>1392</v>
      </c>
      <c r="J5458" s="417" t="s">
        <v>4167</v>
      </c>
      <c r="K5458" s="417" t="s">
        <v>13383</v>
      </c>
      <c r="L5458" s="417"/>
      <c r="M5458" s="417" t="s">
        <v>28840</v>
      </c>
    </row>
    <row r="5459" spans="1:13" x14ac:dyDescent="0.25">
      <c r="A5459" s="417" t="s">
        <v>3385</v>
      </c>
      <c r="B5459" s="417" t="s">
        <v>2437</v>
      </c>
      <c r="C5459" s="417" t="s">
        <v>13384</v>
      </c>
      <c r="D5459" s="417" t="s">
        <v>989</v>
      </c>
      <c r="E5459" s="423">
        <v>17453.006053450979</v>
      </c>
      <c r="F5459" s="423">
        <v>822.93471808009758</v>
      </c>
      <c r="G5459" s="422">
        <v>47266523.17552983</v>
      </c>
      <c r="H5459" s="417" t="s">
        <v>2616</v>
      </c>
      <c r="I5459" s="417" t="s">
        <v>1392</v>
      </c>
      <c r="J5459" s="417" t="s">
        <v>4167</v>
      </c>
      <c r="K5459" s="417" t="s">
        <v>13385</v>
      </c>
      <c r="L5459" s="417"/>
      <c r="M5459" s="417" t="s">
        <v>28840</v>
      </c>
    </row>
    <row r="5460" spans="1:13" x14ac:dyDescent="0.25">
      <c r="A5460" s="417" t="s">
        <v>3385</v>
      </c>
      <c r="B5460" s="417" t="s">
        <v>2437</v>
      </c>
      <c r="C5460" s="417" t="s">
        <v>13386</v>
      </c>
      <c r="D5460" s="417" t="s">
        <v>989</v>
      </c>
      <c r="E5460" s="423">
        <v>59112.614633379177</v>
      </c>
      <c r="F5460" s="423">
        <v>2671.7149491274358</v>
      </c>
      <c r="G5460" s="422">
        <v>177394751.02929059</v>
      </c>
      <c r="H5460" s="417" t="s">
        <v>2616</v>
      </c>
      <c r="I5460" s="417" t="s">
        <v>1392</v>
      </c>
      <c r="J5460" s="417" t="s">
        <v>4167</v>
      </c>
      <c r="K5460" s="417" t="s">
        <v>13387</v>
      </c>
      <c r="L5460" s="417"/>
      <c r="M5460" s="417" t="s">
        <v>28840</v>
      </c>
    </row>
    <row r="5461" spans="1:13" x14ac:dyDescent="0.25">
      <c r="A5461" s="417" t="s">
        <v>3385</v>
      </c>
      <c r="B5461" s="417" t="s">
        <v>2437</v>
      </c>
      <c r="C5461" s="417" t="s">
        <v>13388</v>
      </c>
      <c r="D5461" s="417" t="s">
        <v>989</v>
      </c>
      <c r="E5461" s="423">
        <v>32485.635466362099</v>
      </c>
      <c r="F5461" s="423">
        <v>1576.0719654779159</v>
      </c>
      <c r="G5461" s="422">
        <v>83854068.396351814</v>
      </c>
      <c r="H5461" s="417" t="s">
        <v>2616</v>
      </c>
      <c r="I5461" s="417" t="s">
        <v>1392</v>
      </c>
      <c r="J5461" s="417" t="s">
        <v>4167</v>
      </c>
      <c r="K5461" s="417" t="s">
        <v>13389</v>
      </c>
      <c r="L5461" s="417"/>
      <c r="M5461" s="417" t="s">
        <v>28840</v>
      </c>
    </row>
    <row r="5462" spans="1:13" x14ac:dyDescent="0.25">
      <c r="A5462" s="417" t="s">
        <v>3385</v>
      </c>
      <c r="B5462" s="417" t="s">
        <v>2437</v>
      </c>
      <c r="C5462" s="417" t="s">
        <v>13390</v>
      </c>
      <c r="D5462" s="417" t="s">
        <v>989</v>
      </c>
      <c r="E5462" s="423">
        <v>18455.159636841021</v>
      </c>
      <c r="F5462" s="423">
        <v>882.50087012726408</v>
      </c>
      <c r="G5462" s="422">
        <v>49470194.982956029</v>
      </c>
      <c r="H5462" s="417" t="s">
        <v>2616</v>
      </c>
      <c r="I5462" s="417" t="s">
        <v>1392</v>
      </c>
      <c r="J5462" s="417" t="s">
        <v>4167</v>
      </c>
      <c r="K5462" s="417" t="s">
        <v>13391</v>
      </c>
      <c r="L5462" s="417"/>
      <c r="M5462" s="417" t="s">
        <v>28840</v>
      </c>
    </row>
    <row r="5463" spans="1:13" x14ac:dyDescent="0.25">
      <c r="A5463" s="417" t="s">
        <v>3385</v>
      </c>
      <c r="B5463" s="417" t="s">
        <v>2437</v>
      </c>
      <c r="C5463" s="417" t="s">
        <v>13392</v>
      </c>
      <c r="D5463" s="417" t="s">
        <v>989</v>
      </c>
      <c r="E5463" s="423">
        <v>64806.942654924082</v>
      </c>
      <c r="F5463" s="423">
        <v>3002.0202236330292</v>
      </c>
      <c r="G5463" s="422">
        <v>190473287.0183692</v>
      </c>
      <c r="H5463" s="417" t="s">
        <v>2616</v>
      </c>
      <c r="I5463" s="417" t="s">
        <v>1392</v>
      </c>
      <c r="J5463" s="417" t="s">
        <v>4167</v>
      </c>
      <c r="K5463" s="417" t="s">
        <v>13393</v>
      </c>
      <c r="L5463" s="417"/>
      <c r="M5463" s="417" t="s">
        <v>28840</v>
      </c>
    </row>
    <row r="5464" spans="1:13" x14ac:dyDescent="0.25">
      <c r="A5464" s="417" t="s">
        <v>3385</v>
      </c>
      <c r="B5464" s="417" t="s">
        <v>2437</v>
      </c>
      <c r="C5464" s="417" t="s">
        <v>13394</v>
      </c>
      <c r="D5464" s="417" t="s">
        <v>989</v>
      </c>
      <c r="E5464" s="423">
        <v>34087.098073894158</v>
      </c>
      <c r="F5464" s="423">
        <v>1671.226031990095</v>
      </c>
      <c r="G5464" s="422">
        <v>87360132.010057524</v>
      </c>
      <c r="H5464" s="417" t="s">
        <v>2616</v>
      </c>
      <c r="I5464" s="417" t="s">
        <v>1392</v>
      </c>
      <c r="J5464" s="417" t="s">
        <v>4167</v>
      </c>
      <c r="K5464" s="417" t="s">
        <v>13395</v>
      </c>
      <c r="L5464" s="417"/>
      <c r="M5464" s="417" t="s">
        <v>28840</v>
      </c>
    </row>
    <row r="5465" spans="1:13" x14ac:dyDescent="0.25">
      <c r="A5465" s="417" t="s">
        <v>3385</v>
      </c>
      <c r="B5465" s="417" t="s">
        <v>2437</v>
      </c>
      <c r="C5465" s="417" t="s">
        <v>13396</v>
      </c>
      <c r="D5465" s="417" t="s">
        <v>989</v>
      </c>
      <c r="E5465" s="423">
        <v>15536.91079233144</v>
      </c>
      <c r="F5465" s="423">
        <v>703.62679183713783</v>
      </c>
      <c r="G5465" s="422">
        <v>30849119.353707869</v>
      </c>
      <c r="H5465" s="417" t="s">
        <v>2616</v>
      </c>
      <c r="I5465" s="417" t="s">
        <v>1392</v>
      </c>
      <c r="J5465" s="417" t="s">
        <v>4167</v>
      </c>
      <c r="K5465" s="417" t="s">
        <v>13397</v>
      </c>
      <c r="L5465" s="417"/>
      <c r="M5465" s="417" t="s">
        <v>28840</v>
      </c>
    </row>
    <row r="5466" spans="1:13" x14ac:dyDescent="0.25">
      <c r="A5466" s="417" t="s">
        <v>3385</v>
      </c>
      <c r="B5466" s="417" t="s">
        <v>2437</v>
      </c>
      <c r="C5466" s="417" t="s">
        <v>13398</v>
      </c>
      <c r="D5466" s="417" t="s">
        <v>989</v>
      </c>
      <c r="E5466" s="423">
        <v>14803.8523037128</v>
      </c>
      <c r="F5466" s="423">
        <v>674.84886655779871</v>
      </c>
      <c r="G5466" s="422">
        <v>29265164.95071806</v>
      </c>
      <c r="H5466" s="417" t="s">
        <v>2616</v>
      </c>
      <c r="I5466" s="417" t="s">
        <v>1392</v>
      </c>
      <c r="J5466" s="417" t="s">
        <v>4167</v>
      </c>
      <c r="K5466" s="417" t="s">
        <v>13399</v>
      </c>
      <c r="L5466" s="417"/>
      <c r="M5466" s="417" t="s">
        <v>28840</v>
      </c>
    </row>
    <row r="5467" spans="1:13" x14ac:dyDescent="0.25">
      <c r="A5467" s="417" t="s">
        <v>3385</v>
      </c>
      <c r="B5467" s="417" t="s">
        <v>2437</v>
      </c>
      <c r="C5467" s="417" t="s">
        <v>13400</v>
      </c>
      <c r="D5467" s="417" t="s">
        <v>989</v>
      </c>
      <c r="E5467" s="423">
        <v>14766.738450879709</v>
      </c>
      <c r="F5467" s="423">
        <v>673.73369727570582</v>
      </c>
      <c r="G5467" s="422">
        <v>29200405.05981512</v>
      </c>
      <c r="H5467" s="417" t="s">
        <v>2616</v>
      </c>
      <c r="I5467" s="417" t="s">
        <v>1392</v>
      </c>
      <c r="J5467" s="417" t="s">
        <v>4167</v>
      </c>
      <c r="K5467" s="417" t="s">
        <v>13401</v>
      </c>
      <c r="L5467" s="417"/>
      <c r="M5467" s="417" t="s">
        <v>28840</v>
      </c>
    </row>
    <row r="5468" spans="1:13" x14ac:dyDescent="0.25">
      <c r="A5468" s="417" t="s">
        <v>3385</v>
      </c>
      <c r="B5468" s="417" t="s">
        <v>2437</v>
      </c>
      <c r="C5468" s="417" t="s">
        <v>13402</v>
      </c>
      <c r="D5468" s="417" t="s">
        <v>989</v>
      </c>
      <c r="E5468" s="423">
        <v>26129.57883443082</v>
      </c>
      <c r="F5468" s="423">
        <v>1284.3854948947901</v>
      </c>
      <c r="G5468" s="422">
        <v>52823089.478281483</v>
      </c>
      <c r="H5468" s="417" t="s">
        <v>2616</v>
      </c>
      <c r="I5468" s="417" t="s">
        <v>1392</v>
      </c>
      <c r="J5468" s="417" t="s">
        <v>4167</v>
      </c>
      <c r="K5468" s="417" t="s">
        <v>13403</v>
      </c>
      <c r="L5468" s="417"/>
      <c r="M5468" s="417" t="s">
        <v>28840</v>
      </c>
    </row>
    <row r="5469" spans="1:13" x14ac:dyDescent="0.25">
      <c r="A5469" s="417" t="s">
        <v>3385</v>
      </c>
      <c r="B5469" s="417" t="s">
        <v>2437</v>
      </c>
      <c r="C5469" s="417" t="s">
        <v>13404</v>
      </c>
      <c r="D5469" s="417" t="s">
        <v>989</v>
      </c>
      <c r="E5469" s="423">
        <v>25488.281969474359</v>
      </c>
      <c r="F5469" s="423">
        <v>1258.222059538374</v>
      </c>
      <c r="G5469" s="422">
        <v>51401154.085525133</v>
      </c>
      <c r="H5469" s="417" t="s">
        <v>2616</v>
      </c>
      <c r="I5469" s="417" t="s">
        <v>1392</v>
      </c>
      <c r="J5469" s="417" t="s">
        <v>4167</v>
      </c>
      <c r="K5469" s="417" t="s">
        <v>13405</v>
      </c>
      <c r="L5469" s="417"/>
      <c r="M5469" s="417" t="s">
        <v>28840</v>
      </c>
    </row>
    <row r="5470" spans="1:13" x14ac:dyDescent="0.25">
      <c r="A5470" s="417" t="s">
        <v>3385</v>
      </c>
      <c r="B5470" s="417" t="s">
        <v>2437</v>
      </c>
      <c r="C5470" s="417" t="s">
        <v>13406</v>
      </c>
      <c r="D5470" s="417" t="s">
        <v>989</v>
      </c>
      <c r="E5470" s="423">
        <v>25458.82464648411</v>
      </c>
      <c r="F5470" s="423">
        <v>1257.314481096508</v>
      </c>
      <c r="G5470" s="422">
        <v>51350053.895980671</v>
      </c>
      <c r="H5470" s="417" t="s">
        <v>2616</v>
      </c>
      <c r="I5470" s="417" t="s">
        <v>1392</v>
      </c>
      <c r="J5470" s="417" t="s">
        <v>4167</v>
      </c>
      <c r="K5470" s="417" t="s">
        <v>13407</v>
      </c>
      <c r="L5470" s="417"/>
      <c r="M5470" s="417" t="s">
        <v>28840</v>
      </c>
    </row>
    <row r="5471" spans="1:13" x14ac:dyDescent="0.25">
      <c r="A5471" s="417" t="s">
        <v>3385</v>
      </c>
      <c r="B5471" s="417" t="s">
        <v>2437</v>
      </c>
      <c r="C5471" s="417" t="s">
        <v>13408</v>
      </c>
      <c r="D5471" s="417" t="s">
        <v>989</v>
      </c>
      <c r="E5471" s="423">
        <v>13154.770284265071</v>
      </c>
      <c r="F5471" s="423">
        <v>628.51217028637325</v>
      </c>
      <c r="G5471" s="422">
        <v>27694095.642655522</v>
      </c>
      <c r="H5471" s="417" t="s">
        <v>2616</v>
      </c>
      <c r="I5471" s="417" t="s">
        <v>1392</v>
      </c>
      <c r="J5471" s="417" t="s">
        <v>4167</v>
      </c>
      <c r="K5471" s="417" t="s">
        <v>13409</v>
      </c>
      <c r="L5471" s="417"/>
      <c r="M5471" s="417" t="s">
        <v>28840</v>
      </c>
    </row>
    <row r="5472" spans="1:13" x14ac:dyDescent="0.25">
      <c r="A5472" s="417" t="s">
        <v>3385</v>
      </c>
      <c r="B5472" s="417" t="s">
        <v>2437</v>
      </c>
      <c r="C5472" s="417" t="s">
        <v>13410</v>
      </c>
      <c r="D5472" s="417" t="s">
        <v>989</v>
      </c>
      <c r="E5472" s="423">
        <v>12927.46510580113</v>
      </c>
      <c r="F5472" s="423">
        <v>620.02891837320453</v>
      </c>
      <c r="G5472" s="422">
        <v>27220256.468439039</v>
      </c>
      <c r="H5472" s="417" t="s">
        <v>2616</v>
      </c>
      <c r="I5472" s="417" t="s">
        <v>1392</v>
      </c>
      <c r="J5472" s="417" t="s">
        <v>4167</v>
      </c>
      <c r="K5472" s="417" t="s">
        <v>13411</v>
      </c>
      <c r="L5472" s="417"/>
      <c r="M5472" s="417" t="s">
        <v>28840</v>
      </c>
    </row>
    <row r="5473" spans="1:13" x14ac:dyDescent="0.25">
      <c r="A5473" s="417" t="s">
        <v>3385</v>
      </c>
      <c r="B5473" s="417" t="s">
        <v>2437</v>
      </c>
      <c r="C5473" s="417" t="s">
        <v>13412</v>
      </c>
      <c r="D5473" s="417" t="s">
        <v>989</v>
      </c>
      <c r="E5473" s="423">
        <v>12667.252469014111</v>
      </c>
      <c r="F5473" s="423">
        <v>610.14453247967913</v>
      </c>
      <c r="G5473" s="422">
        <v>26674621.508386102</v>
      </c>
      <c r="H5473" s="417" t="s">
        <v>2616</v>
      </c>
      <c r="I5473" s="417" t="s">
        <v>1392</v>
      </c>
      <c r="J5473" s="417" t="s">
        <v>4167</v>
      </c>
      <c r="K5473" s="417" t="s">
        <v>13413</v>
      </c>
      <c r="L5473" s="417"/>
      <c r="M5473" s="417" t="s">
        <v>28840</v>
      </c>
    </row>
    <row r="5474" spans="1:13" x14ac:dyDescent="0.25">
      <c r="A5474" s="417" t="s">
        <v>3385</v>
      </c>
      <c r="B5474" s="417" t="s">
        <v>2437</v>
      </c>
      <c r="C5474" s="417" t="s">
        <v>13414</v>
      </c>
      <c r="D5474" s="417" t="s">
        <v>989</v>
      </c>
      <c r="E5474" s="423">
        <v>24033.68701183817</v>
      </c>
      <c r="F5474" s="423">
        <v>1218.6423250165731</v>
      </c>
      <c r="G5474" s="422">
        <v>50273758.995439827</v>
      </c>
      <c r="H5474" s="417" t="s">
        <v>2616</v>
      </c>
      <c r="I5474" s="417" t="s">
        <v>1392</v>
      </c>
      <c r="J5474" s="417" t="s">
        <v>4167</v>
      </c>
      <c r="K5474" s="417" t="s">
        <v>13415</v>
      </c>
      <c r="L5474" s="417"/>
      <c r="M5474" s="417" t="s">
        <v>28840</v>
      </c>
    </row>
    <row r="5475" spans="1:13" x14ac:dyDescent="0.25">
      <c r="A5475" s="417" t="s">
        <v>3385</v>
      </c>
      <c r="B5475" s="417" t="s">
        <v>2437</v>
      </c>
      <c r="C5475" s="417" t="s">
        <v>13416</v>
      </c>
      <c r="D5475" s="417" t="s">
        <v>989</v>
      </c>
      <c r="E5475" s="423">
        <v>23816.75311034343</v>
      </c>
      <c r="F5475" s="423">
        <v>1210.368210360893</v>
      </c>
      <c r="G5475" s="422">
        <v>49819583.975031599</v>
      </c>
      <c r="H5475" s="417" t="s">
        <v>2616</v>
      </c>
      <c r="I5475" s="417" t="s">
        <v>1392</v>
      </c>
      <c r="J5475" s="417" t="s">
        <v>4167</v>
      </c>
      <c r="K5475" s="417" t="s">
        <v>13417</v>
      </c>
      <c r="L5475" s="417"/>
      <c r="M5475" s="417" t="s">
        <v>28840</v>
      </c>
    </row>
    <row r="5476" spans="1:13" x14ac:dyDescent="0.25">
      <c r="A5476" s="417" t="s">
        <v>3385</v>
      </c>
      <c r="B5476" s="417" t="s">
        <v>2437</v>
      </c>
      <c r="C5476" s="417" t="s">
        <v>13418</v>
      </c>
      <c r="D5476" s="417" t="s">
        <v>989</v>
      </c>
      <c r="E5476" s="423">
        <v>23581.353994198711</v>
      </c>
      <c r="F5476" s="423">
        <v>1201.2618794260979</v>
      </c>
      <c r="G5476" s="422">
        <v>49325608.445142053</v>
      </c>
      <c r="H5476" s="417" t="s">
        <v>2616</v>
      </c>
      <c r="I5476" s="417" t="s">
        <v>1392</v>
      </c>
      <c r="J5476" s="417" t="s">
        <v>4167</v>
      </c>
      <c r="K5476" s="417" t="s">
        <v>13419</v>
      </c>
      <c r="L5476" s="417"/>
      <c r="M5476" s="417" t="s">
        <v>28840</v>
      </c>
    </row>
    <row r="5477" spans="1:13" x14ac:dyDescent="0.25">
      <c r="A5477" s="417" t="s">
        <v>3385</v>
      </c>
      <c r="B5477" s="417" t="s">
        <v>2437</v>
      </c>
      <c r="C5477" s="417" t="s">
        <v>13420</v>
      </c>
      <c r="D5477" s="417" t="s">
        <v>989</v>
      </c>
      <c r="E5477" s="423">
        <v>11021.1137227613</v>
      </c>
      <c r="F5477" s="423">
        <v>502.72434857053548</v>
      </c>
      <c r="G5477" s="422">
        <v>22033795.593391988</v>
      </c>
      <c r="H5477" s="417" t="s">
        <v>2616</v>
      </c>
      <c r="I5477" s="417" t="s">
        <v>1392</v>
      </c>
      <c r="J5477" s="417" t="s">
        <v>4167</v>
      </c>
      <c r="K5477" s="417" t="s">
        <v>13421</v>
      </c>
      <c r="L5477" s="417"/>
      <c r="M5477" s="417" t="s">
        <v>28840</v>
      </c>
    </row>
    <row r="5478" spans="1:13" x14ac:dyDescent="0.25">
      <c r="A5478" s="417" t="s">
        <v>3385</v>
      </c>
      <c r="B5478" s="417" t="s">
        <v>2437</v>
      </c>
      <c r="C5478" s="417" t="s">
        <v>13422</v>
      </c>
      <c r="D5478" s="417" t="s">
        <v>989</v>
      </c>
      <c r="E5478" s="423">
        <v>10769.18517836713</v>
      </c>
      <c r="F5478" s="423">
        <v>493.58477543545177</v>
      </c>
      <c r="G5478" s="422">
        <v>21532789.51595379</v>
      </c>
      <c r="H5478" s="417" t="s">
        <v>2616</v>
      </c>
      <c r="I5478" s="417" t="s">
        <v>1392</v>
      </c>
      <c r="J5478" s="417" t="s">
        <v>4167</v>
      </c>
      <c r="K5478" s="417" t="s">
        <v>13423</v>
      </c>
      <c r="L5478" s="417"/>
      <c r="M5478" s="417" t="s">
        <v>28840</v>
      </c>
    </row>
    <row r="5479" spans="1:13" x14ac:dyDescent="0.25">
      <c r="A5479" s="417" t="s">
        <v>3385</v>
      </c>
      <c r="B5479" s="417" t="s">
        <v>2437</v>
      </c>
      <c r="C5479" s="417" t="s">
        <v>13424</v>
      </c>
      <c r="D5479" s="417" t="s">
        <v>989</v>
      </c>
      <c r="E5479" s="423">
        <v>10491.796874467131</v>
      </c>
      <c r="F5479" s="423">
        <v>483.24677865229819</v>
      </c>
      <c r="G5479" s="422">
        <v>20970263.517679062</v>
      </c>
      <c r="H5479" s="417" t="s">
        <v>2616</v>
      </c>
      <c r="I5479" s="417" t="s">
        <v>1392</v>
      </c>
      <c r="J5479" s="417" t="s">
        <v>4167</v>
      </c>
      <c r="K5479" s="417" t="s">
        <v>13425</v>
      </c>
      <c r="L5479" s="417"/>
      <c r="M5479" s="417" t="s">
        <v>28840</v>
      </c>
    </row>
    <row r="5480" spans="1:13" x14ac:dyDescent="0.25">
      <c r="A5480" s="417" t="s">
        <v>3385</v>
      </c>
      <c r="B5480" s="417" t="s">
        <v>2437</v>
      </c>
      <c r="C5480" s="417" t="s">
        <v>13426</v>
      </c>
      <c r="D5480" s="417" t="s">
        <v>989</v>
      </c>
      <c r="E5480" s="423">
        <v>12440.7089022566</v>
      </c>
      <c r="F5480" s="423">
        <v>574.27689360297381</v>
      </c>
      <c r="G5480" s="422">
        <v>24717493.100031339</v>
      </c>
      <c r="H5480" s="417" t="s">
        <v>2616</v>
      </c>
      <c r="I5480" s="417" t="s">
        <v>1392</v>
      </c>
      <c r="J5480" s="417" t="s">
        <v>4167</v>
      </c>
      <c r="K5480" s="417" t="s">
        <v>13427</v>
      </c>
      <c r="L5480" s="417"/>
      <c r="M5480" s="417" t="s">
        <v>28840</v>
      </c>
    </row>
    <row r="5481" spans="1:13" x14ac:dyDescent="0.25">
      <c r="A5481" s="417" t="s">
        <v>3385</v>
      </c>
      <c r="B5481" s="417" t="s">
        <v>2437</v>
      </c>
      <c r="C5481" s="417" t="s">
        <v>13428</v>
      </c>
      <c r="D5481" s="417" t="s">
        <v>989</v>
      </c>
      <c r="E5481" s="423">
        <v>12181.51224194962</v>
      </c>
      <c r="F5481" s="423">
        <v>564.94174389310797</v>
      </c>
      <c r="G5481" s="422">
        <v>24204154.187520482</v>
      </c>
      <c r="H5481" s="417" t="s">
        <v>2616</v>
      </c>
      <c r="I5481" s="417" t="s">
        <v>1392</v>
      </c>
      <c r="J5481" s="417" t="s">
        <v>4167</v>
      </c>
      <c r="K5481" s="417" t="s">
        <v>13429</v>
      </c>
      <c r="L5481" s="417"/>
      <c r="M5481" s="417" t="s">
        <v>28840</v>
      </c>
    </row>
    <row r="5482" spans="1:13" x14ac:dyDescent="0.25">
      <c r="A5482" s="417" t="s">
        <v>3385</v>
      </c>
      <c r="B5482" s="417" t="s">
        <v>2437</v>
      </c>
      <c r="C5482" s="417" t="s">
        <v>13430</v>
      </c>
      <c r="D5482" s="417" t="s">
        <v>989</v>
      </c>
      <c r="E5482" s="423">
        <v>11918.632171805941</v>
      </c>
      <c r="F5482" s="423">
        <v>555.08693811323872</v>
      </c>
      <c r="G5482" s="422">
        <v>23669581.39333513</v>
      </c>
      <c r="H5482" s="417" t="s">
        <v>2616</v>
      </c>
      <c r="I5482" s="417" t="s">
        <v>1392</v>
      </c>
      <c r="J5482" s="417" t="s">
        <v>4167</v>
      </c>
      <c r="K5482" s="417" t="s">
        <v>13431</v>
      </c>
      <c r="L5482" s="417"/>
      <c r="M5482" s="417" t="s">
        <v>28840</v>
      </c>
    </row>
    <row r="5483" spans="1:13" x14ac:dyDescent="0.25">
      <c r="A5483" s="417" t="s">
        <v>3385</v>
      </c>
      <c r="B5483" s="417" t="s">
        <v>2437</v>
      </c>
      <c r="C5483" s="417" t="s">
        <v>13432</v>
      </c>
      <c r="D5483" s="417" t="s">
        <v>989</v>
      </c>
      <c r="E5483" s="423">
        <v>13824.905946204361</v>
      </c>
      <c r="F5483" s="423">
        <v>644.79462457358852</v>
      </c>
      <c r="G5483" s="422">
        <v>27338386.386308979</v>
      </c>
      <c r="H5483" s="417" t="s">
        <v>2616</v>
      </c>
      <c r="I5483" s="417" t="s">
        <v>1392</v>
      </c>
      <c r="J5483" s="417" t="s">
        <v>4167</v>
      </c>
      <c r="K5483" s="417" t="s">
        <v>13433</v>
      </c>
      <c r="L5483" s="417"/>
      <c r="M5483" s="417" t="s">
        <v>28840</v>
      </c>
    </row>
    <row r="5484" spans="1:13" x14ac:dyDescent="0.25">
      <c r="A5484" s="417" t="s">
        <v>3385</v>
      </c>
      <c r="B5484" s="417" t="s">
        <v>2437</v>
      </c>
      <c r="C5484" s="417" t="s">
        <v>13434</v>
      </c>
      <c r="D5484" s="417" t="s">
        <v>989</v>
      </c>
      <c r="E5484" s="423">
        <v>13576.422116792541</v>
      </c>
      <c r="F5484" s="423">
        <v>635.79116119099785</v>
      </c>
      <c r="G5484" s="422">
        <v>26844916.939351719</v>
      </c>
      <c r="H5484" s="417" t="s">
        <v>2616</v>
      </c>
      <c r="I5484" s="417" t="s">
        <v>1392</v>
      </c>
      <c r="J5484" s="417" t="s">
        <v>4167</v>
      </c>
      <c r="K5484" s="417" t="s">
        <v>13435</v>
      </c>
      <c r="L5484" s="417"/>
      <c r="M5484" s="417" t="s">
        <v>28840</v>
      </c>
    </row>
    <row r="5485" spans="1:13" x14ac:dyDescent="0.25">
      <c r="A5485" s="417" t="s">
        <v>3385</v>
      </c>
      <c r="B5485" s="417" t="s">
        <v>2437</v>
      </c>
      <c r="C5485" s="417" t="s">
        <v>13436</v>
      </c>
      <c r="D5485" s="417" t="s">
        <v>989</v>
      </c>
      <c r="E5485" s="423">
        <v>13310.244677781549</v>
      </c>
      <c r="F5485" s="423">
        <v>625.89998095961823</v>
      </c>
      <c r="G5485" s="422">
        <v>26306368.592572451</v>
      </c>
      <c r="H5485" s="417" t="s">
        <v>2616</v>
      </c>
      <c r="I5485" s="417" t="s">
        <v>1392</v>
      </c>
      <c r="J5485" s="417" t="s">
        <v>4167</v>
      </c>
      <c r="K5485" s="417" t="s">
        <v>13437</v>
      </c>
      <c r="L5485" s="417"/>
      <c r="M5485" s="417" t="s">
        <v>28840</v>
      </c>
    </row>
    <row r="5486" spans="1:13" x14ac:dyDescent="0.25">
      <c r="A5486" s="417" t="s">
        <v>3385</v>
      </c>
      <c r="B5486" s="417" t="s">
        <v>2437</v>
      </c>
      <c r="C5486" s="417" t="s">
        <v>13438</v>
      </c>
      <c r="D5486" s="417" t="s">
        <v>989</v>
      </c>
      <c r="E5486" s="423">
        <v>13568.91432319759</v>
      </c>
      <c r="F5486" s="423">
        <v>637.93827247760623</v>
      </c>
      <c r="G5486" s="422">
        <v>26995889.976912841</v>
      </c>
      <c r="H5486" s="417" t="s">
        <v>2616</v>
      </c>
      <c r="I5486" s="417" t="s">
        <v>1392</v>
      </c>
      <c r="J5486" s="417" t="s">
        <v>4167</v>
      </c>
      <c r="K5486" s="417" t="s">
        <v>13439</v>
      </c>
      <c r="L5486" s="417"/>
      <c r="M5486" s="417" t="s">
        <v>28840</v>
      </c>
    </row>
    <row r="5487" spans="1:13" x14ac:dyDescent="0.25">
      <c r="A5487" s="417" t="s">
        <v>3385</v>
      </c>
      <c r="B5487" s="417" t="s">
        <v>2437</v>
      </c>
      <c r="C5487" s="417" t="s">
        <v>603</v>
      </c>
      <c r="D5487" s="417" t="s">
        <v>989</v>
      </c>
      <c r="E5487" s="423">
        <v>13319.34070350904</v>
      </c>
      <c r="F5487" s="423">
        <v>628.89200500166987</v>
      </c>
      <c r="G5487" s="422">
        <v>26499999.498556688</v>
      </c>
      <c r="H5487" s="417" t="s">
        <v>2616</v>
      </c>
      <c r="I5487" s="417" t="s">
        <v>28985</v>
      </c>
      <c r="J5487" s="417" t="s">
        <v>4167</v>
      </c>
      <c r="K5487" s="417" t="s">
        <v>13440</v>
      </c>
      <c r="L5487" s="417"/>
      <c r="M5487" s="417" t="s">
        <v>28840</v>
      </c>
    </row>
    <row r="5488" spans="1:13" x14ac:dyDescent="0.25">
      <c r="A5488" s="417" t="s">
        <v>3385</v>
      </c>
      <c r="B5488" s="417" t="s">
        <v>2437</v>
      </c>
      <c r="C5488" s="417" t="s">
        <v>13441</v>
      </c>
      <c r="D5488" s="417" t="s">
        <v>989</v>
      </c>
      <c r="E5488" s="423">
        <v>13058.9909020512</v>
      </c>
      <c r="F5488" s="423">
        <v>619.13820232985915</v>
      </c>
      <c r="G5488" s="422">
        <v>25970815.862860162</v>
      </c>
      <c r="H5488" s="417" t="s">
        <v>2616</v>
      </c>
      <c r="I5488" s="417" t="s">
        <v>1392</v>
      </c>
      <c r="J5488" s="417" t="s">
        <v>4167</v>
      </c>
      <c r="K5488" s="417" t="s">
        <v>13442</v>
      </c>
      <c r="L5488" s="417"/>
      <c r="M5488" s="417" t="s">
        <v>28840</v>
      </c>
    </row>
    <row r="5489" spans="1:13" x14ac:dyDescent="0.25">
      <c r="A5489" s="417" t="s">
        <v>3385</v>
      </c>
      <c r="B5489" s="417" t="s">
        <v>2437</v>
      </c>
      <c r="C5489" s="417" t="s">
        <v>13443</v>
      </c>
      <c r="D5489" s="417" t="s">
        <v>989</v>
      </c>
      <c r="E5489" s="423">
        <v>19425.008605150979</v>
      </c>
      <c r="F5489" s="423">
        <v>950.11220318860092</v>
      </c>
      <c r="G5489" s="422">
        <v>39637895.272790641</v>
      </c>
      <c r="H5489" s="417" t="s">
        <v>2616</v>
      </c>
      <c r="I5489" s="417" t="s">
        <v>1392</v>
      </c>
      <c r="J5489" s="417" t="s">
        <v>4167</v>
      </c>
      <c r="K5489" s="417" t="s">
        <v>13444</v>
      </c>
      <c r="L5489" s="417"/>
      <c r="M5489" s="417" t="s">
        <v>28840</v>
      </c>
    </row>
    <row r="5490" spans="1:13" x14ac:dyDescent="0.25">
      <c r="A5490" s="417" t="s">
        <v>3385</v>
      </c>
      <c r="B5490" s="417" t="s">
        <v>2437</v>
      </c>
      <c r="C5490" s="417" t="s">
        <v>13445</v>
      </c>
      <c r="D5490" s="417" t="s">
        <v>989</v>
      </c>
      <c r="E5490" s="423">
        <v>19190.42535374115</v>
      </c>
      <c r="F5490" s="423">
        <v>941.37368462689813</v>
      </c>
      <c r="G5490" s="422">
        <v>39165489.56925077</v>
      </c>
      <c r="H5490" s="417" t="s">
        <v>2616</v>
      </c>
      <c r="I5490" s="417" t="s">
        <v>1392</v>
      </c>
      <c r="J5490" s="417" t="s">
        <v>4167</v>
      </c>
      <c r="K5490" s="417" t="s">
        <v>13446</v>
      </c>
      <c r="L5490" s="417"/>
      <c r="M5490" s="417" t="s">
        <v>28840</v>
      </c>
    </row>
    <row r="5491" spans="1:13" x14ac:dyDescent="0.25">
      <c r="A5491" s="417" t="s">
        <v>3385</v>
      </c>
      <c r="B5491" s="417" t="s">
        <v>2437</v>
      </c>
      <c r="C5491" s="417" t="s">
        <v>13447</v>
      </c>
      <c r="D5491" s="417" t="s">
        <v>989</v>
      </c>
      <c r="E5491" s="423">
        <v>18951.35386826727</v>
      </c>
      <c r="F5491" s="423">
        <v>932.18351930542281</v>
      </c>
      <c r="G5491" s="422">
        <v>38672483.794027403</v>
      </c>
      <c r="H5491" s="417" t="s">
        <v>2616</v>
      </c>
      <c r="I5491" s="417" t="s">
        <v>1392</v>
      </c>
      <c r="J5491" s="417" t="s">
        <v>4167</v>
      </c>
      <c r="K5491" s="417" t="s">
        <v>13448</v>
      </c>
      <c r="L5491" s="417"/>
      <c r="M5491" s="417" t="s">
        <v>28840</v>
      </c>
    </row>
    <row r="5492" spans="1:13" x14ac:dyDescent="0.25">
      <c r="A5492" s="417" t="s">
        <v>3385</v>
      </c>
      <c r="B5492" s="417" t="s">
        <v>2437</v>
      </c>
      <c r="C5492" s="417" t="s">
        <v>13449</v>
      </c>
      <c r="D5492" s="417" t="s">
        <v>989</v>
      </c>
      <c r="E5492" s="423">
        <v>22026.132977612499</v>
      </c>
      <c r="F5492" s="423">
        <v>1091.178444035628</v>
      </c>
      <c r="G5492" s="422">
        <v>44611284.981918126</v>
      </c>
      <c r="H5492" s="417" t="s">
        <v>2616</v>
      </c>
      <c r="I5492" s="417" t="s">
        <v>1392</v>
      </c>
      <c r="J5492" s="417" t="s">
        <v>4167</v>
      </c>
      <c r="K5492" s="417" t="s">
        <v>13450</v>
      </c>
      <c r="L5492" s="417"/>
      <c r="M5492" s="417" t="s">
        <v>28840</v>
      </c>
    </row>
    <row r="5493" spans="1:13" x14ac:dyDescent="0.25">
      <c r="A5493" s="417" t="s">
        <v>3385</v>
      </c>
      <c r="B5493" s="417" t="s">
        <v>2437</v>
      </c>
      <c r="C5493" s="417" t="s">
        <v>13451</v>
      </c>
      <c r="D5493" s="417" t="s">
        <v>989</v>
      </c>
      <c r="E5493" s="423">
        <v>21792.46417243424</v>
      </c>
      <c r="F5493" s="423">
        <v>1082.4750321146551</v>
      </c>
      <c r="G5493" s="422">
        <v>44141026.74937427</v>
      </c>
      <c r="H5493" s="417" t="s">
        <v>2616</v>
      </c>
      <c r="I5493" s="417" t="s">
        <v>1392</v>
      </c>
      <c r="J5493" s="417" t="s">
        <v>4167</v>
      </c>
      <c r="K5493" s="417" t="s">
        <v>13452</v>
      </c>
      <c r="L5493" s="417"/>
      <c r="M5493" s="417" t="s">
        <v>28840</v>
      </c>
    </row>
    <row r="5494" spans="1:13" x14ac:dyDescent="0.25">
      <c r="A5494" s="417" t="s">
        <v>3385</v>
      </c>
      <c r="B5494" s="417" t="s">
        <v>2437</v>
      </c>
      <c r="C5494" s="417" t="s">
        <v>13453</v>
      </c>
      <c r="D5494" s="417" t="s">
        <v>989</v>
      </c>
      <c r="E5494" s="423">
        <v>21559.543014484629</v>
      </c>
      <c r="F5494" s="423">
        <v>1073.5296771077381</v>
      </c>
      <c r="G5494" s="422">
        <v>43661220.336010084</v>
      </c>
      <c r="H5494" s="417" t="s">
        <v>2616</v>
      </c>
      <c r="I5494" s="417" t="s">
        <v>1392</v>
      </c>
      <c r="J5494" s="417" t="s">
        <v>4167</v>
      </c>
      <c r="K5494" s="417" t="s">
        <v>13454</v>
      </c>
      <c r="L5494" s="417"/>
      <c r="M5494" s="417" t="s">
        <v>28840</v>
      </c>
    </row>
    <row r="5495" spans="1:13" x14ac:dyDescent="0.25">
      <c r="A5495" s="417" t="s">
        <v>3385</v>
      </c>
      <c r="B5495" s="417" t="s">
        <v>2437</v>
      </c>
      <c r="C5495" s="417" t="s">
        <v>13455</v>
      </c>
      <c r="D5495" s="417" t="s">
        <v>989</v>
      </c>
      <c r="E5495" s="423">
        <v>24591.516958653319</v>
      </c>
      <c r="F5495" s="423">
        <v>1230.67092009404</v>
      </c>
      <c r="G5495" s="422">
        <v>49517619.396570317</v>
      </c>
      <c r="H5495" s="417" t="s">
        <v>2616</v>
      </c>
      <c r="I5495" s="417" t="s">
        <v>1392</v>
      </c>
      <c r="J5495" s="417" t="s">
        <v>4167</v>
      </c>
      <c r="K5495" s="417" t="s">
        <v>13456</v>
      </c>
      <c r="L5495" s="417"/>
      <c r="M5495" s="417" t="s">
        <v>28840</v>
      </c>
    </row>
    <row r="5496" spans="1:13" x14ac:dyDescent="0.25">
      <c r="A5496" s="417" t="s">
        <v>3385</v>
      </c>
      <c r="B5496" s="417" t="s">
        <v>2437</v>
      </c>
      <c r="C5496" s="417" t="s">
        <v>13457</v>
      </c>
      <c r="D5496" s="417" t="s">
        <v>989</v>
      </c>
      <c r="E5496" s="423">
        <v>24360.027734259082</v>
      </c>
      <c r="F5496" s="423">
        <v>1222.053116378811</v>
      </c>
      <c r="G5496" s="422">
        <v>49052203.236102112</v>
      </c>
      <c r="H5496" s="417" t="s">
        <v>2616</v>
      </c>
      <c r="I5496" s="417" t="s">
        <v>1392</v>
      </c>
      <c r="J5496" s="417" t="s">
        <v>4167</v>
      </c>
      <c r="K5496" s="417" t="s">
        <v>13458</v>
      </c>
      <c r="L5496" s="417"/>
      <c r="M5496" s="417" t="s">
        <v>28840</v>
      </c>
    </row>
    <row r="5497" spans="1:13" x14ac:dyDescent="0.25">
      <c r="A5497" s="417" t="s">
        <v>3385</v>
      </c>
      <c r="B5497" s="417" t="s">
        <v>2437</v>
      </c>
      <c r="C5497" s="417" t="s">
        <v>13459</v>
      </c>
      <c r="D5497" s="417" t="s">
        <v>989</v>
      </c>
      <c r="E5497" s="423">
        <v>24124.898996827611</v>
      </c>
      <c r="F5497" s="423">
        <v>1213.11419102848</v>
      </c>
      <c r="G5497" s="422">
        <v>48570842.273989417</v>
      </c>
      <c r="H5497" s="417" t="s">
        <v>2616</v>
      </c>
      <c r="I5497" s="417" t="s">
        <v>1392</v>
      </c>
      <c r="J5497" s="417" t="s">
        <v>4167</v>
      </c>
      <c r="K5497" s="417" t="s">
        <v>13460</v>
      </c>
      <c r="L5497" s="417"/>
      <c r="M5497" s="417" t="s">
        <v>28840</v>
      </c>
    </row>
    <row r="5498" spans="1:13" x14ac:dyDescent="0.25">
      <c r="A5498" s="417" t="s">
        <v>3385</v>
      </c>
      <c r="B5498" s="417" t="s">
        <v>2437</v>
      </c>
      <c r="C5498" s="417" t="s">
        <v>13461</v>
      </c>
      <c r="D5498" s="417" t="s">
        <v>989</v>
      </c>
      <c r="E5498" s="423">
        <v>24452.816195445172</v>
      </c>
      <c r="F5498" s="423">
        <v>1227.868275664737</v>
      </c>
      <c r="G5498" s="422">
        <v>49507721.218477003</v>
      </c>
      <c r="H5498" s="417" t="s">
        <v>2616</v>
      </c>
      <c r="I5498" s="417" t="s">
        <v>1392</v>
      </c>
      <c r="J5498" s="417" t="s">
        <v>4167</v>
      </c>
      <c r="K5498" s="417" t="s">
        <v>13462</v>
      </c>
      <c r="L5498" s="417"/>
      <c r="M5498" s="417" t="s">
        <v>28840</v>
      </c>
    </row>
    <row r="5499" spans="1:13" x14ac:dyDescent="0.25">
      <c r="A5499" s="417" t="s">
        <v>3385</v>
      </c>
      <c r="B5499" s="417" t="s">
        <v>2437</v>
      </c>
      <c r="C5499" s="417" t="s">
        <v>605</v>
      </c>
      <c r="D5499" s="417" t="s">
        <v>989</v>
      </c>
      <c r="E5499" s="423">
        <v>24229.860221190931</v>
      </c>
      <c r="F5499" s="423">
        <v>1219.4965500767671</v>
      </c>
      <c r="G5499" s="422">
        <v>49057332.47980763</v>
      </c>
      <c r="H5499" s="417" t="s">
        <v>2616</v>
      </c>
      <c r="I5499" s="417" t="s">
        <v>28985</v>
      </c>
      <c r="J5499" s="417" t="s">
        <v>4167</v>
      </c>
      <c r="K5499" s="417" t="s">
        <v>13463</v>
      </c>
      <c r="L5499" s="417"/>
      <c r="M5499" s="417" t="s">
        <v>28840</v>
      </c>
    </row>
    <row r="5500" spans="1:13" x14ac:dyDescent="0.25">
      <c r="A5500" s="417" t="s">
        <v>3385</v>
      </c>
      <c r="B5500" s="417" t="s">
        <v>2437</v>
      </c>
      <c r="C5500" s="417" t="s">
        <v>13464</v>
      </c>
      <c r="D5500" s="417" t="s">
        <v>989</v>
      </c>
      <c r="E5500" s="423">
        <v>23990.93608089587</v>
      </c>
      <c r="F5500" s="423">
        <v>1210.406120058442</v>
      </c>
      <c r="G5500" s="422">
        <v>48567887.789150894</v>
      </c>
      <c r="H5500" s="417" t="s">
        <v>2616</v>
      </c>
      <c r="I5500" s="417" t="s">
        <v>1392</v>
      </c>
      <c r="J5500" s="417" t="s">
        <v>4167</v>
      </c>
      <c r="K5500" s="417" t="s">
        <v>13465</v>
      </c>
      <c r="L5500" s="417"/>
      <c r="M5500" s="417" t="s">
        <v>28840</v>
      </c>
    </row>
    <row r="5501" spans="1:13" x14ac:dyDescent="0.25">
      <c r="A5501" s="417" t="s">
        <v>3385</v>
      </c>
      <c r="B5501" s="417" t="s">
        <v>2437</v>
      </c>
      <c r="C5501" s="417" t="s">
        <v>13466</v>
      </c>
      <c r="D5501" s="417" t="s">
        <v>989</v>
      </c>
      <c r="E5501" s="423">
        <v>19833.152838818569</v>
      </c>
      <c r="F5501" s="423">
        <v>862.73482872336513</v>
      </c>
      <c r="G5501" s="422">
        <v>49269721.86871212</v>
      </c>
      <c r="H5501" s="417" t="s">
        <v>2616</v>
      </c>
      <c r="I5501" s="417" t="s">
        <v>1392</v>
      </c>
      <c r="J5501" s="417" t="s">
        <v>4167</v>
      </c>
      <c r="K5501" s="417" t="s">
        <v>13467</v>
      </c>
      <c r="L5501" s="417"/>
      <c r="M5501" s="417" t="s">
        <v>28840</v>
      </c>
    </row>
    <row r="5502" spans="1:13" x14ac:dyDescent="0.25">
      <c r="A5502" s="417" t="s">
        <v>3385</v>
      </c>
      <c r="B5502" s="417" t="s">
        <v>2437</v>
      </c>
      <c r="C5502" s="417" t="s">
        <v>13468</v>
      </c>
      <c r="D5502" s="417" t="s">
        <v>989</v>
      </c>
      <c r="E5502" s="423">
        <v>15810.583900638971</v>
      </c>
      <c r="F5502" s="423">
        <v>728.2639359109919</v>
      </c>
      <c r="G5502" s="422">
        <v>38201962.835190684</v>
      </c>
      <c r="H5502" s="417" t="s">
        <v>2616</v>
      </c>
      <c r="I5502" s="417" t="s">
        <v>1392</v>
      </c>
      <c r="J5502" s="417" t="s">
        <v>4167</v>
      </c>
      <c r="K5502" s="417" t="s">
        <v>13469</v>
      </c>
      <c r="L5502" s="417"/>
      <c r="M5502" s="417" t="s">
        <v>28840</v>
      </c>
    </row>
    <row r="5503" spans="1:13" x14ac:dyDescent="0.25">
      <c r="A5503" s="417" t="s">
        <v>3385</v>
      </c>
      <c r="B5503" s="417" t="s">
        <v>2437</v>
      </c>
      <c r="C5503" s="417" t="s">
        <v>13470</v>
      </c>
      <c r="D5503" s="417" t="s">
        <v>989</v>
      </c>
      <c r="E5503" s="423">
        <v>14735.65483731003</v>
      </c>
      <c r="F5503" s="423">
        <v>681.04739726663354</v>
      </c>
      <c r="G5503" s="422">
        <v>34723877.087513827</v>
      </c>
      <c r="H5503" s="417" t="s">
        <v>2616</v>
      </c>
      <c r="I5503" s="417" t="s">
        <v>1392</v>
      </c>
      <c r="J5503" s="417" t="s">
        <v>4167</v>
      </c>
      <c r="K5503" s="417" t="s">
        <v>13471</v>
      </c>
      <c r="L5503" s="417"/>
      <c r="M5503" s="417" t="s">
        <v>28840</v>
      </c>
    </row>
    <row r="5504" spans="1:13" x14ac:dyDescent="0.25">
      <c r="A5504" s="417" t="s">
        <v>3385</v>
      </c>
      <c r="B5504" s="417" t="s">
        <v>2437</v>
      </c>
      <c r="C5504" s="417" t="s">
        <v>13472</v>
      </c>
      <c r="D5504" s="417" t="s">
        <v>989</v>
      </c>
      <c r="E5504" s="423">
        <v>35070.433060787916</v>
      </c>
      <c r="F5504" s="423">
        <v>1594.6122159261561</v>
      </c>
      <c r="G5504" s="422">
        <v>83578906.50246267</v>
      </c>
      <c r="H5504" s="417" t="s">
        <v>2616</v>
      </c>
      <c r="I5504" s="417" t="s">
        <v>1392</v>
      </c>
      <c r="J5504" s="417" t="s">
        <v>4167</v>
      </c>
      <c r="K5504" s="417" t="s">
        <v>13473</v>
      </c>
      <c r="L5504" s="417"/>
      <c r="M5504" s="417" t="s">
        <v>28840</v>
      </c>
    </row>
    <row r="5505" spans="1:13" x14ac:dyDescent="0.25">
      <c r="A5505" s="417" t="s">
        <v>3385</v>
      </c>
      <c r="B5505" s="417" t="s">
        <v>2437</v>
      </c>
      <c r="C5505" s="417" t="s">
        <v>13474</v>
      </c>
      <c r="D5505" s="417" t="s">
        <v>989</v>
      </c>
      <c r="E5505" s="423">
        <v>27490.41193788921</v>
      </c>
      <c r="F5505" s="423">
        <v>1346.1965935186929</v>
      </c>
      <c r="G5505" s="422">
        <v>62947559.269020148</v>
      </c>
      <c r="H5505" s="417" t="s">
        <v>2616</v>
      </c>
      <c r="I5505" s="417" t="s">
        <v>1392</v>
      </c>
      <c r="J5505" s="417" t="s">
        <v>4167</v>
      </c>
      <c r="K5505" s="417" t="s">
        <v>13475</v>
      </c>
      <c r="L5505" s="417"/>
      <c r="M5505" s="417" t="s">
        <v>28840</v>
      </c>
    </row>
    <row r="5506" spans="1:13" x14ac:dyDescent="0.25">
      <c r="A5506" s="417" t="s">
        <v>3385</v>
      </c>
      <c r="B5506" s="417" t="s">
        <v>2437</v>
      </c>
      <c r="C5506" s="417" t="s">
        <v>13476</v>
      </c>
      <c r="D5506" s="417" t="s">
        <v>989</v>
      </c>
      <c r="E5506" s="423">
        <v>25769.937218042909</v>
      </c>
      <c r="F5506" s="423">
        <v>1270.5153758504171</v>
      </c>
      <c r="G5506" s="422">
        <v>57388732.251386844</v>
      </c>
      <c r="H5506" s="417" t="s">
        <v>2616</v>
      </c>
      <c r="I5506" s="417" t="s">
        <v>1392</v>
      </c>
      <c r="J5506" s="417" t="s">
        <v>4167</v>
      </c>
      <c r="K5506" s="417" t="s">
        <v>13477</v>
      </c>
      <c r="L5506" s="417"/>
      <c r="M5506" s="417" t="s">
        <v>28840</v>
      </c>
    </row>
    <row r="5507" spans="1:13" x14ac:dyDescent="0.25">
      <c r="A5507" s="417" t="s">
        <v>3385</v>
      </c>
      <c r="B5507" s="417" t="s">
        <v>2437</v>
      </c>
      <c r="C5507" s="417" t="s">
        <v>13478</v>
      </c>
      <c r="D5507" s="417" t="s">
        <v>989</v>
      </c>
      <c r="E5507" s="423">
        <v>14128.640413801741</v>
      </c>
      <c r="F5507" s="423">
        <v>677.33633389928832</v>
      </c>
      <c r="G5507" s="422">
        <v>31592152.64329613</v>
      </c>
      <c r="H5507" s="417" t="s">
        <v>2616</v>
      </c>
      <c r="I5507" s="417" t="s">
        <v>1392</v>
      </c>
      <c r="J5507" s="417" t="s">
        <v>4167</v>
      </c>
      <c r="K5507" s="417" t="s">
        <v>13479</v>
      </c>
      <c r="L5507" s="417"/>
      <c r="M5507" s="417" t="s">
        <v>28840</v>
      </c>
    </row>
    <row r="5508" spans="1:13" x14ac:dyDescent="0.25">
      <c r="A5508" s="417" t="s">
        <v>3385</v>
      </c>
      <c r="B5508" s="417" t="s">
        <v>2437</v>
      </c>
      <c r="C5508" s="417" t="s">
        <v>13480</v>
      </c>
      <c r="D5508" s="417" t="s">
        <v>989</v>
      </c>
      <c r="E5508" s="423">
        <v>26035.131413834752</v>
      </c>
      <c r="F5508" s="423">
        <v>1308.3612209097951</v>
      </c>
      <c r="G5508" s="422">
        <v>57116337.479528509</v>
      </c>
      <c r="H5508" s="417" t="s">
        <v>2616</v>
      </c>
      <c r="I5508" s="417" t="s">
        <v>1392</v>
      </c>
      <c r="J5508" s="417" t="s">
        <v>4167</v>
      </c>
      <c r="K5508" s="417" t="s">
        <v>13481</v>
      </c>
      <c r="L5508" s="417"/>
      <c r="M5508" s="417" t="s">
        <v>28840</v>
      </c>
    </row>
    <row r="5509" spans="1:13" x14ac:dyDescent="0.25">
      <c r="A5509" s="417" t="s">
        <v>3385</v>
      </c>
      <c r="B5509" s="417" t="s">
        <v>2627</v>
      </c>
      <c r="C5509" s="417" t="s">
        <v>13482</v>
      </c>
      <c r="D5509" s="417" t="s">
        <v>88</v>
      </c>
      <c r="E5509" s="423">
        <v>187.56361410254991</v>
      </c>
      <c r="F5509" s="423">
        <v>7.7683418965753717</v>
      </c>
      <c r="G5509" s="422">
        <v>328055.68316493463</v>
      </c>
      <c r="H5509" s="417" t="s">
        <v>2616</v>
      </c>
      <c r="I5509" s="417" t="s">
        <v>1392</v>
      </c>
      <c r="J5509" s="417" t="s">
        <v>3699</v>
      </c>
      <c r="K5509" s="417" t="s">
        <v>13483</v>
      </c>
      <c r="L5509" s="417"/>
      <c r="M5509" s="417" t="s">
        <v>28840</v>
      </c>
    </row>
    <row r="5510" spans="1:13" x14ac:dyDescent="0.25">
      <c r="A5510" s="417" t="s">
        <v>3385</v>
      </c>
      <c r="B5510" s="417" t="s">
        <v>2627</v>
      </c>
      <c r="C5510" s="417" t="s">
        <v>13484</v>
      </c>
      <c r="D5510" s="417" t="s">
        <v>88</v>
      </c>
      <c r="E5510" s="423">
        <v>0.9086830230473677</v>
      </c>
      <c r="F5510" s="423">
        <v>6.1373242258268039E-3</v>
      </c>
      <c r="G5510" s="422">
        <v>1739.5557971356361</v>
      </c>
      <c r="H5510" s="417" t="s">
        <v>2616</v>
      </c>
      <c r="I5510" s="417" t="s">
        <v>1392</v>
      </c>
      <c r="J5510" s="417" t="s">
        <v>4123</v>
      </c>
      <c r="K5510" s="417" t="s">
        <v>13485</v>
      </c>
      <c r="L5510" s="417"/>
      <c r="M5510" s="417" t="s">
        <v>28840</v>
      </c>
    </row>
    <row r="5511" spans="1:13" x14ac:dyDescent="0.25">
      <c r="A5511" s="417" t="s">
        <v>3385</v>
      </c>
      <c r="B5511" s="417" t="s">
        <v>2627</v>
      </c>
      <c r="C5511" s="417" t="s">
        <v>13486</v>
      </c>
      <c r="D5511" s="417" t="s">
        <v>88</v>
      </c>
      <c r="E5511" s="423">
        <v>0.85155375236526265</v>
      </c>
      <c r="F5511" s="423">
        <v>7.603766755398071E-3</v>
      </c>
      <c r="G5511" s="422">
        <v>1637.176494967885</v>
      </c>
      <c r="H5511" s="417" t="s">
        <v>2616</v>
      </c>
      <c r="I5511" s="417" t="s">
        <v>1392</v>
      </c>
      <c r="J5511" s="417" t="s">
        <v>4123</v>
      </c>
      <c r="K5511" s="417" t="s">
        <v>13487</v>
      </c>
      <c r="L5511" s="417"/>
      <c r="M5511" s="417" t="s">
        <v>28840</v>
      </c>
    </row>
    <row r="5512" spans="1:13" x14ac:dyDescent="0.25">
      <c r="A5512" s="417" t="s">
        <v>3385</v>
      </c>
      <c r="B5512" s="417" t="s">
        <v>2627</v>
      </c>
      <c r="C5512" s="417" t="s">
        <v>13488</v>
      </c>
      <c r="D5512" s="417" t="s">
        <v>88</v>
      </c>
      <c r="E5512" s="423">
        <v>0.90208871308846639</v>
      </c>
      <c r="F5512" s="423">
        <v>1.065748182954045E-2</v>
      </c>
      <c r="G5512" s="422">
        <v>1747.9611823223629</v>
      </c>
      <c r="H5512" s="417" t="s">
        <v>2616</v>
      </c>
      <c r="I5512" s="417" t="s">
        <v>1392</v>
      </c>
      <c r="J5512" s="417" t="s">
        <v>5765</v>
      </c>
      <c r="K5512" s="417" t="s">
        <v>13489</v>
      </c>
      <c r="L5512" s="417"/>
      <c r="M5512" s="417" t="s">
        <v>28840</v>
      </c>
    </row>
    <row r="5513" spans="1:13" x14ac:dyDescent="0.25">
      <c r="A5513" s="417" t="s">
        <v>3385</v>
      </c>
      <c r="B5513" s="417" t="s">
        <v>2627</v>
      </c>
      <c r="C5513" s="417" t="s">
        <v>13490</v>
      </c>
      <c r="D5513" s="417" t="s">
        <v>88</v>
      </c>
      <c r="E5513" s="423">
        <v>0.90421433746814617</v>
      </c>
      <c r="F5513" s="423">
        <v>1.310858184917049E-2</v>
      </c>
      <c r="G5513" s="422">
        <v>1741.3665383691109</v>
      </c>
      <c r="H5513" s="417" t="s">
        <v>2616</v>
      </c>
      <c r="I5513" s="417" t="s">
        <v>1392</v>
      </c>
      <c r="J5513" s="417" t="s">
        <v>5765</v>
      </c>
      <c r="K5513" s="417" t="s">
        <v>13491</v>
      </c>
      <c r="L5513" s="417"/>
      <c r="M5513" s="417" t="s">
        <v>28840</v>
      </c>
    </row>
    <row r="5514" spans="1:13" x14ac:dyDescent="0.25">
      <c r="A5514" s="417" t="s">
        <v>3385</v>
      </c>
      <c r="B5514" s="417" t="s">
        <v>3405</v>
      </c>
      <c r="C5514" s="417" t="s">
        <v>13492</v>
      </c>
      <c r="D5514" s="417" t="s">
        <v>73</v>
      </c>
      <c r="E5514" s="423">
        <v>9.5469789676469519E-2</v>
      </c>
      <c r="F5514" s="423">
        <v>2.9906185449251108E-4</v>
      </c>
      <c r="G5514" s="422">
        <v>119.8500255689702</v>
      </c>
      <c r="H5514" s="417" t="s">
        <v>2616</v>
      </c>
      <c r="I5514" s="417" t="s">
        <v>1392</v>
      </c>
      <c r="J5514" s="417" t="s">
        <v>4694</v>
      </c>
      <c r="K5514" s="417" t="s">
        <v>13493</v>
      </c>
      <c r="L5514" s="417"/>
      <c r="M5514" s="417" t="s">
        <v>28840</v>
      </c>
    </row>
    <row r="5515" spans="1:13" x14ac:dyDescent="0.25">
      <c r="A5515" s="417" t="s">
        <v>3385</v>
      </c>
      <c r="B5515" s="417" t="s">
        <v>3405</v>
      </c>
      <c r="C5515" s="417" t="s">
        <v>13494</v>
      </c>
      <c r="D5515" s="417" t="s">
        <v>73</v>
      </c>
      <c r="E5515" s="423">
        <v>9.5460554548288737E-2</v>
      </c>
      <c r="F5515" s="423">
        <v>2.9926235357201851E-4</v>
      </c>
      <c r="G5515" s="422">
        <v>119.8081076359</v>
      </c>
      <c r="H5515" s="417" t="s">
        <v>2616</v>
      </c>
      <c r="I5515" s="417" t="s">
        <v>1392</v>
      </c>
      <c r="J5515" s="417" t="s">
        <v>4694</v>
      </c>
      <c r="K5515" s="417" t="s">
        <v>13495</v>
      </c>
      <c r="L5515" s="417"/>
      <c r="M5515" s="417" t="s">
        <v>28840</v>
      </c>
    </row>
    <row r="5516" spans="1:13" x14ac:dyDescent="0.25">
      <c r="A5516" s="417" t="s">
        <v>3385</v>
      </c>
      <c r="B5516" s="417" t="s">
        <v>3405</v>
      </c>
      <c r="C5516" s="417" t="s">
        <v>13496</v>
      </c>
      <c r="D5516" s="417" t="s">
        <v>73</v>
      </c>
      <c r="E5516" s="423">
        <v>9.546055787247551E-2</v>
      </c>
      <c r="F5516" s="423">
        <v>2.9925980413206331E-4</v>
      </c>
      <c r="G5516" s="422">
        <v>119.43249868897939</v>
      </c>
      <c r="H5516" s="417" t="s">
        <v>2616</v>
      </c>
      <c r="I5516" s="417" t="s">
        <v>1392</v>
      </c>
      <c r="J5516" s="417" t="s">
        <v>4694</v>
      </c>
      <c r="K5516" s="417" t="s">
        <v>13497</v>
      </c>
      <c r="L5516" s="417"/>
      <c r="M5516" s="417" t="s">
        <v>28840</v>
      </c>
    </row>
    <row r="5517" spans="1:13" x14ac:dyDescent="0.25">
      <c r="A5517" s="417" t="s">
        <v>3385</v>
      </c>
      <c r="B5517" s="417" t="s">
        <v>3405</v>
      </c>
      <c r="C5517" s="417" t="s">
        <v>13498</v>
      </c>
      <c r="D5517" s="417" t="s">
        <v>73</v>
      </c>
      <c r="E5517" s="423">
        <v>9.5456704783849877E-2</v>
      </c>
      <c r="F5517" s="423">
        <v>2.9863746898867838E-4</v>
      </c>
      <c r="G5517" s="422">
        <v>119.8127131858452</v>
      </c>
      <c r="H5517" s="417" t="s">
        <v>2616</v>
      </c>
      <c r="I5517" s="417" t="s">
        <v>1392</v>
      </c>
      <c r="J5517" s="417" t="s">
        <v>4694</v>
      </c>
      <c r="K5517" s="417" t="s">
        <v>13499</v>
      </c>
      <c r="L5517" s="417"/>
      <c r="M5517" s="417" t="s">
        <v>28840</v>
      </c>
    </row>
    <row r="5518" spans="1:13" x14ac:dyDescent="0.25">
      <c r="A5518" s="417" t="s">
        <v>3385</v>
      </c>
      <c r="B5518" s="417" t="s">
        <v>3405</v>
      </c>
      <c r="C5518" s="417" t="s">
        <v>13500</v>
      </c>
      <c r="D5518" s="417" t="s">
        <v>73</v>
      </c>
      <c r="E5518" s="423">
        <v>9.6441494903300728E-2</v>
      </c>
      <c r="F5518" s="423">
        <v>3.7009075798817922E-4</v>
      </c>
      <c r="G5518" s="422">
        <v>122.3969552071769</v>
      </c>
      <c r="H5518" s="417" t="s">
        <v>2616</v>
      </c>
      <c r="I5518" s="417" t="s">
        <v>1392</v>
      </c>
      <c r="J5518" s="417" t="s">
        <v>4694</v>
      </c>
      <c r="K5518" s="417" t="s">
        <v>13501</v>
      </c>
      <c r="L5518" s="417"/>
      <c r="M5518" s="417" t="s">
        <v>28840</v>
      </c>
    </row>
    <row r="5519" spans="1:13" x14ac:dyDescent="0.25">
      <c r="A5519" s="417" t="s">
        <v>3385</v>
      </c>
      <c r="B5519" s="417" t="s">
        <v>3405</v>
      </c>
      <c r="C5519" s="417" t="s">
        <v>13502</v>
      </c>
      <c r="D5519" s="417" t="s">
        <v>73</v>
      </c>
      <c r="E5519" s="423">
        <v>9.6351368511101029E-2</v>
      </c>
      <c r="F5519" s="423">
        <v>3.5073683484285759E-4</v>
      </c>
      <c r="G5519" s="422">
        <v>121.6745449208543</v>
      </c>
      <c r="H5519" s="417" t="s">
        <v>2616</v>
      </c>
      <c r="I5519" s="417" t="s">
        <v>1392</v>
      </c>
      <c r="J5519" s="417" t="s">
        <v>4694</v>
      </c>
      <c r="K5519" s="417" t="s">
        <v>13503</v>
      </c>
      <c r="L5519" s="417"/>
      <c r="M5519" s="417" t="s">
        <v>28840</v>
      </c>
    </row>
    <row r="5520" spans="1:13" x14ac:dyDescent="0.25">
      <c r="A5520" s="417" t="s">
        <v>3385</v>
      </c>
      <c r="B5520" s="417" t="s">
        <v>3405</v>
      </c>
      <c r="C5520" s="417" t="s">
        <v>13504</v>
      </c>
      <c r="D5520" s="417" t="s">
        <v>73</v>
      </c>
      <c r="E5520" s="423">
        <v>9.6351368511013086E-2</v>
      </c>
      <c r="F5520" s="423">
        <v>3.5073683484324871E-4</v>
      </c>
      <c r="G5520" s="422">
        <v>121.34547692369721</v>
      </c>
      <c r="H5520" s="417" t="s">
        <v>2616</v>
      </c>
      <c r="I5520" s="417" t="s">
        <v>1392</v>
      </c>
      <c r="J5520" s="417" t="s">
        <v>4694</v>
      </c>
      <c r="K5520" s="417" t="s">
        <v>13505</v>
      </c>
      <c r="L5520" s="417"/>
      <c r="M5520" s="417" t="s">
        <v>28840</v>
      </c>
    </row>
    <row r="5521" spans="1:13" x14ac:dyDescent="0.25">
      <c r="A5521" s="417" t="s">
        <v>3385</v>
      </c>
      <c r="B5521" s="417" t="s">
        <v>3405</v>
      </c>
      <c r="C5521" s="417" t="s">
        <v>13506</v>
      </c>
      <c r="D5521" s="417" t="s">
        <v>73</v>
      </c>
      <c r="E5521" s="423">
        <v>9.0172944104196906E-2</v>
      </c>
      <c r="F5521" s="423">
        <v>3.1381228301630132E-4</v>
      </c>
      <c r="G5521" s="422">
        <v>111.9576262145445</v>
      </c>
      <c r="H5521" s="417" t="s">
        <v>2616</v>
      </c>
      <c r="I5521" s="417" t="s">
        <v>1392</v>
      </c>
      <c r="J5521" s="417" t="s">
        <v>3905</v>
      </c>
      <c r="K5521" s="417" t="s">
        <v>13507</v>
      </c>
      <c r="L5521" s="417"/>
      <c r="M5521" s="417" t="s">
        <v>28840</v>
      </c>
    </row>
    <row r="5522" spans="1:13" x14ac:dyDescent="0.25">
      <c r="A5522" s="417" t="s">
        <v>3385</v>
      </c>
      <c r="B5522" s="417" t="s">
        <v>3405</v>
      </c>
      <c r="C5522" s="417" t="s">
        <v>13508</v>
      </c>
      <c r="D5522" s="417" t="s">
        <v>73</v>
      </c>
      <c r="E5522" s="423">
        <v>9.6428409733656031E-2</v>
      </c>
      <c r="F5522" s="423">
        <v>3.6966604892123891E-4</v>
      </c>
      <c r="G5522" s="422">
        <v>122.3596411163703</v>
      </c>
      <c r="H5522" s="417" t="s">
        <v>2616</v>
      </c>
      <c r="I5522" s="417" t="s">
        <v>1392</v>
      </c>
      <c r="J5522" s="417" t="s">
        <v>4694</v>
      </c>
      <c r="K5522" s="417" t="s">
        <v>13509</v>
      </c>
      <c r="L5522" s="417"/>
      <c r="M5522" s="417" t="s">
        <v>28840</v>
      </c>
    </row>
    <row r="5523" spans="1:13" x14ac:dyDescent="0.25">
      <c r="A5523" s="417" t="s">
        <v>3385</v>
      </c>
      <c r="B5523" s="417" t="s">
        <v>3405</v>
      </c>
      <c r="C5523" s="417" t="s">
        <v>13510</v>
      </c>
      <c r="D5523" s="417" t="s">
        <v>73</v>
      </c>
      <c r="E5523" s="423">
        <v>9.5057004321370847E-2</v>
      </c>
      <c r="F5523" s="423">
        <v>2.6969708887848557E-4</v>
      </c>
      <c r="G5523" s="422">
        <v>116.7297775521364</v>
      </c>
      <c r="H5523" s="417" t="s">
        <v>2616</v>
      </c>
      <c r="I5523" s="417" t="s">
        <v>1392</v>
      </c>
      <c r="J5523" s="417" t="s">
        <v>4694</v>
      </c>
      <c r="K5523" s="417" t="s">
        <v>13511</v>
      </c>
      <c r="L5523" s="417"/>
      <c r="M5523" s="417" t="s">
        <v>28840</v>
      </c>
    </row>
    <row r="5524" spans="1:13" x14ac:dyDescent="0.25">
      <c r="A5524" s="417" t="s">
        <v>3385</v>
      </c>
      <c r="B5524" s="417" t="s">
        <v>3405</v>
      </c>
      <c r="C5524" s="417" t="s">
        <v>13512</v>
      </c>
      <c r="D5524" s="417" t="s">
        <v>73</v>
      </c>
      <c r="E5524" s="423">
        <v>9.5268705546216512E-2</v>
      </c>
      <c r="F5524" s="423">
        <v>3.3766114749681332E-4</v>
      </c>
      <c r="G5524" s="422">
        <v>116.69522107021621</v>
      </c>
      <c r="H5524" s="417" t="s">
        <v>2616</v>
      </c>
      <c r="I5524" s="417" t="s">
        <v>1392</v>
      </c>
      <c r="J5524" s="417" t="s">
        <v>4694</v>
      </c>
      <c r="K5524" s="417" t="s">
        <v>13513</v>
      </c>
      <c r="L5524" s="417"/>
      <c r="M5524" s="417" t="s">
        <v>28840</v>
      </c>
    </row>
    <row r="5525" spans="1:13" x14ac:dyDescent="0.25">
      <c r="A5525" s="417" t="s">
        <v>3385</v>
      </c>
      <c r="B5525" s="417" t="s">
        <v>2627</v>
      </c>
      <c r="C5525" s="417" t="s">
        <v>921</v>
      </c>
      <c r="D5525" s="417" t="s">
        <v>88</v>
      </c>
      <c r="E5525" s="423">
        <v>0.41070652714147932</v>
      </c>
      <c r="F5525" s="423">
        <v>1.6516982591402361E-2</v>
      </c>
      <c r="G5525" s="422">
        <v>560.58263456192481</v>
      </c>
      <c r="H5525" s="417" t="s">
        <v>2616</v>
      </c>
      <c r="I5525" s="417" t="s">
        <v>28841</v>
      </c>
      <c r="J5525" s="417" t="s">
        <v>3981</v>
      </c>
      <c r="K5525" s="417" t="s">
        <v>13514</v>
      </c>
      <c r="L5525" s="417"/>
      <c r="M5525" s="417" t="s">
        <v>28840</v>
      </c>
    </row>
    <row r="5526" spans="1:13" x14ac:dyDescent="0.25">
      <c r="A5526" s="417" t="s">
        <v>3385</v>
      </c>
      <c r="B5526" s="417" t="s">
        <v>2627</v>
      </c>
      <c r="C5526" s="417" t="s">
        <v>13515</v>
      </c>
      <c r="D5526" s="417" t="s">
        <v>88</v>
      </c>
      <c r="E5526" s="423">
        <v>0.20143547834410211</v>
      </c>
      <c r="F5526" s="423">
        <v>1.663305316167429E-2</v>
      </c>
      <c r="G5526" s="422">
        <v>288.59756589657678</v>
      </c>
      <c r="H5526" s="417" t="s">
        <v>2616</v>
      </c>
      <c r="I5526" s="417" t="s">
        <v>1392</v>
      </c>
      <c r="J5526" s="417" t="s">
        <v>3981</v>
      </c>
      <c r="K5526" s="417" t="s">
        <v>13516</v>
      </c>
      <c r="L5526" s="417"/>
      <c r="M5526" s="417" t="s">
        <v>28840</v>
      </c>
    </row>
    <row r="5527" spans="1:13" x14ac:dyDescent="0.25">
      <c r="A5527" s="417" t="s">
        <v>3385</v>
      </c>
      <c r="B5527" s="417" t="s">
        <v>2627</v>
      </c>
      <c r="C5527" s="417" t="s">
        <v>13517</v>
      </c>
      <c r="D5527" s="417" t="s">
        <v>88</v>
      </c>
      <c r="E5527" s="423">
        <v>0.37739870161153177</v>
      </c>
      <c r="F5527" s="423">
        <v>2.7370472026464501E-2</v>
      </c>
      <c r="G5527" s="422">
        <v>566.44827723433036</v>
      </c>
      <c r="H5527" s="417" t="s">
        <v>2616</v>
      </c>
      <c r="I5527" s="417" t="s">
        <v>1392</v>
      </c>
      <c r="J5527" s="417" t="s">
        <v>3619</v>
      </c>
      <c r="K5527" s="417" t="s">
        <v>13518</v>
      </c>
      <c r="L5527" s="417"/>
      <c r="M5527" s="417" t="s">
        <v>28840</v>
      </c>
    </row>
    <row r="5528" spans="1:13" x14ac:dyDescent="0.25">
      <c r="A5528" s="417" t="s">
        <v>3385</v>
      </c>
      <c r="B5528" s="417" t="s">
        <v>2627</v>
      </c>
      <c r="C5528" s="417" t="s">
        <v>13519</v>
      </c>
      <c r="D5528" s="417" t="s">
        <v>88</v>
      </c>
      <c r="E5528" s="423">
        <v>0.35461196012513713</v>
      </c>
      <c r="F5528" s="423">
        <v>2.57192895503759E-2</v>
      </c>
      <c r="G5528" s="422">
        <v>532.26462373796471</v>
      </c>
      <c r="H5528" s="417" t="s">
        <v>2616</v>
      </c>
      <c r="I5528" s="417" t="s">
        <v>1392</v>
      </c>
      <c r="J5528" s="417" t="s">
        <v>3619</v>
      </c>
      <c r="K5528" s="417" t="s">
        <v>13520</v>
      </c>
      <c r="L5528" s="417"/>
      <c r="M5528" s="417" t="s">
        <v>28840</v>
      </c>
    </row>
    <row r="5529" spans="1:13" x14ac:dyDescent="0.25">
      <c r="A5529" s="417" t="s">
        <v>3385</v>
      </c>
      <c r="B5529" s="417" t="s">
        <v>3405</v>
      </c>
      <c r="C5529" s="417" t="s">
        <v>13521</v>
      </c>
      <c r="D5529" s="417" t="s">
        <v>73</v>
      </c>
      <c r="E5529" s="423">
        <v>0.13289351552076359</v>
      </c>
      <c r="F5529" s="423">
        <v>2.4046977138858321E-4</v>
      </c>
      <c r="G5529" s="422">
        <v>204.03484416793981</v>
      </c>
      <c r="H5529" s="417" t="s">
        <v>2616</v>
      </c>
      <c r="I5529" s="417" t="s">
        <v>1392</v>
      </c>
      <c r="J5529" s="417" t="s">
        <v>13522</v>
      </c>
      <c r="K5529" s="417" t="s">
        <v>13523</v>
      </c>
      <c r="L5529" s="417"/>
      <c r="M5529" s="417" t="s">
        <v>28840</v>
      </c>
    </row>
    <row r="5530" spans="1:13" x14ac:dyDescent="0.25">
      <c r="A5530" s="417" t="s">
        <v>3385</v>
      </c>
      <c r="B5530" s="417" t="s">
        <v>2627</v>
      </c>
      <c r="C5530" s="417" t="s">
        <v>13524</v>
      </c>
      <c r="D5530" s="417" t="s">
        <v>989</v>
      </c>
      <c r="E5530" s="423">
        <v>23331631.403314348</v>
      </c>
      <c r="F5530" s="423">
        <v>702784.67612757673</v>
      </c>
      <c r="G5530" s="422">
        <v>42365329237.618011</v>
      </c>
      <c r="H5530" s="417" t="s">
        <v>2616</v>
      </c>
      <c r="I5530" s="417" t="s">
        <v>1392</v>
      </c>
      <c r="J5530" s="417" t="s">
        <v>13525</v>
      </c>
      <c r="K5530" s="417" t="s">
        <v>13526</v>
      </c>
      <c r="L5530" s="417"/>
      <c r="M5530" s="417" t="s">
        <v>28840</v>
      </c>
    </row>
    <row r="5531" spans="1:13" x14ac:dyDescent="0.25">
      <c r="A5531" s="417" t="s">
        <v>3385</v>
      </c>
      <c r="B5531" s="417" t="s">
        <v>2627</v>
      </c>
      <c r="C5531" s="417" t="s">
        <v>13527</v>
      </c>
      <c r="D5531" s="417" t="s">
        <v>73</v>
      </c>
      <c r="E5531" s="423">
        <v>3.0260911672105949E-2</v>
      </c>
      <c r="F5531" s="423">
        <v>1.109027911441094E-4</v>
      </c>
      <c r="G5531" s="422">
        <v>45.924650835397287</v>
      </c>
      <c r="H5531" s="417" t="s">
        <v>2616</v>
      </c>
      <c r="I5531" s="417" t="s">
        <v>1392</v>
      </c>
      <c r="J5531" s="417" t="s">
        <v>13528</v>
      </c>
      <c r="K5531" s="417" t="s">
        <v>13529</v>
      </c>
      <c r="L5531" s="417"/>
      <c r="M5531" s="417" t="s">
        <v>28840</v>
      </c>
    </row>
    <row r="5532" spans="1:13" x14ac:dyDescent="0.25">
      <c r="A5532" s="417" t="s">
        <v>3385</v>
      </c>
      <c r="B5532" s="417" t="s">
        <v>2627</v>
      </c>
      <c r="C5532" s="417" t="s">
        <v>13530</v>
      </c>
      <c r="D5532" s="417" t="s">
        <v>989</v>
      </c>
      <c r="E5532" s="423">
        <v>23331631.40318663</v>
      </c>
      <c r="F5532" s="423">
        <v>702784.67612803099</v>
      </c>
      <c r="G5532" s="422">
        <v>42365329235.532013</v>
      </c>
      <c r="H5532" s="417" t="s">
        <v>2616</v>
      </c>
      <c r="I5532" s="417" t="s">
        <v>1392</v>
      </c>
      <c r="J5532" s="417" t="s">
        <v>13525</v>
      </c>
      <c r="K5532" s="417" t="s">
        <v>13531</v>
      </c>
      <c r="L5532" s="417"/>
      <c r="M5532" s="417" t="s">
        <v>28840</v>
      </c>
    </row>
    <row r="5533" spans="1:13" x14ac:dyDescent="0.25">
      <c r="A5533" s="417" t="s">
        <v>3385</v>
      </c>
      <c r="B5533" s="417" t="s">
        <v>3405</v>
      </c>
      <c r="C5533" s="417" t="s">
        <v>13532</v>
      </c>
      <c r="D5533" s="417" t="s">
        <v>989</v>
      </c>
      <c r="E5533" s="423">
        <v>183945182.83392531</v>
      </c>
      <c r="F5533" s="423">
        <v>5554381.0192527166</v>
      </c>
      <c r="G5533" s="422">
        <v>346422713786.75708</v>
      </c>
      <c r="H5533" s="417" t="s">
        <v>2616</v>
      </c>
      <c r="I5533" s="417" t="s">
        <v>1392</v>
      </c>
      <c r="J5533" s="417" t="s">
        <v>13533</v>
      </c>
      <c r="K5533" s="417" t="s">
        <v>13534</v>
      </c>
      <c r="L5533" s="417"/>
      <c r="M5533" s="417" t="s">
        <v>28840</v>
      </c>
    </row>
    <row r="5534" spans="1:13" x14ac:dyDescent="0.25">
      <c r="A5534" s="417" t="s">
        <v>3385</v>
      </c>
      <c r="B5534" s="417" t="s">
        <v>2627</v>
      </c>
      <c r="C5534" s="417" t="s">
        <v>13535</v>
      </c>
      <c r="D5534" s="417" t="s">
        <v>88</v>
      </c>
      <c r="E5534" s="423">
        <v>3.146345443905716E-2</v>
      </c>
      <c r="F5534" s="423">
        <v>7.7177301611182955E-4</v>
      </c>
      <c r="G5534" s="422">
        <v>120.1036387256338</v>
      </c>
      <c r="H5534" s="417" t="s">
        <v>2616</v>
      </c>
      <c r="I5534" s="417" t="s">
        <v>1392</v>
      </c>
      <c r="J5534" s="417" t="s">
        <v>13536</v>
      </c>
      <c r="K5534" s="417" t="s">
        <v>13537</v>
      </c>
      <c r="L5534" s="417"/>
      <c r="M5534" s="417" t="s">
        <v>28840</v>
      </c>
    </row>
    <row r="5535" spans="1:13" x14ac:dyDescent="0.25">
      <c r="A5535" s="417" t="s">
        <v>3385</v>
      </c>
      <c r="B5535" s="417" t="s">
        <v>3405</v>
      </c>
      <c r="C5535" s="417" t="s">
        <v>13538</v>
      </c>
      <c r="D5535" s="417" t="s">
        <v>73</v>
      </c>
      <c r="E5535" s="423">
        <v>0.1095904340730046</v>
      </c>
      <c r="F5535" s="423">
        <v>7.7483495403107632E-5</v>
      </c>
      <c r="G5535" s="422">
        <v>126.48490605216379</v>
      </c>
      <c r="H5535" s="417" t="s">
        <v>2616</v>
      </c>
      <c r="I5535" s="417" t="s">
        <v>1392</v>
      </c>
      <c r="J5535" s="417" t="s">
        <v>13539</v>
      </c>
      <c r="K5535" s="417" t="s">
        <v>13540</v>
      </c>
      <c r="L5535" s="417"/>
      <c r="M5535" s="417" t="s">
        <v>28840</v>
      </c>
    </row>
    <row r="5536" spans="1:13" x14ac:dyDescent="0.25">
      <c r="A5536" s="417" t="s">
        <v>3385</v>
      </c>
      <c r="B5536" s="417" t="s">
        <v>3405</v>
      </c>
      <c r="C5536" s="417" t="s">
        <v>13541</v>
      </c>
      <c r="D5536" s="417" t="s">
        <v>73</v>
      </c>
      <c r="E5536" s="423">
        <v>0.10593450223489111</v>
      </c>
      <c r="F5536" s="423">
        <v>8.3749545315284885E-5</v>
      </c>
      <c r="G5536" s="422">
        <v>132.11173758495801</v>
      </c>
      <c r="H5536" s="417" t="s">
        <v>2616</v>
      </c>
      <c r="I5536" s="417" t="s">
        <v>1392</v>
      </c>
      <c r="J5536" s="417" t="s">
        <v>13539</v>
      </c>
      <c r="K5536" s="417" t="s">
        <v>13542</v>
      </c>
      <c r="L5536" s="417"/>
      <c r="M5536" s="417" t="s">
        <v>28840</v>
      </c>
    </row>
    <row r="5537" spans="1:13" x14ac:dyDescent="0.25">
      <c r="A5537" s="417" t="s">
        <v>3385</v>
      </c>
      <c r="B5537" s="417" t="s">
        <v>3405</v>
      </c>
      <c r="C5537" s="417" t="s">
        <v>13543</v>
      </c>
      <c r="D5537" s="417" t="s">
        <v>73</v>
      </c>
      <c r="E5537" s="423">
        <v>0.11234868560390909</v>
      </c>
      <c r="F5537" s="423">
        <v>1.043014427454458E-4</v>
      </c>
      <c r="G5537" s="422">
        <v>184.70749840955611</v>
      </c>
      <c r="H5537" s="417" t="s">
        <v>2616</v>
      </c>
      <c r="I5537" s="417" t="s">
        <v>1392</v>
      </c>
      <c r="J5537" s="417" t="s">
        <v>13539</v>
      </c>
      <c r="K5537" s="417" t="s">
        <v>13544</v>
      </c>
      <c r="L5537" s="417"/>
      <c r="M5537" s="417" t="s">
        <v>28840</v>
      </c>
    </row>
    <row r="5538" spans="1:13" x14ac:dyDescent="0.25">
      <c r="A5538" s="417" t="s">
        <v>3385</v>
      </c>
      <c r="B5538" s="417" t="s">
        <v>3405</v>
      </c>
      <c r="C5538" s="417" t="s">
        <v>13545</v>
      </c>
      <c r="D5538" s="417" t="s">
        <v>73</v>
      </c>
      <c r="E5538" s="423">
        <v>0.1060013342722626</v>
      </c>
      <c r="F5538" s="423">
        <v>7.8769959110301153E-5</v>
      </c>
      <c r="G5538" s="422">
        <v>124.81818969060799</v>
      </c>
      <c r="H5538" s="417" t="s">
        <v>2616</v>
      </c>
      <c r="I5538" s="417" t="s">
        <v>1392</v>
      </c>
      <c r="J5538" s="417" t="s">
        <v>13539</v>
      </c>
      <c r="K5538" s="417" t="s">
        <v>13546</v>
      </c>
      <c r="L5538" s="417"/>
      <c r="M5538" s="417" t="s">
        <v>28840</v>
      </c>
    </row>
    <row r="5539" spans="1:13" x14ac:dyDescent="0.25">
      <c r="A5539" s="417" t="s">
        <v>3385</v>
      </c>
      <c r="B5539" s="417" t="s">
        <v>3405</v>
      </c>
      <c r="C5539" s="417" t="s">
        <v>13547</v>
      </c>
      <c r="D5539" s="417" t="s">
        <v>73</v>
      </c>
      <c r="E5539" s="423">
        <v>0.1067933071184354</v>
      </c>
      <c r="F5539" s="423">
        <v>9.8355528007679709E-5</v>
      </c>
      <c r="G5539" s="422">
        <v>124.55053279116549</v>
      </c>
      <c r="H5539" s="417" t="s">
        <v>2616</v>
      </c>
      <c r="I5539" s="417" t="s">
        <v>1392</v>
      </c>
      <c r="J5539" s="417" t="s">
        <v>13539</v>
      </c>
      <c r="K5539" s="417" t="s">
        <v>13548</v>
      </c>
      <c r="L5539" s="417"/>
      <c r="M5539" s="417" t="s">
        <v>28840</v>
      </c>
    </row>
    <row r="5540" spans="1:13" x14ac:dyDescent="0.25">
      <c r="A5540" s="417" t="s">
        <v>3385</v>
      </c>
      <c r="B5540" s="417" t="s">
        <v>3405</v>
      </c>
      <c r="C5540" s="417" t="s">
        <v>13549</v>
      </c>
      <c r="D5540" s="417" t="s">
        <v>73</v>
      </c>
      <c r="E5540" s="423">
        <v>0.1096835218082188</v>
      </c>
      <c r="F5540" s="423">
        <v>8.7133834716468506E-5</v>
      </c>
      <c r="G5540" s="422">
        <v>172.20122161754671</v>
      </c>
      <c r="H5540" s="417" t="s">
        <v>2616</v>
      </c>
      <c r="I5540" s="417" t="s">
        <v>1392</v>
      </c>
      <c r="J5540" s="417" t="s">
        <v>13539</v>
      </c>
      <c r="K5540" s="417" t="s">
        <v>13550</v>
      </c>
      <c r="L5540" s="417"/>
      <c r="M5540" s="417" t="s">
        <v>28840</v>
      </c>
    </row>
    <row r="5541" spans="1:13" x14ac:dyDescent="0.25">
      <c r="A5541" s="417" t="s">
        <v>3385</v>
      </c>
      <c r="B5541" s="417" t="s">
        <v>3405</v>
      </c>
      <c r="C5541" s="417" t="s">
        <v>13551</v>
      </c>
      <c r="D5541" s="417" t="s">
        <v>73</v>
      </c>
      <c r="E5541" s="423">
        <v>0.11073088314750471</v>
      </c>
      <c r="F5541" s="423">
        <v>5.3539696195794133E-5</v>
      </c>
      <c r="G5541" s="422">
        <v>124.53394288558459</v>
      </c>
      <c r="H5541" s="417" t="s">
        <v>2616</v>
      </c>
      <c r="I5541" s="417" t="s">
        <v>1392</v>
      </c>
      <c r="J5541" s="417" t="s">
        <v>13539</v>
      </c>
      <c r="K5541" s="417" t="s">
        <v>13552</v>
      </c>
      <c r="L5541" s="417"/>
      <c r="M5541" s="417" t="s">
        <v>28840</v>
      </c>
    </row>
    <row r="5542" spans="1:13" x14ac:dyDescent="0.25">
      <c r="A5542" s="417" t="s">
        <v>3385</v>
      </c>
      <c r="B5542" s="417" t="s">
        <v>3405</v>
      </c>
      <c r="C5542" s="417" t="s">
        <v>13553</v>
      </c>
      <c r="D5542" s="417" t="s">
        <v>73</v>
      </c>
      <c r="E5542" s="423">
        <v>0.10924615629883</v>
      </c>
      <c r="F5542" s="423">
        <v>1.5923390122115849E-4</v>
      </c>
      <c r="G5542" s="422">
        <v>137.32276497684651</v>
      </c>
      <c r="H5542" s="417" t="s">
        <v>2616</v>
      </c>
      <c r="I5542" s="417" t="s">
        <v>1392</v>
      </c>
      <c r="J5542" s="417" t="s">
        <v>13539</v>
      </c>
      <c r="K5542" s="417" t="s">
        <v>13554</v>
      </c>
      <c r="L5542" s="417"/>
      <c r="M5542" s="417" t="s">
        <v>28840</v>
      </c>
    </row>
    <row r="5543" spans="1:13" x14ac:dyDescent="0.25">
      <c r="A5543" s="417" t="s">
        <v>3385</v>
      </c>
      <c r="B5543" s="417" t="s">
        <v>3405</v>
      </c>
      <c r="C5543" s="417" t="s">
        <v>13555</v>
      </c>
      <c r="D5543" s="417" t="s">
        <v>73</v>
      </c>
      <c r="E5543" s="423">
        <v>0.10682542967032239</v>
      </c>
      <c r="F5543" s="423">
        <v>9.8880178139513667E-5</v>
      </c>
      <c r="G5543" s="422">
        <v>126.4812696284728</v>
      </c>
      <c r="H5543" s="417" t="s">
        <v>2616</v>
      </c>
      <c r="I5543" s="417" t="s">
        <v>1392</v>
      </c>
      <c r="J5543" s="417" t="s">
        <v>13539</v>
      </c>
      <c r="K5543" s="417" t="s">
        <v>13556</v>
      </c>
      <c r="L5543" s="417"/>
      <c r="M5543" s="417" t="s">
        <v>28840</v>
      </c>
    </row>
    <row r="5544" spans="1:13" x14ac:dyDescent="0.25">
      <c r="A5544" s="417" t="s">
        <v>3385</v>
      </c>
      <c r="B5544" s="417" t="s">
        <v>3405</v>
      </c>
      <c r="C5544" s="417" t="s">
        <v>13557</v>
      </c>
      <c r="D5544" s="417" t="s">
        <v>73</v>
      </c>
      <c r="E5544" s="423">
        <v>0.1053260553691734</v>
      </c>
      <c r="F5544" s="423">
        <v>1.0827894071049591E-4</v>
      </c>
      <c r="G5544" s="422">
        <v>167.95114816720391</v>
      </c>
      <c r="H5544" s="417" t="s">
        <v>2616</v>
      </c>
      <c r="I5544" s="417" t="s">
        <v>1392</v>
      </c>
      <c r="J5544" s="417" t="s">
        <v>13539</v>
      </c>
      <c r="K5544" s="417" t="s">
        <v>13558</v>
      </c>
      <c r="L5544" s="417"/>
      <c r="M5544" s="417" t="s">
        <v>28840</v>
      </c>
    </row>
    <row r="5545" spans="1:13" x14ac:dyDescent="0.25">
      <c r="A5545" s="417" t="s">
        <v>3385</v>
      </c>
      <c r="B5545" s="417" t="s">
        <v>3405</v>
      </c>
      <c r="C5545" s="417" t="s">
        <v>13559</v>
      </c>
      <c r="D5545" s="417" t="s">
        <v>73</v>
      </c>
      <c r="E5545" s="423">
        <v>0.1069565521583743</v>
      </c>
      <c r="F5545" s="423">
        <v>1.020536611205125E-4</v>
      </c>
      <c r="G5545" s="422">
        <v>129.99092250424201</v>
      </c>
      <c r="H5545" s="417" t="s">
        <v>2616</v>
      </c>
      <c r="I5545" s="417" t="s">
        <v>1392</v>
      </c>
      <c r="J5545" s="417" t="s">
        <v>13539</v>
      </c>
      <c r="K5545" s="417" t="s">
        <v>13560</v>
      </c>
      <c r="L5545" s="417"/>
      <c r="M5545" s="417" t="s">
        <v>28840</v>
      </c>
    </row>
    <row r="5546" spans="1:13" x14ac:dyDescent="0.25">
      <c r="A5546" s="417" t="s">
        <v>3385</v>
      </c>
      <c r="B5546" s="417" t="s">
        <v>3405</v>
      </c>
      <c r="C5546" s="417" t="s">
        <v>13561</v>
      </c>
      <c r="D5546" s="417" t="s">
        <v>73</v>
      </c>
      <c r="E5546" s="423">
        <v>0.106311737579113</v>
      </c>
      <c r="F5546" s="423">
        <v>1.057563501163584E-4</v>
      </c>
      <c r="G5546" s="422">
        <v>143.59716435969861</v>
      </c>
      <c r="H5546" s="417" t="s">
        <v>2616</v>
      </c>
      <c r="I5546" s="417" t="s">
        <v>1392</v>
      </c>
      <c r="J5546" s="417" t="s">
        <v>13539</v>
      </c>
      <c r="K5546" s="417" t="s">
        <v>13562</v>
      </c>
      <c r="L5546" s="417"/>
      <c r="M5546" s="417" t="s">
        <v>28840</v>
      </c>
    </row>
    <row r="5547" spans="1:13" x14ac:dyDescent="0.25">
      <c r="A5547" s="417" t="s">
        <v>3385</v>
      </c>
      <c r="B5547" s="417" t="s">
        <v>3405</v>
      </c>
      <c r="C5547" s="417" t="s">
        <v>13563</v>
      </c>
      <c r="D5547" s="417" t="s">
        <v>73</v>
      </c>
      <c r="E5547" s="423">
        <v>0.1064235164435226</v>
      </c>
      <c r="F5547" s="423">
        <v>8.7674968547759953E-5</v>
      </c>
      <c r="G5547" s="422">
        <v>121.9882039021854</v>
      </c>
      <c r="H5547" s="417" t="s">
        <v>2616</v>
      </c>
      <c r="I5547" s="417" t="s">
        <v>1392</v>
      </c>
      <c r="J5547" s="417" t="s">
        <v>13539</v>
      </c>
      <c r="K5547" s="417" t="s">
        <v>13564</v>
      </c>
      <c r="L5547" s="417"/>
      <c r="M5547" s="417" t="s">
        <v>28840</v>
      </c>
    </row>
    <row r="5548" spans="1:13" x14ac:dyDescent="0.25">
      <c r="A5548" s="417" t="s">
        <v>3385</v>
      </c>
      <c r="B5548" s="417" t="s">
        <v>3405</v>
      </c>
      <c r="C5548" s="417" t="s">
        <v>13565</v>
      </c>
      <c r="D5548" s="417" t="s">
        <v>73</v>
      </c>
      <c r="E5548" s="423">
        <v>0.1062548819345886</v>
      </c>
      <c r="F5548" s="423">
        <v>8.6281983376136607E-5</v>
      </c>
      <c r="G5548" s="422">
        <v>123.60551196419689</v>
      </c>
      <c r="H5548" s="417" t="s">
        <v>2616</v>
      </c>
      <c r="I5548" s="417" t="s">
        <v>1392</v>
      </c>
      <c r="J5548" s="417" t="s">
        <v>13539</v>
      </c>
      <c r="K5548" s="417" t="s">
        <v>13566</v>
      </c>
      <c r="L5548" s="417"/>
      <c r="M5548" s="417" t="s">
        <v>28840</v>
      </c>
    </row>
    <row r="5549" spans="1:13" x14ac:dyDescent="0.25">
      <c r="A5549" s="417" t="s">
        <v>3385</v>
      </c>
      <c r="B5549" s="417" t="s">
        <v>2627</v>
      </c>
      <c r="C5549" s="417" t="s">
        <v>13567</v>
      </c>
      <c r="D5549" s="417" t="s">
        <v>88</v>
      </c>
      <c r="E5549" s="423">
        <v>1.0363187811452989E-2</v>
      </c>
      <c r="F5549" s="423">
        <v>7.1938312790187473E-4</v>
      </c>
      <c r="G5549" s="422">
        <v>19.381731434515618</v>
      </c>
      <c r="H5549" s="417" t="s">
        <v>2616</v>
      </c>
      <c r="I5549" s="417" t="s">
        <v>1392</v>
      </c>
      <c r="J5549" s="417" t="s">
        <v>3825</v>
      </c>
      <c r="K5549" s="417" t="s">
        <v>13568</v>
      </c>
      <c r="L5549" s="417"/>
      <c r="M5549" s="417" t="s">
        <v>28840</v>
      </c>
    </row>
    <row r="5550" spans="1:13" x14ac:dyDescent="0.25">
      <c r="A5550" s="417" t="s">
        <v>3385</v>
      </c>
      <c r="B5550" s="417" t="s">
        <v>2627</v>
      </c>
      <c r="C5550" s="417" t="s">
        <v>13569</v>
      </c>
      <c r="D5550" s="417" t="s">
        <v>88</v>
      </c>
      <c r="E5550" s="423">
        <v>0.89620026627064331</v>
      </c>
      <c r="F5550" s="423">
        <v>1.636939462716545E-3</v>
      </c>
      <c r="G5550" s="422">
        <v>1007.732903732202</v>
      </c>
      <c r="H5550" s="417" t="s">
        <v>2616</v>
      </c>
      <c r="I5550" s="417" t="s">
        <v>1392</v>
      </c>
      <c r="J5550" s="417" t="s">
        <v>3742</v>
      </c>
      <c r="K5550" s="417" t="s">
        <v>13570</v>
      </c>
      <c r="L5550" s="417"/>
      <c r="M5550" s="417" t="s">
        <v>28840</v>
      </c>
    </row>
    <row r="5551" spans="1:13" x14ac:dyDescent="0.25">
      <c r="A5551" s="417" t="s">
        <v>3385</v>
      </c>
      <c r="B5551" s="417" t="s">
        <v>2627</v>
      </c>
      <c r="C5551" s="417" t="s">
        <v>1114</v>
      </c>
      <c r="D5551" s="417" t="s">
        <v>88</v>
      </c>
      <c r="E5551" s="423">
        <v>0.90161393307377025</v>
      </c>
      <c r="F5551" s="423">
        <v>2.7851595218501911E-2</v>
      </c>
      <c r="G5551" s="422">
        <v>1020.360661219328</v>
      </c>
      <c r="H5551" s="417" t="s">
        <v>2616</v>
      </c>
      <c r="I5551" s="417" t="s">
        <v>28841</v>
      </c>
      <c r="J5551" s="417" t="s">
        <v>3742</v>
      </c>
      <c r="K5551" s="417" t="s">
        <v>13571</v>
      </c>
      <c r="L5551" s="417"/>
      <c r="M5551" s="417" t="s">
        <v>28840</v>
      </c>
    </row>
    <row r="5552" spans="1:13" x14ac:dyDescent="0.25">
      <c r="A5552" s="417" t="s">
        <v>3385</v>
      </c>
      <c r="B5552" s="417" t="s">
        <v>2627</v>
      </c>
      <c r="C5552" s="417" t="s">
        <v>13572</v>
      </c>
      <c r="D5552" s="417" t="s">
        <v>88</v>
      </c>
      <c r="E5552" s="423">
        <v>0.83892752233714551</v>
      </c>
      <c r="F5552" s="423">
        <v>2.7010585475158288E-3</v>
      </c>
      <c r="G5552" s="422">
        <v>1068.5634699277709</v>
      </c>
      <c r="H5552" s="417" t="s">
        <v>2616</v>
      </c>
      <c r="I5552" s="417" t="s">
        <v>1392</v>
      </c>
      <c r="J5552" s="417" t="s">
        <v>3742</v>
      </c>
      <c r="K5552" s="417" t="s">
        <v>13573</v>
      </c>
      <c r="L5552" s="417"/>
      <c r="M5552" s="417" t="s">
        <v>28840</v>
      </c>
    </row>
    <row r="5553" spans="1:13" x14ac:dyDescent="0.25">
      <c r="A5553" s="417" t="s">
        <v>3385</v>
      </c>
      <c r="B5553" s="417" t="s">
        <v>2627</v>
      </c>
      <c r="C5553" s="417" t="s">
        <v>13574</v>
      </c>
      <c r="D5553" s="417" t="s">
        <v>88</v>
      </c>
      <c r="E5553" s="423">
        <v>2.1273215067234329E-3</v>
      </c>
      <c r="F5553" s="423">
        <v>5.6135390867124519E-5</v>
      </c>
      <c r="G5553" s="422">
        <v>12.217445949820281</v>
      </c>
      <c r="H5553" s="417" t="s">
        <v>2616</v>
      </c>
      <c r="I5553" s="417" t="s">
        <v>1392</v>
      </c>
      <c r="J5553" s="417" t="s">
        <v>3860</v>
      </c>
      <c r="K5553" s="417" t="s">
        <v>13575</v>
      </c>
      <c r="L5553" s="417"/>
      <c r="M5553" s="417" t="s">
        <v>28840</v>
      </c>
    </row>
    <row r="5554" spans="1:13" x14ac:dyDescent="0.25">
      <c r="A5554" s="417" t="s">
        <v>3385</v>
      </c>
      <c r="B5554" s="417" t="s">
        <v>2627</v>
      </c>
      <c r="C5554" s="417" t="s">
        <v>13576</v>
      </c>
      <c r="D5554" s="417" t="s">
        <v>88</v>
      </c>
      <c r="E5554" s="423">
        <v>2.3456558695932358E-3</v>
      </c>
      <c r="F5554" s="423">
        <v>6.3332806447863942E-5</v>
      </c>
      <c r="G5554" s="422">
        <v>14.01272294765301</v>
      </c>
      <c r="H5554" s="417" t="s">
        <v>2616</v>
      </c>
      <c r="I5554" s="417" t="s">
        <v>1392</v>
      </c>
      <c r="J5554" s="417" t="s">
        <v>3860</v>
      </c>
      <c r="K5554" s="417" t="s">
        <v>13577</v>
      </c>
      <c r="L5554" s="417"/>
      <c r="M5554" s="417" t="s">
        <v>28840</v>
      </c>
    </row>
    <row r="5555" spans="1:13" x14ac:dyDescent="0.25">
      <c r="A5555" s="417" t="s">
        <v>3385</v>
      </c>
      <c r="B5555" s="417" t="s">
        <v>2627</v>
      </c>
      <c r="C5555" s="417" t="s">
        <v>1113</v>
      </c>
      <c r="D5555" s="417" t="s">
        <v>88</v>
      </c>
      <c r="E5555" s="423">
        <v>2.3529017271011611E-3</v>
      </c>
      <c r="F5555" s="423">
        <v>6.557075667101023E-5</v>
      </c>
      <c r="G5555" s="422">
        <v>14.05647885726175</v>
      </c>
      <c r="H5555" s="417" t="s">
        <v>2616</v>
      </c>
      <c r="I5555" s="417" t="s">
        <v>28841</v>
      </c>
      <c r="J5555" s="417" t="s">
        <v>3742</v>
      </c>
      <c r="K5555" s="417" t="s">
        <v>13578</v>
      </c>
      <c r="L5555" s="417"/>
      <c r="M5555" s="417" t="s">
        <v>28840</v>
      </c>
    </row>
    <row r="5556" spans="1:13" x14ac:dyDescent="0.25">
      <c r="A5556" s="417" t="s">
        <v>3385</v>
      </c>
      <c r="B5556" s="417" t="s">
        <v>2627</v>
      </c>
      <c r="C5556" s="417" t="s">
        <v>13579</v>
      </c>
      <c r="D5556" s="417" t="s">
        <v>88</v>
      </c>
      <c r="E5556" s="423">
        <v>1.3476370052804391E-2</v>
      </c>
      <c r="F5556" s="423">
        <v>4.5123289980281611E-4</v>
      </c>
      <c r="G5556" s="422">
        <v>33.632618064656732</v>
      </c>
      <c r="H5556" s="417" t="s">
        <v>2616</v>
      </c>
      <c r="I5556" s="417" t="s">
        <v>1392</v>
      </c>
      <c r="J5556" s="417" t="s">
        <v>3742</v>
      </c>
      <c r="K5556" s="417" t="s">
        <v>13580</v>
      </c>
      <c r="L5556" s="417"/>
      <c r="M5556" s="417" t="s">
        <v>28840</v>
      </c>
    </row>
    <row r="5557" spans="1:13" x14ac:dyDescent="0.25">
      <c r="A5557" s="417" t="s">
        <v>3385</v>
      </c>
      <c r="B5557" s="417" t="s">
        <v>2627</v>
      </c>
      <c r="C5557" s="417" t="s">
        <v>13581</v>
      </c>
      <c r="D5557" s="417" t="s">
        <v>88</v>
      </c>
      <c r="E5557" s="423">
        <v>1.8890039493230301E-2</v>
      </c>
      <c r="F5557" s="423">
        <v>2.6665888674615661E-2</v>
      </c>
      <c r="G5557" s="422">
        <v>46.260378939023511</v>
      </c>
      <c r="H5557" s="417" t="s">
        <v>2616</v>
      </c>
      <c r="I5557" s="417" t="s">
        <v>1392</v>
      </c>
      <c r="J5557" s="417" t="s">
        <v>3860</v>
      </c>
      <c r="K5557" s="417" t="s">
        <v>13582</v>
      </c>
      <c r="L5557" s="417"/>
      <c r="M5557" s="417" t="s">
        <v>28840</v>
      </c>
    </row>
    <row r="5558" spans="1:13" x14ac:dyDescent="0.25">
      <c r="A5558" s="417" t="s">
        <v>3385</v>
      </c>
      <c r="B5558" s="417" t="s">
        <v>2627</v>
      </c>
      <c r="C5558" s="417" t="s">
        <v>13583</v>
      </c>
      <c r="D5558" s="417" t="s">
        <v>88</v>
      </c>
      <c r="E5558" s="423">
        <v>8.5589314464996278</v>
      </c>
      <c r="F5558" s="423">
        <v>0.37335664493592252</v>
      </c>
      <c r="G5558" s="422">
        <v>20979.935877345561</v>
      </c>
      <c r="H5558" s="417" t="s">
        <v>2616</v>
      </c>
      <c r="I5558" s="417" t="s">
        <v>1392</v>
      </c>
      <c r="J5558" s="417" t="s">
        <v>3387</v>
      </c>
      <c r="K5558" s="417" t="s">
        <v>13584</v>
      </c>
      <c r="L5558" s="417"/>
      <c r="M5558" s="417" t="s">
        <v>28840</v>
      </c>
    </row>
    <row r="5559" spans="1:13" x14ac:dyDescent="0.25">
      <c r="A5559" s="417" t="s">
        <v>3385</v>
      </c>
      <c r="B5559" s="417" t="s">
        <v>2627</v>
      </c>
      <c r="C5559" s="417" t="s">
        <v>13585</v>
      </c>
      <c r="D5559" s="417" t="s">
        <v>88</v>
      </c>
      <c r="E5559" s="423">
        <v>8.9213090630041876</v>
      </c>
      <c r="F5559" s="423">
        <v>0.39755756926976737</v>
      </c>
      <c r="G5559" s="422">
        <v>21246.002724950569</v>
      </c>
      <c r="H5559" s="417" t="s">
        <v>2616</v>
      </c>
      <c r="I5559" s="417" t="s">
        <v>1392</v>
      </c>
      <c r="J5559" s="417" t="s">
        <v>3387</v>
      </c>
      <c r="K5559" s="417" t="s">
        <v>13586</v>
      </c>
      <c r="L5559" s="417"/>
      <c r="M5559" s="417" t="s">
        <v>28840</v>
      </c>
    </row>
    <row r="5560" spans="1:13" x14ac:dyDescent="0.25">
      <c r="A5560" s="417" t="s">
        <v>3385</v>
      </c>
      <c r="B5560" s="417" t="s">
        <v>2627</v>
      </c>
      <c r="C5560" s="417" t="s">
        <v>13587</v>
      </c>
      <c r="D5560" s="417" t="s">
        <v>88</v>
      </c>
      <c r="E5560" s="423">
        <v>1.0678106762569799</v>
      </c>
      <c r="F5560" s="423">
        <v>1.0332901287161239E-2</v>
      </c>
      <c r="G5560" s="422">
        <v>2020.8376568394949</v>
      </c>
      <c r="H5560" s="417" t="s">
        <v>2616</v>
      </c>
      <c r="I5560" s="417" t="s">
        <v>1392</v>
      </c>
      <c r="J5560" s="417" t="s">
        <v>13588</v>
      </c>
      <c r="K5560" s="417" t="s">
        <v>13589</v>
      </c>
      <c r="L5560" s="417"/>
      <c r="M5560" s="417" t="s">
        <v>28840</v>
      </c>
    </row>
    <row r="5561" spans="1:13" x14ac:dyDescent="0.25">
      <c r="A5561" s="417" t="s">
        <v>3385</v>
      </c>
      <c r="B5561" s="417" t="s">
        <v>2627</v>
      </c>
      <c r="C5561" s="417" t="s">
        <v>1121</v>
      </c>
      <c r="D5561" s="417" t="s">
        <v>88</v>
      </c>
      <c r="E5561" s="423">
        <v>0.4608107499842366</v>
      </c>
      <c r="F5561" s="423">
        <v>0.58296719873957581</v>
      </c>
      <c r="G5561" s="422">
        <v>1150.4351930335399</v>
      </c>
      <c r="H5561" s="417" t="s">
        <v>2616</v>
      </c>
      <c r="I5561" s="417" t="s">
        <v>28841</v>
      </c>
      <c r="J5561" s="417" t="s">
        <v>5179</v>
      </c>
      <c r="K5561" s="417" t="s">
        <v>13590</v>
      </c>
      <c r="L5561" s="417"/>
      <c r="M5561" s="417" t="s">
        <v>28840</v>
      </c>
    </row>
    <row r="5562" spans="1:13" x14ac:dyDescent="0.25">
      <c r="A5562" s="417" t="s">
        <v>3385</v>
      </c>
      <c r="B5562" s="417" t="s">
        <v>2627</v>
      </c>
      <c r="C5562" s="417" t="s">
        <v>13591</v>
      </c>
      <c r="D5562" s="417" t="s">
        <v>989</v>
      </c>
      <c r="E5562" s="423">
        <v>1452413.9615694529</v>
      </c>
      <c r="F5562" s="423">
        <v>30933.506578351491</v>
      </c>
      <c r="G5562" s="422">
        <v>2882467522.6531992</v>
      </c>
      <c r="H5562" s="417" t="s">
        <v>2616</v>
      </c>
      <c r="I5562" s="417" t="s">
        <v>1392</v>
      </c>
      <c r="J5562" s="417" t="s">
        <v>4689</v>
      </c>
      <c r="K5562" s="417" t="s">
        <v>13592</v>
      </c>
      <c r="L5562" s="417"/>
      <c r="M5562" s="417" t="s">
        <v>28840</v>
      </c>
    </row>
    <row r="5563" spans="1:13" x14ac:dyDescent="0.25">
      <c r="A5563" s="417" t="s">
        <v>3385</v>
      </c>
      <c r="B5563" s="417" t="s">
        <v>2627</v>
      </c>
      <c r="C5563" s="417" t="s">
        <v>13593</v>
      </c>
      <c r="D5563" s="417" t="s">
        <v>88</v>
      </c>
      <c r="E5563" s="423">
        <v>3.1534974620078979</v>
      </c>
      <c r="F5563" s="423">
        <v>0.15346867054508331</v>
      </c>
      <c r="G5563" s="422">
        <v>5491.4474938946096</v>
      </c>
      <c r="H5563" s="417" t="s">
        <v>2616</v>
      </c>
      <c r="I5563" s="417" t="s">
        <v>1392</v>
      </c>
      <c r="J5563" s="417" t="s">
        <v>3742</v>
      </c>
      <c r="K5563" s="417" t="s">
        <v>13594</v>
      </c>
      <c r="L5563" s="417"/>
      <c r="M5563" s="417" t="s">
        <v>28840</v>
      </c>
    </row>
    <row r="5564" spans="1:13" x14ac:dyDescent="0.25">
      <c r="A5564" s="417" t="s">
        <v>3385</v>
      </c>
      <c r="B5564" s="417" t="s">
        <v>2627</v>
      </c>
      <c r="C5564" s="417" t="s">
        <v>13595</v>
      </c>
      <c r="D5564" s="417" t="s">
        <v>88</v>
      </c>
      <c r="E5564" s="423">
        <v>4.2328716052058049</v>
      </c>
      <c r="F5564" s="423">
        <v>0.2233216178453058</v>
      </c>
      <c r="G5564" s="422">
        <v>7446.6439132028536</v>
      </c>
      <c r="H5564" s="417" t="s">
        <v>2616</v>
      </c>
      <c r="I5564" s="417" t="s">
        <v>1392</v>
      </c>
      <c r="J5564" s="417" t="s">
        <v>3742</v>
      </c>
      <c r="K5564" s="417" t="s">
        <v>13596</v>
      </c>
      <c r="L5564" s="417"/>
      <c r="M5564" s="417" t="s">
        <v>28840</v>
      </c>
    </row>
    <row r="5565" spans="1:13" x14ac:dyDescent="0.25">
      <c r="A5565" s="417" t="s">
        <v>3385</v>
      </c>
      <c r="B5565" s="417" t="s">
        <v>2627</v>
      </c>
      <c r="C5565" s="417" t="s">
        <v>13597</v>
      </c>
      <c r="D5565" s="417" t="s">
        <v>88</v>
      </c>
      <c r="E5565" s="423">
        <v>7.5559709377643509</v>
      </c>
      <c r="F5565" s="423">
        <v>0.37543079108559502</v>
      </c>
      <c r="G5565" s="422">
        <v>14813.090408145899</v>
      </c>
      <c r="H5565" s="417" t="s">
        <v>2616</v>
      </c>
      <c r="I5565" s="417" t="s">
        <v>1392</v>
      </c>
      <c r="J5565" s="417" t="s">
        <v>3742</v>
      </c>
      <c r="K5565" s="417" t="s">
        <v>13598</v>
      </c>
      <c r="L5565" s="417"/>
      <c r="M5565" s="417" t="s">
        <v>28840</v>
      </c>
    </row>
    <row r="5566" spans="1:13" x14ac:dyDescent="0.25">
      <c r="A5566" s="417" t="s">
        <v>3385</v>
      </c>
      <c r="B5566" s="417" t="s">
        <v>2627</v>
      </c>
      <c r="C5566" s="417" t="s">
        <v>13599</v>
      </c>
      <c r="D5566" s="417" t="s">
        <v>88</v>
      </c>
      <c r="E5566" s="423">
        <v>20.85134055308739</v>
      </c>
      <c r="F5566" s="423">
        <v>1.3645397262429919</v>
      </c>
      <c r="G5566" s="422">
        <v>40127.899508616567</v>
      </c>
      <c r="H5566" s="417" t="s">
        <v>2616</v>
      </c>
      <c r="I5566" s="417" t="s">
        <v>1392</v>
      </c>
      <c r="J5566" s="417" t="s">
        <v>3742</v>
      </c>
      <c r="K5566" s="417" t="s">
        <v>13600</v>
      </c>
      <c r="L5566" s="417"/>
      <c r="M5566" s="417" t="s">
        <v>28840</v>
      </c>
    </row>
    <row r="5567" spans="1:13" x14ac:dyDescent="0.25">
      <c r="A5567" s="417" t="s">
        <v>3385</v>
      </c>
      <c r="B5567" s="417" t="s">
        <v>2627</v>
      </c>
      <c r="C5567" s="417" t="s">
        <v>13601</v>
      </c>
      <c r="D5567" s="417" t="s">
        <v>88</v>
      </c>
      <c r="E5567" s="423">
        <v>2.452244433313727</v>
      </c>
      <c r="F5567" s="423">
        <v>0.1020277586723525</v>
      </c>
      <c r="G5567" s="422">
        <v>3980.0291229142522</v>
      </c>
      <c r="H5567" s="417" t="s">
        <v>2616</v>
      </c>
      <c r="I5567" s="417" t="s">
        <v>1392</v>
      </c>
      <c r="J5567" s="417" t="s">
        <v>3742</v>
      </c>
      <c r="K5567" s="417" t="s">
        <v>13602</v>
      </c>
      <c r="L5567" s="417"/>
      <c r="M5567" s="417" t="s">
        <v>28840</v>
      </c>
    </row>
    <row r="5568" spans="1:13" x14ac:dyDescent="0.25">
      <c r="A5568" s="417" t="s">
        <v>3385</v>
      </c>
      <c r="B5568" s="417" t="s">
        <v>2437</v>
      </c>
      <c r="C5568" s="417" t="s">
        <v>13603</v>
      </c>
      <c r="D5568" s="417" t="s">
        <v>88</v>
      </c>
      <c r="E5568" s="423">
        <v>3.95180033506024</v>
      </c>
      <c r="F5568" s="423">
        <v>0.1243745881593382</v>
      </c>
      <c r="G5568" s="422">
        <v>20312.56993394599</v>
      </c>
      <c r="H5568" s="417" t="s">
        <v>2616</v>
      </c>
      <c r="I5568" s="417" t="s">
        <v>1392</v>
      </c>
      <c r="J5568" s="417" t="s">
        <v>3871</v>
      </c>
      <c r="K5568" s="417" t="s">
        <v>13604</v>
      </c>
      <c r="L5568" s="417"/>
      <c r="M5568" s="417" t="s">
        <v>28840</v>
      </c>
    </row>
    <row r="5569" spans="1:13" x14ac:dyDescent="0.25">
      <c r="A5569" s="417" t="s">
        <v>3385</v>
      </c>
      <c r="B5569" s="417" t="s">
        <v>2627</v>
      </c>
      <c r="C5569" s="417" t="s">
        <v>13605</v>
      </c>
      <c r="D5569" s="417" t="s">
        <v>88</v>
      </c>
      <c r="E5569" s="423">
        <v>4.1895995983389884</v>
      </c>
      <c r="F5569" s="423">
        <v>0.19870692900824541</v>
      </c>
      <c r="G5569" s="422">
        <v>6614.2876984984632</v>
      </c>
      <c r="H5569" s="417" t="s">
        <v>2616</v>
      </c>
      <c r="I5569" s="417" t="s">
        <v>1392</v>
      </c>
      <c r="J5569" s="417" t="s">
        <v>3742</v>
      </c>
      <c r="K5569" s="417" t="s">
        <v>13606</v>
      </c>
      <c r="L5569" s="417"/>
      <c r="M5569" s="417" t="s">
        <v>28840</v>
      </c>
    </row>
    <row r="5570" spans="1:13" x14ac:dyDescent="0.25">
      <c r="A5570" s="417" t="s">
        <v>3385</v>
      </c>
      <c r="B5570" s="417" t="s">
        <v>2627</v>
      </c>
      <c r="C5570" s="417" t="s">
        <v>1100</v>
      </c>
      <c r="D5570" s="417" t="s">
        <v>88</v>
      </c>
      <c r="E5570" s="423">
        <v>12.99418871893875</v>
      </c>
      <c r="F5570" s="423">
        <v>1.2785924045301389</v>
      </c>
      <c r="G5570" s="422">
        <v>25658.81086848686</v>
      </c>
      <c r="H5570" s="417" t="s">
        <v>2616</v>
      </c>
      <c r="I5570" s="417" t="s">
        <v>28841</v>
      </c>
      <c r="J5570" s="417" t="s">
        <v>3915</v>
      </c>
      <c r="K5570" s="417" t="s">
        <v>13607</v>
      </c>
      <c r="L5570" s="417"/>
      <c r="M5570" s="417" t="s">
        <v>28840</v>
      </c>
    </row>
    <row r="5571" spans="1:13" x14ac:dyDescent="0.25">
      <c r="A5571" s="417" t="s">
        <v>3385</v>
      </c>
      <c r="B5571" s="417" t="s">
        <v>3655</v>
      </c>
      <c r="C5571" s="417" t="s">
        <v>13608</v>
      </c>
      <c r="D5571" s="417" t="s">
        <v>989</v>
      </c>
      <c r="E5571" s="423">
        <v>0.44086141881643759</v>
      </c>
      <c r="F5571" s="423">
        <v>2.1141186709387371E-2</v>
      </c>
      <c r="G5571" s="422">
        <v>822.25835749633859</v>
      </c>
      <c r="H5571" s="417" t="s">
        <v>2616</v>
      </c>
      <c r="I5571" s="417" t="s">
        <v>1392</v>
      </c>
      <c r="J5571" s="417" t="s">
        <v>3918</v>
      </c>
      <c r="K5571" s="417" t="s">
        <v>13609</v>
      </c>
      <c r="L5571" s="417"/>
      <c r="M5571" s="417" t="s">
        <v>28840</v>
      </c>
    </row>
    <row r="5572" spans="1:13" x14ac:dyDescent="0.25">
      <c r="A5572" s="417" t="s">
        <v>3385</v>
      </c>
      <c r="B5572" s="417" t="s">
        <v>2437</v>
      </c>
      <c r="C5572" s="417" t="s">
        <v>13610</v>
      </c>
      <c r="D5572" s="417" t="s">
        <v>989</v>
      </c>
      <c r="E5572" s="423">
        <v>336518.13055424287</v>
      </c>
      <c r="F5572" s="423">
        <v>10949.249440169729</v>
      </c>
      <c r="G5572" s="422">
        <v>709166354.43516099</v>
      </c>
      <c r="H5572" s="417" t="s">
        <v>2616</v>
      </c>
      <c r="I5572" s="417" t="s">
        <v>1392</v>
      </c>
      <c r="J5572" s="417" t="s">
        <v>5056</v>
      </c>
      <c r="K5572" s="417" t="s">
        <v>13611</v>
      </c>
      <c r="L5572" s="417"/>
      <c r="M5572" s="417" t="s">
        <v>28840</v>
      </c>
    </row>
    <row r="5573" spans="1:13" x14ac:dyDescent="0.25">
      <c r="A5573" s="417" t="s">
        <v>3385</v>
      </c>
      <c r="B5573" s="417" t="s">
        <v>3405</v>
      </c>
      <c r="C5573" s="417" t="s">
        <v>13612</v>
      </c>
      <c r="D5573" s="417" t="s">
        <v>73</v>
      </c>
      <c r="E5573" s="423">
        <v>6.955802816402709E-3</v>
      </c>
      <c r="F5573" s="423">
        <v>9.2190528263069754E-2</v>
      </c>
      <c r="G5573" s="422">
        <v>53.094973041268673</v>
      </c>
      <c r="H5573" s="417" t="s">
        <v>2616</v>
      </c>
      <c r="I5573" s="417" t="s">
        <v>1392</v>
      </c>
      <c r="J5573" s="417" t="s">
        <v>11284</v>
      </c>
      <c r="K5573" s="417" t="s">
        <v>13613</v>
      </c>
      <c r="L5573" s="417"/>
      <c r="M5573" s="417" t="s">
        <v>28840</v>
      </c>
    </row>
    <row r="5574" spans="1:13" x14ac:dyDescent="0.25">
      <c r="A5574" s="417" t="s">
        <v>3385</v>
      </c>
      <c r="B5574" s="417" t="s">
        <v>3405</v>
      </c>
      <c r="C5574" s="417" t="s">
        <v>13614</v>
      </c>
      <c r="D5574" s="417" t="s">
        <v>73</v>
      </c>
      <c r="E5574" s="423">
        <v>7.3806478447567703E-3</v>
      </c>
      <c r="F5574" s="423">
        <v>9.2250514142836693E-2</v>
      </c>
      <c r="G5574" s="422">
        <v>53.813821109987792</v>
      </c>
      <c r="H5574" s="417" t="s">
        <v>2616</v>
      </c>
      <c r="I5574" s="417" t="s">
        <v>1392</v>
      </c>
      <c r="J5574" s="417" t="s">
        <v>11284</v>
      </c>
      <c r="K5574" s="417" t="s">
        <v>13615</v>
      </c>
      <c r="L5574" s="417"/>
      <c r="M5574" s="417" t="s">
        <v>28840</v>
      </c>
    </row>
    <row r="5575" spans="1:13" x14ac:dyDescent="0.25">
      <c r="A5575" s="417" t="s">
        <v>3385</v>
      </c>
      <c r="B5575" s="417" t="s">
        <v>3405</v>
      </c>
      <c r="C5575" s="417" t="s">
        <v>13616</v>
      </c>
      <c r="D5575" s="417" t="s">
        <v>73</v>
      </c>
      <c r="E5575" s="423">
        <v>7.4496970649035538E-3</v>
      </c>
      <c r="F5575" s="423">
        <v>9.222284827833431E-2</v>
      </c>
      <c r="G5575" s="422">
        <v>53.868057288076628</v>
      </c>
      <c r="H5575" s="417" t="s">
        <v>2616</v>
      </c>
      <c r="I5575" s="417" t="s">
        <v>1392</v>
      </c>
      <c r="J5575" s="417" t="s">
        <v>11284</v>
      </c>
      <c r="K5575" s="417" t="s">
        <v>13617</v>
      </c>
      <c r="L5575" s="417"/>
      <c r="M5575" s="417" t="s">
        <v>28840</v>
      </c>
    </row>
    <row r="5576" spans="1:13" x14ac:dyDescent="0.25">
      <c r="A5576" s="417" t="s">
        <v>3385</v>
      </c>
      <c r="B5576" s="417" t="s">
        <v>3405</v>
      </c>
      <c r="C5576" s="417" t="s">
        <v>13618</v>
      </c>
      <c r="D5576" s="417" t="s">
        <v>73</v>
      </c>
      <c r="E5576" s="423">
        <v>7.5221927543153476E-3</v>
      </c>
      <c r="F5576" s="423">
        <v>9.224245389245235E-2</v>
      </c>
      <c r="G5576" s="422">
        <v>54.340342211252462</v>
      </c>
      <c r="H5576" s="417" t="s">
        <v>2616</v>
      </c>
      <c r="I5576" s="417" t="s">
        <v>1392</v>
      </c>
      <c r="J5576" s="417" t="s">
        <v>11284</v>
      </c>
      <c r="K5576" s="417" t="s">
        <v>13619</v>
      </c>
      <c r="L5576" s="417"/>
      <c r="M5576" s="417" t="s">
        <v>28840</v>
      </c>
    </row>
    <row r="5577" spans="1:13" x14ac:dyDescent="0.25">
      <c r="A5577" s="417" t="s">
        <v>3385</v>
      </c>
      <c r="B5577" s="417" t="s">
        <v>3405</v>
      </c>
      <c r="C5577" s="417" t="s">
        <v>13620</v>
      </c>
      <c r="D5577" s="417" t="s">
        <v>73</v>
      </c>
      <c r="E5577" s="423">
        <v>5.9182183553195284E-3</v>
      </c>
      <c r="F5577" s="423">
        <v>8.5365323745124774E-2</v>
      </c>
      <c r="G5577" s="422">
        <v>47.827936897209312</v>
      </c>
      <c r="H5577" s="417" t="s">
        <v>2616</v>
      </c>
      <c r="I5577" s="417" t="s">
        <v>1392</v>
      </c>
      <c r="J5577" s="417" t="s">
        <v>11284</v>
      </c>
      <c r="K5577" s="417" t="s">
        <v>13621</v>
      </c>
      <c r="L5577" s="417"/>
      <c r="M5577" s="417" t="s">
        <v>28840</v>
      </c>
    </row>
    <row r="5578" spans="1:13" x14ac:dyDescent="0.25">
      <c r="A5578" s="417" t="s">
        <v>3385</v>
      </c>
      <c r="B5578" s="417" t="s">
        <v>3405</v>
      </c>
      <c r="C5578" s="417" t="s">
        <v>13622</v>
      </c>
      <c r="D5578" s="417" t="s">
        <v>73</v>
      </c>
      <c r="E5578" s="423">
        <v>6.9242427807430177E-3</v>
      </c>
      <c r="F5578" s="423">
        <v>9.2211501823080563E-2</v>
      </c>
      <c r="G5578" s="422">
        <v>52.675651650600066</v>
      </c>
      <c r="H5578" s="417" t="s">
        <v>2616</v>
      </c>
      <c r="I5578" s="417" t="s">
        <v>1392</v>
      </c>
      <c r="J5578" s="417" t="s">
        <v>11284</v>
      </c>
      <c r="K5578" s="417" t="s">
        <v>13623</v>
      </c>
      <c r="L5578" s="417"/>
      <c r="M5578" s="417" t="s">
        <v>28840</v>
      </c>
    </row>
    <row r="5579" spans="1:13" x14ac:dyDescent="0.25">
      <c r="A5579" s="417" t="s">
        <v>3385</v>
      </c>
      <c r="B5579" s="417" t="s">
        <v>3405</v>
      </c>
      <c r="C5579" s="417" t="s">
        <v>13624</v>
      </c>
      <c r="D5579" s="417" t="s">
        <v>73</v>
      </c>
      <c r="E5579" s="423">
        <v>8.0135660246565404E-3</v>
      </c>
      <c r="F5579" s="423">
        <v>9.2274598909976899E-2</v>
      </c>
      <c r="G5579" s="422">
        <v>55.113099766520612</v>
      </c>
      <c r="H5579" s="417" t="s">
        <v>2616</v>
      </c>
      <c r="I5579" s="417" t="s">
        <v>1392</v>
      </c>
      <c r="J5579" s="417" t="s">
        <v>11284</v>
      </c>
      <c r="K5579" s="417" t="s">
        <v>13625</v>
      </c>
      <c r="L5579" s="417"/>
      <c r="M5579" s="417" t="s">
        <v>28840</v>
      </c>
    </row>
    <row r="5580" spans="1:13" x14ac:dyDescent="0.25">
      <c r="A5580" s="417" t="s">
        <v>3385</v>
      </c>
      <c r="B5580" s="417" t="s">
        <v>3405</v>
      </c>
      <c r="C5580" s="417" t="s">
        <v>13626</v>
      </c>
      <c r="D5580" s="417" t="s">
        <v>73</v>
      </c>
      <c r="E5580" s="423">
        <v>7.8408367292794358E-3</v>
      </c>
      <c r="F5580" s="423">
        <v>9.2271665521582155E-2</v>
      </c>
      <c r="G5580" s="422">
        <v>55.035992402692507</v>
      </c>
      <c r="H5580" s="417" t="s">
        <v>2616</v>
      </c>
      <c r="I5580" s="417" t="s">
        <v>1392</v>
      </c>
      <c r="J5580" s="417" t="s">
        <v>11284</v>
      </c>
      <c r="K5580" s="417" t="s">
        <v>13627</v>
      </c>
      <c r="L5580" s="417"/>
      <c r="M5580" s="417" t="s">
        <v>28840</v>
      </c>
    </row>
    <row r="5581" spans="1:13" x14ac:dyDescent="0.25">
      <c r="A5581" s="417" t="s">
        <v>3385</v>
      </c>
      <c r="B5581" s="417" t="s">
        <v>3405</v>
      </c>
      <c r="C5581" s="417" t="s">
        <v>13628</v>
      </c>
      <c r="D5581" s="417" t="s">
        <v>73</v>
      </c>
      <c r="E5581" s="423">
        <v>6.2662939226855547E-3</v>
      </c>
      <c r="F5581" s="423">
        <v>9.2153866357614675E-2</v>
      </c>
      <c r="G5581" s="422">
        <v>51.10473221431478</v>
      </c>
      <c r="H5581" s="417" t="s">
        <v>2616</v>
      </c>
      <c r="I5581" s="417" t="s">
        <v>1392</v>
      </c>
      <c r="J5581" s="417" t="s">
        <v>11284</v>
      </c>
      <c r="K5581" s="417" t="s">
        <v>13629</v>
      </c>
      <c r="L5581" s="417"/>
      <c r="M5581" s="417" t="s">
        <v>28840</v>
      </c>
    </row>
    <row r="5582" spans="1:13" x14ac:dyDescent="0.25">
      <c r="A5582" s="417" t="s">
        <v>3385</v>
      </c>
      <c r="B5582" s="417" t="s">
        <v>3405</v>
      </c>
      <c r="C5582" s="417" t="s">
        <v>13630</v>
      </c>
      <c r="D5582" s="417" t="s">
        <v>73</v>
      </c>
      <c r="E5582" s="423">
        <v>8.3330152084535192E-3</v>
      </c>
      <c r="F5582" s="423">
        <v>9.230385872249787E-2</v>
      </c>
      <c r="G5582" s="422">
        <v>55.8179480956315</v>
      </c>
      <c r="H5582" s="417" t="s">
        <v>2616</v>
      </c>
      <c r="I5582" s="417" t="s">
        <v>1392</v>
      </c>
      <c r="J5582" s="417" t="s">
        <v>11284</v>
      </c>
      <c r="K5582" s="417" t="s">
        <v>13631</v>
      </c>
      <c r="L5582" s="417"/>
      <c r="M5582" s="417" t="s">
        <v>28840</v>
      </c>
    </row>
    <row r="5583" spans="1:13" x14ac:dyDescent="0.25">
      <c r="A5583" s="417" t="s">
        <v>3385</v>
      </c>
      <c r="B5583" s="417" t="s">
        <v>2437</v>
      </c>
      <c r="C5583" s="417" t="s">
        <v>13632</v>
      </c>
      <c r="D5583" s="417" t="s">
        <v>989</v>
      </c>
      <c r="E5583" s="423">
        <v>1213243.2167534521</v>
      </c>
      <c r="F5583" s="423">
        <v>23175.138776793861</v>
      </c>
      <c r="G5583" s="422">
        <v>2673293734.2512131</v>
      </c>
      <c r="H5583" s="417" t="s">
        <v>2616</v>
      </c>
      <c r="I5583" s="417" t="s">
        <v>1392</v>
      </c>
      <c r="J5583" s="417" t="s">
        <v>5056</v>
      </c>
      <c r="K5583" s="417" t="s">
        <v>13633</v>
      </c>
      <c r="L5583" s="417"/>
      <c r="M5583" s="417" t="s">
        <v>28840</v>
      </c>
    </row>
    <row r="5584" spans="1:13" x14ac:dyDescent="0.25">
      <c r="A5584" s="417" t="s">
        <v>3385</v>
      </c>
      <c r="B5584" s="417" t="s">
        <v>3655</v>
      </c>
      <c r="C5584" s="417" t="s">
        <v>13634</v>
      </c>
      <c r="D5584" s="417" t="s">
        <v>989</v>
      </c>
      <c r="E5584" s="423">
        <v>12995.021237571909</v>
      </c>
      <c r="F5584" s="423">
        <v>7229.7159303123026</v>
      </c>
      <c r="G5584" s="422">
        <v>31055980.239835761</v>
      </c>
      <c r="H5584" s="417" t="s">
        <v>2616</v>
      </c>
      <c r="I5584" s="417" t="s">
        <v>1392</v>
      </c>
      <c r="J5584" s="417" t="s">
        <v>3657</v>
      </c>
      <c r="K5584" s="417" t="s">
        <v>13635</v>
      </c>
      <c r="L5584" s="417"/>
      <c r="M5584" s="417" t="s">
        <v>28840</v>
      </c>
    </row>
    <row r="5585" spans="1:13" x14ac:dyDescent="0.25">
      <c r="A5585" s="417" t="s">
        <v>3385</v>
      </c>
      <c r="B5585" s="417" t="s">
        <v>2437</v>
      </c>
      <c r="C5585" s="417" t="s">
        <v>13636</v>
      </c>
      <c r="D5585" s="417" t="s">
        <v>989</v>
      </c>
      <c r="E5585" s="423">
        <v>18874.07396446386</v>
      </c>
      <c r="F5585" s="423">
        <v>628.6306245909002</v>
      </c>
      <c r="G5585" s="422">
        <v>40266365.942123882</v>
      </c>
      <c r="H5585" s="417" t="s">
        <v>2616</v>
      </c>
      <c r="I5585" s="417" t="s">
        <v>1392</v>
      </c>
      <c r="J5585" s="417" t="s">
        <v>2638</v>
      </c>
      <c r="K5585" s="417" t="s">
        <v>13637</v>
      </c>
      <c r="L5585" s="417"/>
      <c r="M5585" s="417" t="s">
        <v>28840</v>
      </c>
    </row>
    <row r="5586" spans="1:13" x14ac:dyDescent="0.25">
      <c r="A5586" s="417" t="s">
        <v>3385</v>
      </c>
      <c r="B5586" s="417" t="s">
        <v>2437</v>
      </c>
      <c r="C5586" s="417" t="s">
        <v>13638</v>
      </c>
      <c r="D5586" s="417" t="s">
        <v>989</v>
      </c>
      <c r="E5586" s="423">
        <v>36958.753727686511</v>
      </c>
      <c r="F5586" s="423">
        <v>1480.5256408265859</v>
      </c>
      <c r="G5586" s="422">
        <v>73659444.384293139</v>
      </c>
      <c r="H5586" s="417" t="s">
        <v>2616</v>
      </c>
      <c r="I5586" s="417" t="s">
        <v>1392</v>
      </c>
      <c r="J5586" s="417" t="s">
        <v>2638</v>
      </c>
      <c r="K5586" s="417" t="s">
        <v>13639</v>
      </c>
      <c r="L5586" s="417"/>
      <c r="M5586" s="417" t="s">
        <v>28840</v>
      </c>
    </row>
    <row r="5587" spans="1:13" x14ac:dyDescent="0.25">
      <c r="A5587" s="417" t="s">
        <v>3385</v>
      </c>
      <c r="B5587" s="417" t="s">
        <v>2437</v>
      </c>
      <c r="C5587" s="417" t="s">
        <v>13640</v>
      </c>
      <c r="D5587" s="417" t="s">
        <v>989</v>
      </c>
      <c r="E5587" s="423">
        <v>27673.394610753909</v>
      </c>
      <c r="F5587" s="423">
        <v>858.74485525692683</v>
      </c>
      <c r="G5587" s="422">
        <v>59566887.060103312</v>
      </c>
      <c r="H5587" s="417" t="s">
        <v>2616</v>
      </c>
      <c r="I5587" s="417" t="s">
        <v>1392</v>
      </c>
      <c r="J5587" s="417" t="s">
        <v>2638</v>
      </c>
      <c r="K5587" s="417" t="s">
        <v>13641</v>
      </c>
      <c r="L5587" s="417"/>
      <c r="M5587" s="417" t="s">
        <v>28840</v>
      </c>
    </row>
    <row r="5588" spans="1:13" x14ac:dyDescent="0.25">
      <c r="A5588" s="417" t="s">
        <v>3385</v>
      </c>
      <c r="B5588" s="417" t="s">
        <v>2437</v>
      </c>
      <c r="C5588" s="417" t="s">
        <v>13642</v>
      </c>
      <c r="D5588" s="417" t="s">
        <v>989</v>
      </c>
      <c r="E5588" s="423">
        <v>37887.379411882961</v>
      </c>
      <c r="F5588" s="423">
        <v>1148.8218207636189</v>
      </c>
      <c r="G5588" s="422">
        <v>82773273.752484486</v>
      </c>
      <c r="H5588" s="417" t="s">
        <v>2616</v>
      </c>
      <c r="I5588" s="417" t="s">
        <v>1392</v>
      </c>
      <c r="J5588" s="417" t="s">
        <v>2638</v>
      </c>
      <c r="K5588" s="417" t="s">
        <v>13643</v>
      </c>
      <c r="L5588" s="417"/>
      <c r="M5588" s="417" t="s">
        <v>28840</v>
      </c>
    </row>
    <row r="5589" spans="1:13" x14ac:dyDescent="0.25">
      <c r="A5589" s="417" t="s">
        <v>3385</v>
      </c>
      <c r="B5589" s="417" t="s">
        <v>2623</v>
      </c>
      <c r="C5589" s="417" t="s">
        <v>13644</v>
      </c>
      <c r="D5589" s="417" t="s">
        <v>83</v>
      </c>
      <c r="E5589" s="423">
        <v>2.9507409164077161</v>
      </c>
      <c r="F5589" s="423">
        <v>0.13412213607374521</v>
      </c>
      <c r="G5589" s="422">
        <v>93323.701009230732</v>
      </c>
      <c r="H5589" s="417" t="s">
        <v>2616</v>
      </c>
      <c r="I5589" s="417" t="s">
        <v>1392</v>
      </c>
      <c r="J5589" s="417" t="s">
        <v>7337</v>
      </c>
      <c r="K5589" s="417" t="s">
        <v>13645</v>
      </c>
      <c r="L5589" s="417"/>
      <c r="M5589" s="417" t="s">
        <v>28840</v>
      </c>
    </row>
    <row r="5590" spans="1:13" x14ac:dyDescent="0.25">
      <c r="A5590" s="417" t="s">
        <v>3385</v>
      </c>
      <c r="B5590" s="417" t="s">
        <v>2437</v>
      </c>
      <c r="C5590" s="417" t="s">
        <v>13646</v>
      </c>
      <c r="D5590" s="417" t="s">
        <v>88</v>
      </c>
      <c r="E5590" s="423">
        <v>48.855230821641541</v>
      </c>
      <c r="F5590" s="423">
        <v>2.6449221162059331</v>
      </c>
      <c r="G5590" s="422">
        <v>246938.36405964059</v>
      </c>
      <c r="H5590" s="417" t="s">
        <v>2616</v>
      </c>
      <c r="I5590" s="417" t="s">
        <v>1392</v>
      </c>
      <c r="J5590" s="417" t="s">
        <v>3871</v>
      </c>
      <c r="K5590" s="417" t="s">
        <v>13647</v>
      </c>
      <c r="L5590" s="417"/>
      <c r="M5590" s="417" t="s">
        <v>28840</v>
      </c>
    </row>
    <row r="5591" spans="1:13" x14ac:dyDescent="0.25">
      <c r="A5591" s="417" t="s">
        <v>3385</v>
      </c>
      <c r="B5591" s="417" t="s">
        <v>2437</v>
      </c>
      <c r="C5591" s="417" t="s">
        <v>13648</v>
      </c>
      <c r="D5591" s="417" t="s">
        <v>88</v>
      </c>
      <c r="E5591" s="423">
        <v>3.73094663569701</v>
      </c>
      <c r="F5591" s="423">
        <v>0.2337715922039339</v>
      </c>
      <c r="G5591" s="422">
        <v>7124.4548288753431</v>
      </c>
      <c r="H5591" s="417" t="s">
        <v>2616</v>
      </c>
      <c r="I5591" s="417" t="s">
        <v>1392</v>
      </c>
      <c r="J5591" s="417" t="s">
        <v>3871</v>
      </c>
      <c r="K5591" s="417" t="s">
        <v>13649</v>
      </c>
      <c r="L5591" s="417"/>
      <c r="M5591" s="417" t="s">
        <v>28840</v>
      </c>
    </row>
    <row r="5592" spans="1:13" x14ac:dyDescent="0.25">
      <c r="A5592" s="417" t="s">
        <v>3385</v>
      </c>
      <c r="B5592" s="417" t="s">
        <v>2437</v>
      </c>
      <c r="C5592" s="417" t="s">
        <v>13650</v>
      </c>
      <c r="D5592" s="417" t="s">
        <v>88</v>
      </c>
      <c r="E5592" s="423">
        <v>6.9658174652122344</v>
      </c>
      <c r="F5592" s="423">
        <v>0.1579294212373118</v>
      </c>
      <c r="G5592" s="422">
        <v>11914.20995395406</v>
      </c>
      <c r="H5592" s="417" t="s">
        <v>2616</v>
      </c>
      <c r="I5592" s="417" t="s">
        <v>1392</v>
      </c>
      <c r="J5592" s="417" t="s">
        <v>3871</v>
      </c>
      <c r="K5592" s="417" t="s">
        <v>13651</v>
      </c>
      <c r="L5592" s="417"/>
      <c r="M5592" s="417" t="s">
        <v>28840</v>
      </c>
    </row>
    <row r="5593" spans="1:13" x14ac:dyDescent="0.25">
      <c r="A5593" s="417" t="s">
        <v>3385</v>
      </c>
      <c r="B5593" s="417" t="s">
        <v>2627</v>
      </c>
      <c r="C5593" s="417" t="s">
        <v>980</v>
      </c>
      <c r="D5593" s="417" t="s">
        <v>88</v>
      </c>
      <c r="E5593" s="423">
        <v>1.3709856774081619</v>
      </c>
      <c r="F5593" s="423">
        <v>0.34698586844419388</v>
      </c>
      <c r="G5593" s="422">
        <v>3246.7240519181519</v>
      </c>
      <c r="H5593" s="417" t="s">
        <v>2616</v>
      </c>
      <c r="I5593" s="417" t="s">
        <v>28841</v>
      </c>
      <c r="J5593" s="417" t="s">
        <v>3633</v>
      </c>
      <c r="K5593" s="417" t="s">
        <v>13652</v>
      </c>
      <c r="L5593" s="417"/>
      <c r="M5593" s="417" t="s">
        <v>28840</v>
      </c>
    </row>
    <row r="5594" spans="1:13" x14ac:dyDescent="0.25">
      <c r="A5594" s="417" t="s">
        <v>3385</v>
      </c>
      <c r="B5594" s="417" t="s">
        <v>2627</v>
      </c>
      <c r="C5594" s="417" t="s">
        <v>1074</v>
      </c>
      <c r="D5594" s="417" t="s">
        <v>88</v>
      </c>
      <c r="E5594" s="423">
        <v>69.712412377862435</v>
      </c>
      <c r="F5594" s="423">
        <v>3.4530583271948152</v>
      </c>
      <c r="G5594" s="422">
        <v>75383.414035019101</v>
      </c>
      <c r="H5594" s="417" t="s">
        <v>2616</v>
      </c>
      <c r="I5594" s="417" t="s">
        <v>28841</v>
      </c>
      <c r="J5594" s="417" t="s">
        <v>3703</v>
      </c>
      <c r="K5594" s="417" t="s">
        <v>13653</v>
      </c>
      <c r="L5594" s="417"/>
      <c r="M5594" s="417" t="s">
        <v>28840</v>
      </c>
    </row>
    <row r="5595" spans="1:13" x14ac:dyDescent="0.25">
      <c r="A5595" s="417" t="s">
        <v>3385</v>
      </c>
      <c r="B5595" s="417" t="s">
        <v>2627</v>
      </c>
      <c r="C5595" s="417" t="s">
        <v>13654</v>
      </c>
      <c r="D5595" s="417" t="s">
        <v>88</v>
      </c>
      <c r="E5595" s="423">
        <v>141.49201644773859</v>
      </c>
      <c r="F5595" s="423">
        <v>5.8464285517333563</v>
      </c>
      <c r="G5595" s="422">
        <v>151368.97623257709</v>
      </c>
      <c r="H5595" s="417" t="s">
        <v>2616</v>
      </c>
      <c r="I5595" s="417" t="s">
        <v>1392</v>
      </c>
      <c r="J5595" s="417" t="s">
        <v>3703</v>
      </c>
      <c r="K5595" s="417" t="s">
        <v>13655</v>
      </c>
      <c r="L5595" s="417"/>
      <c r="M5595" s="417" t="s">
        <v>28840</v>
      </c>
    </row>
    <row r="5596" spans="1:13" x14ac:dyDescent="0.25">
      <c r="A5596" s="417" t="s">
        <v>3385</v>
      </c>
      <c r="B5596" s="417" t="s">
        <v>2627</v>
      </c>
      <c r="C5596" s="417" t="s">
        <v>13656</v>
      </c>
      <c r="D5596" s="417" t="s">
        <v>88</v>
      </c>
      <c r="E5596" s="423">
        <v>1.001573155690529</v>
      </c>
      <c r="F5596" s="423">
        <v>7.4104495265817404E-3</v>
      </c>
      <c r="G5596" s="422">
        <v>2147.111595307103</v>
      </c>
      <c r="H5596" s="417" t="s">
        <v>2616</v>
      </c>
      <c r="I5596" s="417" t="s">
        <v>1392</v>
      </c>
      <c r="J5596" s="417" t="s">
        <v>3742</v>
      </c>
      <c r="K5596" s="417" t="s">
        <v>13657</v>
      </c>
      <c r="L5596" s="417"/>
      <c r="M5596" s="417" t="s">
        <v>28840</v>
      </c>
    </row>
    <row r="5597" spans="1:13" x14ac:dyDescent="0.25">
      <c r="A5597" s="417" t="s">
        <v>3385</v>
      </c>
      <c r="B5597" s="417" t="s">
        <v>2627</v>
      </c>
      <c r="C5597" s="417" t="s">
        <v>13658</v>
      </c>
      <c r="D5597" s="417" t="s">
        <v>989</v>
      </c>
      <c r="E5597" s="423">
        <v>137385974.23198339</v>
      </c>
      <c r="F5597" s="423">
        <v>44171871.909138814</v>
      </c>
      <c r="G5597" s="422">
        <v>342621603738.36731</v>
      </c>
      <c r="H5597" s="417" t="s">
        <v>2616</v>
      </c>
      <c r="I5597" s="417" t="s">
        <v>1392</v>
      </c>
      <c r="J5597" s="417" t="s">
        <v>3711</v>
      </c>
      <c r="K5597" s="417" t="s">
        <v>13659</v>
      </c>
      <c r="L5597" s="417"/>
      <c r="M5597" s="417" t="s">
        <v>28840</v>
      </c>
    </row>
    <row r="5598" spans="1:13" x14ac:dyDescent="0.25">
      <c r="A5598" s="417" t="s">
        <v>3385</v>
      </c>
      <c r="B5598" s="417" t="s">
        <v>2627</v>
      </c>
      <c r="C5598" s="417" t="s">
        <v>13660</v>
      </c>
      <c r="D5598" s="417" t="s">
        <v>88</v>
      </c>
      <c r="E5598" s="423">
        <v>0.1607728128389854</v>
      </c>
      <c r="F5598" s="423">
        <v>1.835605151423568E-2</v>
      </c>
      <c r="G5598" s="422">
        <v>563.16997052210547</v>
      </c>
      <c r="H5598" s="417" t="s">
        <v>2616</v>
      </c>
      <c r="I5598" s="417" t="s">
        <v>1392</v>
      </c>
      <c r="J5598" s="417" t="s">
        <v>3742</v>
      </c>
      <c r="K5598" s="417" t="s">
        <v>13661</v>
      </c>
      <c r="L5598" s="417"/>
      <c r="M5598" s="417" t="s">
        <v>28840</v>
      </c>
    </row>
    <row r="5599" spans="1:13" x14ac:dyDescent="0.25">
      <c r="A5599" s="417" t="s">
        <v>3385</v>
      </c>
      <c r="B5599" s="417" t="s">
        <v>2627</v>
      </c>
      <c r="C5599" s="417" t="s">
        <v>1101</v>
      </c>
      <c r="D5599" s="417" t="s">
        <v>88</v>
      </c>
      <c r="E5599" s="423">
        <v>76.10823439377701</v>
      </c>
      <c r="F5599" s="423">
        <v>3.7109731869888369</v>
      </c>
      <c r="G5599" s="422">
        <v>81087.936870963647</v>
      </c>
      <c r="H5599" s="417" t="s">
        <v>2616</v>
      </c>
      <c r="I5599" s="417" t="s">
        <v>28841</v>
      </c>
      <c r="J5599" s="417" t="s">
        <v>3915</v>
      </c>
      <c r="K5599" s="417" t="s">
        <v>13662</v>
      </c>
      <c r="L5599" s="417"/>
      <c r="M5599" s="417" t="s">
        <v>28840</v>
      </c>
    </row>
    <row r="5600" spans="1:13" x14ac:dyDescent="0.25">
      <c r="A5600" s="417" t="s">
        <v>3385</v>
      </c>
      <c r="B5600" s="417" t="s">
        <v>2627</v>
      </c>
      <c r="C5600" s="417" t="s">
        <v>13663</v>
      </c>
      <c r="D5600" s="417" t="s">
        <v>88</v>
      </c>
      <c r="E5600" s="423">
        <v>0.52246313381992826</v>
      </c>
      <c r="F5600" s="423">
        <v>4.9657615110520179E-2</v>
      </c>
      <c r="G5600" s="422">
        <v>1179.903592706431</v>
      </c>
      <c r="H5600" s="417" t="s">
        <v>2616</v>
      </c>
      <c r="I5600" s="417" t="s">
        <v>1392</v>
      </c>
      <c r="J5600" s="417" t="s">
        <v>3915</v>
      </c>
      <c r="K5600" s="417" t="s">
        <v>13664</v>
      </c>
      <c r="L5600" s="417"/>
      <c r="M5600" s="417" t="s">
        <v>28840</v>
      </c>
    </row>
    <row r="5601" spans="1:13" x14ac:dyDescent="0.25">
      <c r="A5601" s="417" t="s">
        <v>3385</v>
      </c>
      <c r="B5601" s="417" t="s">
        <v>3405</v>
      </c>
      <c r="C5601" s="417" t="s">
        <v>13665</v>
      </c>
      <c r="D5601" s="417" t="s">
        <v>989</v>
      </c>
      <c r="E5601" s="423">
        <v>186.00286012731891</v>
      </c>
      <c r="F5601" s="423">
        <v>6.9273865295268253</v>
      </c>
      <c r="G5601" s="422">
        <v>384357.09041486302</v>
      </c>
      <c r="H5601" s="417" t="s">
        <v>2616</v>
      </c>
      <c r="I5601" s="417" t="s">
        <v>1392</v>
      </c>
      <c r="J5601" s="417" t="s">
        <v>13666</v>
      </c>
      <c r="K5601" s="417" t="s">
        <v>13667</v>
      </c>
      <c r="L5601" s="417"/>
      <c r="M5601" s="417" t="s">
        <v>28840</v>
      </c>
    </row>
    <row r="5602" spans="1:13" x14ac:dyDescent="0.25">
      <c r="A5602" s="417" t="s">
        <v>3385</v>
      </c>
      <c r="B5602" s="417" t="s">
        <v>3405</v>
      </c>
      <c r="C5602" s="417" t="s">
        <v>13668</v>
      </c>
      <c r="D5602" s="417" t="s">
        <v>989</v>
      </c>
      <c r="E5602" s="423">
        <v>63.193164556890757</v>
      </c>
      <c r="F5602" s="423">
        <v>3.4255316115425001</v>
      </c>
      <c r="G5602" s="422">
        <v>230300.28297114049</v>
      </c>
      <c r="H5602" s="417" t="s">
        <v>2616</v>
      </c>
      <c r="I5602" s="417" t="s">
        <v>1392</v>
      </c>
      <c r="J5602" s="417" t="s">
        <v>13666</v>
      </c>
      <c r="K5602" s="417" t="s">
        <v>13669</v>
      </c>
      <c r="L5602" s="417"/>
      <c r="M5602" s="417" t="s">
        <v>28840</v>
      </c>
    </row>
    <row r="5603" spans="1:13" x14ac:dyDescent="0.25">
      <c r="A5603" s="417" t="s">
        <v>3385</v>
      </c>
      <c r="B5603" s="417" t="s">
        <v>3405</v>
      </c>
      <c r="C5603" s="417" t="s">
        <v>13670</v>
      </c>
      <c r="D5603" s="417" t="s">
        <v>989</v>
      </c>
      <c r="E5603" s="423">
        <v>2644.617196230879</v>
      </c>
      <c r="F5603" s="423">
        <v>108.4474663274227</v>
      </c>
      <c r="G5603" s="422">
        <v>4999628.7154403254</v>
      </c>
      <c r="H5603" s="417" t="s">
        <v>2616</v>
      </c>
      <c r="I5603" s="417" t="s">
        <v>1392</v>
      </c>
      <c r="J5603" s="417" t="s">
        <v>13666</v>
      </c>
      <c r="K5603" s="417" t="s">
        <v>13671</v>
      </c>
      <c r="L5603" s="417"/>
      <c r="M5603" s="417" t="s">
        <v>28840</v>
      </c>
    </row>
    <row r="5604" spans="1:13" x14ac:dyDescent="0.25">
      <c r="A5604" s="417" t="s">
        <v>3385</v>
      </c>
      <c r="B5604" s="417" t="s">
        <v>3405</v>
      </c>
      <c r="C5604" s="417" t="s">
        <v>13672</v>
      </c>
      <c r="D5604" s="417" t="s">
        <v>989</v>
      </c>
      <c r="E5604" s="423">
        <v>2542.3156231982562</v>
      </c>
      <c r="F5604" s="423">
        <v>104.6374037434996</v>
      </c>
      <c r="G5604" s="422">
        <v>4788232.3164954185</v>
      </c>
      <c r="H5604" s="417" t="s">
        <v>2616</v>
      </c>
      <c r="I5604" s="417" t="s">
        <v>1392</v>
      </c>
      <c r="J5604" s="417" t="s">
        <v>13666</v>
      </c>
      <c r="K5604" s="417" t="s">
        <v>13673</v>
      </c>
      <c r="L5604" s="417"/>
      <c r="M5604" s="417" t="s">
        <v>28840</v>
      </c>
    </row>
    <row r="5605" spans="1:13" x14ac:dyDescent="0.25">
      <c r="A5605" s="417" t="s">
        <v>3385</v>
      </c>
      <c r="B5605" s="417" t="s">
        <v>3405</v>
      </c>
      <c r="C5605" s="417" t="s">
        <v>13674</v>
      </c>
      <c r="D5605" s="417" t="s">
        <v>989</v>
      </c>
      <c r="E5605" s="423">
        <v>43.747092731978263</v>
      </c>
      <c r="F5605" s="423">
        <v>2.3015641598332039</v>
      </c>
      <c r="G5605" s="422">
        <v>78685.788273448939</v>
      </c>
      <c r="H5605" s="417" t="s">
        <v>2616</v>
      </c>
      <c r="I5605" s="417" t="s">
        <v>1392</v>
      </c>
      <c r="J5605" s="417" t="s">
        <v>12019</v>
      </c>
      <c r="K5605" s="417" t="s">
        <v>13675</v>
      </c>
      <c r="L5605" s="417"/>
      <c r="M5605" s="417" t="s">
        <v>28840</v>
      </c>
    </row>
    <row r="5606" spans="1:13" x14ac:dyDescent="0.25">
      <c r="A5606" s="417" t="s">
        <v>3385</v>
      </c>
      <c r="B5606" s="417" t="s">
        <v>2437</v>
      </c>
      <c r="C5606" s="417" t="s">
        <v>13676</v>
      </c>
      <c r="D5606" s="417" t="s">
        <v>989</v>
      </c>
      <c r="E5606" s="423">
        <v>130430.62361617771</v>
      </c>
      <c r="F5606" s="423">
        <v>2820.5265454363162</v>
      </c>
      <c r="G5606" s="422">
        <v>506015705.00713009</v>
      </c>
      <c r="H5606" s="417" t="s">
        <v>2616</v>
      </c>
      <c r="I5606" s="417" t="s">
        <v>1392</v>
      </c>
      <c r="J5606" s="417" t="s">
        <v>4009</v>
      </c>
      <c r="K5606" s="417" t="s">
        <v>13677</v>
      </c>
      <c r="L5606" s="417"/>
      <c r="M5606" s="417" t="s">
        <v>28840</v>
      </c>
    </row>
    <row r="5607" spans="1:13" x14ac:dyDescent="0.25">
      <c r="A5607" s="417" t="s">
        <v>3385</v>
      </c>
      <c r="B5607" s="417" t="s">
        <v>2437</v>
      </c>
      <c r="C5607" s="417" t="s">
        <v>13678</v>
      </c>
      <c r="D5607" s="417" t="s">
        <v>989</v>
      </c>
      <c r="E5607" s="423">
        <v>18.848759105836489</v>
      </c>
      <c r="F5607" s="423">
        <v>0.69826675185323506</v>
      </c>
      <c r="G5607" s="422">
        <v>31667.987373065691</v>
      </c>
      <c r="H5607" s="417" t="s">
        <v>2616</v>
      </c>
      <c r="I5607" s="417" t="s">
        <v>1392</v>
      </c>
      <c r="J5607" s="417" t="s">
        <v>2638</v>
      </c>
      <c r="K5607" s="417" t="s">
        <v>13679</v>
      </c>
      <c r="L5607" s="417"/>
      <c r="M5607" s="417" t="s">
        <v>28840</v>
      </c>
    </row>
    <row r="5608" spans="1:13" x14ac:dyDescent="0.25">
      <c r="A5608" s="417" t="s">
        <v>3385</v>
      </c>
      <c r="B5608" s="417" t="s">
        <v>2437</v>
      </c>
      <c r="C5608" s="417" t="s">
        <v>13680</v>
      </c>
      <c r="D5608" s="417" t="s">
        <v>989</v>
      </c>
      <c r="E5608" s="423">
        <v>17812.21951814034</v>
      </c>
      <c r="F5608" s="423">
        <v>2040.9417813728089</v>
      </c>
      <c r="G5608" s="422">
        <v>48531813.267361648</v>
      </c>
      <c r="H5608" s="417" t="s">
        <v>2616</v>
      </c>
      <c r="I5608" s="417" t="s">
        <v>1392</v>
      </c>
      <c r="J5608" s="417" t="s">
        <v>2638</v>
      </c>
      <c r="K5608" s="417" t="s">
        <v>13681</v>
      </c>
      <c r="L5608" s="417"/>
      <c r="M5608" s="417" t="s">
        <v>28840</v>
      </c>
    </row>
    <row r="5609" spans="1:13" x14ac:dyDescent="0.25">
      <c r="A5609" s="417" t="s">
        <v>3385</v>
      </c>
      <c r="B5609" s="417" t="s">
        <v>3405</v>
      </c>
      <c r="C5609" s="417" t="s">
        <v>13682</v>
      </c>
      <c r="D5609" s="417" t="s">
        <v>989</v>
      </c>
      <c r="E5609" s="423">
        <v>28130.180857195272</v>
      </c>
      <c r="F5609" s="423">
        <v>845.03855002541286</v>
      </c>
      <c r="G5609" s="422">
        <v>42579877.857882753</v>
      </c>
      <c r="H5609" s="417" t="s">
        <v>2616</v>
      </c>
      <c r="I5609" s="417" t="s">
        <v>1392</v>
      </c>
      <c r="J5609" s="417" t="s">
        <v>13666</v>
      </c>
      <c r="K5609" s="417" t="s">
        <v>13683</v>
      </c>
      <c r="L5609" s="417"/>
      <c r="M5609" s="417" t="s">
        <v>28840</v>
      </c>
    </row>
    <row r="5610" spans="1:13" x14ac:dyDescent="0.25">
      <c r="A5610" s="417" t="s">
        <v>3385</v>
      </c>
      <c r="B5610" s="417" t="s">
        <v>2437</v>
      </c>
      <c r="C5610" s="417" t="s">
        <v>13684</v>
      </c>
      <c r="D5610" s="417" t="s">
        <v>989</v>
      </c>
      <c r="E5610" s="423">
        <v>56.075106672786951</v>
      </c>
      <c r="F5610" s="423">
        <v>2.7388922899143702</v>
      </c>
      <c r="G5610" s="422">
        <v>164800.46590884999</v>
      </c>
      <c r="H5610" s="417" t="s">
        <v>2616</v>
      </c>
      <c r="I5610" s="417" t="s">
        <v>1392</v>
      </c>
      <c r="J5610" s="417" t="s">
        <v>2638</v>
      </c>
      <c r="K5610" s="417" t="s">
        <v>13685</v>
      </c>
      <c r="L5610" s="417"/>
      <c r="M5610" s="417" t="s">
        <v>28840</v>
      </c>
    </row>
    <row r="5611" spans="1:13" x14ac:dyDescent="0.25">
      <c r="A5611" s="417" t="s">
        <v>3385</v>
      </c>
      <c r="B5611" s="417" t="s">
        <v>2437</v>
      </c>
      <c r="C5611" s="417" t="s">
        <v>13686</v>
      </c>
      <c r="D5611" s="417" t="s">
        <v>989</v>
      </c>
      <c r="E5611" s="423">
        <v>40.043590775990083</v>
      </c>
      <c r="F5611" s="423">
        <v>1.4653969390121691</v>
      </c>
      <c r="G5611" s="422">
        <v>83618.028665523729</v>
      </c>
      <c r="H5611" s="417" t="s">
        <v>2616</v>
      </c>
      <c r="I5611" s="417" t="s">
        <v>1392</v>
      </c>
      <c r="J5611" s="417" t="s">
        <v>2638</v>
      </c>
      <c r="K5611" s="417" t="s">
        <v>13687</v>
      </c>
      <c r="L5611" s="417"/>
      <c r="M5611" s="417" t="s">
        <v>28840</v>
      </c>
    </row>
    <row r="5612" spans="1:13" x14ac:dyDescent="0.25">
      <c r="A5612" s="417" t="s">
        <v>3385</v>
      </c>
      <c r="B5612" s="417" t="s">
        <v>2437</v>
      </c>
      <c r="C5612" s="417" t="s">
        <v>13688</v>
      </c>
      <c r="D5612" s="417" t="s">
        <v>989</v>
      </c>
      <c r="E5612" s="423">
        <v>15.697845115834999</v>
      </c>
      <c r="F5612" s="423">
        <v>0.63373701862172171</v>
      </c>
      <c r="G5612" s="422">
        <v>29105.225360941971</v>
      </c>
      <c r="H5612" s="417" t="s">
        <v>2616</v>
      </c>
      <c r="I5612" s="417" t="s">
        <v>1392</v>
      </c>
      <c r="J5612" s="417" t="s">
        <v>3871</v>
      </c>
      <c r="K5612" s="417" t="s">
        <v>13689</v>
      </c>
      <c r="L5612" s="417"/>
      <c r="M5612" s="417" t="s">
        <v>28840</v>
      </c>
    </row>
    <row r="5613" spans="1:13" x14ac:dyDescent="0.25">
      <c r="A5613" s="417" t="s">
        <v>3385</v>
      </c>
      <c r="B5613" s="417" t="s">
        <v>2437</v>
      </c>
      <c r="C5613" s="417" t="s">
        <v>13690</v>
      </c>
      <c r="D5613" s="417" t="s">
        <v>989</v>
      </c>
      <c r="E5613" s="423">
        <v>420.35735718788231</v>
      </c>
      <c r="F5613" s="423">
        <v>18.396333504911631</v>
      </c>
      <c r="G5613" s="422">
        <v>1002798.215721135</v>
      </c>
      <c r="H5613" s="417" t="s">
        <v>2616</v>
      </c>
      <c r="I5613" s="417" t="s">
        <v>1392</v>
      </c>
      <c r="J5613" s="417" t="s">
        <v>2638</v>
      </c>
      <c r="K5613" s="417" t="s">
        <v>13691</v>
      </c>
      <c r="L5613" s="417"/>
      <c r="M5613" s="417" t="s">
        <v>28840</v>
      </c>
    </row>
    <row r="5614" spans="1:13" x14ac:dyDescent="0.25">
      <c r="A5614" s="417" t="s">
        <v>3385</v>
      </c>
      <c r="B5614" s="417" t="s">
        <v>2437</v>
      </c>
      <c r="C5614" s="417" t="s">
        <v>13692</v>
      </c>
      <c r="D5614" s="417" t="s">
        <v>989</v>
      </c>
      <c r="E5614" s="423">
        <v>253.74992752216431</v>
      </c>
      <c r="F5614" s="423">
        <v>9.2634639646742531</v>
      </c>
      <c r="G5614" s="422">
        <v>406960.54941820708</v>
      </c>
      <c r="H5614" s="417" t="s">
        <v>2616</v>
      </c>
      <c r="I5614" s="417" t="s">
        <v>1392</v>
      </c>
      <c r="J5614" s="417" t="s">
        <v>2638</v>
      </c>
      <c r="K5614" s="417" t="s">
        <v>13693</v>
      </c>
      <c r="L5614" s="417"/>
      <c r="M5614" s="417" t="s">
        <v>28840</v>
      </c>
    </row>
    <row r="5615" spans="1:13" x14ac:dyDescent="0.25">
      <c r="A5615" s="417" t="s">
        <v>3385</v>
      </c>
      <c r="B5615" s="417" t="s">
        <v>2437</v>
      </c>
      <c r="C5615" s="417" t="s">
        <v>13694</v>
      </c>
      <c r="D5615" s="417" t="s">
        <v>989</v>
      </c>
      <c r="E5615" s="423">
        <v>2246.718753614336</v>
      </c>
      <c r="F5615" s="423">
        <v>128.8736078556573</v>
      </c>
      <c r="G5615" s="422">
        <v>6987607.2170693893</v>
      </c>
      <c r="H5615" s="417" t="s">
        <v>2616</v>
      </c>
      <c r="I5615" s="417" t="s">
        <v>1392</v>
      </c>
      <c r="J5615" s="417" t="s">
        <v>2638</v>
      </c>
      <c r="K5615" s="417" t="s">
        <v>13695</v>
      </c>
      <c r="L5615" s="417"/>
      <c r="M5615" s="417" t="s">
        <v>28840</v>
      </c>
    </row>
    <row r="5616" spans="1:13" x14ac:dyDescent="0.25">
      <c r="A5616" s="417" t="s">
        <v>3385</v>
      </c>
      <c r="B5616" s="417" t="s">
        <v>2437</v>
      </c>
      <c r="C5616" s="417" t="s">
        <v>13696</v>
      </c>
      <c r="D5616" s="417" t="s">
        <v>989</v>
      </c>
      <c r="E5616" s="423">
        <v>56511.478889361053</v>
      </c>
      <c r="F5616" s="423">
        <v>1191.2779711761791</v>
      </c>
      <c r="G5616" s="422">
        <v>82801668.629812211</v>
      </c>
      <c r="H5616" s="417" t="s">
        <v>2616</v>
      </c>
      <c r="I5616" s="417" t="s">
        <v>1392</v>
      </c>
      <c r="J5616" s="417" t="s">
        <v>5056</v>
      </c>
      <c r="K5616" s="417" t="s">
        <v>13697</v>
      </c>
      <c r="L5616" s="417"/>
      <c r="M5616" s="417" t="s">
        <v>28840</v>
      </c>
    </row>
    <row r="5617" spans="1:13" x14ac:dyDescent="0.25">
      <c r="A5617" s="417" t="s">
        <v>3385</v>
      </c>
      <c r="B5617" s="417" t="s">
        <v>2437</v>
      </c>
      <c r="C5617" s="417" t="s">
        <v>13698</v>
      </c>
      <c r="D5617" s="417" t="s">
        <v>989</v>
      </c>
      <c r="E5617" s="423">
        <v>1554546.617218734</v>
      </c>
      <c r="F5617" s="423">
        <v>134011.11720021479</v>
      </c>
      <c r="G5617" s="422">
        <v>2381250677.5129929</v>
      </c>
      <c r="H5617" s="417" t="s">
        <v>2616</v>
      </c>
      <c r="I5617" s="417" t="s">
        <v>1392</v>
      </c>
      <c r="J5617" s="417" t="s">
        <v>5056</v>
      </c>
      <c r="K5617" s="417" t="s">
        <v>13699</v>
      </c>
      <c r="L5617" s="417"/>
      <c r="M5617" s="417" t="s">
        <v>28840</v>
      </c>
    </row>
    <row r="5618" spans="1:13" x14ac:dyDescent="0.25">
      <c r="A5618" s="417" t="s">
        <v>3385</v>
      </c>
      <c r="B5618" s="417" t="s">
        <v>2437</v>
      </c>
      <c r="C5618" s="417" t="s">
        <v>13700</v>
      </c>
      <c r="D5618" s="417" t="s">
        <v>989</v>
      </c>
      <c r="E5618" s="423">
        <v>100286.1335656156</v>
      </c>
      <c r="F5618" s="423">
        <v>11451.76653548423</v>
      </c>
      <c r="G5618" s="422">
        <v>176227654.80568379</v>
      </c>
      <c r="H5618" s="417" t="s">
        <v>2616</v>
      </c>
      <c r="I5618" s="417" t="s">
        <v>1392</v>
      </c>
      <c r="J5618" s="417" t="s">
        <v>5056</v>
      </c>
      <c r="K5618" s="417" t="s">
        <v>13701</v>
      </c>
      <c r="L5618" s="417"/>
      <c r="M5618" s="417" t="s">
        <v>28840</v>
      </c>
    </row>
    <row r="5619" spans="1:13" x14ac:dyDescent="0.25">
      <c r="A5619" s="417" t="s">
        <v>3385</v>
      </c>
      <c r="B5619" s="417" t="s">
        <v>2437</v>
      </c>
      <c r="C5619" s="417" t="s">
        <v>13702</v>
      </c>
      <c r="D5619" s="417" t="s">
        <v>989</v>
      </c>
      <c r="E5619" s="423">
        <v>1027555.540029327</v>
      </c>
      <c r="F5619" s="423">
        <v>64679.460692943008</v>
      </c>
      <c r="G5619" s="422">
        <v>1875260360.2170341</v>
      </c>
      <c r="H5619" s="417" t="s">
        <v>2616</v>
      </c>
      <c r="I5619" s="417" t="s">
        <v>1392</v>
      </c>
      <c r="J5619" s="417" t="s">
        <v>5056</v>
      </c>
      <c r="K5619" s="417" t="s">
        <v>13703</v>
      </c>
      <c r="L5619" s="417"/>
      <c r="M5619" s="417" t="s">
        <v>28840</v>
      </c>
    </row>
    <row r="5620" spans="1:13" x14ac:dyDescent="0.25">
      <c r="A5620" s="417" t="s">
        <v>3385</v>
      </c>
      <c r="B5620" s="417" t="s">
        <v>2437</v>
      </c>
      <c r="C5620" s="417" t="s">
        <v>13704</v>
      </c>
      <c r="D5620" s="417" t="s">
        <v>989</v>
      </c>
      <c r="E5620" s="423">
        <v>11509.536952495129</v>
      </c>
      <c r="F5620" s="423">
        <v>659.26026858088198</v>
      </c>
      <c r="G5620" s="422">
        <v>20278150.107503179</v>
      </c>
      <c r="H5620" s="417" t="s">
        <v>2616</v>
      </c>
      <c r="I5620" s="417" t="s">
        <v>1392</v>
      </c>
      <c r="J5620" s="417" t="s">
        <v>2638</v>
      </c>
      <c r="K5620" s="417" t="s">
        <v>13705</v>
      </c>
      <c r="L5620" s="417"/>
      <c r="M5620" s="417" t="s">
        <v>28840</v>
      </c>
    </row>
    <row r="5621" spans="1:13" x14ac:dyDescent="0.25">
      <c r="A5621" s="417" t="s">
        <v>3385</v>
      </c>
      <c r="B5621" s="417" t="s">
        <v>2437</v>
      </c>
      <c r="C5621" s="417" t="s">
        <v>13706</v>
      </c>
      <c r="D5621" s="417" t="s">
        <v>989</v>
      </c>
      <c r="E5621" s="423">
        <v>15200.11550745282</v>
      </c>
      <c r="F5621" s="423">
        <v>845.67330879602002</v>
      </c>
      <c r="G5621" s="422">
        <v>27117843.092395391</v>
      </c>
      <c r="H5621" s="417" t="s">
        <v>2616</v>
      </c>
      <c r="I5621" s="417" t="s">
        <v>1392</v>
      </c>
      <c r="J5621" s="417" t="s">
        <v>2638</v>
      </c>
      <c r="K5621" s="417" t="s">
        <v>13707</v>
      </c>
      <c r="L5621" s="417"/>
      <c r="M5621" s="417" t="s">
        <v>28840</v>
      </c>
    </row>
    <row r="5622" spans="1:13" x14ac:dyDescent="0.25">
      <c r="A5622" s="417" t="s">
        <v>3385</v>
      </c>
      <c r="B5622" s="417" t="s">
        <v>2437</v>
      </c>
      <c r="C5622" s="417" t="s">
        <v>13708</v>
      </c>
      <c r="D5622" s="417" t="s">
        <v>989</v>
      </c>
      <c r="E5622" s="423">
        <v>21973.358381351591</v>
      </c>
      <c r="F5622" s="423">
        <v>1277.66268495445</v>
      </c>
      <c r="G5622" s="422">
        <v>39647813.129142292</v>
      </c>
      <c r="H5622" s="417" t="s">
        <v>2616</v>
      </c>
      <c r="I5622" s="417" t="s">
        <v>1392</v>
      </c>
      <c r="J5622" s="417" t="s">
        <v>2638</v>
      </c>
      <c r="K5622" s="417" t="s">
        <v>13709</v>
      </c>
      <c r="L5622" s="417"/>
      <c r="M5622" s="417" t="s">
        <v>28840</v>
      </c>
    </row>
    <row r="5623" spans="1:13" x14ac:dyDescent="0.25">
      <c r="A5623" s="417" t="s">
        <v>3385</v>
      </c>
      <c r="B5623" s="417" t="s">
        <v>3405</v>
      </c>
      <c r="C5623" s="417" t="s">
        <v>13710</v>
      </c>
      <c r="D5623" s="417" t="s">
        <v>989</v>
      </c>
      <c r="E5623" s="423">
        <v>597.50772242767448</v>
      </c>
      <c r="F5623" s="423">
        <v>34.939311697440978</v>
      </c>
      <c r="G5623" s="422">
        <v>1145844.0300279511</v>
      </c>
      <c r="H5623" s="417" t="s">
        <v>2616</v>
      </c>
      <c r="I5623" s="417" t="s">
        <v>1392</v>
      </c>
      <c r="J5623" s="417" t="s">
        <v>13666</v>
      </c>
      <c r="K5623" s="417" t="s">
        <v>13711</v>
      </c>
      <c r="L5623" s="417"/>
      <c r="M5623" s="417" t="s">
        <v>28840</v>
      </c>
    </row>
    <row r="5624" spans="1:13" x14ac:dyDescent="0.25">
      <c r="A5624" s="417" t="s">
        <v>3385</v>
      </c>
      <c r="B5624" s="417" t="s">
        <v>2437</v>
      </c>
      <c r="C5624" s="417" t="s">
        <v>13712</v>
      </c>
      <c r="D5624" s="417" t="s">
        <v>4476</v>
      </c>
      <c r="E5624" s="423">
        <v>0.93707478646503362</v>
      </c>
      <c r="F5624" s="423">
        <v>0.1164990079098384</v>
      </c>
      <c r="G5624" s="422">
        <v>14562.168756524061</v>
      </c>
      <c r="H5624" s="417" t="s">
        <v>2616</v>
      </c>
      <c r="I5624" s="417" t="s">
        <v>1392</v>
      </c>
      <c r="J5624" s="417" t="s">
        <v>4009</v>
      </c>
      <c r="K5624" s="417" t="s">
        <v>13713</v>
      </c>
      <c r="L5624" s="417"/>
      <c r="M5624" s="417" t="s">
        <v>28840</v>
      </c>
    </row>
    <row r="5625" spans="1:13" x14ac:dyDescent="0.25">
      <c r="A5625" s="417" t="s">
        <v>3385</v>
      </c>
      <c r="B5625" s="417" t="s">
        <v>2437</v>
      </c>
      <c r="C5625" s="417" t="s">
        <v>13714</v>
      </c>
      <c r="D5625" s="417" t="s">
        <v>989</v>
      </c>
      <c r="E5625" s="423">
        <v>867.98543525166224</v>
      </c>
      <c r="F5625" s="423">
        <v>612.98950534132587</v>
      </c>
      <c r="G5625" s="422">
        <v>1865824.5349855879</v>
      </c>
      <c r="H5625" s="417" t="s">
        <v>2616</v>
      </c>
      <c r="I5625" s="417" t="s">
        <v>1392</v>
      </c>
      <c r="J5625" s="417" t="s">
        <v>4420</v>
      </c>
      <c r="K5625" s="417" t="s">
        <v>13715</v>
      </c>
      <c r="L5625" s="417"/>
      <c r="M5625" s="417" t="s">
        <v>28840</v>
      </c>
    </row>
    <row r="5626" spans="1:13" x14ac:dyDescent="0.25">
      <c r="A5626" s="417" t="s">
        <v>3385</v>
      </c>
      <c r="B5626" s="417" t="s">
        <v>2437</v>
      </c>
      <c r="C5626" s="417" t="s">
        <v>13716</v>
      </c>
      <c r="D5626" s="417" t="s">
        <v>989</v>
      </c>
      <c r="E5626" s="423">
        <v>656.73432500097636</v>
      </c>
      <c r="F5626" s="423">
        <v>42.457956344634383</v>
      </c>
      <c r="G5626" s="422">
        <v>1313613.728819266</v>
      </c>
      <c r="H5626" s="417" t="s">
        <v>2616</v>
      </c>
      <c r="I5626" s="417" t="s">
        <v>1392</v>
      </c>
      <c r="J5626" s="417" t="s">
        <v>2638</v>
      </c>
      <c r="K5626" s="417" t="s">
        <v>13717</v>
      </c>
      <c r="L5626" s="417"/>
      <c r="M5626" s="417" t="s">
        <v>28840</v>
      </c>
    </row>
    <row r="5627" spans="1:13" x14ac:dyDescent="0.25">
      <c r="A5627" s="417" t="s">
        <v>3385</v>
      </c>
      <c r="B5627" s="417" t="s">
        <v>2437</v>
      </c>
      <c r="C5627" s="417" t="s">
        <v>13718</v>
      </c>
      <c r="D5627" s="417" t="s">
        <v>989</v>
      </c>
      <c r="E5627" s="423">
        <v>271.96941933727771</v>
      </c>
      <c r="F5627" s="423">
        <v>17.572395021327981</v>
      </c>
      <c r="G5627" s="422">
        <v>544701.60682192468</v>
      </c>
      <c r="H5627" s="417" t="s">
        <v>2616</v>
      </c>
      <c r="I5627" s="417" t="s">
        <v>1392</v>
      </c>
      <c r="J5627" s="417" t="s">
        <v>2638</v>
      </c>
      <c r="K5627" s="417" t="s">
        <v>13719</v>
      </c>
      <c r="L5627" s="417"/>
      <c r="M5627" s="417" t="s">
        <v>28840</v>
      </c>
    </row>
    <row r="5628" spans="1:13" x14ac:dyDescent="0.25">
      <c r="A5628" s="417" t="s">
        <v>3385</v>
      </c>
      <c r="B5628" s="417" t="s">
        <v>2437</v>
      </c>
      <c r="C5628" s="417" t="s">
        <v>13720</v>
      </c>
      <c r="D5628" s="417" t="s">
        <v>989</v>
      </c>
      <c r="E5628" s="423">
        <v>298.45906629313077</v>
      </c>
      <c r="F5628" s="423">
        <v>19.110347514250819</v>
      </c>
      <c r="G5628" s="422">
        <v>565674.23647115543</v>
      </c>
      <c r="H5628" s="417" t="s">
        <v>2616</v>
      </c>
      <c r="I5628" s="417" t="s">
        <v>1392</v>
      </c>
      <c r="J5628" s="417" t="s">
        <v>2638</v>
      </c>
      <c r="K5628" s="417" t="s">
        <v>13721</v>
      </c>
      <c r="L5628" s="417"/>
      <c r="M5628" s="417" t="s">
        <v>28840</v>
      </c>
    </row>
    <row r="5629" spans="1:13" x14ac:dyDescent="0.25">
      <c r="A5629" s="417" t="s">
        <v>3385</v>
      </c>
      <c r="B5629" s="417" t="s">
        <v>2437</v>
      </c>
      <c r="C5629" s="417" t="s">
        <v>13722</v>
      </c>
      <c r="D5629" s="417" t="s">
        <v>989</v>
      </c>
      <c r="E5629" s="423">
        <v>62584.637646872077</v>
      </c>
      <c r="F5629" s="423">
        <v>36776.408246068902</v>
      </c>
      <c r="G5629" s="422">
        <v>128979994.8929614</v>
      </c>
      <c r="H5629" s="417" t="s">
        <v>2616</v>
      </c>
      <c r="I5629" s="417" t="s">
        <v>1392</v>
      </c>
      <c r="J5629" s="417" t="s">
        <v>5056</v>
      </c>
      <c r="K5629" s="417" t="s">
        <v>13723</v>
      </c>
      <c r="L5629" s="417"/>
      <c r="M5629" s="417" t="s">
        <v>28840</v>
      </c>
    </row>
    <row r="5630" spans="1:13" x14ac:dyDescent="0.25">
      <c r="A5630" s="417" t="s">
        <v>3385</v>
      </c>
      <c r="B5630" s="417" t="s">
        <v>2437</v>
      </c>
      <c r="C5630" s="417" t="s">
        <v>13724</v>
      </c>
      <c r="D5630" s="417" t="s">
        <v>989</v>
      </c>
      <c r="E5630" s="423">
        <v>255.93449898637559</v>
      </c>
      <c r="F5630" s="423">
        <v>9.4062723935350085</v>
      </c>
      <c r="G5630" s="422">
        <v>414448.35040998849</v>
      </c>
      <c r="H5630" s="417" t="s">
        <v>2616</v>
      </c>
      <c r="I5630" s="417" t="s">
        <v>1392</v>
      </c>
      <c r="J5630" s="417" t="s">
        <v>2638</v>
      </c>
      <c r="K5630" s="417" t="s">
        <v>13725</v>
      </c>
      <c r="L5630" s="417"/>
      <c r="M5630" s="417" t="s">
        <v>28840</v>
      </c>
    </row>
    <row r="5631" spans="1:13" x14ac:dyDescent="0.25">
      <c r="A5631" s="417" t="s">
        <v>3385</v>
      </c>
      <c r="B5631" s="417" t="s">
        <v>2437</v>
      </c>
      <c r="C5631" s="417" t="s">
        <v>13726</v>
      </c>
      <c r="D5631" s="417" t="s">
        <v>989</v>
      </c>
      <c r="E5631" s="423">
        <v>57468.183337816103</v>
      </c>
      <c r="F5631" s="423">
        <v>4638.5040809345428</v>
      </c>
      <c r="G5631" s="422">
        <v>143342797.25441009</v>
      </c>
      <c r="H5631" s="417" t="s">
        <v>2616</v>
      </c>
      <c r="I5631" s="417" t="s">
        <v>1392</v>
      </c>
      <c r="J5631" s="417" t="s">
        <v>5056</v>
      </c>
      <c r="K5631" s="417" t="s">
        <v>13727</v>
      </c>
      <c r="L5631" s="417"/>
      <c r="M5631" s="417" t="s">
        <v>28840</v>
      </c>
    </row>
    <row r="5632" spans="1:13" x14ac:dyDescent="0.25">
      <c r="A5632" s="417" t="s">
        <v>3385</v>
      </c>
      <c r="B5632" s="417" t="s">
        <v>2437</v>
      </c>
      <c r="C5632" s="417" t="s">
        <v>13728</v>
      </c>
      <c r="D5632" s="417" t="s">
        <v>989</v>
      </c>
      <c r="E5632" s="423">
        <v>197439.83949541111</v>
      </c>
      <c r="F5632" s="423">
        <v>4269.5058021073928</v>
      </c>
      <c r="G5632" s="422">
        <v>766391913.89028668</v>
      </c>
      <c r="H5632" s="417" t="s">
        <v>2616</v>
      </c>
      <c r="I5632" s="417" t="s">
        <v>1392</v>
      </c>
      <c r="J5632" s="417" t="s">
        <v>4009</v>
      </c>
      <c r="K5632" s="417" t="s">
        <v>13729</v>
      </c>
      <c r="L5632" s="417"/>
      <c r="M5632" s="417" t="s">
        <v>28840</v>
      </c>
    </row>
    <row r="5633" spans="1:13" x14ac:dyDescent="0.25">
      <c r="A5633" s="417" t="s">
        <v>3385</v>
      </c>
      <c r="B5633" s="417" t="s">
        <v>2437</v>
      </c>
      <c r="C5633" s="417" t="s">
        <v>13730</v>
      </c>
      <c r="D5633" s="417" t="s">
        <v>989</v>
      </c>
      <c r="E5633" s="423">
        <v>3332.1648054919342</v>
      </c>
      <c r="F5633" s="423">
        <v>345.29896945661329</v>
      </c>
      <c r="G5633" s="422">
        <v>6837588.874133423</v>
      </c>
      <c r="H5633" s="417" t="s">
        <v>2616</v>
      </c>
      <c r="I5633" s="417" t="s">
        <v>1392</v>
      </c>
      <c r="J5633" s="417" t="s">
        <v>2638</v>
      </c>
      <c r="K5633" s="417" t="s">
        <v>13731</v>
      </c>
      <c r="L5633" s="417"/>
      <c r="M5633" s="417" t="s">
        <v>28840</v>
      </c>
    </row>
    <row r="5634" spans="1:13" x14ac:dyDescent="0.25">
      <c r="A5634" s="417" t="s">
        <v>3385</v>
      </c>
      <c r="B5634" s="417" t="s">
        <v>3655</v>
      </c>
      <c r="C5634" s="417" t="s">
        <v>13732</v>
      </c>
      <c r="D5634" s="417" t="s">
        <v>88</v>
      </c>
      <c r="E5634" s="423">
        <v>0.29263250174078431</v>
      </c>
      <c r="F5634" s="423">
        <v>2.4086800086067471E-3</v>
      </c>
      <c r="G5634" s="422">
        <v>410.19995114477632</v>
      </c>
      <c r="H5634" s="417" t="s">
        <v>2616</v>
      </c>
      <c r="I5634" s="417" t="s">
        <v>1392</v>
      </c>
      <c r="J5634" s="417" t="s">
        <v>3918</v>
      </c>
      <c r="K5634" s="417" t="s">
        <v>13733</v>
      </c>
      <c r="L5634" s="417"/>
      <c r="M5634" s="417" t="s">
        <v>28840</v>
      </c>
    </row>
    <row r="5635" spans="1:13" x14ac:dyDescent="0.25">
      <c r="A5635" s="417" t="s">
        <v>3385</v>
      </c>
      <c r="B5635" s="417" t="s">
        <v>2627</v>
      </c>
      <c r="C5635" s="417" t="s">
        <v>13734</v>
      </c>
      <c r="D5635" s="417" t="s">
        <v>88</v>
      </c>
      <c r="E5635" s="423">
        <v>1.723658745653404</v>
      </c>
      <c r="F5635" s="423">
        <v>2.7734406874590421E-2</v>
      </c>
      <c r="G5635" s="422">
        <v>12003.40593423017</v>
      </c>
      <c r="H5635" s="417" t="s">
        <v>2616</v>
      </c>
      <c r="I5635" s="417" t="s">
        <v>1392</v>
      </c>
      <c r="J5635" s="417" t="s">
        <v>4054</v>
      </c>
      <c r="K5635" s="417" t="s">
        <v>13735</v>
      </c>
      <c r="L5635" s="417"/>
      <c r="M5635" s="417" t="s">
        <v>28840</v>
      </c>
    </row>
    <row r="5636" spans="1:13" x14ac:dyDescent="0.25">
      <c r="A5636" s="417" t="s">
        <v>3385</v>
      </c>
      <c r="B5636" s="417" t="s">
        <v>2627</v>
      </c>
      <c r="C5636" s="417" t="s">
        <v>13736</v>
      </c>
      <c r="D5636" s="417" t="s">
        <v>88</v>
      </c>
      <c r="E5636" s="423">
        <v>1.892056045204936</v>
      </c>
      <c r="F5636" s="423">
        <v>4.4152056885538173E-2</v>
      </c>
      <c r="G5636" s="422">
        <v>12351.26872525575</v>
      </c>
      <c r="H5636" s="417" t="s">
        <v>2616</v>
      </c>
      <c r="I5636" s="417" t="s">
        <v>1392</v>
      </c>
      <c r="J5636" s="417" t="s">
        <v>4054</v>
      </c>
      <c r="K5636" s="417" t="s">
        <v>13737</v>
      </c>
      <c r="L5636" s="417"/>
      <c r="M5636" s="417" t="s">
        <v>28840</v>
      </c>
    </row>
    <row r="5637" spans="1:13" x14ac:dyDescent="0.25">
      <c r="A5637" s="417" t="s">
        <v>3385</v>
      </c>
      <c r="B5637" s="417" t="s">
        <v>2627</v>
      </c>
      <c r="C5637" s="417" t="s">
        <v>13738</v>
      </c>
      <c r="D5637" s="417" t="s">
        <v>88</v>
      </c>
      <c r="E5637" s="423">
        <v>1.2174583131425141</v>
      </c>
      <c r="F5637" s="423">
        <v>2.370462823123928E-2</v>
      </c>
      <c r="G5637" s="422">
        <v>8507.8751964610037</v>
      </c>
      <c r="H5637" s="417" t="s">
        <v>2616</v>
      </c>
      <c r="I5637" s="417" t="s">
        <v>1392</v>
      </c>
      <c r="J5637" s="417" t="s">
        <v>4054</v>
      </c>
      <c r="K5637" s="417" t="s">
        <v>13739</v>
      </c>
      <c r="L5637" s="417"/>
      <c r="M5637" s="417" t="s">
        <v>28840</v>
      </c>
    </row>
    <row r="5638" spans="1:13" x14ac:dyDescent="0.25">
      <c r="A5638" s="417" t="s">
        <v>3385</v>
      </c>
      <c r="B5638" s="417" t="s">
        <v>2627</v>
      </c>
      <c r="C5638" s="417" t="s">
        <v>13740</v>
      </c>
      <c r="D5638" s="417" t="s">
        <v>88</v>
      </c>
      <c r="E5638" s="423">
        <v>1.3639821769218119</v>
      </c>
      <c r="F5638" s="423">
        <v>3.9414954670953718E-2</v>
      </c>
      <c r="G5638" s="422">
        <v>8805.1880920513049</v>
      </c>
      <c r="H5638" s="417" t="s">
        <v>2616</v>
      </c>
      <c r="I5638" s="417" t="s">
        <v>1392</v>
      </c>
      <c r="J5638" s="417" t="s">
        <v>4054</v>
      </c>
      <c r="K5638" s="417" t="s">
        <v>13741</v>
      </c>
      <c r="L5638" s="417"/>
      <c r="M5638" s="417" t="s">
        <v>28840</v>
      </c>
    </row>
    <row r="5639" spans="1:13" x14ac:dyDescent="0.25">
      <c r="A5639" s="417" t="s">
        <v>3385</v>
      </c>
      <c r="B5639" s="417" t="s">
        <v>2627</v>
      </c>
      <c r="C5639" s="417" t="s">
        <v>13742</v>
      </c>
      <c r="D5639" s="417" t="s">
        <v>88</v>
      </c>
      <c r="E5639" s="423">
        <v>1.1616522265995251</v>
      </c>
      <c r="F5639" s="423">
        <v>3.8585334679941879E-2</v>
      </c>
      <c r="G5639" s="422">
        <v>5620.6271316979064</v>
      </c>
      <c r="H5639" s="417" t="s">
        <v>2616</v>
      </c>
      <c r="I5639" s="417" t="s">
        <v>1392</v>
      </c>
      <c r="J5639" s="417" t="s">
        <v>4047</v>
      </c>
      <c r="K5639" s="417" t="s">
        <v>13743</v>
      </c>
      <c r="L5639" s="417"/>
      <c r="M5639" s="417" t="s">
        <v>28840</v>
      </c>
    </row>
    <row r="5640" spans="1:13" x14ac:dyDescent="0.25">
      <c r="A5640" s="417" t="s">
        <v>3385</v>
      </c>
      <c r="B5640" s="417" t="s">
        <v>2627</v>
      </c>
      <c r="C5640" s="417" t="s">
        <v>13744</v>
      </c>
      <c r="D5640" s="417" t="s">
        <v>88</v>
      </c>
      <c r="E5640" s="423">
        <v>3.9076997928844648</v>
      </c>
      <c r="F5640" s="423">
        <v>3.0253855984565439E-2</v>
      </c>
      <c r="G5640" s="422">
        <v>5193.7935375047691</v>
      </c>
      <c r="H5640" s="417" t="s">
        <v>2616</v>
      </c>
      <c r="I5640" s="417" t="s">
        <v>1392</v>
      </c>
      <c r="J5640" s="417" t="s">
        <v>3396</v>
      </c>
      <c r="K5640" s="417" t="s">
        <v>13745</v>
      </c>
      <c r="L5640" s="417"/>
      <c r="M5640" s="417" t="s">
        <v>28840</v>
      </c>
    </row>
    <row r="5641" spans="1:13" x14ac:dyDescent="0.25">
      <c r="A5641" s="417" t="s">
        <v>3385</v>
      </c>
      <c r="B5641" s="417" t="s">
        <v>2627</v>
      </c>
      <c r="C5641" s="417" t="s">
        <v>13746</v>
      </c>
      <c r="D5641" s="417" t="s">
        <v>88</v>
      </c>
      <c r="E5641" s="423">
        <v>2.4915841312562779</v>
      </c>
      <c r="F5641" s="423">
        <v>5.4857870035485701E-2</v>
      </c>
      <c r="G5641" s="422">
        <v>3965.3274718422931</v>
      </c>
      <c r="H5641" s="417" t="s">
        <v>2616</v>
      </c>
      <c r="I5641" s="417" t="s">
        <v>1392</v>
      </c>
      <c r="J5641" s="417" t="s">
        <v>3396</v>
      </c>
      <c r="K5641" s="417" t="s">
        <v>13747</v>
      </c>
      <c r="L5641" s="417"/>
      <c r="M5641" s="417" t="s">
        <v>28840</v>
      </c>
    </row>
    <row r="5642" spans="1:13" x14ac:dyDescent="0.25">
      <c r="A5642" s="417" t="s">
        <v>3385</v>
      </c>
      <c r="B5642" s="417" t="s">
        <v>2627</v>
      </c>
      <c r="C5642" s="417" t="s">
        <v>13748</v>
      </c>
      <c r="D5642" s="417" t="s">
        <v>88</v>
      </c>
      <c r="E5642" s="423">
        <v>2.8456130467907741</v>
      </c>
      <c r="F5642" s="423">
        <v>4.870686652696072E-2</v>
      </c>
      <c r="G5642" s="422">
        <v>4272.4439888817924</v>
      </c>
      <c r="H5642" s="417" t="s">
        <v>2616</v>
      </c>
      <c r="I5642" s="417" t="s">
        <v>1392</v>
      </c>
      <c r="J5642" s="417" t="s">
        <v>3396</v>
      </c>
      <c r="K5642" s="417" t="s">
        <v>13749</v>
      </c>
      <c r="L5642" s="417"/>
      <c r="M5642" s="417" t="s">
        <v>28840</v>
      </c>
    </row>
    <row r="5643" spans="1:13" x14ac:dyDescent="0.25">
      <c r="A5643" s="417" t="s">
        <v>3385</v>
      </c>
      <c r="B5643" s="417" t="s">
        <v>2627</v>
      </c>
      <c r="C5643" s="417" t="s">
        <v>13750</v>
      </c>
      <c r="D5643" s="417" t="s">
        <v>88</v>
      </c>
      <c r="E5643" s="423">
        <v>2.0885296385752591E-2</v>
      </c>
      <c r="F5643" s="423">
        <v>1.20888168682307E-3</v>
      </c>
      <c r="G5643" s="422">
        <v>43.474730754750752</v>
      </c>
      <c r="H5643" s="417" t="s">
        <v>2616</v>
      </c>
      <c r="I5643" s="417" t="s">
        <v>1392</v>
      </c>
      <c r="J5643" s="417" t="s">
        <v>3742</v>
      </c>
      <c r="K5643" s="417" t="s">
        <v>13751</v>
      </c>
      <c r="L5643" s="417"/>
      <c r="M5643" s="417" t="s">
        <v>28840</v>
      </c>
    </row>
    <row r="5644" spans="1:13" x14ac:dyDescent="0.25">
      <c r="A5644" s="417" t="s">
        <v>3385</v>
      </c>
      <c r="B5644" s="417" t="s">
        <v>2627</v>
      </c>
      <c r="C5644" s="417" t="s">
        <v>13752</v>
      </c>
      <c r="D5644" s="417" t="s">
        <v>88</v>
      </c>
      <c r="E5644" s="423">
        <v>4.2110820517030287</v>
      </c>
      <c r="F5644" s="423">
        <v>0.2121605457862317</v>
      </c>
      <c r="G5644" s="422">
        <v>13852.03324855422</v>
      </c>
      <c r="H5644" s="417" t="s">
        <v>2616</v>
      </c>
      <c r="I5644" s="417" t="s">
        <v>1392</v>
      </c>
      <c r="J5644" s="417" t="s">
        <v>3387</v>
      </c>
      <c r="K5644" s="417" t="s">
        <v>13753</v>
      </c>
      <c r="L5644" s="417"/>
      <c r="M5644" s="417" t="s">
        <v>28840</v>
      </c>
    </row>
    <row r="5645" spans="1:13" x14ac:dyDescent="0.25">
      <c r="A5645" s="417" t="s">
        <v>3385</v>
      </c>
      <c r="B5645" s="417" t="s">
        <v>2627</v>
      </c>
      <c r="C5645" s="417" t="s">
        <v>13754</v>
      </c>
      <c r="D5645" s="417" t="s">
        <v>88</v>
      </c>
      <c r="E5645" s="423">
        <v>1.45052520123499E-2</v>
      </c>
      <c r="F5645" s="423">
        <v>9.1709579545167657E-4</v>
      </c>
      <c r="G5645" s="422">
        <v>51.059879551828303</v>
      </c>
      <c r="H5645" s="417" t="s">
        <v>2616</v>
      </c>
      <c r="I5645" s="417" t="s">
        <v>1392</v>
      </c>
      <c r="J5645" s="417" t="s">
        <v>3915</v>
      </c>
      <c r="K5645" s="417" t="s">
        <v>13755</v>
      </c>
      <c r="L5645" s="417"/>
      <c r="M5645" s="417" t="s">
        <v>28840</v>
      </c>
    </row>
    <row r="5646" spans="1:13" x14ac:dyDescent="0.25">
      <c r="A5646" s="417" t="s">
        <v>3385</v>
      </c>
      <c r="B5646" s="417" t="s">
        <v>2627</v>
      </c>
      <c r="C5646" s="417" t="s">
        <v>13756</v>
      </c>
      <c r="D5646" s="417" t="s">
        <v>88</v>
      </c>
      <c r="E5646" s="423">
        <v>1.7708822603833581</v>
      </c>
      <c r="F5646" s="423">
        <v>0.1063080068746336</v>
      </c>
      <c r="G5646" s="422">
        <v>2880.6022000329372</v>
      </c>
      <c r="H5646" s="417" t="s">
        <v>2616</v>
      </c>
      <c r="I5646" s="417" t="s">
        <v>1392</v>
      </c>
      <c r="J5646" s="417" t="s">
        <v>3742</v>
      </c>
      <c r="K5646" s="417" t="s">
        <v>13757</v>
      </c>
      <c r="L5646" s="417"/>
      <c r="M5646" s="417" t="s">
        <v>28840</v>
      </c>
    </row>
    <row r="5647" spans="1:13" x14ac:dyDescent="0.25">
      <c r="A5647" s="417" t="s">
        <v>3385</v>
      </c>
      <c r="B5647" s="417" t="s">
        <v>2627</v>
      </c>
      <c r="C5647" s="417" t="s">
        <v>1102</v>
      </c>
      <c r="D5647" s="417" t="s">
        <v>88</v>
      </c>
      <c r="E5647" s="423">
        <v>1.557786222016871</v>
      </c>
      <c r="F5647" s="423">
        <v>0.15554102113109039</v>
      </c>
      <c r="G5647" s="422">
        <v>7472.969625632566</v>
      </c>
      <c r="H5647" s="417" t="s">
        <v>2616</v>
      </c>
      <c r="I5647" s="417" t="s">
        <v>28841</v>
      </c>
      <c r="J5647" s="417" t="s">
        <v>3915</v>
      </c>
      <c r="K5647" s="417" t="s">
        <v>13758</v>
      </c>
      <c r="L5647" s="417"/>
      <c r="M5647" s="417" t="s">
        <v>28840</v>
      </c>
    </row>
    <row r="5648" spans="1:13" x14ac:dyDescent="0.25">
      <c r="A5648" s="417" t="s">
        <v>3385</v>
      </c>
      <c r="B5648" s="417" t="s">
        <v>2437</v>
      </c>
      <c r="C5648" s="417" t="s">
        <v>13759</v>
      </c>
      <c r="D5648" s="417" t="s">
        <v>88</v>
      </c>
      <c r="E5648" s="423">
        <v>7.1262013657822001</v>
      </c>
      <c r="F5648" s="423">
        <v>0.2321614816116257</v>
      </c>
      <c r="G5648" s="422">
        <v>14149.08147134351</v>
      </c>
      <c r="H5648" s="417" t="s">
        <v>2616</v>
      </c>
      <c r="I5648" s="417" t="s">
        <v>1392</v>
      </c>
      <c r="J5648" s="417" t="s">
        <v>3871</v>
      </c>
      <c r="K5648" s="417" t="s">
        <v>13760</v>
      </c>
      <c r="L5648" s="417"/>
      <c r="M5648" s="417" t="s">
        <v>28840</v>
      </c>
    </row>
    <row r="5649" spans="1:13" x14ac:dyDescent="0.25">
      <c r="A5649" s="417" t="s">
        <v>3385</v>
      </c>
      <c r="B5649" s="417" t="s">
        <v>3655</v>
      </c>
      <c r="C5649" s="417" t="s">
        <v>13761</v>
      </c>
      <c r="D5649" s="417" t="s">
        <v>989</v>
      </c>
      <c r="E5649" s="423">
        <v>415232.79960141028</v>
      </c>
      <c r="F5649" s="423">
        <v>132605.69588469781</v>
      </c>
      <c r="G5649" s="422">
        <v>967435377.23666668</v>
      </c>
      <c r="H5649" s="417" t="s">
        <v>2616</v>
      </c>
      <c r="I5649" s="417" t="s">
        <v>1392</v>
      </c>
      <c r="J5649" s="417" t="s">
        <v>11811</v>
      </c>
      <c r="K5649" s="417" t="s">
        <v>13762</v>
      </c>
      <c r="L5649" s="417"/>
      <c r="M5649" s="417" t="s">
        <v>28840</v>
      </c>
    </row>
    <row r="5650" spans="1:13" x14ac:dyDescent="0.25">
      <c r="A5650" s="417" t="s">
        <v>3385</v>
      </c>
      <c r="B5650" s="417" t="s">
        <v>2627</v>
      </c>
      <c r="C5650" s="417" t="s">
        <v>13763</v>
      </c>
      <c r="D5650" s="417" t="s">
        <v>88</v>
      </c>
      <c r="E5650" s="423">
        <v>2.6718447592537289E-2</v>
      </c>
      <c r="F5650" s="423">
        <v>8.5890626430520033E-4</v>
      </c>
      <c r="G5650" s="422">
        <v>46.670149619860069</v>
      </c>
      <c r="H5650" s="417" t="s">
        <v>2616</v>
      </c>
      <c r="I5650" s="417" t="s">
        <v>1392</v>
      </c>
      <c r="J5650" s="417" t="s">
        <v>3619</v>
      </c>
      <c r="K5650" s="417" t="s">
        <v>13764</v>
      </c>
      <c r="L5650" s="417"/>
      <c r="M5650" s="417" t="s">
        <v>28840</v>
      </c>
    </row>
    <row r="5651" spans="1:13" x14ac:dyDescent="0.25">
      <c r="A5651" s="417" t="s">
        <v>3385</v>
      </c>
      <c r="B5651" s="417" t="s">
        <v>2627</v>
      </c>
      <c r="C5651" s="417" t="s">
        <v>13765</v>
      </c>
      <c r="D5651" s="417" t="s">
        <v>88</v>
      </c>
      <c r="E5651" s="423">
        <v>2.4451321665298498E-3</v>
      </c>
      <c r="F5651" s="423">
        <v>3.122147246043314E-4</v>
      </c>
      <c r="G5651" s="422">
        <v>8.4709217893443061</v>
      </c>
      <c r="H5651" s="417" t="s">
        <v>2616</v>
      </c>
      <c r="I5651" s="417" t="s">
        <v>1392</v>
      </c>
      <c r="J5651" s="417" t="s">
        <v>3619</v>
      </c>
      <c r="K5651" s="417" t="s">
        <v>13766</v>
      </c>
      <c r="L5651" s="417"/>
      <c r="M5651" s="417" t="s">
        <v>28840</v>
      </c>
    </row>
    <row r="5652" spans="1:13" x14ac:dyDescent="0.25">
      <c r="A5652" s="417" t="s">
        <v>3385</v>
      </c>
      <c r="B5652" s="417" t="s">
        <v>2627</v>
      </c>
      <c r="C5652" s="417" t="s">
        <v>13767</v>
      </c>
      <c r="D5652" s="417" t="s">
        <v>88</v>
      </c>
      <c r="E5652" s="423">
        <v>0.3877254573907904</v>
      </c>
      <c r="F5652" s="423">
        <v>1.534709810782846E-2</v>
      </c>
      <c r="G5652" s="422">
        <v>561.27723707766791</v>
      </c>
      <c r="H5652" s="417" t="s">
        <v>2616</v>
      </c>
      <c r="I5652" s="417" t="s">
        <v>1392</v>
      </c>
      <c r="J5652" s="417" t="s">
        <v>3619</v>
      </c>
      <c r="K5652" s="417" t="s">
        <v>13768</v>
      </c>
      <c r="L5652" s="417"/>
      <c r="M5652" s="417" t="s">
        <v>28840</v>
      </c>
    </row>
    <row r="5653" spans="1:13" x14ac:dyDescent="0.25">
      <c r="A5653" s="417" t="s">
        <v>3385</v>
      </c>
      <c r="B5653" s="417" t="s">
        <v>2627</v>
      </c>
      <c r="C5653" s="417" t="s">
        <v>13769</v>
      </c>
      <c r="D5653" s="417" t="s">
        <v>88</v>
      </c>
      <c r="E5653" s="423">
        <v>0.51904806981275031</v>
      </c>
      <c r="F5653" s="423">
        <v>2.0545160236700111E-2</v>
      </c>
      <c r="G5653" s="422">
        <v>751.38183765987662</v>
      </c>
      <c r="H5653" s="417" t="s">
        <v>2616</v>
      </c>
      <c r="I5653" s="417" t="s">
        <v>1392</v>
      </c>
      <c r="J5653" s="417" t="s">
        <v>3619</v>
      </c>
      <c r="K5653" s="417" t="s">
        <v>13770</v>
      </c>
      <c r="L5653" s="417"/>
      <c r="M5653" s="417" t="s">
        <v>28840</v>
      </c>
    </row>
    <row r="5654" spans="1:13" x14ac:dyDescent="0.25">
      <c r="A5654" s="417" t="s">
        <v>3385</v>
      </c>
      <c r="B5654" s="417" t="s">
        <v>2437</v>
      </c>
      <c r="C5654" s="417" t="s">
        <v>13771</v>
      </c>
      <c r="D5654" s="417" t="s">
        <v>88</v>
      </c>
      <c r="E5654" s="423">
        <v>3.8771874677183211</v>
      </c>
      <c r="F5654" s="423">
        <v>0.1270125142377598</v>
      </c>
      <c r="G5654" s="422">
        <v>5995.0809341921149</v>
      </c>
      <c r="H5654" s="417" t="s">
        <v>2616</v>
      </c>
      <c r="I5654" s="417" t="s">
        <v>1392</v>
      </c>
      <c r="J5654" s="417" t="s">
        <v>3871</v>
      </c>
      <c r="K5654" s="417" t="s">
        <v>13772</v>
      </c>
      <c r="L5654" s="417"/>
      <c r="M5654" s="417" t="s">
        <v>28840</v>
      </c>
    </row>
    <row r="5655" spans="1:13" x14ac:dyDescent="0.25">
      <c r="A5655" s="417" t="s">
        <v>3385</v>
      </c>
      <c r="B5655" s="417" t="s">
        <v>2627</v>
      </c>
      <c r="C5655" s="417" t="s">
        <v>13773</v>
      </c>
      <c r="D5655" s="417" t="s">
        <v>88</v>
      </c>
      <c r="E5655" s="423">
        <v>0.24003468112816839</v>
      </c>
      <c r="F5655" s="423">
        <v>9.2383893747271083E-3</v>
      </c>
      <c r="G5655" s="422">
        <v>389.83901519559038</v>
      </c>
      <c r="H5655" s="417" t="s">
        <v>2616</v>
      </c>
      <c r="I5655" s="417" t="s">
        <v>1392</v>
      </c>
      <c r="J5655" s="417" t="s">
        <v>4369</v>
      </c>
      <c r="K5655" s="417" t="s">
        <v>13774</v>
      </c>
      <c r="L5655" s="417"/>
      <c r="M5655" s="417" t="s">
        <v>28840</v>
      </c>
    </row>
    <row r="5656" spans="1:13" x14ac:dyDescent="0.25">
      <c r="A5656" s="417" t="s">
        <v>3385</v>
      </c>
      <c r="B5656" s="417" t="s">
        <v>2627</v>
      </c>
      <c r="C5656" s="417" t="s">
        <v>13775</v>
      </c>
      <c r="D5656" s="417" t="s">
        <v>88</v>
      </c>
      <c r="E5656" s="423">
        <v>5.4425091743117129</v>
      </c>
      <c r="F5656" s="423">
        <v>0.23062196811605859</v>
      </c>
      <c r="G5656" s="422">
        <v>10281.002109547589</v>
      </c>
      <c r="H5656" s="417" t="s">
        <v>2616</v>
      </c>
      <c r="I5656" s="417" t="s">
        <v>1392</v>
      </c>
      <c r="J5656" s="417" t="s">
        <v>3387</v>
      </c>
      <c r="K5656" s="417" t="s">
        <v>13776</v>
      </c>
      <c r="L5656" s="417"/>
      <c r="M5656" s="417" t="s">
        <v>28840</v>
      </c>
    </row>
    <row r="5657" spans="1:13" x14ac:dyDescent="0.25">
      <c r="A5657" s="417" t="s">
        <v>3385</v>
      </c>
      <c r="B5657" s="417" t="s">
        <v>2627</v>
      </c>
      <c r="C5657" s="417" t="s">
        <v>13777</v>
      </c>
      <c r="D5657" s="417" t="s">
        <v>88</v>
      </c>
      <c r="E5657" s="423">
        <v>5.6415549091565049</v>
      </c>
      <c r="F5657" s="423">
        <v>0.24391498160941161</v>
      </c>
      <c r="G5657" s="422">
        <v>10427.14653315129</v>
      </c>
      <c r="H5657" s="417" t="s">
        <v>2616</v>
      </c>
      <c r="I5657" s="417" t="s">
        <v>1392</v>
      </c>
      <c r="J5657" s="417" t="s">
        <v>3387</v>
      </c>
      <c r="K5657" s="417" t="s">
        <v>13778</v>
      </c>
      <c r="L5657" s="417"/>
      <c r="M5657" s="417" t="s">
        <v>28840</v>
      </c>
    </row>
    <row r="5658" spans="1:13" x14ac:dyDescent="0.25">
      <c r="A5658" s="417" t="s">
        <v>3385</v>
      </c>
      <c r="B5658" s="417" t="s">
        <v>2437</v>
      </c>
      <c r="C5658" s="417" t="s">
        <v>13779</v>
      </c>
      <c r="D5658" s="417" t="s">
        <v>88</v>
      </c>
      <c r="E5658" s="423">
        <v>0.54236649419539185</v>
      </c>
      <c r="F5658" s="423">
        <v>0.1177897494675374</v>
      </c>
      <c r="G5658" s="422">
        <v>1022.488244042184</v>
      </c>
      <c r="H5658" s="417" t="s">
        <v>2616</v>
      </c>
      <c r="I5658" s="417" t="s">
        <v>1392</v>
      </c>
      <c r="J5658" s="417" t="s">
        <v>3845</v>
      </c>
      <c r="K5658" s="417" t="s">
        <v>13780</v>
      </c>
      <c r="L5658" s="417"/>
      <c r="M5658" s="417" t="s">
        <v>28840</v>
      </c>
    </row>
    <row r="5659" spans="1:13" x14ac:dyDescent="0.25">
      <c r="A5659" s="417" t="s">
        <v>3385</v>
      </c>
      <c r="B5659" s="417" t="s">
        <v>2627</v>
      </c>
      <c r="C5659" s="417" t="s">
        <v>13781</v>
      </c>
      <c r="D5659" s="417" t="s">
        <v>989</v>
      </c>
      <c r="E5659" s="423">
        <v>2882292.7889742251</v>
      </c>
      <c r="F5659" s="423">
        <v>837977.08375332213</v>
      </c>
      <c r="G5659" s="422">
        <v>7540960016.7925425</v>
      </c>
      <c r="H5659" s="417" t="s">
        <v>2616</v>
      </c>
      <c r="I5659" s="417" t="s">
        <v>1392</v>
      </c>
      <c r="J5659" s="417" t="s">
        <v>10963</v>
      </c>
      <c r="K5659" s="417" t="s">
        <v>13782</v>
      </c>
      <c r="L5659" s="417"/>
      <c r="M5659" s="417" t="s">
        <v>28840</v>
      </c>
    </row>
    <row r="5660" spans="1:13" x14ac:dyDescent="0.25">
      <c r="A5660" s="417" t="s">
        <v>3385</v>
      </c>
      <c r="B5660" s="417" t="s">
        <v>2627</v>
      </c>
      <c r="C5660" s="417" t="s">
        <v>13783</v>
      </c>
      <c r="D5660" s="417" t="s">
        <v>88</v>
      </c>
      <c r="E5660" s="423">
        <v>0.78539870522556576</v>
      </c>
      <c r="F5660" s="423">
        <v>0.65487513682756437</v>
      </c>
      <c r="G5660" s="422">
        <v>1381.20903341142</v>
      </c>
      <c r="H5660" s="417" t="s">
        <v>2616</v>
      </c>
      <c r="I5660" s="417" t="s">
        <v>1392</v>
      </c>
      <c r="J5660" s="417" t="s">
        <v>11052</v>
      </c>
      <c r="K5660" s="417" t="s">
        <v>13784</v>
      </c>
      <c r="L5660" s="417"/>
      <c r="M5660" s="417" t="s">
        <v>28840</v>
      </c>
    </row>
    <row r="5661" spans="1:13" x14ac:dyDescent="0.25">
      <c r="A5661" s="417" t="s">
        <v>3385</v>
      </c>
      <c r="B5661" s="417" t="s">
        <v>2627</v>
      </c>
      <c r="C5661" s="417" t="s">
        <v>13785</v>
      </c>
      <c r="D5661" s="417" t="s">
        <v>88</v>
      </c>
      <c r="E5661" s="423">
        <v>0.78539870522556576</v>
      </c>
      <c r="F5661" s="423">
        <v>0.65487513682756437</v>
      </c>
      <c r="G5661" s="422">
        <v>1360.3854334114201</v>
      </c>
      <c r="H5661" s="417" t="s">
        <v>2616</v>
      </c>
      <c r="I5661" s="417" t="s">
        <v>1392</v>
      </c>
      <c r="J5661" s="417" t="s">
        <v>11052</v>
      </c>
      <c r="K5661" s="417" t="s">
        <v>13786</v>
      </c>
      <c r="L5661" s="417"/>
      <c r="M5661" s="417" t="s">
        <v>28840</v>
      </c>
    </row>
    <row r="5662" spans="1:13" x14ac:dyDescent="0.25">
      <c r="A5662" s="417" t="s">
        <v>3385</v>
      </c>
      <c r="B5662" s="417" t="s">
        <v>2627</v>
      </c>
      <c r="C5662" s="417" t="s">
        <v>13787</v>
      </c>
      <c r="D5662" s="417" t="s">
        <v>83</v>
      </c>
      <c r="E5662" s="423">
        <v>520.34914435800704</v>
      </c>
      <c r="F5662" s="423">
        <v>446.82324285861353</v>
      </c>
      <c r="G5662" s="422">
        <v>912792.65144608659</v>
      </c>
      <c r="H5662" s="417" t="s">
        <v>2616</v>
      </c>
      <c r="I5662" s="417" t="s">
        <v>1392</v>
      </c>
      <c r="J5662" s="417" t="s">
        <v>4016</v>
      </c>
      <c r="K5662" s="417" t="s">
        <v>13788</v>
      </c>
      <c r="L5662" s="417"/>
      <c r="M5662" s="417" t="s">
        <v>28840</v>
      </c>
    </row>
    <row r="5663" spans="1:13" x14ac:dyDescent="0.25">
      <c r="A5663" s="417" t="s">
        <v>3385</v>
      </c>
      <c r="B5663" s="417" t="s">
        <v>2437</v>
      </c>
      <c r="C5663" s="417" t="s">
        <v>622</v>
      </c>
      <c r="D5663" s="417" t="s">
        <v>989</v>
      </c>
      <c r="E5663" s="423">
        <v>125281.1528797138</v>
      </c>
      <c r="F5663" s="423">
        <v>5433.7093675640481</v>
      </c>
      <c r="G5663" s="422">
        <v>342833449.36556238</v>
      </c>
      <c r="H5663" s="417" t="s">
        <v>2616</v>
      </c>
      <c r="I5663" s="417" t="s">
        <v>28985</v>
      </c>
      <c r="J5663" s="417" t="s">
        <v>4167</v>
      </c>
      <c r="K5663" s="417" t="s">
        <v>13789</v>
      </c>
      <c r="L5663" s="417"/>
      <c r="M5663" s="417" t="s">
        <v>28840</v>
      </c>
    </row>
    <row r="5664" spans="1:13" x14ac:dyDescent="0.25">
      <c r="A5664" s="417" t="s">
        <v>3385</v>
      </c>
      <c r="B5664" s="417" t="s">
        <v>2437</v>
      </c>
      <c r="C5664" s="417" t="s">
        <v>13790</v>
      </c>
      <c r="D5664" s="417" t="s">
        <v>989</v>
      </c>
      <c r="E5664" s="423">
        <v>74726.874258234835</v>
      </c>
      <c r="F5664" s="423">
        <v>3558.0320347529419</v>
      </c>
      <c r="G5664" s="422">
        <v>181188108.65354151</v>
      </c>
      <c r="H5664" s="417" t="s">
        <v>2616</v>
      </c>
      <c r="I5664" s="417" t="s">
        <v>1392</v>
      </c>
      <c r="J5664" s="417" t="s">
        <v>4167</v>
      </c>
      <c r="K5664" s="417" t="s">
        <v>13791</v>
      </c>
      <c r="L5664" s="417"/>
      <c r="M5664" s="417" t="s">
        <v>28840</v>
      </c>
    </row>
    <row r="5665" spans="1:13" x14ac:dyDescent="0.25">
      <c r="A5665" s="417" t="s">
        <v>3385</v>
      </c>
      <c r="B5665" s="417" t="s">
        <v>2437</v>
      </c>
      <c r="C5665" s="417" t="s">
        <v>626</v>
      </c>
      <c r="D5665" s="417" t="s">
        <v>989</v>
      </c>
      <c r="E5665" s="423">
        <v>158941.84868935921</v>
      </c>
      <c r="F5665" s="423">
        <v>6900.3433611775799</v>
      </c>
      <c r="G5665" s="422">
        <v>434607561.62857181</v>
      </c>
      <c r="H5665" s="417" t="s">
        <v>2616</v>
      </c>
      <c r="I5665" s="417" t="s">
        <v>28985</v>
      </c>
      <c r="J5665" s="417" t="s">
        <v>4167</v>
      </c>
      <c r="K5665" s="417" t="s">
        <v>13792</v>
      </c>
      <c r="L5665" s="417"/>
      <c r="M5665" s="417" t="s">
        <v>28840</v>
      </c>
    </row>
    <row r="5666" spans="1:13" x14ac:dyDescent="0.25">
      <c r="A5666" s="417" t="s">
        <v>3385</v>
      </c>
      <c r="B5666" s="417" t="s">
        <v>2437</v>
      </c>
      <c r="C5666" s="417" t="s">
        <v>13793</v>
      </c>
      <c r="D5666" s="417" t="s">
        <v>989</v>
      </c>
      <c r="E5666" s="423">
        <v>100343.2864022648</v>
      </c>
      <c r="F5666" s="423">
        <v>4707.3658182738473</v>
      </c>
      <c r="G5666" s="422">
        <v>245938160.15967119</v>
      </c>
      <c r="H5666" s="417" t="s">
        <v>2616</v>
      </c>
      <c r="I5666" s="417" t="s">
        <v>1392</v>
      </c>
      <c r="J5666" s="417" t="s">
        <v>4167</v>
      </c>
      <c r="K5666" s="417" t="s">
        <v>13794</v>
      </c>
      <c r="L5666" s="417"/>
      <c r="M5666" s="417" t="s">
        <v>28840</v>
      </c>
    </row>
    <row r="5667" spans="1:13" x14ac:dyDescent="0.25">
      <c r="A5667" s="417" t="s">
        <v>3385</v>
      </c>
      <c r="B5667" s="417" t="s">
        <v>2437</v>
      </c>
      <c r="C5667" s="417" t="s">
        <v>13795</v>
      </c>
      <c r="D5667" s="417" t="s">
        <v>989</v>
      </c>
      <c r="E5667" s="423">
        <v>119878.70166629661</v>
      </c>
      <c r="F5667" s="423">
        <v>5504.5476944375478</v>
      </c>
      <c r="G5667" s="422">
        <v>346638407.68765658</v>
      </c>
      <c r="H5667" s="417" t="s">
        <v>2616</v>
      </c>
      <c r="I5667" s="417" t="s">
        <v>1392</v>
      </c>
      <c r="J5667" s="417" t="s">
        <v>4167</v>
      </c>
      <c r="K5667" s="417" t="s">
        <v>13796</v>
      </c>
      <c r="L5667" s="417"/>
      <c r="M5667" s="417" t="s">
        <v>28840</v>
      </c>
    </row>
    <row r="5668" spans="1:13" x14ac:dyDescent="0.25">
      <c r="A5668" s="417" t="s">
        <v>3385</v>
      </c>
      <c r="B5668" s="417" t="s">
        <v>2437</v>
      </c>
      <c r="C5668" s="417" t="s">
        <v>13797</v>
      </c>
      <c r="D5668" s="417" t="s">
        <v>989</v>
      </c>
      <c r="E5668" s="423">
        <v>85323.836298154099</v>
      </c>
      <c r="F5668" s="423">
        <v>4095.6334411856769</v>
      </c>
      <c r="G5668" s="422">
        <v>226410660.1514262</v>
      </c>
      <c r="H5668" s="417" t="s">
        <v>2616</v>
      </c>
      <c r="I5668" s="417" t="s">
        <v>1392</v>
      </c>
      <c r="J5668" s="417" t="s">
        <v>4167</v>
      </c>
      <c r="K5668" s="417" t="s">
        <v>13798</v>
      </c>
      <c r="L5668" s="417"/>
      <c r="M5668" s="417" t="s">
        <v>28840</v>
      </c>
    </row>
    <row r="5669" spans="1:13" x14ac:dyDescent="0.25">
      <c r="A5669" s="417" t="s">
        <v>3385</v>
      </c>
      <c r="B5669" s="417" t="s">
        <v>2437</v>
      </c>
      <c r="C5669" s="417" t="s">
        <v>13799</v>
      </c>
      <c r="D5669" s="417" t="s">
        <v>989</v>
      </c>
      <c r="E5669" s="423">
        <v>153167.44501013879</v>
      </c>
      <c r="F5669" s="423">
        <v>7019.9345748034029</v>
      </c>
      <c r="G5669" s="422">
        <v>442341886.12600613</v>
      </c>
      <c r="H5669" s="417" t="s">
        <v>2616</v>
      </c>
      <c r="I5669" s="417" t="s">
        <v>1392</v>
      </c>
      <c r="J5669" s="417" t="s">
        <v>4167</v>
      </c>
      <c r="K5669" s="417" t="s">
        <v>13800</v>
      </c>
      <c r="L5669" s="417"/>
      <c r="M5669" s="417" t="s">
        <v>28840</v>
      </c>
    </row>
    <row r="5670" spans="1:13" x14ac:dyDescent="0.25">
      <c r="A5670" s="417" t="s">
        <v>3385</v>
      </c>
      <c r="B5670" s="417" t="s">
        <v>2437</v>
      </c>
      <c r="C5670" s="417" t="s">
        <v>13801</v>
      </c>
      <c r="D5670" s="417" t="s">
        <v>989</v>
      </c>
      <c r="E5670" s="423">
        <v>114641.76895836031</v>
      </c>
      <c r="F5670" s="423">
        <v>5437.0247500453397</v>
      </c>
      <c r="G5670" s="422">
        <v>307351923.5192464</v>
      </c>
      <c r="H5670" s="417" t="s">
        <v>2616</v>
      </c>
      <c r="I5670" s="417" t="s">
        <v>1392</v>
      </c>
      <c r="J5670" s="417" t="s">
        <v>4167</v>
      </c>
      <c r="K5670" s="417" t="s">
        <v>13802</v>
      </c>
      <c r="L5670" s="417"/>
      <c r="M5670" s="417" t="s">
        <v>28840</v>
      </c>
    </row>
    <row r="5671" spans="1:13" x14ac:dyDescent="0.25">
      <c r="A5671" s="417" t="s">
        <v>3385</v>
      </c>
      <c r="B5671" s="417" t="s">
        <v>2437</v>
      </c>
      <c r="C5671" s="417" t="s">
        <v>13803</v>
      </c>
      <c r="D5671" s="417" t="s">
        <v>989</v>
      </c>
      <c r="E5671" s="423">
        <v>130939.7550556762</v>
      </c>
      <c r="F5671" s="423">
        <v>6130.6337545679107</v>
      </c>
      <c r="G5671" s="422">
        <v>372361535.88470691</v>
      </c>
      <c r="H5671" s="417" t="s">
        <v>2616</v>
      </c>
      <c r="I5671" s="417" t="s">
        <v>1392</v>
      </c>
      <c r="J5671" s="417" t="s">
        <v>4167</v>
      </c>
      <c r="K5671" s="417" t="s">
        <v>13804</v>
      </c>
      <c r="L5671" s="417"/>
      <c r="M5671" s="417" t="s">
        <v>28840</v>
      </c>
    </row>
    <row r="5672" spans="1:13" x14ac:dyDescent="0.25">
      <c r="A5672" s="417" t="s">
        <v>3385</v>
      </c>
      <c r="B5672" s="417" t="s">
        <v>2437</v>
      </c>
      <c r="C5672" s="417" t="s">
        <v>13805</v>
      </c>
      <c r="D5672" s="417" t="s">
        <v>989</v>
      </c>
      <c r="E5672" s="423">
        <v>76687.085924606217</v>
      </c>
      <c r="F5672" s="423">
        <v>3798.916563436002</v>
      </c>
      <c r="G5672" s="422">
        <v>191399624.68994761</v>
      </c>
      <c r="H5672" s="417" t="s">
        <v>2616</v>
      </c>
      <c r="I5672" s="417" t="s">
        <v>1392</v>
      </c>
      <c r="J5672" s="417" t="s">
        <v>4167</v>
      </c>
      <c r="K5672" s="417" t="s">
        <v>13806</v>
      </c>
      <c r="L5672" s="417"/>
      <c r="M5672" s="417" t="s">
        <v>28840</v>
      </c>
    </row>
    <row r="5673" spans="1:13" x14ac:dyDescent="0.25">
      <c r="A5673" s="417" t="s">
        <v>3385</v>
      </c>
      <c r="B5673" s="417" t="s">
        <v>2437</v>
      </c>
      <c r="C5673" s="417" t="s">
        <v>13807</v>
      </c>
      <c r="D5673" s="417" t="s">
        <v>989</v>
      </c>
      <c r="E5673" s="423">
        <v>166048.78356848229</v>
      </c>
      <c r="F5673" s="423">
        <v>7775.6472044772127</v>
      </c>
      <c r="G5673" s="422">
        <v>471693432.32297373</v>
      </c>
      <c r="H5673" s="417" t="s">
        <v>2616</v>
      </c>
      <c r="I5673" s="417" t="s">
        <v>1392</v>
      </c>
      <c r="J5673" s="417" t="s">
        <v>4167</v>
      </c>
      <c r="K5673" s="417" t="s">
        <v>13808</v>
      </c>
      <c r="L5673" s="417"/>
      <c r="M5673" s="417" t="s">
        <v>28840</v>
      </c>
    </row>
    <row r="5674" spans="1:13" x14ac:dyDescent="0.25">
      <c r="A5674" s="417" t="s">
        <v>3385</v>
      </c>
      <c r="B5674" s="417" t="s">
        <v>2437</v>
      </c>
      <c r="C5674" s="417" t="s">
        <v>13809</v>
      </c>
      <c r="D5674" s="417" t="s">
        <v>989</v>
      </c>
      <c r="E5674" s="423">
        <v>102977.34914533469</v>
      </c>
      <c r="F5674" s="423">
        <v>5035.7136056051286</v>
      </c>
      <c r="G5674" s="422">
        <v>259731257.61067921</v>
      </c>
      <c r="H5674" s="417" t="s">
        <v>2616</v>
      </c>
      <c r="I5674" s="417" t="s">
        <v>1392</v>
      </c>
      <c r="J5674" s="417" t="s">
        <v>4167</v>
      </c>
      <c r="K5674" s="417" t="s">
        <v>13810</v>
      </c>
      <c r="L5674" s="417"/>
      <c r="M5674" s="417" t="s">
        <v>28840</v>
      </c>
    </row>
    <row r="5675" spans="1:13" x14ac:dyDescent="0.25">
      <c r="A5675" s="417" t="s">
        <v>3385</v>
      </c>
      <c r="B5675" s="417" t="s">
        <v>2437</v>
      </c>
      <c r="C5675" s="417" t="s">
        <v>13811</v>
      </c>
      <c r="D5675" s="417" t="s">
        <v>989</v>
      </c>
      <c r="E5675" s="423">
        <v>58670.806307571933</v>
      </c>
      <c r="F5675" s="423">
        <v>2952.995847324843</v>
      </c>
      <c r="G5675" s="422">
        <v>119108913.2561909</v>
      </c>
      <c r="H5675" s="417" t="s">
        <v>2616</v>
      </c>
      <c r="I5675" s="417" t="s">
        <v>1392</v>
      </c>
      <c r="J5675" s="417" t="s">
        <v>4167</v>
      </c>
      <c r="K5675" s="417" t="s">
        <v>13812</v>
      </c>
      <c r="L5675" s="417"/>
      <c r="M5675" s="417" t="s">
        <v>28840</v>
      </c>
    </row>
    <row r="5676" spans="1:13" x14ac:dyDescent="0.25">
      <c r="A5676" s="417" t="s">
        <v>3385</v>
      </c>
      <c r="B5676" s="417" t="s">
        <v>2437</v>
      </c>
      <c r="C5676" s="417" t="s">
        <v>13813</v>
      </c>
      <c r="D5676" s="417" t="s">
        <v>989</v>
      </c>
      <c r="E5676" s="423">
        <v>58071.173189646979</v>
      </c>
      <c r="F5676" s="423">
        <v>2928.0182433394439</v>
      </c>
      <c r="G5676" s="422">
        <v>117764116.38026521</v>
      </c>
      <c r="H5676" s="417" t="s">
        <v>2616</v>
      </c>
      <c r="I5676" s="417" t="s">
        <v>1392</v>
      </c>
      <c r="J5676" s="417" t="s">
        <v>4167</v>
      </c>
      <c r="K5676" s="417" t="s">
        <v>13814</v>
      </c>
      <c r="L5676" s="417"/>
      <c r="M5676" s="417" t="s">
        <v>28840</v>
      </c>
    </row>
    <row r="5677" spans="1:13" x14ac:dyDescent="0.25">
      <c r="A5677" s="417" t="s">
        <v>3385</v>
      </c>
      <c r="B5677" s="417" t="s">
        <v>2437</v>
      </c>
      <c r="C5677" s="417" t="s">
        <v>13815</v>
      </c>
      <c r="D5677" s="417" t="s">
        <v>989</v>
      </c>
      <c r="E5677" s="423">
        <v>57389.314204435781</v>
      </c>
      <c r="F5677" s="423">
        <v>2900.7167868508818</v>
      </c>
      <c r="G5677" s="422">
        <v>116270326.4369323</v>
      </c>
      <c r="H5677" s="417" t="s">
        <v>2616</v>
      </c>
      <c r="I5677" s="417" t="s">
        <v>1392</v>
      </c>
      <c r="J5677" s="417" t="s">
        <v>4167</v>
      </c>
      <c r="K5677" s="417" t="s">
        <v>13816</v>
      </c>
      <c r="L5677" s="417"/>
      <c r="M5677" s="417" t="s">
        <v>28840</v>
      </c>
    </row>
    <row r="5678" spans="1:13" x14ac:dyDescent="0.25">
      <c r="A5678" s="417" t="s">
        <v>3385</v>
      </c>
      <c r="B5678" s="417" t="s">
        <v>2437</v>
      </c>
      <c r="C5678" s="417" t="s">
        <v>13817</v>
      </c>
      <c r="D5678" s="417" t="s">
        <v>989</v>
      </c>
      <c r="E5678" s="423">
        <v>74254.552469757356</v>
      </c>
      <c r="F5678" s="423">
        <v>3762.9194404309092</v>
      </c>
      <c r="G5678" s="422">
        <v>153464584.32906049</v>
      </c>
      <c r="H5678" s="417" t="s">
        <v>2616</v>
      </c>
      <c r="I5678" s="417" t="s">
        <v>1392</v>
      </c>
      <c r="J5678" s="417" t="s">
        <v>4167</v>
      </c>
      <c r="K5678" s="417" t="s">
        <v>13818</v>
      </c>
      <c r="L5678" s="417"/>
      <c r="M5678" s="417" t="s">
        <v>28840</v>
      </c>
    </row>
    <row r="5679" spans="1:13" x14ac:dyDescent="0.25">
      <c r="A5679" s="417" t="s">
        <v>3385</v>
      </c>
      <c r="B5679" s="417" t="s">
        <v>2437</v>
      </c>
      <c r="C5679" s="417" t="s">
        <v>13819</v>
      </c>
      <c r="D5679" s="417" t="s">
        <v>989</v>
      </c>
      <c r="E5679" s="423">
        <v>73067.034297313032</v>
      </c>
      <c r="F5679" s="423">
        <v>3713.4799620969061</v>
      </c>
      <c r="G5679" s="422">
        <v>150793318.00982931</v>
      </c>
      <c r="H5679" s="417" t="s">
        <v>2616</v>
      </c>
      <c r="I5679" s="417" t="s">
        <v>1392</v>
      </c>
      <c r="J5679" s="417" t="s">
        <v>4167</v>
      </c>
      <c r="K5679" s="417" t="s">
        <v>13820</v>
      </c>
      <c r="L5679" s="417"/>
      <c r="M5679" s="417" t="s">
        <v>28840</v>
      </c>
    </row>
    <row r="5680" spans="1:13" x14ac:dyDescent="0.25">
      <c r="A5680" s="417" t="s">
        <v>3385</v>
      </c>
      <c r="B5680" s="417" t="s">
        <v>2437</v>
      </c>
      <c r="C5680" s="417" t="s">
        <v>13821</v>
      </c>
      <c r="D5680" s="417" t="s">
        <v>989</v>
      </c>
      <c r="E5680" s="423">
        <v>72383.947901002422</v>
      </c>
      <c r="F5680" s="423">
        <v>3686.1246233844458</v>
      </c>
      <c r="G5680" s="422">
        <v>149297613.24732301</v>
      </c>
      <c r="H5680" s="417" t="s">
        <v>2616</v>
      </c>
      <c r="I5680" s="417" t="s">
        <v>1392</v>
      </c>
      <c r="J5680" s="417" t="s">
        <v>4167</v>
      </c>
      <c r="K5680" s="417" t="s">
        <v>13822</v>
      </c>
      <c r="L5680" s="417"/>
      <c r="M5680" s="417" t="s">
        <v>28840</v>
      </c>
    </row>
    <row r="5681" spans="1:13" x14ac:dyDescent="0.25">
      <c r="A5681" s="417" t="s">
        <v>3385</v>
      </c>
      <c r="B5681" s="417" t="s">
        <v>2437</v>
      </c>
      <c r="C5681" s="417" t="s">
        <v>13823</v>
      </c>
      <c r="D5681" s="417" t="s">
        <v>989</v>
      </c>
      <c r="E5681" s="423">
        <v>55251.366978606748</v>
      </c>
      <c r="F5681" s="423">
        <v>2845.48692594364</v>
      </c>
      <c r="G5681" s="422">
        <v>114819300.01252601</v>
      </c>
      <c r="H5681" s="417" t="s">
        <v>2616</v>
      </c>
      <c r="I5681" s="417" t="s">
        <v>1392</v>
      </c>
      <c r="J5681" s="417" t="s">
        <v>4167</v>
      </c>
      <c r="K5681" s="417" t="s">
        <v>13824</v>
      </c>
      <c r="L5681" s="417"/>
      <c r="M5681" s="417" t="s">
        <v>28840</v>
      </c>
    </row>
    <row r="5682" spans="1:13" x14ac:dyDescent="0.25">
      <c r="A5682" s="417" t="s">
        <v>3385</v>
      </c>
      <c r="B5682" s="417" t="s">
        <v>2437</v>
      </c>
      <c r="C5682" s="417" t="s">
        <v>607</v>
      </c>
      <c r="D5682" s="417" t="s">
        <v>989</v>
      </c>
      <c r="E5682" s="423">
        <v>55045.113753482998</v>
      </c>
      <c r="F5682" s="423">
        <v>2837.725561544119</v>
      </c>
      <c r="G5682" s="422">
        <v>114392474.78944629</v>
      </c>
      <c r="H5682" s="417" t="s">
        <v>2616</v>
      </c>
      <c r="I5682" s="417" t="s">
        <v>28985</v>
      </c>
      <c r="J5682" s="417" t="s">
        <v>4167</v>
      </c>
      <c r="K5682" s="417" t="s">
        <v>13825</v>
      </c>
      <c r="L5682" s="417"/>
      <c r="M5682" s="417" t="s">
        <v>28840</v>
      </c>
    </row>
    <row r="5683" spans="1:13" x14ac:dyDescent="0.25">
      <c r="A5683" s="417" t="s">
        <v>3385</v>
      </c>
      <c r="B5683" s="417" t="s">
        <v>2437</v>
      </c>
      <c r="C5683" s="417" t="s">
        <v>13826</v>
      </c>
      <c r="D5683" s="417" t="s">
        <v>989</v>
      </c>
      <c r="E5683" s="423">
        <v>54823.576662217703</v>
      </c>
      <c r="F5683" s="423">
        <v>2829.273654502671</v>
      </c>
      <c r="G5683" s="422">
        <v>113929981.5680823</v>
      </c>
      <c r="H5683" s="417" t="s">
        <v>2616</v>
      </c>
      <c r="I5683" s="417" t="s">
        <v>1392</v>
      </c>
      <c r="J5683" s="417" t="s">
        <v>4167</v>
      </c>
      <c r="K5683" s="417" t="s">
        <v>13827</v>
      </c>
      <c r="L5683" s="417"/>
      <c r="M5683" s="417" t="s">
        <v>28840</v>
      </c>
    </row>
    <row r="5684" spans="1:13" x14ac:dyDescent="0.25">
      <c r="A5684" s="417" t="s">
        <v>3385</v>
      </c>
      <c r="B5684" s="417" t="s">
        <v>2437</v>
      </c>
      <c r="C5684" s="417" t="s">
        <v>13828</v>
      </c>
      <c r="D5684" s="417" t="s">
        <v>989</v>
      </c>
      <c r="E5684" s="423">
        <v>70734.835208491859</v>
      </c>
      <c r="F5684" s="423">
        <v>3644.202540952097</v>
      </c>
      <c r="G5684" s="422">
        <v>148257368.73077619</v>
      </c>
      <c r="H5684" s="417" t="s">
        <v>2616</v>
      </c>
      <c r="I5684" s="417" t="s">
        <v>1392</v>
      </c>
      <c r="J5684" s="417" t="s">
        <v>4167</v>
      </c>
      <c r="K5684" s="417" t="s">
        <v>13829</v>
      </c>
      <c r="L5684" s="417"/>
      <c r="M5684" s="417" t="s">
        <v>28840</v>
      </c>
    </row>
    <row r="5685" spans="1:13" x14ac:dyDescent="0.25">
      <c r="A5685" s="417" t="s">
        <v>3385</v>
      </c>
      <c r="B5685" s="417" t="s">
        <v>2437</v>
      </c>
      <c r="C5685" s="417" t="s">
        <v>609</v>
      </c>
      <c r="D5685" s="417" t="s">
        <v>989</v>
      </c>
      <c r="E5685" s="423">
        <v>70529.766829591696</v>
      </c>
      <c r="F5685" s="423">
        <v>3636.5564284736702</v>
      </c>
      <c r="G5685" s="422">
        <v>147842331.98163691</v>
      </c>
      <c r="H5685" s="417" t="s">
        <v>2616</v>
      </c>
      <c r="I5685" s="417" t="s">
        <v>28985</v>
      </c>
      <c r="J5685" s="417" t="s">
        <v>4167</v>
      </c>
      <c r="K5685" s="417" t="s">
        <v>13830</v>
      </c>
      <c r="L5685" s="417"/>
      <c r="M5685" s="417" t="s">
        <v>28840</v>
      </c>
    </row>
    <row r="5686" spans="1:13" x14ac:dyDescent="0.25">
      <c r="A5686" s="417" t="s">
        <v>3385</v>
      </c>
      <c r="B5686" s="417" t="s">
        <v>2437</v>
      </c>
      <c r="C5686" s="417" t="s">
        <v>13831</v>
      </c>
      <c r="D5686" s="417" t="s">
        <v>989</v>
      </c>
      <c r="E5686" s="423">
        <v>70324.78609462046</v>
      </c>
      <c r="F5686" s="423">
        <v>3628.7341305272021</v>
      </c>
      <c r="G5686" s="422">
        <v>147419073.94604731</v>
      </c>
      <c r="H5686" s="417" t="s">
        <v>2616</v>
      </c>
      <c r="I5686" s="417" t="s">
        <v>1392</v>
      </c>
      <c r="J5686" s="417" t="s">
        <v>4167</v>
      </c>
      <c r="K5686" s="417" t="s">
        <v>13832</v>
      </c>
      <c r="L5686" s="417"/>
      <c r="M5686" s="417" t="s">
        <v>28840</v>
      </c>
    </row>
    <row r="5687" spans="1:13" x14ac:dyDescent="0.25">
      <c r="A5687" s="417" t="s">
        <v>3385</v>
      </c>
      <c r="B5687" s="417" t="s">
        <v>2437</v>
      </c>
      <c r="C5687" s="417" t="s">
        <v>13833</v>
      </c>
      <c r="D5687" s="417" t="s">
        <v>989</v>
      </c>
      <c r="E5687" s="423">
        <v>57011.975148941208</v>
      </c>
      <c r="F5687" s="423">
        <v>2887.9302357142551</v>
      </c>
      <c r="G5687" s="422">
        <v>115013007.73318709</v>
      </c>
      <c r="H5687" s="417" t="s">
        <v>2616</v>
      </c>
      <c r="I5687" s="417" t="s">
        <v>1392</v>
      </c>
      <c r="J5687" s="417" t="s">
        <v>4167</v>
      </c>
      <c r="K5687" s="417" t="s">
        <v>13834</v>
      </c>
      <c r="L5687" s="417"/>
      <c r="M5687" s="417" t="s">
        <v>28840</v>
      </c>
    </row>
    <row r="5688" spans="1:13" x14ac:dyDescent="0.25">
      <c r="A5688" s="417" t="s">
        <v>3385</v>
      </c>
      <c r="B5688" s="417" t="s">
        <v>2437</v>
      </c>
      <c r="C5688" s="417" t="s">
        <v>13835</v>
      </c>
      <c r="D5688" s="417" t="s">
        <v>989</v>
      </c>
      <c r="E5688" s="423">
        <v>56770.920061928853</v>
      </c>
      <c r="F5688" s="423">
        <v>2879.1974835545379</v>
      </c>
      <c r="G5688" s="422">
        <v>114539057.5309962</v>
      </c>
      <c r="H5688" s="417" t="s">
        <v>2616</v>
      </c>
      <c r="I5688" s="417" t="s">
        <v>1392</v>
      </c>
      <c r="J5688" s="417" t="s">
        <v>4167</v>
      </c>
      <c r="K5688" s="417" t="s">
        <v>13836</v>
      </c>
      <c r="L5688" s="417"/>
      <c r="M5688" s="417" t="s">
        <v>28840</v>
      </c>
    </row>
    <row r="5689" spans="1:13" x14ac:dyDescent="0.25">
      <c r="A5689" s="417" t="s">
        <v>3385</v>
      </c>
      <c r="B5689" s="417" t="s">
        <v>2437</v>
      </c>
      <c r="C5689" s="417" t="s">
        <v>13837</v>
      </c>
      <c r="D5689" s="417" t="s">
        <v>989</v>
      </c>
      <c r="E5689" s="423">
        <v>56600.07803623494</v>
      </c>
      <c r="F5689" s="423">
        <v>2872.3373333869608</v>
      </c>
      <c r="G5689" s="422">
        <v>114180980.7108763</v>
      </c>
      <c r="H5689" s="417" t="s">
        <v>2616</v>
      </c>
      <c r="I5689" s="417" t="s">
        <v>1392</v>
      </c>
      <c r="J5689" s="417" t="s">
        <v>4167</v>
      </c>
      <c r="K5689" s="417" t="s">
        <v>13838</v>
      </c>
      <c r="L5689" s="417"/>
      <c r="M5689" s="417" t="s">
        <v>28840</v>
      </c>
    </row>
    <row r="5690" spans="1:13" x14ac:dyDescent="0.25">
      <c r="A5690" s="417" t="s">
        <v>3385</v>
      </c>
      <c r="B5690" s="417" t="s">
        <v>2437</v>
      </c>
      <c r="C5690" s="417" t="s">
        <v>13839</v>
      </c>
      <c r="D5690" s="417" t="s">
        <v>989</v>
      </c>
      <c r="E5690" s="423">
        <v>56839.518974078412</v>
      </c>
      <c r="F5690" s="423">
        <v>2882.9350792204482</v>
      </c>
      <c r="G5690" s="422">
        <v>114708944.2927642</v>
      </c>
      <c r="H5690" s="417" t="s">
        <v>2616</v>
      </c>
      <c r="I5690" s="417" t="s">
        <v>1392</v>
      </c>
      <c r="J5690" s="417" t="s">
        <v>4167</v>
      </c>
      <c r="K5690" s="417" t="s">
        <v>13840</v>
      </c>
      <c r="L5690" s="417"/>
      <c r="M5690" s="417" t="s">
        <v>28840</v>
      </c>
    </row>
    <row r="5691" spans="1:13" x14ac:dyDescent="0.25">
      <c r="A5691" s="417" t="s">
        <v>3385</v>
      </c>
      <c r="B5691" s="417" t="s">
        <v>2437</v>
      </c>
      <c r="C5691" s="417" t="s">
        <v>13841</v>
      </c>
      <c r="D5691" s="417" t="s">
        <v>989</v>
      </c>
      <c r="E5691" s="423">
        <v>56599.904366421943</v>
      </c>
      <c r="F5691" s="423">
        <v>2874.260526080061</v>
      </c>
      <c r="G5691" s="422">
        <v>114237962.22002169</v>
      </c>
      <c r="H5691" s="417" t="s">
        <v>2616</v>
      </c>
      <c r="I5691" s="417" t="s">
        <v>1392</v>
      </c>
      <c r="J5691" s="417" t="s">
        <v>4167</v>
      </c>
      <c r="K5691" s="417" t="s">
        <v>13842</v>
      </c>
      <c r="L5691" s="417"/>
      <c r="M5691" s="417" t="s">
        <v>28840</v>
      </c>
    </row>
    <row r="5692" spans="1:13" x14ac:dyDescent="0.25">
      <c r="A5692" s="417" t="s">
        <v>3385</v>
      </c>
      <c r="B5692" s="417" t="s">
        <v>2437</v>
      </c>
      <c r="C5692" s="417" t="s">
        <v>13843</v>
      </c>
      <c r="D5692" s="417" t="s">
        <v>989</v>
      </c>
      <c r="E5692" s="423">
        <v>56429.062339626922</v>
      </c>
      <c r="F5692" s="423">
        <v>2867.4003758962449</v>
      </c>
      <c r="G5692" s="422">
        <v>113879885.3921451</v>
      </c>
      <c r="H5692" s="417" t="s">
        <v>2616</v>
      </c>
      <c r="I5692" s="417" t="s">
        <v>1392</v>
      </c>
      <c r="J5692" s="417" t="s">
        <v>4167</v>
      </c>
      <c r="K5692" s="417" t="s">
        <v>13844</v>
      </c>
      <c r="L5692" s="417"/>
      <c r="M5692" s="417" t="s">
        <v>28840</v>
      </c>
    </row>
    <row r="5693" spans="1:13" x14ac:dyDescent="0.25">
      <c r="A5693" s="417" t="s">
        <v>3385</v>
      </c>
      <c r="B5693" s="417" t="s">
        <v>2437</v>
      </c>
      <c r="C5693" s="417" t="s">
        <v>13845</v>
      </c>
      <c r="D5693" s="417" t="s">
        <v>989</v>
      </c>
      <c r="E5693" s="423">
        <v>56668.327934658948</v>
      </c>
      <c r="F5693" s="423">
        <v>2877.9904242758212</v>
      </c>
      <c r="G5693" s="422">
        <v>114407575.4329388</v>
      </c>
      <c r="H5693" s="417" t="s">
        <v>2616</v>
      </c>
      <c r="I5693" s="417" t="s">
        <v>1392</v>
      </c>
      <c r="J5693" s="417" t="s">
        <v>4167</v>
      </c>
      <c r="K5693" s="417" t="s">
        <v>13846</v>
      </c>
      <c r="L5693" s="417"/>
      <c r="M5693" s="417" t="s">
        <v>28840</v>
      </c>
    </row>
    <row r="5694" spans="1:13" x14ac:dyDescent="0.25">
      <c r="A5694" s="417" t="s">
        <v>3385</v>
      </c>
      <c r="B5694" s="417" t="s">
        <v>2437</v>
      </c>
      <c r="C5694" s="417" t="s">
        <v>13847</v>
      </c>
      <c r="D5694" s="417" t="s">
        <v>989</v>
      </c>
      <c r="E5694" s="423">
        <v>56427.448191973243</v>
      </c>
      <c r="F5694" s="423">
        <v>2869.265369576955</v>
      </c>
      <c r="G5694" s="422">
        <v>113933898.7396457</v>
      </c>
      <c r="H5694" s="417" t="s">
        <v>2616</v>
      </c>
      <c r="I5694" s="417" t="s">
        <v>1392</v>
      </c>
      <c r="J5694" s="417" t="s">
        <v>4167</v>
      </c>
      <c r="K5694" s="417" t="s">
        <v>13848</v>
      </c>
      <c r="L5694" s="417"/>
      <c r="M5694" s="417" t="s">
        <v>28840</v>
      </c>
    </row>
    <row r="5695" spans="1:13" x14ac:dyDescent="0.25">
      <c r="A5695" s="417" t="s">
        <v>3385</v>
      </c>
      <c r="B5695" s="417" t="s">
        <v>2437</v>
      </c>
      <c r="C5695" s="417" t="s">
        <v>13849</v>
      </c>
      <c r="D5695" s="417" t="s">
        <v>989</v>
      </c>
      <c r="E5695" s="423">
        <v>56174.292237579677</v>
      </c>
      <c r="F5695" s="423">
        <v>2860.0719142344128</v>
      </c>
      <c r="G5695" s="422">
        <v>113430977.8680498</v>
      </c>
      <c r="H5695" s="417" t="s">
        <v>2616</v>
      </c>
      <c r="I5695" s="417" t="s">
        <v>1392</v>
      </c>
      <c r="J5695" s="417" t="s">
        <v>4167</v>
      </c>
      <c r="K5695" s="417" t="s">
        <v>13850</v>
      </c>
      <c r="L5695" s="417"/>
      <c r="M5695" s="417" t="s">
        <v>28840</v>
      </c>
    </row>
    <row r="5696" spans="1:13" x14ac:dyDescent="0.25">
      <c r="A5696" s="417" t="s">
        <v>3385</v>
      </c>
      <c r="B5696" s="417" t="s">
        <v>2437</v>
      </c>
      <c r="C5696" s="417" t="s">
        <v>13851</v>
      </c>
      <c r="D5696" s="417" t="s">
        <v>989</v>
      </c>
      <c r="E5696" s="423">
        <v>56433.494963800673</v>
      </c>
      <c r="F5696" s="423">
        <v>2874.1571075697761</v>
      </c>
      <c r="G5696" s="422">
        <v>114558620.3113106</v>
      </c>
      <c r="H5696" s="417" t="s">
        <v>2616</v>
      </c>
      <c r="I5696" s="417" t="s">
        <v>1392</v>
      </c>
      <c r="J5696" s="417" t="s">
        <v>4167</v>
      </c>
      <c r="K5696" s="417" t="s">
        <v>13852</v>
      </c>
      <c r="L5696" s="417"/>
      <c r="M5696" s="417" t="s">
        <v>28840</v>
      </c>
    </row>
    <row r="5697" spans="1:13" x14ac:dyDescent="0.25">
      <c r="A5697" s="417" t="s">
        <v>3385</v>
      </c>
      <c r="B5697" s="417" t="s">
        <v>2437</v>
      </c>
      <c r="C5697" s="417" t="s">
        <v>13853</v>
      </c>
      <c r="D5697" s="417" t="s">
        <v>989</v>
      </c>
      <c r="E5697" s="423">
        <v>56209.857064868287</v>
      </c>
      <c r="F5697" s="423">
        <v>2865.9319065905802</v>
      </c>
      <c r="G5697" s="422">
        <v>114115272.01876999</v>
      </c>
      <c r="H5697" s="417" t="s">
        <v>2616</v>
      </c>
      <c r="I5697" s="417" t="s">
        <v>1392</v>
      </c>
      <c r="J5697" s="417" t="s">
        <v>4167</v>
      </c>
      <c r="K5697" s="417" t="s">
        <v>13854</v>
      </c>
      <c r="L5697" s="417"/>
      <c r="M5697" s="417" t="s">
        <v>28840</v>
      </c>
    </row>
    <row r="5698" spans="1:13" x14ac:dyDescent="0.25">
      <c r="A5698" s="417" t="s">
        <v>3385</v>
      </c>
      <c r="B5698" s="417" t="s">
        <v>2437</v>
      </c>
      <c r="C5698" s="417" t="s">
        <v>13855</v>
      </c>
      <c r="D5698" s="417" t="s">
        <v>989</v>
      </c>
      <c r="E5698" s="423">
        <v>55987.777812296546</v>
      </c>
      <c r="F5698" s="423">
        <v>2857.5986682823868</v>
      </c>
      <c r="G5698" s="422">
        <v>113666250.9895398</v>
      </c>
      <c r="H5698" s="417" t="s">
        <v>2616</v>
      </c>
      <c r="I5698" s="417" t="s">
        <v>1392</v>
      </c>
      <c r="J5698" s="417" t="s">
        <v>4167</v>
      </c>
      <c r="K5698" s="417" t="s">
        <v>13856</v>
      </c>
      <c r="L5698" s="417"/>
      <c r="M5698" s="417" t="s">
        <v>28840</v>
      </c>
    </row>
    <row r="5699" spans="1:13" x14ac:dyDescent="0.25">
      <c r="A5699" s="417" t="s">
        <v>3385</v>
      </c>
      <c r="B5699" s="417" t="s">
        <v>2437</v>
      </c>
      <c r="C5699" s="417" t="s">
        <v>13857</v>
      </c>
      <c r="D5699" s="417" t="s">
        <v>989</v>
      </c>
      <c r="E5699" s="423">
        <v>71989.227026255976</v>
      </c>
      <c r="F5699" s="423">
        <v>3672.2698581561522</v>
      </c>
      <c r="G5699" s="422">
        <v>147817536.4242616</v>
      </c>
      <c r="H5699" s="417" t="s">
        <v>2616</v>
      </c>
      <c r="I5699" s="417" t="s">
        <v>1392</v>
      </c>
      <c r="J5699" s="417" t="s">
        <v>4167</v>
      </c>
      <c r="K5699" s="417" t="s">
        <v>13858</v>
      </c>
      <c r="L5699" s="417"/>
      <c r="M5699" s="417" t="s">
        <v>28840</v>
      </c>
    </row>
    <row r="5700" spans="1:13" x14ac:dyDescent="0.25">
      <c r="A5700" s="417" t="s">
        <v>3385</v>
      </c>
      <c r="B5700" s="417" t="s">
        <v>2437</v>
      </c>
      <c r="C5700" s="417" t="s">
        <v>13859</v>
      </c>
      <c r="D5700" s="417" t="s">
        <v>989</v>
      </c>
      <c r="E5700" s="423">
        <v>71755.099093722572</v>
      </c>
      <c r="F5700" s="423">
        <v>3663.805944854153</v>
      </c>
      <c r="G5700" s="422">
        <v>147359439.25060451</v>
      </c>
      <c r="H5700" s="417" t="s">
        <v>2616</v>
      </c>
      <c r="I5700" s="417" t="s">
        <v>1392</v>
      </c>
      <c r="J5700" s="417" t="s">
        <v>4167</v>
      </c>
      <c r="K5700" s="417" t="s">
        <v>13860</v>
      </c>
      <c r="L5700" s="417"/>
      <c r="M5700" s="417" t="s">
        <v>28840</v>
      </c>
    </row>
    <row r="5701" spans="1:13" x14ac:dyDescent="0.25">
      <c r="A5701" s="417" t="s">
        <v>3385</v>
      </c>
      <c r="B5701" s="417" t="s">
        <v>2437</v>
      </c>
      <c r="C5701" s="417" t="s">
        <v>13861</v>
      </c>
      <c r="D5701" s="417" t="s">
        <v>989</v>
      </c>
      <c r="E5701" s="423">
        <v>71508.306537165015</v>
      </c>
      <c r="F5701" s="423">
        <v>3654.86161665893</v>
      </c>
      <c r="G5701" s="422">
        <v>146870771.04819489</v>
      </c>
      <c r="H5701" s="417" t="s">
        <v>2616</v>
      </c>
      <c r="I5701" s="417" t="s">
        <v>1392</v>
      </c>
      <c r="J5701" s="417" t="s">
        <v>4167</v>
      </c>
      <c r="K5701" s="417" t="s">
        <v>13862</v>
      </c>
      <c r="L5701" s="417"/>
      <c r="M5701" s="417" t="s">
        <v>28840</v>
      </c>
    </row>
    <row r="5702" spans="1:13" x14ac:dyDescent="0.25">
      <c r="A5702" s="417" t="s">
        <v>3385</v>
      </c>
      <c r="B5702" s="417" t="s">
        <v>2437</v>
      </c>
      <c r="C5702" s="417" t="s">
        <v>13863</v>
      </c>
      <c r="D5702" s="417" t="s">
        <v>989</v>
      </c>
      <c r="E5702" s="423">
        <v>71734.106235052939</v>
      </c>
      <c r="F5702" s="423">
        <v>3664.9260016010908</v>
      </c>
      <c r="G5702" s="422">
        <v>147368081.83522701</v>
      </c>
      <c r="H5702" s="417" t="s">
        <v>2616</v>
      </c>
      <c r="I5702" s="417" t="s">
        <v>1392</v>
      </c>
      <c r="J5702" s="417" t="s">
        <v>4167</v>
      </c>
      <c r="K5702" s="417" t="s">
        <v>13864</v>
      </c>
      <c r="L5702" s="417"/>
      <c r="M5702" s="417" t="s">
        <v>28840</v>
      </c>
    </row>
    <row r="5703" spans="1:13" x14ac:dyDescent="0.25">
      <c r="A5703" s="417" t="s">
        <v>3385</v>
      </c>
      <c r="B5703" s="417" t="s">
        <v>2437</v>
      </c>
      <c r="C5703" s="417" t="s">
        <v>13865</v>
      </c>
      <c r="D5703" s="417" t="s">
        <v>989</v>
      </c>
      <c r="E5703" s="423">
        <v>71500.153647197032</v>
      </c>
      <c r="F5703" s="423">
        <v>3656.4697857288879</v>
      </c>
      <c r="G5703" s="422">
        <v>146910258.2063683</v>
      </c>
      <c r="H5703" s="417" t="s">
        <v>2616</v>
      </c>
      <c r="I5703" s="417" t="s">
        <v>1392</v>
      </c>
      <c r="J5703" s="417" t="s">
        <v>4167</v>
      </c>
      <c r="K5703" s="417" t="s">
        <v>13866</v>
      </c>
      <c r="L5703" s="417"/>
      <c r="M5703" s="417" t="s">
        <v>28840</v>
      </c>
    </row>
    <row r="5704" spans="1:13" x14ac:dyDescent="0.25">
      <c r="A5704" s="417" t="s">
        <v>3385</v>
      </c>
      <c r="B5704" s="417" t="s">
        <v>2437</v>
      </c>
      <c r="C5704" s="417" t="s">
        <v>13867</v>
      </c>
      <c r="D5704" s="417" t="s">
        <v>989</v>
      </c>
      <c r="E5704" s="423">
        <v>71336.764808879976</v>
      </c>
      <c r="F5704" s="423">
        <v>3649.9015668102529</v>
      </c>
      <c r="G5704" s="422">
        <v>146568855.03906271</v>
      </c>
      <c r="H5704" s="417" t="s">
        <v>2616</v>
      </c>
      <c r="I5704" s="417" t="s">
        <v>1392</v>
      </c>
      <c r="J5704" s="417" t="s">
        <v>4167</v>
      </c>
      <c r="K5704" s="417" t="s">
        <v>13868</v>
      </c>
      <c r="L5704" s="417"/>
      <c r="M5704" s="417" t="s">
        <v>28840</v>
      </c>
    </row>
    <row r="5705" spans="1:13" x14ac:dyDescent="0.25">
      <c r="A5705" s="417" t="s">
        <v>3385</v>
      </c>
      <c r="B5705" s="417" t="s">
        <v>2437</v>
      </c>
      <c r="C5705" s="417" t="s">
        <v>13869</v>
      </c>
      <c r="D5705" s="417" t="s">
        <v>989</v>
      </c>
      <c r="E5705" s="423">
        <v>71562.56450790893</v>
      </c>
      <c r="F5705" s="423">
        <v>3659.965951712174</v>
      </c>
      <c r="G5705" s="422">
        <v>147066165.8804332</v>
      </c>
      <c r="H5705" s="417" t="s">
        <v>2616</v>
      </c>
      <c r="I5705" s="417" t="s">
        <v>1392</v>
      </c>
      <c r="J5705" s="417" t="s">
        <v>4167</v>
      </c>
      <c r="K5705" s="417" t="s">
        <v>13870</v>
      </c>
      <c r="L5705" s="417"/>
      <c r="M5705" s="417" t="s">
        <v>28840</v>
      </c>
    </row>
    <row r="5706" spans="1:13" x14ac:dyDescent="0.25">
      <c r="A5706" s="417" t="s">
        <v>3385</v>
      </c>
      <c r="B5706" s="417" t="s">
        <v>2437</v>
      </c>
      <c r="C5706" s="417" t="s">
        <v>13871</v>
      </c>
      <c r="D5706" s="417" t="s">
        <v>989</v>
      </c>
      <c r="E5706" s="423">
        <v>71327.346784417168</v>
      </c>
      <c r="F5706" s="423">
        <v>3651.4592343192162</v>
      </c>
      <c r="G5706" s="422">
        <v>146605647.6502555</v>
      </c>
      <c r="H5706" s="417" t="s">
        <v>2616</v>
      </c>
      <c r="I5706" s="417" t="s">
        <v>1392</v>
      </c>
      <c r="J5706" s="417" t="s">
        <v>4167</v>
      </c>
      <c r="K5706" s="417" t="s">
        <v>13872</v>
      </c>
      <c r="L5706" s="417"/>
      <c r="M5706" s="417" t="s">
        <v>28840</v>
      </c>
    </row>
    <row r="5707" spans="1:13" x14ac:dyDescent="0.25">
      <c r="A5707" s="417" t="s">
        <v>3385</v>
      </c>
      <c r="B5707" s="417" t="s">
        <v>2437</v>
      </c>
      <c r="C5707" s="417" t="s">
        <v>13873</v>
      </c>
      <c r="D5707" s="417" t="s">
        <v>989</v>
      </c>
      <c r="E5707" s="423">
        <v>71080.554228141584</v>
      </c>
      <c r="F5707" s="423">
        <v>3642.514906115855</v>
      </c>
      <c r="G5707" s="422">
        <v>146116979.41497609</v>
      </c>
      <c r="H5707" s="417" t="s">
        <v>2616</v>
      </c>
      <c r="I5707" s="417" t="s">
        <v>1392</v>
      </c>
      <c r="J5707" s="417" t="s">
        <v>4167</v>
      </c>
      <c r="K5707" s="417" t="s">
        <v>13874</v>
      </c>
      <c r="L5707" s="417"/>
      <c r="M5707" s="417" t="s">
        <v>28840</v>
      </c>
    </row>
    <row r="5708" spans="1:13" x14ac:dyDescent="0.25">
      <c r="A5708" s="417" t="s">
        <v>3385</v>
      </c>
      <c r="B5708" s="417" t="s">
        <v>2437</v>
      </c>
      <c r="C5708" s="417" t="s">
        <v>13875</v>
      </c>
      <c r="D5708" s="417" t="s">
        <v>989</v>
      </c>
      <c r="E5708" s="423">
        <v>71494.597568425364</v>
      </c>
      <c r="F5708" s="423">
        <v>3662.0445004433268</v>
      </c>
      <c r="G5708" s="422">
        <v>147718984.65434101</v>
      </c>
      <c r="H5708" s="417" t="s">
        <v>2616</v>
      </c>
      <c r="I5708" s="417" t="s">
        <v>1392</v>
      </c>
      <c r="J5708" s="417" t="s">
        <v>4167</v>
      </c>
      <c r="K5708" s="417" t="s">
        <v>13876</v>
      </c>
      <c r="L5708" s="417"/>
      <c r="M5708" s="417" t="s">
        <v>28840</v>
      </c>
    </row>
    <row r="5709" spans="1:13" x14ac:dyDescent="0.25">
      <c r="A5709" s="417" t="s">
        <v>3385</v>
      </c>
      <c r="B5709" s="417" t="s">
        <v>2437</v>
      </c>
      <c r="C5709" s="417" t="s">
        <v>13877</v>
      </c>
      <c r="D5709" s="417" t="s">
        <v>989</v>
      </c>
      <c r="E5709" s="423">
        <v>71259.905878575591</v>
      </c>
      <c r="F5709" s="423">
        <v>3653.560875446321</v>
      </c>
      <c r="G5709" s="422">
        <v>147259287.0983004</v>
      </c>
      <c r="H5709" s="417" t="s">
        <v>2616</v>
      </c>
      <c r="I5709" s="417" t="s">
        <v>1392</v>
      </c>
      <c r="J5709" s="417" t="s">
        <v>4167</v>
      </c>
      <c r="K5709" s="417" t="s">
        <v>13878</v>
      </c>
      <c r="L5709" s="417"/>
      <c r="M5709" s="417" t="s">
        <v>28840</v>
      </c>
    </row>
    <row r="5710" spans="1:13" x14ac:dyDescent="0.25">
      <c r="A5710" s="417" t="s">
        <v>3385</v>
      </c>
      <c r="B5710" s="417" t="s">
        <v>2437</v>
      </c>
      <c r="C5710" s="417" t="s">
        <v>13879</v>
      </c>
      <c r="D5710" s="417" t="s">
        <v>989</v>
      </c>
      <c r="E5710" s="423">
        <v>71012.023531799074</v>
      </c>
      <c r="F5710" s="423">
        <v>3644.573743124894</v>
      </c>
      <c r="G5710" s="422">
        <v>146768197.85650069</v>
      </c>
      <c r="H5710" s="417" t="s">
        <v>2616</v>
      </c>
      <c r="I5710" s="417" t="s">
        <v>1392</v>
      </c>
      <c r="J5710" s="417" t="s">
        <v>4167</v>
      </c>
      <c r="K5710" s="417" t="s">
        <v>13880</v>
      </c>
      <c r="L5710" s="417"/>
      <c r="M5710" s="417" t="s">
        <v>28840</v>
      </c>
    </row>
    <row r="5711" spans="1:13" x14ac:dyDescent="0.25">
      <c r="A5711" s="417" t="s">
        <v>3385</v>
      </c>
      <c r="B5711" s="417" t="s">
        <v>2437</v>
      </c>
      <c r="C5711" s="417" t="s">
        <v>13881</v>
      </c>
      <c r="D5711" s="417" t="s">
        <v>989</v>
      </c>
      <c r="E5711" s="423">
        <v>69241.0312263667</v>
      </c>
      <c r="F5711" s="423">
        <v>3322.8046659706929</v>
      </c>
      <c r="G5711" s="422">
        <v>158052654.6431748</v>
      </c>
      <c r="H5711" s="417" t="s">
        <v>2616</v>
      </c>
      <c r="I5711" s="417" t="s">
        <v>1392</v>
      </c>
      <c r="J5711" s="417" t="s">
        <v>4167</v>
      </c>
      <c r="K5711" s="417" t="s">
        <v>13882</v>
      </c>
      <c r="L5711" s="417"/>
      <c r="M5711" s="417" t="s">
        <v>28840</v>
      </c>
    </row>
    <row r="5712" spans="1:13" x14ac:dyDescent="0.25">
      <c r="A5712" s="417" t="s">
        <v>3385</v>
      </c>
      <c r="B5712" s="417" t="s">
        <v>2437</v>
      </c>
      <c r="C5712" s="417" t="s">
        <v>13883</v>
      </c>
      <c r="D5712" s="417" t="s">
        <v>989</v>
      </c>
      <c r="E5712" s="423">
        <v>60099.296269029728</v>
      </c>
      <c r="F5712" s="423">
        <v>3006.3831848628779</v>
      </c>
      <c r="G5712" s="422">
        <v>132361918.88824829</v>
      </c>
      <c r="H5712" s="417" t="s">
        <v>2616</v>
      </c>
      <c r="I5712" s="417" t="s">
        <v>1392</v>
      </c>
      <c r="J5712" s="417" t="s">
        <v>4167</v>
      </c>
      <c r="K5712" s="417" t="s">
        <v>13884</v>
      </c>
      <c r="L5712" s="417"/>
      <c r="M5712" s="417" t="s">
        <v>28840</v>
      </c>
    </row>
    <row r="5713" spans="1:13" x14ac:dyDescent="0.25">
      <c r="A5713" s="417" t="s">
        <v>3385</v>
      </c>
      <c r="B5713" s="417" t="s">
        <v>2437</v>
      </c>
      <c r="C5713" s="417" t="s">
        <v>13885</v>
      </c>
      <c r="D5713" s="417" t="s">
        <v>989</v>
      </c>
      <c r="E5713" s="423">
        <v>56361.661037272752</v>
      </c>
      <c r="F5713" s="423">
        <v>2877.5250335249239</v>
      </c>
      <c r="G5713" s="422">
        <v>123847599.03169221</v>
      </c>
      <c r="H5713" s="417" t="s">
        <v>2616</v>
      </c>
      <c r="I5713" s="417" t="s">
        <v>1392</v>
      </c>
      <c r="J5713" s="417" t="s">
        <v>4167</v>
      </c>
      <c r="K5713" s="417" t="s">
        <v>13886</v>
      </c>
      <c r="L5713" s="417"/>
      <c r="M5713" s="417" t="s">
        <v>28840</v>
      </c>
    </row>
    <row r="5714" spans="1:13" x14ac:dyDescent="0.25">
      <c r="A5714" s="417" t="s">
        <v>3385</v>
      </c>
      <c r="B5714" s="417" t="s">
        <v>2437</v>
      </c>
      <c r="C5714" s="417" t="s">
        <v>13887</v>
      </c>
      <c r="D5714" s="417" t="s">
        <v>989</v>
      </c>
      <c r="E5714" s="423">
        <v>85817.895505506298</v>
      </c>
      <c r="F5714" s="423">
        <v>4163.5260470739504</v>
      </c>
      <c r="G5714" s="422">
        <v>195437358.2758292</v>
      </c>
      <c r="H5714" s="417" t="s">
        <v>2616</v>
      </c>
      <c r="I5714" s="417" t="s">
        <v>1392</v>
      </c>
      <c r="J5714" s="417" t="s">
        <v>4167</v>
      </c>
      <c r="K5714" s="417" t="s">
        <v>13888</v>
      </c>
      <c r="L5714" s="417"/>
      <c r="M5714" s="417" t="s">
        <v>28840</v>
      </c>
    </row>
    <row r="5715" spans="1:13" x14ac:dyDescent="0.25">
      <c r="A5715" s="417" t="s">
        <v>3385</v>
      </c>
      <c r="B5715" s="417" t="s">
        <v>2437</v>
      </c>
      <c r="C5715" s="417" t="s">
        <v>13889</v>
      </c>
      <c r="D5715" s="417" t="s">
        <v>989</v>
      </c>
      <c r="E5715" s="423">
        <v>75881.409490149585</v>
      </c>
      <c r="F5715" s="423">
        <v>3812.2562356291419</v>
      </c>
      <c r="G5715" s="422">
        <v>167219498.943636</v>
      </c>
      <c r="H5715" s="417" t="s">
        <v>2616</v>
      </c>
      <c r="I5715" s="417" t="s">
        <v>1392</v>
      </c>
      <c r="J5715" s="417" t="s">
        <v>4167</v>
      </c>
      <c r="K5715" s="417" t="s">
        <v>13890</v>
      </c>
      <c r="L5715" s="417"/>
      <c r="M5715" s="417" t="s">
        <v>28840</v>
      </c>
    </row>
    <row r="5716" spans="1:13" x14ac:dyDescent="0.25">
      <c r="A5716" s="417" t="s">
        <v>3385</v>
      </c>
      <c r="B5716" s="417" t="s">
        <v>2437</v>
      </c>
      <c r="C5716" s="417" t="s">
        <v>13891</v>
      </c>
      <c r="D5716" s="417" t="s">
        <v>989</v>
      </c>
      <c r="E5716" s="423">
        <v>71915.11334433734</v>
      </c>
      <c r="F5716" s="423">
        <v>3671.806191519715</v>
      </c>
      <c r="G5716" s="422">
        <v>158462590.724291</v>
      </c>
      <c r="H5716" s="417" t="s">
        <v>2616</v>
      </c>
      <c r="I5716" s="417" t="s">
        <v>1392</v>
      </c>
      <c r="J5716" s="417" t="s">
        <v>4167</v>
      </c>
      <c r="K5716" s="417" t="s">
        <v>13892</v>
      </c>
      <c r="L5716" s="417"/>
      <c r="M5716" s="417" t="s">
        <v>28840</v>
      </c>
    </row>
    <row r="5717" spans="1:13" x14ac:dyDescent="0.25">
      <c r="A5717" s="417" t="s">
        <v>3385</v>
      </c>
      <c r="B5717" s="417" t="s">
        <v>2437</v>
      </c>
      <c r="C5717" s="417" t="s">
        <v>13893</v>
      </c>
      <c r="D5717" s="417" t="s">
        <v>989</v>
      </c>
      <c r="E5717" s="423">
        <v>60986.69486086876</v>
      </c>
      <c r="F5717" s="423">
        <v>3095.1609640705301</v>
      </c>
      <c r="G5717" s="422">
        <v>133655440.6291364</v>
      </c>
      <c r="H5717" s="417" t="s">
        <v>2616</v>
      </c>
      <c r="I5717" s="417" t="s">
        <v>1392</v>
      </c>
      <c r="J5717" s="417" t="s">
        <v>4167</v>
      </c>
      <c r="K5717" s="417" t="s">
        <v>13894</v>
      </c>
      <c r="L5717" s="417"/>
      <c r="M5717" s="417" t="s">
        <v>28840</v>
      </c>
    </row>
    <row r="5718" spans="1:13" x14ac:dyDescent="0.25">
      <c r="A5718" s="417" t="s">
        <v>3385</v>
      </c>
      <c r="B5718" s="417" t="s">
        <v>2437</v>
      </c>
      <c r="C5718" s="417" t="s">
        <v>13895</v>
      </c>
      <c r="D5718" s="417" t="s">
        <v>989</v>
      </c>
      <c r="E5718" s="423">
        <v>78656.273989663168</v>
      </c>
      <c r="F5718" s="423">
        <v>3981.7826698474</v>
      </c>
      <c r="G5718" s="422">
        <v>174399439.69556001</v>
      </c>
      <c r="H5718" s="417" t="s">
        <v>2616</v>
      </c>
      <c r="I5718" s="417" t="s">
        <v>1392</v>
      </c>
      <c r="J5718" s="417" t="s">
        <v>4167</v>
      </c>
      <c r="K5718" s="417" t="s">
        <v>13896</v>
      </c>
      <c r="L5718" s="417"/>
      <c r="M5718" s="417" t="s">
        <v>28840</v>
      </c>
    </row>
    <row r="5719" spans="1:13" x14ac:dyDescent="0.25">
      <c r="A5719" s="417" t="s">
        <v>3385</v>
      </c>
      <c r="B5719" s="417" t="s">
        <v>2627</v>
      </c>
      <c r="C5719" s="417" t="s">
        <v>13897</v>
      </c>
      <c r="D5719" s="417" t="s">
        <v>88</v>
      </c>
      <c r="E5719" s="423">
        <v>4.742008724844232</v>
      </c>
      <c r="F5719" s="423">
        <v>9.2301025249806906E-2</v>
      </c>
      <c r="G5719" s="422">
        <v>7389.7777039946641</v>
      </c>
      <c r="H5719" s="417" t="s">
        <v>2616</v>
      </c>
      <c r="I5719" s="417" t="s">
        <v>1392</v>
      </c>
      <c r="J5719" s="417" t="s">
        <v>3396</v>
      </c>
      <c r="K5719" s="417" t="s">
        <v>13898</v>
      </c>
      <c r="L5719" s="417"/>
      <c r="M5719" s="417" t="s">
        <v>28840</v>
      </c>
    </row>
    <row r="5720" spans="1:13" x14ac:dyDescent="0.25">
      <c r="A5720" s="417" t="s">
        <v>3385</v>
      </c>
      <c r="B5720" s="417" t="s">
        <v>2627</v>
      </c>
      <c r="C5720" s="417" t="s">
        <v>13899</v>
      </c>
      <c r="D5720" s="417" t="s">
        <v>88</v>
      </c>
      <c r="E5720" s="423">
        <v>5.1752216927080754</v>
      </c>
      <c r="F5720" s="423">
        <v>9.7775099189077397E-2</v>
      </c>
      <c r="G5720" s="422">
        <v>8040.3999173222937</v>
      </c>
      <c r="H5720" s="417" t="s">
        <v>2616</v>
      </c>
      <c r="I5720" s="417" t="s">
        <v>1392</v>
      </c>
      <c r="J5720" s="417" t="s">
        <v>3396</v>
      </c>
      <c r="K5720" s="417" t="s">
        <v>13900</v>
      </c>
      <c r="L5720" s="417"/>
      <c r="M5720" s="417" t="s">
        <v>28840</v>
      </c>
    </row>
    <row r="5721" spans="1:13" x14ac:dyDescent="0.25">
      <c r="A5721" s="417" t="s">
        <v>3385</v>
      </c>
      <c r="B5721" s="417" t="s">
        <v>2437</v>
      </c>
      <c r="C5721" s="417" t="s">
        <v>13901</v>
      </c>
      <c r="D5721" s="417" t="s">
        <v>989</v>
      </c>
      <c r="E5721" s="423">
        <v>0.99819299993742672</v>
      </c>
      <c r="F5721" s="423">
        <v>1.918936876303955E-2</v>
      </c>
      <c r="G5721" s="422">
        <v>1875.672395074944</v>
      </c>
      <c r="H5721" s="417" t="s">
        <v>2616</v>
      </c>
      <c r="I5721" s="417" t="s">
        <v>1392</v>
      </c>
      <c r="J5721" s="417" t="s">
        <v>3845</v>
      </c>
      <c r="K5721" s="417" t="s">
        <v>13902</v>
      </c>
      <c r="L5721" s="417"/>
      <c r="M5721" s="417" t="s">
        <v>28840</v>
      </c>
    </row>
    <row r="5722" spans="1:13" x14ac:dyDescent="0.25">
      <c r="A5722" s="417" t="s">
        <v>3385</v>
      </c>
      <c r="B5722" s="417" t="s">
        <v>2627</v>
      </c>
      <c r="C5722" s="417" t="s">
        <v>13903</v>
      </c>
      <c r="D5722" s="417" t="s">
        <v>83</v>
      </c>
      <c r="E5722" s="423">
        <v>0</v>
      </c>
      <c r="F5722" s="423">
        <v>0</v>
      </c>
      <c r="G5722" s="422">
        <v>108447360</v>
      </c>
      <c r="H5722" s="417" t="s">
        <v>2616</v>
      </c>
      <c r="I5722" s="417" t="s">
        <v>1392</v>
      </c>
      <c r="J5722" s="417" t="s">
        <v>3995</v>
      </c>
      <c r="K5722" s="417" t="s">
        <v>13904</v>
      </c>
      <c r="L5722" s="417"/>
      <c r="M5722" s="417" t="s">
        <v>28840</v>
      </c>
    </row>
    <row r="5723" spans="1:13" x14ac:dyDescent="0.25">
      <c r="A5723" s="417" t="s">
        <v>3385</v>
      </c>
      <c r="B5723" s="417" t="s">
        <v>2627</v>
      </c>
      <c r="C5723" s="417" t="s">
        <v>1103</v>
      </c>
      <c r="D5723" s="417" t="s">
        <v>88</v>
      </c>
      <c r="E5723" s="423">
        <v>13.137095763923281</v>
      </c>
      <c r="F5723" s="423">
        <v>5.583308156036626E-2</v>
      </c>
      <c r="G5723" s="422">
        <v>116388617.8309972</v>
      </c>
      <c r="H5723" s="417" t="s">
        <v>2616</v>
      </c>
      <c r="I5723" s="417" t="s">
        <v>28841</v>
      </c>
      <c r="J5723" s="417" t="s">
        <v>3915</v>
      </c>
      <c r="K5723" s="417" t="s">
        <v>13905</v>
      </c>
      <c r="L5723" s="417"/>
      <c r="M5723" s="417" t="s">
        <v>28840</v>
      </c>
    </row>
    <row r="5724" spans="1:13" x14ac:dyDescent="0.25">
      <c r="A5724" s="417" t="s">
        <v>3385</v>
      </c>
      <c r="B5724" s="417" t="s">
        <v>3655</v>
      </c>
      <c r="C5724" s="417" t="s">
        <v>13906</v>
      </c>
      <c r="D5724" s="417" t="s">
        <v>989</v>
      </c>
      <c r="E5724" s="423">
        <v>143980.50099926221</v>
      </c>
      <c r="F5724" s="423">
        <v>46292.121760826107</v>
      </c>
      <c r="G5724" s="422">
        <v>355700440.65459359</v>
      </c>
      <c r="H5724" s="417" t="s">
        <v>2616</v>
      </c>
      <c r="I5724" s="417" t="s">
        <v>1392</v>
      </c>
      <c r="J5724" s="417" t="s">
        <v>13907</v>
      </c>
      <c r="K5724" s="417" t="s">
        <v>13908</v>
      </c>
      <c r="L5724" s="417"/>
      <c r="M5724" s="417" t="s">
        <v>28840</v>
      </c>
    </row>
    <row r="5725" spans="1:13" x14ac:dyDescent="0.25">
      <c r="A5725" s="417" t="s">
        <v>3385</v>
      </c>
      <c r="B5725" s="417" t="s">
        <v>3655</v>
      </c>
      <c r="C5725" s="417" t="s">
        <v>13909</v>
      </c>
      <c r="D5725" s="417" t="s">
        <v>88</v>
      </c>
      <c r="E5725" s="423">
        <v>1.5629209845551091</v>
      </c>
      <c r="F5725" s="423">
        <v>0.17845283547612059</v>
      </c>
      <c r="G5725" s="422">
        <v>3285.734187987387</v>
      </c>
      <c r="H5725" s="417" t="s">
        <v>2616</v>
      </c>
      <c r="I5725" s="417" t="s">
        <v>1392</v>
      </c>
      <c r="J5725" s="417" t="s">
        <v>3754</v>
      </c>
      <c r="K5725" s="417" t="s">
        <v>13910</v>
      </c>
      <c r="L5725" s="417"/>
      <c r="M5725" s="417" t="s">
        <v>28840</v>
      </c>
    </row>
    <row r="5726" spans="1:13" x14ac:dyDescent="0.25">
      <c r="A5726" s="417" t="s">
        <v>3385</v>
      </c>
      <c r="B5726" s="417" t="s">
        <v>2627</v>
      </c>
      <c r="C5726" s="417" t="s">
        <v>13911</v>
      </c>
      <c r="D5726" s="417" t="s">
        <v>88</v>
      </c>
      <c r="E5726" s="423">
        <v>1.2407344142531731</v>
      </c>
      <c r="F5726" s="423">
        <v>6.9967969059455447E-3</v>
      </c>
      <c r="G5726" s="422">
        <v>2758.2813444293511</v>
      </c>
      <c r="H5726" s="417" t="s">
        <v>2616</v>
      </c>
      <c r="I5726" s="417" t="s">
        <v>1392</v>
      </c>
      <c r="J5726" s="417" t="s">
        <v>3772</v>
      </c>
      <c r="K5726" s="417" t="s">
        <v>13912</v>
      </c>
      <c r="L5726" s="417"/>
      <c r="M5726" s="417" t="s">
        <v>28840</v>
      </c>
    </row>
    <row r="5727" spans="1:13" x14ac:dyDescent="0.25">
      <c r="A5727" s="417" t="s">
        <v>3385</v>
      </c>
      <c r="B5727" s="417" t="s">
        <v>3655</v>
      </c>
      <c r="C5727" s="417" t="s">
        <v>13913</v>
      </c>
      <c r="D5727" s="417" t="s">
        <v>989</v>
      </c>
      <c r="E5727" s="423">
        <v>99198139.218949825</v>
      </c>
      <c r="F5727" s="423">
        <v>24906660.31709668</v>
      </c>
      <c r="G5727" s="422">
        <v>254820037847.59351</v>
      </c>
      <c r="H5727" s="417" t="s">
        <v>2616</v>
      </c>
      <c r="I5727" s="417" t="s">
        <v>1392</v>
      </c>
      <c r="J5727" s="417" t="s">
        <v>13907</v>
      </c>
      <c r="K5727" s="417" t="s">
        <v>13914</v>
      </c>
      <c r="L5727" s="417"/>
      <c r="M5727" s="417" t="s">
        <v>28840</v>
      </c>
    </row>
    <row r="5728" spans="1:13" x14ac:dyDescent="0.25">
      <c r="A5728" s="417" t="s">
        <v>3385</v>
      </c>
      <c r="B5728" s="417" t="s">
        <v>3655</v>
      </c>
      <c r="C5728" s="417" t="s">
        <v>13915</v>
      </c>
      <c r="D5728" s="417" t="s">
        <v>88</v>
      </c>
      <c r="E5728" s="423">
        <v>0.25868051571079048</v>
      </c>
      <c r="F5728" s="423">
        <v>0.1100869084603472</v>
      </c>
      <c r="G5728" s="422">
        <v>362.78724067873583</v>
      </c>
      <c r="H5728" s="417" t="s">
        <v>2616</v>
      </c>
      <c r="I5728" s="417" t="s">
        <v>1392</v>
      </c>
      <c r="J5728" s="417" t="s">
        <v>3754</v>
      </c>
      <c r="K5728" s="417" t="s">
        <v>13916</v>
      </c>
      <c r="L5728" s="417"/>
      <c r="M5728" s="417" t="s">
        <v>28840</v>
      </c>
    </row>
    <row r="5729" spans="1:13" x14ac:dyDescent="0.25">
      <c r="A5729" s="417" t="s">
        <v>3385</v>
      </c>
      <c r="B5729" s="417" t="s">
        <v>3655</v>
      </c>
      <c r="C5729" s="417" t="s">
        <v>13917</v>
      </c>
      <c r="D5729" s="417" t="s">
        <v>88</v>
      </c>
      <c r="E5729" s="423">
        <v>0.75887872070060869</v>
      </c>
      <c r="F5729" s="423">
        <v>4.5449632929588722E-2</v>
      </c>
      <c r="G5729" s="422">
        <v>1259.371536865739</v>
      </c>
      <c r="H5729" s="417" t="s">
        <v>2616</v>
      </c>
      <c r="I5729" s="417" t="s">
        <v>1392</v>
      </c>
      <c r="J5729" s="417" t="s">
        <v>3754</v>
      </c>
      <c r="K5729" s="417" t="s">
        <v>13918</v>
      </c>
      <c r="L5729" s="417"/>
      <c r="M5729" s="417" t="s">
        <v>28840</v>
      </c>
    </row>
    <row r="5730" spans="1:13" x14ac:dyDescent="0.25">
      <c r="A5730" s="417" t="s">
        <v>3385</v>
      </c>
      <c r="B5730" s="417" t="s">
        <v>3655</v>
      </c>
      <c r="C5730" s="417" t="s">
        <v>645</v>
      </c>
      <c r="D5730" s="417" t="s">
        <v>88</v>
      </c>
      <c r="E5730" s="423">
        <v>4.2260742689208044</v>
      </c>
      <c r="F5730" s="423">
        <v>0.22047168485890509</v>
      </c>
      <c r="G5730" s="422">
        <v>10538.989218754239</v>
      </c>
      <c r="H5730" s="417" t="s">
        <v>2616</v>
      </c>
      <c r="I5730" s="417" t="s">
        <v>28985</v>
      </c>
      <c r="J5730" s="417" t="s">
        <v>13907</v>
      </c>
      <c r="K5730" s="417" t="s">
        <v>13919</v>
      </c>
      <c r="L5730" s="417"/>
      <c r="M5730" s="417" t="s">
        <v>28840</v>
      </c>
    </row>
    <row r="5731" spans="1:13" x14ac:dyDescent="0.25">
      <c r="A5731" s="417" t="s">
        <v>3385</v>
      </c>
      <c r="B5731" s="417" t="s">
        <v>2627</v>
      </c>
      <c r="C5731" s="417" t="s">
        <v>13920</v>
      </c>
      <c r="D5731" s="417" t="s">
        <v>88</v>
      </c>
      <c r="E5731" s="423">
        <v>2.1576508146660771</v>
      </c>
      <c r="F5731" s="423">
        <v>5.3078651556622163E-2</v>
      </c>
      <c r="G5731" s="422">
        <v>3915.888329894583</v>
      </c>
      <c r="H5731" s="417" t="s">
        <v>2616</v>
      </c>
      <c r="I5731" s="417" t="s">
        <v>1392</v>
      </c>
      <c r="J5731" s="417" t="s">
        <v>3387</v>
      </c>
      <c r="K5731" s="417" t="s">
        <v>13921</v>
      </c>
      <c r="L5731" s="417"/>
      <c r="M5731" s="417" t="s">
        <v>28840</v>
      </c>
    </row>
    <row r="5732" spans="1:13" x14ac:dyDescent="0.25">
      <c r="A5732" s="417" t="s">
        <v>3385</v>
      </c>
      <c r="B5732" s="417" t="s">
        <v>2627</v>
      </c>
      <c r="C5732" s="417" t="s">
        <v>13922</v>
      </c>
      <c r="D5732" s="417" t="s">
        <v>88</v>
      </c>
      <c r="E5732" s="423">
        <v>7.7013627811955976</v>
      </c>
      <c r="F5732" s="423">
        <v>8.9842457513079538E-2</v>
      </c>
      <c r="G5732" s="422">
        <v>14254.50806141654</v>
      </c>
      <c r="H5732" s="417" t="s">
        <v>2616</v>
      </c>
      <c r="I5732" s="417" t="s">
        <v>1392</v>
      </c>
      <c r="J5732" s="417" t="s">
        <v>3433</v>
      </c>
      <c r="K5732" s="417" t="s">
        <v>13923</v>
      </c>
      <c r="L5732" s="417"/>
      <c r="M5732" s="417" t="s">
        <v>28840</v>
      </c>
    </row>
    <row r="5733" spans="1:13" x14ac:dyDescent="0.25">
      <c r="A5733" s="417" t="s">
        <v>3385</v>
      </c>
      <c r="B5733" s="417" t="s">
        <v>2627</v>
      </c>
      <c r="C5733" s="417" t="s">
        <v>13924</v>
      </c>
      <c r="D5733" s="417" t="s">
        <v>88</v>
      </c>
      <c r="E5733" s="423">
        <v>79.259168618501576</v>
      </c>
      <c r="F5733" s="423">
        <v>2.750011857132141</v>
      </c>
      <c r="G5733" s="422">
        <v>1049577.682198154</v>
      </c>
      <c r="H5733" s="417" t="s">
        <v>2616</v>
      </c>
      <c r="I5733" s="417" t="s">
        <v>1392</v>
      </c>
      <c r="J5733" s="417" t="s">
        <v>3433</v>
      </c>
      <c r="K5733" s="417" t="s">
        <v>13925</v>
      </c>
      <c r="L5733" s="417"/>
      <c r="M5733" s="417" t="s">
        <v>28840</v>
      </c>
    </row>
    <row r="5734" spans="1:13" x14ac:dyDescent="0.25">
      <c r="A5734" s="417" t="s">
        <v>3385</v>
      </c>
      <c r="B5734" s="417" t="s">
        <v>2627</v>
      </c>
      <c r="C5734" s="417" t="s">
        <v>13926</v>
      </c>
      <c r="D5734" s="417" t="s">
        <v>88</v>
      </c>
      <c r="E5734" s="423">
        <v>97.723993281759618</v>
      </c>
      <c r="F5734" s="423">
        <v>3.39385073136771</v>
      </c>
      <c r="G5734" s="422">
        <v>1299331.8426736901</v>
      </c>
      <c r="H5734" s="417" t="s">
        <v>2616</v>
      </c>
      <c r="I5734" s="417" t="s">
        <v>1392</v>
      </c>
      <c r="J5734" s="417" t="s">
        <v>3433</v>
      </c>
      <c r="K5734" s="417" t="s">
        <v>13927</v>
      </c>
      <c r="L5734" s="417"/>
      <c r="M5734" s="417" t="s">
        <v>28840</v>
      </c>
    </row>
    <row r="5735" spans="1:13" x14ac:dyDescent="0.25">
      <c r="A5735" s="417" t="s">
        <v>3385</v>
      </c>
      <c r="B5735" s="417" t="s">
        <v>2627</v>
      </c>
      <c r="C5735" s="417" t="s">
        <v>13928</v>
      </c>
      <c r="D5735" s="417" t="s">
        <v>83</v>
      </c>
      <c r="E5735" s="423">
        <v>1.1355011417716421</v>
      </c>
      <c r="F5735" s="423">
        <v>0.67450112410469865</v>
      </c>
      <c r="G5735" s="422">
        <v>1479.6103535964701</v>
      </c>
      <c r="H5735" s="417" t="s">
        <v>2616</v>
      </c>
      <c r="I5735" s="417" t="s">
        <v>1392</v>
      </c>
      <c r="J5735" s="417" t="s">
        <v>4200</v>
      </c>
      <c r="K5735" s="417" t="s">
        <v>13929</v>
      </c>
      <c r="L5735" s="417"/>
      <c r="M5735" s="417" t="s">
        <v>28840</v>
      </c>
    </row>
    <row r="5736" spans="1:13" x14ac:dyDescent="0.25">
      <c r="A5736" s="417" t="s">
        <v>3385</v>
      </c>
      <c r="B5736" s="417" t="s">
        <v>2627</v>
      </c>
      <c r="C5736" s="417" t="s">
        <v>13930</v>
      </c>
      <c r="D5736" s="417" t="s">
        <v>73</v>
      </c>
      <c r="E5736" s="423">
        <v>3.3459219136734372E-2</v>
      </c>
      <c r="F5736" s="423">
        <v>1.959542198032057E-2</v>
      </c>
      <c r="G5736" s="422">
        <v>43.614809914769623</v>
      </c>
      <c r="H5736" s="417" t="s">
        <v>2616</v>
      </c>
      <c r="I5736" s="417" t="s">
        <v>1392</v>
      </c>
      <c r="J5736" s="417" t="s">
        <v>4203</v>
      </c>
      <c r="K5736" s="417" t="s">
        <v>13931</v>
      </c>
      <c r="L5736" s="417"/>
      <c r="M5736" s="417" t="s">
        <v>28840</v>
      </c>
    </row>
    <row r="5737" spans="1:13" x14ac:dyDescent="0.25">
      <c r="A5737" s="417" t="s">
        <v>3385</v>
      </c>
      <c r="B5737" s="417" t="s">
        <v>2627</v>
      </c>
      <c r="C5737" s="417" t="s">
        <v>13932</v>
      </c>
      <c r="D5737" s="417" t="s">
        <v>73</v>
      </c>
      <c r="E5737" s="423">
        <v>3.778372261723268E-2</v>
      </c>
      <c r="F5737" s="423">
        <v>1.9757930442213439E-2</v>
      </c>
      <c r="G5737" s="422">
        <v>48.39417297491687</v>
      </c>
      <c r="H5737" s="417" t="s">
        <v>2616</v>
      </c>
      <c r="I5737" s="417" t="s">
        <v>1392</v>
      </c>
      <c r="J5737" s="417" t="s">
        <v>4203</v>
      </c>
      <c r="K5737" s="417" t="s">
        <v>13933</v>
      </c>
      <c r="L5737" s="417"/>
      <c r="M5737" s="417" t="s">
        <v>28840</v>
      </c>
    </row>
    <row r="5738" spans="1:13" x14ac:dyDescent="0.25">
      <c r="A5738" s="417" t="s">
        <v>3385</v>
      </c>
      <c r="B5738" s="417" t="s">
        <v>2627</v>
      </c>
      <c r="C5738" s="417" t="s">
        <v>13934</v>
      </c>
      <c r="D5738" s="417" t="s">
        <v>88</v>
      </c>
      <c r="E5738" s="423">
        <v>1.564462357977227</v>
      </c>
      <c r="F5738" s="423">
        <v>0.90351577565465169</v>
      </c>
      <c r="G5738" s="422">
        <v>2112.0656065737721</v>
      </c>
      <c r="H5738" s="417" t="s">
        <v>2616</v>
      </c>
      <c r="I5738" s="417" t="s">
        <v>1392</v>
      </c>
      <c r="J5738" s="417" t="s">
        <v>4203</v>
      </c>
      <c r="K5738" s="417" t="s">
        <v>13935</v>
      </c>
      <c r="L5738" s="417"/>
      <c r="M5738" s="417" t="s">
        <v>28840</v>
      </c>
    </row>
    <row r="5739" spans="1:13" x14ac:dyDescent="0.25">
      <c r="A5739" s="417" t="s">
        <v>3385</v>
      </c>
      <c r="B5739" s="417" t="s">
        <v>2627</v>
      </c>
      <c r="C5739" s="417" t="s">
        <v>13936</v>
      </c>
      <c r="D5739" s="417" t="s">
        <v>83</v>
      </c>
      <c r="E5739" s="423">
        <v>0.43013419179641149</v>
      </c>
      <c r="F5739" s="423">
        <v>5.0303213070624508</v>
      </c>
      <c r="G5739" s="422">
        <v>1527.545287207249</v>
      </c>
      <c r="H5739" s="417" t="s">
        <v>2616</v>
      </c>
      <c r="I5739" s="417" t="s">
        <v>1392</v>
      </c>
      <c r="J5739" s="417" t="s">
        <v>4203</v>
      </c>
      <c r="K5739" s="417" t="s">
        <v>13937</v>
      </c>
      <c r="L5739" s="417"/>
      <c r="M5739" s="417" t="s">
        <v>28840</v>
      </c>
    </row>
    <row r="5740" spans="1:13" x14ac:dyDescent="0.25">
      <c r="A5740" s="417" t="s">
        <v>3385</v>
      </c>
      <c r="B5740" s="417" t="s">
        <v>2627</v>
      </c>
      <c r="C5740" s="417" t="s">
        <v>13938</v>
      </c>
      <c r="D5740" s="417" t="s">
        <v>88</v>
      </c>
      <c r="E5740" s="423">
        <v>4.7407219805381224</v>
      </c>
      <c r="F5740" s="423">
        <v>0.8741603217916194</v>
      </c>
      <c r="G5740" s="422">
        <v>18182.00202936108</v>
      </c>
      <c r="H5740" s="417" t="s">
        <v>2616</v>
      </c>
      <c r="I5740" s="417" t="s">
        <v>1392</v>
      </c>
      <c r="J5740" s="417" t="s">
        <v>13043</v>
      </c>
      <c r="K5740" s="417" t="s">
        <v>13939</v>
      </c>
      <c r="L5740" s="417"/>
      <c r="M5740" s="417" t="s">
        <v>28840</v>
      </c>
    </row>
    <row r="5741" spans="1:13" x14ac:dyDescent="0.25">
      <c r="A5741" s="417" t="s">
        <v>3385</v>
      </c>
      <c r="B5741" s="417" t="s">
        <v>2627</v>
      </c>
      <c r="C5741" s="417" t="s">
        <v>13940</v>
      </c>
      <c r="D5741" s="417" t="s">
        <v>88</v>
      </c>
      <c r="E5741" s="423">
        <v>2.7608292694176941</v>
      </c>
      <c r="F5741" s="423">
        <v>0.30272125999245902</v>
      </c>
      <c r="G5741" s="422">
        <v>7471.4857704853557</v>
      </c>
      <c r="H5741" s="417" t="s">
        <v>2616</v>
      </c>
      <c r="I5741" s="417" t="s">
        <v>1392</v>
      </c>
      <c r="J5741" s="417" t="s">
        <v>13043</v>
      </c>
      <c r="K5741" s="417" t="s">
        <v>13941</v>
      </c>
      <c r="L5741" s="417"/>
      <c r="M5741" s="417" t="s">
        <v>28840</v>
      </c>
    </row>
    <row r="5742" spans="1:13" x14ac:dyDescent="0.25">
      <c r="A5742" s="417" t="s">
        <v>3385</v>
      </c>
      <c r="B5742" s="417" t="s">
        <v>2627</v>
      </c>
      <c r="C5742" s="417" t="s">
        <v>13942</v>
      </c>
      <c r="D5742" s="417" t="s">
        <v>88</v>
      </c>
      <c r="E5742" s="423">
        <v>4.4572132941737239</v>
      </c>
      <c r="F5742" s="423">
        <v>0.86601401298419467</v>
      </c>
      <c r="G5742" s="422">
        <v>17340.260903700899</v>
      </c>
      <c r="H5742" s="417" t="s">
        <v>2616</v>
      </c>
      <c r="I5742" s="417" t="s">
        <v>1392</v>
      </c>
      <c r="J5742" s="417" t="s">
        <v>13043</v>
      </c>
      <c r="K5742" s="417" t="s">
        <v>13943</v>
      </c>
      <c r="L5742" s="417"/>
      <c r="M5742" s="417" t="s">
        <v>28840</v>
      </c>
    </row>
    <row r="5743" spans="1:13" x14ac:dyDescent="0.25">
      <c r="A5743" s="417" t="s">
        <v>3385</v>
      </c>
      <c r="B5743" s="417" t="s">
        <v>2627</v>
      </c>
      <c r="C5743" s="417" t="s">
        <v>13944</v>
      </c>
      <c r="D5743" s="417" t="s">
        <v>88</v>
      </c>
      <c r="E5743" s="423">
        <v>4.4218590230012103</v>
      </c>
      <c r="F5743" s="423">
        <v>1.1005071530931061</v>
      </c>
      <c r="G5743" s="422">
        <v>17351.893585850259</v>
      </c>
      <c r="H5743" s="417" t="s">
        <v>2616</v>
      </c>
      <c r="I5743" s="417" t="s">
        <v>1392</v>
      </c>
      <c r="J5743" s="417" t="s">
        <v>13043</v>
      </c>
      <c r="K5743" s="417" t="s">
        <v>13945</v>
      </c>
      <c r="L5743" s="417"/>
      <c r="M5743" s="417" t="s">
        <v>28840</v>
      </c>
    </row>
    <row r="5744" spans="1:13" x14ac:dyDescent="0.25">
      <c r="A5744" s="417" t="s">
        <v>3385</v>
      </c>
      <c r="B5744" s="417" t="s">
        <v>2627</v>
      </c>
      <c r="C5744" s="417" t="s">
        <v>13946</v>
      </c>
      <c r="D5744" s="417" t="s">
        <v>88</v>
      </c>
      <c r="E5744" s="423">
        <v>3.5735866612915039</v>
      </c>
      <c r="F5744" s="423">
        <v>1.0967949972557409</v>
      </c>
      <c r="G5744" s="422">
        <v>16283.95117777401</v>
      </c>
      <c r="H5744" s="417" t="s">
        <v>2616</v>
      </c>
      <c r="I5744" s="417" t="s">
        <v>1392</v>
      </c>
      <c r="J5744" s="417" t="s">
        <v>13043</v>
      </c>
      <c r="K5744" s="417" t="s">
        <v>13947</v>
      </c>
      <c r="L5744" s="417"/>
      <c r="M5744" s="417" t="s">
        <v>28840</v>
      </c>
    </row>
    <row r="5745" spans="1:13" x14ac:dyDescent="0.25">
      <c r="A5745" s="417" t="s">
        <v>3385</v>
      </c>
      <c r="B5745" s="417" t="s">
        <v>2627</v>
      </c>
      <c r="C5745" s="417" t="s">
        <v>13948</v>
      </c>
      <c r="D5745" s="417" t="s">
        <v>88</v>
      </c>
      <c r="E5745" s="423">
        <v>4.4053625119164108</v>
      </c>
      <c r="F5745" s="423">
        <v>0.68052024766960895</v>
      </c>
      <c r="G5745" s="422">
        <v>15712.22370015647</v>
      </c>
      <c r="H5745" s="417" t="s">
        <v>2616</v>
      </c>
      <c r="I5745" s="417" t="s">
        <v>1392</v>
      </c>
      <c r="J5745" s="417" t="s">
        <v>13043</v>
      </c>
      <c r="K5745" s="417" t="s">
        <v>13949</v>
      </c>
      <c r="L5745" s="417"/>
      <c r="M5745" s="417" t="s">
        <v>28840</v>
      </c>
    </row>
    <row r="5746" spans="1:13" x14ac:dyDescent="0.25">
      <c r="A5746" s="417" t="s">
        <v>3385</v>
      </c>
      <c r="B5746" s="417" t="s">
        <v>2627</v>
      </c>
      <c r="C5746" s="417" t="s">
        <v>13950</v>
      </c>
      <c r="D5746" s="417" t="s">
        <v>88</v>
      </c>
      <c r="E5746" s="423">
        <v>2.4325974178875942</v>
      </c>
      <c r="F5746" s="423">
        <v>0.1111383665273693</v>
      </c>
      <c r="G5746" s="422">
        <v>5040.2652571456574</v>
      </c>
      <c r="H5746" s="417" t="s">
        <v>2616</v>
      </c>
      <c r="I5746" s="417" t="s">
        <v>1392</v>
      </c>
      <c r="J5746" s="417" t="s">
        <v>13043</v>
      </c>
      <c r="K5746" s="417" t="s">
        <v>13951</v>
      </c>
      <c r="L5746" s="417"/>
      <c r="M5746" s="417" t="s">
        <v>28840</v>
      </c>
    </row>
    <row r="5747" spans="1:13" x14ac:dyDescent="0.25">
      <c r="A5747" s="417" t="s">
        <v>3385</v>
      </c>
      <c r="B5747" s="417" t="s">
        <v>2627</v>
      </c>
      <c r="C5747" s="417" t="s">
        <v>13952</v>
      </c>
      <c r="D5747" s="417" t="s">
        <v>88</v>
      </c>
      <c r="E5747" s="423">
        <v>4.121853828928753</v>
      </c>
      <c r="F5747" s="423">
        <v>0.67237393863523021</v>
      </c>
      <c r="G5747" s="422">
        <v>14870.482575527751</v>
      </c>
      <c r="H5747" s="417" t="s">
        <v>2616</v>
      </c>
      <c r="I5747" s="417" t="s">
        <v>1392</v>
      </c>
      <c r="J5747" s="417" t="s">
        <v>13043</v>
      </c>
      <c r="K5747" s="417" t="s">
        <v>13953</v>
      </c>
      <c r="L5747" s="417"/>
      <c r="M5747" s="417" t="s">
        <v>28840</v>
      </c>
    </row>
    <row r="5748" spans="1:13" x14ac:dyDescent="0.25">
      <c r="A5748" s="417" t="s">
        <v>3385</v>
      </c>
      <c r="B5748" s="417" t="s">
        <v>2627</v>
      </c>
      <c r="C5748" s="417" t="s">
        <v>13954</v>
      </c>
      <c r="D5748" s="417" t="s">
        <v>88</v>
      </c>
      <c r="E5748" s="423">
        <v>4.0864995558430062</v>
      </c>
      <c r="F5748" s="423">
        <v>0.90686707887368767</v>
      </c>
      <c r="G5748" s="422">
        <v>14882.115308997199</v>
      </c>
      <c r="H5748" s="417" t="s">
        <v>2616</v>
      </c>
      <c r="I5748" s="417" t="s">
        <v>1392</v>
      </c>
      <c r="J5748" s="417" t="s">
        <v>13043</v>
      </c>
      <c r="K5748" s="417" t="s">
        <v>13955</v>
      </c>
      <c r="L5748" s="417"/>
      <c r="M5748" s="417" t="s">
        <v>28840</v>
      </c>
    </row>
    <row r="5749" spans="1:13" x14ac:dyDescent="0.25">
      <c r="A5749" s="417" t="s">
        <v>3385</v>
      </c>
      <c r="B5749" s="417" t="s">
        <v>2627</v>
      </c>
      <c r="C5749" s="417" t="s">
        <v>13956</v>
      </c>
      <c r="D5749" s="417" t="s">
        <v>88</v>
      </c>
      <c r="E5749" s="423">
        <v>3.2382271915263918</v>
      </c>
      <c r="F5749" s="423">
        <v>0.90315492295898314</v>
      </c>
      <c r="G5749" s="422">
        <v>13814.17283770115</v>
      </c>
      <c r="H5749" s="417" t="s">
        <v>2616</v>
      </c>
      <c r="I5749" s="417" t="s">
        <v>1392</v>
      </c>
      <c r="J5749" s="417" t="s">
        <v>13043</v>
      </c>
      <c r="K5749" s="417" t="s">
        <v>13957</v>
      </c>
      <c r="L5749" s="417"/>
      <c r="M5749" s="417" t="s">
        <v>28840</v>
      </c>
    </row>
    <row r="5750" spans="1:13" x14ac:dyDescent="0.25">
      <c r="A5750" s="417" t="s">
        <v>3385</v>
      </c>
      <c r="B5750" s="417" t="s">
        <v>2627</v>
      </c>
      <c r="C5750" s="417" t="s">
        <v>13958</v>
      </c>
      <c r="D5750" s="417" t="s">
        <v>88</v>
      </c>
      <c r="E5750" s="423">
        <v>1.5993410787916429</v>
      </c>
      <c r="F5750" s="423">
        <v>0.23014263396478879</v>
      </c>
      <c r="G5750" s="422">
        <v>3356.709190394306</v>
      </c>
      <c r="H5750" s="417" t="s">
        <v>2616</v>
      </c>
      <c r="I5750" s="417" t="s">
        <v>1392</v>
      </c>
      <c r="J5750" s="417" t="s">
        <v>13043</v>
      </c>
      <c r="K5750" s="417" t="s">
        <v>13959</v>
      </c>
      <c r="L5750" s="417"/>
      <c r="M5750" s="417" t="s">
        <v>28840</v>
      </c>
    </row>
    <row r="5751" spans="1:13" x14ac:dyDescent="0.25">
      <c r="A5751" s="417" t="s">
        <v>3385</v>
      </c>
      <c r="B5751" s="417" t="s">
        <v>2627</v>
      </c>
      <c r="C5751" s="417" t="s">
        <v>13960</v>
      </c>
      <c r="D5751" s="417" t="s">
        <v>88</v>
      </c>
      <c r="E5751" s="423">
        <v>2.2105458559268478</v>
      </c>
      <c r="F5751" s="423">
        <v>0.3152917562802513</v>
      </c>
      <c r="G5751" s="422">
        <v>7026.9458806133644</v>
      </c>
      <c r="H5751" s="417" t="s">
        <v>2616</v>
      </c>
      <c r="I5751" s="417" t="s">
        <v>1392</v>
      </c>
      <c r="J5751" s="417" t="s">
        <v>13043</v>
      </c>
      <c r="K5751" s="417" t="s">
        <v>13961</v>
      </c>
      <c r="L5751" s="417"/>
      <c r="M5751" s="417" t="s">
        <v>28840</v>
      </c>
    </row>
    <row r="5752" spans="1:13" x14ac:dyDescent="0.25">
      <c r="A5752" s="417" t="s">
        <v>3385</v>
      </c>
      <c r="B5752" s="417" t="s">
        <v>2627</v>
      </c>
      <c r="C5752" s="417" t="s">
        <v>13962</v>
      </c>
      <c r="D5752" s="417" t="s">
        <v>88</v>
      </c>
      <c r="E5752" s="423">
        <v>2.3596198800060471</v>
      </c>
      <c r="F5752" s="423">
        <v>0.44957523374762398</v>
      </c>
      <c r="G5752" s="422">
        <v>7469.5474417815722</v>
      </c>
      <c r="H5752" s="417" t="s">
        <v>2616</v>
      </c>
      <c r="I5752" s="417" t="s">
        <v>1392</v>
      </c>
      <c r="J5752" s="417" t="s">
        <v>13043</v>
      </c>
      <c r="K5752" s="417" t="s">
        <v>13963</v>
      </c>
      <c r="L5752" s="417"/>
      <c r="M5752" s="417" t="s">
        <v>28840</v>
      </c>
    </row>
    <row r="5753" spans="1:13" x14ac:dyDescent="0.25">
      <c r="A5753" s="417" t="s">
        <v>3385</v>
      </c>
      <c r="B5753" s="417" t="s">
        <v>2627</v>
      </c>
      <c r="C5753" s="417" t="s">
        <v>13964</v>
      </c>
      <c r="D5753" s="417" t="s">
        <v>88</v>
      </c>
      <c r="E5753" s="423">
        <v>2.191955940411491</v>
      </c>
      <c r="F5753" s="423">
        <v>0.43859251273485689</v>
      </c>
      <c r="G5753" s="422">
        <v>7033.062675610372</v>
      </c>
      <c r="H5753" s="417" t="s">
        <v>2616</v>
      </c>
      <c r="I5753" s="417" t="s">
        <v>1392</v>
      </c>
      <c r="J5753" s="417" t="s">
        <v>13043</v>
      </c>
      <c r="K5753" s="417" t="s">
        <v>13965</v>
      </c>
      <c r="L5753" s="417"/>
      <c r="M5753" s="417" t="s">
        <v>28840</v>
      </c>
    </row>
    <row r="5754" spans="1:13" x14ac:dyDescent="0.25">
      <c r="A5754" s="417" t="s">
        <v>3385</v>
      </c>
      <c r="B5754" s="417" t="s">
        <v>2627</v>
      </c>
      <c r="C5754" s="417" t="s">
        <v>13966</v>
      </c>
      <c r="D5754" s="417" t="s">
        <v>88</v>
      </c>
      <c r="E5754" s="423">
        <v>1.7459189070470429</v>
      </c>
      <c r="F5754" s="423">
        <v>0.43664059377933562</v>
      </c>
      <c r="G5754" s="422">
        <v>6471.5177525220424</v>
      </c>
      <c r="H5754" s="417" t="s">
        <v>2616</v>
      </c>
      <c r="I5754" s="417" t="s">
        <v>1392</v>
      </c>
      <c r="J5754" s="417" t="s">
        <v>13043</v>
      </c>
      <c r="K5754" s="417" t="s">
        <v>13967</v>
      </c>
      <c r="L5754" s="417"/>
      <c r="M5754" s="417" t="s">
        <v>28840</v>
      </c>
    </row>
    <row r="5755" spans="1:13" x14ac:dyDescent="0.25">
      <c r="A5755" s="417" t="s">
        <v>3385</v>
      </c>
      <c r="B5755" s="417" t="s">
        <v>2627</v>
      </c>
      <c r="C5755" s="417" t="s">
        <v>13968</v>
      </c>
      <c r="D5755" s="417" t="s">
        <v>989</v>
      </c>
      <c r="E5755" s="423">
        <v>25268372.23878403</v>
      </c>
      <c r="F5755" s="423">
        <v>881858.80631810334</v>
      </c>
      <c r="G5755" s="422">
        <v>87982699722.184692</v>
      </c>
      <c r="H5755" s="417" t="s">
        <v>2616</v>
      </c>
      <c r="I5755" s="417" t="s">
        <v>1392</v>
      </c>
      <c r="J5755" s="417" t="s">
        <v>4689</v>
      </c>
      <c r="K5755" s="417" t="s">
        <v>13969</v>
      </c>
      <c r="L5755" s="417"/>
      <c r="M5755" s="417" t="s">
        <v>28840</v>
      </c>
    </row>
    <row r="5756" spans="1:13" x14ac:dyDescent="0.25">
      <c r="A5756" s="417" t="s">
        <v>3385</v>
      </c>
      <c r="B5756" s="417" t="s">
        <v>2627</v>
      </c>
      <c r="C5756" s="417" t="s">
        <v>13970</v>
      </c>
      <c r="D5756" s="417" t="s">
        <v>88</v>
      </c>
      <c r="E5756" s="423">
        <v>2.3218030504394749</v>
      </c>
      <c r="F5756" s="423">
        <v>0.32590426820803697</v>
      </c>
      <c r="G5756" s="422">
        <v>7232.502671812159</v>
      </c>
      <c r="H5756" s="417" t="s">
        <v>2616</v>
      </c>
      <c r="I5756" s="417" t="s">
        <v>1392</v>
      </c>
      <c r="J5756" s="417" t="s">
        <v>13043</v>
      </c>
      <c r="K5756" s="417" t="s">
        <v>13971</v>
      </c>
      <c r="L5756" s="417"/>
      <c r="M5756" s="417" t="s">
        <v>28840</v>
      </c>
    </row>
    <row r="5757" spans="1:13" x14ac:dyDescent="0.25">
      <c r="A5757" s="417" t="s">
        <v>3385</v>
      </c>
      <c r="B5757" s="417" t="s">
        <v>2627</v>
      </c>
      <c r="C5757" s="417" t="s">
        <v>13972</v>
      </c>
      <c r="D5757" s="417" t="s">
        <v>88</v>
      </c>
      <c r="E5757" s="423">
        <v>2.4708770731363372</v>
      </c>
      <c r="F5757" s="423">
        <v>0.46018774567102733</v>
      </c>
      <c r="G5757" s="422">
        <v>7675.1042572344759</v>
      </c>
      <c r="H5757" s="417" t="s">
        <v>2616</v>
      </c>
      <c r="I5757" s="417" t="s">
        <v>1392</v>
      </c>
      <c r="J5757" s="417" t="s">
        <v>13043</v>
      </c>
      <c r="K5757" s="417" t="s">
        <v>13973</v>
      </c>
      <c r="L5757" s="417"/>
      <c r="M5757" s="417" t="s">
        <v>28840</v>
      </c>
    </row>
    <row r="5758" spans="1:13" x14ac:dyDescent="0.25">
      <c r="A5758" s="417" t="s">
        <v>3385</v>
      </c>
      <c r="B5758" s="417" t="s">
        <v>2627</v>
      </c>
      <c r="C5758" s="417" t="s">
        <v>13974</v>
      </c>
      <c r="D5758" s="417" t="s">
        <v>88</v>
      </c>
      <c r="E5758" s="423">
        <v>2.3032131335689239</v>
      </c>
      <c r="F5758" s="423">
        <v>0.44920502466240042</v>
      </c>
      <c r="G5758" s="422">
        <v>7238.6193154559232</v>
      </c>
      <c r="H5758" s="417" t="s">
        <v>2616</v>
      </c>
      <c r="I5758" s="417" t="s">
        <v>1392</v>
      </c>
      <c r="J5758" s="417" t="s">
        <v>13043</v>
      </c>
      <c r="K5758" s="417" t="s">
        <v>13975</v>
      </c>
      <c r="L5758" s="417"/>
      <c r="M5758" s="417" t="s">
        <v>28840</v>
      </c>
    </row>
    <row r="5759" spans="1:13" x14ac:dyDescent="0.25">
      <c r="A5759" s="417" t="s">
        <v>3385</v>
      </c>
      <c r="B5759" s="417" t="s">
        <v>2627</v>
      </c>
      <c r="C5759" s="417" t="s">
        <v>13976</v>
      </c>
      <c r="D5759" s="417" t="s">
        <v>88</v>
      </c>
      <c r="E5759" s="423">
        <v>1.857176100267687</v>
      </c>
      <c r="F5759" s="423">
        <v>0.44725310570848142</v>
      </c>
      <c r="G5759" s="422">
        <v>6677.0744999249619</v>
      </c>
      <c r="H5759" s="417" t="s">
        <v>2616</v>
      </c>
      <c r="I5759" s="417" t="s">
        <v>1392</v>
      </c>
      <c r="J5759" s="417" t="s">
        <v>13043</v>
      </c>
      <c r="K5759" s="417" t="s">
        <v>13977</v>
      </c>
      <c r="L5759" s="417"/>
      <c r="M5759" s="417" t="s">
        <v>28840</v>
      </c>
    </row>
    <row r="5760" spans="1:13" x14ac:dyDescent="0.25">
      <c r="A5760" s="417" t="s">
        <v>3385</v>
      </c>
      <c r="B5760" s="417" t="s">
        <v>2627</v>
      </c>
      <c r="C5760" s="417" t="s">
        <v>13978</v>
      </c>
      <c r="D5760" s="417" t="s">
        <v>88</v>
      </c>
      <c r="E5760" s="423">
        <v>1.7105982717003601</v>
      </c>
      <c r="F5760" s="423">
        <v>0.24075514588157429</v>
      </c>
      <c r="G5760" s="422">
        <v>3562.265952238537</v>
      </c>
      <c r="H5760" s="417" t="s">
        <v>2616</v>
      </c>
      <c r="I5760" s="417" t="s">
        <v>1392</v>
      </c>
      <c r="J5760" s="417" t="s">
        <v>13043</v>
      </c>
      <c r="K5760" s="417" t="s">
        <v>13979</v>
      </c>
      <c r="L5760" s="417"/>
      <c r="M5760" s="417" t="s">
        <v>28840</v>
      </c>
    </row>
    <row r="5761" spans="1:13" x14ac:dyDescent="0.25">
      <c r="A5761" s="417" t="s">
        <v>3385</v>
      </c>
      <c r="B5761" s="417" t="s">
        <v>2627</v>
      </c>
      <c r="C5761" s="417" t="s">
        <v>13980</v>
      </c>
      <c r="D5761" s="417" t="s">
        <v>88</v>
      </c>
      <c r="E5761" s="423">
        <v>1.239400886257342</v>
      </c>
      <c r="F5761" s="423">
        <v>7.7992055622404952E-2</v>
      </c>
      <c r="G5761" s="422">
        <v>2706.123739185814</v>
      </c>
      <c r="H5761" s="417" t="s">
        <v>2616</v>
      </c>
      <c r="I5761" s="417" t="s">
        <v>1392</v>
      </c>
      <c r="J5761" s="417" t="s">
        <v>13043</v>
      </c>
      <c r="K5761" s="417" t="s">
        <v>13981</v>
      </c>
      <c r="L5761" s="417"/>
      <c r="M5761" s="417" t="s">
        <v>28840</v>
      </c>
    </row>
    <row r="5762" spans="1:13" x14ac:dyDescent="0.25">
      <c r="A5762" s="417" t="s">
        <v>3385</v>
      </c>
      <c r="B5762" s="417" t="s">
        <v>2627</v>
      </c>
      <c r="C5762" s="417" t="s">
        <v>13982</v>
      </c>
      <c r="D5762" s="417" t="s">
        <v>88</v>
      </c>
      <c r="E5762" s="423">
        <v>1.85060566432884</v>
      </c>
      <c r="F5762" s="423">
        <v>0.29314117795704431</v>
      </c>
      <c r="G5762" s="422">
        <v>6376.3591671210243</v>
      </c>
      <c r="H5762" s="417" t="s">
        <v>2616</v>
      </c>
      <c r="I5762" s="417" t="s">
        <v>1392</v>
      </c>
      <c r="J5762" s="417" t="s">
        <v>13043</v>
      </c>
      <c r="K5762" s="417" t="s">
        <v>13983</v>
      </c>
      <c r="L5762" s="417"/>
      <c r="M5762" s="417" t="s">
        <v>28840</v>
      </c>
    </row>
    <row r="5763" spans="1:13" x14ac:dyDescent="0.25">
      <c r="A5763" s="417" t="s">
        <v>3385</v>
      </c>
      <c r="B5763" s="417" t="s">
        <v>2627</v>
      </c>
      <c r="C5763" s="417" t="s">
        <v>13984</v>
      </c>
      <c r="D5763" s="417" t="s">
        <v>88</v>
      </c>
      <c r="E5763" s="423">
        <v>1.999679686755417</v>
      </c>
      <c r="F5763" s="423">
        <v>0.29742465534902279</v>
      </c>
      <c r="G5763" s="422">
        <v>6818.9619867120746</v>
      </c>
      <c r="H5763" s="417" t="s">
        <v>2616</v>
      </c>
      <c r="I5763" s="417" t="s">
        <v>1392</v>
      </c>
      <c r="J5763" s="417" t="s">
        <v>13043</v>
      </c>
      <c r="K5763" s="417" t="s">
        <v>13985</v>
      </c>
      <c r="L5763" s="417"/>
      <c r="M5763" s="417" t="s">
        <v>28840</v>
      </c>
    </row>
    <row r="5764" spans="1:13" x14ac:dyDescent="0.25">
      <c r="A5764" s="417" t="s">
        <v>3385</v>
      </c>
      <c r="B5764" s="417" t="s">
        <v>2627</v>
      </c>
      <c r="C5764" s="417" t="s">
        <v>13986</v>
      </c>
      <c r="D5764" s="417" t="s">
        <v>88</v>
      </c>
      <c r="E5764" s="423">
        <v>1.8320157471429319</v>
      </c>
      <c r="F5764" s="423">
        <v>0.41644193454304468</v>
      </c>
      <c r="G5764" s="422">
        <v>6382.47586074213</v>
      </c>
      <c r="H5764" s="417" t="s">
        <v>2616</v>
      </c>
      <c r="I5764" s="417" t="s">
        <v>1392</v>
      </c>
      <c r="J5764" s="417" t="s">
        <v>13043</v>
      </c>
      <c r="K5764" s="417" t="s">
        <v>13987</v>
      </c>
      <c r="L5764" s="417"/>
      <c r="M5764" s="417" t="s">
        <v>28840</v>
      </c>
    </row>
    <row r="5765" spans="1:13" x14ac:dyDescent="0.25">
      <c r="A5765" s="417" t="s">
        <v>3385</v>
      </c>
      <c r="B5765" s="417" t="s">
        <v>2627</v>
      </c>
      <c r="C5765" s="417" t="s">
        <v>13988</v>
      </c>
      <c r="D5765" s="417" t="s">
        <v>88</v>
      </c>
      <c r="E5765" s="423">
        <v>1.385978713429981</v>
      </c>
      <c r="F5765" s="423">
        <v>0.41449001549231013</v>
      </c>
      <c r="G5765" s="422">
        <v>5820.9323425354069</v>
      </c>
      <c r="H5765" s="417" t="s">
        <v>2616</v>
      </c>
      <c r="I5765" s="417" t="s">
        <v>1392</v>
      </c>
      <c r="J5765" s="417" t="s">
        <v>13043</v>
      </c>
      <c r="K5765" s="417" t="s">
        <v>13989</v>
      </c>
      <c r="L5765" s="417"/>
      <c r="M5765" s="417" t="s">
        <v>28840</v>
      </c>
    </row>
    <row r="5766" spans="1:13" x14ac:dyDescent="0.25">
      <c r="A5766" s="417" t="s">
        <v>3385</v>
      </c>
      <c r="B5766" s="417" t="s">
        <v>2627</v>
      </c>
      <c r="C5766" s="417" t="s">
        <v>13990</v>
      </c>
      <c r="D5766" s="417" t="s">
        <v>88</v>
      </c>
      <c r="E5766" s="423">
        <v>0.96869897122559634</v>
      </c>
      <c r="F5766" s="423">
        <v>8.3562244182452602E-3</v>
      </c>
      <c r="G5766" s="422">
        <v>1528.5201661706269</v>
      </c>
      <c r="H5766" s="417" t="s">
        <v>2616</v>
      </c>
      <c r="I5766" s="417" t="s">
        <v>1392</v>
      </c>
      <c r="J5766" s="417" t="s">
        <v>3396</v>
      </c>
      <c r="K5766" s="417" t="s">
        <v>13991</v>
      </c>
      <c r="L5766" s="417"/>
      <c r="M5766" s="417" t="s">
        <v>28840</v>
      </c>
    </row>
    <row r="5767" spans="1:13" x14ac:dyDescent="0.25">
      <c r="A5767" s="417" t="s">
        <v>3385</v>
      </c>
      <c r="B5767" s="417" t="s">
        <v>2627</v>
      </c>
      <c r="C5767" s="417" t="s">
        <v>13992</v>
      </c>
      <c r="D5767" s="417" t="s">
        <v>88</v>
      </c>
      <c r="E5767" s="423">
        <v>1.019305685447591</v>
      </c>
      <c r="F5767" s="423">
        <v>1.0563488229886189E-2</v>
      </c>
      <c r="G5767" s="422">
        <v>1661.3586618003289</v>
      </c>
      <c r="H5767" s="417" t="s">
        <v>2616</v>
      </c>
      <c r="I5767" s="417" t="s">
        <v>1392</v>
      </c>
      <c r="J5767" s="417" t="s">
        <v>3396</v>
      </c>
      <c r="K5767" s="417" t="s">
        <v>13993</v>
      </c>
      <c r="L5767" s="417"/>
      <c r="M5767" s="417" t="s">
        <v>28840</v>
      </c>
    </row>
    <row r="5768" spans="1:13" x14ac:dyDescent="0.25">
      <c r="A5768" s="417" t="s">
        <v>3385</v>
      </c>
      <c r="B5768" s="417" t="s">
        <v>2627</v>
      </c>
      <c r="C5768" s="417" t="s">
        <v>13994</v>
      </c>
      <c r="D5768" s="417" t="s">
        <v>88</v>
      </c>
      <c r="E5768" s="423">
        <v>0.31029240692583537</v>
      </c>
      <c r="F5768" s="423">
        <v>5.2760259149536202</v>
      </c>
      <c r="G5768" s="422">
        <v>1024.9272566213369</v>
      </c>
      <c r="H5768" s="417" t="s">
        <v>2616</v>
      </c>
      <c r="I5768" s="417" t="s">
        <v>1392</v>
      </c>
      <c r="J5768" s="417" t="s">
        <v>4823</v>
      </c>
      <c r="K5768" s="417" t="s">
        <v>13995</v>
      </c>
      <c r="L5768" s="417"/>
      <c r="M5768" s="417" t="s">
        <v>28840</v>
      </c>
    </row>
    <row r="5769" spans="1:13" x14ac:dyDescent="0.25">
      <c r="A5769" s="417" t="s">
        <v>3385</v>
      </c>
      <c r="B5769" s="417" t="s">
        <v>2627</v>
      </c>
      <c r="C5769" s="417" t="s">
        <v>13996</v>
      </c>
      <c r="D5769" s="417" t="s">
        <v>88</v>
      </c>
      <c r="E5769" s="423">
        <v>0.28086248045528661</v>
      </c>
      <c r="F5769" s="423">
        <v>5.2710460040128071</v>
      </c>
      <c r="G5769" s="422">
        <v>959.63475860867197</v>
      </c>
      <c r="H5769" s="417" t="s">
        <v>2616</v>
      </c>
      <c r="I5769" s="417" t="s">
        <v>1392</v>
      </c>
      <c r="J5769" s="417" t="s">
        <v>4823</v>
      </c>
      <c r="K5769" s="417" t="s">
        <v>13997</v>
      </c>
      <c r="L5769" s="417"/>
      <c r="M5769" s="417" t="s">
        <v>28840</v>
      </c>
    </row>
    <row r="5770" spans="1:13" x14ac:dyDescent="0.25">
      <c r="A5770" s="417" t="s">
        <v>3385</v>
      </c>
      <c r="B5770" s="417" t="s">
        <v>2627</v>
      </c>
      <c r="C5770" s="417" t="s">
        <v>13998</v>
      </c>
      <c r="D5770" s="417" t="s">
        <v>88</v>
      </c>
      <c r="E5770" s="423">
        <v>3.1244236310261702</v>
      </c>
      <c r="F5770" s="423">
        <v>5.0636117724188981E-2</v>
      </c>
      <c r="G5770" s="422">
        <v>4959.9639074190709</v>
      </c>
      <c r="H5770" s="417" t="s">
        <v>2616</v>
      </c>
      <c r="I5770" s="417" t="s">
        <v>1392</v>
      </c>
      <c r="J5770" s="417" t="s">
        <v>3396</v>
      </c>
      <c r="K5770" s="417" t="s">
        <v>13999</v>
      </c>
      <c r="L5770" s="417"/>
      <c r="M5770" s="417" t="s">
        <v>28840</v>
      </c>
    </row>
    <row r="5771" spans="1:13" x14ac:dyDescent="0.25">
      <c r="A5771" s="417" t="s">
        <v>3385</v>
      </c>
      <c r="B5771" s="417" t="s">
        <v>2627</v>
      </c>
      <c r="C5771" s="417" t="s">
        <v>14000</v>
      </c>
      <c r="D5771" s="417" t="s">
        <v>88</v>
      </c>
      <c r="E5771" s="423">
        <v>1.391967623433811</v>
      </c>
      <c r="F5771" s="423">
        <v>2.1841734041466929E-2</v>
      </c>
      <c r="G5771" s="422">
        <v>2372.2648335530012</v>
      </c>
      <c r="H5771" s="417" t="s">
        <v>2616</v>
      </c>
      <c r="I5771" s="417" t="s">
        <v>1392</v>
      </c>
      <c r="J5771" s="417" t="s">
        <v>3396</v>
      </c>
      <c r="K5771" s="417" t="s">
        <v>14001</v>
      </c>
      <c r="L5771" s="417"/>
      <c r="M5771" s="417" t="s">
        <v>28840</v>
      </c>
    </row>
    <row r="5772" spans="1:13" x14ac:dyDescent="0.25">
      <c r="A5772" s="417" t="s">
        <v>3385</v>
      </c>
      <c r="B5772" s="417" t="s">
        <v>2627</v>
      </c>
      <c r="C5772" s="417" t="s">
        <v>14002</v>
      </c>
      <c r="D5772" s="417" t="s">
        <v>88</v>
      </c>
      <c r="E5772" s="423">
        <v>3.1834701610164928</v>
      </c>
      <c r="F5772" s="423">
        <v>3.631023125031476E-2</v>
      </c>
      <c r="G5772" s="422">
        <v>4492.0713552160596</v>
      </c>
      <c r="H5772" s="417" t="s">
        <v>2616</v>
      </c>
      <c r="I5772" s="417" t="s">
        <v>1392</v>
      </c>
      <c r="J5772" s="417" t="s">
        <v>3396</v>
      </c>
      <c r="K5772" s="417" t="s">
        <v>14003</v>
      </c>
      <c r="L5772" s="417"/>
      <c r="M5772" s="417" t="s">
        <v>28840</v>
      </c>
    </row>
    <row r="5773" spans="1:13" x14ac:dyDescent="0.25">
      <c r="A5773" s="417" t="s">
        <v>3385</v>
      </c>
      <c r="B5773" s="417" t="s">
        <v>2627</v>
      </c>
      <c r="C5773" s="417" t="s">
        <v>14004</v>
      </c>
      <c r="D5773" s="417" t="s">
        <v>88</v>
      </c>
      <c r="E5773" s="423">
        <v>2.0266070675322658</v>
      </c>
      <c r="F5773" s="423">
        <v>1.422614845628196</v>
      </c>
      <c r="G5773" s="422">
        <v>8267.7204432643994</v>
      </c>
      <c r="H5773" s="417" t="s">
        <v>2616</v>
      </c>
      <c r="I5773" s="417" t="s">
        <v>1392</v>
      </c>
      <c r="J5773" s="417" t="s">
        <v>4200</v>
      </c>
      <c r="K5773" s="417" t="s">
        <v>14005</v>
      </c>
      <c r="L5773" s="417"/>
      <c r="M5773" s="417" t="s">
        <v>28840</v>
      </c>
    </row>
    <row r="5774" spans="1:13" x14ac:dyDescent="0.25">
      <c r="A5774" s="417" t="s">
        <v>3385</v>
      </c>
      <c r="B5774" s="417" t="s">
        <v>2627</v>
      </c>
      <c r="C5774" s="417" t="s">
        <v>14006</v>
      </c>
      <c r="D5774" s="417" t="s">
        <v>88</v>
      </c>
      <c r="E5774" s="423">
        <v>1.3920320263085131</v>
      </c>
      <c r="F5774" s="423">
        <v>2.1842827739405549E-2</v>
      </c>
      <c r="G5774" s="422">
        <v>2372.374633986964</v>
      </c>
      <c r="H5774" s="417" t="s">
        <v>2616</v>
      </c>
      <c r="I5774" s="417" t="s">
        <v>1392</v>
      </c>
      <c r="J5774" s="417" t="s">
        <v>3396</v>
      </c>
      <c r="K5774" s="417" t="s">
        <v>14007</v>
      </c>
      <c r="L5774" s="417"/>
      <c r="M5774" s="417" t="s">
        <v>28840</v>
      </c>
    </row>
    <row r="5775" spans="1:13" x14ac:dyDescent="0.25">
      <c r="A5775" s="417" t="s">
        <v>3385</v>
      </c>
      <c r="B5775" s="417" t="s">
        <v>2627</v>
      </c>
      <c r="C5775" s="417" t="s">
        <v>14008</v>
      </c>
      <c r="D5775" s="417" t="s">
        <v>88</v>
      </c>
      <c r="E5775" s="423">
        <v>1.7323871410583389</v>
      </c>
      <c r="F5775" s="423">
        <v>2.3701211130599451E-2</v>
      </c>
      <c r="G5775" s="422">
        <v>2676.346083619565</v>
      </c>
      <c r="H5775" s="417" t="s">
        <v>2616</v>
      </c>
      <c r="I5775" s="417" t="s">
        <v>1392</v>
      </c>
      <c r="J5775" s="417" t="s">
        <v>3396</v>
      </c>
      <c r="K5775" s="417" t="s">
        <v>14009</v>
      </c>
      <c r="L5775" s="417"/>
      <c r="M5775" s="417" t="s">
        <v>28840</v>
      </c>
    </row>
    <row r="5776" spans="1:13" x14ac:dyDescent="0.25">
      <c r="A5776" s="417" t="s">
        <v>3385</v>
      </c>
      <c r="B5776" s="417" t="s">
        <v>2627</v>
      </c>
      <c r="C5776" s="417" t="s">
        <v>14010</v>
      </c>
      <c r="D5776" s="417" t="s">
        <v>88</v>
      </c>
      <c r="E5776" s="423">
        <v>5.4382143528491476</v>
      </c>
      <c r="F5776" s="423">
        <v>0.12514225637932899</v>
      </c>
      <c r="G5776" s="422">
        <v>51068.38981328981</v>
      </c>
      <c r="H5776" s="417" t="s">
        <v>2616</v>
      </c>
      <c r="I5776" s="417" t="s">
        <v>1392</v>
      </c>
      <c r="J5776" s="417" t="s">
        <v>3403</v>
      </c>
      <c r="K5776" s="417" t="s">
        <v>14011</v>
      </c>
      <c r="L5776" s="417"/>
      <c r="M5776" s="417" t="s">
        <v>28840</v>
      </c>
    </row>
    <row r="5777" spans="1:13" x14ac:dyDescent="0.25">
      <c r="A5777" s="417" t="s">
        <v>3385</v>
      </c>
      <c r="B5777" s="417" t="s">
        <v>2627</v>
      </c>
      <c r="C5777" s="417" t="s">
        <v>14012</v>
      </c>
      <c r="D5777" s="417" t="s">
        <v>88</v>
      </c>
      <c r="E5777" s="423">
        <v>6.8991685462390224</v>
      </c>
      <c r="F5777" s="423">
        <v>1.7630437484866871E-2</v>
      </c>
      <c r="G5777" s="422">
        <v>9353.4182066402827</v>
      </c>
      <c r="H5777" s="417" t="s">
        <v>2616</v>
      </c>
      <c r="I5777" s="417" t="s">
        <v>1392</v>
      </c>
      <c r="J5777" s="417" t="s">
        <v>3396</v>
      </c>
      <c r="K5777" s="417" t="s">
        <v>14013</v>
      </c>
      <c r="L5777" s="417"/>
      <c r="M5777" s="417" t="s">
        <v>28840</v>
      </c>
    </row>
    <row r="5778" spans="1:13" x14ac:dyDescent="0.25">
      <c r="A5778" s="417" t="s">
        <v>3385</v>
      </c>
      <c r="B5778" s="417" t="s">
        <v>2627</v>
      </c>
      <c r="C5778" s="417" t="s">
        <v>14014</v>
      </c>
      <c r="D5778" s="417" t="s">
        <v>88</v>
      </c>
      <c r="E5778" s="423">
        <v>1.2250699414001729</v>
      </c>
      <c r="F5778" s="423">
        <v>1.4305129725821901E-2</v>
      </c>
      <c r="G5778" s="422">
        <v>2035.3944322295779</v>
      </c>
      <c r="H5778" s="417" t="s">
        <v>2616</v>
      </c>
      <c r="I5778" s="417" t="s">
        <v>1392</v>
      </c>
      <c r="J5778" s="417" t="s">
        <v>3396</v>
      </c>
      <c r="K5778" s="417" t="s">
        <v>14015</v>
      </c>
      <c r="L5778" s="417"/>
      <c r="M5778" s="417" t="s">
        <v>28840</v>
      </c>
    </row>
    <row r="5779" spans="1:13" x14ac:dyDescent="0.25">
      <c r="A5779" s="417" t="s">
        <v>3385</v>
      </c>
      <c r="B5779" s="417" t="s">
        <v>2627</v>
      </c>
      <c r="C5779" s="417" t="s">
        <v>14016</v>
      </c>
      <c r="D5779" s="417" t="s">
        <v>88</v>
      </c>
      <c r="E5779" s="423">
        <v>2.934090130499317</v>
      </c>
      <c r="F5779" s="423">
        <v>4.4729514502713522E-2</v>
      </c>
      <c r="G5779" s="422">
        <v>4652.9547370617393</v>
      </c>
      <c r="H5779" s="417" t="s">
        <v>2616</v>
      </c>
      <c r="I5779" s="417" t="s">
        <v>1392</v>
      </c>
      <c r="J5779" s="417" t="s">
        <v>3396</v>
      </c>
      <c r="K5779" s="417" t="s">
        <v>14017</v>
      </c>
      <c r="L5779" s="417"/>
      <c r="M5779" s="417" t="s">
        <v>28840</v>
      </c>
    </row>
    <row r="5780" spans="1:13" x14ac:dyDescent="0.25">
      <c r="A5780" s="417" t="s">
        <v>3385</v>
      </c>
      <c r="B5780" s="417" t="s">
        <v>2627</v>
      </c>
      <c r="C5780" s="417" t="s">
        <v>14018</v>
      </c>
      <c r="D5780" s="417" t="s">
        <v>88</v>
      </c>
      <c r="E5780" s="423">
        <v>3.1550552599198971</v>
      </c>
      <c r="F5780" s="423">
        <v>6.2177861234472866E-4</v>
      </c>
      <c r="G5780" s="422">
        <v>6671.4564808472796</v>
      </c>
      <c r="H5780" s="417" t="s">
        <v>2616</v>
      </c>
      <c r="I5780" s="417" t="s">
        <v>1392</v>
      </c>
      <c r="J5780" s="417" t="s">
        <v>3396</v>
      </c>
      <c r="K5780" s="417" t="s">
        <v>14019</v>
      </c>
      <c r="L5780" s="417"/>
      <c r="M5780" s="417" t="s">
        <v>28840</v>
      </c>
    </row>
    <row r="5781" spans="1:13" x14ac:dyDescent="0.25">
      <c r="A5781" s="417" t="s">
        <v>3385</v>
      </c>
      <c r="B5781" s="417" t="s">
        <v>2627</v>
      </c>
      <c r="C5781" s="417" t="s">
        <v>14020</v>
      </c>
      <c r="D5781" s="417" t="s">
        <v>88</v>
      </c>
      <c r="E5781" s="423">
        <v>3.2607438788299108</v>
      </c>
      <c r="F5781" s="423">
        <v>7.9041443961629671E-3</v>
      </c>
      <c r="G5781" s="422">
        <v>6869.9227305278446</v>
      </c>
      <c r="H5781" s="417" t="s">
        <v>2616</v>
      </c>
      <c r="I5781" s="417" t="s">
        <v>1392</v>
      </c>
      <c r="J5781" s="417" t="s">
        <v>3396</v>
      </c>
      <c r="K5781" s="417" t="s">
        <v>14021</v>
      </c>
      <c r="L5781" s="417"/>
      <c r="M5781" s="417" t="s">
        <v>28840</v>
      </c>
    </row>
    <row r="5782" spans="1:13" x14ac:dyDescent="0.25">
      <c r="A5782" s="417" t="s">
        <v>3385</v>
      </c>
      <c r="B5782" s="417" t="s">
        <v>2627</v>
      </c>
      <c r="C5782" s="417" t="s">
        <v>14022</v>
      </c>
      <c r="D5782" s="417" t="s">
        <v>88</v>
      </c>
      <c r="E5782" s="423">
        <v>4.1868796529348318</v>
      </c>
      <c r="F5782" s="423">
        <v>1.2303654780791869E-2</v>
      </c>
      <c r="G5782" s="422">
        <v>5912.4203952601447</v>
      </c>
      <c r="H5782" s="417" t="s">
        <v>2616</v>
      </c>
      <c r="I5782" s="417" t="s">
        <v>1392</v>
      </c>
      <c r="J5782" s="417" t="s">
        <v>3396</v>
      </c>
      <c r="K5782" s="417" t="s">
        <v>14023</v>
      </c>
      <c r="L5782" s="417"/>
      <c r="M5782" s="417" t="s">
        <v>28840</v>
      </c>
    </row>
    <row r="5783" spans="1:13" x14ac:dyDescent="0.25">
      <c r="A5783" s="417" t="s">
        <v>3385</v>
      </c>
      <c r="B5783" s="417" t="s">
        <v>2627</v>
      </c>
      <c r="C5783" s="417" t="s">
        <v>14024</v>
      </c>
      <c r="D5783" s="417" t="s">
        <v>88</v>
      </c>
      <c r="E5783" s="423">
        <v>7.7462931466803919</v>
      </c>
      <c r="F5783" s="423">
        <v>0.21293099728367401</v>
      </c>
      <c r="G5783" s="422">
        <v>26001.649475327111</v>
      </c>
      <c r="H5783" s="417" t="s">
        <v>2616</v>
      </c>
      <c r="I5783" s="417" t="s">
        <v>1392</v>
      </c>
      <c r="J5783" s="417" t="s">
        <v>3387</v>
      </c>
      <c r="K5783" s="417" t="s">
        <v>14025</v>
      </c>
      <c r="L5783" s="417"/>
      <c r="M5783" s="417" t="s">
        <v>28840</v>
      </c>
    </row>
    <row r="5784" spans="1:13" x14ac:dyDescent="0.25">
      <c r="A5784" s="417" t="s">
        <v>3385</v>
      </c>
      <c r="B5784" s="417" t="s">
        <v>2627</v>
      </c>
      <c r="C5784" s="417" t="s">
        <v>14026</v>
      </c>
      <c r="D5784" s="417" t="s">
        <v>88</v>
      </c>
      <c r="E5784" s="423">
        <v>8.0198473106437458</v>
      </c>
      <c r="F5784" s="423">
        <v>0.23119996144185109</v>
      </c>
      <c r="G5784" s="422">
        <v>26202.49987853122</v>
      </c>
      <c r="H5784" s="417" t="s">
        <v>2616</v>
      </c>
      <c r="I5784" s="417" t="s">
        <v>1392</v>
      </c>
      <c r="J5784" s="417" t="s">
        <v>3387</v>
      </c>
      <c r="K5784" s="417" t="s">
        <v>14027</v>
      </c>
      <c r="L5784" s="417"/>
      <c r="M5784" s="417" t="s">
        <v>28840</v>
      </c>
    </row>
    <row r="5785" spans="1:13" x14ac:dyDescent="0.25">
      <c r="A5785" s="417" t="s">
        <v>3385</v>
      </c>
      <c r="B5785" s="417" t="s">
        <v>2627</v>
      </c>
      <c r="C5785" s="417" t="s">
        <v>14028</v>
      </c>
      <c r="D5785" s="417" t="s">
        <v>88</v>
      </c>
      <c r="E5785" s="423">
        <v>10.8841269812444</v>
      </c>
      <c r="F5785" s="423">
        <v>2.2675423028458952</v>
      </c>
      <c r="G5785" s="422">
        <v>16595.957956435941</v>
      </c>
      <c r="H5785" s="417" t="s">
        <v>2616</v>
      </c>
      <c r="I5785" s="417" t="s">
        <v>1392</v>
      </c>
      <c r="J5785" s="417" t="s">
        <v>3772</v>
      </c>
      <c r="K5785" s="417" t="s">
        <v>14029</v>
      </c>
      <c r="L5785" s="417"/>
      <c r="M5785" s="417" t="s">
        <v>28840</v>
      </c>
    </row>
    <row r="5786" spans="1:13" x14ac:dyDescent="0.25">
      <c r="A5786" s="417" t="s">
        <v>3385</v>
      </c>
      <c r="B5786" s="417" t="s">
        <v>2627</v>
      </c>
      <c r="C5786" s="417" t="s">
        <v>14030</v>
      </c>
      <c r="D5786" s="417" t="s">
        <v>88</v>
      </c>
      <c r="E5786" s="423">
        <v>12.62324200563098</v>
      </c>
      <c r="F5786" s="423">
        <v>2.2815880691238069</v>
      </c>
      <c r="G5786" s="422">
        <v>17218.080519276751</v>
      </c>
      <c r="H5786" s="417" t="s">
        <v>2616</v>
      </c>
      <c r="I5786" s="417" t="s">
        <v>1392</v>
      </c>
      <c r="J5786" s="417" t="s">
        <v>3772</v>
      </c>
      <c r="K5786" s="417" t="s">
        <v>14031</v>
      </c>
      <c r="L5786" s="417"/>
      <c r="M5786" s="417" t="s">
        <v>28840</v>
      </c>
    </row>
    <row r="5787" spans="1:13" x14ac:dyDescent="0.25">
      <c r="A5787" s="417" t="s">
        <v>3385</v>
      </c>
      <c r="B5787" s="417" t="s">
        <v>2627</v>
      </c>
      <c r="C5787" s="417" t="s">
        <v>14032</v>
      </c>
      <c r="D5787" s="417" t="s">
        <v>88</v>
      </c>
      <c r="E5787" s="423">
        <v>5.3311330821815526</v>
      </c>
      <c r="F5787" s="423">
        <v>2.165293566428331</v>
      </c>
      <c r="G5787" s="422">
        <v>7768.4930388404937</v>
      </c>
      <c r="H5787" s="417" t="s">
        <v>2616</v>
      </c>
      <c r="I5787" s="417" t="s">
        <v>1392</v>
      </c>
      <c r="J5787" s="417" t="s">
        <v>3772</v>
      </c>
      <c r="K5787" s="417" t="s">
        <v>14033</v>
      </c>
      <c r="L5787" s="417"/>
      <c r="M5787" s="417" t="s">
        <v>28840</v>
      </c>
    </row>
    <row r="5788" spans="1:13" x14ac:dyDescent="0.25">
      <c r="A5788" s="417" t="s">
        <v>3385</v>
      </c>
      <c r="B5788" s="417" t="s">
        <v>2627</v>
      </c>
      <c r="C5788" s="417" t="s">
        <v>14034</v>
      </c>
      <c r="D5788" s="417" t="s">
        <v>88</v>
      </c>
      <c r="E5788" s="423">
        <v>9.3865806102803671</v>
      </c>
      <c r="F5788" s="423">
        <v>2.2061848543789271</v>
      </c>
      <c r="G5788" s="422">
        <v>13866.20130421045</v>
      </c>
      <c r="H5788" s="417" t="s">
        <v>2616</v>
      </c>
      <c r="I5788" s="417" t="s">
        <v>1392</v>
      </c>
      <c r="J5788" s="417" t="s">
        <v>3772</v>
      </c>
      <c r="K5788" s="417" t="s">
        <v>14035</v>
      </c>
      <c r="L5788" s="417"/>
      <c r="M5788" s="417" t="s">
        <v>28840</v>
      </c>
    </row>
    <row r="5789" spans="1:13" x14ac:dyDescent="0.25">
      <c r="A5789" s="417" t="s">
        <v>3385</v>
      </c>
      <c r="B5789" s="417" t="s">
        <v>3405</v>
      </c>
      <c r="C5789" s="417" t="s">
        <v>14036</v>
      </c>
      <c r="D5789" s="417" t="s">
        <v>989</v>
      </c>
      <c r="E5789" s="423">
        <v>14773.59461630347</v>
      </c>
      <c r="F5789" s="423">
        <v>479.09678465519062</v>
      </c>
      <c r="G5789" s="422">
        <v>31795606.783079781</v>
      </c>
      <c r="H5789" s="417" t="s">
        <v>2616</v>
      </c>
      <c r="I5789" s="417" t="s">
        <v>1392</v>
      </c>
      <c r="J5789" s="417" t="s">
        <v>3588</v>
      </c>
      <c r="K5789" s="417" t="s">
        <v>14037</v>
      </c>
      <c r="L5789" s="417"/>
      <c r="M5789" s="417" t="s">
        <v>28840</v>
      </c>
    </row>
    <row r="5790" spans="1:13" x14ac:dyDescent="0.25">
      <c r="A5790" s="417" t="s">
        <v>3385</v>
      </c>
      <c r="B5790" s="417" t="s">
        <v>3655</v>
      </c>
      <c r="C5790" s="417" t="s">
        <v>14038</v>
      </c>
      <c r="D5790" s="417" t="s">
        <v>989</v>
      </c>
      <c r="E5790" s="423">
        <v>61322.33846815725</v>
      </c>
      <c r="F5790" s="423">
        <v>17447.081214043359</v>
      </c>
      <c r="G5790" s="422">
        <v>125745685.4108555</v>
      </c>
      <c r="H5790" s="417" t="s">
        <v>2616</v>
      </c>
      <c r="I5790" s="417" t="s">
        <v>1392</v>
      </c>
      <c r="J5790" s="417" t="s">
        <v>3657</v>
      </c>
      <c r="K5790" s="417" t="s">
        <v>14039</v>
      </c>
      <c r="L5790" s="417"/>
      <c r="M5790" s="417" t="s">
        <v>28840</v>
      </c>
    </row>
    <row r="5791" spans="1:13" x14ac:dyDescent="0.25">
      <c r="A5791" s="417" t="s">
        <v>3385</v>
      </c>
      <c r="B5791" s="417" t="s">
        <v>2627</v>
      </c>
      <c r="C5791" s="417" t="s">
        <v>14040</v>
      </c>
      <c r="D5791" s="417" t="s">
        <v>989</v>
      </c>
      <c r="E5791" s="423">
        <v>3019562.8478377461</v>
      </c>
      <c r="F5791" s="423">
        <v>970512.99107540504</v>
      </c>
      <c r="G5791" s="422">
        <v>7176825007.1023884</v>
      </c>
      <c r="H5791" s="417" t="s">
        <v>2616</v>
      </c>
      <c r="I5791" s="417" t="s">
        <v>1392</v>
      </c>
      <c r="J5791" s="417" t="s">
        <v>14041</v>
      </c>
      <c r="K5791" s="417" t="s">
        <v>14042</v>
      </c>
      <c r="L5791" s="417"/>
      <c r="M5791" s="417" t="s">
        <v>28840</v>
      </c>
    </row>
    <row r="5792" spans="1:13" x14ac:dyDescent="0.25">
      <c r="A5792" s="417" t="s">
        <v>3385</v>
      </c>
      <c r="B5792" s="417" t="s">
        <v>2627</v>
      </c>
      <c r="C5792" s="417" t="s">
        <v>14043</v>
      </c>
      <c r="D5792" s="417" t="s">
        <v>989</v>
      </c>
      <c r="E5792" s="423">
        <v>62848073.975038148</v>
      </c>
      <c r="F5792" s="423">
        <v>18354453.001120631</v>
      </c>
      <c r="G5792" s="422">
        <v>177670170353.79361</v>
      </c>
      <c r="H5792" s="417" t="s">
        <v>2616</v>
      </c>
      <c r="I5792" s="417" t="s">
        <v>1392</v>
      </c>
      <c r="J5792" s="417" t="s">
        <v>14041</v>
      </c>
      <c r="K5792" s="417" t="s">
        <v>14044</v>
      </c>
      <c r="L5792" s="417"/>
      <c r="M5792" s="417" t="s">
        <v>28840</v>
      </c>
    </row>
    <row r="5793" spans="1:13" x14ac:dyDescent="0.25">
      <c r="A5793" s="417" t="s">
        <v>3385</v>
      </c>
      <c r="B5793" s="417" t="s">
        <v>2627</v>
      </c>
      <c r="C5793" s="417" t="s">
        <v>14045</v>
      </c>
      <c r="D5793" s="417" t="s">
        <v>989</v>
      </c>
      <c r="E5793" s="423">
        <v>15761759.63335018</v>
      </c>
      <c r="F5793" s="423">
        <v>1134917.272495243</v>
      </c>
      <c r="G5793" s="422">
        <v>36385217888.825653</v>
      </c>
      <c r="H5793" s="417" t="s">
        <v>2616</v>
      </c>
      <c r="I5793" s="417" t="s">
        <v>1392</v>
      </c>
      <c r="J5793" s="417" t="s">
        <v>14041</v>
      </c>
      <c r="K5793" s="417" t="s">
        <v>14046</v>
      </c>
      <c r="L5793" s="417"/>
      <c r="M5793" s="417" t="s">
        <v>28840</v>
      </c>
    </row>
    <row r="5794" spans="1:13" x14ac:dyDescent="0.25">
      <c r="A5794" s="417" t="s">
        <v>3385</v>
      </c>
      <c r="B5794" s="417" t="s">
        <v>2627</v>
      </c>
      <c r="C5794" s="417" t="s">
        <v>14047</v>
      </c>
      <c r="D5794" s="417" t="s">
        <v>989</v>
      </c>
      <c r="E5794" s="423">
        <v>59229742.836160928</v>
      </c>
      <c r="F5794" s="423">
        <v>17410322.130052019</v>
      </c>
      <c r="G5794" s="422">
        <v>1624614195811.2771</v>
      </c>
      <c r="H5794" s="417" t="s">
        <v>2616</v>
      </c>
      <c r="I5794" s="417" t="s">
        <v>1392</v>
      </c>
      <c r="J5794" s="417" t="s">
        <v>14041</v>
      </c>
      <c r="K5794" s="417" t="s">
        <v>14048</v>
      </c>
      <c r="L5794" s="417"/>
      <c r="M5794" s="417" t="s">
        <v>28840</v>
      </c>
    </row>
    <row r="5795" spans="1:13" x14ac:dyDescent="0.25">
      <c r="A5795" s="417" t="s">
        <v>3385</v>
      </c>
      <c r="B5795" s="417" t="s">
        <v>2627</v>
      </c>
      <c r="C5795" s="417" t="s">
        <v>14049</v>
      </c>
      <c r="D5795" s="417" t="s">
        <v>989</v>
      </c>
      <c r="E5795" s="423">
        <v>59229742.836008891</v>
      </c>
      <c r="F5795" s="423">
        <v>17410322.130054321</v>
      </c>
      <c r="G5795" s="422">
        <v>1208436195829.4919</v>
      </c>
      <c r="H5795" s="417" t="s">
        <v>2616</v>
      </c>
      <c r="I5795" s="417" t="s">
        <v>1392</v>
      </c>
      <c r="J5795" s="417" t="s">
        <v>14041</v>
      </c>
      <c r="K5795" s="417" t="s">
        <v>14050</v>
      </c>
      <c r="L5795" s="417"/>
      <c r="M5795" s="417" t="s">
        <v>28840</v>
      </c>
    </row>
    <row r="5796" spans="1:13" x14ac:dyDescent="0.25">
      <c r="A5796" s="417" t="s">
        <v>3385</v>
      </c>
      <c r="B5796" s="417" t="s">
        <v>2627</v>
      </c>
      <c r="C5796" s="417" t="s">
        <v>14051</v>
      </c>
      <c r="D5796" s="417" t="s">
        <v>989</v>
      </c>
      <c r="E5796" s="423">
        <v>51789802.84745539</v>
      </c>
      <c r="F5796" s="423">
        <v>17035165.341165479</v>
      </c>
      <c r="G5796" s="422">
        <v>1738294069186.259</v>
      </c>
      <c r="H5796" s="417" t="s">
        <v>2616</v>
      </c>
      <c r="I5796" s="417" t="s">
        <v>1392</v>
      </c>
      <c r="J5796" s="417" t="s">
        <v>14041</v>
      </c>
      <c r="K5796" s="417" t="s">
        <v>14052</v>
      </c>
      <c r="L5796" s="417"/>
      <c r="M5796" s="417" t="s">
        <v>28840</v>
      </c>
    </row>
    <row r="5797" spans="1:13" x14ac:dyDescent="0.25">
      <c r="A5797" s="417" t="s">
        <v>3385</v>
      </c>
      <c r="B5797" s="417" t="s">
        <v>2627</v>
      </c>
      <c r="C5797" s="417" t="s">
        <v>14053</v>
      </c>
      <c r="D5797" s="417" t="s">
        <v>989</v>
      </c>
      <c r="E5797" s="423">
        <v>59229742.836008891</v>
      </c>
      <c r="F5797" s="423">
        <v>17410322.130054321</v>
      </c>
      <c r="G5797" s="422">
        <v>251214195829.49261</v>
      </c>
      <c r="H5797" s="417" t="s">
        <v>2616</v>
      </c>
      <c r="I5797" s="417" t="s">
        <v>1392</v>
      </c>
      <c r="J5797" s="417" t="s">
        <v>14041</v>
      </c>
      <c r="K5797" s="417" t="s">
        <v>14054</v>
      </c>
      <c r="L5797" s="417"/>
      <c r="M5797" s="417" t="s">
        <v>28840</v>
      </c>
    </row>
    <row r="5798" spans="1:13" x14ac:dyDescent="0.25">
      <c r="A5798" s="417" t="s">
        <v>3385</v>
      </c>
      <c r="B5798" s="417" t="s">
        <v>2627</v>
      </c>
      <c r="C5798" s="417" t="s">
        <v>14055</v>
      </c>
      <c r="D5798" s="417" t="s">
        <v>989</v>
      </c>
      <c r="E5798" s="423">
        <v>59229742.836008891</v>
      </c>
      <c r="F5798" s="423">
        <v>17410322.130054321</v>
      </c>
      <c r="G5798" s="422">
        <v>22337754195829.488</v>
      </c>
      <c r="H5798" s="417" t="s">
        <v>2616</v>
      </c>
      <c r="I5798" s="417" t="s">
        <v>1392</v>
      </c>
      <c r="J5798" s="417" t="s">
        <v>14041</v>
      </c>
      <c r="K5798" s="417" t="s">
        <v>14056</v>
      </c>
      <c r="L5798" s="417"/>
      <c r="M5798" s="417" t="s">
        <v>28840</v>
      </c>
    </row>
    <row r="5799" spans="1:13" x14ac:dyDescent="0.25">
      <c r="A5799" s="417" t="s">
        <v>3385</v>
      </c>
      <c r="B5799" s="417" t="s">
        <v>2627</v>
      </c>
      <c r="C5799" s="417" t="s">
        <v>14057</v>
      </c>
      <c r="D5799" s="417" t="s">
        <v>989</v>
      </c>
      <c r="E5799" s="423">
        <v>51789802.847547993</v>
      </c>
      <c r="F5799" s="423">
        <v>17035165.341166981</v>
      </c>
      <c r="G5799" s="422">
        <v>289924069217.38678</v>
      </c>
      <c r="H5799" s="417" t="s">
        <v>2616</v>
      </c>
      <c r="I5799" s="417" t="s">
        <v>1392</v>
      </c>
      <c r="J5799" s="417" t="s">
        <v>14041</v>
      </c>
      <c r="K5799" s="417" t="s">
        <v>14058</v>
      </c>
      <c r="L5799" s="417"/>
      <c r="M5799" s="417" t="s">
        <v>28840</v>
      </c>
    </row>
    <row r="5800" spans="1:13" x14ac:dyDescent="0.25">
      <c r="A5800" s="417" t="s">
        <v>3385</v>
      </c>
      <c r="B5800" s="417" t="s">
        <v>2627</v>
      </c>
      <c r="C5800" s="417" t="s">
        <v>14059</v>
      </c>
      <c r="D5800" s="417" t="s">
        <v>989</v>
      </c>
      <c r="E5800" s="423">
        <v>59229742.836160928</v>
      </c>
      <c r="F5800" s="423">
        <v>17410322.130052019</v>
      </c>
      <c r="G5800" s="422">
        <v>524634195811.27667</v>
      </c>
      <c r="H5800" s="417" t="s">
        <v>2616</v>
      </c>
      <c r="I5800" s="417" t="s">
        <v>1392</v>
      </c>
      <c r="J5800" s="417" t="s">
        <v>14041</v>
      </c>
      <c r="K5800" s="417" t="s">
        <v>14060</v>
      </c>
      <c r="L5800" s="417"/>
      <c r="M5800" s="417" t="s">
        <v>28840</v>
      </c>
    </row>
    <row r="5801" spans="1:13" x14ac:dyDescent="0.25">
      <c r="A5801" s="417" t="s">
        <v>3385</v>
      </c>
      <c r="B5801" s="417" t="s">
        <v>2627</v>
      </c>
      <c r="C5801" s="417" t="s">
        <v>14061</v>
      </c>
      <c r="D5801" s="417" t="s">
        <v>989</v>
      </c>
      <c r="E5801" s="423">
        <v>59229742.836160928</v>
      </c>
      <c r="F5801" s="423">
        <v>17410322.130052019</v>
      </c>
      <c r="G5801" s="422">
        <v>176105595811.2767</v>
      </c>
      <c r="H5801" s="417" t="s">
        <v>2616</v>
      </c>
      <c r="I5801" s="417" t="s">
        <v>1392</v>
      </c>
      <c r="J5801" s="417" t="s">
        <v>14041</v>
      </c>
      <c r="K5801" s="417" t="s">
        <v>14062</v>
      </c>
      <c r="L5801" s="417"/>
      <c r="M5801" s="417" t="s">
        <v>28840</v>
      </c>
    </row>
    <row r="5802" spans="1:13" x14ac:dyDescent="0.25">
      <c r="A5802" s="417" t="s">
        <v>3385</v>
      </c>
      <c r="B5802" s="417" t="s">
        <v>2627</v>
      </c>
      <c r="C5802" s="417" t="s">
        <v>14063</v>
      </c>
      <c r="D5802" s="417" t="s">
        <v>989</v>
      </c>
      <c r="E5802" s="423">
        <v>59229742.836160928</v>
      </c>
      <c r="F5802" s="423">
        <v>17410322.130052019</v>
      </c>
      <c r="G5802" s="422">
        <v>529044195811.27698</v>
      </c>
      <c r="H5802" s="417" t="s">
        <v>2616</v>
      </c>
      <c r="I5802" s="417" t="s">
        <v>1392</v>
      </c>
      <c r="J5802" s="417" t="s">
        <v>14041</v>
      </c>
      <c r="K5802" s="417" t="s">
        <v>14064</v>
      </c>
      <c r="L5802" s="417"/>
      <c r="M5802" s="417" t="s">
        <v>28840</v>
      </c>
    </row>
    <row r="5803" spans="1:13" x14ac:dyDescent="0.25">
      <c r="A5803" s="417" t="s">
        <v>3385</v>
      </c>
      <c r="B5803" s="417" t="s">
        <v>2627</v>
      </c>
      <c r="C5803" s="417" t="s">
        <v>14065</v>
      </c>
      <c r="D5803" s="417" t="s">
        <v>989</v>
      </c>
      <c r="E5803" s="423">
        <v>2171308.231165668</v>
      </c>
      <c r="F5803" s="423">
        <v>289356.73116281012</v>
      </c>
      <c r="G5803" s="422">
        <v>6882040332.4956179</v>
      </c>
      <c r="H5803" s="417" t="s">
        <v>2616</v>
      </c>
      <c r="I5803" s="417" t="s">
        <v>1392</v>
      </c>
      <c r="J5803" s="417" t="s">
        <v>14041</v>
      </c>
      <c r="K5803" s="417" t="s">
        <v>14066</v>
      </c>
      <c r="L5803" s="417"/>
      <c r="M5803" s="417" t="s">
        <v>28840</v>
      </c>
    </row>
    <row r="5804" spans="1:13" x14ac:dyDescent="0.25">
      <c r="A5804" s="417" t="s">
        <v>3385</v>
      </c>
      <c r="B5804" s="417" t="s">
        <v>2627</v>
      </c>
      <c r="C5804" s="417" t="s">
        <v>14067</v>
      </c>
      <c r="D5804" s="417" t="s">
        <v>989</v>
      </c>
      <c r="E5804" s="423">
        <v>13112965.52797159</v>
      </c>
      <c r="F5804" s="423">
        <v>4121207.4704329292</v>
      </c>
      <c r="G5804" s="422">
        <v>31607692247.11541</v>
      </c>
      <c r="H5804" s="417" t="s">
        <v>2616</v>
      </c>
      <c r="I5804" s="417" t="s">
        <v>1392</v>
      </c>
      <c r="J5804" s="417" t="s">
        <v>4297</v>
      </c>
      <c r="K5804" s="417" t="s">
        <v>14068</v>
      </c>
      <c r="L5804" s="417"/>
      <c r="M5804" s="417" t="s">
        <v>28840</v>
      </c>
    </row>
    <row r="5805" spans="1:13" x14ac:dyDescent="0.25">
      <c r="A5805" s="417" t="s">
        <v>3385</v>
      </c>
      <c r="B5805" s="417" t="s">
        <v>2627</v>
      </c>
      <c r="C5805" s="417" t="s">
        <v>14069</v>
      </c>
      <c r="D5805" s="417" t="s">
        <v>989</v>
      </c>
      <c r="E5805" s="423">
        <v>216940.686385168</v>
      </c>
      <c r="F5805" s="423">
        <v>71869.152072435885</v>
      </c>
      <c r="G5805" s="422">
        <v>570829076.45191073</v>
      </c>
      <c r="H5805" s="417" t="s">
        <v>2616</v>
      </c>
      <c r="I5805" s="417" t="s">
        <v>1392</v>
      </c>
      <c r="J5805" s="417" t="s">
        <v>14041</v>
      </c>
      <c r="K5805" s="417" t="s">
        <v>14070</v>
      </c>
      <c r="L5805" s="417"/>
      <c r="M5805" s="417" t="s">
        <v>28840</v>
      </c>
    </row>
    <row r="5806" spans="1:13" x14ac:dyDescent="0.25">
      <c r="A5806" s="417" t="s">
        <v>3385</v>
      </c>
      <c r="B5806" s="417" t="s">
        <v>2627</v>
      </c>
      <c r="C5806" s="417" t="s">
        <v>14071</v>
      </c>
      <c r="D5806" s="417" t="s">
        <v>989</v>
      </c>
      <c r="E5806" s="423">
        <v>449289.56277259468</v>
      </c>
      <c r="F5806" s="423">
        <v>77084.675889022212</v>
      </c>
      <c r="G5806" s="422">
        <v>328180717377.98279</v>
      </c>
      <c r="H5806" s="417" t="s">
        <v>2616</v>
      </c>
      <c r="I5806" s="417" t="s">
        <v>1392</v>
      </c>
      <c r="J5806" s="417" t="s">
        <v>14041</v>
      </c>
      <c r="K5806" s="417" t="s">
        <v>14072</v>
      </c>
      <c r="L5806" s="417"/>
      <c r="M5806" s="417" t="s">
        <v>28840</v>
      </c>
    </row>
    <row r="5807" spans="1:13" x14ac:dyDescent="0.25">
      <c r="A5807" s="417" t="s">
        <v>3385</v>
      </c>
      <c r="B5807" s="417" t="s">
        <v>2623</v>
      </c>
      <c r="C5807" s="417" t="s">
        <v>14073</v>
      </c>
      <c r="D5807" s="417" t="s">
        <v>88</v>
      </c>
      <c r="E5807" s="423">
        <v>3.6845181679856609E-3</v>
      </c>
      <c r="F5807" s="423">
        <v>3.0436061428304819E-4</v>
      </c>
      <c r="G5807" s="422">
        <v>20.76520628539533</v>
      </c>
      <c r="H5807" s="417" t="s">
        <v>2616</v>
      </c>
      <c r="I5807" s="417" t="s">
        <v>1392</v>
      </c>
      <c r="J5807" s="417" t="s">
        <v>4364</v>
      </c>
      <c r="K5807" s="417" t="s">
        <v>14074</v>
      </c>
      <c r="L5807" s="417"/>
      <c r="M5807" s="417" t="s">
        <v>28840</v>
      </c>
    </row>
    <row r="5808" spans="1:13" x14ac:dyDescent="0.25">
      <c r="A5808" s="417" t="s">
        <v>3385</v>
      </c>
      <c r="B5808" s="417" t="s">
        <v>2627</v>
      </c>
      <c r="C5808" s="417" t="s">
        <v>14075</v>
      </c>
      <c r="D5808" s="417" t="s">
        <v>563</v>
      </c>
      <c r="E5808" s="423">
        <v>18.268189538690571</v>
      </c>
      <c r="F5808" s="423">
        <v>0.68980101678920891</v>
      </c>
      <c r="G5808" s="422">
        <v>37610.873933903153</v>
      </c>
      <c r="H5808" s="417" t="s">
        <v>2616</v>
      </c>
      <c r="I5808" s="417" t="s">
        <v>1392</v>
      </c>
      <c r="J5808" s="417" t="s">
        <v>4347</v>
      </c>
      <c r="K5808" s="417" t="s">
        <v>14076</v>
      </c>
      <c r="L5808" s="417"/>
      <c r="M5808" s="417" t="s">
        <v>28840</v>
      </c>
    </row>
    <row r="5809" spans="1:13" x14ac:dyDescent="0.25">
      <c r="A5809" s="417" t="s">
        <v>3385</v>
      </c>
      <c r="B5809" s="417" t="s">
        <v>2627</v>
      </c>
      <c r="C5809" s="417" t="s">
        <v>14077</v>
      </c>
      <c r="D5809" s="417" t="s">
        <v>563</v>
      </c>
      <c r="E5809" s="423">
        <v>10.522135467399149</v>
      </c>
      <c r="F5809" s="423">
        <v>0.57842513815938779</v>
      </c>
      <c r="G5809" s="422">
        <v>19817.167702887811</v>
      </c>
      <c r="H5809" s="417" t="s">
        <v>2616</v>
      </c>
      <c r="I5809" s="417" t="s">
        <v>1392</v>
      </c>
      <c r="J5809" s="417" t="s">
        <v>4347</v>
      </c>
      <c r="K5809" s="417" t="s">
        <v>14078</v>
      </c>
      <c r="L5809" s="417"/>
      <c r="M5809" s="417" t="s">
        <v>28840</v>
      </c>
    </row>
    <row r="5810" spans="1:13" x14ac:dyDescent="0.25">
      <c r="A5810" s="417" t="s">
        <v>3385</v>
      </c>
      <c r="B5810" s="417" t="s">
        <v>2627</v>
      </c>
      <c r="C5810" s="417" t="s">
        <v>14079</v>
      </c>
      <c r="D5810" s="417" t="s">
        <v>563</v>
      </c>
      <c r="E5810" s="423">
        <v>12.60427905040514</v>
      </c>
      <c r="F5810" s="423">
        <v>0.60358009655548561</v>
      </c>
      <c r="G5810" s="422">
        <v>24661.51059179689</v>
      </c>
      <c r="H5810" s="417" t="s">
        <v>2616</v>
      </c>
      <c r="I5810" s="417" t="s">
        <v>1392</v>
      </c>
      <c r="J5810" s="417" t="s">
        <v>4347</v>
      </c>
      <c r="K5810" s="417" t="s">
        <v>14080</v>
      </c>
      <c r="L5810" s="417"/>
      <c r="M5810" s="417" t="s">
        <v>28840</v>
      </c>
    </row>
    <row r="5811" spans="1:13" x14ac:dyDescent="0.25">
      <c r="A5811" s="417" t="s">
        <v>3385</v>
      </c>
      <c r="B5811" s="417" t="s">
        <v>2627</v>
      </c>
      <c r="C5811" s="417" t="s">
        <v>14081</v>
      </c>
      <c r="D5811" s="417" t="s">
        <v>563</v>
      </c>
      <c r="E5811" s="423">
        <v>12.4047952568678</v>
      </c>
      <c r="F5811" s="423">
        <v>0.35351923459975299</v>
      </c>
      <c r="G5811" s="422">
        <v>26698.776619412431</v>
      </c>
      <c r="H5811" s="417" t="s">
        <v>2616</v>
      </c>
      <c r="I5811" s="417" t="s">
        <v>1392</v>
      </c>
      <c r="J5811" s="417" t="s">
        <v>4347</v>
      </c>
      <c r="K5811" s="417" t="s">
        <v>14082</v>
      </c>
      <c r="L5811" s="417"/>
      <c r="M5811" s="417" t="s">
        <v>28840</v>
      </c>
    </row>
    <row r="5812" spans="1:13" x14ac:dyDescent="0.25">
      <c r="A5812" s="417" t="s">
        <v>3385</v>
      </c>
      <c r="B5812" s="417" t="s">
        <v>2627</v>
      </c>
      <c r="C5812" s="417" t="s">
        <v>14083</v>
      </c>
      <c r="D5812" s="417" t="s">
        <v>563</v>
      </c>
      <c r="E5812" s="423">
        <v>4.658741185811448</v>
      </c>
      <c r="F5812" s="423">
        <v>0.2421433562791383</v>
      </c>
      <c r="G5812" s="422">
        <v>8905.0703734076433</v>
      </c>
      <c r="H5812" s="417" t="s">
        <v>2616</v>
      </c>
      <c r="I5812" s="417" t="s">
        <v>1392</v>
      </c>
      <c r="J5812" s="417" t="s">
        <v>4347</v>
      </c>
      <c r="K5812" s="417" t="s">
        <v>14084</v>
      </c>
      <c r="L5812" s="417"/>
      <c r="M5812" s="417" t="s">
        <v>28840</v>
      </c>
    </row>
    <row r="5813" spans="1:13" x14ac:dyDescent="0.25">
      <c r="A5813" s="417" t="s">
        <v>3385</v>
      </c>
      <c r="B5813" s="417" t="s">
        <v>2627</v>
      </c>
      <c r="C5813" s="417" t="s">
        <v>14085</v>
      </c>
      <c r="D5813" s="417" t="s">
        <v>563</v>
      </c>
      <c r="E5813" s="423">
        <v>6.7408847666476888</v>
      </c>
      <c r="F5813" s="423">
        <v>0.26729831460344988</v>
      </c>
      <c r="G5813" s="422">
        <v>13749.413234282219</v>
      </c>
      <c r="H5813" s="417" t="s">
        <v>2616</v>
      </c>
      <c r="I5813" s="417" t="s">
        <v>1392</v>
      </c>
      <c r="J5813" s="417" t="s">
        <v>4347</v>
      </c>
      <c r="K5813" s="417" t="s">
        <v>14086</v>
      </c>
      <c r="L5813" s="417"/>
      <c r="M5813" s="417" t="s">
        <v>28840</v>
      </c>
    </row>
    <row r="5814" spans="1:13" x14ac:dyDescent="0.25">
      <c r="A5814" s="417" t="s">
        <v>3385</v>
      </c>
      <c r="B5814" s="417" t="s">
        <v>2627</v>
      </c>
      <c r="C5814" s="417" t="s">
        <v>14087</v>
      </c>
      <c r="D5814" s="417" t="s">
        <v>563</v>
      </c>
      <c r="E5814" s="423">
        <v>13.382027635882009</v>
      </c>
      <c r="F5814" s="423">
        <v>0.40956619802996291</v>
      </c>
      <c r="G5814" s="422">
        <v>28517.459512529851</v>
      </c>
      <c r="H5814" s="417" t="s">
        <v>2616</v>
      </c>
      <c r="I5814" s="417" t="s">
        <v>1392</v>
      </c>
      <c r="J5814" s="417" t="s">
        <v>4347</v>
      </c>
      <c r="K5814" s="417" t="s">
        <v>14088</v>
      </c>
      <c r="L5814" s="417"/>
      <c r="M5814" s="417" t="s">
        <v>28840</v>
      </c>
    </row>
    <row r="5815" spans="1:13" x14ac:dyDescent="0.25">
      <c r="A5815" s="417" t="s">
        <v>3385</v>
      </c>
      <c r="B5815" s="417" t="s">
        <v>2627</v>
      </c>
      <c r="C5815" s="417" t="s">
        <v>14089</v>
      </c>
      <c r="D5815" s="417" t="s">
        <v>563</v>
      </c>
      <c r="E5815" s="423">
        <v>5.6359735665052133</v>
      </c>
      <c r="F5815" s="423">
        <v>0.29819032009895291</v>
      </c>
      <c r="G5815" s="422">
        <v>10723.753263041521</v>
      </c>
      <c r="H5815" s="417" t="s">
        <v>2616</v>
      </c>
      <c r="I5815" s="417" t="s">
        <v>1392</v>
      </c>
      <c r="J5815" s="417" t="s">
        <v>4347</v>
      </c>
      <c r="K5815" s="417" t="s">
        <v>14090</v>
      </c>
      <c r="L5815" s="417"/>
      <c r="M5815" s="417" t="s">
        <v>28840</v>
      </c>
    </row>
    <row r="5816" spans="1:13" x14ac:dyDescent="0.25">
      <c r="A5816" s="417" t="s">
        <v>3385</v>
      </c>
      <c r="B5816" s="417" t="s">
        <v>2627</v>
      </c>
      <c r="C5816" s="417" t="s">
        <v>14091</v>
      </c>
      <c r="D5816" s="417" t="s">
        <v>563</v>
      </c>
      <c r="E5816" s="423">
        <v>7.7181171472000774</v>
      </c>
      <c r="F5816" s="423">
        <v>0.32334527822811782</v>
      </c>
      <c r="G5816" s="422">
        <v>15568.096130095109</v>
      </c>
      <c r="H5816" s="417" t="s">
        <v>2616</v>
      </c>
      <c r="I5816" s="417" t="s">
        <v>1392</v>
      </c>
      <c r="J5816" s="417" t="s">
        <v>4347</v>
      </c>
      <c r="K5816" s="417" t="s">
        <v>14092</v>
      </c>
      <c r="L5816" s="417"/>
      <c r="M5816" s="417" t="s">
        <v>28840</v>
      </c>
    </row>
    <row r="5817" spans="1:13" x14ac:dyDescent="0.25">
      <c r="A5817" s="417" t="s">
        <v>3385</v>
      </c>
      <c r="B5817" s="417" t="s">
        <v>2627</v>
      </c>
      <c r="C5817" s="417" t="s">
        <v>14093</v>
      </c>
      <c r="D5817" s="417" t="s">
        <v>563</v>
      </c>
      <c r="E5817" s="423">
        <v>14.35926001944846</v>
      </c>
      <c r="F5817" s="423">
        <v>0.46561316250198859</v>
      </c>
      <c r="G5817" s="422">
        <v>30336.142394281171</v>
      </c>
      <c r="H5817" s="417" t="s">
        <v>2616</v>
      </c>
      <c r="I5817" s="417" t="s">
        <v>1392</v>
      </c>
      <c r="J5817" s="417" t="s">
        <v>4347</v>
      </c>
      <c r="K5817" s="417" t="s">
        <v>14094</v>
      </c>
      <c r="L5817" s="417"/>
      <c r="M5817" s="417" t="s">
        <v>28840</v>
      </c>
    </row>
    <row r="5818" spans="1:13" x14ac:dyDescent="0.25">
      <c r="A5818" s="417" t="s">
        <v>3385</v>
      </c>
      <c r="B5818" s="417" t="s">
        <v>2627</v>
      </c>
      <c r="C5818" s="417" t="s">
        <v>14095</v>
      </c>
      <c r="D5818" s="417" t="s">
        <v>563</v>
      </c>
      <c r="E5818" s="423">
        <v>6.6132059461616111</v>
      </c>
      <c r="F5818" s="423">
        <v>0.3542372832688252</v>
      </c>
      <c r="G5818" s="422">
        <v>12542.43613126896</v>
      </c>
      <c r="H5818" s="417" t="s">
        <v>2616</v>
      </c>
      <c r="I5818" s="417" t="s">
        <v>1392</v>
      </c>
      <c r="J5818" s="417" t="s">
        <v>4347</v>
      </c>
      <c r="K5818" s="417" t="s">
        <v>14096</v>
      </c>
      <c r="L5818" s="417"/>
      <c r="M5818" s="417" t="s">
        <v>28840</v>
      </c>
    </row>
    <row r="5819" spans="1:13" x14ac:dyDescent="0.25">
      <c r="A5819" s="417" t="s">
        <v>3385</v>
      </c>
      <c r="B5819" s="417" t="s">
        <v>2627</v>
      </c>
      <c r="C5819" s="417" t="s">
        <v>14097</v>
      </c>
      <c r="D5819" s="417" t="s">
        <v>563</v>
      </c>
      <c r="E5819" s="423">
        <v>8.6953495303898549</v>
      </c>
      <c r="F5819" s="423">
        <v>0.37939224220651158</v>
      </c>
      <c r="G5819" s="422">
        <v>17386.779017290581</v>
      </c>
      <c r="H5819" s="417" t="s">
        <v>2616</v>
      </c>
      <c r="I5819" s="417" t="s">
        <v>1392</v>
      </c>
      <c r="J5819" s="417" t="s">
        <v>4347</v>
      </c>
      <c r="K5819" s="417" t="s">
        <v>14098</v>
      </c>
      <c r="L5819" s="417"/>
      <c r="M5819" s="417" t="s">
        <v>28840</v>
      </c>
    </row>
    <row r="5820" spans="1:13" x14ac:dyDescent="0.25">
      <c r="A5820" s="417" t="s">
        <v>3385</v>
      </c>
      <c r="B5820" s="417" t="s">
        <v>2627</v>
      </c>
      <c r="C5820" s="417" t="s">
        <v>14099</v>
      </c>
      <c r="D5820" s="417" t="s">
        <v>563</v>
      </c>
      <c r="E5820" s="423">
        <v>16.313724778023619</v>
      </c>
      <c r="F5820" s="423">
        <v>0.5777070895077896</v>
      </c>
      <c r="G5820" s="422">
        <v>33973.508194765433</v>
      </c>
      <c r="H5820" s="417" t="s">
        <v>2616</v>
      </c>
      <c r="I5820" s="417" t="s">
        <v>1392</v>
      </c>
      <c r="J5820" s="417" t="s">
        <v>4347</v>
      </c>
      <c r="K5820" s="417" t="s">
        <v>14100</v>
      </c>
      <c r="L5820" s="417"/>
      <c r="M5820" s="417" t="s">
        <v>28840</v>
      </c>
    </row>
    <row r="5821" spans="1:13" x14ac:dyDescent="0.25">
      <c r="A5821" s="417" t="s">
        <v>3385</v>
      </c>
      <c r="B5821" s="417" t="s">
        <v>2627</v>
      </c>
      <c r="C5821" s="417" t="s">
        <v>14101</v>
      </c>
      <c r="D5821" s="417" t="s">
        <v>563</v>
      </c>
      <c r="E5821" s="423">
        <v>8.5676707071433071</v>
      </c>
      <c r="F5821" s="423">
        <v>0.46633121065084793</v>
      </c>
      <c r="G5821" s="422">
        <v>16179.80199434534</v>
      </c>
      <c r="H5821" s="417" t="s">
        <v>2616</v>
      </c>
      <c r="I5821" s="417" t="s">
        <v>1392</v>
      </c>
      <c r="J5821" s="417" t="s">
        <v>4347</v>
      </c>
      <c r="K5821" s="417" t="s">
        <v>14102</v>
      </c>
      <c r="L5821" s="417"/>
      <c r="M5821" s="417" t="s">
        <v>28840</v>
      </c>
    </row>
    <row r="5822" spans="1:13" x14ac:dyDescent="0.25">
      <c r="A5822" s="417" t="s">
        <v>3385</v>
      </c>
      <c r="B5822" s="417" t="s">
        <v>2627</v>
      </c>
      <c r="C5822" s="417" t="s">
        <v>14103</v>
      </c>
      <c r="D5822" s="417" t="s">
        <v>563</v>
      </c>
      <c r="E5822" s="423">
        <v>10.64981428915549</v>
      </c>
      <c r="F5822" s="423">
        <v>0.49148616948748458</v>
      </c>
      <c r="G5822" s="422">
        <v>21024.144805862041</v>
      </c>
      <c r="H5822" s="417" t="s">
        <v>2616</v>
      </c>
      <c r="I5822" s="417" t="s">
        <v>1392</v>
      </c>
      <c r="J5822" s="417" t="s">
        <v>4347</v>
      </c>
      <c r="K5822" s="417" t="s">
        <v>14104</v>
      </c>
      <c r="L5822" s="417"/>
      <c r="M5822" s="417" t="s">
        <v>28840</v>
      </c>
    </row>
    <row r="5823" spans="1:13" x14ac:dyDescent="0.25">
      <c r="A5823" s="417" t="s">
        <v>3385</v>
      </c>
      <c r="B5823" s="417" t="s">
        <v>2627</v>
      </c>
      <c r="C5823" s="417" t="s">
        <v>14105</v>
      </c>
      <c r="D5823" s="417" t="s">
        <v>563</v>
      </c>
      <c r="E5823" s="423">
        <v>10.936509624102509</v>
      </c>
      <c r="F5823" s="423">
        <v>0.64301423436656568</v>
      </c>
      <c r="G5823" s="422">
        <v>20066.67258191451</v>
      </c>
      <c r="H5823" s="417" t="s">
        <v>2616</v>
      </c>
      <c r="I5823" s="417" t="s">
        <v>1392</v>
      </c>
      <c r="J5823" s="417" t="s">
        <v>4347</v>
      </c>
      <c r="K5823" s="417" t="s">
        <v>14106</v>
      </c>
      <c r="L5823" s="417"/>
      <c r="M5823" s="417" t="s">
        <v>28840</v>
      </c>
    </row>
    <row r="5824" spans="1:13" x14ac:dyDescent="0.25">
      <c r="A5824" s="417" t="s">
        <v>3385</v>
      </c>
      <c r="B5824" s="417" t="s">
        <v>2627</v>
      </c>
      <c r="C5824" s="417" t="s">
        <v>14107</v>
      </c>
      <c r="D5824" s="417" t="s">
        <v>563</v>
      </c>
      <c r="E5824" s="423">
        <v>5.0731153380232827</v>
      </c>
      <c r="F5824" s="423">
        <v>0.30673245232249408</v>
      </c>
      <c r="G5824" s="422">
        <v>9154.5752589656731</v>
      </c>
      <c r="H5824" s="417" t="s">
        <v>2616</v>
      </c>
      <c r="I5824" s="417" t="s">
        <v>1392</v>
      </c>
      <c r="J5824" s="417" t="s">
        <v>4347</v>
      </c>
      <c r="K5824" s="417" t="s">
        <v>14108</v>
      </c>
      <c r="L5824" s="417"/>
      <c r="M5824" s="417" t="s">
        <v>28840</v>
      </c>
    </row>
    <row r="5825" spans="1:13" x14ac:dyDescent="0.25">
      <c r="A5825" s="417" t="s">
        <v>3385</v>
      </c>
      <c r="B5825" s="417" t="s">
        <v>2627</v>
      </c>
      <c r="C5825" s="417" t="s">
        <v>14109</v>
      </c>
      <c r="D5825" s="417" t="s">
        <v>563</v>
      </c>
      <c r="E5825" s="423">
        <v>6.0503477190841011</v>
      </c>
      <c r="F5825" s="423">
        <v>0.36277941609421821</v>
      </c>
      <c r="G5825" s="422">
        <v>10973.25815234252</v>
      </c>
      <c r="H5825" s="417" t="s">
        <v>2616</v>
      </c>
      <c r="I5825" s="417" t="s">
        <v>1392</v>
      </c>
      <c r="J5825" s="417" t="s">
        <v>4347</v>
      </c>
      <c r="K5825" s="417" t="s">
        <v>14110</v>
      </c>
      <c r="L5825" s="417"/>
      <c r="M5825" s="417" t="s">
        <v>28840</v>
      </c>
    </row>
    <row r="5826" spans="1:13" x14ac:dyDescent="0.25">
      <c r="A5826" s="417" t="s">
        <v>3385</v>
      </c>
      <c r="B5826" s="417" t="s">
        <v>2627</v>
      </c>
      <c r="C5826" s="417" t="s">
        <v>14111</v>
      </c>
      <c r="D5826" s="417" t="s">
        <v>563</v>
      </c>
      <c r="E5826" s="423">
        <v>7.0275801012026564</v>
      </c>
      <c r="F5826" s="423">
        <v>0.41882637985768068</v>
      </c>
      <c r="G5826" s="422">
        <v>12791.941052593989</v>
      </c>
      <c r="H5826" s="417" t="s">
        <v>2616</v>
      </c>
      <c r="I5826" s="417" t="s">
        <v>1392</v>
      </c>
      <c r="J5826" s="417" t="s">
        <v>4347</v>
      </c>
      <c r="K5826" s="417" t="s">
        <v>14112</v>
      </c>
      <c r="L5826" s="417"/>
      <c r="M5826" s="417" t="s">
        <v>28840</v>
      </c>
    </row>
    <row r="5827" spans="1:13" x14ac:dyDescent="0.25">
      <c r="A5827" s="417" t="s">
        <v>3385</v>
      </c>
      <c r="B5827" s="417" t="s">
        <v>2627</v>
      </c>
      <c r="C5827" s="417" t="s">
        <v>14113</v>
      </c>
      <c r="D5827" s="417" t="s">
        <v>563</v>
      </c>
      <c r="E5827" s="423">
        <v>8.9820448611814392</v>
      </c>
      <c r="F5827" s="423">
        <v>0.53092030697257619</v>
      </c>
      <c r="G5827" s="422">
        <v>16429.306843687231</v>
      </c>
      <c r="H5827" s="417" t="s">
        <v>2616</v>
      </c>
      <c r="I5827" s="417" t="s">
        <v>1392</v>
      </c>
      <c r="J5827" s="417" t="s">
        <v>4347</v>
      </c>
      <c r="K5827" s="417" t="s">
        <v>14114</v>
      </c>
      <c r="L5827" s="417"/>
      <c r="M5827" s="417" t="s">
        <v>28840</v>
      </c>
    </row>
    <row r="5828" spans="1:13" x14ac:dyDescent="0.25">
      <c r="A5828" s="417" t="s">
        <v>3385</v>
      </c>
      <c r="B5828" s="417" t="s">
        <v>3405</v>
      </c>
      <c r="C5828" s="417" t="s">
        <v>14115</v>
      </c>
      <c r="D5828" s="417" t="s">
        <v>989</v>
      </c>
      <c r="E5828" s="423">
        <v>1526.287421180949</v>
      </c>
      <c r="F5828" s="423">
        <v>59.641740058986407</v>
      </c>
      <c r="G5828" s="422">
        <v>3676047.887957782</v>
      </c>
      <c r="H5828" s="417" t="s">
        <v>2616</v>
      </c>
      <c r="I5828" s="417" t="s">
        <v>1392</v>
      </c>
      <c r="J5828" s="417" t="s">
        <v>3588</v>
      </c>
      <c r="K5828" s="417" t="s">
        <v>14116</v>
      </c>
      <c r="L5828" s="417"/>
      <c r="M5828" s="417" t="s">
        <v>28840</v>
      </c>
    </row>
    <row r="5829" spans="1:13" x14ac:dyDescent="0.25">
      <c r="A5829" s="417" t="s">
        <v>3385</v>
      </c>
      <c r="B5829" s="417" t="s">
        <v>3405</v>
      </c>
      <c r="C5829" s="417" t="s">
        <v>14117</v>
      </c>
      <c r="D5829" s="417" t="s">
        <v>989</v>
      </c>
      <c r="E5829" s="423">
        <v>672.8442858189419</v>
      </c>
      <c r="F5829" s="423">
        <v>19.057587084365849</v>
      </c>
      <c r="G5829" s="422">
        <v>1253383.9259755979</v>
      </c>
      <c r="H5829" s="417" t="s">
        <v>2616</v>
      </c>
      <c r="I5829" s="417" t="s">
        <v>1392</v>
      </c>
      <c r="J5829" s="417" t="s">
        <v>3588</v>
      </c>
      <c r="K5829" s="417" t="s">
        <v>14118</v>
      </c>
      <c r="L5829" s="417"/>
      <c r="M5829" s="417" t="s">
        <v>28840</v>
      </c>
    </row>
    <row r="5830" spans="1:13" x14ac:dyDescent="0.25">
      <c r="A5830" s="417" t="s">
        <v>3385</v>
      </c>
      <c r="B5830" s="417" t="s">
        <v>3405</v>
      </c>
      <c r="C5830" s="417" t="s">
        <v>14119</v>
      </c>
      <c r="D5830" s="417" t="s">
        <v>989</v>
      </c>
      <c r="E5830" s="423">
        <v>5463.6771928008138</v>
      </c>
      <c r="F5830" s="423">
        <v>154.54794003390481</v>
      </c>
      <c r="G5830" s="422">
        <v>9762572.5896562189</v>
      </c>
      <c r="H5830" s="417" t="s">
        <v>2616</v>
      </c>
      <c r="I5830" s="417" t="s">
        <v>1392</v>
      </c>
      <c r="J5830" s="417" t="s">
        <v>3588</v>
      </c>
      <c r="K5830" s="417" t="s">
        <v>14120</v>
      </c>
      <c r="L5830" s="417"/>
      <c r="M5830" s="417" t="s">
        <v>28840</v>
      </c>
    </row>
    <row r="5831" spans="1:13" x14ac:dyDescent="0.25">
      <c r="A5831" s="417" t="s">
        <v>3385</v>
      </c>
      <c r="B5831" s="417" t="s">
        <v>2627</v>
      </c>
      <c r="C5831" s="417" t="s">
        <v>14121</v>
      </c>
      <c r="D5831" s="417" t="s">
        <v>88</v>
      </c>
      <c r="E5831" s="423">
        <v>11.04890522269613</v>
      </c>
      <c r="F5831" s="423">
        <v>0.97895461900895209</v>
      </c>
      <c r="G5831" s="422">
        <v>26803.95726157687</v>
      </c>
      <c r="H5831" s="417" t="s">
        <v>2616</v>
      </c>
      <c r="I5831" s="417" t="s">
        <v>1392</v>
      </c>
      <c r="J5831" s="417" t="s">
        <v>3915</v>
      </c>
      <c r="K5831" s="417" t="s">
        <v>14122</v>
      </c>
      <c r="L5831" s="417"/>
      <c r="M5831" s="417" t="s">
        <v>28840</v>
      </c>
    </row>
    <row r="5832" spans="1:13" x14ac:dyDescent="0.25">
      <c r="A5832" s="417" t="s">
        <v>3385</v>
      </c>
      <c r="B5832" s="417" t="s">
        <v>2623</v>
      </c>
      <c r="C5832" s="417" t="s">
        <v>14123</v>
      </c>
      <c r="D5832" s="417" t="s">
        <v>88</v>
      </c>
      <c r="E5832" s="423">
        <v>4.9295359673700726E-3</v>
      </c>
      <c r="F5832" s="423">
        <v>6.0271179089304791E-4</v>
      </c>
      <c r="G5832" s="422">
        <v>14.13324210904322</v>
      </c>
      <c r="H5832" s="417" t="s">
        <v>2616</v>
      </c>
      <c r="I5832" s="417" t="s">
        <v>1392</v>
      </c>
      <c r="J5832" s="417" t="s">
        <v>4364</v>
      </c>
      <c r="K5832" s="417" t="s">
        <v>14124</v>
      </c>
      <c r="L5832" s="417"/>
      <c r="M5832" s="417" t="s">
        <v>28840</v>
      </c>
    </row>
    <row r="5833" spans="1:13" x14ac:dyDescent="0.25">
      <c r="A5833" s="417" t="s">
        <v>3385</v>
      </c>
      <c r="B5833" s="417" t="s">
        <v>2623</v>
      </c>
      <c r="C5833" s="417" t="s">
        <v>14125</v>
      </c>
      <c r="D5833" s="417" t="s">
        <v>88</v>
      </c>
      <c r="E5833" s="423">
        <v>5.122827484751155E-3</v>
      </c>
      <c r="F5833" s="423">
        <v>2.7690899390349821E-4</v>
      </c>
      <c r="G5833" s="422">
        <v>9.5473626466040926</v>
      </c>
      <c r="H5833" s="417" t="s">
        <v>2616</v>
      </c>
      <c r="I5833" s="417" t="s">
        <v>1392</v>
      </c>
      <c r="J5833" s="417" t="s">
        <v>4364</v>
      </c>
      <c r="K5833" s="417" t="s">
        <v>14126</v>
      </c>
      <c r="L5833" s="417"/>
      <c r="M5833" s="417" t="s">
        <v>28840</v>
      </c>
    </row>
    <row r="5834" spans="1:13" x14ac:dyDescent="0.25">
      <c r="A5834" s="417" t="s">
        <v>3385</v>
      </c>
      <c r="B5834" s="417" t="s">
        <v>2627</v>
      </c>
      <c r="C5834" s="417" t="s">
        <v>14127</v>
      </c>
      <c r="D5834" s="417" t="s">
        <v>989</v>
      </c>
      <c r="E5834" s="423">
        <v>64469.689342877668</v>
      </c>
      <c r="F5834" s="423">
        <v>2381.742310514438</v>
      </c>
      <c r="G5834" s="422">
        <v>141770379.55348229</v>
      </c>
      <c r="H5834" s="417" t="s">
        <v>2616</v>
      </c>
      <c r="I5834" s="417" t="s">
        <v>1392</v>
      </c>
      <c r="J5834" s="417" t="s">
        <v>4016</v>
      </c>
      <c r="K5834" s="417" t="s">
        <v>14128</v>
      </c>
      <c r="L5834" s="417"/>
      <c r="M5834" s="417" t="s">
        <v>28840</v>
      </c>
    </row>
    <row r="5835" spans="1:13" x14ac:dyDescent="0.25">
      <c r="A5835" s="417" t="s">
        <v>3385</v>
      </c>
      <c r="B5835" s="417" t="s">
        <v>2627</v>
      </c>
      <c r="C5835" s="417" t="s">
        <v>14129</v>
      </c>
      <c r="D5835" s="417" t="s">
        <v>989</v>
      </c>
      <c r="E5835" s="423">
        <v>161762.3337482622</v>
      </c>
      <c r="F5835" s="423">
        <v>6021.3954229146821</v>
      </c>
      <c r="G5835" s="422">
        <v>332790892.65563703</v>
      </c>
      <c r="H5835" s="417" t="s">
        <v>2616</v>
      </c>
      <c r="I5835" s="417" t="s">
        <v>1392</v>
      </c>
      <c r="J5835" s="417" t="s">
        <v>4016</v>
      </c>
      <c r="K5835" s="417" t="s">
        <v>14130</v>
      </c>
      <c r="L5835" s="417"/>
      <c r="M5835" s="417" t="s">
        <v>28840</v>
      </c>
    </row>
    <row r="5836" spans="1:13" x14ac:dyDescent="0.25">
      <c r="A5836" s="417" t="s">
        <v>3385</v>
      </c>
      <c r="B5836" s="417" t="s">
        <v>2627</v>
      </c>
      <c r="C5836" s="417" t="s">
        <v>14131</v>
      </c>
      <c r="D5836" s="417" t="s">
        <v>989</v>
      </c>
      <c r="E5836" s="423">
        <v>21.874437578031149</v>
      </c>
      <c r="F5836" s="423">
        <v>0.81688850907696409</v>
      </c>
      <c r="G5836" s="422">
        <v>101339.2778335961</v>
      </c>
      <c r="H5836" s="417" t="s">
        <v>2616</v>
      </c>
      <c r="I5836" s="417" t="s">
        <v>1392</v>
      </c>
      <c r="J5836" s="417" t="s">
        <v>4294</v>
      </c>
      <c r="K5836" s="417" t="s">
        <v>14132</v>
      </c>
      <c r="L5836" s="417"/>
      <c r="M5836" s="417" t="s">
        <v>28840</v>
      </c>
    </row>
    <row r="5837" spans="1:13" x14ac:dyDescent="0.25">
      <c r="A5837" s="417" t="s">
        <v>3385</v>
      </c>
      <c r="B5837" s="417" t="s">
        <v>2627</v>
      </c>
      <c r="C5837" s="417" t="s">
        <v>14133</v>
      </c>
      <c r="D5837" s="417" t="s">
        <v>88</v>
      </c>
      <c r="E5837" s="423">
        <v>1.935046974015072</v>
      </c>
      <c r="F5837" s="423">
        <v>4.8797087847703473E-2</v>
      </c>
      <c r="G5837" s="422">
        <v>4286.5637849556679</v>
      </c>
      <c r="H5837" s="417" t="s">
        <v>2616</v>
      </c>
      <c r="I5837" s="417" t="s">
        <v>1392</v>
      </c>
      <c r="J5837" s="417" t="s">
        <v>14134</v>
      </c>
      <c r="K5837" s="417" t="s">
        <v>14135</v>
      </c>
      <c r="L5837" s="417"/>
      <c r="M5837" s="417" t="s">
        <v>28840</v>
      </c>
    </row>
    <row r="5838" spans="1:13" x14ac:dyDescent="0.25">
      <c r="A5838" s="417" t="s">
        <v>3385</v>
      </c>
      <c r="B5838" s="417" t="s">
        <v>2437</v>
      </c>
      <c r="C5838" s="417" t="s">
        <v>14136</v>
      </c>
      <c r="D5838" s="417" t="s">
        <v>88</v>
      </c>
      <c r="E5838" s="423">
        <v>4.017265158986512</v>
      </c>
      <c r="F5838" s="423">
        <v>0.22857676058943979</v>
      </c>
      <c r="G5838" s="422">
        <v>7421.3510049415127</v>
      </c>
      <c r="H5838" s="417" t="s">
        <v>2616</v>
      </c>
      <c r="I5838" s="417" t="s">
        <v>1392</v>
      </c>
      <c r="J5838" s="417" t="s">
        <v>3871</v>
      </c>
      <c r="K5838" s="417" t="s">
        <v>14137</v>
      </c>
      <c r="L5838" s="417"/>
      <c r="M5838" s="417" t="s">
        <v>28840</v>
      </c>
    </row>
    <row r="5839" spans="1:13" x14ac:dyDescent="0.25">
      <c r="A5839" s="417" t="s">
        <v>3385</v>
      </c>
      <c r="B5839" s="417" t="s">
        <v>2437</v>
      </c>
      <c r="C5839" s="417" t="s">
        <v>14138</v>
      </c>
      <c r="D5839" s="417" t="s">
        <v>88</v>
      </c>
      <c r="E5839" s="423">
        <v>5.6195935570503277</v>
      </c>
      <c r="F5839" s="423">
        <v>0.1122861503873103</v>
      </c>
      <c r="G5839" s="422">
        <v>8152.2693579178986</v>
      </c>
      <c r="H5839" s="417" t="s">
        <v>2616</v>
      </c>
      <c r="I5839" s="417" t="s">
        <v>1392</v>
      </c>
      <c r="J5839" s="417" t="s">
        <v>3871</v>
      </c>
      <c r="K5839" s="417" t="s">
        <v>14139</v>
      </c>
      <c r="L5839" s="417"/>
      <c r="M5839" s="417" t="s">
        <v>28840</v>
      </c>
    </row>
    <row r="5840" spans="1:13" x14ac:dyDescent="0.25">
      <c r="A5840" s="417" t="s">
        <v>3385</v>
      </c>
      <c r="B5840" s="417" t="s">
        <v>2437</v>
      </c>
      <c r="C5840" s="417" t="s">
        <v>14140</v>
      </c>
      <c r="D5840" s="417" t="s">
        <v>88</v>
      </c>
      <c r="E5840" s="423">
        <v>5.4091913194011321</v>
      </c>
      <c r="F5840" s="423">
        <v>0.1098937161418586</v>
      </c>
      <c r="G5840" s="422">
        <v>11350.017626662549</v>
      </c>
      <c r="H5840" s="417" t="s">
        <v>2616</v>
      </c>
      <c r="I5840" s="417" t="s">
        <v>1392</v>
      </c>
      <c r="J5840" s="417" t="s">
        <v>3871</v>
      </c>
      <c r="K5840" s="417" t="s">
        <v>14141</v>
      </c>
      <c r="L5840" s="417"/>
      <c r="M5840" s="417" t="s">
        <v>28840</v>
      </c>
    </row>
    <row r="5841" spans="1:13" x14ac:dyDescent="0.25">
      <c r="A5841" s="417" t="s">
        <v>3385</v>
      </c>
      <c r="B5841" s="417" t="s">
        <v>2627</v>
      </c>
      <c r="C5841" s="417" t="s">
        <v>14142</v>
      </c>
      <c r="D5841" s="417" t="s">
        <v>88</v>
      </c>
      <c r="E5841" s="423">
        <v>0.10160907284699421</v>
      </c>
      <c r="F5841" s="423">
        <v>2.6434567767236422E-3</v>
      </c>
      <c r="G5841" s="422">
        <v>432.48448135429078</v>
      </c>
      <c r="H5841" s="417" t="s">
        <v>2616</v>
      </c>
      <c r="I5841" s="417" t="s">
        <v>1392</v>
      </c>
      <c r="J5841" s="417" t="s">
        <v>14143</v>
      </c>
      <c r="K5841" s="417" t="s">
        <v>14144</v>
      </c>
      <c r="L5841" s="417"/>
      <c r="M5841" s="417" t="s">
        <v>28840</v>
      </c>
    </row>
    <row r="5842" spans="1:13" x14ac:dyDescent="0.25">
      <c r="A5842" s="417" t="s">
        <v>3385</v>
      </c>
      <c r="B5842" s="417" t="s">
        <v>2627</v>
      </c>
      <c r="C5842" s="417" t="s">
        <v>14145</v>
      </c>
      <c r="D5842" s="417" t="s">
        <v>88</v>
      </c>
      <c r="E5842" s="423">
        <v>2.2202857071268061</v>
      </c>
      <c r="F5842" s="423">
        <v>0.15551999486734119</v>
      </c>
      <c r="G5842" s="422">
        <v>53823.702777414917</v>
      </c>
      <c r="H5842" s="417" t="s">
        <v>2616</v>
      </c>
      <c r="I5842" s="417" t="s">
        <v>1392</v>
      </c>
      <c r="J5842" s="417" t="s">
        <v>3860</v>
      </c>
      <c r="K5842" s="417" t="s">
        <v>14146</v>
      </c>
      <c r="L5842" s="417"/>
      <c r="M5842" s="417" t="s">
        <v>28840</v>
      </c>
    </row>
    <row r="5843" spans="1:13" x14ac:dyDescent="0.25">
      <c r="A5843" s="417" t="s">
        <v>3385</v>
      </c>
      <c r="B5843" s="417" t="s">
        <v>2627</v>
      </c>
      <c r="C5843" s="417" t="s">
        <v>14147</v>
      </c>
      <c r="D5843" s="417" t="s">
        <v>88</v>
      </c>
      <c r="E5843" s="423">
        <v>2.333873188791507</v>
      </c>
      <c r="F5843" s="423">
        <v>0.1634768501813994</v>
      </c>
      <c r="G5843" s="422">
        <v>41633.725611497401</v>
      </c>
      <c r="H5843" s="417" t="s">
        <v>2616</v>
      </c>
      <c r="I5843" s="417" t="s">
        <v>1392</v>
      </c>
      <c r="J5843" s="417" t="s">
        <v>3915</v>
      </c>
      <c r="K5843" s="417" t="s">
        <v>14148</v>
      </c>
      <c r="L5843" s="417"/>
      <c r="M5843" s="417" t="s">
        <v>28840</v>
      </c>
    </row>
    <row r="5844" spans="1:13" x14ac:dyDescent="0.25">
      <c r="A5844" s="417" t="s">
        <v>3385</v>
      </c>
      <c r="B5844" s="417" t="s">
        <v>2627</v>
      </c>
      <c r="C5844" s="417" t="s">
        <v>14149</v>
      </c>
      <c r="D5844" s="417" t="s">
        <v>88</v>
      </c>
      <c r="E5844" s="423">
        <v>2.0640691204738419</v>
      </c>
      <c r="F5844" s="423">
        <v>0.14457695568362949</v>
      </c>
      <c r="G5844" s="422">
        <v>70588.540575341147</v>
      </c>
      <c r="H5844" s="417" t="s">
        <v>2616</v>
      </c>
      <c r="I5844" s="417" t="s">
        <v>1392</v>
      </c>
      <c r="J5844" s="417" t="s">
        <v>3915</v>
      </c>
      <c r="K5844" s="417" t="s">
        <v>14150</v>
      </c>
      <c r="L5844" s="417"/>
      <c r="M5844" s="417" t="s">
        <v>28840</v>
      </c>
    </row>
    <row r="5845" spans="1:13" x14ac:dyDescent="0.25">
      <c r="A5845" s="417" t="s">
        <v>3385</v>
      </c>
      <c r="B5845" s="417" t="s">
        <v>2627</v>
      </c>
      <c r="C5845" s="417" t="s">
        <v>1104</v>
      </c>
      <c r="D5845" s="417" t="s">
        <v>88</v>
      </c>
      <c r="E5845" s="423">
        <v>6.2792824704478889</v>
      </c>
      <c r="F5845" s="423">
        <v>0.31433361438525542</v>
      </c>
      <c r="G5845" s="422">
        <v>116508.40132206029</v>
      </c>
      <c r="H5845" s="417" t="s">
        <v>2616</v>
      </c>
      <c r="I5845" s="417" t="s">
        <v>28841</v>
      </c>
      <c r="J5845" s="417" t="s">
        <v>3915</v>
      </c>
      <c r="K5845" s="417" t="s">
        <v>14151</v>
      </c>
      <c r="L5845" s="417"/>
      <c r="M5845" s="417" t="s">
        <v>28840</v>
      </c>
    </row>
    <row r="5846" spans="1:13" x14ac:dyDescent="0.25">
      <c r="A5846" s="417" t="s">
        <v>3385</v>
      </c>
      <c r="B5846" s="417" t="s">
        <v>2627</v>
      </c>
      <c r="C5846" s="417" t="s">
        <v>14152</v>
      </c>
      <c r="D5846" s="417" t="s">
        <v>88</v>
      </c>
      <c r="E5846" s="423">
        <v>1.762100000032816</v>
      </c>
      <c r="F5846" s="423">
        <v>6.0975256874134777E-2</v>
      </c>
      <c r="G5846" s="422">
        <v>9450.400780831058</v>
      </c>
      <c r="H5846" s="417" t="s">
        <v>2616</v>
      </c>
      <c r="I5846" s="417" t="s">
        <v>1392</v>
      </c>
      <c r="J5846" s="417" t="s">
        <v>3396</v>
      </c>
      <c r="K5846" s="417" t="s">
        <v>14153</v>
      </c>
      <c r="L5846" s="417"/>
      <c r="M5846" s="417" t="s">
        <v>28840</v>
      </c>
    </row>
    <row r="5847" spans="1:13" x14ac:dyDescent="0.25">
      <c r="A5847" s="417" t="s">
        <v>3385</v>
      </c>
      <c r="B5847" s="417" t="s">
        <v>2627</v>
      </c>
      <c r="C5847" s="417" t="s">
        <v>14154</v>
      </c>
      <c r="D5847" s="417" t="s">
        <v>88</v>
      </c>
      <c r="E5847" s="423">
        <v>6.8368203512933494</v>
      </c>
      <c r="F5847" s="423">
        <v>0.6273305602500665</v>
      </c>
      <c r="G5847" s="422">
        <v>17042.653639467931</v>
      </c>
      <c r="H5847" s="417" t="s">
        <v>2616</v>
      </c>
      <c r="I5847" s="417" t="s">
        <v>1392</v>
      </c>
      <c r="J5847" s="417" t="s">
        <v>3396</v>
      </c>
      <c r="K5847" s="417" t="s">
        <v>14155</v>
      </c>
      <c r="L5847" s="417"/>
      <c r="M5847" s="417" t="s">
        <v>28840</v>
      </c>
    </row>
    <row r="5848" spans="1:13" x14ac:dyDescent="0.25">
      <c r="A5848" s="417" t="s">
        <v>3385</v>
      </c>
      <c r="B5848" s="417" t="s">
        <v>2627</v>
      </c>
      <c r="C5848" s="417" t="s">
        <v>14156</v>
      </c>
      <c r="D5848" s="417" t="s">
        <v>88</v>
      </c>
      <c r="E5848" s="423">
        <v>3.6404612155613418</v>
      </c>
      <c r="F5848" s="423">
        <v>7.815791868840051E-2</v>
      </c>
      <c r="G5848" s="422">
        <v>7725.5496232489604</v>
      </c>
      <c r="H5848" s="417" t="s">
        <v>2616</v>
      </c>
      <c r="I5848" s="417" t="s">
        <v>1392</v>
      </c>
      <c r="J5848" s="417" t="s">
        <v>3396</v>
      </c>
      <c r="K5848" s="417" t="s">
        <v>14157</v>
      </c>
      <c r="L5848" s="417"/>
      <c r="M5848" s="417" t="s">
        <v>28840</v>
      </c>
    </row>
    <row r="5849" spans="1:13" x14ac:dyDescent="0.25">
      <c r="A5849" s="417" t="s">
        <v>3385</v>
      </c>
      <c r="B5849" s="417" t="s">
        <v>2437</v>
      </c>
      <c r="C5849" s="417" t="s">
        <v>14158</v>
      </c>
      <c r="D5849" s="417" t="s">
        <v>989</v>
      </c>
      <c r="E5849" s="423">
        <v>218.42358530292631</v>
      </c>
      <c r="F5849" s="423">
        <v>7.2572672079799636</v>
      </c>
      <c r="G5849" s="422">
        <v>464292.04257905949</v>
      </c>
      <c r="H5849" s="417" t="s">
        <v>2616</v>
      </c>
      <c r="I5849" s="417" t="s">
        <v>1392</v>
      </c>
      <c r="J5849" s="417" t="s">
        <v>4167</v>
      </c>
      <c r="K5849" s="417" t="s">
        <v>14159</v>
      </c>
      <c r="L5849" s="417"/>
      <c r="M5849" s="417" t="s">
        <v>28840</v>
      </c>
    </row>
    <row r="5850" spans="1:13" x14ac:dyDescent="0.25">
      <c r="A5850" s="417" t="s">
        <v>3385</v>
      </c>
      <c r="B5850" s="417" t="s">
        <v>2437</v>
      </c>
      <c r="C5850" s="417" t="s">
        <v>14160</v>
      </c>
      <c r="D5850" s="417" t="s">
        <v>989</v>
      </c>
      <c r="E5850" s="423">
        <v>217.8154545095087</v>
      </c>
      <c r="F5850" s="423">
        <v>7.2272333264382027</v>
      </c>
      <c r="G5850" s="422">
        <v>462984.49150145048</v>
      </c>
      <c r="H5850" s="417" t="s">
        <v>2616</v>
      </c>
      <c r="I5850" s="417" t="s">
        <v>1392</v>
      </c>
      <c r="J5850" s="417" t="s">
        <v>4167</v>
      </c>
      <c r="K5850" s="417" t="s">
        <v>14161</v>
      </c>
      <c r="L5850" s="417"/>
      <c r="M5850" s="417" t="s">
        <v>28840</v>
      </c>
    </row>
    <row r="5851" spans="1:13" x14ac:dyDescent="0.25">
      <c r="A5851" s="417" t="s">
        <v>3385</v>
      </c>
      <c r="B5851" s="417" t="s">
        <v>2437</v>
      </c>
      <c r="C5851" s="417" t="s">
        <v>14162</v>
      </c>
      <c r="D5851" s="417" t="s">
        <v>989</v>
      </c>
      <c r="E5851" s="423">
        <v>217.31819892260839</v>
      </c>
      <c r="F5851" s="423">
        <v>7.207803822298942</v>
      </c>
      <c r="G5851" s="422">
        <v>461881.73913814261</v>
      </c>
      <c r="H5851" s="417" t="s">
        <v>2616</v>
      </c>
      <c r="I5851" s="417" t="s">
        <v>1392</v>
      </c>
      <c r="J5851" s="417" t="s">
        <v>4167</v>
      </c>
      <c r="K5851" s="417" t="s">
        <v>14163</v>
      </c>
      <c r="L5851" s="417"/>
      <c r="M5851" s="417" t="s">
        <v>28840</v>
      </c>
    </row>
    <row r="5852" spans="1:13" x14ac:dyDescent="0.25">
      <c r="A5852" s="417" t="s">
        <v>3385</v>
      </c>
      <c r="B5852" s="417" t="s">
        <v>2437</v>
      </c>
      <c r="C5852" s="417" t="s">
        <v>14164</v>
      </c>
      <c r="D5852" s="417" t="s">
        <v>989</v>
      </c>
      <c r="E5852" s="423">
        <v>799.82313876039245</v>
      </c>
      <c r="F5852" s="423">
        <v>27.69101733435215</v>
      </c>
      <c r="G5852" s="422">
        <v>1912669.706391728</v>
      </c>
      <c r="H5852" s="417" t="s">
        <v>2616</v>
      </c>
      <c r="I5852" s="417" t="s">
        <v>1392</v>
      </c>
      <c r="J5852" s="417" t="s">
        <v>4167</v>
      </c>
      <c r="K5852" s="417" t="s">
        <v>14165</v>
      </c>
      <c r="L5852" s="417"/>
      <c r="M5852" s="417" t="s">
        <v>28840</v>
      </c>
    </row>
    <row r="5853" spans="1:13" x14ac:dyDescent="0.25">
      <c r="A5853" s="417" t="s">
        <v>3385</v>
      </c>
      <c r="B5853" s="417" t="s">
        <v>2437</v>
      </c>
      <c r="C5853" s="417" t="s">
        <v>14166</v>
      </c>
      <c r="D5853" s="417" t="s">
        <v>989</v>
      </c>
      <c r="E5853" s="423">
        <v>746.02674449337655</v>
      </c>
      <c r="F5853" s="423">
        <v>26.597966431775429</v>
      </c>
      <c r="G5853" s="422">
        <v>1841485.6303252119</v>
      </c>
      <c r="H5853" s="417" t="s">
        <v>2616</v>
      </c>
      <c r="I5853" s="417" t="s">
        <v>1392</v>
      </c>
      <c r="J5853" s="417" t="s">
        <v>4167</v>
      </c>
      <c r="K5853" s="417" t="s">
        <v>14167</v>
      </c>
      <c r="L5853" s="417"/>
      <c r="M5853" s="417" t="s">
        <v>28840</v>
      </c>
    </row>
    <row r="5854" spans="1:13" x14ac:dyDescent="0.25">
      <c r="A5854" s="417" t="s">
        <v>3385</v>
      </c>
      <c r="B5854" s="417" t="s">
        <v>2437</v>
      </c>
      <c r="C5854" s="417" t="s">
        <v>14168</v>
      </c>
      <c r="D5854" s="417" t="s">
        <v>989</v>
      </c>
      <c r="E5854" s="423">
        <v>770.31811758861932</v>
      </c>
      <c r="F5854" s="423">
        <v>28.18563163936172</v>
      </c>
      <c r="G5854" s="422">
        <v>1888197.5655231869</v>
      </c>
      <c r="H5854" s="417" t="s">
        <v>2616</v>
      </c>
      <c r="I5854" s="417" t="s">
        <v>1392</v>
      </c>
      <c r="J5854" s="417" t="s">
        <v>4167</v>
      </c>
      <c r="K5854" s="417" t="s">
        <v>14169</v>
      </c>
      <c r="L5854" s="417"/>
      <c r="M5854" s="417" t="s">
        <v>28840</v>
      </c>
    </row>
    <row r="5855" spans="1:13" x14ac:dyDescent="0.25">
      <c r="A5855" s="417" t="s">
        <v>3385</v>
      </c>
      <c r="B5855" s="417" t="s">
        <v>2437</v>
      </c>
      <c r="C5855" s="417" t="s">
        <v>14170</v>
      </c>
      <c r="D5855" s="417" t="s">
        <v>989</v>
      </c>
      <c r="E5855" s="423">
        <v>3872.8683807197081</v>
      </c>
      <c r="F5855" s="423">
        <v>137.85198947043239</v>
      </c>
      <c r="G5855" s="422">
        <v>10886407.691474199</v>
      </c>
      <c r="H5855" s="417" t="s">
        <v>2616</v>
      </c>
      <c r="I5855" s="417" t="s">
        <v>1392</v>
      </c>
      <c r="J5855" s="417" t="s">
        <v>4167</v>
      </c>
      <c r="K5855" s="417" t="s">
        <v>14171</v>
      </c>
      <c r="L5855" s="417"/>
      <c r="M5855" s="417" t="s">
        <v>28840</v>
      </c>
    </row>
    <row r="5856" spans="1:13" x14ac:dyDescent="0.25">
      <c r="A5856" s="417" t="s">
        <v>3385</v>
      </c>
      <c r="B5856" s="417" t="s">
        <v>2437</v>
      </c>
      <c r="C5856" s="417" t="s">
        <v>14172</v>
      </c>
      <c r="D5856" s="417" t="s">
        <v>989</v>
      </c>
      <c r="E5856" s="423">
        <v>3278.9702094698059</v>
      </c>
      <c r="F5856" s="423">
        <v>123.78359205922609</v>
      </c>
      <c r="G5856" s="422">
        <v>9956604.1525672656</v>
      </c>
      <c r="H5856" s="417" t="s">
        <v>2616</v>
      </c>
      <c r="I5856" s="417" t="s">
        <v>1392</v>
      </c>
      <c r="J5856" s="417" t="s">
        <v>4167</v>
      </c>
      <c r="K5856" s="417" t="s">
        <v>14173</v>
      </c>
      <c r="L5856" s="417"/>
      <c r="M5856" s="417" t="s">
        <v>28840</v>
      </c>
    </row>
    <row r="5857" spans="1:13" x14ac:dyDescent="0.25">
      <c r="A5857" s="417" t="s">
        <v>3385</v>
      </c>
      <c r="B5857" s="417" t="s">
        <v>2437</v>
      </c>
      <c r="C5857" s="417" t="s">
        <v>14174</v>
      </c>
      <c r="D5857" s="417" t="s">
        <v>989</v>
      </c>
      <c r="E5857" s="423">
        <v>3495.5145003003772</v>
      </c>
      <c r="F5857" s="423">
        <v>134.70584298898049</v>
      </c>
      <c r="G5857" s="422">
        <v>10417685.15467865</v>
      </c>
      <c r="H5857" s="417" t="s">
        <v>2616</v>
      </c>
      <c r="I5857" s="417" t="s">
        <v>1392</v>
      </c>
      <c r="J5857" s="417" t="s">
        <v>4167</v>
      </c>
      <c r="K5857" s="417" t="s">
        <v>14175</v>
      </c>
      <c r="L5857" s="417"/>
      <c r="M5857" s="417" t="s">
        <v>28840</v>
      </c>
    </row>
    <row r="5858" spans="1:13" x14ac:dyDescent="0.25">
      <c r="A5858" s="417" t="s">
        <v>3385</v>
      </c>
      <c r="B5858" s="417" t="s">
        <v>2437</v>
      </c>
      <c r="C5858" s="417" t="s">
        <v>14176</v>
      </c>
      <c r="D5858" s="417" t="s">
        <v>989</v>
      </c>
      <c r="E5858" s="423">
        <v>2258.9616300825019</v>
      </c>
      <c r="F5858" s="423">
        <v>80.249566656270702</v>
      </c>
      <c r="G5858" s="422">
        <v>6068339.1823308989</v>
      </c>
      <c r="H5858" s="417" t="s">
        <v>2616</v>
      </c>
      <c r="I5858" s="417" t="s">
        <v>1392</v>
      </c>
      <c r="J5858" s="417" t="s">
        <v>4167</v>
      </c>
      <c r="K5858" s="417" t="s">
        <v>14177</v>
      </c>
      <c r="L5858" s="417"/>
      <c r="M5858" s="417" t="s">
        <v>28840</v>
      </c>
    </row>
    <row r="5859" spans="1:13" x14ac:dyDescent="0.25">
      <c r="A5859" s="417" t="s">
        <v>3385</v>
      </c>
      <c r="B5859" s="417" t="s">
        <v>2437</v>
      </c>
      <c r="C5859" s="417" t="s">
        <v>14178</v>
      </c>
      <c r="D5859" s="417" t="s">
        <v>989</v>
      </c>
      <c r="E5859" s="423">
        <v>1981.2635157498271</v>
      </c>
      <c r="F5859" s="423">
        <v>73.896328213392124</v>
      </c>
      <c r="G5859" s="422">
        <v>5651278.2998776212</v>
      </c>
      <c r="H5859" s="417" t="s">
        <v>2616</v>
      </c>
      <c r="I5859" s="417" t="s">
        <v>1392</v>
      </c>
      <c r="J5859" s="417" t="s">
        <v>4167</v>
      </c>
      <c r="K5859" s="417" t="s">
        <v>14179</v>
      </c>
      <c r="L5859" s="417"/>
      <c r="M5859" s="417" t="s">
        <v>28840</v>
      </c>
    </row>
    <row r="5860" spans="1:13" x14ac:dyDescent="0.25">
      <c r="A5860" s="417" t="s">
        <v>3385</v>
      </c>
      <c r="B5860" s="417" t="s">
        <v>2437</v>
      </c>
      <c r="C5860" s="417" t="s">
        <v>14180</v>
      </c>
      <c r="D5860" s="417" t="s">
        <v>989</v>
      </c>
      <c r="E5860" s="423">
        <v>2073.5930691962881</v>
      </c>
      <c r="F5860" s="423">
        <v>78.703021871589527</v>
      </c>
      <c r="G5860" s="422">
        <v>5837908.8686092272</v>
      </c>
      <c r="H5860" s="417" t="s">
        <v>2616</v>
      </c>
      <c r="I5860" s="417" t="s">
        <v>1392</v>
      </c>
      <c r="J5860" s="417" t="s">
        <v>4167</v>
      </c>
      <c r="K5860" s="417" t="s">
        <v>14181</v>
      </c>
      <c r="L5860" s="417"/>
      <c r="M5860" s="417" t="s">
        <v>28840</v>
      </c>
    </row>
    <row r="5861" spans="1:13" x14ac:dyDescent="0.25">
      <c r="A5861" s="417" t="s">
        <v>3385</v>
      </c>
      <c r="B5861" s="417" t="s">
        <v>2437</v>
      </c>
      <c r="C5861" s="417" t="s">
        <v>14182</v>
      </c>
      <c r="D5861" s="417" t="s">
        <v>989</v>
      </c>
      <c r="E5861" s="423">
        <v>1211.7924098120579</v>
      </c>
      <c r="F5861" s="423">
        <v>42.74794831062885</v>
      </c>
      <c r="G5861" s="422">
        <v>2965181.1863088431</v>
      </c>
      <c r="H5861" s="417" t="s">
        <v>2616</v>
      </c>
      <c r="I5861" s="417" t="s">
        <v>1392</v>
      </c>
      <c r="J5861" s="417" t="s">
        <v>4167</v>
      </c>
      <c r="K5861" s="417" t="s">
        <v>14183</v>
      </c>
      <c r="L5861" s="417"/>
      <c r="M5861" s="417" t="s">
        <v>28840</v>
      </c>
    </row>
    <row r="5862" spans="1:13" x14ac:dyDescent="0.25">
      <c r="A5862" s="417" t="s">
        <v>3385</v>
      </c>
      <c r="B5862" s="417" t="s">
        <v>2437</v>
      </c>
      <c r="C5862" s="417" t="s">
        <v>14184</v>
      </c>
      <c r="D5862" s="417" t="s">
        <v>989</v>
      </c>
      <c r="E5862" s="423">
        <v>1107.715379195834</v>
      </c>
      <c r="F5862" s="423">
        <v>40.291560921117103</v>
      </c>
      <c r="G5862" s="422">
        <v>2803273.528772234</v>
      </c>
      <c r="H5862" s="417" t="s">
        <v>2616</v>
      </c>
      <c r="I5862" s="417" t="s">
        <v>1392</v>
      </c>
      <c r="J5862" s="417" t="s">
        <v>4167</v>
      </c>
      <c r="K5862" s="417" t="s">
        <v>14185</v>
      </c>
      <c r="L5862" s="417"/>
      <c r="M5862" s="417" t="s">
        <v>28840</v>
      </c>
    </row>
    <row r="5863" spans="1:13" x14ac:dyDescent="0.25">
      <c r="A5863" s="417" t="s">
        <v>3385</v>
      </c>
      <c r="B5863" s="417" t="s">
        <v>2437</v>
      </c>
      <c r="C5863" s="417" t="s">
        <v>14186</v>
      </c>
      <c r="D5863" s="417" t="s">
        <v>989</v>
      </c>
      <c r="E5863" s="423">
        <v>1144.9387951722181</v>
      </c>
      <c r="F5863" s="423">
        <v>42.181576591492302</v>
      </c>
      <c r="G5863" s="422">
        <v>2881091.1790235802</v>
      </c>
      <c r="H5863" s="417" t="s">
        <v>2616</v>
      </c>
      <c r="I5863" s="417" t="s">
        <v>1392</v>
      </c>
      <c r="J5863" s="417" t="s">
        <v>4167</v>
      </c>
      <c r="K5863" s="417" t="s">
        <v>14187</v>
      </c>
      <c r="L5863" s="417"/>
      <c r="M5863" s="417" t="s">
        <v>28840</v>
      </c>
    </row>
    <row r="5864" spans="1:13" x14ac:dyDescent="0.25">
      <c r="A5864" s="417" t="s">
        <v>3385</v>
      </c>
      <c r="B5864" s="417" t="s">
        <v>2437</v>
      </c>
      <c r="C5864" s="417" t="s">
        <v>14188</v>
      </c>
      <c r="D5864" s="417" t="s">
        <v>989</v>
      </c>
      <c r="E5864" s="423">
        <v>1097.596387867661</v>
      </c>
      <c r="F5864" s="423">
        <v>31.911884937815358</v>
      </c>
      <c r="G5864" s="422">
        <v>2153618.2101646792</v>
      </c>
      <c r="H5864" s="417" t="s">
        <v>2616</v>
      </c>
      <c r="I5864" s="417" t="s">
        <v>1392</v>
      </c>
      <c r="J5864" s="417" t="s">
        <v>4167</v>
      </c>
      <c r="K5864" s="417" t="s">
        <v>14189</v>
      </c>
      <c r="L5864" s="417"/>
      <c r="M5864" s="417" t="s">
        <v>28840</v>
      </c>
    </row>
    <row r="5865" spans="1:13" x14ac:dyDescent="0.25">
      <c r="A5865" s="417" t="s">
        <v>3385</v>
      </c>
      <c r="B5865" s="417" t="s">
        <v>2437</v>
      </c>
      <c r="C5865" s="417" t="s">
        <v>14190</v>
      </c>
      <c r="D5865" s="417" t="s">
        <v>989</v>
      </c>
      <c r="E5865" s="423">
        <v>1095.97157086059</v>
      </c>
      <c r="F5865" s="423">
        <v>31.840871174895359</v>
      </c>
      <c r="G5865" s="422">
        <v>2150064.1945512262</v>
      </c>
      <c r="H5865" s="417" t="s">
        <v>2616</v>
      </c>
      <c r="I5865" s="417" t="s">
        <v>1392</v>
      </c>
      <c r="J5865" s="417" t="s">
        <v>4167</v>
      </c>
      <c r="K5865" s="417" t="s">
        <v>14191</v>
      </c>
      <c r="L5865" s="417"/>
      <c r="M5865" s="417" t="s">
        <v>28840</v>
      </c>
    </row>
    <row r="5866" spans="1:13" x14ac:dyDescent="0.25">
      <c r="A5866" s="417" t="s">
        <v>3385</v>
      </c>
      <c r="B5866" s="417" t="s">
        <v>2437</v>
      </c>
      <c r="C5866" s="417" t="s">
        <v>14192</v>
      </c>
      <c r="D5866" s="417" t="s">
        <v>989</v>
      </c>
      <c r="E5866" s="423">
        <v>1095.0482871272909</v>
      </c>
      <c r="F5866" s="423">
        <v>31.794759913350671</v>
      </c>
      <c r="G5866" s="422">
        <v>2148082.388234321</v>
      </c>
      <c r="H5866" s="417" t="s">
        <v>2616</v>
      </c>
      <c r="I5866" s="417" t="s">
        <v>1392</v>
      </c>
      <c r="J5866" s="417" t="s">
        <v>4167</v>
      </c>
      <c r="K5866" s="417" t="s">
        <v>14193</v>
      </c>
      <c r="L5866" s="417"/>
      <c r="M5866" s="417" t="s">
        <v>28840</v>
      </c>
    </row>
    <row r="5867" spans="1:13" x14ac:dyDescent="0.25">
      <c r="A5867" s="417" t="s">
        <v>3385</v>
      </c>
      <c r="B5867" s="417" t="s">
        <v>2437</v>
      </c>
      <c r="C5867" s="417" t="s">
        <v>14194</v>
      </c>
      <c r="D5867" s="417" t="s">
        <v>989</v>
      </c>
      <c r="E5867" s="423">
        <v>656.173031791722</v>
      </c>
      <c r="F5867" s="423">
        <v>19.145730072793839</v>
      </c>
      <c r="G5867" s="422">
        <v>1287733.5708901579</v>
      </c>
      <c r="H5867" s="417" t="s">
        <v>2616</v>
      </c>
      <c r="I5867" s="417" t="s">
        <v>1392</v>
      </c>
      <c r="J5867" s="417" t="s">
        <v>4167</v>
      </c>
      <c r="K5867" s="417" t="s">
        <v>14195</v>
      </c>
      <c r="L5867" s="417"/>
      <c r="M5867" s="417" t="s">
        <v>28840</v>
      </c>
    </row>
    <row r="5868" spans="1:13" x14ac:dyDescent="0.25">
      <c r="A5868" s="417" t="s">
        <v>3385</v>
      </c>
      <c r="B5868" s="417" t="s">
        <v>2437</v>
      </c>
      <c r="C5868" s="417" t="s">
        <v>14196</v>
      </c>
      <c r="D5868" s="417" t="s">
        <v>989</v>
      </c>
      <c r="E5868" s="423">
        <v>655.24974808817376</v>
      </c>
      <c r="F5868" s="423">
        <v>19.099618813291261</v>
      </c>
      <c r="G5868" s="422">
        <v>1285751.7646812729</v>
      </c>
      <c r="H5868" s="417" t="s">
        <v>2616</v>
      </c>
      <c r="I5868" s="417" t="s">
        <v>1392</v>
      </c>
      <c r="J5868" s="417" t="s">
        <v>4167</v>
      </c>
      <c r="K5868" s="417" t="s">
        <v>14197</v>
      </c>
      <c r="L5868" s="417"/>
      <c r="M5868" s="417" t="s">
        <v>28840</v>
      </c>
    </row>
    <row r="5869" spans="1:13" x14ac:dyDescent="0.25">
      <c r="A5869" s="417" t="s">
        <v>3385</v>
      </c>
      <c r="B5869" s="417" t="s">
        <v>2437</v>
      </c>
      <c r="C5869" s="417" t="s">
        <v>14198</v>
      </c>
      <c r="D5869" s="417" t="s">
        <v>989</v>
      </c>
      <c r="E5869" s="423">
        <v>654.32646439879352</v>
      </c>
      <c r="F5869" s="423">
        <v>19.05350755734349</v>
      </c>
      <c r="G5869" s="422">
        <v>1283769.958295539</v>
      </c>
      <c r="H5869" s="417" t="s">
        <v>2616</v>
      </c>
      <c r="I5869" s="417" t="s">
        <v>1392</v>
      </c>
      <c r="J5869" s="417" t="s">
        <v>4167</v>
      </c>
      <c r="K5869" s="417" t="s">
        <v>14199</v>
      </c>
      <c r="L5869" s="417"/>
      <c r="M5869" s="417" t="s">
        <v>28840</v>
      </c>
    </row>
    <row r="5870" spans="1:13" x14ac:dyDescent="0.25">
      <c r="A5870" s="417" t="s">
        <v>3385</v>
      </c>
      <c r="B5870" s="417" t="s">
        <v>2437</v>
      </c>
      <c r="C5870" s="417" t="s">
        <v>14200</v>
      </c>
      <c r="D5870" s="417" t="s">
        <v>989</v>
      </c>
      <c r="E5870" s="423">
        <v>505.2609145045783</v>
      </c>
      <c r="F5870" s="423">
        <v>14.77010467812419</v>
      </c>
      <c r="G5870" s="422">
        <v>994137.16170556087</v>
      </c>
      <c r="H5870" s="417" t="s">
        <v>2616</v>
      </c>
      <c r="I5870" s="417" t="s">
        <v>1392</v>
      </c>
      <c r="J5870" s="417" t="s">
        <v>4167</v>
      </c>
      <c r="K5870" s="417" t="s">
        <v>14201</v>
      </c>
      <c r="L5870" s="417"/>
      <c r="M5870" s="417" t="s">
        <v>28840</v>
      </c>
    </row>
    <row r="5871" spans="1:13" x14ac:dyDescent="0.25">
      <c r="A5871" s="417" t="s">
        <v>3385</v>
      </c>
      <c r="B5871" s="417" t="s">
        <v>2437</v>
      </c>
      <c r="C5871" s="417" t="s">
        <v>14202</v>
      </c>
      <c r="D5871" s="417" t="s">
        <v>989</v>
      </c>
      <c r="E5871" s="423">
        <v>504.33763080292539</v>
      </c>
      <c r="F5871" s="423">
        <v>14.723993418469149</v>
      </c>
      <c r="G5871" s="422">
        <v>992155.35554375174</v>
      </c>
      <c r="H5871" s="417" t="s">
        <v>2616</v>
      </c>
      <c r="I5871" s="417" t="s">
        <v>1392</v>
      </c>
      <c r="J5871" s="417" t="s">
        <v>4167</v>
      </c>
      <c r="K5871" s="417" t="s">
        <v>14203</v>
      </c>
      <c r="L5871" s="417"/>
      <c r="M5871" s="417" t="s">
        <v>28840</v>
      </c>
    </row>
    <row r="5872" spans="1:13" x14ac:dyDescent="0.25">
      <c r="A5872" s="417" t="s">
        <v>3385</v>
      </c>
      <c r="B5872" s="417" t="s">
        <v>2437</v>
      </c>
      <c r="C5872" s="417" t="s">
        <v>14204</v>
      </c>
      <c r="D5872" s="417" t="s">
        <v>989</v>
      </c>
      <c r="E5872" s="423">
        <v>503.79602512830951</v>
      </c>
      <c r="F5872" s="423">
        <v>14.70032216398136</v>
      </c>
      <c r="G5872" s="422">
        <v>990970.68373868894</v>
      </c>
      <c r="H5872" s="417" t="s">
        <v>2616</v>
      </c>
      <c r="I5872" s="417" t="s">
        <v>1392</v>
      </c>
      <c r="J5872" s="417" t="s">
        <v>4167</v>
      </c>
      <c r="K5872" s="417" t="s">
        <v>14205</v>
      </c>
      <c r="L5872" s="417"/>
      <c r="M5872" s="417" t="s">
        <v>28840</v>
      </c>
    </row>
    <row r="5873" spans="1:13" x14ac:dyDescent="0.25">
      <c r="A5873" s="417" t="s">
        <v>3385</v>
      </c>
      <c r="B5873" s="417" t="s">
        <v>3655</v>
      </c>
      <c r="C5873" s="417" t="s">
        <v>14206</v>
      </c>
      <c r="D5873" s="417" t="s">
        <v>563</v>
      </c>
      <c r="E5873" s="423">
        <v>3.3210656921356718</v>
      </c>
      <c r="F5873" s="423">
        <v>0.51529218825322654</v>
      </c>
      <c r="G5873" s="422">
        <v>10358.76964008614</v>
      </c>
      <c r="H5873" s="417" t="s">
        <v>2616</v>
      </c>
      <c r="I5873" s="417" t="s">
        <v>1392</v>
      </c>
      <c r="J5873" s="417" t="s">
        <v>14207</v>
      </c>
      <c r="K5873" s="417" t="s">
        <v>14208</v>
      </c>
      <c r="L5873" s="417"/>
      <c r="M5873" s="417" t="s">
        <v>28840</v>
      </c>
    </row>
    <row r="5874" spans="1:13" x14ac:dyDescent="0.25">
      <c r="A5874" s="417" t="s">
        <v>3385</v>
      </c>
      <c r="B5874" s="417" t="s">
        <v>2627</v>
      </c>
      <c r="C5874" s="417" t="s">
        <v>14209</v>
      </c>
      <c r="D5874" s="417" t="s">
        <v>563</v>
      </c>
      <c r="E5874" s="423">
        <v>5.1202553564054361</v>
      </c>
      <c r="F5874" s="423">
        <v>0.5021097896698129</v>
      </c>
      <c r="G5874" s="422">
        <v>17769.145724368202</v>
      </c>
      <c r="H5874" s="417" t="s">
        <v>2616</v>
      </c>
      <c r="I5874" s="417" t="s">
        <v>1392</v>
      </c>
      <c r="J5874" s="417" t="s">
        <v>2631</v>
      </c>
      <c r="K5874" s="417" t="s">
        <v>14210</v>
      </c>
      <c r="L5874" s="417"/>
      <c r="M5874" s="417" t="s">
        <v>28840</v>
      </c>
    </row>
    <row r="5875" spans="1:13" x14ac:dyDescent="0.25">
      <c r="A5875" s="417" t="s">
        <v>3385</v>
      </c>
      <c r="B5875" s="417" t="s">
        <v>3655</v>
      </c>
      <c r="C5875" s="417" t="s">
        <v>14211</v>
      </c>
      <c r="D5875" s="417" t="s">
        <v>563</v>
      </c>
      <c r="E5875" s="423">
        <v>43.756176409180021</v>
      </c>
      <c r="F5875" s="423">
        <v>5.3700426843826889</v>
      </c>
      <c r="G5875" s="422">
        <v>107827.9569221276</v>
      </c>
      <c r="H5875" s="417" t="s">
        <v>2616</v>
      </c>
      <c r="I5875" s="417" t="s">
        <v>1392</v>
      </c>
      <c r="J5875" s="417" t="s">
        <v>14207</v>
      </c>
      <c r="K5875" s="417" t="s">
        <v>14212</v>
      </c>
      <c r="L5875" s="417"/>
      <c r="M5875" s="417" t="s">
        <v>28840</v>
      </c>
    </row>
    <row r="5876" spans="1:13" x14ac:dyDescent="0.25">
      <c r="A5876" s="417" t="s">
        <v>3385</v>
      </c>
      <c r="B5876" s="417" t="s">
        <v>2627</v>
      </c>
      <c r="C5876" s="417" t="s">
        <v>14213</v>
      </c>
      <c r="D5876" s="417" t="s">
        <v>563</v>
      </c>
      <c r="E5876" s="423">
        <v>28.659617166321919</v>
      </c>
      <c r="F5876" s="423">
        <v>2.9364536603089721</v>
      </c>
      <c r="G5876" s="422">
        <v>102099.77507210401</v>
      </c>
      <c r="H5876" s="417" t="s">
        <v>2616</v>
      </c>
      <c r="I5876" s="417" t="s">
        <v>1392</v>
      </c>
      <c r="J5876" s="417" t="s">
        <v>2631</v>
      </c>
      <c r="K5876" s="417" t="s">
        <v>14214</v>
      </c>
      <c r="L5876" s="417"/>
      <c r="M5876" s="417" t="s">
        <v>28840</v>
      </c>
    </row>
    <row r="5877" spans="1:13" x14ac:dyDescent="0.25">
      <c r="A5877" s="417" t="s">
        <v>3385</v>
      </c>
      <c r="B5877" s="417" t="s">
        <v>2627</v>
      </c>
      <c r="C5877" s="417" t="s">
        <v>14215</v>
      </c>
      <c r="D5877" s="417" t="s">
        <v>989</v>
      </c>
      <c r="E5877" s="423">
        <v>3.8498923046791309</v>
      </c>
      <c r="F5877" s="423">
        <v>0.16479270729707859</v>
      </c>
      <c r="G5877" s="422">
        <v>15122.160471487779</v>
      </c>
      <c r="H5877" s="417" t="s">
        <v>2616</v>
      </c>
      <c r="I5877" s="417" t="s">
        <v>1392</v>
      </c>
      <c r="J5877" s="417" t="s">
        <v>3699</v>
      </c>
      <c r="K5877" s="417" t="s">
        <v>14216</v>
      </c>
      <c r="L5877" s="417"/>
      <c r="M5877" s="417" t="s">
        <v>28840</v>
      </c>
    </row>
    <row r="5878" spans="1:13" x14ac:dyDescent="0.25">
      <c r="A5878" s="417" t="s">
        <v>3385</v>
      </c>
      <c r="B5878" s="417" t="s">
        <v>2627</v>
      </c>
      <c r="C5878" s="417" t="s">
        <v>14217</v>
      </c>
      <c r="D5878" s="417" t="s">
        <v>989</v>
      </c>
      <c r="E5878" s="423">
        <v>2.6330115666112088</v>
      </c>
      <c r="F5878" s="423">
        <v>0.1289193679547643</v>
      </c>
      <c r="G5878" s="422">
        <v>10608.055632080441</v>
      </c>
      <c r="H5878" s="417" t="s">
        <v>2616</v>
      </c>
      <c r="I5878" s="417" t="s">
        <v>1392</v>
      </c>
      <c r="J5878" s="417" t="s">
        <v>3699</v>
      </c>
      <c r="K5878" s="417" t="s">
        <v>14218</v>
      </c>
      <c r="L5878" s="417"/>
      <c r="M5878" s="417" t="s">
        <v>28840</v>
      </c>
    </row>
    <row r="5879" spans="1:13" x14ac:dyDescent="0.25">
      <c r="A5879" s="417" t="s">
        <v>3385</v>
      </c>
      <c r="B5879" s="417" t="s">
        <v>3655</v>
      </c>
      <c r="C5879" s="417" t="s">
        <v>14219</v>
      </c>
      <c r="D5879" s="417" t="s">
        <v>1052</v>
      </c>
      <c r="E5879" s="423">
        <v>25.44974650809608</v>
      </c>
      <c r="F5879" s="423">
        <v>1.056184883637914</v>
      </c>
      <c r="G5879" s="422">
        <v>47606.44411011316</v>
      </c>
      <c r="H5879" s="417" t="s">
        <v>2616</v>
      </c>
      <c r="I5879" s="417" t="s">
        <v>1392</v>
      </c>
      <c r="J5879" s="417" t="s">
        <v>3918</v>
      </c>
      <c r="K5879" s="417" t="s">
        <v>14220</v>
      </c>
      <c r="L5879" s="417"/>
      <c r="M5879" s="417" t="s">
        <v>28840</v>
      </c>
    </row>
    <row r="5880" spans="1:13" x14ac:dyDescent="0.25">
      <c r="A5880" s="417" t="s">
        <v>3385</v>
      </c>
      <c r="B5880" s="417" t="s">
        <v>2627</v>
      </c>
      <c r="C5880" s="417" t="s">
        <v>14221</v>
      </c>
      <c r="D5880" s="417" t="s">
        <v>88</v>
      </c>
      <c r="E5880" s="423">
        <v>28.621491834261121</v>
      </c>
      <c r="F5880" s="423">
        <v>1.9249326280728449</v>
      </c>
      <c r="G5880" s="422">
        <v>65120.378237005978</v>
      </c>
      <c r="H5880" s="417" t="s">
        <v>2616</v>
      </c>
      <c r="I5880" s="417" t="s">
        <v>1392</v>
      </c>
      <c r="J5880" s="417" t="s">
        <v>11238</v>
      </c>
      <c r="K5880" s="417" t="s">
        <v>14222</v>
      </c>
      <c r="L5880" s="417"/>
      <c r="M5880" s="417" t="s">
        <v>28840</v>
      </c>
    </row>
    <row r="5881" spans="1:13" x14ac:dyDescent="0.25">
      <c r="A5881" s="417" t="s">
        <v>3385</v>
      </c>
      <c r="B5881" s="417" t="s">
        <v>3655</v>
      </c>
      <c r="C5881" s="417" t="s">
        <v>14223</v>
      </c>
      <c r="D5881" s="417" t="s">
        <v>1052</v>
      </c>
      <c r="E5881" s="423">
        <v>23.22974206511957</v>
      </c>
      <c r="F5881" s="423">
        <v>1.1447180583426591</v>
      </c>
      <c r="G5881" s="422">
        <v>44351.501974818668</v>
      </c>
      <c r="H5881" s="417" t="s">
        <v>2616</v>
      </c>
      <c r="I5881" s="417" t="s">
        <v>1392</v>
      </c>
      <c r="J5881" s="417" t="s">
        <v>3918</v>
      </c>
      <c r="K5881" s="417" t="s">
        <v>14224</v>
      </c>
      <c r="L5881" s="417"/>
      <c r="M5881" s="417" t="s">
        <v>28840</v>
      </c>
    </row>
    <row r="5882" spans="1:13" x14ac:dyDescent="0.25">
      <c r="A5882" s="417" t="s">
        <v>3385</v>
      </c>
      <c r="B5882" s="417" t="s">
        <v>2627</v>
      </c>
      <c r="C5882" s="417" t="s">
        <v>14225</v>
      </c>
      <c r="D5882" s="417" t="s">
        <v>563</v>
      </c>
      <c r="E5882" s="423">
        <v>35.171091907223278</v>
      </c>
      <c r="F5882" s="423">
        <v>2.652880717810147</v>
      </c>
      <c r="G5882" s="422">
        <v>85148.81786438913</v>
      </c>
      <c r="H5882" s="417" t="s">
        <v>2616</v>
      </c>
      <c r="I5882" s="417" t="s">
        <v>1392</v>
      </c>
      <c r="J5882" s="417" t="s">
        <v>3433</v>
      </c>
      <c r="K5882" s="417" t="s">
        <v>14226</v>
      </c>
      <c r="L5882" s="417"/>
      <c r="M5882" s="417" t="s">
        <v>28840</v>
      </c>
    </row>
    <row r="5883" spans="1:13" x14ac:dyDescent="0.25">
      <c r="A5883" s="417" t="s">
        <v>3385</v>
      </c>
      <c r="B5883" s="417" t="s">
        <v>2627</v>
      </c>
      <c r="C5883" s="417" t="s">
        <v>14227</v>
      </c>
      <c r="D5883" s="417" t="s">
        <v>563</v>
      </c>
      <c r="E5883" s="423">
        <v>38.590666321199443</v>
      </c>
      <c r="F5883" s="423">
        <v>2.7110872749359172</v>
      </c>
      <c r="G5883" s="422">
        <v>83530.393515895397</v>
      </c>
      <c r="H5883" s="417" t="s">
        <v>2616</v>
      </c>
      <c r="I5883" s="417" t="s">
        <v>1392</v>
      </c>
      <c r="J5883" s="417" t="s">
        <v>3433</v>
      </c>
      <c r="K5883" s="417" t="s">
        <v>14228</v>
      </c>
      <c r="L5883" s="417"/>
      <c r="M5883" s="417" t="s">
        <v>28840</v>
      </c>
    </row>
    <row r="5884" spans="1:13" x14ac:dyDescent="0.25">
      <c r="A5884" s="417" t="s">
        <v>3385</v>
      </c>
      <c r="B5884" s="417" t="s">
        <v>2627</v>
      </c>
      <c r="C5884" s="417" t="s">
        <v>14229</v>
      </c>
      <c r="D5884" s="417" t="s">
        <v>563</v>
      </c>
      <c r="E5884" s="423">
        <v>24.02914443670597</v>
      </c>
      <c r="F5884" s="423">
        <v>3.1589619329016378</v>
      </c>
      <c r="G5884" s="422">
        <v>65495.195526444601</v>
      </c>
      <c r="H5884" s="417" t="s">
        <v>2616</v>
      </c>
      <c r="I5884" s="417" t="s">
        <v>1392</v>
      </c>
      <c r="J5884" s="417" t="s">
        <v>3433</v>
      </c>
      <c r="K5884" s="417" t="s">
        <v>14230</v>
      </c>
      <c r="L5884" s="417"/>
      <c r="M5884" s="417" t="s">
        <v>28840</v>
      </c>
    </row>
    <row r="5885" spans="1:13" x14ac:dyDescent="0.25">
      <c r="A5885" s="417" t="s">
        <v>3385</v>
      </c>
      <c r="B5885" s="417" t="s">
        <v>2627</v>
      </c>
      <c r="C5885" s="417" t="s">
        <v>14231</v>
      </c>
      <c r="D5885" s="417" t="s">
        <v>563</v>
      </c>
      <c r="E5885" s="423">
        <v>24.827144322370518</v>
      </c>
      <c r="F5885" s="423">
        <v>2.3008653302909661</v>
      </c>
      <c r="G5885" s="422">
        <v>67262.303663164261</v>
      </c>
      <c r="H5885" s="417" t="s">
        <v>2616</v>
      </c>
      <c r="I5885" s="417" t="s">
        <v>1392</v>
      </c>
      <c r="J5885" s="417" t="s">
        <v>3433</v>
      </c>
      <c r="K5885" s="417" t="s">
        <v>14232</v>
      </c>
      <c r="L5885" s="417"/>
      <c r="M5885" s="417" t="s">
        <v>28840</v>
      </c>
    </row>
    <row r="5886" spans="1:13" x14ac:dyDescent="0.25">
      <c r="A5886" s="417" t="s">
        <v>3385</v>
      </c>
      <c r="B5886" s="417" t="s">
        <v>2627</v>
      </c>
      <c r="C5886" s="417" t="s">
        <v>14233</v>
      </c>
      <c r="D5886" s="417" t="s">
        <v>563</v>
      </c>
      <c r="E5886" s="423">
        <v>38.15348361373151</v>
      </c>
      <c r="F5886" s="423">
        <v>2.7040400926286718</v>
      </c>
      <c r="G5886" s="422">
        <v>83783.799705423124</v>
      </c>
      <c r="H5886" s="417" t="s">
        <v>2616</v>
      </c>
      <c r="I5886" s="417" t="s">
        <v>1392</v>
      </c>
      <c r="J5886" s="417" t="s">
        <v>3433</v>
      </c>
      <c r="K5886" s="417" t="s">
        <v>14234</v>
      </c>
      <c r="L5886" s="417"/>
      <c r="M5886" s="417" t="s">
        <v>28840</v>
      </c>
    </row>
    <row r="5887" spans="1:13" x14ac:dyDescent="0.25">
      <c r="A5887" s="417" t="s">
        <v>3385</v>
      </c>
      <c r="B5887" s="417" t="s">
        <v>2627</v>
      </c>
      <c r="C5887" s="417" t="s">
        <v>14235</v>
      </c>
      <c r="D5887" s="417" t="s">
        <v>563</v>
      </c>
      <c r="E5887" s="423">
        <v>26.987297139678649</v>
      </c>
      <c r="F5887" s="423">
        <v>3.069183605241582</v>
      </c>
      <c r="G5887" s="422">
        <v>69176.911185358113</v>
      </c>
      <c r="H5887" s="417" t="s">
        <v>2616</v>
      </c>
      <c r="I5887" s="417" t="s">
        <v>1392</v>
      </c>
      <c r="J5887" s="417" t="s">
        <v>3433</v>
      </c>
      <c r="K5887" s="417" t="s">
        <v>14236</v>
      </c>
      <c r="L5887" s="417"/>
      <c r="M5887" s="417" t="s">
        <v>28840</v>
      </c>
    </row>
    <row r="5888" spans="1:13" x14ac:dyDescent="0.25">
      <c r="A5888" s="417" t="s">
        <v>3385</v>
      </c>
      <c r="B5888" s="417" t="s">
        <v>2627</v>
      </c>
      <c r="C5888" s="417" t="s">
        <v>14237</v>
      </c>
      <c r="D5888" s="417" t="s">
        <v>563</v>
      </c>
      <c r="E5888" s="423">
        <v>38.655918753280673</v>
      </c>
      <c r="F5888" s="423">
        <v>2.7124300640691641</v>
      </c>
      <c r="G5888" s="422">
        <v>83685.338099112458</v>
      </c>
      <c r="H5888" s="417" t="s">
        <v>2616</v>
      </c>
      <c r="I5888" s="417" t="s">
        <v>1392</v>
      </c>
      <c r="J5888" s="417" t="s">
        <v>3433</v>
      </c>
      <c r="K5888" s="417" t="s">
        <v>14238</v>
      </c>
      <c r="L5888" s="417"/>
      <c r="M5888" s="417" t="s">
        <v>28840</v>
      </c>
    </row>
    <row r="5889" spans="1:13" x14ac:dyDescent="0.25">
      <c r="A5889" s="417" t="s">
        <v>3385</v>
      </c>
      <c r="B5889" s="417" t="s">
        <v>2627</v>
      </c>
      <c r="C5889" s="417" t="s">
        <v>14239</v>
      </c>
      <c r="D5889" s="417" t="s">
        <v>563</v>
      </c>
      <c r="E5889" s="423">
        <v>35.686858363210291</v>
      </c>
      <c r="F5889" s="423">
        <v>4.8362314032723024</v>
      </c>
      <c r="G5889" s="422">
        <v>62888.715755824167</v>
      </c>
      <c r="H5889" s="417" t="s">
        <v>2616</v>
      </c>
      <c r="I5889" s="417" t="s">
        <v>1392</v>
      </c>
      <c r="J5889" s="417" t="s">
        <v>5692</v>
      </c>
      <c r="K5889" s="417" t="s">
        <v>14240</v>
      </c>
      <c r="L5889" s="417"/>
      <c r="M5889" s="417" t="s">
        <v>28840</v>
      </c>
    </row>
    <row r="5890" spans="1:13" x14ac:dyDescent="0.25">
      <c r="A5890" s="417" t="s">
        <v>3385</v>
      </c>
      <c r="B5890" s="417" t="s">
        <v>2627</v>
      </c>
      <c r="C5890" s="417" t="s">
        <v>14241</v>
      </c>
      <c r="D5890" s="417" t="s">
        <v>88</v>
      </c>
      <c r="E5890" s="423">
        <v>4.1134662024808177</v>
      </c>
      <c r="F5890" s="423">
        <v>0.23181198773887879</v>
      </c>
      <c r="G5890" s="422">
        <v>8020.6805302775674</v>
      </c>
      <c r="H5890" s="417" t="s">
        <v>2616</v>
      </c>
      <c r="I5890" s="417" t="s">
        <v>1392</v>
      </c>
      <c r="J5890" s="417" t="s">
        <v>4347</v>
      </c>
      <c r="K5890" s="417" t="s">
        <v>14242</v>
      </c>
      <c r="L5890" s="417"/>
      <c r="M5890" s="417" t="s">
        <v>28840</v>
      </c>
    </row>
    <row r="5891" spans="1:13" x14ac:dyDescent="0.25">
      <c r="A5891" s="417" t="s">
        <v>3385</v>
      </c>
      <c r="B5891" s="417" t="s">
        <v>2437</v>
      </c>
      <c r="C5891" s="417" t="s">
        <v>14243</v>
      </c>
      <c r="D5891" s="417" t="s">
        <v>88</v>
      </c>
      <c r="E5891" s="423">
        <v>7.4135706127668408</v>
      </c>
      <c r="F5891" s="423">
        <v>0.13950798439375339</v>
      </c>
      <c r="G5891" s="422">
        <v>14266.92745650815</v>
      </c>
      <c r="H5891" s="417" t="s">
        <v>2616</v>
      </c>
      <c r="I5891" s="417" t="s">
        <v>1392</v>
      </c>
      <c r="J5891" s="417" t="s">
        <v>3871</v>
      </c>
      <c r="K5891" s="417" t="s">
        <v>14244</v>
      </c>
      <c r="L5891" s="417"/>
      <c r="M5891" s="417" t="s">
        <v>28840</v>
      </c>
    </row>
    <row r="5892" spans="1:13" x14ac:dyDescent="0.25">
      <c r="A5892" s="417" t="s">
        <v>3385</v>
      </c>
      <c r="B5892" s="417" t="s">
        <v>2627</v>
      </c>
      <c r="C5892" s="417" t="s">
        <v>14245</v>
      </c>
      <c r="D5892" s="417" t="s">
        <v>989</v>
      </c>
      <c r="E5892" s="423">
        <v>73.194357395094343</v>
      </c>
      <c r="F5892" s="423">
        <v>2.6869174849548632</v>
      </c>
      <c r="G5892" s="422">
        <v>333932.05741600337</v>
      </c>
      <c r="H5892" s="417" t="s">
        <v>2616</v>
      </c>
      <c r="I5892" s="417" t="s">
        <v>1392</v>
      </c>
      <c r="J5892" s="417" t="s">
        <v>4294</v>
      </c>
      <c r="K5892" s="417" t="s">
        <v>14246</v>
      </c>
      <c r="L5892" s="417"/>
      <c r="M5892" s="417" t="s">
        <v>28840</v>
      </c>
    </row>
    <row r="5893" spans="1:13" x14ac:dyDescent="0.25">
      <c r="A5893" s="417" t="s">
        <v>3385</v>
      </c>
      <c r="B5893" s="417" t="s">
        <v>3655</v>
      </c>
      <c r="C5893" s="417" t="s">
        <v>14247</v>
      </c>
      <c r="D5893" s="417" t="s">
        <v>989</v>
      </c>
      <c r="E5893" s="423">
        <v>13520243.82946503</v>
      </c>
      <c r="F5893" s="423">
        <v>480921.94252606633</v>
      </c>
      <c r="G5893" s="422">
        <v>24581218988.734261</v>
      </c>
      <c r="H5893" s="417" t="s">
        <v>2616</v>
      </c>
      <c r="I5893" s="417" t="s">
        <v>1392</v>
      </c>
      <c r="J5893" s="417" t="s">
        <v>11811</v>
      </c>
      <c r="K5893" s="417" t="s">
        <v>14248</v>
      </c>
      <c r="L5893" s="417"/>
      <c r="M5893" s="417" t="s">
        <v>28840</v>
      </c>
    </row>
    <row r="5894" spans="1:13" x14ac:dyDescent="0.25">
      <c r="A5894" s="417" t="s">
        <v>3385</v>
      </c>
      <c r="B5894" s="417" t="s">
        <v>2627</v>
      </c>
      <c r="C5894" s="417" t="s">
        <v>14249</v>
      </c>
      <c r="D5894" s="417" t="s">
        <v>88</v>
      </c>
      <c r="E5894" s="423">
        <v>3.8082951781028571</v>
      </c>
      <c r="F5894" s="423">
        <v>0.1018326854715052</v>
      </c>
      <c r="G5894" s="422">
        <v>9637.9766420965771</v>
      </c>
      <c r="H5894" s="417" t="s">
        <v>2616</v>
      </c>
      <c r="I5894" s="417" t="s">
        <v>1392</v>
      </c>
      <c r="J5894" s="417" t="s">
        <v>3396</v>
      </c>
      <c r="K5894" s="417" t="s">
        <v>14250</v>
      </c>
      <c r="L5894" s="417"/>
      <c r="M5894" s="417" t="s">
        <v>28840</v>
      </c>
    </row>
    <row r="5895" spans="1:13" x14ac:dyDescent="0.25">
      <c r="A5895" s="417" t="s">
        <v>3385</v>
      </c>
      <c r="B5895" s="417" t="s">
        <v>2627</v>
      </c>
      <c r="C5895" s="417" t="s">
        <v>14251</v>
      </c>
      <c r="D5895" s="417" t="s">
        <v>88</v>
      </c>
      <c r="E5895" s="423">
        <v>2.4724285421563712</v>
      </c>
      <c r="F5895" s="423">
        <v>4.6383957990348293E-2</v>
      </c>
      <c r="G5895" s="422">
        <v>4218.8008573736306</v>
      </c>
      <c r="H5895" s="417" t="s">
        <v>2616</v>
      </c>
      <c r="I5895" s="417" t="s">
        <v>1392</v>
      </c>
      <c r="J5895" s="417" t="s">
        <v>3396</v>
      </c>
      <c r="K5895" s="417" t="s">
        <v>14252</v>
      </c>
      <c r="L5895" s="417"/>
      <c r="M5895" s="417" t="s">
        <v>28840</v>
      </c>
    </row>
    <row r="5896" spans="1:13" x14ac:dyDescent="0.25">
      <c r="A5896" s="417" t="s">
        <v>3385</v>
      </c>
      <c r="B5896" s="417" t="s">
        <v>2627</v>
      </c>
      <c r="C5896" s="417" t="s">
        <v>14253</v>
      </c>
      <c r="D5896" s="417" t="s">
        <v>88</v>
      </c>
      <c r="E5896" s="423">
        <v>0.35571969032247969</v>
      </c>
      <c r="F5896" s="423">
        <v>1.4672845304221061E-3</v>
      </c>
      <c r="G5896" s="422">
        <v>891.14115755737862</v>
      </c>
      <c r="H5896" s="417" t="s">
        <v>2616</v>
      </c>
      <c r="I5896" s="417" t="s">
        <v>1392</v>
      </c>
      <c r="J5896" s="417" t="s">
        <v>14254</v>
      </c>
      <c r="K5896" s="417" t="s">
        <v>14255</v>
      </c>
      <c r="L5896" s="417"/>
      <c r="M5896" s="417" t="s">
        <v>28840</v>
      </c>
    </row>
    <row r="5897" spans="1:13" x14ac:dyDescent="0.25">
      <c r="A5897" s="417" t="s">
        <v>3385</v>
      </c>
      <c r="B5897" s="417" t="s">
        <v>2627</v>
      </c>
      <c r="C5897" s="417" t="s">
        <v>14256</v>
      </c>
      <c r="D5897" s="417" t="s">
        <v>88</v>
      </c>
      <c r="E5897" s="423">
        <v>0.88463018222402889</v>
      </c>
      <c r="F5897" s="423">
        <v>7.1593290948963016E-3</v>
      </c>
      <c r="G5897" s="422">
        <v>1772.4735319941899</v>
      </c>
      <c r="H5897" s="417" t="s">
        <v>2616</v>
      </c>
      <c r="I5897" s="417" t="s">
        <v>1392</v>
      </c>
      <c r="J5897" s="417" t="s">
        <v>4123</v>
      </c>
      <c r="K5897" s="417" t="s">
        <v>14257</v>
      </c>
      <c r="L5897" s="417"/>
      <c r="M5897" s="417" t="s">
        <v>28840</v>
      </c>
    </row>
    <row r="5898" spans="1:13" x14ac:dyDescent="0.25">
      <c r="A5898" s="417" t="s">
        <v>3385</v>
      </c>
      <c r="B5898" s="417" t="s">
        <v>2627</v>
      </c>
      <c r="C5898" s="417" t="s">
        <v>14258</v>
      </c>
      <c r="D5898" s="417" t="s">
        <v>88</v>
      </c>
      <c r="E5898" s="423">
        <v>0.8064976828649526</v>
      </c>
      <c r="F5898" s="423">
        <v>9.5709907270872495E-3</v>
      </c>
      <c r="G5898" s="422">
        <v>1640.9831988626211</v>
      </c>
      <c r="H5898" s="417" t="s">
        <v>2616</v>
      </c>
      <c r="I5898" s="417" t="s">
        <v>1392</v>
      </c>
      <c r="J5898" s="417" t="s">
        <v>4123</v>
      </c>
      <c r="K5898" s="417" t="s">
        <v>14259</v>
      </c>
      <c r="L5898" s="417"/>
      <c r="M5898" s="417" t="s">
        <v>28840</v>
      </c>
    </row>
    <row r="5899" spans="1:13" x14ac:dyDescent="0.25">
      <c r="A5899" s="417" t="s">
        <v>3385</v>
      </c>
      <c r="B5899" s="417" t="s">
        <v>2627</v>
      </c>
      <c r="C5899" s="417" t="s">
        <v>14260</v>
      </c>
      <c r="D5899" s="417" t="s">
        <v>88</v>
      </c>
      <c r="E5899" s="423">
        <v>0.86146912333787473</v>
      </c>
      <c r="F5899" s="423">
        <v>1.251538257504212E-2</v>
      </c>
      <c r="G5899" s="422">
        <v>1757.533758352572</v>
      </c>
      <c r="H5899" s="417" t="s">
        <v>2616</v>
      </c>
      <c r="I5899" s="417" t="s">
        <v>1392</v>
      </c>
      <c r="J5899" s="417" t="s">
        <v>5765</v>
      </c>
      <c r="K5899" s="417" t="s">
        <v>14261</v>
      </c>
      <c r="L5899" s="417"/>
      <c r="M5899" s="417" t="s">
        <v>28840</v>
      </c>
    </row>
    <row r="5900" spans="1:13" x14ac:dyDescent="0.25">
      <c r="A5900" s="417" t="s">
        <v>3385</v>
      </c>
      <c r="B5900" s="417" t="s">
        <v>2627</v>
      </c>
      <c r="C5900" s="417" t="s">
        <v>14262</v>
      </c>
      <c r="D5900" s="417" t="s">
        <v>88</v>
      </c>
      <c r="E5900" s="423">
        <v>0.85915826822001251</v>
      </c>
      <c r="F5900" s="423">
        <v>1.5075806009456129E-2</v>
      </c>
      <c r="G5900" s="422">
        <v>1745.173243893569</v>
      </c>
      <c r="H5900" s="417" t="s">
        <v>2616</v>
      </c>
      <c r="I5900" s="417" t="s">
        <v>1392</v>
      </c>
      <c r="J5900" s="417" t="s">
        <v>5765</v>
      </c>
      <c r="K5900" s="417" t="s">
        <v>14263</v>
      </c>
      <c r="L5900" s="417"/>
      <c r="M5900" s="417" t="s">
        <v>28840</v>
      </c>
    </row>
    <row r="5901" spans="1:13" x14ac:dyDescent="0.25">
      <c r="A5901" s="417" t="s">
        <v>3385</v>
      </c>
      <c r="B5901" s="417" t="s">
        <v>2627</v>
      </c>
      <c r="C5901" s="417" t="s">
        <v>14264</v>
      </c>
      <c r="D5901" s="417" t="s">
        <v>989</v>
      </c>
      <c r="E5901" s="423">
        <v>20234.038632675431</v>
      </c>
      <c r="F5901" s="423">
        <v>3541.152251773261</v>
      </c>
      <c r="G5901" s="422">
        <v>46379273.307055868</v>
      </c>
      <c r="H5901" s="417" t="s">
        <v>2616</v>
      </c>
      <c r="I5901" s="417" t="s">
        <v>1392</v>
      </c>
      <c r="J5901" s="417" t="s">
        <v>14265</v>
      </c>
      <c r="K5901" s="417" t="s">
        <v>14266</v>
      </c>
      <c r="L5901" s="417"/>
      <c r="M5901" s="417" t="s">
        <v>28840</v>
      </c>
    </row>
    <row r="5902" spans="1:13" x14ac:dyDescent="0.25">
      <c r="A5902" s="417" t="s">
        <v>3385</v>
      </c>
      <c r="B5902" s="417" t="s">
        <v>2627</v>
      </c>
      <c r="C5902" s="417" t="s">
        <v>14267</v>
      </c>
      <c r="D5902" s="417" t="s">
        <v>73</v>
      </c>
      <c r="E5902" s="423">
        <v>1.431496349526285E-2</v>
      </c>
      <c r="F5902" s="423">
        <v>1.3463720390885481E-4</v>
      </c>
      <c r="G5902" s="422">
        <v>30.618858119714989</v>
      </c>
      <c r="H5902" s="417" t="s">
        <v>2616</v>
      </c>
      <c r="I5902" s="417" t="s">
        <v>1392</v>
      </c>
      <c r="J5902" s="417" t="s">
        <v>14268</v>
      </c>
      <c r="K5902" s="417" t="s">
        <v>14269</v>
      </c>
      <c r="L5902" s="417"/>
      <c r="M5902" s="417" t="s">
        <v>28840</v>
      </c>
    </row>
    <row r="5903" spans="1:13" x14ac:dyDescent="0.25">
      <c r="A5903" s="417" t="s">
        <v>3385</v>
      </c>
      <c r="B5903" s="417" t="s">
        <v>2627</v>
      </c>
      <c r="C5903" s="417" t="s">
        <v>14270</v>
      </c>
      <c r="D5903" s="417" t="s">
        <v>83</v>
      </c>
      <c r="E5903" s="423">
        <v>0.98391105202466678</v>
      </c>
      <c r="F5903" s="423">
        <v>1.3881328023899841E-2</v>
      </c>
      <c r="G5903" s="422">
        <v>1713.807777257088</v>
      </c>
      <c r="H5903" s="417" t="s">
        <v>2616</v>
      </c>
      <c r="I5903" s="417" t="s">
        <v>1392</v>
      </c>
      <c r="J5903" s="417" t="s">
        <v>14271</v>
      </c>
      <c r="K5903" s="417" t="s">
        <v>14272</v>
      </c>
      <c r="L5903" s="417"/>
      <c r="M5903" s="417" t="s">
        <v>28840</v>
      </c>
    </row>
    <row r="5904" spans="1:13" x14ac:dyDescent="0.25">
      <c r="A5904" s="417" t="s">
        <v>3385</v>
      </c>
      <c r="B5904" s="417" t="s">
        <v>2627</v>
      </c>
      <c r="C5904" s="417" t="s">
        <v>14273</v>
      </c>
      <c r="D5904" s="417" t="s">
        <v>83</v>
      </c>
      <c r="E5904" s="423">
        <v>0.78423631654462644</v>
      </c>
      <c r="F5904" s="423">
        <v>4.3859568485361874E-3</v>
      </c>
      <c r="G5904" s="422">
        <v>1382.886698222919</v>
      </c>
      <c r="H5904" s="417" t="s">
        <v>2616</v>
      </c>
      <c r="I5904" s="417" t="s">
        <v>1392</v>
      </c>
      <c r="J5904" s="417" t="s">
        <v>14274</v>
      </c>
      <c r="K5904" s="417" t="s">
        <v>14275</v>
      </c>
      <c r="L5904" s="417"/>
      <c r="M5904" s="417" t="s">
        <v>28840</v>
      </c>
    </row>
    <row r="5905" spans="1:13" x14ac:dyDescent="0.25">
      <c r="A5905" s="417" t="s">
        <v>3385</v>
      </c>
      <c r="B5905" s="417" t="s">
        <v>2627</v>
      </c>
      <c r="C5905" s="417" t="s">
        <v>14276</v>
      </c>
      <c r="D5905" s="417" t="s">
        <v>83</v>
      </c>
      <c r="E5905" s="423">
        <v>0.79423534883078917</v>
      </c>
      <c r="F5905" s="423">
        <v>6.7599018061085727E-3</v>
      </c>
      <c r="G5905" s="422">
        <v>1418.3812473342259</v>
      </c>
      <c r="H5905" s="417" t="s">
        <v>2616</v>
      </c>
      <c r="I5905" s="417" t="s">
        <v>1392</v>
      </c>
      <c r="J5905" s="417" t="s">
        <v>14274</v>
      </c>
      <c r="K5905" s="417" t="s">
        <v>14277</v>
      </c>
      <c r="L5905" s="417"/>
      <c r="M5905" s="417" t="s">
        <v>28840</v>
      </c>
    </row>
    <row r="5906" spans="1:13" x14ac:dyDescent="0.25">
      <c r="A5906" s="417" t="s">
        <v>3385</v>
      </c>
      <c r="B5906" s="417" t="s">
        <v>2627</v>
      </c>
      <c r="C5906" s="417" t="s">
        <v>14278</v>
      </c>
      <c r="D5906" s="417" t="s">
        <v>83</v>
      </c>
      <c r="E5906" s="423">
        <v>0.78423631654462644</v>
      </c>
      <c r="F5906" s="423">
        <v>4.3859568485361874E-3</v>
      </c>
      <c r="G5906" s="422">
        <v>1382.886698222919</v>
      </c>
      <c r="H5906" s="417" t="s">
        <v>2616</v>
      </c>
      <c r="I5906" s="417" t="s">
        <v>1392</v>
      </c>
      <c r="J5906" s="417" t="s">
        <v>14274</v>
      </c>
      <c r="K5906" s="417" t="s">
        <v>14279</v>
      </c>
      <c r="L5906" s="417"/>
      <c r="M5906" s="417" t="s">
        <v>28840</v>
      </c>
    </row>
    <row r="5907" spans="1:13" x14ac:dyDescent="0.25">
      <c r="A5907" s="417" t="s">
        <v>3385</v>
      </c>
      <c r="B5907" s="417" t="s">
        <v>2627</v>
      </c>
      <c r="C5907" s="417" t="s">
        <v>14280</v>
      </c>
      <c r="D5907" s="417" t="s">
        <v>83</v>
      </c>
      <c r="E5907" s="423">
        <v>0.19447617478854851</v>
      </c>
      <c r="F5907" s="423">
        <v>1.7044038971755621E-3</v>
      </c>
      <c r="G5907" s="422">
        <v>652.2520491547449</v>
      </c>
      <c r="H5907" s="417" t="s">
        <v>2616</v>
      </c>
      <c r="I5907" s="417" t="s">
        <v>1392</v>
      </c>
      <c r="J5907" s="417" t="s">
        <v>14281</v>
      </c>
      <c r="K5907" s="417" t="s">
        <v>14282</v>
      </c>
      <c r="L5907" s="417"/>
      <c r="M5907" s="417" t="s">
        <v>28840</v>
      </c>
    </row>
    <row r="5908" spans="1:13" x14ac:dyDescent="0.25">
      <c r="A5908" s="417" t="s">
        <v>3385</v>
      </c>
      <c r="B5908" s="417" t="s">
        <v>2627</v>
      </c>
      <c r="C5908" s="417" t="s">
        <v>14283</v>
      </c>
      <c r="D5908" s="417" t="s">
        <v>83</v>
      </c>
      <c r="E5908" s="423">
        <v>0.28368647224991278</v>
      </c>
      <c r="F5908" s="423">
        <v>1.335603756597716E-3</v>
      </c>
      <c r="G5908" s="422">
        <v>740.85519740504617</v>
      </c>
      <c r="H5908" s="417" t="s">
        <v>2616</v>
      </c>
      <c r="I5908" s="417" t="s">
        <v>1392</v>
      </c>
      <c r="J5908" s="417" t="s">
        <v>14281</v>
      </c>
      <c r="K5908" s="417" t="s">
        <v>14284</v>
      </c>
      <c r="L5908" s="417"/>
      <c r="M5908" s="417" t="s">
        <v>28840</v>
      </c>
    </row>
    <row r="5909" spans="1:13" x14ac:dyDescent="0.25">
      <c r="A5909" s="417" t="s">
        <v>3385</v>
      </c>
      <c r="B5909" s="417" t="s">
        <v>2627</v>
      </c>
      <c r="C5909" s="417" t="s">
        <v>14285</v>
      </c>
      <c r="D5909" s="417" t="s">
        <v>83</v>
      </c>
      <c r="E5909" s="423">
        <v>0.37670804547059672</v>
      </c>
      <c r="F5909" s="423">
        <v>1.6812736521696491E-3</v>
      </c>
      <c r="G5909" s="422">
        <v>838.23408991923748</v>
      </c>
      <c r="H5909" s="417" t="s">
        <v>2616</v>
      </c>
      <c r="I5909" s="417" t="s">
        <v>1392</v>
      </c>
      <c r="J5909" s="417" t="s">
        <v>14281</v>
      </c>
      <c r="K5909" s="417" t="s">
        <v>14286</v>
      </c>
      <c r="L5909" s="417"/>
      <c r="M5909" s="417" t="s">
        <v>28840</v>
      </c>
    </row>
    <row r="5910" spans="1:13" x14ac:dyDescent="0.25">
      <c r="A5910" s="417" t="s">
        <v>3385</v>
      </c>
      <c r="B5910" s="417" t="s">
        <v>2627</v>
      </c>
      <c r="C5910" s="417" t="s">
        <v>14287</v>
      </c>
      <c r="D5910" s="417" t="s">
        <v>83</v>
      </c>
      <c r="E5910" s="423">
        <v>0.21573682366909111</v>
      </c>
      <c r="F5910" s="423">
        <v>2.030799762832952E-3</v>
      </c>
      <c r="G5910" s="422">
        <v>802.7832803243075</v>
      </c>
      <c r="H5910" s="417" t="s">
        <v>2616</v>
      </c>
      <c r="I5910" s="417" t="s">
        <v>1392</v>
      </c>
      <c r="J5910" s="417" t="s">
        <v>14281</v>
      </c>
      <c r="K5910" s="417" t="s">
        <v>14288</v>
      </c>
      <c r="L5910" s="417"/>
      <c r="M5910" s="417" t="s">
        <v>28840</v>
      </c>
    </row>
    <row r="5911" spans="1:13" x14ac:dyDescent="0.25">
      <c r="A5911" s="417" t="s">
        <v>3385</v>
      </c>
      <c r="B5911" s="417" t="s">
        <v>2627</v>
      </c>
      <c r="C5911" s="417" t="s">
        <v>14289</v>
      </c>
      <c r="D5911" s="417" t="s">
        <v>83</v>
      </c>
      <c r="E5911" s="423">
        <v>0.2080360239825767</v>
      </c>
      <c r="F5911" s="423">
        <v>1.80069152222118E-3</v>
      </c>
      <c r="G5911" s="422">
        <v>643.834379357898</v>
      </c>
      <c r="H5911" s="417" t="s">
        <v>2616</v>
      </c>
      <c r="I5911" s="417" t="s">
        <v>1392</v>
      </c>
      <c r="J5911" s="417" t="s">
        <v>14281</v>
      </c>
      <c r="K5911" s="417" t="s">
        <v>14290</v>
      </c>
      <c r="L5911" s="417"/>
      <c r="M5911" s="417" t="s">
        <v>28840</v>
      </c>
    </row>
    <row r="5912" spans="1:13" x14ac:dyDescent="0.25">
      <c r="A5912" s="417" t="s">
        <v>3385</v>
      </c>
      <c r="B5912" s="417" t="s">
        <v>2627</v>
      </c>
      <c r="C5912" s="417" t="s">
        <v>14291</v>
      </c>
      <c r="D5912" s="417" t="s">
        <v>83</v>
      </c>
      <c r="E5912" s="423">
        <v>0.24278641226507769</v>
      </c>
      <c r="F5912" s="423">
        <v>2.13320805658203E-3</v>
      </c>
      <c r="G5912" s="422">
        <v>704.52177038247203</v>
      </c>
      <c r="H5912" s="417" t="s">
        <v>2616</v>
      </c>
      <c r="I5912" s="417" t="s">
        <v>1392</v>
      </c>
      <c r="J5912" s="417" t="s">
        <v>14281</v>
      </c>
      <c r="K5912" s="417" t="s">
        <v>14292</v>
      </c>
      <c r="L5912" s="417"/>
      <c r="M5912" s="417" t="s">
        <v>28840</v>
      </c>
    </row>
    <row r="5913" spans="1:13" x14ac:dyDescent="0.25">
      <c r="A5913" s="417" t="s">
        <v>3385</v>
      </c>
      <c r="B5913" s="417" t="s">
        <v>2627</v>
      </c>
      <c r="C5913" s="417" t="s">
        <v>14293</v>
      </c>
      <c r="D5913" s="417" t="s">
        <v>83</v>
      </c>
      <c r="E5913" s="423">
        <v>0.30296891389326103</v>
      </c>
      <c r="F5913" s="423">
        <v>1.8247676899845881E-3</v>
      </c>
      <c r="G5913" s="422">
        <v>748.2301864459215</v>
      </c>
      <c r="H5913" s="417" t="s">
        <v>2616</v>
      </c>
      <c r="I5913" s="417" t="s">
        <v>1392</v>
      </c>
      <c r="J5913" s="417" t="s">
        <v>14281</v>
      </c>
      <c r="K5913" s="417" t="s">
        <v>14294</v>
      </c>
      <c r="L5913" s="417"/>
      <c r="M5913" s="417" t="s">
        <v>28840</v>
      </c>
    </row>
    <row r="5914" spans="1:13" x14ac:dyDescent="0.25">
      <c r="A5914" s="417" t="s">
        <v>3385</v>
      </c>
      <c r="B5914" s="417" t="s">
        <v>2627</v>
      </c>
      <c r="C5914" s="417" t="s">
        <v>14295</v>
      </c>
      <c r="D5914" s="417" t="s">
        <v>83</v>
      </c>
      <c r="E5914" s="423">
        <v>0.26030357336367599</v>
      </c>
      <c r="F5914" s="423">
        <v>1.539388264451278E-3</v>
      </c>
      <c r="G5914" s="422">
        <v>697.60464350967459</v>
      </c>
      <c r="H5914" s="417" t="s">
        <v>2616</v>
      </c>
      <c r="I5914" s="417" t="s">
        <v>1392</v>
      </c>
      <c r="J5914" s="417" t="s">
        <v>14281</v>
      </c>
      <c r="K5914" s="417" t="s">
        <v>14296</v>
      </c>
      <c r="L5914" s="417"/>
      <c r="M5914" s="417" t="s">
        <v>28840</v>
      </c>
    </row>
    <row r="5915" spans="1:13" x14ac:dyDescent="0.25">
      <c r="A5915" s="417" t="s">
        <v>3385</v>
      </c>
      <c r="B5915" s="417" t="s">
        <v>2627</v>
      </c>
      <c r="C5915" s="417" t="s">
        <v>14297</v>
      </c>
      <c r="D5915" s="417" t="s">
        <v>83</v>
      </c>
      <c r="E5915" s="423">
        <v>0.28098502088208621</v>
      </c>
      <c r="F5915" s="423">
        <v>3.3474171275158101E-3</v>
      </c>
      <c r="G5915" s="422">
        <v>771.54741781127473</v>
      </c>
      <c r="H5915" s="417" t="s">
        <v>2616</v>
      </c>
      <c r="I5915" s="417" t="s">
        <v>1392</v>
      </c>
      <c r="J5915" s="417" t="s">
        <v>14281</v>
      </c>
      <c r="K5915" s="417" t="s">
        <v>14298</v>
      </c>
      <c r="L5915" s="417"/>
      <c r="M5915" s="417" t="s">
        <v>28840</v>
      </c>
    </row>
    <row r="5916" spans="1:13" x14ac:dyDescent="0.25">
      <c r="A5916" s="417" t="s">
        <v>3385</v>
      </c>
      <c r="B5916" s="417" t="s">
        <v>2627</v>
      </c>
      <c r="C5916" s="417" t="s">
        <v>14299</v>
      </c>
      <c r="D5916" s="417" t="s">
        <v>83</v>
      </c>
      <c r="E5916" s="423">
        <v>0.29395499421397969</v>
      </c>
      <c r="F5916" s="423">
        <v>3.6372069902944329E-3</v>
      </c>
      <c r="G5916" s="422">
        <v>1260.8437178864519</v>
      </c>
      <c r="H5916" s="417" t="s">
        <v>2616</v>
      </c>
      <c r="I5916" s="417" t="s">
        <v>1392</v>
      </c>
      <c r="J5916" s="417" t="s">
        <v>14281</v>
      </c>
      <c r="K5916" s="417" t="s">
        <v>14300</v>
      </c>
      <c r="L5916" s="417"/>
      <c r="M5916" s="417" t="s">
        <v>28840</v>
      </c>
    </row>
    <row r="5917" spans="1:13" x14ac:dyDescent="0.25">
      <c r="A5917" s="417" t="s">
        <v>3385</v>
      </c>
      <c r="B5917" s="417" t="s">
        <v>2627</v>
      </c>
      <c r="C5917" s="417" t="s">
        <v>14301</v>
      </c>
      <c r="D5917" s="417" t="s">
        <v>83</v>
      </c>
      <c r="E5917" s="423">
        <v>0.22025865177244719</v>
      </c>
      <c r="F5917" s="423">
        <v>1.764978507431469E-3</v>
      </c>
      <c r="G5917" s="422">
        <v>648.21175420014458</v>
      </c>
      <c r="H5917" s="417" t="s">
        <v>2616</v>
      </c>
      <c r="I5917" s="417" t="s">
        <v>1392</v>
      </c>
      <c r="J5917" s="417" t="s">
        <v>14281</v>
      </c>
      <c r="K5917" s="417" t="s">
        <v>14302</v>
      </c>
      <c r="L5917" s="417"/>
      <c r="M5917" s="417" t="s">
        <v>28840</v>
      </c>
    </row>
    <row r="5918" spans="1:13" x14ac:dyDescent="0.25">
      <c r="A5918" s="417" t="s">
        <v>3385</v>
      </c>
      <c r="B5918" s="417" t="s">
        <v>2627</v>
      </c>
      <c r="C5918" s="417" t="s">
        <v>14303</v>
      </c>
      <c r="D5918" s="417" t="s">
        <v>83</v>
      </c>
      <c r="E5918" s="423">
        <v>0.1952152373400885</v>
      </c>
      <c r="F5918" s="423">
        <v>2.7674744824881699E-3</v>
      </c>
      <c r="G5918" s="422">
        <v>636.71435318968713</v>
      </c>
      <c r="H5918" s="417" t="s">
        <v>2616</v>
      </c>
      <c r="I5918" s="417" t="s">
        <v>1392</v>
      </c>
      <c r="J5918" s="417" t="s">
        <v>14281</v>
      </c>
      <c r="K5918" s="417" t="s">
        <v>14304</v>
      </c>
      <c r="L5918" s="417"/>
      <c r="M5918" s="417" t="s">
        <v>28840</v>
      </c>
    </row>
    <row r="5919" spans="1:13" x14ac:dyDescent="0.25">
      <c r="A5919" s="417" t="s">
        <v>3385</v>
      </c>
      <c r="B5919" s="417" t="s">
        <v>2627</v>
      </c>
      <c r="C5919" s="417" t="s">
        <v>14305</v>
      </c>
      <c r="D5919" s="417" t="s">
        <v>83</v>
      </c>
      <c r="E5919" s="423">
        <v>0.43679165805913422</v>
      </c>
      <c r="F5919" s="423">
        <v>1.8140139436811371E-3</v>
      </c>
      <c r="G5919" s="422">
        <v>937.55633201883916</v>
      </c>
      <c r="H5919" s="417" t="s">
        <v>2616</v>
      </c>
      <c r="I5919" s="417" t="s">
        <v>1392</v>
      </c>
      <c r="J5919" s="417" t="s">
        <v>14281</v>
      </c>
      <c r="K5919" s="417" t="s">
        <v>14306</v>
      </c>
      <c r="L5919" s="417"/>
      <c r="M5919" s="417" t="s">
        <v>28840</v>
      </c>
    </row>
    <row r="5920" spans="1:13" x14ac:dyDescent="0.25">
      <c r="A5920" s="417" t="s">
        <v>3385</v>
      </c>
      <c r="B5920" s="417" t="s">
        <v>2627</v>
      </c>
      <c r="C5920" s="417" t="s">
        <v>14307</v>
      </c>
      <c r="D5920" s="417" t="s">
        <v>83</v>
      </c>
      <c r="E5920" s="423">
        <v>0.32278221312593569</v>
      </c>
      <c r="F5920" s="423">
        <v>1.4899482687984709E-3</v>
      </c>
      <c r="G5920" s="422">
        <v>774.66214378892778</v>
      </c>
      <c r="H5920" s="417" t="s">
        <v>2616</v>
      </c>
      <c r="I5920" s="417" t="s">
        <v>1392</v>
      </c>
      <c r="J5920" s="417" t="s">
        <v>14281</v>
      </c>
      <c r="K5920" s="417" t="s">
        <v>14308</v>
      </c>
      <c r="L5920" s="417"/>
      <c r="M5920" s="417" t="s">
        <v>28840</v>
      </c>
    </row>
    <row r="5921" spans="1:13" x14ac:dyDescent="0.25">
      <c r="A5921" s="417" t="s">
        <v>3385</v>
      </c>
      <c r="B5921" s="417" t="s">
        <v>2627</v>
      </c>
      <c r="C5921" s="417" t="s">
        <v>14309</v>
      </c>
      <c r="D5921" s="417" t="s">
        <v>83</v>
      </c>
      <c r="E5921" s="423">
        <v>0.29815904965308332</v>
      </c>
      <c r="F5921" s="423">
        <v>1.767756881584872E-3</v>
      </c>
      <c r="G5921" s="422">
        <v>767.19324106164925</v>
      </c>
      <c r="H5921" s="417" t="s">
        <v>2616</v>
      </c>
      <c r="I5921" s="417" t="s">
        <v>1392</v>
      </c>
      <c r="J5921" s="417" t="s">
        <v>14281</v>
      </c>
      <c r="K5921" s="417" t="s">
        <v>14310</v>
      </c>
      <c r="L5921" s="417"/>
      <c r="M5921" s="417" t="s">
        <v>28840</v>
      </c>
    </row>
    <row r="5922" spans="1:13" x14ac:dyDescent="0.25">
      <c r="A5922" s="417" t="s">
        <v>3385</v>
      </c>
      <c r="B5922" s="417" t="s">
        <v>2627</v>
      </c>
      <c r="C5922" s="417" t="s">
        <v>14311</v>
      </c>
      <c r="D5922" s="417" t="s">
        <v>83</v>
      </c>
      <c r="E5922" s="423">
        <v>0.23731285791418519</v>
      </c>
      <c r="F5922" s="423">
        <v>1.7387747076092171E-3</v>
      </c>
      <c r="G5922" s="422">
        <v>696.84535246866119</v>
      </c>
      <c r="H5922" s="417" t="s">
        <v>2616</v>
      </c>
      <c r="I5922" s="417" t="s">
        <v>1392</v>
      </c>
      <c r="J5922" s="417" t="s">
        <v>14281</v>
      </c>
      <c r="K5922" s="417" t="s">
        <v>14312</v>
      </c>
      <c r="L5922" s="417"/>
      <c r="M5922" s="417" t="s">
        <v>28840</v>
      </c>
    </row>
    <row r="5923" spans="1:13" x14ac:dyDescent="0.25">
      <c r="A5923" s="417" t="s">
        <v>3385</v>
      </c>
      <c r="B5923" s="417" t="s">
        <v>2627</v>
      </c>
      <c r="C5923" s="417" t="s">
        <v>14313</v>
      </c>
      <c r="D5923" s="417" t="s">
        <v>83</v>
      </c>
      <c r="E5923" s="423">
        <v>0.254684459628023</v>
      </c>
      <c r="F5923" s="423">
        <v>1.702327374813887E-3</v>
      </c>
      <c r="G5923" s="422">
        <v>726.47154285564807</v>
      </c>
      <c r="H5923" s="417" t="s">
        <v>2616</v>
      </c>
      <c r="I5923" s="417" t="s">
        <v>1392</v>
      </c>
      <c r="J5923" s="417" t="s">
        <v>14281</v>
      </c>
      <c r="K5923" s="417" t="s">
        <v>14314</v>
      </c>
      <c r="L5923" s="417"/>
      <c r="M5923" s="417" t="s">
        <v>28840</v>
      </c>
    </row>
    <row r="5924" spans="1:13" x14ac:dyDescent="0.25">
      <c r="A5924" s="417" t="s">
        <v>3385</v>
      </c>
      <c r="B5924" s="417" t="s">
        <v>2627</v>
      </c>
      <c r="C5924" s="417" t="s">
        <v>14315</v>
      </c>
      <c r="D5924" s="417" t="s">
        <v>83</v>
      </c>
      <c r="E5924" s="423">
        <v>0.13359054508216209</v>
      </c>
      <c r="F5924" s="423">
        <v>3.0652633449750901E-3</v>
      </c>
      <c r="G5924" s="422">
        <v>554.05638481053268</v>
      </c>
      <c r="H5924" s="417" t="s">
        <v>2616</v>
      </c>
      <c r="I5924" s="417" t="s">
        <v>1392</v>
      </c>
      <c r="J5924" s="417" t="s">
        <v>14281</v>
      </c>
      <c r="K5924" s="417" t="s">
        <v>14316</v>
      </c>
      <c r="L5924" s="417"/>
      <c r="M5924" s="417" t="s">
        <v>28840</v>
      </c>
    </row>
    <row r="5925" spans="1:13" x14ac:dyDescent="0.25">
      <c r="A5925" s="417" t="s">
        <v>3385</v>
      </c>
      <c r="B5925" s="417" t="s">
        <v>2627</v>
      </c>
      <c r="C5925" s="417" t="s">
        <v>14317</v>
      </c>
      <c r="D5925" s="417" t="s">
        <v>83</v>
      </c>
      <c r="E5925" s="423">
        <v>0.33647639874302537</v>
      </c>
      <c r="F5925" s="423">
        <v>2.001776278253035E-3</v>
      </c>
      <c r="G5925" s="422">
        <v>816.6595897705148</v>
      </c>
      <c r="H5925" s="417" t="s">
        <v>2616</v>
      </c>
      <c r="I5925" s="417" t="s">
        <v>1392</v>
      </c>
      <c r="J5925" s="417" t="s">
        <v>14281</v>
      </c>
      <c r="K5925" s="417" t="s">
        <v>14318</v>
      </c>
      <c r="L5925" s="417"/>
      <c r="M5925" s="417" t="s">
        <v>28840</v>
      </c>
    </row>
    <row r="5926" spans="1:13" x14ac:dyDescent="0.25">
      <c r="A5926" s="417" t="s">
        <v>3385</v>
      </c>
      <c r="B5926" s="417" t="s">
        <v>2627</v>
      </c>
      <c r="C5926" s="417" t="s">
        <v>14319</v>
      </c>
      <c r="D5926" s="417" t="s">
        <v>83</v>
      </c>
      <c r="E5926" s="423">
        <v>0.39597037249836398</v>
      </c>
      <c r="F5926" s="423">
        <v>4.7778600240784824E-3</v>
      </c>
      <c r="G5926" s="422">
        <v>1221.9341342305411</v>
      </c>
      <c r="H5926" s="417" t="s">
        <v>2616</v>
      </c>
      <c r="I5926" s="417" t="s">
        <v>1392</v>
      </c>
      <c r="J5926" s="417" t="s">
        <v>14281</v>
      </c>
      <c r="K5926" s="417" t="s">
        <v>14320</v>
      </c>
      <c r="L5926" s="417"/>
      <c r="M5926" s="417" t="s">
        <v>28840</v>
      </c>
    </row>
    <row r="5927" spans="1:13" x14ac:dyDescent="0.25">
      <c r="A5927" s="417" t="s">
        <v>3385</v>
      </c>
      <c r="B5927" s="417" t="s">
        <v>2627</v>
      </c>
      <c r="C5927" s="417" t="s">
        <v>14321</v>
      </c>
      <c r="D5927" s="417" t="s">
        <v>83</v>
      </c>
      <c r="E5927" s="423">
        <v>0.45935273593450532</v>
      </c>
      <c r="F5927" s="423">
        <v>3.1815897493676451E-3</v>
      </c>
      <c r="G5927" s="422">
        <v>1264.807485230054</v>
      </c>
      <c r="H5927" s="417" t="s">
        <v>2616</v>
      </c>
      <c r="I5927" s="417" t="s">
        <v>1392</v>
      </c>
      <c r="J5927" s="417" t="s">
        <v>14281</v>
      </c>
      <c r="K5927" s="417" t="s">
        <v>14322</v>
      </c>
      <c r="L5927" s="417"/>
      <c r="M5927" s="417" t="s">
        <v>28840</v>
      </c>
    </row>
    <row r="5928" spans="1:13" x14ac:dyDescent="0.25">
      <c r="A5928" s="417" t="s">
        <v>3385</v>
      </c>
      <c r="B5928" s="417" t="s">
        <v>2627</v>
      </c>
      <c r="C5928" s="417" t="s">
        <v>14323</v>
      </c>
      <c r="D5928" s="417" t="s">
        <v>83</v>
      </c>
      <c r="E5928" s="423">
        <v>0.32708591085338168</v>
      </c>
      <c r="F5928" s="423">
        <v>1.8382494121043809E-3</v>
      </c>
      <c r="G5928" s="422">
        <v>831.39971682903274</v>
      </c>
      <c r="H5928" s="417" t="s">
        <v>2616</v>
      </c>
      <c r="I5928" s="417" t="s">
        <v>1392</v>
      </c>
      <c r="J5928" s="417" t="s">
        <v>14281</v>
      </c>
      <c r="K5928" s="417" t="s">
        <v>14324</v>
      </c>
      <c r="L5928" s="417"/>
      <c r="M5928" s="417" t="s">
        <v>28840</v>
      </c>
    </row>
    <row r="5929" spans="1:13" x14ac:dyDescent="0.25">
      <c r="A5929" s="417" t="s">
        <v>3385</v>
      </c>
      <c r="B5929" s="417" t="s">
        <v>2627</v>
      </c>
      <c r="C5929" s="417" t="s">
        <v>14325</v>
      </c>
      <c r="D5929" s="417" t="s">
        <v>83</v>
      </c>
      <c r="E5929" s="423">
        <v>0.32199051943235429</v>
      </c>
      <c r="F5929" s="423">
        <v>1.3258510779941639E-3</v>
      </c>
      <c r="G5929" s="422">
        <v>816.3299235401397</v>
      </c>
      <c r="H5929" s="417" t="s">
        <v>2616</v>
      </c>
      <c r="I5929" s="417" t="s">
        <v>1392</v>
      </c>
      <c r="J5929" s="417" t="s">
        <v>14281</v>
      </c>
      <c r="K5929" s="417" t="s">
        <v>14326</v>
      </c>
      <c r="L5929" s="417"/>
      <c r="M5929" s="417" t="s">
        <v>28840</v>
      </c>
    </row>
    <row r="5930" spans="1:13" x14ac:dyDescent="0.25">
      <c r="A5930" s="417" t="s">
        <v>3385</v>
      </c>
      <c r="B5930" s="417" t="s">
        <v>2627</v>
      </c>
      <c r="C5930" s="417" t="s">
        <v>14327</v>
      </c>
      <c r="D5930" s="417" t="s">
        <v>83</v>
      </c>
      <c r="E5930" s="423">
        <v>0.1234224512776137</v>
      </c>
      <c r="F5930" s="423">
        <v>2.2718265444565998E-3</v>
      </c>
      <c r="G5930" s="422">
        <v>555.25100864086528</v>
      </c>
      <c r="H5930" s="417" t="s">
        <v>2616</v>
      </c>
      <c r="I5930" s="417" t="s">
        <v>1392</v>
      </c>
      <c r="J5930" s="417" t="s">
        <v>14281</v>
      </c>
      <c r="K5930" s="417" t="s">
        <v>14328</v>
      </c>
      <c r="L5930" s="417"/>
      <c r="M5930" s="417" t="s">
        <v>28840</v>
      </c>
    </row>
    <row r="5931" spans="1:13" x14ac:dyDescent="0.25">
      <c r="A5931" s="417" t="s">
        <v>3385</v>
      </c>
      <c r="B5931" s="417" t="s">
        <v>2627</v>
      </c>
      <c r="C5931" s="417" t="s">
        <v>14329</v>
      </c>
      <c r="D5931" s="417" t="s">
        <v>83</v>
      </c>
      <c r="E5931" s="423">
        <v>0.25317667255636339</v>
      </c>
      <c r="F5931" s="423">
        <v>3.9067950120798244E-3</v>
      </c>
      <c r="G5931" s="422">
        <v>1082.2471263159971</v>
      </c>
      <c r="H5931" s="417" t="s">
        <v>2616</v>
      </c>
      <c r="I5931" s="417" t="s">
        <v>1392</v>
      </c>
      <c r="J5931" s="417" t="s">
        <v>14281</v>
      </c>
      <c r="K5931" s="417" t="s">
        <v>14330</v>
      </c>
      <c r="L5931" s="417"/>
      <c r="M5931" s="417" t="s">
        <v>28840</v>
      </c>
    </row>
    <row r="5932" spans="1:13" x14ac:dyDescent="0.25">
      <c r="A5932" s="417" t="s">
        <v>3385</v>
      </c>
      <c r="B5932" s="417" t="s">
        <v>2627</v>
      </c>
      <c r="C5932" s="417" t="s">
        <v>14331</v>
      </c>
      <c r="D5932" s="417" t="s">
        <v>83</v>
      </c>
      <c r="E5932" s="423">
        <v>0.15815948267772889</v>
      </c>
      <c r="F5932" s="423">
        <v>3.195577009352934E-3</v>
      </c>
      <c r="G5932" s="422">
        <v>971.21945693090163</v>
      </c>
      <c r="H5932" s="417" t="s">
        <v>2616</v>
      </c>
      <c r="I5932" s="417" t="s">
        <v>1392</v>
      </c>
      <c r="J5932" s="417" t="s">
        <v>14281</v>
      </c>
      <c r="K5932" s="417" t="s">
        <v>14332</v>
      </c>
      <c r="L5932" s="417"/>
      <c r="M5932" s="417" t="s">
        <v>28840</v>
      </c>
    </row>
    <row r="5933" spans="1:13" x14ac:dyDescent="0.25">
      <c r="A5933" s="417" t="s">
        <v>3385</v>
      </c>
      <c r="B5933" s="417" t="s">
        <v>2627</v>
      </c>
      <c r="C5933" s="417" t="s">
        <v>14333</v>
      </c>
      <c r="D5933" s="417" t="s">
        <v>83</v>
      </c>
      <c r="E5933" s="423">
        <v>0.25713197072802352</v>
      </c>
      <c r="F5933" s="423">
        <v>1.835207468486719E-3</v>
      </c>
      <c r="G5933" s="422">
        <v>744.25203834112187</v>
      </c>
      <c r="H5933" s="417" t="s">
        <v>2616</v>
      </c>
      <c r="I5933" s="417" t="s">
        <v>1392</v>
      </c>
      <c r="J5933" s="417" t="s">
        <v>14281</v>
      </c>
      <c r="K5933" s="417" t="s">
        <v>14334</v>
      </c>
      <c r="L5933" s="417"/>
      <c r="M5933" s="417" t="s">
        <v>28840</v>
      </c>
    </row>
    <row r="5934" spans="1:13" x14ac:dyDescent="0.25">
      <c r="A5934" s="417" t="s">
        <v>3385</v>
      </c>
      <c r="B5934" s="417" t="s">
        <v>2627</v>
      </c>
      <c r="C5934" s="417" t="s">
        <v>14335</v>
      </c>
      <c r="D5934" s="417" t="s">
        <v>83</v>
      </c>
      <c r="E5934" s="423">
        <v>0.36555159459439962</v>
      </c>
      <c r="F5934" s="423">
        <v>2.717236210429306E-3</v>
      </c>
      <c r="G5934" s="422">
        <v>862.94305950210878</v>
      </c>
      <c r="H5934" s="417" t="s">
        <v>2616</v>
      </c>
      <c r="I5934" s="417" t="s">
        <v>1392</v>
      </c>
      <c r="J5934" s="417" t="s">
        <v>14281</v>
      </c>
      <c r="K5934" s="417" t="s">
        <v>14336</v>
      </c>
      <c r="L5934" s="417"/>
      <c r="M5934" s="417" t="s">
        <v>28840</v>
      </c>
    </row>
    <row r="5935" spans="1:13" x14ac:dyDescent="0.25">
      <c r="A5935" s="417" t="s">
        <v>3385</v>
      </c>
      <c r="B5935" s="417" t="s">
        <v>2627</v>
      </c>
      <c r="C5935" s="417" t="s">
        <v>14337</v>
      </c>
      <c r="D5935" s="417" t="s">
        <v>83</v>
      </c>
      <c r="E5935" s="423">
        <v>0.41039586142243828</v>
      </c>
      <c r="F5935" s="423">
        <v>1.7719620689648781E-3</v>
      </c>
      <c r="G5935" s="422">
        <v>905.16890484673661</v>
      </c>
      <c r="H5935" s="417" t="s">
        <v>2616</v>
      </c>
      <c r="I5935" s="417" t="s">
        <v>1392</v>
      </c>
      <c r="J5935" s="417" t="s">
        <v>14281</v>
      </c>
      <c r="K5935" s="417" t="s">
        <v>14338</v>
      </c>
      <c r="L5935" s="417"/>
      <c r="M5935" s="417" t="s">
        <v>28840</v>
      </c>
    </row>
    <row r="5936" spans="1:13" x14ac:dyDescent="0.25">
      <c r="A5936" s="417" t="s">
        <v>3385</v>
      </c>
      <c r="B5936" s="417" t="s">
        <v>2627</v>
      </c>
      <c r="C5936" s="417" t="s">
        <v>14339</v>
      </c>
      <c r="D5936" s="417" t="s">
        <v>83</v>
      </c>
      <c r="E5936" s="423">
        <v>0.3387648678243213</v>
      </c>
      <c r="F5936" s="423">
        <v>2.126305745211784E-3</v>
      </c>
      <c r="G5936" s="422">
        <v>795.90093539884026</v>
      </c>
      <c r="H5936" s="417" t="s">
        <v>2616</v>
      </c>
      <c r="I5936" s="417" t="s">
        <v>1392</v>
      </c>
      <c r="J5936" s="417" t="s">
        <v>14281</v>
      </c>
      <c r="K5936" s="417" t="s">
        <v>14340</v>
      </c>
      <c r="L5936" s="417"/>
      <c r="M5936" s="417" t="s">
        <v>28840</v>
      </c>
    </row>
    <row r="5937" spans="1:13" x14ac:dyDescent="0.25">
      <c r="A5937" s="417" t="s">
        <v>3385</v>
      </c>
      <c r="B5937" s="417" t="s">
        <v>2627</v>
      </c>
      <c r="C5937" s="417" t="s">
        <v>14341</v>
      </c>
      <c r="D5937" s="417" t="s">
        <v>83</v>
      </c>
      <c r="E5937" s="423">
        <v>0.30239329864362419</v>
      </c>
      <c r="F5937" s="423">
        <v>1.8914021831406801E-3</v>
      </c>
      <c r="G5937" s="422">
        <v>793.04094391145702</v>
      </c>
      <c r="H5937" s="417" t="s">
        <v>2616</v>
      </c>
      <c r="I5937" s="417" t="s">
        <v>1392</v>
      </c>
      <c r="J5937" s="417" t="s">
        <v>14281</v>
      </c>
      <c r="K5937" s="417" t="s">
        <v>14342</v>
      </c>
      <c r="L5937" s="417"/>
      <c r="M5937" s="417" t="s">
        <v>28840</v>
      </c>
    </row>
    <row r="5938" spans="1:13" x14ac:dyDescent="0.25">
      <c r="A5938" s="417" t="s">
        <v>3385</v>
      </c>
      <c r="B5938" s="417" t="s">
        <v>2627</v>
      </c>
      <c r="C5938" s="417" t="s">
        <v>14343</v>
      </c>
      <c r="D5938" s="417" t="s">
        <v>83</v>
      </c>
      <c r="E5938" s="423">
        <v>0.38981977004090429</v>
      </c>
      <c r="F5938" s="423">
        <v>1.6856599868754669E-3</v>
      </c>
      <c r="G5938" s="422">
        <v>872.13673900542824</v>
      </c>
      <c r="H5938" s="417" t="s">
        <v>2616</v>
      </c>
      <c r="I5938" s="417" t="s">
        <v>1392</v>
      </c>
      <c r="J5938" s="417" t="s">
        <v>14281</v>
      </c>
      <c r="K5938" s="417" t="s">
        <v>14344</v>
      </c>
      <c r="L5938" s="417"/>
      <c r="M5938" s="417" t="s">
        <v>28840</v>
      </c>
    </row>
    <row r="5939" spans="1:13" x14ac:dyDescent="0.25">
      <c r="A5939" s="417" t="s">
        <v>3385</v>
      </c>
      <c r="B5939" s="417" t="s">
        <v>2627</v>
      </c>
      <c r="C5939" s="417" t="s">
        <v>14345</v>
      </c>
      <c r="D5939" s="417" t="s">
        <v>83</v>
      </c>
      <c r="E5939" s="423">
        <v>9.3702599111393711E-2</v>
      </c>
      <c r="F5939" s="423">
        <v>2.3228734081355402E-3</v>
      </c>
      <c r="G5939" s="422">
        <v>504.54012602437717</v>
      </c>
      <c r="H5939" s="417" t="s">
        <v>2616</v>
      </c>
      <c r="I5939" s="417" t="s">
        <v>1392</v>
      </c>
      <c r="J5939" s="417" t="s">
        <v>14281</v>
      </c>
      <c r="K5939" s="417" t="s">
        <v>14346</v>
      </c>
      <c r="L5939" s="417"/>
      <c r="M5939" s="417" t="s">
        <v>28840</v>
      </c>
    </row>
    <row r="5940" spans="1:13" x14ac:dyDescent="0.25">
      <c r="A5940" s="417" t="s">
        <v>3385</v>
      </c>
      <c r="B5940" s="417" t="s">
        <v>2627</v>
      </c>
      <c r="C5940" s="417" t="s">
        <v>14347</v>
      </c>
      <c r="D5940" s="417" t="s">
        <v>83</v>
      </c>
      <c r="E5940" s="423">
        <v>8.5595354569171667E-2</v>
      </c>
      <c r="F5940" s="423">
        <v>1.336079980010154E-3</v>
      </c>
      <c r="G5940" s="422">
        <v>486.04077220353651</v>
      </c>
      <c r="H5940" s="417" t="s">
        <v>2616</v>
      </c>
      <c r="I5940" s="417" t="s">
        <v>1392</v>
      </c>
      <c r="J5940" s="417" t="s">
        <v>14281</v>
      </c>
      <c r="K5940" s="417" t="s">
        <v>14348</v>
      </c>
      <c r="L5940" s="417"/>
      <c r="M5940" s="417" t="s">
        <v>28840</v>
      </c>
    </row>
    <row r="5941" spans="1:13" x14ac:dyDescent="0.25">
      <c r="A5941" s="417" t="s">
        <v>3385</v>
      </c>
      <c r="B5941" s="417" t="s">
        <v>2627</v>
      </c>
      <c r="C5941" s="417" t="s">
        <v>14349</v>
      </c>
      <c r="D5941" s="417" t="s">
        <v>83</v>
      </c>
      <c r="E5941" s="423">
        <v>0.23338865399347461</v>
      </c>
      <c r="F5941" s="423">
        <v>1.838249412088009E-3</v>
      </c>
      <c r="G5941" s="422">
        <v>716.30723130934541</v>
      </c>
      <c r="H5941" s="417" t="s">
        <v>2616</v>
      </c>
      <c r="I5941" s="417" t="s">
        <v>1392</v>
      </c>
      <c r="J5941" s="417" t="s">
        <v>14281</v>
      </c>
      <c r="K5941" s="417" t="s">
        <v>14350</v>
      </c>
      <c r="L5941" s="417"/>
      <c r="M5941" s="417" t="s">
        <v>28840</v>
      </c>
    </row>
    <row r="5942" spans="1:13" x14ac:dyDescent="0.25">
      <c r="A5942" s="417" t="s">
        <v>3385</v>
      </c>
      <c r="B5942" s="417" t="s">
        <v>2627</v>
      </c>
      <c r="C5942" s="417" t="s">
        <v>14351</v>
      </c>
      <c r="D5942" s="417" t="s">
        <v>83</v>
      </c>
      <c r="E5942" s="423">
        <v>0.26508481255068023</v>
      </c>
      <c r="F5942" s="423">
        <v>1.7402522781100661E-3</v>
      </c>
      <c r="G5942" s="422">
        <v>702.0986070454087</v>
      </c>
      <c r="H5942" s="417" t="s">
        <v>2616</v>
      </c>
      <c r="I5942" s="417" t="s">
        <v>1392</v>
      </c>
      <c r="J5942" s="417" t="s">
        <v>14281</v>
      </c>
      <c r="K5942" s="417" t="s">
        <v>14352</v>
      </c>
      <c r="L5942" s="417"/>
      <c r="M5942" s="417" t="s">
        <v>28840</v>
      </c>
    </row>
    <row r="5943" spans="1:13" x14ac:dyDescent="0.25">
      <c r="A5943" s="417" t="s">
        <v>3385</v>
      </c>
      <c r="B5943" s="417" t="s">
        <v>2627</v>
      </c>
      <c r="C5943" s="417" t="s">
        <v>14353</v>
      </c>
      <c r="D5943" s="417" t="s">
        <v>83</v>
      </c>
      <c r="E5943" s="423">
        <v>0.24955061715670079</v>
      </c>
      <c r="F5943" s="423">
        <v>2.3482164911189899E-3</v>
      </c>
      <c r="G5943" s="422">
        <v>707.99240733510339</v>
      </c>
      <c r="H5943" s="417" t="s">
        <v>2616</v>
      </c>
      <c r="I5943" s="417" t="s">
        <v>1392</v>
      </c>
      <c r="J5943" s="417" t="s">
        <v>14281</v>
      </c>
      <c r="K5943" s="417" t="s">
        <v>14354</v>
      </c>
      <c r="L5943" s="417"/>
      <c r="M5943" s="417" t="s">
        <v>28840</v>
      </c>
    </row>
    <row r="5944" spans="1:13" x14ac:dyDescent="0.25">
      <c r="A5944" s="417" t="s">
        <v>3385</v>
      </c>
      <c r="B5944" s="417" t="s">
        <v>2627</v>
      </c>
      <c r="C5944" s="417" t="s">
        <v>14355</v>
      </c>
      <c r="D5944" s="417" t="s">
        <v>83</v>
      </c>
      <c r="E5944" s="423">
        <v>0.17402337420050551</v>
      </c>
      <c r="F5944" s="423">
        <v>1.6274944393673369E-3</v>
      </c>
      <c r="G5944" s="422">
        <v>618.05266609858245</v>
      </c>
      <c r="H5944" s="417" t="s">
        <v>2616</v>
      </c>
      <c r="I5944" s="417" t="s">
        <v>1392</v>
      </c>
      <c r="J5944" s="417" t="s">
        <v>14281</v>
      </c>
      <c r="K5944" s="417" t="s">
        <v>14356</v>
      </c>
      <c r="L5944" s="417"/>
      <c r="M5944" s="417" t="s">
        <v>28840</v>
      </c>
    </row>
    <row r="5945" spans="1:13" x14ac:dyDescent="0.25">
      <c r="A5945" s="417" t="s">
        <v>3385</v>
      </c>
      <c r="B5945" s="417" t="s">
        <v>2627</v>
      </c>
      <c r="C5945" s="417" t="s">
        <v>14357</v>
      </c>
      <c r="D5945" s="417" t="s">
        <v>83</v>
      </c>
      <c r="E5945" s="423">
        <v>0.42435415749062078</v>
      </c>
      <c r="F5945" s="423">
        <v>1.5457156869559791E-3</v>
      </c>
      <c r="G5945" s="422">
        <v>922.65914567610639</v>
      </c>
      <c r="H5945" s="417" t="s">
        <v>2616</v>
      </c>
      <c r="I5945" s="417" t="s">
        <v>1392</v>
      </c>
      <c r="J5945" s="417" t="s">
        <v>14281</v>
      </c>
      <c r="K5945" s="417" t="s">
        <v>14358</v>
      </c>
      <c r="L5945" s="417"/>
      <c r="M5945" s="417" t="s">
        <v>28840</v>
      </c>
    </row>
    <row r="5946" spans="1:13" x14ac:dyDescent="0.25">
      <c r="A5946" s="417" t="s">
        <v>3385</v>
      </c>
      <c r="B5946" s="417" t="s">
        <v>2627</v>
      </c>
      <c r="C5946" s="417" t="s">
        <v>14359</v>
      </c>
      <c r="D5946" s="417" t="s">
        <v>83</v>
      </c>
      <c r="E5946" s="423">
        <v>0.35894185468143802</v>
      </c>
      <c r="F5946" s="423">
        <v>2.8328003558333809E-3</v>
      </c>
      <c r="G5946" s="422">
        <v>864.70501887676812</v>
      </c>
      <c r="H5946" s="417" t="s">
        <v>2616</v>
      </c>
      <c r="I5946" s="417" t="s">
        <v>1392</v>
      </c>
      <c r="J5946" s="417" t="s">
        <v>14281</v>
      </c>
      <c r="K5946" s="417" t="s">
        <v>14360</v>
      </c>
      <c r="L5946" s="417"/>
      <c r="M5946" s="417" t="s">
        <v>28840</v>
      </c>
    </row>
    <row r="5947" spans="1:13" x14ac:dyDescent="0.25">
      <c r="A5947" s="417" t="s">
        <v>3385</v>
      </c>
      <c r="B5947" s="417" t="s">
        <v>2627</v>
      </c>
      <c r="C5947" s="417" t="s">
        <v>14361</v>
      </c>
      <c r="D5947" s="417" t="s">
        <v>83</v>
      </c>
      <c r="E5947" s="423">
        <v>0.14429506534706549</v>
      </c>
      <c r="F5947" s="423">
        <v>1.253012809290762E-3</v>
      </c>
      <c r="G5947" s="422">
        <v>593.91645491436907</v>
      </c>
      <c r="H5947" s="417" t="s">
        <v>2616</v>
      </c>
      <c r="I5947" s="417" t="s">
        <v>1392</v>
      </c>
      <c r="J5947" s="417" t="s">
        <v>14281</v>
      </c>
      <c r="K5947" s="417" t="s">
        <v>14362</v>
      </c>
      <c r="L5947" s="417"/>
      <c r="M5947" s="417" t="s">
        <v>28840</v>
      </c>
    </row>
    <row r="5948" spans="1:13" x14ac:dyDescent="0.25">
      <c r="A5948" s="417" t="s">
        <v>3385</v>
      </c>
      <c r="B5948" s="417" t="s">
        <v>2627</v>
      </c>
      <c r="C5948" s="417" t="s">
        <v>14363</v>
      </c>
      <c r="D5948" s="417" t="s">
        <v>83</v>
      </c>
      <c r="E5948" s="423">
        <v>0.31398930306472012</v>
      </c>
      <c r="F5948" s="423">
        <v>5.0043375715788426E-3</v>
      </c>
      <c r="G5948" s="422">
        <v>905.65787773001671</v>
      </c>
      <c r="H5948" s="417" t="s">
        <v>2616</v>
      </c>
      <c r="I5948" s="417" t="s">
        <v>1392</v>
      </c>
      <c r="J5948" s="417" t="s">
        <v>14281</v>
      </c>
      <c r="K5948" s="417" t="s">
        <v>14364</v>
      </c>
      <c r="L5948" s="417"/>
      <c r="M5948" s="417" t="s">
        <v>28840</v>
      </c>
    </row>
    <row r="5949" spans="1:13" x14ac:dyDescent="0.25">
      <c r="A5949" s="417" t="s">
        <v>3385</v>
      </c>
      <c r="B5949" s="417" t="s">
        <v>2627</v>
      </c>
      <c r="C5949" s="417" t="s">
        <v>14365</v>
      </c>
      <c r="D5949" s="417" t="s">
        <v>83</v>
      </c>
      <c r="E5949" s="423">
        <v>1.391110441634982</v>
      </c>
      <c r="F5949" s="423">
        <v>2.7747261130761569E-3</v>
      </c>
      <c r="G5949" s="422">
        <v>2105.6971614064082</v>
      </c>
      <c r="H5949" s="417" t="s">
        <v>2616</v>
      </c>
      <c r="I5949" s="417" t="s">
        <v>1392</v>
      </c>
      <c r="J5949" s="417" t="s">
        <v>14281</v>
      </c>
      <c r="K5949" s="417" t="s">
        <v>14366</v>
      </c>
      <c r="L5949" s="417"/>
      <c r="M5949" s="417" t="s">
        <v>28840</v>
      </c>
    </row>
    <row r="5950" spans="1:13" x14ac:dyDescent="0.25">
      <c r="A5950" s="417" t="s">
        <v>3385</v>
      </c>
      <c r="B5950" s="417" t="s">
        <v>2627</v>
      </c>
      <c r="C5950" s="417" t="s">
        <v>14367</v>
      </c>
      <c r="D5950" s="417" t="s">
        <v>83</v>
      </c>
      <c r="E5950" s="423">
        <v>0.24676962108565989</v>
      </c>
      <c r="F5950" s="423">
        <v>1.905415594133887E-3</v>
      </c>
      <c r="G5950" s="422">
        <v>727.55327317162335</v>
      </c>
      <c r="H5950" s="417" t="s">
        <v>2616</v>
      </c>
      <c r="I5950" s="417" t="s">
        <v>1392</v>
      </c>
      <c r="J5950" s="417" t="s">
        <v>14281</v>
      </c>
      <c r="K5950" s="417" t="s">
        <v>14368</v>
      </c>
      <c r="L5950" s="417"/>
      <c r="M5950" s="417" t="s">
        <v>28840</v>
      </c>
    </row>
    <row r="5951" spans="1:13" x14ac:dyDescent="0.25">
      <c r="A5951" s="417" t="s">
        <v>3385</v>
      </c>
      <c r="B5951" s="417" t="s">
        <v>2627</v>
      </c>
      <c r="C5951" s="417" t="s">
        <v>14369</v>
      </c>
      <c r="D5951" s="417" t="s">
        <v>83</v>
      </c>
      <c r="E5951" s="423">
        <v>0.2239866230789048</v>
      </c>
      <c r="F5951" s="423">
        <v>1.6812736521377939E-3</v>
      </c>
      <c r="G5951" s="422">
        <v>652.94947090652556</v>
      </c>
      <c r="H5951" s="417" t="s">
        <v>2616</v>
      </c>
      <c r="I5951" s="417" t="s">
        <v>1392</v>
      </c>
      <c r="J5951" s="417" t="s">
        <v>14281</v>
      </c>
      <c r="K5951" s="417" t="s">
        <v>14370</v>
      </c>
      <c r="L5951" s="417"/>
      <c r="M5951" s="417" t="s">
        <v>28840</v>
      </c>
    </row>
    <row r="5952" spans="1:13" x14ac:dyDescent="0.25">
      <c r="A5952" s="417" t="s">
        <v>3385</v>
      </c>
      <c r="B5952" s="417" t="s">
        <v>2627</v>
      </c>
      <c r="C5952" s="417" t="s">
        <v>14371</v>
      </c>
      <c r="D5952" s="417" t="s">
        <v>83</v>
      </c>
      <c r="E5952" s="423">
        <v>0.34899038091270068</v>
      </c>
      <c r="F5952" s="423">
        <v>2.7675078559656549E-3</v>
      </c>
      <c r="G5952" s="422">
        <v>1198.084945903686</v>
      </c>
      <c r="H5952" s="417" t="s">
        <v>2616</v>
      </c>
      <c r="I5952" s="417" t="s">
        <v>1392</v>
      </c>
      <c r="J5952" s="417" t="s">
        <v>14281</v>
      </c>
      <c r="K5952" s="417" t="s">
        <v>14372</v>
      </c>
      <c r="L5952" s="417"/>
      <c r="M5952" s="417" t="s">
        <v>28840</v>
      </c>
    </row>
    <row r="5953" spans="1:13" x14ac:dyDescent="0.25">
      <c r="A5953" s="417" t="s">
        <v>3385</v>
      </c>
      <c r="B5953" s="417" t="s">
        <v>2627</v>
      </c>
      <c r="C5953" s="417" t="s">
        <v>14373</v>
      </c>
      <c r="D5953" s="417" t="s">
        <v>83</v>
      </c>
      <c r="E5953" s="423">
        <v>0.35114901385352137</v>
      </c>
      <c r="F5953" s="423">
        <v>1.621383582267199E-3</v>
      </c>
      <c r="G5953" s="422">
        <v>837.85558088920254</v>
      </c>
      <c r="H5953" s="417" t="s">
        <v>2616</v>
      </c>
      <c r="I5953" s="417" t="s">
        <v>1392</v>
      </c>
      <c r="J5953" s="417" t="s">
        <v>14281</v>
      </c>
      <c r="K5953" s="417" t="s">
        <v>14374</v>
      </c>
      <c r="L5953" s="417"/>
      <c r="M5953" s="417" t="s">
        <v>28840</v>
      </c>
    </row>
    <row r="5954" spans="1:13" x14ac:dyDescent="0.25">
      <c r="A5954" s="417" t="s">
        <v>3385</v>
      </c>
      <c r="B5954" s="417" t="s">
        <v>2627</v>
      </c>
      <c r="C5954" s="417" t="s">
        <v>14375</v>
      </c>
      <c r="D5954" s="417" t="s">
        <v>83</v>
      </c>
      <c r="E5954" s="423">
        <v>0.31781688854981249</v>
      </c>
      <c r="F5954" s="423">
        <v>4.1864317928751267E-3</v>
      </c>
      <c r="G5954" s="422">
        <v>828.81268875010232</v>
      </c>
      <c r="H5954" s="417" t="s">
        <v>2616</v>
      </c>
      <c r="I5954" s="417" t="s">
        <v>1392</v>
      </c>
      <c r="J5954" s="417" t="s">
        <v>14281</v>
      </c>
      <c r="K5954" s="417" t="s">
        <v>14376</v>
      </c>
      <c r="L5954" s="417"/>
      <c r="M5954" s="417" t="s">
        <v>28840</v>
      </c>
    </row>
    <row r="5955" spans="1:13" x14ac:dyDescent="0.25">
      <c r="A5955" s="417" t="s">
        <v>3385</v>
      </c>
      <c r="B5955" s="417" t="s">
        <v>2627</v>
      </c>
      <c r="C5955" s="417" t="s">
        <v>14377</v>
      </c>
      <c r="D5955" s="417" t="s">
        <v>83</v>
      </c>
      <c r="E5955" s="423">
        <v>0.52710620065605573</v>
      </c>
      <c r="F5955" s="423">
        <v>3.1613284058493551E-3</v>
      </c>
      <c r="G5955" s="422">
        <v>1069.2829433122281</v>
      </c>
      <c r="H5955" s="417" t="s">
        <v>2616</v>
      </c>
      <c r="I5955" s="417" t="s">
        <v>1392</v>
      </c>
      <c r="J5955" s="417" t="s">
        <v>14281</v>
      </c>
      <c r="K5955" s="417" t="s">
        <v>14378</v>
      </c>
      <c r="L5955" s="417"/>
      <c r="M5955" s="417" t="s">
        <v>28840</v>
      </c>
    </row>
    <row r="5956" spans="1:13" x14ac:dyDescent="0.25">
      <c r="A5956" s="417" t="s">
        <v>3385</v>
      </c>
      <c r="B5956" s="417" t="s">
        <v>2627</v>
      </c>
      <c r="C5956" s="417" t="s">
        <v>14379</v>
      </c>
      <c r="D5956" s="417" t="s">
        <v>83</v>
      </c>
      <c r="E5956" s="423">
        <v>0.55527281053116462</v>
      </c>
      <c r="F5956" s="423">
        <v>1.6812736522321811E-3</v>
      </c>
      <c r="G5956" s="422">
        <v>1057.5242418160269</v>
      </c>
      <c r="H5956" s="417" t="s">
        <v>2616</v>
      </c>
      <c r="I5956" s="417" t="s">
        <v>1392</v>
      </c>
      <c r="J5956" s="417" t="s">
        <v>14281</v>
      </c>
      <c r="K5956" s="417" t="s">
        <v>14380</v>
      </c>
      <c r="L5956" s="417"/>
      <c r="M5956" s="417" t="s">
        <v>28840</v>
      </c>
    </row>
    <row r="5957" spans="1:13" x14ac:dyDescent="0.25">
      <c r="A5957" s="417" t="s">
        <v>3385</v>
      </c>
      <c r="B5957" s="417" t="s">
        <v>2627</v>
      </c>
      <c r="C5957" s="417" t="s">
        <v>14381</v>
      </c>
      <c r="D5957" s="417" t="s">
        <v>83</v>
      </c>
      <c r="E5957" s="423">
        <v>0.1913015874217622</v>
      </c>
      <c r="F5957" s="423">
        <v>1.5340550601743201E-3</v>
      </c>
      <c r="G5957" s="422">
        <v>627.50176671352142</v>
      </c>
      <c r="H5957" s="417" t="s">
        <v>2616</v>
      </c>
      <c r="I5957" s="417" t="s">
        <v>1392</v>
      </c>
      <c r="J5957" s="417" t="s">
        <v>14281</v>
      </c>
      <c r="K5957" s="417" t="s">
        <v>14382</v>
      </c>
      <c r="L5957" s="417"/>
      <c r="M5957" s="417" t="s">
        <v>28840</v>
      </c>
    </row>
    <row r="5958" spans="1:13" x14ac:dyDescent="0.25">
      <c r="A5958" s="417" t="s">
        <v>3385</v>
      </c>
      <c r="B5958" s="417" t="s">
        <v>2627</v>
      </c>
      <c r="C5958" s="417" t="s">
        <v>14383</v>
      </c>
      <c r="D5958" s="417" t="s">
        <v>83</v>
      </c>
      <c r="E5958" s="423">
        <v>0.28318185736591078</v>
      </c>
      <c r="F5958" s="423">
        <v>1.2871767772060509E-3</v>
      </c>
      <c r="G5958" s="422">
        <v>737.26876426054616</v>
      </c>
      <c r="H5958" s="417" t="s">
        <v>2616</v>
      </c>
      <c r="I5958" s="417" t="s">
        <v>1392</v>
      </c>
      <c r="J5958" s="417" t="s">
        <v>14281</v>
      </c>
      <c r="K5958" s="417" t="s">
        <v>14384</v>
      </c>
      <c r="L5958" s="417"/>
      <c r="M5958" s="417" t="s">
        <v>28840</v>
      </c>
    </row>
    <row r="5959" spans="1:13" x14ac:dyDescent="0.25">
      <c r="A5959" s="417" t="s">
        <v>3385</v>
      </c>
      <c r="B5959" s="417" t="s">
        <v>2627</v>
      </c>
      <c r="C5959" s="417" t="s">
        <v>14385</v>
      </c>
      <c r="D5959" s="417" t="s">
        <v>83</v>
      </c>
      <c r="E5959" s="423">
        <v>0.37070273989739039</v>
      </c>
      <c r="F5959" s="423">
        <v>1.346454231097175E-3</v>
      </c>
      <c r="G5959" s="422">
        <v>831.86312474652345</v>
      </c>
      <c r="H5959" s="417" t="s">
        <v>2616</v>
      </c>
      <c r="I5959" s="417" t="s">
        <v>1392</v>
      </c>
      <c r="J5959" s="417" t="s">
        <v>14281</v>
      </c>
      <c r="K5959" s="417" t="s">
        <v>14386</v>
      </c>
      <c r="L5959" s="417"/>
      <c r="M5959" s="417" t="s">
        <v>28840</v>
      </c>
    </row>
    <row r="5960" spans="1:13" x14ac:dyDescent="0.25">
      <c r="A5960" s="417" t="s">
        <v>3385</v>
      </c>
      <c r="B5960" s="417" t="s">
        <v>2627</v>
      </c>
      <c r="C5960" s="417" t="s">
        <v>14387</v>
      </c>
      <c r="D5960" s="417" t="s">
        <v>83</v>
      </c>
      <c r="E5960" s="423">
        <v>0.21398628010607709</v>
      </c>
      <c r="F5960" s="423">
        <v>1.9347944427034571E-3</v>
      </c>
      <c r="G5960" s="422">
        <v>678.27898334269582</v>
      </c>
      <c r="H5960" s="417" t="s">
        <v>2616</v>
      </c>
      <c r="I5960" s="417" t="s">
        <v>1392</v>
      </c>
      <c r="J5960" s="417" t="s">
        <v>14281</v>
      </c>
      <c r="K5960" s="417" t="s">
        <v>14388</v>
      </c>
      <c r="L5960" s="417"/>
      <c r="M5960" s="417" t="s">
        <v>28840</v>
      </c>
    </row>
    <row r="5961" spans="1:13" x14ac:dyDescent="0.25">
      <c r="A5961" s="417" t="s">
        <v>3385</v>
      </c>
      <c r="B5961" s="417" t="s">
        <v>2627</v>
      </c>
      <c r="C5961" s="417" t="s">
        <v>14389</v>
      </c>
      <c r="D5961" s="417" t="s">
        <v>83</v>
      </c>
      <c r="E5961" s="423">
        <v>0.20544955112330121</v>
      </c>
      <c r="F5961" s="423">
        <v>1.649509645888575E-3</v>
      </c>
      <c r="G5961" s="422">
        <v>636.4104486110698</v>
      </c>
      <c r="H5961" s="417" t="s">
        <v>2616</v>
      </c>
      <c r="I5961" s="417" t="s">
        <v>1392</v>
      </c>
      <c r="J5961" s="417" t="s">
        <v>14281</v>
      </c>
      <c r="K5961" s="417" t="s">
        <v>14390</v>
      </c>
      <c r="L5961" s="417"/>
      <c r="M5961" s="417" t="s">
        <v>28840</v>
      </c>
    </row>
    <row r="5962" spans="1:13" x14ac:dyDescent="0.25">
      <c r="A5962" s="417" t="s">
        <v>3385</v>
      </c>
      <c r="B5962" s="417" t="s">
        <v>2627</v>
      </c>
      <c r="C5962" s="417" t="s">
        <v>14391</v>
      </c>
      <c r="D5962" s="417" t="s">
        <v>83</v>
      </c>
      <c r="E5962" s="423">
        <v>0.24026262777104179</v>
      </c>
      <c r="F5962" s="423">
        <v>2.0067179278921532E-3</v>
      </c>
      <c r="G5962" s="422">
        <v>684.64897275918258</v>
      </c>
      <c r="H5962" s="417" t="s">
        <v>2616</v>
      </c>
      <c r="I5962" s="417" t="s">
        <v>1392</v>
      </c>
      <c r="J5962" s="417" t="s">
        <v>14281</v>
      </c>
      <c r="K5962" s="417" t="s">
        <v>14392</v>
      </c>
      <c r="L5962" s="417"/>
      <c r="M5962" s="417" t="s">
        <v>28840</v>
      </c>
    </row>
    <row r="5963" spans="1:13" x14ac:dyDescent="0.25">
      <c r="A5963" s="417" t="s">
        <v>3385</v>
      </c>
      <c r="B5963" s="417" t="s">
        <v>2627</v>
      </c>
      <c r="C5963" s="417" t="s">
        <v>14393</v>
      </c>
      <c r="D5963" s="417" t="s">
        <v>83</v>
      </c>
      <c r="E5963" s="423">
        <v>0.29438990592939063</v>
      </c>
      <c r="F5963" s="423">
        <v>1.346454231097175E-3</v>
      </c>
      <c r="G5963" s="422">
        <v>739.12880761999361</v>
      </c>
      <c r="H5963" s="417" t="s">
        <v>2616</v>
      </c>
      <c r="I5963" s="417" t="s">
        <v>1392</v>
      </c>
      <c r="J5963" s="417" t="s">
        <v>14281</v>
      </c>
      <c r="K5963" s="417" t="s">
        <v>14394</v>
      </c>
      <c r="L5963" s="417"/>
      <c r="M5963" s="417" t="s">
        <v>28840</v>
      </c>
    </row>
    <row r="5964" spans="1:13" x14ac:dyDescent="0.25">
      <c r="A5964" s="417" t="s">
        <v>3385</v>
      </c>
      <c r="B5964" s="417" t="s">
        <v>2627</v>
      </c>
      <c r="C5964" s="417" t="s">
        <v>14395</v>
      </c>
      <c r="D5964" s="417" t="s">
        <v>83</v>
      </c>
      <c r="E5964" s="423">
        <v>0.26002046610107549</v>
      </c>
      <c r="F5964" s="423">
        <v>1.5236039203406491E-3</v>
      </c>
      <c r="G5964" s="422">
        <v>697.30429801136847</v>
      </c>
      <c r="H5964" s="417" t="s">
        <v>2616</v>
      </c>
      <c r="I5964" s="417" t="s">
        <v>1392</v>
      </c>
      <c r="J5964" s="417" t="s">
        <v>14281</v>
      </c>
      <c r="K5964" s="417" t="s">
        <v>14396</v>
      </c>
      <c r="L5964" s="417"/>
      <c r="M5964" s="417" t="s">
        <v>28840</v>
      </c>
    </row>
    <row r="5965" spans="1:13" x14ac:dyDescent="0.25">
      <c r="A5965" s="417" t="s">
        <v>3385</v>
      </c>
      <c r="B5965" s="417" t="s">
        <v>2627</v>
      </c>
      <c r="C5965" s="417" t="s">
        <v>14397</v>
      </c>
      <c r="D5965" s="417" t="s">
        <v>83</v>
      </c>
      <c r="E5965" s="423">
        <v>0.2574205582676698</v>
      </c>
      <c r="F5965" s="423">
        <v>1.9704374371945039E-3</v>
      </c>
      <c r="G5965" s="422">
        <v>689.97206453043952</v>
      </c>
      <c r="H5965" s="417" t="s">
        <v>2616</v>
      </c>
      <c r="I5965" s="417" t="s">
        <v>1392</v>
      </c>
      <c r="J5965" s="417" t="s">
        <v>14281</v>
      </c>
      <c r="K5965" s="417" t="s">
        <v>14398</v>
      </c>
      <c r="L5965" s="417"/>
      <c r="M5965" s="417" t="s">
        <v>28840</v>
      </c>
    </row>
    <row r="5966" spans="1:13" x14ac:dyDescent="0.25">
      <c r="A5966" s="417" t="s">
        <v>3385</v>
      </c>
      <c r="B5966" s="417" t="s">
        <v>2627</v>
      </c>
      <c r="C5966" s="417" t="s">
        <v>14399</v>
      </c>
      <c r="D5966" s="417" t="s">
        <v>83</v>
      </c>
      <c r="E5966" s="423">
        <v>0.26913645195140079</v>
      </c>
      <c r="F5966" s="423">
        <v>2.1865930255882192E-3</v>
      </c>
      <c r="G5966" s="422">
        <v>749.77234699872974</v>
      </c>
      <c r="H5966" s="417" t="s">
        <v>2616</v>
      </c>
      <c r="I5966" s="417" t="s">
        <v>1392</v>
      </c>
      <c r="J5966" s="417" t="s">
        <v>14281</v>
      </c>
      <c r="K5966" s="417" t="s">
        <v>14400</v>
      </c>
      <c r="L5966" s="417"/>
      <c r="M5966" s="417" t="s">
        <v>28840</v>
      </c>
    </row>
    <row r="5967" spans="1:13" x14ac:dyDescent="0.25">
      <c r="A5967" s="417" t="s">
        <v>3385</v>
      </c>
      <c r="B5967" s="417" t="s">
        <v>2627</v>
      </c>
      <c r="C5967" s="417" t="s">
        <v>14401</v>
      </c>
      <c r="D5967" s="417" t="s">
        <v>83</v>
      </c>
      <c r="E5967" s="423">
        <v>0.21275201980539071</v>
      </c>
      <c r="F5967" s="423">
        <v>1.346454231097175E-3</v>
      </c>
      <c r="G5967" s="422">
        <v>640.24804773838775</v>
      </c>
      <c r="H5967" s="417" t="s">
        <v>2616</v>
      </c>
      <c r="I5967" s="417" t="s">
        <v>1392</v>
      </c>
      <c r="J5967" s="417" t="s">
        <v>14281</v>
      </c>
      <c r="K5967" s="417" t="s">
        <v>14402</v>
      </c>
      <c r="L5967" s="417"/>
      <c r="M5967" s="417" t="s">
        <v>28840</v>
      </c>
    </row>
    <row r="5968" spans="1:13" x14ac:dyDescent="0.25">
      <c r="A5968" s="417" t="s">
        <v>3385</v>
      </c>
      <c r="B5968" s="417" t="s">
        <v>2627</v>
      </c>
      <c r="C5968" s="417" t="s">
        <v>14403</v>
      </c>
      <c r="D5968" s="417" t="s">
        <v>83</v>
      </c>
      <c r="E5968" s="423">
        <v>0.19378425150410261</v>
      </c>
      <c r="F5968" s="423">
        <v>2.6957545719547928E-3</v>
      </c>
      <c r="G5968" s="422">
        <v>625.4464768610793</v>
      </c>
      <c r="H5968" s="417" t="s">
        <v>2616</v>
      </c>
      <c r="I5968" s="417" t="s">
        <v>1392</v>
      </c>
      <c r="J5968" s="417" t="s">
        <v>14281</v>
      </c>
      <c r="K5968" s="417" t="s">
        <v>14404</v>
      </c>
      <c r="L5968" s="417"/>
      <c r="M5968" s="417" t="s">
        <v>28840</v>
      </c>
    </row>
    <row r="5969" spans="1:13" x14ac:dyDescent="0.25">
      <c r="A5969" s="417" t="s">
        <v>3385</v>
      </c>
      <c r="B5969" s="417" t="s">
        <v>2627</v>
      </c>
      <c r="C5969" s="417" t="s">
        <v>14405</v>
      </c>
      <c r="D5969" s="417" t="s">
        <v>83</v>
      </c>
      <c r="E5969" s="423">
        <v>0.43269200957711229</v>
      </c>
      <c r="F5969" s="423">
        <v>1.6037545707462001E-3</v>
      </c>
      <c r="G5969" s="422">
        <v>925.84633273548855</v>
      </c>
      <c r="H5969" s="417" t="s">
        <v>2616</v>
      </c>
      <c r="I5969" s="417" t="s">
        <v>1392</v>
      </c>
      <c r="J5969" s="417" t="s">
        <v>14281</v>
      </c>
      <c r="K5969" s="417" t="s">
        <v>14406</v>
      </c>
      <c r="L5969" s="417"/>
      <c r="M5969" s="417" t="s">
        <v>28840</v>
      </c>
    </row>
    <row r="5970" spans="1:13" x14ac:dyDescent="0.25">
      <c r="A5970" s="417" t="s">
        <v>3385</v>
      </c>
      <c r="B5970" s="417" t="s">
        <v>2627</v>
      </c>
      <c r="C5970" s="417" t="s">
        <v>14407</v>
      </c>
      <c r="D5970" s="417" t="s">
        <v>83</v>
      </c>
      <c r="E5970" s="423">
        <v>0.3202085107378308</v>
      </c>
      <c r="F5970" s="423">
        <v>1.3464542312162011E-3</v>
      </c>
      <c r="G5970" s="422">
        <v>771.93173014217223</v>
      </c>
      <c r="H5970" s="417" t="s">
        <v>2616</v>
      </c>
      <c r="I5970" s="417" t="s">
        <v>1392</v>
      </c>
      <c r="J5970" s="417" t="s">
        <v>14281</v>
      </c>
      <c r="K5970" s="417" t="s">
        <v>14408</v>
      </c>
      <c r="L5970" s="417"/>
      <c r="M5970" s="417" t="s">
        <v>28840</v>
      </c>
    </row>
    <row r="5971" spans="1:13" x14ac:dyDescent="0.25">
      <c r="A5971" s="417" t="s">
        <v>3385</v>
      </c>
      <c r="B5971" s="417" t="s">
        <v>2627</v>
      </c>
      <c r="C5971" s="417" t="s">
        <v>14409</v>
      </c>
      <c r="D5971" s="417" t="s">
        <v>83</v>
      </c>
      <c r="E5971" s="423">
        <v>0.29496132383752399</v>
      </c>
      <c r="F5971" s="423">
        <v>1.6037545707488659E-3</v>
      </c>
      <c r="G5971" s="422">
        <v>758.05944162868093</v>
      </c>
      <c r="H5971" s="417" t="s">
        <v>2616</v>
      </c>
      <c r="I5971" s="417" t="s">
        <v>1392</v>
      </c>
      <c r="J5971" s="417" t="s">
        <v>14281</v>
      </c>
      <c r="K5971" s="417" t="s">
        <v>14410</v>
      </c>
      <c r="L5971" s="417"/>
      <c r="M5971" s="417" t="s">
        <v>28840</v>
      </c>
    </row>
    <row r="5972" spans="1:13" x14ac:dyDescent="0.25">
      <c r="A5972" s="417" t="s">
        <v>3385</v>
      </c>
      <c r="B5972" s="417" t="s">
        <v>2627</v>
      </c>
      <c r="C5972" s="417" t="s">
        <v>14411</v>
      </c>
      <c r="D5972" s="417" t="s">
        <v>83</v>
      </c>
      <c r="E5972" s="423">
        <v>0.2347890733899991</v>
      </c>
      <c r="F5972" s="423">
        <v>1.612284567967092E-3</v>
      </c>
      <c r="G5972" s="422">
        <v>676.97255476692612</v>
      </c>
      <c r="H5972" s="417" t="s">
        <v>2616</v>
      </c>
      <c r="I5972" s="417" t="s">
        <v>1392</v>
      </c>
      <c r="J5972" s="417" t="s">
        <v>14281</v>
      </c>
      <c r="K5972" s="417" t="s">
        <v>14412</v>
      </c>
      <c r="L5972" s="417"/>
      <c r="M5972" s="417" t="s">
        <v>28840</v>
      </c>
    </row>
    <row r="5973" spans="1:13" x14ac:dyDescent="0.25">
      <c r="A5973" s="417" t="s">
        <v>3385</v>
      </c>
      <c r="B5973" s="417" t="s">
        <v>2627</v>
      </c>
      <c r="C5973" s="417" t="s">
        <v>14413</v>
      </c>
      <c r="D5973" s="417" t="s">
        <v>83</v>
      </c>
      <c r="E5973" s="423">
        <v>0.25216067508403589</v>
      </c>
      <c r="F5973" s="423">
        <v>1.5758372325931861E-3</v>
      </c>
      <c r="G5973" s="422">
        <v>706.59874508744997</v>
      </c>
      <c r="H5973" s="417" t="s">
        <v>2616</v>
      </c>
      <c r="I5973" s="417" t="s">
        <v>1392</v>
      </c>
      <c r="J5973" s="417" t="s">
        <v>14281</v>
      </c>
      <c r="K5973" s="417" t="s">
        <v>14414</v>
      </c>
      <c r="L5973" s="417"/>
      <c r="M5973" s="417" t="s">
        <v>28840</v>
      </c>
    </row>
    <row r="5974" spans="1:13" x14ac:dyDescent="0.25">
      <c r="A5974" s="417" t="s">
        <v>3385</v>
      </c>
      <c r="B5974" s="417" t="s">
        <v>2627</v>
      </c>
      <c r="C5974" s="417" t="s">
        <v>14415</v>
      </c>
      <c r="D5974" s="417" t="s">
        <v>83</v>
      </c>
      <c r="E5974" s="423">
        <v>0.1335184369611066</v>
      </c>
      <c r="F5974" s="423">
        <v>3.0616493413558321E-3</v>
      </c>
      <c r="G5974" s="422">
        <v>553.48859060961024</v>
      </c>
      <c r="H5974" s="417" t="s">
        <v>2616</v>
      </c>
      <c r="I5974" s="417" t="s">
        <v>1392</v>
      </c>
      <c r="J5974" s="417" t="s">
        <v>14281</v>
      </c>
      <c r="K5974" s="417" t="s">
        <v>14416</v>
      </c>
      <c r="L5974" s="417"/>
      <c r="M5974" s="417" t="s">
        <v>28840</v>
      </c>
    </row>
    <row r="5975" spans="1:13" x14ac:dyDescent="0.25">
      <c r="A5975" s="417" t="s">
        <v>3385</v>
      </c>
      <c r="B5975" s="417" t="s">
        <v>2627</v>
      </c>
      <c r="C5975" s="417" t="s">
        <v>14417</v>
      </c>
      <c r="D5975" s="417" t="s">
        <v>83</v>
      </c>
      <c r="E5975" s="423">
        <v>0.33647639874262752</v>
      </c>
      <c r="F5975" s="423">
        <v>2.001776278137865E-3</v>
      </c>
      <c r="G5975" s="422">
        <v>816.65958976695515</v>
      </c>
      <c r="H5975" s="417" t="s">
        <v>2616</v>
      </c>
      <c r="I5975" s="417" t="s">
        <v>1392</v>
      </c>
      <c r="J5975" s="417" t="s">
        <v>14281</v>
      </c>
      <c r="K5975" s="417" t="s">
        <v>14418</v>
      </c>
      <c r="L5975" s="417"/>
      <c r="M5975" s="417" t="s">
        <v>28840</v>
      </c>
    </row>
    <row r="5976" spans="1:13" x14ac:dyDescent="0.25">
      <c r="A5976" s="417" t="s">
        <v>3385</v>
      </c>
      <c r="B5976" s="417" t="s">
        <v>2627</v>
      </c>
      <c r="C5976" s="417" t="s">
        <v>14419</v>
      </c>
      <c r="D5976" s="417" t="s">
        <v>83</v>
      </c>
      <c r="E5976" s="423">
        <v>0.37941694620741351</v>
      </c>
      <c r="F5976" s="423">
        <v>3.8102960172101568E-3</v>
      </c>
      <c r="G5976" s="422">
        <v>881.04789236118097</v>
      </c>
      <c r="H5976" s="417" t="s">
        <v>2616</v>
      </c>
      <c r="I5976" s="417" t="s">
        <v>1392</v>
      </c>
      <c r="J5976" s="417" t="s">
        <v>14281</v>
      </c>
      <c r="K5976" s="417" t="s">
        <v>14420</v>
      </c>
      <c r="L5976" s="417"/>
      <c r="M5976" s="417" t="s">
        <v>28840</v>
      </c>
    </row>
    <row r="5977" spans="1:13" x14ac:dyDescent="0.25">
      <c r="A5977" s="417" t="s">
        <v>3385</v>
      </c>
      <c r="B5977" s="417" t="s">
        <v>2627</v>
      </c>
      <c r="C5977" s="417" t="s">
        <v>14421</v>
      </c>
      <c r="D5977" s="417" t="s">
        <v>83</v>
      </c>
      <c r="E5977" s="423">
        <v>0.44512713521980152</v>
      </c>
      <c r="F5977" s="423">
        <v>2.3500894310996339E-3</v>
      </c>
      <c r="G5977" s="422">
        <v>971.85837111759201</v>
      </c>
      <c r="H5977" s="417" t="s">
        <v>2616</v>
      </c>
      <c r="I5977" s="417" t="s">
        <v>1392</v>
      </c>
      <c r="J5977" s="417" t="s">
        <v>14281</v>
      </c>
      <c r="K5977" s="417" t="s">
        <v>14422</v>
      </c>
      <c r="L5977" s="417"/>
      <c r="M5977" s="417" t="s">
        <v>28840</v>
      </c>
    </row>
    <row r="5978" spans="1:13" x14ac:dyDescent="0.25">
      <c r="A5978" s="417" t="s">
        <v>3385</v>
      </c>
      <c r="B5978" s="417" t="s">
        <v>2627</v>
      </c>
      <c r="C5978" s="417" t="s">
        <v>14423</v>
      </c>
      <c r="D5978" s="417" t="s">
        <v>83</v>
      </c>
      <c r="E5978" s="423">
        <v>0.32141700483881958</v>
      </c>
      <c r="F5978" s="423">
        <v>1.5340550602284419E-3</v>
      </c>
      <c r="G5978" s="422">
        <v>787.20278390839383</v>
      </c>
      <c r="H5978" s="417" t="s">
        <v>2616</v>
      </c>
      <c r="I5978" s="417" t="s">
        <v>1392</v>
      </c>
      <c r="J5978" s="417" t="s">
        <v>14281</v>
      </c>
      <c r="K5978" s="417" t="s">
        <v>14424</v>
      </c>
      <c r="L5978" s="417"/>
      <c r="M5978" s="417" t="s">
        <v>28840</v>
      </c>
    </row>
    <row r="5979" spans="1:13" x14ac:dyDescent="0.25">
      <c r="A5979" s="417" t="s">
        <v>3385</v>
      </c>
      <c r="B5979" s="417" t="s">
        <v>2627</v>
      </c>
      <c r="C5979" s="417" t="s">
        <v>14425</v>
      </c>
      <c r="D5979" s="417" t="s">
        <v>83</v>
      </c>
      <c r="E5979" s="423">
        <v>0.31721559960621848</v>
      </c>
      <c r="F5979" s="423">
        <v>1.0696281432595251E-3</v>
      </c>
      <c r="G5979" s="422">
        <v>779.10284638329108</v>
      </c>
      <c r="H5979" s="417" t="s">
        <v>2616</v>
      </c>
      <c r="I5979" s="417" t="s">
        <v>1392</v>
      </c>
      <c r="J5979" s="417" t="s">
        <v>14281</v>
      </c>
      <c r="K5979" s="417" t="s">
        <v>14426</v>
      </c>
      <c r="L5979" s="417"/>
      <c r="M5979" s="417" t="s">
        <v>28840</v>
      </c>
    </row>
    <row r="5980" spans="1:13" x14ac:dyDescent="0.25">
      <c r="A5980" s="417" t="s">
        <v>3385</v>
      </c>
      <c r="B5980" s="417" t="s">
        <v>2627</v>
      </c>
      <c r="C5980" s="417" t="s">
        <v>14427</v>
      </c>
      <c r="D5980" s="417" t="s">
        <v>83</v>
      </c>
      <c r="E5980" s="423">
        <v>0.1208986667196964</v>
      </c>
      <c r="F5980" s="423">
        <v>2.1453364008472168E-3</v>
      </c>
      <c r="G5980" s="422">
        <v>535.3782108399115</v>
      </c>
      <c r="H5980" s="417" t="s">
        <v>2616</v>
      </c>
      <c r="I5980" s="417" t="s">
        <v>1392</v>
      </c>
      <c r="J5980" s="417" t="s">
        <v>14281</v>
      </c>
      <c r="K5980" s="417" t="s">
        <v>14428</v>
      </c>
      <c r="L5980" s="417"/>
      <c r="M5980" s="417" t="s">
        <v>28840</v>
      </c>
    </row>
    <row r="5981" spans="1:13" x14ac:dyDescent="0.25">
      <c r="A5981" s="417" t="s">
        <v>3385</v>
      </c>
      <c r="B5981" s="417" t="s">
        <v>2627</v>
      </c>
      <c r="C5981" s="417" t="s">
        <v>14429</v>
      </c>
      <c r="D5981" s="417" t="s">
        <v>83</v>
      </c>
      <c r="E5981" s="423">
        <v>0.23507136254941979</v>
      </c>
      <c r="F5981" s="423">
        <v>2.8485218797520621E-3</v>
      </c>
      <c r="G5981" s="422">
        <v>709.40279926975381</v>
      </c>
      <c r="H5981" s="417" t="s">
        <v>2616</v>
      </c>
      <c r="I5981" s="417" t="s">
        <v>1392</v>
      </c>
      <c r="J5981" s="417" t="s">
        <v>14281</v>
      </c>
      <c r="K5981" s="417" t="s">
        <v>14430</v>
      </c>
      <c r="L5981" s="417"/>
      <c r="M5981" s="417" t="s">
        <v>28840</v>
      </c>
    </row>
    <row r="5982" spans="1:13" x14ac:dyDescent="0.25">
      <c r="A5982" s="417" t="s">
        <v>3385</v>
      </c>
      <c r="B5982" s="417" t="s">
        <v>2627</v>
      </c>
      <c r="C5982" s="417" t="s">
        <v>14431</v>
      </c>
      <c r="D5982" s="417" t="s">
        <v>83</v>
      </c>
      <c r="E5982" s="423">
        <v>0.14005417267491199</v>
      </c>
      <c r="F5982" s="423">
        <v>2.1373038780902738E-3</v>
      </c>
      <c r="G5982" s="422">
        <v>598.37512987788455</v>
      </c>
      <c r="H5982" s="417" t="s">
        <v>2616</v>
      </c>
      <c r="I5982" s="417" t="s">
        <v>1392</v>
      </c>
      <c r="J5982" s="417" t="s">
        <v>14281</v>
      </c>
      <c r="K5982" s="417" t="s">
        <v>14432</v>
      </c>
      <c r="L5982" s="417"/>
      <c r="M5982" s="417" t="s">
        <v>28840</v>
      </c>
    </row>
    <row r="5983" spans="1:13" x14ac:dyDescent="0.25">
      <c r="A5983" s="417" t="s">
        <v>3385</v>
      </c>
      <c r="B5983" s="417" t="s">
        <v>2627</v>
      </c>
      <c r="C5983" s="417" t="s">
        <v>14433</v>
      </c>
      <c r="D5983" s="417" t="s">
        <v>83</v>
      </c>
      <c r="E5983" s="423">
        <v>0.25151975377481961</v>
      </c>
      <c r="F5983" s="423">
        <v>1.5340550602284419E-3</v>
      </c>
      <c r="G5983" s="422">
        <v>700.49707474852823</v>
      </c>
      <c r="H5983" s="417" t="s">
        <v>2616</v>
      </c>
      <c r="I5983" s="417" t="s">
        <v>1392</v>
      </c>
      <c r="J5983" s="417" t="s">
        <v>14281</v>
      </c>
      <c r="K5983" s="417" t="s">
        <v>14434</v>
      </c>
      <c r="L5983" s="417"/>
      <c r="M5983" s="417" t="s">
        <v>28840</v>
      </c>
    </row>
    <row r="5984" spans="1:13" x14ac:dyDescent="0.25">
      <c r="A5984" s="417" t="s">
        <v>3385</v>
      </c>
      <c r="B5984" s="417" t="s">
        <v>2627</v>
      </c>
      <c r="C5984" s="417" t="s">
        <v>14435</v>
      </c>
      <c r="D5984" s="417" t="s">
        <v>83</v>
      </c>
      <c r="E5984" s="423">
        <v>0.3504246266416311</v>
      </c>
      <c r="F5984" s="423">
        <v>1.649509645901449E-3</v>
      </c>
      <c r="G5984" s="422">
        <v>812.21803439238886</v>
      </c>
      <c r="H5984" s="417" t="s">
        <v>2616</v>
      </c>
      <c r="I5984" s="417" t="s">
        <v>1392</v>
      </c>
      <c r="J5984" s="417" t="s">
        <v>14281</v>
      </c>
      <c r="K5984" s="417" t="s">
        <v>14436</v>
      </c>
      <c r="L5984" s="417"/>
      <c r="M5984" s="417" t="s">
        <v>28840</v>
      </c>
    </row>
    <row r="5985" spans="1:13" x14ac:dyDescent="0.25">
      <c r="A5985" s="417" t="s">
        <v>3385</v>
      </c>
      <c r="B5985" s="417" t="s">
        <v>2627</v>
      </c>
      <c r="C5985" s="417" t="s">
        <v>14437</v>
      </c>
      <c r="D5985" s="417" t="s">
        <v>83</v>
      </c>
      <c r="E5985" s="423">
        <v>0.4071161426368971</v>
      </c>
      <c r="F5985" s="423">
        <v>1.603754570624234E-3</v>
      </c>
      <c r="G5985" s="422">
        <v>895.80090542354719</v>
      </c>
      <c r="H5985" s="417" t="s">
        <v>2616</v>
      </c>
      <c r="I5985" s="417" t="s">
        <v>1392</v>
      </c>
      <c r="J5985" s="417" t="s">
        <v>14281</v>
      </c>
      <c r="K5985" s="417" t="s">
        <v>14438</v>
      </c>
      <c r="L5985" s="417"/>
      <c r="M5985" s="417" t="s">
        <v>28840</v>
      </c>
    </row>
    <row r="5986" spans="1:13" x14ac:dyDescent="0.25">
      <c r="A5986" s="417" t="s">
        <v>3385</v>
      </c>
      <c r="B5986" s="417" t="s">
        <v>2627</v>
      </c>
      <c r="C5986" s="417" t="s">
        <v>14439</v>
      </c>
      <c r="D5986" s="417" t="s">
        <v>83</v>
      </c>
      <c r="E5986" s="423">
        <v>0.3347872102647203</v>
      </c>
      <c r="F5986" s="423">
        <v>1.8920373762202291E-3</v>
      </c>
      <c r="G5986" s="422">
        <v>784.21608240315743</v>
      </c>
      <c r="H5986" s="417" t="s">
        <v>2616</v>
      </c>
      <c r="I5986" s="417" t="s">
        <v>1392</v>
      </c>
      <c r="J5986" s="417" t="s">
        <v>14281</v>
      </c>
      <c r="K5986" s="417" t="s">
        <v>14440</v>
      </c>
      <c r="L5986" s="417"/>
      <c r="M5986" s="417" t="s">
        <v>28840</v>
      </c>
    </row>
    <row r="5987" spans="1:13" x14ac:dyDescent="0.25">
      <c r="A5987" s="417" t="s">
        <v>3385</v>
      </c>
      <c r="B5987" s="417" t="s">
        <v>2627</v>
      </c>
      <c r="C5987" s="417" t="s">
        <v>14441</v>
      </c>
      <c r="D5987" s="417" t="s">
        <v>83</v>
      </c>
      <c r="E5987" s="423">
        <v>0.30213465134477091</v>
      </c>
      <c r="F5987" s="423">
        <v>1.8762839948113169E-3</v>
      </c>
      <c r="G5987" s="422">
        <v>787.71459636031443</v>
      </c>
      <c r="H5987" s="417" t="s">
        <v>2616</v>
      </c>
      <c r="I5987" s="417" t="s">
        <v>1392</v>
      </c>
      <c r="J5987" s="417" t="s">
        <v>14281</v>
      </c>
      <c r="K5987" s="417" t="s">
        <v>14442</v>
      </c>
      <c r="L5987" s="417"/>
      <c r="M5987" s="417" t="s">
        <v>28840</v>
      </c>
    </row>
    <row r="5988" spans="1:13" x14ac:dyDescent="0.25">
      <c r="A5988" s="417" t="s">
        <v>3385</v>
      </c>
      <c r="B5988" s="417" t="s">
        <v>2627</v>
      </c>
      <c r="C5988" s="417" t="s">
        <v>14443</v>
      </c>
      <c r="D5988" s="417" t="s">
        <v>83</v>
      </c>
      <c r="E5988" s="423">
        <v>0.38902021055680452</v>
      </c>
      <c r="F5988" s="423">
        <v>1.6524894162833429E-3</v>
      </c>
      <c r="G5988" s="422">
        <v>870.23732618003044</v>
      </c>
      <c r="H5988" s="417" t="s">
        <v>2616</v>
      </c>
      <c r="I5988" s="417" t="s">
        <v>1392</v>
      </c>
      <c r="J5988" s="417" t="s">
        <v>14281</v>
      </c>
      <c r="K5988" s="417" t="s">
        <v>14444</v>
      </c>
      <c r="L5988" s="417"/>
      <c r="M5988" s="417" t="s">
        <v>28840</v>
      </c>
    </row>
    <row r="5989" spans="1:13" x14ac:dyDescent="0.25">
      <c r="A5989" s="417" t="s">
        <v>3385</v>
      </c>
      <c r="B5989" s="417" t="s">
        <v>2627</v>
      </c>
      <c r="C5989" s="417" t="s">
        <v>14445</v>
      </c>
      <c r="D5989" s="417" t="s">
        <v>83</v>
      </c>
      <c r="E5989" s="423">
        <v>9.3248466689179466E-2</v>
      </c>
      <c r="F5989" s="423">
        <v>2.301972710525943E-3</v>
      </c>
      <c r="G5989" s="422">
        <v>501.52106774042062</v>
      </c>
      <c r="H5989" s="417" t="s">
        <v>2616</v>
      </c>
      <c r="I5989" s="417" t="s">
        <v>1392</v>
      </c>
      <c r="J5989" s="417" t="s">
        <v>14281</v>
      </c>
      <c r="K5989" s="417" t="s">
        <v>14446</v>
      </c>
      <c r="L5989" s="417"/>
      <c r="M5989" s="417" t="s">
        <v>28840</v>
      </c>
    </row>
    <row r="5990" spans="1:13" x14ac:dyDescent="0.25">
      <c r="A5990" s="417" t="s">
        <v>3385</v>
      </c>
      <c r="B5990" s="417" t="s">
        <v>2627</v>
      </c>
      <c r="C5990" s="417" t="s">
        <v>14447</v>
      </c>
      <c r="D5990" s="417" t="s">
        <v>83</v>
      </c>
      <c r="E5990" s="423">
        <v>8.5595354569171042E-2</v>
      </c>
      <c r="F5990" s="423">
        <v>1.3360799800790971E-3</v>
      </c>
      <c r="G5990" s="422">
        <v>486.04077219642022</v>
      </c>
      <c r="H5990" s="417" t="s">
        <v>2616</v>
      </c>
      <c r="I5990" s="417" t="s">
        <v>1392</v>
      </c>
      <c r="J5990" s="417" t="s">
        <v>14281</v>
      </c>
      <c r="K5990" s="417" t="s">
        <v>14448</v>
      </c>
      <c r="L5990" s="417"/>
      <c r="M5990" s="417" t="s">
        <v>28840</v>
      </c>
    </row>
    <row r="5991" spans="1:13" x14ac:dyDescent="0.25">
      <c r="A5991" s="417" t="s">
        <v>3385</v>
      </c>
      <c r="B5991" s="417" t="s">
        <v>2627</v>
      </c>
      <c r="C5991" s="417" t="s">
        <v>14449</v>
      </c>
      <c r="D5991" s="417" t="s">
        <v>83</v>
      </c>
      <c r="E5991" s="423">
        <v>0.22771974797881961</v>
      </c>
      <c r="F5991" s="423">
        <v>1.534055060228441E-3</v>
      </c>
      <c r="G5991" s="422">
        <v>672.1102983860427</v>
      </c>
      <c r="H5991" s="417" t="s">
        <v>2616</v>
      </c>
      <c r="I5991" s="417" t="s">
        <v>1392</v>
      </c>
      <c r="J5991" s="417" t="s">
        <v>14281</v>
      </c>
      <c r="K5991" s="417" t="s">
        <v>14450</v>
      </c>
      <c r="L5991" s="417"/>
      <c r="M5991" s="417" t="s">
        <v>28840</v>
      </c>
    </row>
    <row r="5992" spans="1:13" x14ac:dyDescent="0.25">
      <c r="A5992" s="417" t="s">
        <v>3385</v>
      </c>
      <c r="B5992" s="417" t="s">
        <v>2627</v>
      </c>
      <c r="C5992" s="417" t="s">
        <v>14451</v>
      </c>
      <c r="D5992" s="417" t="s">
        <v>83</v>
      </c>
      <c r="E5992" s="423">
        <v>0.25736370538375608</v>
      </c>
      <c r="F5992" s="423">
        <v>1.30977016542788E-3</v>
      </c>
      <c r="G5992" s="422">
        <v>693.90736609954035</v>
      </c>
      <c r="H5992" s="417" t="s">
        <v>2616</v>
      </c>
      <c r="I5992" s="417" t="s">
        <v>1392</v>
      </c>
      <c r="J5992" s="417" t="s">
        <v>14281</v>
      </c>
      <c r="K5992" s="417" t="s">
        <v>14452</v>
      </c>
      <c r="L5992" s="417"/>
      <c r="M5992" s="417" t="s">
        <v>28840</v>
      </c>
    </row>
    <row r="5993" spans="1:13" x14ac:dyDescent="0.25">
      <c r="A5993" s="417" t="s">
        <v>3385</v>
      </c>
      <c r="B5993" s="417" t="s">
        <v>2627</v>
      </c>
      <c r="C5993" s="417" t="s">
        <v>14453</v>
      </c>
      <c r="D5993" s="417" t="s">
        <v>83</v>
      </c>
      <c r="E5993" s="423">
        <v>0.2470268326084919</v>
      </c>
      <c r="F5993" s="423">
        <v>2.2217263486114238E-3</v>
      </c>
      <c r="G5993" s="422">
        <v>688.11960956571454</v>
      </c>
      <c r="H5993" s="417" t="s">
        <v>2616</v>
      </c>
      <c r="I5993" s="417" t="s">
        <v>1392</v>
      </c>
      <c r="J5993" s="417" t="s">
        <v>14281</v>
      </c>
      <c r="K5993" s="417" t="s">
        <v>14454</v>
      </c>
      <c r="L5993" s="417"/>
      <c r="M5993" s="417" t="s">
        <v>28840</v>
      </c>
    </row>
    <row r="5994" spans="1:13" x14ac:dyDescent="0.25">
      <c r="A5994" s="417" t="s">
        <v>3385</v>
      </c>
      <c r="B5994" s="417" t="s">
        <v>2627</v>
      </c>
      <c r="C5994" s="417" t="s">
        <v>14455</v>
      </c>
      <c r="D5994" s="417" t="s">
        <v>83</v>
      </c>
      <c r="E5994" s="423">
        <v>0.17228205633858931</v>
      </c>
      <c r="F5994" s="423">
        <v>1.534055060163259E-3</v>
      </c>
      <c r="G5994" s="422">
        <v>604.47669421443959</v>
      </c>
      <c r="H5994" s="417" t="s">
        <v>2616</v>
      </c>
      <c r="I5994" s="417" t="s">
        <v>1392</v>
      </c>
      <c r="J5994" s="417" t="s">
        <v>14281</v>
      </c>
      <c r="K5994" s="417" t="s">
        <v>14456</v>
      </c>
      <c r="L5994" s="417"/>
      <c r="M5994" s="417" t="s">
        <v>28840</v>
      </c>
    </row>
    <row r="5995" spans="1:13" x14ac:dyDescent="0.25">
      <c r="A5995" s="417" t="s">
        <v>3385</v>
      </c>
      <c r="B5995" s="417" t="s">
        <v>2627</v>
      </c>
      <c r="C5995" s="417" t="s">
        <v>14457</v>
      </c>
      <c r="D5995" s="417" t="s">
        <v>83</v>
      </c>
      <c r="E5995" s="423">
        <v>0.42183037291251713</v>
      </c>
      <c r="F5995" s="423">
        <v>1.4192255430360401E-3</v>
      </c>
      <c r="G5995" s="422">
        <v>902.78634783120549</v>
      </c>
      <c r="H5995" s="417" t="s">
        <v>2616</v>
      </c>
      <c r="I5995" s="417" t="s">
        <v>1392</v>
      </c>
      <c r="J5995" s="417" t="s">
        <v>14281</v>
      </c>
      <c r="K5995" s="417" t="s">
        <v>14458</v>
      </c>
      <c r="L5995" s="417"/>
      <c r="M5995" s="417" t="s">
        <v>28840</v>
      </c>
    </row>
    <row r="5996" spans="1:13" x14ac:dyDescent="0.25">
      <c r="A5996" s="417" t="s">
        <v>3385</v>
      </c>
      <c r="B5996" s="417" t="s">
        <v>2627</v>
      </c>
      <c r="C5996" s="417" t="s">
        <v>14459</v>
      </c>
      <c r="D5996" s="417" t="s">
        <v>83</v>
      </c>
      <c r="E5996" s="423">
        <v>0.32733844694413111</v>
      </c>
      <c r="F5996" s="423">
        <v>1.348274915811982E-3</v>
      </c>
      <c r="G5996" s="422">
        <v>782.63561022735405</v>
      </c>
      <c r="H5996" s="417" t="s">
        <v>2616</v>
      </c>
      <c r="I5996" s="417" t="s">
        <v>1392</v>
      </c>
      <c r="J5996" s="417" t="s">
        <v>14281</v>
      </c>
      <c r="K5996" s="417" t="s">
        <v>14460</v>
      </c>
      <c r="L5996" s="417"/>
      <c r="M5996" s="417" t="s">
        <v>28840</v>
      </c>
    </row>
    <row r="5997" spans="1:13" x14ac:dyDescent="0.25">
      <c r="A5997" s="417" t="s">
        <v>3385</v>
      </c>
      <c r="B5997" s="417" t="s">
        <v>2627</v>
      </c>
      <c r="C5997" s="417" t="s">
        <v>14461</v>
      </c>
      <c r="D5997" s="417" t="s">
        <v>83</v>
      </c>
      <c r="E5997" s="423">
        <v>0.14058629694796729</v>
      </c>
      <c r="F5997" s="423">
        <v>1.05399973807571E-3</v>
      </c>
      <c r="G5997" s="422">
        <v>565.00149546002251</v>
      </c>
      <c r="H5997" s="417" t="s">
        <v>2616</v>
      </c>
      <c r="I5997" s="417" t="s">
        <v>1392</v>
      </c>
      <c r="J5997" s="417" t="s">
        <v>14281</v>
      </c>
      <c r="K5997" s="417" t="s">
        <v>14462</v>
      </c>
      <c r="L5997" s="417"/>
      <c r="M5997" s="417" t="s">
        <v>28840</v>
      </c>
    </row>
    <row r="5998" spans="1:13" x14ac:dyDescent="0.25">
      <c r="A5998" s="417" t="s">
        <v>3385</v>
      </c>
      <c r="B5998" s="417" t="s">
        <v>2627</v>
      </c>
      <c r="C5998" s="417" t="s">
        <v>14463</v>
      </c>
      <c r="D5998" s="417" t="s">
        <v>83</v>
      </c>
      <c r="E5998" s="423">
        <v>0.30881635732715218</v>
      </c>
      <c r="F5998" s="423">
        <v>4.7019738184449064E-3</v>
      </c>
      <c r="G5998" s="422">
        <v>799.13092711231513</v>
      </c>
      <c r="H5998" s="417" t="s">
        <v>2616</v>
      </c>
      <c r="I5998" s="417" t="s">
        <v>1392</v>
      </c>
      <c r="J5998" s="417" t="s">
        <v>14281</v>
      </c>
      <c r="K5998" s="417" t="s">
        <v>14464</v>
      </c>
      <c r="L5998" s="417"/>
      <c r="M5998" s="417" t="s">
        <v>28840</v>
      </c>
    </row>
    <row r="5999" spans="1:13" x14ac:dyDescent="0.25">
      <c r="A5999" s="417" t="s">
        <v>3385</v>
      </c>
      <c r="B5999" s="417" t="s">
        <v>2627</v>
      </c>
      <c r="C5999" s="417" t="s">
        <v>14465</v>
      </c>
      <c r="D5999" s="417" t="s">
        <v>83</v>
      </c>
      <c r="E5999" s="423">
        <v>1.3718598414457921</v>
      </c>
      <c r="F5999" s="423">
        <v>1.6495096459509999E-3</v>
      </c>
      <c r="G5999" s="422">
        <v>2050.4423296521059</v>
      </c>
      <c r="H5999" s="417" t="s">
        <v>2616</v>
      </c>
      <c r="I5999" s="417" t="s">
        <v>1392</v>
      </c>
      <c r="J5999" s="417" t="s">
        <v>14281</v>
      </c>
      <c r="K5999" s="417" t="s">
        <v>14466</v>
      </c>
      <c r="L5999" s="417"/>
      <c r="M5999" s="417" t="s">
        <v>28840</v>
      </c>
    </row>
    <row r="6000" spans="1:13" x14ac:dyDescent="0.25">
      <c r="A6000" s="417" t="s">
        <v>3385</v>
      </c>
      <c r="B6000" s="417" t="s">
        <v>2627</v>
      </c>
      <c r="C6000" s="417" t="s">
        <v>14467</v>
      </c>
      <c r="D6000" s="417" t="s">
        <v>83</v>
      </c>
      <c r="E6000" s="423">
        <v>0.24138416038210231</v>
      </c>
      <c r="F6000" s="423">
        <v>1.616430961732012E-3</v>
      </c>
      <c r="G6000" s="422">
        <v>685.56618691936706</v>
      </c>
      <c r="H6000" s="417" t="s">
        <v>2616</v>
      </c>
      <c r="I6000" s="417" t="s">
        <v>1392</v>
      </c>
      <c r="J6000" s="417" t="s">
        <v>14281</v>
      </c>
      <c r="K6000" s="417" t="s">
        <v>14468</v>
      </c>
      <c r="L6000" s="417"/>
      <c r="M6000" s="417" t="s">
        <v>28840</v>
      </c>
    </row>
    <row r="6001" spans="1:13" x14ac:dyDescent="0.25">
      <c r="A6001" s="417" t="s">
        <v>3385</v>
      </c>
      <c r="B6001" s="417" t="s">
        <v>2627</v>
      </c>
      <c r="C6001" s="417" t="s">
        <v>14469</v>
      </c>
      <c r="D6001" s="417" t="s">
        <v>83</v>
      </c>
      <c r="E6001" s="423">
        <v>0.21798131750576241</v>
      </c>
      <c r="F6001" s="423">
        <v>1.3464542311725279E-3</v>
      </c>
      <c r="G6001" s="422">
        <v>646.57850573584437</v>
      </c>
      <c r="H6001" s="417" t="s">
        <v>2616</v>
      </c>
      <c r="I6001" s="417" t="s">
        <v>1392</v>
      </c>
      <c r="J6001" s="417" t="s">
        <v>14281</v>
      </c>
      <c r="K6001" s="417" t="s">
        <v>14470</v>
      </c>
      <c r="L6001" s="417"/>
      <c r="M6001" s="417" t="s">
        <v>28840</v>
      </c>
    </row>
    <row r="6002" spans="1:13" x14ac:dyDescent="0.25">
      <c r="A6002" s="417" t="s">
        <v>3385</v>
      </c>
      <c r="B6002" s="417" t="s">
        <v>2627</v>
      </c>
      <c r="C6002" s="417" t="s">
        <v>14471</v>
      </c>
      <c r="D6002" s="417" t="s">
        <v>83</v>
      </c>
      <c r="E6002" s="423">
        <v>0.3308850708945193</v>
      </c>
      <c r="F6002" s="423">
        <v>1.7092347234280061E-3</v>
      </c>
      <c r="G6002" s="422">
        <v>825.24061878323482</v>
      </c>
      <c r="H6002" s="417" t="s">
        <v>2616</v>
      </c>
      <c r="I6002" s="417" t="s">
        <v>1392</v>
      </c>
      <c r="J6002" s="417" t="s">
        <v>14281</v>
      </c>
      <c r="K6002" s="417" t="s">
        <v>14472</v>
      </c>
      <c r="L6002" s="417"/>
      <c r="M6002" s="417" t="s">
        <v>28840</v>
      </c>
    </row>
    <row r="6003" spans="1:13" x14ac:dyDescent="0.25">
      <c r="A6003" s="417" t="s">
        <v>3385</v>
      </c>
      <c r="B6003" s="417" t="s">
        <v>2627</v>
      </c>
      <c r="C6003" s="417" t="s">
        <v>14473</v>
      </c>
      <c r="D6003" s="417" t="s">
        <v>83</v>
      </c>
      <c r="E6003" s="423">
        <v>0.34862522948525432</v>
      </c>
      <c r="F6003" s="423">
        <v>1.494893463947598E-3</v>
      </c>
      <c r="G6003" s="422">
        <v>817.98278348131134</v>
      </c>
      <c r="H6003" s="417" t="s">
        <v>2616</v>
      </c>
      <c r="I6003" s="417" t="s">
        <v>1392</v>
      </c>
      <c r="J6003" s="417" t="s">
        <v>14281</v>
      </c>
      <c r="K6003" s="417" t="s">
        <v>14474</v>
      </c>
      <c r="L6003" s="417"/>
      <c r="M6003" s="417" t="s">
        <v>28840</v>
      </c>
    </row>
    <row r="6004" spans="1:13" x14ac:dyDescent="0.25">
      <c r="A6004" s="417" t="s">
        <v>3385</v>
      </c>
      <c r="B6004" s="417" t="s">
        <v>2627</v>
      </c>
      <c r="C6004" s="417" t="s">
        <v>14475</v>
      </c>
      <c r="D6004" s="417" t="s">
        <v>83</v>
      </c>
      <c r="E6004" s="423">
        <v>0.28166323426290252</v>
      </c>
      <c r="F6004" s="423">
        <v>1.8756913409952651E-3</v>
      </c>
      <c r="G6004" s="422">
        <v>721.33863784343237</v>
      </c>
      <c r="H6004" s="417" t="s">
        <v>2616</v>
      </c>
      <c r="I6004" s="417" t="s">
        <v>1392</v>
      </c>
      <c r="J6004" s="417" t="s">
        <v>14281</v>
      </c>
      <c r="K6004" s="417" t="s">
        <v>14476</v>
      </c>
      <c r="L6004" s="417"/>
      <c r="M6004" s="417" t="s">
        <v>28840</v>
      </c>
    </row>
    <row r="6005" spans="1:13" x14ac:dyDescent="0.25">
      <c r="A6005" s="417" t="s">
        <v>3385</v>
      </c>
      <c r="B6005" s="417" t="s">
        <v>2627</v>
      </c>
      <c r="C6005" s="417" t="s">
        <v>14477</v>
      </c>
      <c r="D6005" s="417" t="s">
        <v>83</v>
      </c>
      <c r="E6005" s="423">
        <v>0.50124147207726555</v>
      </c>
      <c r="F6005" s="423">
        <v>1.649509645878181E-3</v>
      </c>
      <c r="G6005" s="422">
        <v>995.04363584252644</v>
      </c>
      <c r="H6005" s="417" t="s">
        <v>2616</v>
      </c>
      <c r="I6005" s="417" t="s">
        <v>1392</v>
      </c>
      <c r="J6005" s="417" t="s">
        <v>14281</v>
      </c>
      <c r="K6005" s="417" t="s">
        <v>14478</v>
      </c>
      <c r="L6005" s="417"/>
      <c r="M6005" s="417" t="s">
        <v>28840</v>
      </c>
    </row>
    <row r="6006" spans="1:13" x14ac:dyDescent="0.25">
      <c r="A6006" s="417" t="s">
        <v>3385</v>
      </c>
      <c r="B6006" s="417" t="s">
        <v>2627</v>
      </c>
      <c r="C6006" s="417" t="s">
        <v>14479</v>
      </c>
      <c r="D6006" s="417" t="s">
        <v>83</v>
      </c>
      <c r="E6006" s="423">
        <v>0.54926750495757803</v>
      </c>
      <c r="F6006" s="423">
        <v>1.346454231187025E-3</v>
      </c>
      <c r="G6006" s="422">
        <v>1051.1532766424741</v>
      </c>
      <c r="H6006" s="417" t="s">
        <v>2616</v>
      </c>
      <c r="I6006" s="417" t="s">
        <v>1392</v>
      </c>
      <c r="J6006" s="417" t="s">
        <v>14281</v>
      </c>
      <c r="K6006" s="417" t="s">
        <v>14480</v>
      </c>
      <c r="L6006" s="417"/>
      <c r="M6006" s="417" t="s">
        <v>28840</v>
      </c>
    </row>
    <row r="6007" spans="1:13" x14ac:dyDescent="0.25">
      <c r="A6007" s="417" t="s">
        <v>3385</v>
      </c>
      <c r="B6007" s="417" t="s">
        <v>2627</v>
      </c>
      <c r="C6007" s="417" t="s">
        <v>14481</v>
      </c>
      <c r="D6007" s="417" t="s">
        <v>83</v>
      </c>
      <c r="E6007" s="423">
        <v>0.1969704934349592</v>
      </c>
      <c r="F6007" s="423">
        <v>1.838249412021735E-3</v>
      </c>
      <c r="G6007" s="422">
        <v>671.69869964372901</v>
      </c>
      <c r="H6007" s="417" t="s">
        <v>2616</v>
      </c>
      <c r="I6007" s="417" t="s">
        <v>1392</v>
      </c>
      <c r="J6007" s="417" t="s">
        <v>14281</v>
      </c>
      <c r="K6007" s="417" t="s">
        <v>14482</v>
      </c>
      <c r="L6007" s="417"/>
      <c r="M6007" s="417" t="s">
        <v>28840</v>
      </c>
    </row>
    <row r="6008" spans="1:13" x14ac:dyDescent="0.25">
      <c r="A6008" s="417" t="s">
        <v>3385</v>
      </c>
      <c r="B6008" s="417" t="s">
        <v>2627</v>
      </c>
      <c r="C6008" s="417" t="s">
        <v>14483</v>
      </c>
      <c r="D6008" s="417" t="s">
        <v>83</v>
      </c>
      <c r="E6008" s="423">
        <v>0.28390273577119568</v>
      </c>
      <c r="F6008" s="423">
        <v>1.356358176243798E-3</v>
      </c>
      <c r="G6008" s="422">
        <v>742.39224019117466</v>
      </c>
      <c r="H6008" s="417" t="s">
        <v>2616</v>
      </c>
      <c r="I6008" s="417" t="s">
        <v>1392</v>
      </c>
      <c r="J6008" s="417" t="s">
        <v>14281</v>
      </c>
      <c r="K6008" s="417" t="s">
        <v>14484</v>
      </c>
      <c r="L6008" s="417"/>
      <c r="M6008" s="417" t="s">
        <v>28840</v>
      </c>
    </row>
    <row r="6009" spans="1:13" x14ac:dyDescent="0.25">
      <c r="A6009" s="417" t="s">
        <v>3385</v>
      </c>
      <c r="B6009" s="417" t="s">
        <v>2627</v>
      </c>
      <c r="C6009" s="417" t="s">
        <v>14485</v>
      </c>
      <c r="D6009" s="417" t="s">
        <v>83</v>
      </c>
      <c r="E6009" s="423">
        <v>0.37928174785964192</v>
      </c>
      <c r="F6009" s="423">
        <v>1.824767689778756E-3</v>
      </c>
      <c r="G6009" s="422">
        <v>840.96450356472985</v>
      </c>
      <c r="H6009" s="417" t="s">
        <v>2616</v>
      </c>
      <c r="I6009" s="417" t="s">
        <v>1392</v>
      </c>
      <c r="J6009" s="417" t="s">
        <v>14281</v>
      </c>
      <c r="K6009" s="417" t="s">
        <v>14486</v>
      </c>
      <c r="L6009" s="417"/>
      <c r="M6009" s="417" t="s">
        <v>28840</v>
      </c>
    </row>
    <row r="6010" spans="1:13" x14ac:dyDescent="0.25">
      <c r="A6010" s="417" t="s">
        <v>3385</v>
      </c>
      <c r="B6010" s="417" t="s">
        <v>2627</v>
      </c>
      <c r="C6010" s="417" t="s">
        <v>14487</v>
      </c>
      <c r="D6010" s="417" t="s">
        <v>83</v>
      </c>
      <c r="E6010" s="423">
        <v>0.22098845436150091</v>
      </c>
      <c r="F6010" s="423">
        <v>2.3188157234196481E-3</v>
      </c>
      <c r="G6010" s="422">
        <v>1176.296171318822</v>
      </c>
      <c r="H6010" s="417" t="s">
        <v>2616</v>
      </c>
      <c r="I6010" s="417" t="s">
        <v>1392</v>
      </c>
      <c r="J6010" s="417" t="s">
        <v>14281</v>
      </c>
      <c r="K6010" s="417" t="s">
        <v>14488</v>
      </c>
      <c r="L6010" s="417"/>
      <c r="M6010" s="417" t="s">
        <v>28840</v>
      </c>
    </row>
    <row r="6011" spans="1:13" x14ac:dyDescent="0.25">
      <c r="A6011" s="417" t="s">
        <v>3385</v>
      </c>
      <c r="B6011" s="417" t="s">
        <v>2627</v>
      </c>
      <c r="C6011" s="417" t="s">
        <v>14489</v>
      </c>
      <c r="D6011" s="417" t="s">
        <v>83</v>
      </c>
      <c r="E6011" s="423">
        <v>0.23131427970998611</v>
      </c>
      <c r="F6011" s="423">
        <v>3.16132840658439E-3</v>
      </c>
      <c r="G6011" s="422">
        <v>710.64975608803331</v>
      </c>
      <c r="H6011" s="417" t="s">
        <v>2616</v>
      </c>
      <c r="I6011" s="417" t="s">
        <v>1392</v>
      </c>
      <c r="J6011" s="417" t="s">
        <v>14281</v>
      </c>
      <c r="K6011" s="417" t="s">
        <v>14490</v>
      </c>
      <c r="L6011" s="417"/>
      <c r="M6011" s="417" t="s">
        <v>28840</v>
      </c>
    </row>
    <row r="6012" spans="1:13" x14ac:dyDescent="0.25">
      <c r="A6012" s="417" t="s">
        <v>3385</v>
      </c>
      <c r="B6012" s="417" t="s">
        <v>2627</v>
      </c>
      <c r="C6012" s="417" t="s">
        <v>14491</v>
      </c>
      <c r="D6012" s="417" t="s">
        <v>83</v>
      </c>
      <c r="E6012" s="423">
        <v>0.24386803425155679</v>
      </c>
      <c r="F6012" s="423">
        <v>2.1874181167469918E-3</v>
      </c>
      <c r="G6012" s="422">
        <v>713.0386838079429</v>
      </c>
      <c r="H6012" s="417" t="s">
        <v>2616</v>
      </c>
      <c r="I6012" s="417" t="s">
        <v>1392</v>
      </c>
      <c r="J6012" s="417" t="s">
        <v>14281</v>
      </c>
      <c r="K6012" s="417" t="s">
        <v>14492</v>
      </c>
      <c r="L6012" s="417"/>
      <c r="M6012" s="417" t="s">
        <v>28840</v>
      </c>
    </row>
    <row r="6013" spans="1:13" x14ac:dyDescent="0.25">
      <c r="A6013" s="417" t="s">
        <v>3385</v>
      </c>
      <c r="B6013" s="417" t="s">
        <v>2627</v>
      </c>
      <c r="C6013" s="417" t="s">
        <v>14493</v>
      </c>
      <c r="D6013" s="417" t="s">
        <v>83</v>
      </c>
      <c r="E6013" s="423">
        <v>0.30296891389164232</v>
      </c>
      <c r="F6013" s="423">
        <v>1.824767689778756E-3</v>
      </c>
      <c r="G6013" s="422">
        <v>748.230186438229</v>
      </c>
      <c r="H6013" s="417" t="s">
        <v>2616</v>
      </c>
      <c r="I6013" s="417" t="s">
        <v>1392</v>
      </c>
      <c r="J6013" s="417" t="s">
        <v>14281</v>
      </c>
      <c r="K6013" s="417" t="s">
        <v>14494</v>
      </c>
      <c r="L6013" s="417"/>
      <c r="M6013" s="417" t="s">
        <v>28840</v>
      </c>
    </row>
    <row r="6014" spans="1:13" x14ac:dyDescent="0.25">
      <c r="A6014" s="417" t="s">
        <v>3385</v>
      </c>
      <c r="B6014" s="417" t="s">
        <v>2627</v>
      </c>
      <c r="C6014" s="417" t="s">
        <v>14495</v>
      </c>
      <c r="D6014" s="417" t="s">
        <v>83</v>
      </c>
      <c r="E6014" s="423">
        <v>0.26859947406358547</v>
      </c>
      <c r="F6014" s="423">
        <v>2.0019173789559042E-3</v>
      </c>
      <c r="G6014" s="422">
        <v>706.40567684022869</v>
      </c>
      <c r="H6014" s="417" t="s">
        <v>2616</v>
      </c>
      <c r="I6014" s="417" t="s">
        <v>1392</v>
      </c>
      <c r="J6014" s="417" t="s">
        <v>14281</v>
      </c>
      <c r="K6014" s="417" t="s">
        <v>14496</v>
      </c>
      <c r="L6014" s="417"/>
      <c r="M6014" s="417" t="s">
        <v>28840</v>
      </c>
    </row>
    <row r="6015" spans="1:13" x14ac:dyDescent="0.25">
      <c r="A6015" s="417" t="s">
        <v>3385</v>
      </c>
      <c r="B6015" s="417" t="s">
        <v>2627</v>
      </c>
      <c r="C6015" s="417" t="s">
        <v>14497</v>
      </c>
      <c r="D6015" s="417" t="s">
        <v>83</v>
      </c>
      <c r="E6015" s="423">
        <v>0.28284069047575783</v>
      </c>
      <c r="F6015" s="423">
        <v>3.4558524192124392E-3</v>
      </c>
      <c r="G6015" s="422">
        <v>777.97136673172895</v>
      </c>
      <c r="H6015" s="417" t="s">
        <v>2616</v>
      </c>
      <c r="I6015" s="417" t="s">
        <v>1392</v>
      </c>
      <c r="J6015" s="417" t="s">
        <v>14281</v>
      </c>
      <c r="K6015" s="417" t="s">
        <v>14498</v>
      </c>
      <c r="L6015" s="417"/>
      <c r="M6015" s="417" t="s">
        <v>28840</v>
      </c>
    </row>
    <row r="6016" spans="1:13" x14ac:dyDescent="0.25">
      <c r="A6016" s="417" t="s">
        <v>3385</v>
      </c>
      <c r="B6016" s="417" t="s">
        <v>2627</v>
      </c>
      <c r="C6016" s="417" t="s">
        <v>14499</v>
      </c>
      <c r="D6016" s="417" t="s">
        <v>83</v>
      </c>
      <c r="E6016" s="423">
        <v>0.29500118053201119</v>
      </c>
      <c r="F6016" s="423">
        <v>3.698411785726712E-3</v>
      </c>
      <c r="G6016" s="422">
        <v>1282.407099936725</v>
      </c>
      <c r="H6016" s="417" t="s">
        <v>2616</v>
      </c>
      <c r="I6016" s="417" t="s">
        <v>1392</v>
      </c>
      <c r="J6016" s="417" t="s">
        <v>14281</v>
      </c>
      <c r="K6016" s="417" t="s">
        <v>14500</v>
      </c>
      <c r="L6016" s="417"/>
      <c r="M6016" s="417" t="s">
        <v>28840</v>
      </c>
    </row>
    <row r="6017" spans="1:13" x14ac:dyDescent="0.25">
      <c r="A6017" s="417" t="s">
        <v>3385</v>
      </c>
      <c r="B6017" s="417" t="s">
        <v>2627</v>
      </c>
      <c r="C6017" s="417" t="s">
        <v>14501</v>
      </c>
      <c r="D6017" s="417" t="s">
        <v>83</v>
      </c>
      <c r="E6017" s="423">
        <v>0.2213310277676423</v>
      </c>
      <c r="F6017" s="423">
        <v>1.824767689778756E-3</v>
      </c>
      <c r="G6017" s="422">
        <v>649.34942655662292</v>
      </c>
      <c r="H6017" s="417" t="s">
        <v>2616</v>
      </c>
      <c r="I6017" s="417" t="s">
        <v>1392</v>
      </c>
      <c r="J6017" s="417" t="s">
        <v>14281</v>
      </c>
      <c r="K6017" s="417" t="s">
        <v>14502</v>
      </c>
      <c r="L6017" s="417"/>
      <c r="M6017" s="417" t="s">
        <v>28840</v>
      </c>
    </row>
    <row r="6018" spans="1:13" x14ac:dyDescent="0.25">
      <c r="A6018" s="417" t="s">
        <v>3385</v>
      </c>
      <c r="B6018" s="417" t="s">
        <v>2627</v>
      </c>
      <c r="C6018" s="417" t="s">
        <v>14503</v>
      </c>
      <c r="D6018" s="417" t="s">
        <v>83</v>
      </c>
      <c r="E6018" s="423">
        <v>0.19738965799397459</v>
      </c>
      <c r="F6018" s="423">
        <v>2.8764547748737958E-3</v>
      </c>
      <c r="G6018" s="422">
        <v>653.83618794071413</v>
      </c>
      <c r="H6018" s="417" t="s">
        <v>2616</v>
      </c>
      <c r="I6018" s="417" t="s">
        <v>1392</v>
      </c>
      <c r="J6018" s="417" t="s">
        <v>14281</v>
      </c>
      <c r="K6018" s="417" t="s">
        <v>14504</v>
      </c>
      <c r="L6018" s="417"/>
      <c r="M6018" s="417" t="s">
        <v>28840</v>
      </c>
    </row>
    <row r="6019" spans="1:13" x14ac:dyDescent="0.25">
      <c r="A6019" s="417" t="s">
        <v>3385</v>
      </c>
      <c r="B6019" s="417" t="s">
        <v>2627</v>
      </c>
      <c r="C6019" s="417" t="s">
        <v>14505</v>
      </c>
      <c r="D6019" s="417" t="s">
        <v>83</v>
      </c>
      <c r="E6019" s="423">
        <v>0.43679165805934028</v>
      </c>
      <c r="F6019" s="423">
        <v>1.8140139437738899E-3</v>
      </c>
      <c r="G6019" s="422">
        <v>937.55633201788862</v>
      </c>
      <c r="H6019" s="417" t="s">
        <v>2616</v>
      </c>
      <c r="I6019" s="417" t="s">
        <v>1392</v>
      </c>
      <c r="J6019" s="417" t="s">
        <v>14281</v>
      </c>
      <c r="K6019" s="417" t="s">
        <v>14506</v>
      </c>
      <c r="L6019" s="417"/>
      <c r="M6019" s="417" t="s">
        <v>28840</v>
      </c>
    </row>
    <row r="6020" spans="1:13" x14ac:dyDescent="0.25">
      <c r="A6020" s="417" t="s">
        <v>3385</v>
      </c>
      <c r="B6020" s="417" t="s">
        <v>2627</v>
      </c>
      <c r="C6020" s="417" t="s">
        <v>14507</v>
      </c>
      <c r="D6020" s="417" t="s">
        <v>83</v>
      </c>
      <c r="E6020" s="423">
        <v>0.32878751870042422</v>
      </c>
      <c r="F6020" s="423">
        <v>1.8247676898410961E-3</v>
      </c>
      <c r="G6020" s="422">
        <v>781.03310896681239</v>
      </c>
      <c r="H6020" s="417" t="s">
        <v>2616</v>
      </c>
      <c r="I6020" s="417" t="s">
        <v>1392</v>
      </c>
      <c r="J6020" s="417" t="s">
        <v>14281</v>
      </c>
      <c r="K6020" s="417" t="s">
        <v>14508</v>
      </c>
      <c r="L6020" s="417"/>
      <c r="M6020" s="417" t="s">
        <v>28840</v>
      </c>
    </row>
    <row r="6021" spans="1:13" x14ac:dyDescent="0.25">
      <c r="A6021" s="417" t="s">
        <v>3385</v>
      </c>
      <c r="B6021" s="417" t="s">
        <v>2627</v>
      </c>
      <c r="C6021" s="417" t="s">
        <v>14509</v>
      </c>
      <c r="D6021" s="417" t="s">
        <v>83</v>
      </c>
      <c r="E6021" s="423">
        <v>0.29906097231936402</v>
      </c>
      <c r="F6021" s="423">
        <v>1.8140139437240589E-3</v>
      </c>
      <c r="G6021" s="422">
        <v>769.76944090942777</v>
      </c>
      <c r="H6021" s="417" t="s">
        <v>2616</v>
      </c>
      <c r="I6021" s="417" t="s">
        <v>1392</v>
      </c>
      <c r="J6021" s="417" t="s">
        <v>14281</v>
      </c>
      <c r="K6021" s="417" t="s">
        <v>14510</v>
      </c>
      <c r="L6021" s="417"/>
      <c r="M6021" s="417" t="s">
        <v>28840</v>
      </c>
    </row>
    <row r="6022" spans="1:13" x14ac:dyDescent="0.25">
      <c r="A6022" s="417" t="s">
        <v>3385</v>
      </c>
      <c r="B6022" s="417" t="s">
        <v>2627</v>
      </c>
      <c r="C6022" s="417" t="s">
        <v>14511</v>
      </c>
      <c r="D6022" s="417" t="s">
        <v>83</v>
      </c>
      <c r="E6022" s="423">
        <v>0.23839447989096871</v>
      </c>
      <c r="F6022" s="423">
        <v>1.7929847712115951E-3</v>
      </c>
      <c r="G6022" s="422">
        <v>705.36226585505483</v>
      </c>
      <c r="H6022" s="417" t="s">
        <v>2616</v>
      </c>
      <c r="I6022" s="417" t="s">
        <v>1392</v>
      </c>
      <c r="J6022" s="417" t="s">
        <v>14281</v>
      </c>
      <c r="K6022" s="417" t="s">
        <v>14512</v>
      </c>
      <c r="L6022" s="417"/>
      <c r="M6022" s="417" t="s">
        <v>28840</v>
      </c>
    </row>
    <row r="6023" spans="1:13" x14ac:dyDescent="0.25">
      <c r="A6023" s="417" t="s">
        <v>3385</v>
      </c>
      <c r="B6023" s="417" t="s">
        <v>2627</v>
      </c>
      <c r="C6023" s="417" t="s">
        <v>14513</v>
      </c>
      <c r="D6023" s="417" t="s">
        <v>83</v>
      </c>
      <c r="E6023" s="423">
        <v>0.2557660815749036</v>
      </c>
      <c r="F6023" s="423">
        <v>1.756537435730576E-3</v>
      </c>
      <c r="G6023" s="422">
        <v>734.98845618005112</v>
      </c>
      <c r="H6023" s="417" t="s">
        <v>2616</v>
      </c>
      <c r="I6023" s="417" t="s">
        <v>1392</v>
      </c>
      <c r="J6023" s="417" t="s">
        <v>14281</v>
      </c>
      <c r="K6023" s="417" t="s">
        <v>14514</v>
      </c>
      <c r="L6023" s="417"/>
      <c r="M6023" s="417" t="s">
        <v>28840</v>
      </c>
    </row>
    <row r="6024" spans="1:13" x14ac:dyDescent="0.25">
      <c r="A6024" s="417" t="s">
        <v>3385</v>
      </c>
      <c r="B6024" s="417" t="s">
        <v>2627</v>
      </c>
      <c r="C6024" s="417" t="s">
        <v>14515</v>
      </c>
      <c r="D6024" s="417" t="s">
        <v>83</v>
      </c>
      <c r="E6024" s="423">
        <v>0.13712384345790149</v>
      </c>
      <c r="F6024" s="423">
        <v>3.2423495460142792E-3</v>
      </c>
      <c r="G6024" s="422">
        <v>581.87830171531607</v>
      </c>
      <c r="H6024" s="417" t="s">
        <v>2616</v>
      </c>
      <c r="I6024" s="417" t="s">
        <v>1392</v>
      </c>
      <c r="J6024" s="417" t="s">
        <v>14281</v>
      </c>
      <c r="K6024" s="417" t="s">
        <v>14516</v>
      </c>
      <c r="L6024" s="417"/>
      <c r="M6024" s="417" t="s">
        <v>28840</v>
      </c>
    </row>
    <row r="6025" spans="1:13" x14ac:dyDescent="0.25">
      <c r="A6025" s="417" t="s">
        <v>3385</v>
      </c>
      <c r="B6025" s="417" t="s">
        <v>2627</v>
      </c>
      <c r="C6025" s="417" t="s">
        <v>14517</v>
      </c>
      <c r="D6025" s="417" t="s">
        <v>83</v>
      </c>
      <c r="E6025" s="423">
        <v>0.3477689456312627</v>
      </c>
      <c r="F6025" s="423">
        <v>2.4889868950790559E-3</v>
      </c>
      <c r="G6025" s="422">
        <v>842.21516577824571</v>
      </c>
      <c r="H6025" s="417" t="s">
        <v>2616</v>
      </c>
      <c r="I6025" s="417" t="s">
        <v>1392</v>
      </c>
      <c r="J6025" s="417" t="s">
        <v>14281</v>
      </c>
      <c r="K6025" s="417" t="s">
        <v>14518</v>
      </c>
      <c r="L6025" s="417"/>
      <c r="M6025" s="417" t="s">
        <v>28840</v>
      </c>
    </row>
    <row r="6026" spans="1:13" x14ac:dyDescent="0.25">
      <c r="A6026" s="417" t="s">
        <v>3385</v>
      </c>
      <c r="B6026" s="417" t="s">
        <v>2627</v>
      </c>
      <c r="C6026" s="417" t="s">
        <v>14519</v>
      </c>
      <c r="D6026" s="417" t="s">
        <v>83</v>
      </c>
      <c r="E6026" s="423">
        <v>0.40528167480357508</v>
      </c>
      <c r="F6026" s="423">
        <v>5.3221147784330569E-3</v>
      </c>
      <c r="G6026" s="422">
        <v>1413.6826453302399</v>
      </c>
      <c r="H6026" s="417" t="s">
        <v>2616</v>
      </c>
      <c r="I6026" s="417" t="s">
        <v>1392</v>
      </c>
      <c r="J6026" s="417" t="s">
        <v>14281</v>
      </c>
      <c r="K6026" s="417" t="s">
        <v>14520</v>
      </c>
      <c r="L6026" s="417"/>
      <c r="M6026" s="417" t="s">
        <v>28840</v>
      </c>
    </row>
    <row r="6027" spans="1:13" x14ac:dyDescent="0.25">
      <c r="A6027" s="417" t="s">
        <v>3385</v>
      </c>
      <c r="B6027" s="417" t="s">
        <v>2627</v>
      </c>
      <c r="C6027" s="417" t="s">
        <v>14521</v>
      </c>
      <c r="D6027" s="417" t="s">
        <v>83</v>
      </c>
      <c r="E6027" s="423">
        <v>0.47099186380210378</v>
      </c>
      <c r="F6027" s="423">
        <v>3.861908192434863E-3</v>
      </c>
      <c r="G6027" s="422">
        <v>1504.4931240695739</v>
      </c>
      <c r="H6027" s="417" t="s">
        <v>2616</v>
      </c>
      <c r="I6027" s="417" t="s">
        <v>1392</v>
      </c>
      <c r="J6027" s="417" t="s">
        <v>14281</v>
      </c>
      <c r="K6027" s="417" t="s">
        <v>14522</v>
      </c>
      <c r="L6027" s="417"/>
      <c r="M6027" s="417" t="s">
        <v>28840</v>
      </c>
    </row>
    <row r="6028" spans="1:13" x14ac:dyDescent="0.25">
      <c r="A6028" s="417" t="s">
        <v>3385</v>
      </c>
      <c r="B6028" s="417" t="s">
        <v>2627</v>
      </c>
      <c r="C6028" s="417" t="s">
        <v>14523</v>
      </c>
      <c r="D6028" s="417" t="s">
        <v>83</v>
      </c>
      <c r="E6028" s="423">
        <v>0.32708591085337901</v>
      </c>
      <c r="F6028" s="423">
        <v>1.8382494119140069E-3</v>
      </c>
      <c r="G6028" s="422">
        <v>831.39971682567807</v>
      </c>
      <c r="H6028" s="417" t="s">
        <v>2616</v>
      </c>
      <c r="I6028" s="417" t="s">
        <v>1392</v>
      </c>
      <c r="J6028" s="417" t="s">
        <v>14281</v>
      </c>
      <c r="K6028" s="417" t="s">
        <v>14524</v>
      </c>
      <c r="L6028" s="417"/>
      <c r="M6028" s="417" t="s">
        <v>28840</v>
      </c>
    </row>
    <row r="6029" spans="1:13" x14ac:dyDescent="0.25">
      <c r="A6029" s="417" t="s">
        <v>3385</v>
      </c>
      <c r="B6029" s="417" t="s">
        <v>2627</v>
      </c>
      <c r="C6029" s="417" t="s">
        <v>14525</v>
      </c>
      <c r="D6029" s="417" t="s">
        <v>83</v>
      </c>
      <c r="E6029" s="423">
        <v>0.32288450555868142</v>
      </c>
      <c r="F6029" s="423">
        <v>1.373822502023237E-3</v>
      </c>
      <c r="G6029" s="422">
        <v>823.29977920463602</v>
      </c>
      <c r="H6029" s="417" t="s">
        <v>2616</v>
      </c>
      <c r="I6029" s="417" t="s">
        <v>1392</v>
      </c>
      <c r="J6029" s="417" t="s">
        <v>14281</v>
      </c>
      <c r="K6029" s="417" t="s">
        <v>14526</v>
      </c>
      <c r="L6029" s="417"/>
      <c r="M6029" s="417" t="s">
        <v>28840</v>
      </c>
    </row>
    <row r="6030" spans="1:13" x14ac:dyDescent="0.25">
      <c r="A6030" s="417" t="s">
        <v>3385</v>
      </c>
      <c r="B6030" s="417" t="s">
        <v>2627</v>
      </c>
      <c r="C6030" s="417" t="s">
        <v>14527</v>
      </c>
      <c r="D6030" s="417" t="s">
        <v>83</v>
      </c>
      <c r="E6030" s="423">
        <v>0.1245040732280548</v>
      </c>
      <c r="F6030" s="423">
        <v>2.3260366062581258E-3</v>
      </c>
      <c r="G6030" s="422">
        <v>563.76792197172165</v>
      </c>
      <c r="H6030" s="417" t="s">
        <v>2616</v>
      </c>
      <c r="I6030" s="417" t="s">
        <v>1392</v>
      </c>
      <c r="J6030" s="417" t="s">
        <v>14281</v>
      </c>
      <c r="K6030" s="417" t="s">
        <v>14528</v>
      </c>
      <c r="L6030" s="417"/>
      <c r="M6030" s="417" t="s">
        <v>28840</v>
      </c>
    </row>
    <row r="6031" spans="1:13" x14ac:dyDescent="0.25">
      <c r="A6031" s="417" t="s">
        <v>3385</v>
      </c>
      <c r="B6031" s="417" t="s">
        <v>2627</v>
      </c>
      <c r="C6031" s="417" t="s">
        <v>14529</v>
      </c>
      <c r="D6031" s="417" t="s">
        <v>83</v>
      </c>
      <c r="E6031" s="423">
        <v>0.26093609113264121</v>
      </c>
      <c r="F6031" s="423">
        <v>4.3603406403409633E-3</v>
      </c>
      <c r="G6031" s="422">
        <v>1242.037552228217</v>
      </c>
      <c r="H6031" s="417" t="s">
        <v>2616</v>
      </c>
      <c r="I6031" s="417" t="s">
        <v>1392</v>
      </c>
      <c r="J6031" s="417" t="s">
        <v>14281</v>
      </c>
      <c r="K6031" s="417" t="s">
        <v>14530</v>
      </c>
      <c r="L6031" s="417"/>
      <c r="M6031" s="417" t="s">
        <v>28840</v>
      </c>
    </row>
    <row r="6032" spans="1:13" x14ac:dyDescent="0.25">
      <c r="A6032" s="417" t="s">
        <v>3385</v>
      </c>
      <c r="B6032" s="417" t="s">
        <v>2627</v>
      </c>
      <c r="C6032" s="417" t="s">
        <v>14531</v>
      </c>
      <c r="D6032" s="417" t="s">
        <v>83</v>
      </c>
      <c r="E6032" s="423">
        <v>0.16591890125336989</v>
      </c>
      <c r="F6032" s="423">
        <v>3.649122637336509E-3</v>
      </c>
      <c r="G6032" s="422">
        <v>1131.0098828094051</v>
      </c>
      <c r="H6032" s="417" t="s">
        <v>2616</v>
      </c>
      <c r="I6032" s="417" t="s">
        <v>1392</v>
      </c>
      <c r="J6032" s="417" t="s">
        <v>14281</v>
      </c>
      <c r="K6032" s="417" t="s">
        <v>14532</v>
      </c>
      <c r="L6032" s="417"/>
      <c r="M6032" s="417" t="s">
        <v>28840</v>
      </c>
    </row>
    <row r="6033" spans="1:13" x14ac:dyDescent="0.25">
      <c r="A6033" s="417" t="s">
        <v>3385</v>
      </c>
      <c r="B6033" s="417" t="s">
        <v>2627</v>
      </c>
      <c r="C6033" s="417" t="s">
        <v>14533</v>
      </c>
      <c r="D6033" s="417" t="s">
        <v>83</v>
      </c>
      <c r="E6033" s="423">
        <v>0.25718865978937899</v>
      </c>
      <c r="F6033" s="423">
        <v>1.8382494119140069E-3</v>
      </c>
      <c r="G6033" s="422">
        <v>744.69400766581248</v>
      </c>
      <c r="H6033" s="417" t="s">
        <v>2616</v>
      </c>
      <c r="I6033" s="417" t="s">
        <v>1392</v>
      </c>
      <c r="J6033" s="417" t="s">
        <v>14281</v>
      </c>
      <c r="K6033" s="417" t="s">
        <v>14534</v>
      </c>
      <c r="L6033" s="417"/>
      <c r="M6033" s="417" t="s">
        <v>28840</v>
      </c>
    </row>
    <row r="6034" spans="1:13" x14ac:dyDescent="0.25">
      <c r="A6034" s="417" t="s">
        <v>3385</v>
      </c>
      <c r="B6034" s="417" t="s">
        <v>2627</v>
      </c>
      <c r="C6034" s="417" t="s">
        <v>14535</v>
      </c>
      <c r="D6034" s="417" t="s">
        <v>83</v>
      </c>
      <c r="E6034" s="423">
        <v>0.36775457801700462</v>
      </c>
      <c r="F6034" s="423">
        <v>2.87273227080917E-3</v>
      </c>
      <c r="G6034" s="422">
        <v>870.33028935668062</v>
      </c>
      <c r="H6034" s="417" t="s">
        <v>2616</v>
      </c>
      <c r="I6034" s="417" t="s">
        <v>1392</v>
      </c>
      <c r="J6034" s="417" t="s">
        <v>14281</v>
      </c>
      <c r="K6034" s="417" t="s">
        <v>14536</v>
      </c>
      <c r="L6034" s="417"/>
      <c r="M6034" s="417" t="s">
        <v>28840</v>
      </c>
    </row>
    <row r="6035" spans="1:13" x14ac:dyDescent="0.25">
      <c r="A6035" s="417" t="s">
        <v>3385</v>
      </c>
      <c r="B6035" s="417" t="s">
        <v>2627</v>
      </c>
      <c r="C6035" s="417" t="s">
        <v>14537</v>
      </c>
      <c r="D6035" s="417" t="s">
        <v>83</v>
      </c>
      <c r="E6035" s="423">
        <v>0.41121579111877321</v>
      </c>
      <c r="F6035" s="423">
        <v>1.8140139436746399E-3</v>
      </c>
      <c r="G6035" s="422">
        <v>907.51090470416955</v>
      </c>
      <c r="H6035" s="417" t="s">
        <v>2616</v>
      </c>
      <c r="I6035" s="417" t="s">
        <v>1392</v>
      </c>
      <c r="J6035" s="417" t="s">
        <v>14281</v>
      </c>
      <c r="K6035" s="417" t="s">
        <v>14538</v>
      </c>
      <c r="L6035" s="417"/>
      <c r="M6035" s="417" t="s">
        <v>28840</v>
      </c>
    </row>
    <row r="6036" spans="1:13" x14ac:dyDescent="0.25">
      <c r="A6036" s="417" t="s">
        <v>3385</v>
      </c>
      <c r="B6036" s="417" t="s">
        <v>2627</v>
      </c>
      <c r="C6036" s="417" t="s">
        <v>14539</v>
      </c>
      <c r="D6036" s="417" t="s">
        <v>83</v>
      </c>
      <c r="E6036" s="423">
        <v>0.37320383756116771</v>
      </c>
      <c r="F6036" s="423">
        <v>4.1546254657632061E-3</v>
      </c>
      <c r="G6036" s="422">
        <v>897.06959842898641</v>
      </c>
      <c r="H6036" s="417" t="s">
        <v>2616</v>
      </c>
      <c r="I6036" s="417" t="s">
        <v>1392</v>
      </c>
      <c r="J6036" s="417" t="s">
        <v>14281</v>
      </c>
      <c r="K6036" s="417" t="s">
        <v>14540</v>
      </c>
      <c r="L6036" s="417"/>
      <c r="M6036" s="417" t="s">
        <v>28840</v>
      </c>
    </row>
    <row r="6037" spans="1:13" x14ac:dyDescent="0.25">
      <c r="A6037" s="417" t="s">
        <v>3385</v>
      </c>
      <c r="B6037" s="417" t="s">
        <v>2627</v>
      </c>
      <c r="C6037" s="417" t="s">
        <v>14541</v>
      </c>
      <c r="D6037" s="417" t="s">
        <v>83</v>
      </c>
      <c r="E6037" s="423">
        <v>0.32799937992197958</v>
      </c>
      <c r="F6037" s="423">
        <v>3.3881027551070919E-3</v>
      </c>
      <c r="G6037" s="422">
        <v>1320.3493492795781</v>
      </c>
      <c r="H6037" s="417" t="s">
        <v>2616</v>
      </c>
      <c r="I6037" s="417" t="s">
        <v>1392</v>
      </c>
      <c r="J6037" s="417" t="s">
        <v>14281</v>
      </c>
      <c r="K6037" s="417" t="s">
        <v>14542</v>
      </c>
      <c r="L6037" s="417"/>
      <c r="M6037" s="417" t="s">
        <v>28840</v>
      </c>
    </row>
    <row r="6038" spans="1:13" x14ac:dyDescent="0.25">
      <c r="A6038" s="417" t="s">
        <v>3385</v>
      </c>
      <c r="B6038" s="417" t="s">
        <v>2627</v>
      </c>
      <c r="C6038" s="417" t="s">
        <v>14543</v>
      </c>
      <c r="D6038" s="417" t="s">
        <v>83</v>
      </c>
      <c r="E6038" s="423">
        <v>0.39701580539486908</v>
      </c>
      <c r="F6038" s="423">
        <v>1.984195122115008E-3</v>
      </c>
      <c r="G6038" s="422">
        <v>889.2314545011061</v>
      </c>
      <c r="H6038" s="417" t="s">
        <v>2616</v>
      </c>
      <c r="I6038" s="417" t="s">
        <v>1392</v>
      </c>
      <c r="J6038" s="417" t="s">
        <v>14281</v>
      </c>
      <c r="K6038" s="417" t="s">
        <v>14544</v>
      </c>
      <c r="L6038" s="417"/>
      <c r="M6038" s="417" t="s">
        <v>28840</v>
      </c>
    </row>
    <row r="6039" spans="1:13" x14ac:dyDescent="0.25">
      <c r="A6039" s="417" t="s">
        <v>3385</v>
      </c>
      <c r="B6039" s="417" t="s">
        <v>2627</v>
      </c>
      <c r="C6039" s="417" t="s">
        <v>14545</v>
      </c>
      <c r="D6039" s="417" t="s">
        <v>83</v>
      </c>
      <c r="E6039" s="423">
        <v>9.7789791041124216E-2</v>
      </c>
      <c r="F6039" s="423">
        <v>2.510979686885319E-3</v>
      </c>
      <c r="G6039" s="422">
        <v>531.71165086385611</v>
      </c>
      <c r="H6039" s="417" t="s">
        <v>2616</v>
      </c>
      <c r="I6039" s="417" t="s">
        <v>1392</v>
      </c>
      <c r="J6039" s="417" t="s">
        <v>14281</v>
      </c>
      <c r="K6039" s="417" t="s">
        <v>14546</v>
      </c>
      <c r="L6039" s="417"/>
      <c r="M6039" s="417" t="s">
        <v>28840</v>
      </c>
    </row>
    <row r="6040" spans="1:13" x14ac:dyDescent="0.25">
      <c r="A6040" s="417" t="s">
        <v>3385</v>
      </c>
      <c r="B6040" s="417" t="s">
        <v>2627</v>
      </c>
      <c r="C6040" s="417" t="s">
        <v>14547</v>
      </c>
      <c r="D6040" s="417" t="s">
        <v>83</v>
      </c>
      <c r="E6040" s="423">
        <v>8.9200761190030606E-2</v>
      </c>
      <c r="F6040" s="423">
        <v>1.516780201769473E-3</v>
      </c>
      <c r="G6040" s="422">
        <v>514.43048360263117</v>
      </c>
      <c r="H6040" s="417" t="s">
        <v>2616</v>
      </c>
      <c r="I6040" s="417" t="s">
        <v>1392</v>
      </c>
      <c r="J6040" s="417" t="s">
        <v>14281</v>
      </c>
      <c r="K6040" s="417" t="s">
        <v>14548</v>
      </c>
      <c r="L6040" s="417"/>
      <c r="M6040" s="417" t="s">
        <v>28840</v>
      </c>
    </row>
    <row r="6041" spans="1:13" x14ac:dyDescent="0.25">
      <c r="A6041" s="417" t="s">
        <v>3385</v>
      </c>
      <c r="B6041" s="417" t="s">
        <v>2627</v>
      </c>
      <c r="C6041" s="417" t="s">
        <v>14549</v>
      </c>
      <c r="D6041" s="417" t="s">
        <v>83</v>
      </c>
      <c r="E6041" s="423">
        <v>0.23338865399286379</v>
      </c>
      <c r="F6041" s="423">
        <v>1.838249412005091E-3</v>
      </c>
      <c r="G6041" s="422">
        <v>716.30723130765875</v>
      </c>
      <c r="H6041" s="417" t="s">
        <v>2616</v>
      </c>
      <c r="I6041" s="417" t="s">
        <v>1392</v>
      </c>
      <c r="J6041" s="417" t="s">
        <v>14281</v>
      </c>
      <c r="K6041" s="417" t="s">
        <v>14550</v>
      </c>
      <c r="L6041" s="417"/>
      <c r="M6041" s="417" t="s">
        <v>28840</v>
      </c>
    </row>
    <row r="6042" spans="1:13" x14ac:dyDescent="0.25">
      <c r="A6042" s="417" t="s">
        <v>3385</v>
      </c>
      <c r="B6042" s="417" t="s">
        <v>2627</v>
      </c>
      <c r="C6042" s="417" t="s">
        <v>14551</v>
      </c>
      <c r="D6042" s="417" t="s">
        <v>83</v>
      </c>
      <c r="E6042" s="423">
        <v>0.26594271334590253</v>
      </c>
      <c r="F6042" s="423">
        <v>1.7880836238709781E-3</v>
      </c>
      <c r="G6042" s="422">
        <v>703.00874491516242</v>
      </c>
      <c r="H6042" s="417" t="s">
        <v>2616</v>
      </c>
      <c r="I6042" s="417" t="s">
        <v>1392</v>
      </c>
      <c r="J6042" s="417" t="s">
        <v>14281</v>
      </c>
      <c r="K6042" s="417" t="s">
        <v>14552</v>
      </c>
      <c r="L6042" s="417"/>
      <c r="M6042" s="417" t="s">
        <v>28840</v>
      </c>
    </row>
    <row r="6043" spans="1:13" x14ac:dyDescent="0.25">
      <c r="A6043" s="417" t="s">
        <v>3385</v>
      </c>
      <c r="B6043" s="417" t="s">
        <v>2627</v>
      </c>
      <c r="C6043" s="417" t="s">
        <v>14553</v>
      </c>
      <c r="D6043" s="417" t="s">
        <v>83</v>
      </c>
      <c r="E6043" s="423">
        <v>0.25063223910117371</v>
      </c>
      <c r="F6043" s="423">
        <v>2.4024265515874979E-3</v>
      </c>
      <c r="G6043" s="422">
        <v>716.50932065307006</v>
      </c>
      <c r="H6043" s="417" t="s">
        <v>2616</v>
      </c>
      <c r="I6043" s="417" t="s">
        <v>1392</v>
      </c>
      <c r="J6043" s="417" t="s">
        <v>14281</v>
      </c>
      <c r="K6043" s="417" t="s">
        <v>14554</v>
      </c>
      <c r="L6043" s="417"/>
      <c r="M6043" s="417" t="s">
        <v>28840</v>
      </c>
    </row>
    <row r="6044" spans="1:13" x14ac:dyDescent="0.25">
      <c r="A6044" s="417" t="s">
        <v>3385</v>
      </c>
      <c r="B6044" s="417" t="s">
        <v>2627</v>
      </c>
      <c r="C6044" s="417" t="s">
        <v>14555</v>
      </c>
      <c r="D6044" s="417" t="s">
        <v>83</v>
      </c>
      <c r="E6044" s="423">
        <v>0.17795096235372729</v>
      </c>
      <c r="F6044" s="423">
        <v>1.8382494119791859E-3</v>
      </c>
      <c r="G6044" s="422">
        <v>648.67362714583521</v>
      </c>
      <c r="H6044" s="417" t="s">
        <v>2616</v>
      </c>
      <c r="I6044" s="417" t="s">
        <v>1392</v>
      </c>
      <c r="J6044" s="417" t="s">
        <v>14281</v>
      </c>
      <c r="K6044" s="417" t="s">
        <v>14556</v>
      </c>
      <c r="L6044" s="417"/>
      <c r="M6044" s="417" t="s">
        <v>28840</v>
      </c>
    </row>
    <row r="6045" spans="1:13" x14ac:dyDescent="0.25">
      <c r="A6045" s="417" t="s">
        <v>3385</v>
      </c>
      <c r="B6045" s="417" t="s">
        <v>2627</v>
      </c>
      <c r="C6045" s="417" t="s">
        <v>14557</v>
      </c>
      <c r="D6045" s="417" t="s">
        <v>83</v>
      </c>
      <c r="E6045" s="423">
        <v>0.42543577948012218</v>
      </c>
      <c r="F6045" s="423">
        <v>1.599925748395269E-3</v>
      </c>
      <c r="G6045" s="422">
        <v>931.17605905190669</v>
      </c>
      <c r="H6045" s="417" t="s">
        <v>2616</v>
      </c>
      <c r="I6045" s="417" t="s">
        <v>1392</v>
      </c>
      <c r="J6045" s="417" t="s">
        <v>14281</v>
      </c>
      <c r="K6045" s="417" t="s">
        <v>14558</v>
      </c>
      <c r="L6045" s="417"/>
      <c r="M6045" s="417" t="s">
        <v>28840</v>
      </c>
    </row>
    <row r="6046" spans="1:13" x14ac:dyDescent="0.25">
      <c r="A6046" s="417" t="s">
        <v>3385</v>
      </c>
      <c r="B6046" s="417" t="s">
        <v>2627</v>
      </c>
      <c r="C6046" s="417" t="s">
        <v>14559</v>
      </c>
      <c r="D6046" s="417" t="s">
        <v>83</v>
      </c>
      <c r="E6046" s="423">
        <v>0.36576344482884299</v>
      </c>
      <c r="F6046" s="423">
        <v>3.1532349422205468E-3</v>
      </c>
      <c r="G6046" s="422">
        <v>882.41968704157046</v>
      </c>
      <c r="H6046" s="417" t="s">
        <v>2616</v>
      </c>
      <c r="I6046" s="417" t="s">
        <v>1392</v>
      </c>
      <c r="J6046" s="417" t="s">
        <v>14281</v>
      </c>
      <c r="K6046" s="417" t="s">
        <v>14560</v>
      </c>
      <c r="L6046" s="417"/>
      <c r="M6046" s="417" t="s">
        <v>28840</v>
      </c>
    </row>
    <row r="6047" spans="1:13" x14ac:dyDescent="0.25">
      <c r="A6047" s="417" t="s">
        <v>3385</v>
      </c>
      <c r="B6047" s="417" t="s">
        <v>2627</v>
      </c>
      <c r="C6047" s="417" t="s">
        <v>14561</v>
      </c>
      <c r="D6047" s="417" t="s">
        <v>83</v>
      </c>
      <c r="E6047" s="423">
        <v>0.1462552029628317</v>
      </c>
      <c r="F6047" s="423">
        <v>1.3581940896038589E-3</v>
      </c>
      <c r="G6047" s="422">
        <v>609.19842840491992</v>
      </c>
      <c r="H6047" s="417" t="s">
        <v>2616</v>
      </c>
      <c r="I6047" s="417" t="s">
        <v>1392</v>
      </c>
      <c r="J6047" s="417" t="s">
        <v>14281</v>
      </c>
      <c r="K6047" s="417" t="s">
        <v>14562</v>
      </c>
      <c r="L6047" s="417"/>
      <c r="M6047" s="417" t="s">
        <v>28840</v>
      </c>
    </row>
    <row r="6048" spans="1:13" x14ac:dyDescent="0.25">
      <c r="A6048" s="417" t="s">
        <v>3385</v>
      </c>
      <c r="B6048" s="417" t="s">
        <v>2627</v>
      </c>
      <c r="C6048" s="417" t="s">
        <v>14563</v>
      </c>
      <c r="D6048" s="417" t="s">
        <v>83</v>
      </c>
      <c r="E6048" s="423">
        <v>0.33468108590551748</v>
      </c>
      <c r="F6048" s="423">
        <v>6.2137925785244403E-3</v>
      </c>
      <c r="G6048" s="422">
        <v>1331.7656800430671</v>
      </c>
      <c r="H6048" s="417" t="s">
        <v>2616</v>
      </c>
      <c r="I6048" s="417" t="s">
        <v>1392</v>
      </c>
      <c r="J6048" s="417" t="s">
        <v>14281</v>
      </c>
      <c r="K6048" s="417" t="s">
        <v>14564</v>
      </c>
      <c r="L6048" s="417"/>
      <c r="M6048" s="417" t="s">
        <v>28840</v>
      </c>
    </row>
    <row r="6049" spans="1:13" x14ac:dyDescent="0.25">
      <c r="A6049" s="417" t="s">
        <v>3385</v>
      </c>
      <c r="B6049" s="417" t="s">
        <v>2627</v>
      </c>
      <c r="C6049" s="417" t="s">
        <v>14565</v>
      </c>
      <c r="D6049" s="417" t="s">
        <v>83</v>
      </c>
      <c r="E6049" s="423">
        <v>1.397724570028599</v>
      </c>
      <c r="F6049" s="423">
        <v>3.1613284062544521E-3</v>
      </c>
      <c r="G6049" s="422">
        <v>2124.681637132725</v>
      </c>
      <c r="H6049" s="417" t="s">
        <v>2616</v>
      </c>
      <c r="I6049" s="417" t="s">
        <v>1392</v>
      </c>
      <c r="J6049" s="417" t="s">
        <v>14281</v>
      </c>
      <c r="K6049" s="417" t="s">
        <v>14566</v>
      </c>
      <c r="L6049" s="417"/>
      <c r="M6049" s="417" t="s">
        <v>28840</v>
      </c>
    </row>
    <row r="6050" spans="1:13" x14ac:dyDescent="0.25">
      <c r="A6050" s="417" t="s">
        <v>3385</v>
      </c>
      <c r="B6050" s="417" t="s">
        <v>2627</v>
      </c>
      <c r="C6050" s="417" t="s">
        <v>14567</v>
      </c>
      <c r="D6050" s="417" t="s">
        <v>83</v>
      </c>
      <c r="E6050" s="423">
        <v>0.24705306638876931</v>
      </c>
      <c r="F6050" s="423">
        <v>1.9206253118199731E-3</v>
      </c>
      <c r="G6050" s="422">
        <v>729.76311983867834</v>
      </c>
      <c r="H6050" s="417" t="s">
        <v>2616</v>
      </c>
      <c r="I6050" s="417" t="s">
        <v>1392</v>
      </c>
      <c r="J6050" s="417" t="s">
        <v>14281</v>
      </c>
      <c r="K6050" s="417" t="s">
        <v>14568</v>
      </c>
      <c r="L6050" s="417"/>
      <c r="M6050" s="417" t="s">
        <v>28840</v>
      </c>
    </row>
    <row r="6051" spans="1:13" x14ac:dyDescent="0.25">
      <c r="A6051" s="417" t="s">
        <v>3385</v>
      </c>
      <c r="B6051" s="417" t="s">
        <v>2627</v>
      </c>
      <c r="C6051" s="417" t="s">
        <v>14569</v>
      </c>
      <c r="D6051" s="417" t="s">
        <v>83</v>
      </c>
      <c r="E6051" s="423">
        <v>0.22656032546750149</v>
      </c>
      <c r="F6051" s="423">
        <v>1.824767689845486E-3</v>
      </c>
      <c r="G6051" s="422">
        <v>655.67988455409181</v>
      </c>
      <c r="H6051" s="417" t="s">
        <v>2616</v>
      </c>
      <c r="I6051" s="417" t="s">
        <v>1392</v>
      </c>
      <c r="J6051" s="417" t="s">
        <v>14281</v>
      </c>
      <c r="K6051" s="417" t="s">
        <v>14570</v>
      </c>
      <c r="L6051" s="417"/>
      <c r="M6051" s="417" t="s">
        <v>28840</v>
      </c>
    </row>
    <row r="6052" spans="1:13" x14ac:dyDescent="0.25">
      <c r="A6052" s="417" t="s">
        <v>3385</v>
      </c>
      <c r="B6052" s="417" t="s">
        <v>2627</v>
      </c>
      <c r="C6052" s="417" t="s">
        <v>14571</v>
      </c>
      <c r="D6052" s="417" t="s">
        <v>83</v>
      </c>
      <c r="E6052" s="423">
        <v>0.35674979950060498</v>
      </c>
      <c r="F6052" s="423">
        <v>3.221053484927966E-3</v>
      </c>
      <c r="G6052" s="422">
        <v>1357.8753717485331</v>
      </c>
      <c r="H6052" s="417" t="s">
        <v>2616</v>
      </c>
      <c r="I6052" s="417" t="s">
        <v>1392</v>
      </c>
      <c r="J6052" s="417" t="s">
        <v>14281</v>
      </c>
      <c r="K6052" s="417" t="s">
        <v>14572</v>
      </c>
      <c r="L6052" s="417"/>
      <c r="M6052" s="417" t="s">
        <v>28840</v>
      </c>
    </row>
    <row r="6053" spans="1:13" x14ac:dyDescent="0.25">
      <c r="A6053" s="417" t="s">
        <v>3385</v>
      </c>
      <c r="B6053" s="417" t="s">
        <v>2627</v>
      </c>
      <c r="C6053" s="417" t="s">
        <v>14573</v>
      </c>
      <c r="D6053" s="417" t="s">
        <v>83</v>
      </c>
      <c r="E6053" s="423">
        <v>0.35223063601109311</v>
      </c>
      <c r="F6053" s="423">
        <v>1.6755936532946299E-3</v>
      </c>
      <c r="G6053" s="422">
        <v>846.37249463731939</v>
      </c>
      <c r="H6053" s="417" t="s">
        <v>2616</v>
      </c>
      <c r="I6053" s="417" t="s">
        <v>1392</v>
      </c>
      <c r="J6053" s="417" t="s">
        <v>14281</v>
      </c>
      <c r="K6053" s="417" t="s">
        <v>14574</v>
      </c>
      <c r="L6053" s="417"/>
      <c r="M6053" s="417" t="s">
        <v>28840</v>
      </c>
    </row>
    <row r="6054" spans="1:13" x14ac:dyDescent="0.25">
      <c r="A6054" s="417" t="s">
        <v>3385</v>
      </c>
      <c r="B6054" s="417" t="s">
        <v>2627</v>
      </c>
      <c r="C6054" s="417" t="s">
        <v>14575</v>
      </c>
      <c r="D6054" s="417" t="s">
        <v>83</v>
      </c>
      <c r="E6054" s="423">
        <v>0.31896504591167513</v>
      </c>
      <c r="F6054" s="423">
        <v>4.2597490705542614E-3</v>
      </c>
      <c r="G6054" s="422">
        <v>832.22534021484626</v>
      </c>
      <c r="H6054" s="417" t="s">
        <v>2616</v>
      </c>
      <c r="I6054" s="417" t="s">
        <v>1392</v>
      </c>
      <c r="J6054" s="417" t="s">
        <v>14281</v>
      </c>
      <c r="K6054" s="417" t="s">
        <v>14576</v>
      </c>
      <c r="L6054" s="417"/>
      <c r="M6054" s="417" t="s">
        <v>28840</v>
      </c>
    </row>
    <row r="6055" spans="1:13" x14ac:dyDescent="0.25">
      <c r="A6055" s="417" t="s">
        <v>3385</v>
      </c>
      <c r="B6055" s="417" t="s">
        <v>2627</v>
      </c>
      <c r="C6055" s="417" t="s">
        <v>14577</v>
      </c>
      <c r="D6055" s="417" t="s">
        <v>83</v>
      </c>
      <c r="E6055" s="423">
        <v>0.52710620065990654</v>
      </c>
      <c r="F6055" s="423">
        <v>3.161328406196864E-3</v>
      </c>
      <c r="G6055" s="422">
        <v>1069.282943316829</v>
      </c>
      <c r="H6055" s="417" t="s">
        <v>2616</v>
      </c>
      <c r="I6055" s="417" t="s">
        <v>1392</v>
      </c>
      <c r="J6055" s="417" t="s">
        <v>14281</v>
      </c>
      <c r="K6055" s="417" t="s">
        <v>14578</v>
      </c>
      <c r="L6055" s="417"/>
      <c r="M6055" s="417" t="s">
        <v>28840</v>
      </c>
    </row>
    <row r="6056" spans="1:13" x14ac:dyDescent="0.25">
      <c r="A6056" s="417" t="s">
        <v>3385</v>
      </c>
      <c r="B6056" s="417" t="s">
        <v>2627</v>
      </c>
      <c r="C6056" s="417" t="s">
        <v>14579</v>
      </c>
      <c r="D6056" s="417" t="s">
        <v>83</v>
      </c>
      <c r="E6056" s="423">
        <v>0.55784651291961473</v>
      </c>
      <c r="F6056" s="423">
        <v>1.824767689817231E-3</v>
      </c>
      <c r="G6056" s="422">
        <v>1060.2546554611019</v>
      </c>
      <c r="H6056" s="417" t="s">
        <v>2616</v>
      </c>
      <c r="I6056" s="417" t="s">
        <v>1392</v>
      </c>
      <c r="J6056" s="417" t="s">
        <v>14281</v>
      </c>
      <c r="K6056" s="417" t="s">
        <v>14580</v>
      </c>
      <c r="L6056" s="417"/>
      <c r="M6056" s="417" t="s">
        <v>28840</v>
      </c>
    </row>
    <row r="6057" spans="1:13" x14ac:dyDescent="0.25">
      <c r="A6057" s="417" t="s">
        <v>3385</v>
      </c>
      <c r="B6057" s="417" t="s">
        <v>3405</v>
      </c>
      <c r="C6057" s="417" t="s">
        <v>14581</v>
      </c>
      <c r="D6057" s="417" t="s">
        <v>73</v>
      </c>
      <c r="E6057" s="423">
        <v>7.8048623159809247E-2</v>
      </c>
      <c r="F6057" s="423">
        <v>5.3896535823265911E-4</v>
      </c>
      <c r="G6057" s="422">
        <v>99.190381452252097</v>
      </c>
      <c r="H6057" s="417" t="s">
        <v>2616</v>
      </c>
      <c r="I6057" s="417" t="s">
        <v>1392</v>
      </c>
      <c r="J6057" s="417" t="s">
        <v>14582</v>
      </c>
      <c r="K6057" s="417" t="s">
        <v>14583</v>
      </c>
      <c r="L6057" s="417"/>
      <c r="M6057" s="417" t="s">
        <v>28840</v>
      </c>
    </row>
    <row r="6058" spans="1:13" x14ac:dyDescent="0.25">
      <c r="A6058" s="417" t="s">
        <v>3385</v>
      </c>
      <c r="B6058" s="417" t="s">
        <v>3405</v>
      </c>
      <c r="C6058" s="417" t="s">
        <v>14584</v>
      </c>
      <c r="D6058" s="417" t="s">
        <v>73</v>
      </c>
      <c r="E6058" s="423">
        <v>7.6991427108245192E-2</v>
      </c>
      <c r="F6058" s="423">
        <v>4.0806121239779541E-4</v>
      </c>
      <c r="G6058" s="422">
        <v>96.743005522291639</v>
      </c>
      <c r="H6058" s="417" t="s">
        <v>2616</v>
      </c>
      <c r="I6058" s="417" t="s">
        <v>1392</v>
      </c>
      <c r="J6058" s="417" t="s">
        <v>14582</v>
      </c>
      <c r="K6058" s="417" t="s">
        <v>14585</v>
      </c>
      <c r="L6058" s="417"/>
      <c r="M6058" s="417" t="s">
        <v>28840</v>
      </c>
    </row>
    <row r="6059" spans="1:13" x14ac:dyDescent="0.25">
      <c r="A6059" s="417" t="s">
        <v>3385</v>
      </c>
      <c r="B6059" s="417" t="s">
        <v>3405</v>
      </c>
      <c r="C6059" s="417" t="s">
        <v>14586</v>
      </c>
      <c r="D6059" s="417" t="s">
        <v>73</v>
      </c>
      <c r="E6059" s="423">
        <v>7.8048623160748884E-2</v>
      </c>
      <c r="F6059" s="423">
        <v>5.3896535853815433E-4</v>
      </c>
      <c r="G6059" s="422">
        <v>99.189895446602193</v>
      </c>
      <c r="H6059" s="417" t="s">
        <v>2616</v>
      </c>
      <c r="I6059" s="417" t="s">
        <v>1392</v>
      </c>
      <c r="J6059" s="417" t="s">
        <v>14582</v>
      </c>
      <c r="K6059" s="417" t="s">
        <v>14587</v>
      </c>
      <c r="L6059" s="417"/>
      <c r="M6059" s="417" t="s">
        <v>28840</v>
      </c>
    </row>
    <row r="6060" spans="1:13" x14ac:dyDescent="0.25">
      <c r="A6060" s="417" t="s">
        <v>3385</v>
      </c>
      <c r="B6060" s="417" t="s">
        <v>3405</v>
      </c>
      <c r="C6060" s="417" t="s">
        <v>14588</v>
      </c>
      <c r="D6060" s="417" t="s">
        <v>73</v>
      </c>
      <c r="E6060" s="423">
        <v>7.6661014398592228E-2</v>
      </c>
      <c r="F6060" s="423">
        <v>3.5824457522332868E-4</v>
      </c>
      <c r="G6060" s="422">
        <v>96.179865993153598</v>
      </c>
      <c r="H6060" s="417" t="s">
        <v>2616</v>
      </c>
      <c r="I6060" s="417" t="s">
        <v>1392</v>
      </c>
      <c r="J6060" s="417" t="s">
        <v>11340</v>
      </c>
      <c r="K6060" s="417" t="s">
        <v>14589</v>
      </c>
      <c r="L6060" s="417"/>
      <c r="M6060" s="417" t="s">
        <v>28840</v>
      </c>
    </row>
    <row r="6061" spans="1:13" x14ac:dyDescent="0.25">
      <c r="A6061" s="417" t="s">
        <v>3385</v>
      </c>
      <c r="B6061" s="417" t="s">
        <v>3405</v>
      </c>
      <c r="C6061" s="417" t="s">
        <v>14590</v>
      </c>
      <c r="D6061" s="417" t="s">
        <v>73</v>
      </c>
      <c r="E6061" s="423">
        <v>7.6270384630117719E-2</v>
      </c>
      <c r="F6061" s="423">
        <v>3.3594606193368452E-4</v>
      </c>
      <c r="G6061" s="422">
        <v>95.364721052767905</v>
      </c>
      <c r="H6061" s="417" t="s">
        <v>2616</v>
      </c>
      <c r="I6061" s="417" t="s">
        <v>1392</v>
      </c>
      <c r="J6061" s="417" t="s">
        <v>11340</v>
      </c>
      <c r="K6061" s="417" t="s">
        <v>14591</v>
      </c>
      <c r="L6061" s="417"/>
      <c r="M6061" s="417" t="s">
        <v>28840</v>
      </c>
    </row>
    <row r="6062" spans="1:13" x14ac:dyDescent="0.25">
      <c r="A6062" s="417" t="s">
        <v>3385</v>
      </c>
      <c r="B6062" s="417" t="s">
        <v>3405</v>
      </c>
      <c r="C6062" s="417" t="s">
        <v>14592</v>
      </c>
      <c r="D6062" s="417" t="s">
        <v>73</v>
      </c>
      <c r="E6062" s="423">
        <v>6.8679958028722121E-2</v>
      </c>
      <c r="F6062" s="423">
        <v>3.0370261759244348E-4</v>
      </c>
      <c r="G6062" s="422">
        <v>85.808873000907937</v>
      </c>
      <c r="H6062" s="417" t="s">
        <v>2616</v>
      </c>
      <c r="I6062" s="417" t="s">
        <v>1392</v>
      </c>
      <c r="J6062" s="417" t="s">
        <v>11340</v>
      </c>
      <c r="K6062" s="417" t="s">
        <v>14593</v>
      </c>
      <c r="L6062" s="417"/>
      <c r="M6062" s="417" t="s">
        <v>28840</v>
      </c>
    </row>
    <row r="6063" spans="1:13" x14ac:dyDescent="0.25">
      <c r="A6063" s="417" t="s">
        <v>3385</v>
      </c>
      <c r="B6063" s="417" t="s">
        <v>3405</v>
      </c>
      <c r="C6063" s="417" t="s">
        <v>14594</v>
      </c>
      <c r="D6063" s="417" t="s">
        <v>73</v>
      </c>
      <c r="E6063" s="423">
        <v>7.6430405602223403E-2</v>
      </c>
      <c r="F6063" s="423">
        <v>3.422525048927721E-4</v>
      </c>
      <c r="G6063" s="422">
        <v>95.671207968303705</v>
      </c>
      <c r="H6063" s="417" t="s">
        <v>2616</v>
      </c>
      <c r="I6063" s="417" t="s">
        <v>1392</v>
      </c>
      <c r="J6063" s="417" t="s">
        <v>11340</v>
      </c>
      <c r="K6063" s="417" t="s">
        <v>14595</v>
      </c>
      <c r="L6063" s="417"/>
      <c r="M6063" s="417" t="s">
        <v>28840</v>
      </c>
    </row>
    <row r="6064" spans="1:13" x14ac:dyDescent="0.25">
      <c r="A6064" s="417" t="s">
        <v>3385</v>
      </c>
      <c r="B6064" s="417" t="s">
        <v>3405</v>
      </c>
      <c r="C6064" s="417" t="s">
        <v>14596</v>
      </c>
      <c r="D6064" s="417" t="s">
        <v>73</v>
      </c>
      <c r="E6064" s="423">
        <v>7.8857582547374488E-2</v>
      </c>
      <c r="F6064" s="423">
        <v>6.391323435409118E-4</v>
      </c>
      <c r="G6064" s="422">
        <v>100.72391551885001</v>
      </c>
      <c r="H6064" s="417" t="s">
        <v>2616</v>
      </c>
      <c r="I6064" s="417" t="s">
        <v>1392</v>
      </c>
      <c r="J6064" s="417" t="s">
        <v>14582</v>
      </c>
      <c r="K6064" s="417" t="s">
        <v>14597</v>
      </c>
      <c r="L6064" s="417"/>
      <c r="M6064" s="417" t="s">
        <v>28840</v>
      </c>
    </row>
    <row r="6065" spans="1:13" x14ac:dyDescent="0.25">
      <c r="A6065" s="417" t="s">
        <v>3385</v>
      </c>
      <c r="B6065" s="417" t="s">
        <v>3405</v>
      </c>
      <c r="C6065" s="417" t="s">
        <v>14598</v>
      </c>
      <c r="D6065" s="417" t="s">
        <v>73</v>
      </c>
      <c r="E6065" s="423">
        <v>7.7236743331648386E-2</v>
      </c>
      <c r="F6065" s="423">
        <v>4.3843675687308808E-4</v>
      </c>
      <c r="G6065" s="422">
        <v>97.326483897906115</v>
      </c>
      <c r="H6065" s="417" t="s">
        <v>2616</v>
      </c>
      <c r="I6065" s="417" t="s">
        <v>1392</v>
      </c>
      <c r="J6065" s="417" t="s">
        <v>14582</v>
      </c>
      <c r="K6065" s="417" t="s">
        <v>14599</v>
      </c>
      <c r="L6065" s="417"/>
      <c r="M6065" s="417" t="s">
        <v>28840</v>
      </c>
    </row>
    <row r="6066" spans="1:13" x14ac:dyDescent="0.25">
      <c r="A6066" s="417" t="s">
        <v>3385</v>
      </c>
      <c r="B6066" s="417" t="s">
        <v>3405</v>
      </c>
      <c r="C6066" s="417" t="s">
        <v>14600</v>
      </c>
      <c r="D6066" s="417" t="s">
        <v>73</v>
      </c>
      <c r="E6066" s="423">
        <v>7.7236743330153693E-2</v>
      </c>
      <c r="F6066" s="423">
        <v>4.3843675688939909E-4</v>
      </c>
      <c r="G6066" s="422">
        <v>97.251663877862114</v>
      </c>
      <c r="H6066" s="417" t="s">
        <v>2616</v>
      </c>
      <c r="I6066" s="417" t="s">
        <v>1392</v>
      </c>
      <c r="J6066" s="417" t="s">
        <v>14582</v>
      </c>
      <c r="K6066" s="417" t="s">
        <v>14601</v>
      </c>
      <c r="L6066" s="417"/>
      <c r="M6066" s="417" t="s">
        <v>28840</v>
      </c>
    </row>
    <row r="6067" spans="1:13" x14ac:dyDescent="0.25">
      <c r="A6067" s="417" t="s">
        <v>3385</v>
      </c>
      <c r="B6067" s="417" t="s">
        <v>3405</v>
      </c>
      <c r="C6067" s="417" t="s">
        <v>14602</v>
      </c>
      <c r="D6067" s="417" t="s">
        <v>73</v>
      </c>
      <c r="E6067" s="423">
        <v>7.2999084209796755E-2</v>
      </c>
      <c r="F6067" s="423">
        <v>2.9047400110483951E-4</v>
      </c>
      <c r="G6067" s="422">
        <v>90.623841576564431</v>
      </c>
      <c r="H6067" s="417" t="s">
        <v>2616</v>
      </c>
      <c r="I6067" s="417" t="s">
        <v>1392</v>
      </c>
      <c r="J6067" s="417" t="s">
        <v>14582</v>
      </c>
      <c r="K6067" s="417" t="s">
        <v>14603</v>
      </c>
      <c r="L6067" s="417"/>
      <c r="M6067" s="417" t="s">
        <v>28840</v>
      </c>
    </row>
    <row r="6068" spans="1:13" x14ac:dyDescent="0.25">
      <c r="A6068" s="417" t="s">
        <v>3385</v>
      </c>
      <c r="B6068" s="417" t="s">
        <v>3405</v>
      </c>
      <c r="C6068" s="417" t="s">
        <v>14604</v>
      </c>
      <c r="D6068" s="417" t="s">
        <v>73</v>
      </c>
      <c r="E6068" s="423">
        <v>7.9969829728026132E-2</v>
      </c>
      <c r="F6068" s="423">
        <v>3.8121027680763258E-4</v>
      </c>
      <c r="G6068" s="422">
        <v>102.70164803323431</v>
      </c>
      <c r="H6068" s="417" t="s">
        <v>2616</v>
      </c>
      <c r="I6068" s="417" t="s">
        <v>1392</v>
      </c>
      <c r="J6068" s="417" t="s">
        <v>11945</v>
      </c>
      <c r="K6068" s="417" t="s">
        <v>14605</v>
      </c>
      <c r="L6068" s="417"/>
      <c r="M6068" s="417" t="s">
        <v>28840</v>
      </c>
    </row>
    <row r="6069" spans="1:13" x14ac:dyDescent="0.25">
      <c r="A6069" s="417" t="s">
        <v>3385</v>
      </c>
      <c r="B6069" s="417" t="s">
        <v>3405</v>
      </c>
      <c r="C6069" s="417" t="s">
        <v>14606</v>
      </c>
      <c r="D6069" s="417" t="s">
        <v>73</v>
      </c>
      <c r="E6069" s="423">
        <v>8.0615754368207504E-2</v>
      </c>
      <c r="F6069" s="423">
        <v>2.6856526344005749E-4</v>
      </c>
      <c r="G6069" s="422">
        <v>101.2988145184319</v>
      </c>
      <c r="H6069" s="417" t="s">
        <v>2616</v>
      </c>
      <c r="I6069" s="417" t="s">
        <v>1392</v>
      </c>
      <c r="J6069" s="417" t="s">
        <v>13666</v>
      </c>
      <c r="K6069" s="417" t="s">
        <v>14607</v>
      </c>
      <c r="L6069" s="417"/>
      <c r="M6069" s="417" t="s">
        <v>28840</v>
      </c>
    </row>
    <row r="6070" spans="1:13" x14ac:dyDescent="0.25">
      <c r="A6070" s="417" t="s">
        <v>3385</v>
      </c>
      <c r="B6070" s="417" t="s">
        <v>3405</v>
      </c>
      <c r="C6070" s="417" t="s">
        <v>14608</v>
      </c>
      <c r="D6070" s="417" t="s">
        <v>73</v>
      </c>
      <c r="E6070" s="423">
        <v>7.8744372567852425E-2</v>
      </c>
      <c r="F6070" s="423">
        <v>3.4472000266617931E-4</v>
      </c>
      <c r="G6070" s="422">
        <v>98.615071878036176</v>
      </c>
      <c r="H6070" s="417" t="s">
        <v>2616</v>
      </c>
      <c r="I6070" s="417" t="s">
        <v>1392</v>
      </c>
      <c r="J6070" s="417" t="s">
        <v>11945</v>
      </c>
      <c r="K6070" s="417" t="s">
        <v>14609</v>
      </c>
      <c r="L6070" s="417"/>
      <c r="M6070" s="417" t="s">
        <v>28840</v>
      </c>
    </row>
    <row r="6071" spans="1:13" x14ac:dyDescent="0.25">
      <c r="A6071" s="417" t="s">
        <v>3385</v>
      </c>
      <c r="B6071" s="417" t="s">
        <v>3405</v>
      </c>
      <c r="C6071" s="417" t="s">
        <v>14610</v>
      </c>
      <c r="D6071" s="417" t="s">
        <v>73</v>
      </c>
      <c r="E6071" s="423">
        <v>7.8934255743855694E-2</v>
      </c>
      <c r="F6071" s="423">
        <v>3.5090480555381519E-4</v>
      </c>
      <c r="G6071" s="422">
        <v>99.465853430309366</v>
      </c>
      <c r="H6071" s="417" t="s">
        <v>2616</v>
      </c>
      <c r="I6071" s="417" t="s">
        <v>1392</v>
      </c>
      <c r="J6071" s="417" t="s">
        <v>11945</v>
      </c>
      <c r="K6071" s="417" t="s">
        <v>14611</v>
      </c>
      <c r="L6071" s="417"/>
      <c r="M6071" s="417" t="s">
        <v>28840</v>
      </c>
    </row>
    <row r="6072" spans="1:13" x14ac:dyDescent="0.25">
      <c r="A6072" s="417" t="s">
        <v>3385</v>
      </c>
      <c r="B6072" s="417" t="s">
        <v>3405</v>
      </c>
      <c r="C6072" s="417" t="s">
        <v>14612</v>
      </c>
      <c r="D6072" s="417" t="s">
        <v>73</v>
      </c>
      <c r="E6072" s="423">
        <v>7.9163665987907444E-2</v>
      </c>
      <c r="F6072" s="423">
        <v>3.58573696906646E-4</v>
      </c>
      <c r="G6072" s="422">
        <v>101.0765624311074</v>
      </c>
      <c r="H6072" s="417" t="s">
        <v>2616</v>
      </c>
      <c r="I6072" s="417" t="s">
        <v>1392</v>
      </c>
      <c r="J6072" s="417" t="s">
        <v>11945</v>
      </c>
      <c r="K6072" s="417" t="s">
        <v>14613</v>
      </c>
      <c r="L6072" s="417"/>
      <c r="M6072" s="417" t="s">
        <v>28840</v>
      </c>
    </row>
    <row r="6073" spans="1:13" x14ac:dyDescent="0.25">
      <c r="A6073" s="417" t="s">
        <v>3385</v>
      </c>
      <c r="B6073" s="417" t="s">
        <v>3405</v>
      </c>
      <c r="C6073" s="417" t="s">
        <v>14614</v>
      </c>
      <c r="D6073" s="417" t="s">
        <v>73</v>
      </c>
      <c r="E6073" s="423">
        <v>7.4562686133581607E-2</v>
      </c>
      <c r="F6073" s="423">
        <v>3.0747130145135392E-4</v>
      </c>
      <c r="G6073" s="422">
        <v>93.398159994065523</v>
      </c>
      <c r="H6073" s="417" t="s">
        <v>2616</v>
      </c>
      <c r="I6073" s="417" t="s">
        <v>1392</v>
      </c>
      <c r="J6073" s="417" t="s">
        <v>13666</v>
      </c>
      <c r="K6073" s="417" t="s">
        <v>14615</v>
      </c>
      <c r="L6073" s="417"/>
      <c r="M6073" s="417" t="s">
        <v>28840</v>
      </c>
    </row>
    <row r="6074" spans="1:13" x14ac:dyDescent="0.25">
      <c r="A6074" s="417" t="s">
        <v>3385</v>
      </c>
      <c r="B6074" s="417" t="s">
        <v>3405</v>
      </c>
      <c r="C6074" s="417" t="s">
        <v>14616</v>
      </c>
      <c r="D6074" s="417" t="s">
        <v>73</v>
      </c>
      <c r="E6074" s="423">
        <v>6.1163196764563811E-2</v>
      </c>
      <c r="F6074" s="423">
        <v>7.962124098562882E-5</v>
      </c>
      <c r="G6074" s="422">
        <v>75.040177310799336</v>
      </c>
      <c r="H6074" s="417" t="s">
        <v>2616</v>
      </c>
      <c r="I6074" s="417" t="s">
        <v>1392</v>
      </c>
      <c r="J6074" s="417" t="s">
        <v>14617</v>
      </c>
      <c r="K6074" s="417" t="s">
        <v>14618</v>
      </c>
      <c r="L6074" s="417"/>
      <c r="M6074" s="417" t="s">
        <v>28840</v>
      </c>
    </row>
    <row r="6075" spans="1:13" x14ac:dyDescent="0.25">
      <c r="A6075" s="417" t="s">
        <v>3385</v>
      </c>
      <c r="B6075" s="417" t="s">
        <v>3405</v>
      </c>
      <c r="C6075" s="417" t="s">
        <v>14619</v>
      </c>
      <c r="D6075" s="417" t="s">
        <v>73</v>
      </c>
      <c r="E6075" s="423">
        <v>6.8546751766362074E-2</v>
      </c>
      <c r="F6075" s="423">
        <v>5.0404118130258892E-5</v>
      </c>
      <c r="G6075" s="422">
        <v>83.642481272895523</v>
      </c>
      <c r="H6075" s="417" t="s">
        <v>2616</v>
      </c>
      <c r="I6075" s="417" t="s">
        <v>1392</v>
      </c>
      <c r="J6075" s="417" t="s">
        <v>14617</v>
      </c>
      <c r="K6075" s="417" t="s">
        <v>14620</v>
      </c>
      <c r="L6075" s="417"/>
      <c r="M6075" s="417" t="s">
        <v>28840</v>
      </c>
    </row>
    <row r="6076" spans="1:13" x14ac:dyDescent="0.25">
      <c r="A6076" s="417" t="s">
        <v>3385</v>
      </c>
      <c r="B6076" s="417" t="s">
        <v>3405</v>
      </c>
      <c r="C6076" s="417" t="s">
        <v>14621</v>
      </c>
      <c r="D6076" s="417" t="s">
        <v>73</v>
      </c>
      <c r="E6076" s="423">
        <v>7.1118161167968486E-2</v>
      </c>
      <c r="F6076" s="423">
        <v>1.2367661959152411E-4</v>
      </c>
      <c r="G6076" s="422">
        <v>88.489020480491135</v>
      </c>
      <c r="H6076" s="417" t="s">
        <v>2616</v>
      </c>
      <c r="I6076" s="417" t="s">
        <v>1392</v>
      </c>
      <c r="J6076" s="417" t="s">
        <v>14617</v>
      </c>
      <c r="K6076" s="417" t="s">
        <v>14622</v>
      </c>
      <c r="L6076" s="417"/>
      <c r="M6076" s="417" t="s">
        <v>28840</v>
      </c>
    </row>
    <row r="6077" spans="1:13" x14ac:dyDescent="0.25">
      <c r="A6077" s="417" t="s">
        <v>3385</v>
      </c>
      <c r="B6077" s="417" t="s">
        <v>3405</v>
      </c>
      <c r="C6077" s="417" t="s">
        <v>14623</v>
      </c>
      <c r="D6077" s="417" t="s">
        <v>73</v>
      </c>
      <c r="E6077" s="423">
        <v>5.9099314003609189E-2</v>
      </c>
      <c r="F6077" s="423">
        <v>6.3822984228280582E-5</v>
      </c>
      <c r="G6077" s="422">
        <v>71.651511505121221</v>
      </c>
      <c r="H6077" s="417" t="s">
        <v>2616</v>
      </c>
      <c r="I6077" s="417" t="s">
        <v>1392</v>
      </c>
      <c r="J6077" s="417" t="s">
        <v>14617</v>
      </c>
      <c r="K6077" s="417" t="s">
        <v>14624</v>
      </c>
      <c r="L6077" s="417"/>
      <c r="M6077" s="417" t="s">
        <v>28840</v>
      </c>
    </row>
    <row r="6078" spans="1:13" x14ac:dyDescent="0.25">
      <c r="A6078" s="417" t="s">
        <v>3385</v>
      </c>
      <c r="B6078" s="417" t="s">
        <v>3405</v>
      </c>
      <c r="C6078" s="417" t="s">
        <v>14625</v>
      </c>
      <c r="D6078" s="417" t="s">
        <v>73</v>
      </c>
      <c r="E6078" s="423">
        <v>6.0288853419804743E-2</v>
      </c>
      <c r="F6078" s="423">
        <v>3.726093398666943E-5</v>
      </c>
      <c r="G6078" s="422">
        <v>72.625803375716671</v>
      </c>
      <c r="H6078" s="417" t="s">
        <v>2616</v>
      </c>
      <c r="I6078" s="417" t="s">
        <v>1392</v>
      </c>
      <c r="J6078" s="417" t="s">
        <v>14617</v>
      </c>
      <c r="K6078" s="417" t="s">
        <v>14626</v>
      </c>
      <c r="L6078" s="417"/>
      <c r="M6078" s="417" t="s">
        <v>28840</v>
      </c>
    </row>
    <row r="6079" spans="1:13" x14ac:dyDescent="0.25">
      <c r="A6079" s="417" t="s">
        <v>3385</v>
      </c>
      <c r="B6079" s="417" t="s">
        <v>3405</v>
      </c>
      <c r="C6079" s="417" t="s">
        <v>14627</v>
      </c>
      <c r="D6079" s="417" t="s">
        <v>73</v>
      </c>
      <c r="E6079" s="423">
        <v>6.5793475895430872E-2</v>
      </c>
      <c r="F6079" s="423">
        <v>8.7232693188632167E-5</v>
      </c>
      <c r="G6079" s="422">
        <v>81.326223509481792</v>
      </c>
      <c r="H6079" s="417" t="s">
        <v>2616</v>
      </c>
      <c r="I6079" s="417" t="s">
        <v>1392</v>
      </c>
      <c r="J6079" s="417" t="s">
        <v>14617</v>
      </c>
      <c r="K6079" s="417" t="s">
        <v>14628</v>
      </c>
      <c r="L6079" s="417"/>
      <c r="M6079" s="417" t="s">
        <v>28840</v>
      </c>
    </row>
    <row r="6080" spans="1:13" x14ac:dyDescent="0.25">
      <c r="A6080" s="417" t="s">
        <v>3385</v>
      </c>
      <c r="B6080" s="417" t="s">
        <v>2627</v>
      </c>
      <c r="C6080" s="417" t="s">
        <v>14629</v>
      </c>
      <c r="D6080" s="417" t="s">
        <v>73</v>
      </c>
      <c r="E6080" s="423">
        <v>6.2985752157609154E-2</v>
      </c>
      <c r="F6080" s="423">
        <v>5.3196152556326177E-5</v>
      </c>
      <c r="G6080" s="422">
        <v>80.324902933751261</v>
      </c>
      <c r="H6080" s="417" t="s">
        <v>2616</v>
      </c>
      <c r="I6080" s="417" t="s">
        <v>1392</v>
      </c>
      <c r="J6080" s="417" t="s">
        <v>14630</v>
      </c>
      <c r="K6080" s="417" t="s">
        <v>14631</v>
      </c>
      <c r="L6080" s="417"/>
      <c r="M6080" s="417" t="s">
        <v>28840</v>
      </c>
    </row>
    <row r="6081" spans="1:13" x14ac:dyDescent="0.25">
      <c r="A6081" s="417" t="s">
        <v>3385</v>
      </c>
      <c r="B6081" s="417" t="s">
        <v>2627</v>
      </c>
      <c r="C6081" s="417" t="s">
        <v>14632</v>
      </c>
      <c r="D6081" s="417" t="s">
        <v>73</v>
      </c>
      <c r="E6081" s="423">
        <v>6.4321920422849274E-2</v>
      </c>
      <c r="F6081" s="423">
        <v>3.8058287293178261E-5</v>
      </c>
      <c r="G6081" s="422">
        <v>81.448764850032163</v>
      </c>
      <c r="H6081" s="417" t="s">
        <v>2616</v>
      </c>
      <c r="I6081" s="417" t="s">
        <v>1392</v>
      </c>
      <c r="J6081" s="417" t="s">
        <v>14630</v>
      </c>
      <c r="K6081" s="417" t="s">
        <v>14633</v>
      </c>
      <c r="L6081" s="417"/>
      <c r="M6081" s="417" t="s">
        <v>28840</v>
      </c>
    </row>
    <row r="6082" spans="1:13" x14ac:dyDescent="0.25">
      <c r="A6082" s="417" t="s">
        <v>3385</v>
      </c>
      <c r="B6082" s="417" t="s">
        <v>2627</v>
      </c>
      <c r="C6082" s="417" t="s">
        <v>14634</v>
      </c>
      <c r="D6082" s="417" t="s">
        <v>73</v>
      </c>
      <c r="E6082" s="423">
        <v>6.8739522838167255E-2</v>
      </c>
      <c r="F6082" s="423">
        <v>8.5811135438620262E-5</v>
      </c>
      <c r="G6082" s="422">
        <v>86.769252633732577</v>
      </c>
      <c r="H6082" s="417" t="s">
        <v>2616</v>
      </c>
      <c r="I6082" s="417" t="s">
        <v>1392</v>
      </c>
      <c r="J6082" s="417" t="s">
        <v>14630</v>
      </c>
      <c r="K6082" s="417" t="s">
        <v>14635</v>
      </c>
      <c r="L6082" s="417"/>
      <c r="M6082" s="417" t="s">
        <v>28840</v>
      </c>
    </row>
    <row r="6083" spans="1:13" x14ac:dyDescent="0.25">
      <c r="A6083" s="417" t="s">
        <v>3385</v>
      </c>
      <c r="B6083" s="417" t="s">
        <v>2627</v>
      </c>
      <c r="C6083" s="417" t="s">
        <v>14636</v>
      </c>
      <c r="D6083" s="417" t="s">
        <v>73</v>
      </c>
      <c r="E6083" s="423">
        <v>7.499244164110197E-2</v>
      </c>
      <c r="F6083" s="423">
        <v>1.5553811345502149E-4</v>
      </c>
      <c r="G6083" s="422">
        <v>95.528309185842275</v>
      </c>
      <c r="H6083" s="417" t="s">
        <v>2616</v>
      </c>
      <c r="I6083" s="417" t="s">
        <v>1392</v>
      </c>
      <c r="J6083" s="417" t="s">
        <v>14630</v>
      </c>
      <c r="K6083" s="417" t="s">
        <v>14637</v>
      </c>
      <c r="L6083" s="417"/>
      <c r="M6083" s="417" t="s">
        <v>28840</v>
      </c>
    </row>
    <row r="6084" spans="1:13" x14ac:dyDescent="0.25">
      <c r="A6084" s="417" t="s">
        <v>3385</v>
      </c>
      <c r="B6084" s="417" t="s">
        <v>2627</v>
      </c>
      <c r="C6084" s="417" t="s">
        <v>14638</v>
      </c>
      <c r="D6084" s="417" t="s">
        <v>73</v>
      </c>
      <c r="E6084" s="423">
        <v>6.3443996765220348E-2</v>
      </c>
      <c r="F6084" s="423">
        <v>6.166313277392282E-5</v>
      </c>
      <c r="G6084" s="422">
        <v>84.426504880067597</v>
      </c>
      <c r="H6084" s="417" t="s">
        <v>2616</v>
      </c>
      <c r="I6084" s="417" t="s">
        <v>1392</v>
      </c>
      <c r="J6084" s="417" t="s">
        <v>14630</v>
      </c>
      <c r="K6084" s="417" t="s">
        <v>14639</v>
      </c>
      <c r="L6084" s="417"/>
      <c r="M6084" s="417" t="s">
        <v>28840</v>
      </c>
    </row>
    <row r="6085" spans="1:13" x14ac:dyDescent="0.25">
      <c r="A6085" s="417" t="s">
        <v>3385</v>
      </c>
      <c r="B6085" s="417" t="s">
        <v>2627</v>
      </c>
      <c r="C6085" s="417" t="s">
        <v>14640</v>
      </c>
      <c r="D6085" s="417" t="s">
        <v>73</v>
      </c>
      <c r="E6085" s="423">
        <v>6.3228867808434161E-2</v>
      </c>
      <c r="F6085" s="423">
        <v>5.5234846389994909E-5</v>
      </c>
      <c r="G6085" s="422">
        <v>79.986120421893588</v>
      </c>
      <c r="H6085" s="417" t="s">
        <v>2616</v>
      </c>
      <c r="I6085" s="417" t="s">
        <v>1392</v>
      </c>
      <c r="J6085" s="417" t="s">
        <v>14630</v>
      </c>
      <c r="K6085" s="417" t="s">
        <v>14641</v>
      </c>
      <c r="L6085" s="417"/>
      <c r="M6085" s="417" t="s">
        <v>28840</v>
      </c>
    </row>
    <row r="6086" spans="1:13" x14ac:dyDescent="0.25">
      <c r="A6086" s="417" t="s">
        <v>3385</v>
      </c>
      <c r="B6086" s="417" t="s">
        <v>2627</v>
      </c>
      <c r="C6086" s="417" t="s">
        <v>14642</v>
      </c>
      <c r="D6086" s="417" t="s">
        <v>73</v>
      </c>
      <c r="E6086" s="423">
        <v>7.2678549869292897E-2</v>
      </c>
      <c r="F6086" s="423">
        <v>3.081930880083407E-4</v>
      </c>
      <c r="G6086" s="422">
        <v>94.371855061953227</v>
      </c>
      <c r="H6086" s="417" t="s">
        <v>2616</v>
      </c>
      <c r="I6086" s="417" t="s">
        <v>1392</v>
      </c>
      <c r="J6086" s="417" t="s">
        <v>14630</v>
      </c>
      <c r="K6086" s="417" t="s">
        <v>14643</v>
      </c>
      <c r="L6086" s="417"/>
      <c r="M6086" s="417" t="s">
        <v>28840</v>
      </c>
    </row>
    <row r="6087" spans="1:13" x14ac:dyDescent="0.25">
      <c r="A6087" s="417" t="s">
        <v>3385</v>
      </c>
      <c r="B6087" s="417" t="s">
        <v>2627</v>
      </c>
      <c r="C6087" s="417" t="s">
        <v>14644</v>
      </c>
      <c r="D6087" s="417" t="s">
        <v>73</v>
      </c>
      <c r="E6087" s="423">
        <v>7.0821969534201751E-2</v>
      </c>
      <c r="F6087" s="423">
        <v>1.002363486533434E-4</v>
      </c>
      <c r="G6087" s="422">
        <v>89.472040194433688</v>
      </c>
      <c r="H6087" s="417" t="s">
        <v>2616</v>
      </c>
      <c r="I6087" s="417" t="s">
        <v>1392</v>
      </c>
      <c r="J6087" s="417" t="s">
        <v>14630</v>
      </c>
      <c r="K6087" s="417" t="s">
        <v>14645</v>
      </c>
      <c r="L6087" s="417"/>
      <c r="M6087" s="417" t="s">
        <v>28840</v>
      </c>
    </row>
    <row r="6088" spans="1:13" x14ac:dyDescent="0.25">
      <c r="A6088" s="417" t="s">
        <v>3385</v>
      </c>
      <c r="B6088" s="417" t="s">
        <v>2627</v>
      </c>
      <c r="C6088" s="417" t="s">
        <v>14646</v>
      </c>
      <c r="D6088" s="417" t="s">
        <v>73</v>
      </c>
      <c r="E6088" s="423">
        <v>6.5880905830266581E-2</v>
      </c>
      <c r="F6088" s="423">
        <v>5.590743638509913E-5</v>
      </c>
      <c r="G6088" s="422">
        <v>82.902513781187338</v>
      </c>
      <c r="H6088" s="417" t="s">
        <v>2616</v>
      </c>
      <c r="I6088" s="417" t="s">
        <v>1392</v>
      </c>
      <c r="J6088" s="417" t="s">
        <v>14630</v>
      </c>
      <c r="K6088" s="417" t="s">
        <v>14647</v>
      </c>
      <c r="L6088" s="417"/>
      <c r="M6088" s="417" t="s">
        <v>28840</v>
      </c>
    </row>
    <row r="6089" spans="1:13" x14ac:dyDescent="0.25">
      <c r="A6089" s="417" t="s">
        <v>3385</v>
      </c>
      <c r="B6089" s="417" t="s">
        <v>2627</v>
      </c>
      <c r="C6089" s="417" t="s">
        <v>14648</v>
      </c>
      <c r="D6089" s="417" t="s">
        <v>73</v>
      </c>
      <c r="E6089" s="423">
        <v>6.6927644590372537E-2</v>
      </c>
      <c r="F6089" s="423">
        <v>7.3585902903713013E-5</v>
      </c>
      <c r="G6089" s="422">
        <v>84.417772564040845</v>
      </c>
      <c r="H6089" s="417" t="s">
        <v>2616</v>
      </c>
      <c r="I6089" s="417" t="s">
        <v>1392</v>
      </c>
      <c r="J6089" s="417" t="s">
        <v>14630</v>
      </c>
      <c r="K6089" s="417" t="s">
        <v>14649</v>
      </c>
      <c r="L6089" s="417"/>
      <c r="M6089" s="417" t="s">
        <v>28840</v>
      </c>
    </row>
    <row r="6090" spans="1:13" x14ac:dyDescent="0.25">
      <c r="A6090" s="417" t="s">
        <v>3385</v>
      </c>
      <c r="B6090" s="417" t="s">
        <v>2627</v>
      </c>
      <c r="C6090" s="417" t="s">
        <v>14650</v>
      </c>
      <c r="D6090" s="417" t="s">
        <v>73</v>
      </c>
      <c r="E6090" s="423">
        <v>6.5900266540209473E-2</v>
      </c>
      <c r="F6090" s="423">
        <v>1.0553221843999371E-4</v>
      </c>
      <c r="G6090" s="422">
        <v>84.43026165341719</v>
      </c>
      <c r="H6090" s="417" t="s">
        <v>2616</v>
      </c>
      <c r="I6090" s="417" t="s">
        <v>1392</v>
      </c>
      <c r="J6090" s="417" t="s">
        <v>14630</v>
      </c>
      <c r="K6090" s="417" t="s">
        <v>14651</v>
      </c>
      <c r="L6090" s="417"/>
      <c r="M6090" s="417" t="s">
        <v>28840</v>
      </c>
    </row>
    <row r="6091" spans="1:13" x14ac:dyDescent="0.25">
      <c r="A6091" s="417" t="s">
        <v>3385</v>
      </c>
      <c r="B6091" s="417" t="s">
        <v>2627</v>
      </c>
      <c r="C6091" s="417" t="s">
        <v>14652</v>
      </c>
      <c r="D6091" s="417" t="s">
        <v>73</v>
      </c>
      <c r="E6091" s="423">
        <v>7.4563262621027804E-2</v>
      </c>
      <c r="F6091" s="423">
        <v>3.0453870610374018E-4</v>
      </c>
      <c r="G6091" s="422">
        <v>96.634340121161486</v>
      </c>
      <c r="H6091" s="417" t="s">
        <v>2616</v>
      </c>
      <c r="I6091" s="417" t="s">
        <v>1392</v>
      </c>
      <c r="J6091" s="417" t="s">
        <v>14630</v>
      </c>
      <c r="K6091" s="417" t="s">
        <v>14653</v>
      </c>
      <c r="L6091" s="417"/>
      <c r="M6091" s="417" t="s">
        <v>28840</v>
      </c>
    </row>
    <row r="6092" spans="1:13" x14ac:dyDescent="0.25">
      <c r="A6092" s="417" t="s">
        <v>3385</v>
      </c>
      <c r="B6092" s="417" t="s">
        <v>2627</v>
      </c>
      <c r="C6092" s="417" t="s">
        <v>14654</v>
      </c>
      <c r="D6092" s="417" t="s">
        <v>73</v>
      </c>
      <c r="E6092" s="423">
        <v>7.2824502081593023E-2</v>
      </c>
      <c r="F6092" s="423">
        <v>2.0361855247911159E-4</v>
      </c>
      <c r="G6092" s="422">
        <v>102.197150961566</v>
      </c>
      <c r="H6092" s="417" t="s">
        <v>2616</v>
      </c>
      <c r="I6092" s="417" t="s">
        <v>1392</v>
      </c>
      <c r="J6092" s="417" t="s">
        <v>14630</v>
      </c>
      <c r="K6092" s="417" t="s">
        <v>14655</v>
      </c>
      <c r="L6092" s="417"/>
      <c r="M6092" s="417" t="s">
        <v>28840</v>
      </c>
    </row>
    <row r="6093" spans="1:13" x14ac:dyDescent="0.25">
      <c r="A6093" s="417" t="s">
        <v>3385</v>
      </c>
      <c r="B6093" s="417" t="s">
        <v>2627</v>
      </c>
      <c r="C6093" s="417" t="s">
        <v>14656</v>
      </c>
      <c r="D6093" s="417" t="s">
        <v>73</v>
      </c>
      <c r="E6093" s="423">
        <v>6.2560022425629844E-2</v>
      </c>
      <c r="F6093" s="423">
        <v>4.9985459122208347E-5</v>
      </c>
      <c r="G6093" s="422">
        <v>78.875315284580992</v>
      </c>
      <c r="H6093" s="417" t="s">
        <v>2616</v>
      </c>
      <c r="I6093" s="417" t="s">
        <v>1392</v>
      </c>
      <c r="J6093" s="417" t="s">
        <v>14630</v>
      </c>
      <c r="K6093" s="417" t="s">
        <v>14657</v>
      </c>
      <c r="L6093" s="417"/>
      <c r="M6093" s="417" t="s">
        <v>28840</v>
      </c>
    </row>
    <row r="6094" spans="1:13" x14ac:dyDescent="0.25">
      <c r="A6094" s="417" t="s">
        <v>3385</v>
      </c>
      <c r="B6094" s="417" t="s">
        <v>2627</v>
      </c>
      <c r="C6094" s="417" t="s">
        <v>14658</v>
      </c>
      <c r="D6094" s="417" t="s">
        <v>73</v>
      </c>
      <c r="E6094" s="423">
        <v>6.2352815469268998E-2</v>
      </c>
      <c r="F6094" s="423">
        <v>5.0576392413193382E-5</v>
      </c>
      <c r="G6094" s="422">
        <v>78.820614940472737</v>
      </c>
      <c r="H6094" s="417" t="s">
        <v>2616</v>
      </c>
      <c r="I6094" s="417" t="s">
        <v>1392</v>
      </c>
      <c r="J6094" s="417" t="s">
        <v>14630</v>
      </c>
      <c r="K6094" s="417" t="s">
        <v>14659</v>
      </c>
      <c r="L6094" s="417"/>
      <c r="M6094" s="417" t="s">
        <v>28840</v>
      </c>
    </row>
    <row r="6095" spans="1:13" x14ac:dyDescent="0.25">
      <c r="A6095" s="417" t="s">
        <v>3385</v>
      </c>
      <c r="B6095" s="417" t="s">
        <v>2627</v>
      </c>
      <c r="C6095" s="417" t="s">
        <v>14660</v>
      </c>
      <c r="D6095" s="417" t="s">
        <v>73</v>
      </c>
      <c r="E6095" s="423">
        <v>6.8214797305992461E-2</v>
      </c>
      <c r="F6095" s="423">
        <v>2.1591323729994321E-4</v>
      </c>
      <c r="G6095" s="422">
        <v>87.807694802243901</v>
      </c>
      <c r="H6095" s="417" t="s">
        <v>2616</v>
      </c>
      <c r="I6095" s="417" t="s">
        <v>1392</v>
      </c>
      <c r="J6095" s="417" t="s">
        <v>14630</v>
      </c>
      <c r="K6095" s="417" t="s">
        <v>14661</v>
      </c>
      <c r="L6095" s="417"/>
      <c r="M6095" s="417" t="s">
        <v>28840</v>
      </c>
    </row>
    <row r="6096" spans="1:13" x14ac:dyDescent="0.25">
      <c r="A6096" s="417" t="s">
        <v>3385</v>
      </c>
      <c r="B6096" s="417" t="s">
        <v>2627</v>
      </c>
      <c r="C6096" s="417" t="s">
        <v>14662</v>
      </c>
      <c r="D6096" s="417" t="s">
        <v>73</v>
      </c>
      <c r="E6096" s="423">
        <v>6.0823444979916819E-2</v>
      </c>
      <c r="F6096" s="423">
        <v>5.302057251386761E-5</v>
      </c>
      <c r="G6096" s="422">
        <v>76.946774487433871</v>
      </c>
      <c r="H6096" s="417" t="s">
        <v>2616</v>
      </c>
      <c r="I6096" s="417" t="s">
        <v>1392</v>
      </c>
      <c r="J6096" s="417" t="s">
        <v>14630</v>
      </c>
      <c r="K6096" s="417" t="s">
        <v>14663</v>
      </c>
      <c r="L6096" s="417"/>
      <c r="M6096" s="417" t="s">
        <v>28840</v>
      </c>
    </row>
    <row r="6097" spans="1:13" x14ac:dyDescent="0.25">
      <c r="A6097" s="417" t="s">
        <v>3385</v>
      </c>
      <c r="B6097" s="417" t="s">
        <v>2627</v>
      </c>
      <c r="C6097" s="417" t="s">
        <v>14664</v>
      </c>
      <c r="D6097" s="417" t="s">
        <v>73</v>
      </c>
      <c r="E6097" s="423">
        <v>6.9619367874946742E-2</v>
      </c>
      <c r="F6097" s="423">
        <v>5.5607020548878183E-5</v>
      </c>
      <c r="G6097" s="422">
        <v>88.191514643450802</v>
      </c>
      <c r="H6097" s="417" t="s">
        <v>2616</v>
      </c>
      <c r="I6097" s="417" t="s">
        <v>1392</v>
      </c>
      <c r="J6097" s="417" t="s">
        <v>14630</v>
      </c>
      <c r="K6097" s="417" t="s">
        <v>14665</v>
      </c>
      <c r="L6097" s="417"/>
      <c r="M6097" s="417" t="s">
        <v>28840</v>
      </c>
    </row>
    <row r="6098" spans="1:13" x14ac:dyDescent="0.25">
      <c r="A6098" s="417" t="s">
        <v>3385</v>
      </c>
      <c r="B6098" s="417" t="s">
        <v>2627</v>
      </c>
      <c r="C6098" s="417" t="s">
        <v>14666</v>
      </c>
      <c r="D6098" s="417" t="s">
        <v>73</v>
      </c>
      <c r="E6098" s="423">
        <v>6.5748866159609717E-2</v>
      </c>
      <c r="F6098" s="423">
        <v>5.438365739793688E-5</v>
      </c>
      <c r="G6098" s="422">
        <v>83.436976279491219</v>
      </c>
      <c r="H6098" s="417" t="s">
        <v>2616</v>
      </c>
      <c r="I6098" s="417" t="s">
        <v>1392</v>
      </c>
      <c r="J6098" s="417" t="s">
        <v>14630</v>
      </c>
      <c r="K6098" s="417" t="s">
        <v>14667</v>
      </c>
      <c r="L6098" s="417"/>
      <c r="M6098" s="417" t="s">
        <v>28840</v>
      </c>
    </row>
    <row r="6099" spans="1:13" x14ac:dyDescent="0.25">
      <c r="A6099" s="417" t="s">
        <v>3385</v>
      </c>
      <c r="B6099" s="417" t="s">
        <v>2627</v>
      </c>
      <c r="C6099" s="417" t="s">
        <v>14668</v>
      </c>
      <c r="D6099" s="417" t="s">
        <v>73</v>
      </c>
      <c r="E6099" s="423">
        <v>7.8648048036975823E-2</v>
      </c>
      <c r="F6099" s="423">
        <v>3.310970580003475E-4</v>
      </c>
      <c r="G6099" s="422">
        <v>102.039844455351</v>
      </c>
      <c r="H6099" s="417" t="s">
        <v>2616</v>
      </c>
      <c r="I6099" s="417" t="s">
        <v>1392</v>
      </c>
      <c r="J6099" s="417" t="s">
        <v>14630</v>
      </c>
      <c r="K6099" s="417" t="s">
        <v>14669</v>
      </c>
      <c r="L6099" s="417"/>
      <c r="M6099" s="417" t="s">
        <v>28840</v>
      </c>
    </row>
    <row r="6100" spans="1:13" x14ac:dyDescent="0.25">
      <c r="A6100" s="417" t="s">
        <v>3385</v>
      </c>
      <c r="B6100" s="417" t="s">
        <v>2627</v>
      </c>
      <c r="C6100" s="417" t="s">
        <v>14670</v>
      </c>
      <c r="D6100" s="417" t="s">
        <v>73</v>
      </c>
      <c r="E6100" s="423">
        <v>7.2877515600127896E-2</v>
      </c>
      <c r="F6100" s="423">
        <v>2.502482297529195E-4</v>
      </c>
      <c r="G6100" s="422">
        <v>93.884486945113977</v>
      </c>
      <c r="H6100" s="417" t="s">
        <v>2616</v>
      </c>
      <c r="I6100" s="417" t="s">
        <v>1392</v>
      </c>
      <c r="J6100" s="417" t="s">
        <v>14630</v>
      </c>
      <c r="K6100" s="417" t="s">
        <v>14671</v>
      </c>
      <c r="L6100" s="417"/>
      <c r="M6100" s="417" t="s">
        <v>28840</v>
      </c>
    </row>
    <row r="6101" spans="1:13" x14ac:dyDescent="0.25">
      <c r="A6101" s="417" t="s">
        <v>3385</v>
      </c>
      <c r="B6101" s="417" t="s">
        <v>2627</v>
      </c>
      <c r="C6101" s="417" t="s">
        <v>14672</v>
      </c>
      <c r="D6101" s="417" t="s">
        <v>73</v>
      </c>
      <c r="E6101" s="423">
        <v>7.9661857908473591E-2</v>
      </c>
      <c r="F6101" s="423">
        <v>4.8841071429997496E-4</v>
      </c>
      <c r="G6101" s="422">
        <v>104.894803195897</v>
      </c>
      <c r="H6101" s="417" t="s">
        <v>2616</v>
      </c>
      <c r="I6101" s="417" t="s">
        <v>1392</v>
      </c>
      <c r="J6101" s="417" t="s">
        <v>14630</v>
      </c>
      <c r="K6101" s="417" t="s">
        <v>14673</v>
      </c>
      <c r="L6101" s="417"/>
      <c r="M6101" s="417" t="s">
        <v>28840</v>
      </c>
    </row>
    <row r="6102" spans="1:13" x14ac:dyDescent="0.25">
      <c r="A6102" s="417" t="s">
        <v>3385</v>
      </c>
      <c r="B6102" s="417" t="s">
        <v>2627</v>
      </c>
      <c r="C6102" s="417" t="s">
        <v>14674</v>
      </c>
      <c r="D6102" s="417" t="s">
        <v>73</v>
      </c>
      <c r="E6102" s="423">
        <v>7.3909056327703976E-2</v>
      </c>
      <c r="F6102" s="423">
        <v>3.1360471754207371E-4</v>
      </c>
      <c r="G6102" s="422">
        <v>95.981514722587789</v>
      </c>
      <c r="H6102" s="417" t="s">
        <v>2616</v>
      </c>
      <c r="I6102" s="417" t="s">
        <v>1392</v>
      </c>
      <c r="J6102" s="417" t="s">
        <v>14630</v>
      </c>
      <c r="K6102" s="417" t="s">
        <v>14675</v>
      </c>
      <c r="L6102" s="417"/>
      <c r="M6102" s="417" t="s">
        <v>28840</v>
      </c>
    </row>
    <row r="6103" spans="1:13" x14ac:dyDescent="0.25">
      <c r="A6103" s="417" t="s">
        <v>3385</v>
      </c>
      <c r="B6103" s="417" t="s">
        <v>2627</v>
      </c>
      <c r="C6103" s="417" t="s">
        <v>14676</v>
      </c>
      <c r="D6103" s="417" t="s">
        <v>73</v>
      </c>
      <c r="E6103" s="423">
        <v>6.5434301054929409E-2</v>
      </c>
      <c r="F6103" s="423">
        <v>1.8101156754348049E-4</v>
      </c>
      <c r="G6103" s="422">
        <v>83.869793980332332</v>
      </c>
      <c r="H6103" s="417" t="s">
        <v>2616</v>
      </c>
      <c r="I6103" s="417" t="s">
        <v>1392</v>
      </c>
      <c r="J6103" s="417" t="s">
        <v>14630</v>
      </c>
      <c r="K6103" s="417" t="s">
        <v>14677</v>
      </c>
      <c r="L6103" s="417"/>
      <c r="M6103" s="417" t="s">
        <v>28840</v>
      </c>
    </row>
    <row r="6104" spans="1:13" x14ac:dyDescent="0.25">
      <c r="A6104" s="417" t="s">
        <v>3385</v>
      </c>
      <c r="B6104" s="417" t="s">
        <v>2627</v>
      </c>
      <c r="C6104" s="417" t="s">
        <v>14678</v>
      </c>
      <c r="D6104" s="417" t="s">
        <v>73</v>
      </c>
      <c r="E6104" s="423">
        <v>7.1172162122586299E-2</v>
      </c>
      <c r="F6104" s="423">
        <v>1.253597691066295E-4</v>
      </c>
      <c r="G6104" s="422">
        <v>91.808014161347586</v>
      </c>
      <c r="H6104" s="417" t="s">
        <v>2616</v>
      </c>
      <c r="I6104" s="417" t="s">
        <v>1392</v>
      </c>
      <c r="J6104" s="417" t="s">
        <v>14630</v>
      </c>
      <c r="K6104" s="417" t="s">
        <v>14679</v>
      </c>
      <c r="L6104" s="417"/>
      <c r="M6104" s="417" t="s">
        <v>28840</v>
      </c>
    </row>
    <row r="6105" spans="1:13" x14ac:dyDescent="0.25">
      <c r="A6105" s="417" t="s">
        <v>3385</v>
      </c>
      <c r="B6105" s="417" t="s">
        <v>2627</v>
      </c>
      <c r="C6105" s="417" t="s">
        <v>14680</v>
      </c>
      <c r="D6105" s="417" t="s">
        <v>73</v>
      </c>
      <c r="E6105" s="423">
        <v>6.5788319000973539E-2</v>
      </c>
      <c r="F6105" s="423">
        <v>5.6563227597419867E-5</v>
      </c>
      <c r="G6105" s="422">
        <v>83.554459260622806</v>
      </c>
      <c r="H6105" s="417" t="s">
        <v>2616</v>
      </c>
      <c r="I6105" s="417" t="s">
        <v>1392</v>
      </c>
      <c r="J6105" s="417" t="s">
        <v>14630</v>
      </c>
      <c r="K6105" s="417" t="s">
        <v>14681</v>
      </c>
      <c r="L6105" s="417"/>
      <c r="M6105" s="417" t="s">
        <v>28840</v>
      </c>
    </row>
    <row r="6106" spans="1:13" x14ac:dyDescent="0.25">
      <c r="A6106" s="417" t="s">
        <v>3385</v>
      </c>
      <c r="B6106" s="417" t="s">
        <v>2627</v>
      </c>
      <c r="C6106" s="417" t="s">
        <v>14682</v>
      </c>
      <c r="D6106" s="417" t="s">
        <v>73</v>
      </c>
      <c r="E6106" s="423">
        <v>7.6540283085981001E-2</v>
      </c>
      <c r="F6106" s="423">
        <v>2.967845584978862E-4</v>
      </c>
      <c r="G6106" s="422">
        <v>99.07796268949383</v>
      </c>
      <c r="H6106" s="417" t="s">
        <v>2616</v>
      </c>
      <c r="I6106" s="417" t="s">
        <v>1392</v>
      </c>
      <c r="J6106" s="417" t="s">
        <v>14630</v>
      </c>
      <c r="K6106" s="417" t="s">
        <v>14683</v>
      </c>
      <c r="L6106" s="417"/>
      <c r="M6106" s="417" t="s">
        <v>28840</v>
      </c>
    </row>
    <row r="6107" spans="1:13" x14ac:dyDescent="0.25">
      <c r="A6107" s="417" t="s">
        <v>3385</v>
      </c>
      <c r="B6107" s="417" t="s">
        <v>2627</v>
      </c>
      <c r="C6107" s="417" t="s">
        <v>14684</v>
      </c>
      <c r="D6107" s="417" t="s">
        <v>73</v>
      </c>
      <c r="E6107" s="423">
        <v>8.2043741466203315E-2</v>
      </c>
      <c r="F6107" s="423">
        <v>5.7514466991968926E-4</v>
      </c>
      <c r="G6107" s="422">
        <v>108.9487355762668</v>
      </c>
      <c r="H6107" s="417" t="s">
        <v>2616</v>
      </c>
      <c r="I6107" s="417" t="s">
        <v>1392</v>
      </c>
      <c r="J6107" s="417" t="s">
        <v>14630</v>
      </c>
      <c r="K6107" s="417" t="s">
        <v>14685</v>
      </c>
      <c r="L6107" s="417"/>
      <c r="M6107" s="417" t="s">
        <v>28840</v>
      </c>
    </row>
    <row r="6108" spans="1:13" x14ac:dyDescent="0.25">
      <c r="A6108" s="417" t="s">
        <v>3385</v>
      </c>
      <c r="B6108" s="417" t="s">
        <v>2627</v>
      </c>
      <c r="C6108" s="417" t="s">
        <v>14686</v>
      </c>
      <c r="D6108" s="417" t="s">
        <v>73</v>
      </c>
      <c r="E6108" s="423">
        <v>7.7547541486286772E-2</v>
      </c>
      <c r="F6108" s="423">
        <v>1.2108659424001851E-4</v>
      </c>
      <c r="G6108" s="422">
        <v>98.419911347849521</v>
      </c>
      <c r="H6108" s="417" t="s">
        <v>2616</v>
      </c>
      <c r="I6108" s="417" t="s">
        <v>1392</v>
      </c>
      <c r="J6108" s="417" t="s">
        <v>14630</v>
      </c>
      <c r="K6108" s="417" t="s">
        <v>14687</v>
      </c>
      <c r="L6108" s="417"/>
      <c r="M6108" s="417" t="s">
        <v>28840</v>
      </c>
    </row>
    <row r="6109" spans="1:13" x14ac:dyDescent="0.25">
      <c r="A6109" s="417" t="s">
        <v>3385</v>
      </c>
      <c r="B6109" s="417" t="s">
        <v>2627</v>
      </c>
      <c r="C6109" s="417" t="s">
        <v>14688</v>
      </c>
      <c r="D6109" s="417" t="s">
        <v>73</v>
      </c>
      <c r="E6109" s="423">
        <v>6.847898753368202E-2</v>
      </c>
      <c r="F6109" s="423">
        <v>1.3840480015892169E-4</v>
      </c>
      <c r="G6109" s="422">
        <v>96.135871386282133</v>
      </c>
      <c r="H6109" s="417" t="s">
        <v>2616</v>
      </c>
      <c r="I6109" s="417" t="s">
        <v>1392</v>
      </c>
      <c r="J6109" s="417" t="s">
        <v>14630</v>
      </c>
      <c r="K6109" s="417" t="s">
        <v>14689</v>
      </c>
      <c r="L6109" s="417"/>
      <c r="M6109" s="417" t="s">
        <v>28840</v>
      </c>
    </row>
    <row r="6110" spans="1:13" x14ac:dyDescent="0.25">
      <c r="A6110" s="417" t="s">
        <v>3385</v>
      </c>
      <c r="B6110" s="417" t="s">
        <v>2627</v>
      </c>
      <c r="C6110" s="417" t="s">
        <v>14690</v>
      </c>
      <c r="D6110" s="417" t="s">
        <v>73</v>
      </c>
      <c r="E6110" s="423">
        <v>6.6431520241515954E-2</v>
      </c>
      <c r="F6110" s="423">
        <v>1.86063883718001E-4</v>
      </c>
      <c r="G6110" s="422">
        <v>85.105088185176399</v>
      </c>
      <c r="H6110" s="417" t="s">
        <v>2616</v>
      </c>
      <c r="I6110" s="417" t="s">
        <v>1392</v>
      </c>
      <c r="J6110" s="417" t="s">
        <v>14630</v>
      </c>
      <c r="K6110" s="417" t="s">
        <v>14691</v>
      </c>
      <c r="L6110" s="417"/>
      <c r="M6110" s="417" t="s">
        <v>28840</v>
      </c>
    </row>
    <row r="6111" spans="1:13" x14ac:dyDescent="0.25">
      <c r="A6111" s="417" t="s">
        <v>3385</v>
      </c>
      <c r="B6111" s="417" t="s">
        <v>2627</v>
      </c>
      <c r="C6111" s="417" t="s">
        <v>14692</v>
      </c>
      <c r="D6111" s="417" t="s">
        <v>73</v>
      </c>
      <c r="E6111" s="423">
        <v>7.3085002015762443E-2</v>
      </c>
      <c r="F6111" s="423">
        <v>2.26798481960473E-4</v>
      </c>
      <c r="G6111" s="422">
        <v>98.415253773508766</v>
      </c>
      <c r="H6111" s="417" t="s">
        <v>2616</v>
      </c>
      <c r="I6111" s="417" t="s">
        <v>1392</v>
      </c>
      <c r="J6111" s="417" t="s">
        <v>14630</v>
      </c>
      <c r="K6111" s="417" t="s">
        <v>14693</v>
      </c>
      <c r="L6111" s="417"/>
      <c r="M6111" s="417" t="s">
        <v>28840</v>
      </c>
    </row>
    <row r="6112" spans="1:13" x14ac:dyDescent="0.25">
      <c r="A6112" s="417" t="s">
        <v>3385</v>
      </c>
      <c r="B6112" s="417" t="s">
        <v>2627</v>
      </c>
      <c r="C6112" s="417" t="s">
        <v>14694</v>
      </c>
      <c r="D6112" s="417" t="s">
        <v>73</v>
      </c>
      <c r="E6112" s="423">
        <v>6.7502779378985675E-2</v>
      </c>
      <c r="F6112" s="423">
        <v>5.0825918323300428E-5</v>
      </c>
      <c r="G6112" s="422">
        <v>86.229802409277298</v>
      </c>
      <c r="H6112" s="417" t="s">
        <v>2616</v>
      </c>
      <c r="I6112" s="417" t="s">
        <v>1392</v>
      </c>
      <c r="J6112" s="417" t="s">
        <v>14630</v>
      </c>
      <c r="K6112" s="417" t="s">
        <v>14695</v>
      </c>
      <c r="L6112" s="417"/>
      <c r="M6112" s="417" t="s">
        <v>28840</v>
      </c>
    </row>
    <row r="6113" spans="1:13" x14ac:dyDescent="0.25">
      <c r="A6113" s="417" t="s">
        <v>3385</v>
      </c>
      <c r="B6113" s="417" t="s">
        <v>2627</v>
      </c>
      <c r="C6113" s="417" t="s">
        <v>14696</v>
      </c>
      <c r="D6113" s="417" t="s">
        <v>73</v>
      </c>
      <c r="E6113" s="423">
        <v>6.6412291954108041E-2</v>
      </c>
      <c r="F6113" s="423">
        <v>4.1969739035296343E-5</v>
      </c>
      <c r="G6113" s="422">
        <v>84.804942863443827</v>
      </c>
      <c r="H6113" s="417" t="s">
        <v>2616</v>
      </c>
      <c r="I6113" s="417" t="s">
        <v>1392</v>
      </c>
      <c r="J6113" s="417" t="s">
        <v>14630</v>
      </c>
      <c r="K6113" s="417" t="s">
        <v>14697</v>
      </c>
      <c r="L6113" s="417"/>
      <c r="M6113" s="417" t="s">
        <v>28840</v>
      </c>
    </row>
    <row r="6114" spans="1:13" x14ac:dyDescent="0.25">
      <c r="A6114" s="417" t="s">
        <v>3385</v>
      </c>
      <c r="B6114" s="417" t="s">
        <v>2627</v>
      </c>
      <c r="C6114" s="417" t="s">
        <v>14698</v>
      </c>
      <c r="D6114" s="417" t="s">
        <v>73</v>
      </c>
      <c r="E6114" s="423">
        <v>7.304486740286209E-2</v>
      </c>
      <c r="F6114" s="423">
        <v>1.7425402651925171E-4</v>
      </c>
      <c r="G6114" s="422">
        <v>93.37195182888226</v>
      </c>
      <c r="H6114" s="417" t="s">
        <v>2616</v>
      </c>
      <c r="I6114" s="417" t="s">
        <v>1392</v>
      </c>
      <c r="J6114" s="417" t="s">
        <v>14630</v>
      </c>
      <c r="K6114" s="417" t="s">
        <v>14699</v>
      </c>
      <c r="L6114" s="417"/>
      <c r="M6114" s="417" t="s">
        <v>28840</v>
      </c>
    </row>
    <row r="6115" spans="1:13" x14ac:dyDescent="0.25">
      <c r="A6115" s="417" t="s">
        <v>3385</v>
      </c>
      <c r="B6115" s="417" t="s">
        <v>2627</v>
      </c>
      <c r="C6115" s="417" t="s">
        <v>14700</v>
      </c>
      <c r="D6115" s="417" t="s">
        <v>73</v>
      </c>
      <c r="E6115" s="423">
        <v>8.1421152556234416E-2</v>
      </c>
      <c r="F6115" s="423">
        <v>5.7139994118890133E-4</v>
      </c>
      <c r="G6115" s="422">
        <v>110.25521238403201</v>
      </c>
      <c r="H6115" s="417" t="s">
        <v>2616</v>
      </c>
      <c r="I6115" s="417" t="s">
        <v>1392</v>
      </c>
      <c r="J6115" s="417" t="s">
        <v>14630</v>
      </c>
      <c r="K6115" s="417" t="s">
        <v>14701</v>
      </c>
      <c r="L6115" s="417"/>
      <c r="M6115" s="417" t="s">
        <v>28840</v>
      </c>
    </row>
    <row r="6116" spans="1:13" x14ac:dyDescent="0.25">
      <c r="A6116" s="417" t="s">
        <v>3385</v>
      </c>
      <c r="B6116" s="417" t="s">
        <v>2627</v>
      </c>
      <c r="C6116" s="417" t="s">
        <v>14702</v>
      </c>
      <c r="D6116" s="417" t="s">
        <v>73</v>
      </c>
      <c r="E6116" s="423">
        <v>8.1300026006684026E-2</v>
      </c>
      <c r="F6116" s="423">
        <v>5.7719884446672974E-4</v>
      </c>
      <c r="G6116" s="422">
        <v>109.4684606660856</v>
      </c>
      <c r="H6116" s="417" t="s">
        <v>2616</v>
      </c>
      <c r="I6116" s="417" t="s">
        <v>1392</v>
      </c>
      <c r="J6116" s="417" t="s">
        <v>14630</v>
      </c>
      <c r="K6116" s="417" t="s">
        <v>14703</v>
      </c>
      <c r="L6116" s="417"/>
      <c r="M6116" s="417" t="s">
        <v>28840</v>
      </c>
    </row>
    <row r="6117" spans="1:13" x14ac:dyDescent="0.25">
      <c r="A6117" s="417" t="s">
        <v>3385</v>
      </c>
      <c r="B6117" s="417" t="s">
        <v>2627</v>
      </c>
      <c r="C6117" s="417" t="s">
        <v>14704</v>
      </c>
      <c r="D6117" s="417" t="s">
        <v>73</v>
      </c>
      <c r="E6117" s="423">
        <v>6.9024316211240985E-2</v>
      </c>
      <c r="F6117" s="423">
        <v>1.667591535912154E-4</v>
      </c>
      <c r="G6117" s="422">
        <v>89.107165514495819</v>
      </c>
      <c r="H6117" s="417" t="s">
        <v>2616</v>
      </c>
      <c r="I6117" s="417" t="s">
        <v>1392</v>
      </c>
      <c r="J6117" s="417" t="s">
        <v>14630</v>
      </c>
      <c r="K6117" s="417" t="s">
        <v>14705</v>
      </c>
      <c r="L6117" s="417"/>
      <c r="M6117" s="417" t="s">
        <v>28840</v>
      </c>
    </row>
    <row r="6118" spans="1:13" x14ac:dyDescent="0.25">
      <c r="A6118" s="417" t="s">
        <v>3385</v>
      </c>
      <c r="B6118" s="417" t="s">
        <v>2627</v>
      </c>
      <c r="C6118" s="417" t="s">
        <v>14706</v>
      </c>
      <c r="D6118" s="417" t="s">
        <v>73</v>
      </c>
      <c r="E6118" s="423">
        <v>6.816760321086561E-2</v>
      </c>
      <c r="F6118" s="423">
        <v>8.1041208622285624E-5</v>
      </c>
      <c r="G6118" s="422">
        <v>86.758893971047414</v>
      </c>
      <c r="H6118" s="417" t="s">
        <v>2616</v>
      </c>
      <c r="I6118" s="417" t="s">
        <v>1392</v>
      </c>
      <c r="J6118" s="417" t="s">
        <v>14630</v>
      </c>
      <c r="K6118" s="417" t="s">
        <v>14707</v>
      </c>
      <c r="L6118" s="417"/>
      <c r="M6118" s="417" t="s">
        <v>28840</v>
      </c>
    </row>
    <row r="6119" spans="1:13" x14ac:dyDescent="0.25">
      <c r="A6119" s="417" t="s">
        <v>3385</v>
      </c>
      <c r="B6119" s="417" t="s">
        <v>2627</v>
      </c>
      <c r="C6119" s="417" t="s">
        <v>14708</v>
      </c>
      <c r="D6119" s="417" t="s">
        <v>73</v>
      </c>
      <c r="E6119" s="423">
        <v>6.8881976899463265E-2</v>
      </c>
      <c r="F6119" s="423">
        <v>5.4432262567361093E-5</v>
      </c>
      <c r="G6119" s="422">
        <v>87.286741931488791</v>
      </c>
      <c r="H6119" s="417" t="s">
        <v>2616</v>
      </c>
      <c r="I6119" s="417" t="s">
        <v>1392</v>
      </c>
      <c r="J6119" s="417" t="s">
        <v>14630</v>
      </c>
      <c r="K6119" s="417" t="s">
        <v>14709</v>
      </c>
      <c r="L6119" s="417"/>
      <c r="M6119" s="417" t="s">
        <v>28840</v>
      </c>
    </row>
    <row r="6120" spans="1:13" x14ac:dyDescent="0.25">
      <c r="A6120" s="417" t="s">
        <v>3385</v>
      </c>
      <c r="B6120" s="417" t="s">
        <v>2627</v>
      </c>
      <c r="C6120" s="417" t="s">
        <v>14710</v>
      </c>
      <c r="D6120" s="417" t="s">
        <v>73</v>
      </c>
      <c r="E6120" s="423">
        <v>6.7179059808453942E-2</v>
      </c>
      <c r="F6120" s="423">
        <v>1.068197457277499E-4</v>
      </c>
      <c r="G6120" s="422">
        <v>85.74315927671725</v>
      </c>
      <c r="H6120" s="417" t="s">
        <v>2616</v>
      </c>
      <c r="I6120" s="417" t="s">
        <v>1392</v>
      </c>
      <c r="J6120" s="417" t="s">
        <v>14630</v>
      </c>
      <c r="K6120" s="417" t="s">
        <v>14711</v>
      </c>
      <c r="L6120" s="417"/>
      <c r="M6120" s="417" t="s">
        <v>28840</v>
      </c>
    </row>
    <row r="6121" spans="1:13" x14ac:dyDescent="0.25">
      <c r="A6121" s="417" t="s">
        <v>3385</v>
      </c>
      <c r="B6121" s="417" t="s">
        <v>2627</v>
      </c>
      <c r="C6121" s="417" t="s">
        <v>14712</v>
      </c>
      <c r="D6121" s="417" t="s">
        <v>73</v>
      </c>
      <c r="E6121" s="423">
        <v>6.6423933005511498E-2</v>
      </c>
      <c r="F6121" s="423">
        <v>7.3414083131342046E-5</v>
      </c>
      <c r="G6121" s="422">
        <v>85.288269084484412</v>
      </c>
      <c r="H6121" s="417" t="s">
        <v>2616</v>
      </c>
      <c r="I6121" s="417" t="s">
        <v>1392</v>
      </c>
      <c r="J6121" s="417" t="s">
        <v>14630</v>
      </c>
      <c r="K6121" s="417" t="s">
        <v>14713</v>
      </c>
      <c r="L6121" s="417"/>
      <c r="M6121" s="417" t="s">
        <v>28840</v>
      </c>
    </row>
    <row r="6122" spans="1:13" x14ac:dyDescent="0.25">
      <c r="A6122" s="417" t="s">
        <v>3385</v>
      </c>
      <c r="B6122" s="417" t="s">
        <v>2627</v>
      </c>
      <c r="C6122" s="417" t="s">
        <v>14714</v>
      </c>
      <c r="D6122" s="417" t="s">
        <v>73</v>
      </c>
      <c r="E6122" s="423">
        <v>6.8307164769167053E-2</v>
      </c>
      <c r="F6122" s="423">
        <v>5.2021334135824907E-5</v>
      </c>
      <c r="G6122" s="422">
        <v>86.363957848442666</v>
      </c>
      <c r="H6122" s="417" t="s">
        <v>2616</v>
      </c>
      <c r="I6122" s="417" t="s">
        <v>1392</v>
      </c>
      <c r="J6122" s="417" t="s">
        <v>14630</v>
      </c>
      <c r="K6122" s="417" t="s">
        <v>14715</v>
      </c>
      <c r="L6122" s="417"/>
      <c r="M6122" s="417" t="s">
        <v>28840</v>
      </c>
    </row>
    <row r="6123" spans="1:13" x14ac:dyDescent="0.25">
      <c r="A6123" s="417" t="s">
        <v>3385</v>
      </c>
      <c r="B6123" s="417" t="s">
        <v>2627</v>
      </c>
      <c r="C6123" s="417" t="s">
        <v>14716</v>
      </c>
      <c r="D6123" s="417" t="s">
        <v>73</v>
      </c>
      <c r="E6123" s="423">
        <v>7.1681980017370375E-2</v>
      </c>
      <c r="F6123" s="423">
        <v>3.1045747544642608E-4</v>
      </c>
      <c r="G6123" s="422">
        <v>93.107465196379025</v>
      </c>
      <c r="H6123" s="417" t="s">
        <v>2616</v>
      </c>
      <c r="I6123" s="417" t="s">
        <v>1392</v>
      </c>
      <c r="J6123" s="417" t="s">
        <v>14630</v>
      </c>
      <c r="K6123" s="417" t="s">
        <v>14717</v>
      </c>
      <c r="L6123" s="417"/>
      <c r="M6123" s="417" t="s">
        <v>28840</v>
      </c>
    </row>
    <row r="6124" spans="1:13" x14ac:dyDescent="0.25">
      <c r="A6124" s="417" t="s">
        <v>3385</v>
      </c>
      <c r="B6124" s="417" t="s">
        <v>2627</v>
      </c>
      <c r="C6124" s="417" t="s">
        <v>14718</v>
      </c>
      <c r="D6124" s="417" t="s">
        <v>73</v>
      </c>
      <c r="E6124" s="423">
        <v>5.9808374543931779E-2</v>
      </c>
      <c r="F6124" s="423">
        <v>4.2255493527337732E-5</v>
      </c>
      <c r="G6124" s="422">
        <v>75.578010168578132</v>
      </c>
      <c r="H6124" s="417" t="s">
        <v>2616</v>
      </c>
      <c r="I6124" s="417" t="s">
        <v>1392</v>
      </c>
      <c r="J6124" s="417" t="s">
        <v>14630</v>
      </c>
      <c r="K6124" s="417" t="s">
        <v>14719</v>
      </c>
      <c r="L6124" s="417"/>
      <c r="M6124" s="417" t="s">
        <v>28840</v>
      </c>
    </row>
    <row r="6125" spans="1:13" x14ac:dyDescent="0.25">
      <c r="A6125" s="417" t="s">
        <v>3385</v>
      </c>
      <c r="B6125" s="417" t="s">
        <v>2627</v>
      </c>
      <c r="C6125" s="417" t="s">
        <v>14720</v>
      </c>
      <c r="D6125" s="417" t="s">
        <v>73</v>
      </c>
      <c r="E6125" s="423">
        <v>6.3937116960099488E-2</v>
      </c>
      <c r="F6125" s="423">
        <v>5.62840607584636E-5</v>
      </c>
      <c r="G6125" s="422">
        <v>82.010716524429185</v>
      </c>
      <c r="H6125" s="417" t="s">
        <v>2616</v>
      </c>
      <c r="I6125" s="417" t="s">
        <v>1392</v>
      </c>
      <c r="J6125" s="417" t="s">
        <v>14630</v>
      </c>
      <c r="K6125" s="417" t="s">
        <v>14721</v>
      </c>
      <c r="L6125" s="417"/>
      <c r="M6125" s="417" t="s">
        <v>28840</v>
      </c>
    </row>
    <row r="6126" spans="1:13" x14ac:dyDescent="0.25">
      <c r="A6126" s="417" t="s">
        <v>3385</v>
      </c>
      <c r="B6126" s="417" t="s">
        <v>2627</v>
      </c>
      <c r="C6126" s="417" t="s">
        <v>14722</v>
      </c>
      <c r="D6126" s="417" t="s">
        <v>73</v>
      </c>
      <c r="E6126" s="423">
        <v>6.4822578444717088E-2</v>
      </c>
      <c r="F6126" s="423">
        <v>5.3546420244997423E-5</v>
      </c>
      <c r="G6126" s="422">
        <v>81.61378547337398</v>
      </c>
      <c r="H6126" s="417" t="s">
        <v>2616</v>
      </c>
      <c r="I6126" s="417" t="s">
        <v>1392</v>
      </c>
      <c r="J6126" s="417" t="s">
        <v>14630</v>
      </c>
      <c r="K6126" s="417" t="s">
        <v>14723</v>
      </c>
      <c r="L6126" s="417"/>
      <c r="M6126" s="417" t="s">
        <v>28840</v>
      </c>
    </row>
    <row r="6127" spans="1:13" x14ac:dyDescent="0.25">
      <c r="A6127" s="417" t="s">
        <v>3385</v>
      </c>
      <c r="B6127" s="417" t="s">
        <v>2627</v>
      </c>
      <c r="C6127" s="417" t="s">
        <v>14724</v>
      </c>
      <c r="D6127" s="417" t="s">
        <v>73</v>
      </c>
      <c r="E6127" s="423">
        <v>7.115681959975749E-2</v>
      </c>
      <c r="F6127" s="423">
        <v>1.2507073792143939E-4</v>
      </c>
      <c r="G6127" s="422">
        <v>91.448603749075261</v>
      </c>
      <c r="H6127" s="417" t="s">
        <v>2616</v>
      </c>
      <c r="I6127" s="417" t="s">
        <v>1392</v>
      </c>
      <c r="J6127" s="417" t="s">
        <v>14630</v>
      </c>
      <c r="K6127" s="417" t="s">
        <v>14725</v>
      </c>
      <c r="L6127" s="417"/>
      <c r="M6127" s="417" t="s">
        <v>28840</v>
      </c>
    </row>
    <row r="6128" spans="1:13" x14ac:dyDescent="0.25">
      <c r="A6128" s="417" t="s">
        <v>3385</v>
      </c>
      <c r="B6128" s="417" t="s">
        <v>2627</v>
      </c>
      <c r="C6128" s="417" t="s">
        <v>14726</v>
      </c>
      <c r="D6128" s="417" t="s">
        <v>73</v>
      </c>
      <c r="E6128" s="423">
        <v>6.8925212872426034E-2</v>
      </c>
      <c r="F6128" s="423">
        <v>2.2736669521712221E-4</v>
      </c>
      <c r="G6128" s="422">
        <v>88.83411544262421</v>
      </c>
      <c r="H6128" s="417" t="s">
        <v>2616</v>
      </c>
      <c r="I6128" s="417" t="s">
        <v>1392</v>
      </c>
      <c r="J6128" s="417" t="s">
        <v>14630</v>
      </c>
      <c r="K6128" s="417" t="s">
        <v>14727</v>
      </c>
      <c r="L6128" s="417"/>
      <c r="M6128" s="417" t="s">
        <v>28840</v>
      </c>
    </row>
    <row r="6129" spans="1:13" x14ac:dyDescent="0.25">
      <c r="A6129" s="417" t="s">
        <v>3385</v>
      </c>
      <c r="B6129" s="417" t="s">
        <v>2627</v>
      </c>
      <c r="C6129" s="417" t="s">
        <v>14728</v>
      </c>
      <c r="D6129" s="417" t="s">
        <v>73</v>
      </c>
      <c r="E6129" s="423">
        <v>6.2278693000433177E-2</v>
      </c>
      <c r="F6129" s="423">
        <v>5.0396425808870812E-5</v>
      </c>
      <c r="G6129" s="422">
        <v>79.265884433256417</v>
      </c>
      <c r="H6129" s="417" t="s">
        <v>2616</v>
      </c>
      <c r="I6129" s="417" t="s">
        <v>1392</v>
      </c>
      <c r="J6129" s="417" t="s">
        <v>14630</v>
      </c>
      <c r="K6129" s="417" t="s">
        <v>14729</v>
      </c>
      <c r="L6129" s="417"/>
      <c r="M6129" s="417" t="s">
        <v>28840</v>
      </c>
    </row>
    <row r="6130" spans="1:13" x14ac:dyDescent="0.25">
      <c r="A6130" s="417" t="s">
        <v>3385</v>
      </c>
      <c r="B6130" s="417" t="s">
        <v>2627</v>
      </c>
      <c r="C6130" s="417" t="s">
        <v>14730</v>
      </c>
      <c r="D6130" s="417" t="s">
        <v>73</v>
      </c>
      <c r="E6130" s="423">
        <v>7.2895073929858251E-2</v>
      </c>
      <c r="F6130" s="423">
        <v>2.5063345979009868E-4</v>
      </c>
      <c r="G6130" s="422">
        <v>93.910548548113894</v>
      </c>
      <c r="H6130" s="417" t="s">
        <v>2616</v>
      </c>
      <c r="I6130" s="417" t="s">
        <v>1392</v>
      </c>
      <c r="J6130" s="417" t="s">
        <v>14630</v>
      </c>
      <c r="K6130" s="417" t="s">
        <v>14731</v>
      </c>
      <c r="L6130" s="417"/>
      <c r="M6130" s="417" t="s">
        <v>28840</v>
      </c>
    </row>
    <row r="6131" spans="1:13" x14ac:dyDescent="0.25">
      <c r="A6131" s="417" t="s">
        <v>3385</v>
      </c>
      <c r="B6131" s="417" t="s">
        <v>2627</v>
      </c>
      <c r="C6131" s="417" t="s">
        <v>14732</v>
      </c>
      <c r="D6131" s="417" t="s">
        <v>73</v>
      </c>
      <c r="E6131" s="423">
        <v>6.9840991607755101E-2</v>
      </c>
      <c r="F6131" s="423">
        <v>6.0514994806387627E-5</v>
      </c>
      <c r="G6131" s="422">
        <v>88.426231448821483</v>
      </c>
      <c r="H6131" s="417" t="s">
        <v>2616</v>
      </c>
      <c r="I6131" s="417" t="s">
        <v>1392</v>
      </c>
      <c r="J6131" s="417" t="s">
        <v>14630</v>
      </c>
      <c r="K6131" s="417" t="s">
        <v>14733</v>
      </c>
      <c r="L6131" s="417"/>
      <c r="M6131" s="417" t="s">
        <v>28840</v>
      </c>
    </row>
    <row r="6132" spans="1:13" x14ac:dyDescent="0.25">
      <c r="A6132" s="417" t="s">
        <v>3385</v>
      </c>
      <c r="B6132" s="417" t="s">
        <v>2627</v>
      </c>
      <c r="C6132" s="417" t="s">
        <v>14734</v>
      </c>
      <c r="D6132" s="417" t="s">
        <v>73</v>
      </c>
      <c r="E6132" s="423">
        <v>7.9133350243886624E-2</v>
      </c>
      <c r="F6132" s="423">
        <v>4.0703196676797039E-4</v>
      </c>
      <c r="G6132" s="422">
        <v>103.2139149623588</v>
      </c>
      <c r="H6132" s="417" t="s">
        <v>2616</v>
      </c>
      <c r="I6132" s="417" t="s">
        <v>1392</v>
      </c>
      <c r="J6132" s="417" t="s">
        <v>14630</v>
      </c>
      <c r="K6132" s="417" t="s">
        <v>14735</v>
      </c>
      <c r="L6132" s="417"/>
      <c r="M6132" s="417" t="s">
        <v>28840</v>
      </c>
    </row>
    <row r="6133" spans="1:13" x14ac:dyDescent="0.25">
      <c r="A6133" s="417" t="s">
        <v>3385</v>
      </c>
      <c r="B6133" s="417" t="s">
        <v>2627</v>
      </c>
      <c r="C6133" s="417" t="s">
        <v>14736</v>
      </c>
      <c r="D6133" s="417" t="s">
        <v>73</v>
      </c>
      <c r="E6133" s="423">
        <v>7.1221961331808636E-2</v>
      </c>
      <c r="F6133" s="423">
        <v>1.2269558956164159E-4</v>
      </c>
      <c r="G6133" s="422">
        <v>91.963571867581692</v>
      </c>
      <c r="H6133" s="417" t="s">
        <v>2616</v>
      </c>
      <c r="I6133" s="417" t="s">
        <v>1392</v>
      </c>
      <c r="J6133" s="417" t="s">
        <v>14630</v>
      </c>
      <c r="K6133" s="417" t="s">
        <v>14737</v>
      </c>
      <c r="L6133" s="417"/>
      <c r="M6133" s="417" t="s">
        <v>28840</v>
      </c>
    </row>
    <row r="6134" spans="1:13" x14ac:dyDescent="0.25">
      <c r="A6134" s="417" t="s">
        <v>3385</v>
      </c>
      <c r="B6134" s="417" t="s">
        <v>2627</v>
      </c>
      <c r="C6134" s="417" t="s">
        <v>14738</v>
      </c>
      <c r="D6134" s="417" t="s">
        <v>73</v>
      </c>
      <c r="E6134" s="423">
        <v>7.1254808817647605E-2</v>
      </c>
      <c r="F6134" s="423">
        <v>8.9532163820949694E-5</v>
      </c>
      <c r="G6134" s="422">
        <v>90.702890243458924</v>
      </c>
      <c r="H6134" s="417" t="s">
        <v>2616</v>
      </c>
      <c r="I6134" s="417" t="s">
        <v>1392</v>
      </c>
      <c r="J6134" s="417" t="s">
        <v>14630</v>
      </c>
      <c r="K6134" s="417" t="s">
        <v>14739</v>
      </c>
      <c r="L6134" s="417"/>
      <c r="M6134" s="417" t="s">
        <v>28840</v>
      </c>
    </row>
    <row r="6135" spans="1:13" x14ac:dyDescent="0.25">
      <c r="A6135" s="417" t="s">
        <v>3385</v>
      </c>
      <c r="B6135" s="417" t="s">
        <v>2627</v>
      </c>
      <c r="C6135" s="417" t="s">
        <v>14740</v>
      </c>
      <c r="D6135" s="417" t="s">
        <v>73</v>
      </c>
      <c r="E6135" s="423">
        <v>6.7853360259790926E-2</v>
      </c>
      <c r="F6135" s="423">
        <v>8.4163900148656378E-5</v>
      </c>
      <c r="G6135" s="422">
        <v>86.645509863621001</v>
      </c>
      <c r="H6135" s="417" t="s">
        <v>2616</v>
      </c>
      <c r="I6135" s="417" t="s">
        <v>1392</v>
      </c>
      <c r="J6135" s="417" t="s">
        <v>14630</v>
      </c>
      <c r="K6135" s="417" t="s">
        <v>14741</v>
      </c>
      <c r="L6135" s="417"/>
      <c r="M6135" s="417" t="s">
        <v>28840</v>
      </c>
    </row>
    <row r="6136" spans="1:13" x14ac:dyDescent="0.25">
      <c r="A6136" s="417" t="s">
        <v>3385</v>
      </c>
      <c r="B6136" s="417" t="s">
        <v>2627</v>
      </c>
      <c r="C6136" s="417" t="s">
        <v>14742</v>
      </c>
      <c r="D6136" s="417" t="s">
        <v>73</v>
      </c>
      <c r="E6136" s="423">
        <v>6.1448205215472222E-2</v>
      </c>
      <c r="F6136" s="423">
        <v>3.9934935333326369E-5</v>
      </c>
      <c r="G6136" s="422">
        <v>78.591617064650549</v>
      </c>
      <c r="H6136" s="417" t="s">
        <v>2616</v>
      </c>
      <c r="I6136" s="417" t="s">
        <v>1392</v>
      </c>
      <c r="J6136" s="417" t="s">
        <v>14630</v>
      </c>
      <c r="K6136" s="417" t="s">
        <v>14743</v>
      </c>
      <c r="L6136" s="417"/>
      <c r="M6136" s="417" t="s">
        <v>28840</v>
      </c>
    </row>
    <row r="6137" spans="1:13" x14ac:dyDescent="0.25">
      <c r="A6137" s="417" t="s">
        <v>3385</v>
      </c>
      <c r="B6137" s="417" t="s">
        <v>2627</v>
      </c>
      <c r="C6137" s="417" t="s">
        <v>14744</v>
      </c>
      <c r="D6137" s="417" t="s">
        <v>73</v>
      </c>
      <c r="E6137" s="423">
        <v>6.5279616120353032E-2</v>
      </c>
      <c r="F6137" s="423">
        <v>1.142118169425346E-4</v>
      </c>
      <c r="G6137" s="422">
        <v>83.137953259414246</v>
      </c>
      <c r="H6137" s="417" t="s">
        <v>2616</v>
      </c>
      <c r="I6137" s="417" t="s">
        <v>1392</v>
      </c>
      <c r="J6137" s="417" t="s">
        <v>14630</v>
      </c>
      <c r="K6137" s="417" t="s">
        <v>14745</v>
      </c>
      <c r="L6137" s="417"/>
      <c r="M6137" s="417" t="s">
        <v>28840</v>
      </c>
    </row>
    <row r="6138" spans="1:13" x14ac:dyDescent="0.25">
      <c r="A6138" s="417" t="s">
        <v>3385</v>
      </c>
      <c r="B6138" s="417" t="s">
        <v>2627</v>
      </c>
      <c r="C6138" s="417" t="s">
        <v>14746</v>
      </c>
      <c r="D6138" s="417" t="s">
        <v>73</v>
      </c>
      <c r="E6138" s="423">
        <v>7.8180713611309266E-2</v>
      </c>
      <c r="F6138" s="423">
        <v>1.004381592127957E-4</v>
      </c>
      <c r="G6138" s="422">
        <v>98.958310414683808</v>
      </c>
      <c r="H6138" s="417" t="s">
        <v>2616</v>
      </c>
      <c r="I6138" s="417" t="s">
        <v>1392</v>
      </c>
      <c r="J6138" s="417" t="s">
        <v>14630</v>
      </c>
      <c r="K6138" s="417" t="s">
        <v>14747</v>
      </c>
      <c r="L6138" s="417"/>
      <c r="M6138" s="417" t="s">
        <v>28840</v>
      </c>
    </row>
    <row r="6139" spans="1:13" x14ac:dyDescent="0.25">
      <c r="A6139" s="417" t="s">
        <v>3385</v>
      </c>
      <c r="B6139" s="417" t="s">
        <v>2627</v>
      </c>
      <c r="C6139" s="417" t="s">
        <v>14748</v>
      </c>
      <c r="D6139" s="417" t="s">
        <v>73</v>
      </c>
      <c r="E6139" s="423">
        <v>7.0541457636158503E-2</v>
      </c>
      <c r="F6139" s="423">
        <v>2.5574613132113338E-4</v>
      </c>
      <c r="G6139" s="422">
        <v>93.467889744246918</v>
      </c>
      <c r="H6139" s="417" t="s">
        <v>2616</v>
      </c>
      <c r="I6139" s="417" t="s">
        <v>1392</v>
      </c>
      <c r="J6139" s="417" t="s">
        <v>14630</v>
      </c>
      <c r="K6139" s="417" t="s">
        <v>14749</v>
      </c>
      <c r="L6139" s="417"/>
      <c r="M6139" s="417" t="s">
        <v>28840</v>
      </c>
    </row>
    <row r="6140" spans="1:13" x14ac:dyDescent="0.25">
      <c r="A6140" s="417" t="s">
        <v>3385</v>
      </c>
      <c r="B6140" s="417" t="s">
        <v>2627</v>
      </c>
      <c r="C6140" s="417" t="s">
        <v>14750</v>
      </c>
      <c r="D6140" s="417" t="s">
        <v>73</v>
      </c>
      <c r="E6140" s="423">
        <v>9.6279145128177201E-2</v>
      </c>
      <c r="F6140" s="423">
        <v>8.2445402943309769E-5</v>
      </c>
      <c r="G6140" s="422">
        <v>120.82460837327849</v>
      </c>
      <c r="H6140" s="417" t="s">
        <v>2616</v>
      </c>
      <c r="I6140" s="417" t="s">
        <v>1392</v>
      </c>
      <c r="J6140" s="417" t="s">
        <v>14630</v>
      </c>
      <c r="K6140" s="417" t="s">
        <v>14751</v>
      </c>
      <c r="L6140" s="417"/>
      <c r="M6140" s="417" t="s">
        <v>28840</v>
      </c>
    </row>
    <row r="6141" spans="1:13" x14ac:dyDescent="0.25">
      <c r="A6141" s="417" t="s">
        <v>3385</v>
      </c>
      <c r="B6141" s="417" t="s">
        <v>2627</v>
      </c>
      <c r="C6141" s="417" t="s">
        <v>14752</v>
      </c>
      <c r="D6141" s="417" t="s">
        <v>73</v>
      </c>
      <c r="E6141" s="423">
        <v>7.2316403610476476E-2</v>
      </c>
      <c r="F6141" s="423">
        <v>1.5842538693949749E-4</v>
      </c>
      <c r="G6141" s="422">
        <v>92.595453069913432</v>
      </c>
      <c r="H6141" s="417" t="s">
        <v>2616</v>
      </c>
      <c r="I6141" s="417" t="s">
        <v>1392</v>
      </c>
      <c r="J6141" s="417" t="s">
        <v>14630</v>
      </c>
      <c r="K6141" s="417" t="s">
        <v>14753</v>
      </c>
      <c r="L6141" s="417"/>
      <c r="M6141" s="417" t="s">
        <v>28840</v>
      </c>
    </row>
    <row r="6142" spans="1:13" x14ac:dyDescent="0.25">
      <c r="A6142" s="417" t="s">
        <v>3385</v>
      </c>
      <c r="B6142" s="417" t="s">
        <v>2627</v>
      </c>
      <c r="C6142" s="417" t="s">
        <v>14754</v>
      </c>
      <c r="D6142" s="417" t="s">
        <v>73</v>
      </c>
      <c r="E6142" s="423">
        <v>6.3674462536625329E-2</v>
      </c>
      <c r="F6142" s="423">
        <v>5.1898797821112909E-5</v>
      </c>
      <c r="G6142" s="422">
        <v>80.240758929158957</v>
      </c>
      <c r="H6142" s="417" t="s">
        <v>2616</v>
      </c>
      <c r="I6142" s="417" t="s">
        <v>1392</v>
      </c>
      <c r="J6142" s="417" t="s">
        <v>14630</v>
      </c>
      <c r="K6142" s="417" t="s">
        <v>14755</v>
      </c>
      <c r="L6142" s="417"/>
      <c r="M6142" s="417" t="s">
        <v>28840</v>
      </c>
    </row>
    <row r="6143" spans="1:13" x14ac:dyDescent="0.25">
      <c r="A6143" s="417" t="s">
        <v>3385</v>
      </c>
      <c r="B6143" s="417" t="s">
        <v>2627</v>
      </c>
      <c r="C6143" s="417" t="s">
        <v>14756</v>
      </c>
      <c r="D6143" s="417" t="s">
        <v>73</v>
      </c>
      <c r="E6143" s="423">
        <v>7.9346652119649377E-2</v>
      </c>
      <c r="F6143" s="423">
        <v>5.1432589441627492E-4</v>
      </c>
      <c r="G6143" s="422">
        <v>106.74457778991879</v>
      </c>
      <c r="H6143" s="417" t="s">
        <v>2616</v>
      </c>
      <c r="I6143" s="417" t="s">
        <v>1392</v>
      </c>
      <c r="J6143" s="417" t="s">
        <v>14630</v>
      </c>
      <c r="K6143" s="417" t="s">
        <v>14757</v>
      </c>
      <c r="L6143" s="417"/>
      <c r="M6143" s="417" t="s">
        <v>28840</v>
      </c>
    </row>
    <row r="6144" spans="1:13" x14ac:dyDescent="0.25">
      <c r="A6144" s="417" t="s">
        <v>3385</v>
      </c>
      <c r="B6144" s="417" t="s">
        <v>2627</v>
      </c>
      <c r="C6144" s="417" t="s">
        <v>14758</v>
      </c>
      <c r="D6144" s="417" t="s">
        <v>73</v>
      </c>
      <c r="E6144" s="423">
        <v>6.6195894898826102E-2</v>
      </c>
      <c r="F6144" s="423">
        <v>4.5996678904688833E-5</v>
      </c>
      <c r="G6144" s="422">
        <v>84.143241490016464</v>
      </c>
      <c r="H6144" s="417" t="s">
        <v>2616</v>
      </c>
      <c r="I6144" s="417" t="s">
        <v>1392</v>
      </c>
      <c r="J6144" s="417" t="s">
        <v>14630</v>
      </c>
      <c r="K6144" s="417" t="s">
        <v>14759</v>
      </c>
      <c r="L6144" s="417"/>
      <c r="M6144" s="417" t="s">
        <v>28840</v>
      </c>
    </row>
    <row r="6145" spans="1:13" x14ac:dyDescent="0.25">
      <c r="A6145" s="417" t="s">
        <v>3385</v>
      </c>
      <c r="B6145" s="417" t="s">
        <v>2627</v>
      </c>
      <c r="C6145" s="417" t="s">
        <v>14760</v>
      </c>
      <c r="D6145" s="417" t="s">
        <v>73</v>
      </c>
      <c r="E6145" s="423">
        <v>6.6384499449376577E-2</v>
      </c>
      <c r="F6145" s="423">
        <v>1.20701683853716E-4</v>
      </c>
      <c r="G6145" s="422">
        <v>85.245373515462163</v>
      </c>
      <c r="H6145" s="417" t="s">
        <v>2616</v>
      </c>
      <c r="I6145" s="417" t="s">
        <v>1392</v>
      </c>
      <c r="J6145" s="417" t="s">
        <v>14630</v>
      </c>
      <c r="K6145" s="417" t="s">
        <v>14761</v>
      </c>
      <c r="L6145" s="417"/>
      <c r="M6145" s="417" t="s">
        <v>28840</v>
      </c>
    </row>
    <row r="6146" spans="1:13" x14ac:dyDescent="0.25">
      <c r="A6146" s="417" t="s">
        <v>3385</v>
      </c>
      <c r="B6146" s="417" t="s">
        <v>2627</v>
      </c>
      <c r="C6146" s="417" t="s">
        <v>14762</v>
      </c>
      <c r="D6146" s="417" t="s">
        <v>73</v>
      </c>
      <c r="E6146" s="423">
        <v>7.2499451695091061E-2</v>
      </c>
      <c r="F6146" s="423">
        <v>9.286734353952211E-5</v>
      </c>
      <c r="G6146" s="422">
        <v>92.295754380266132</v>
      </c>
      <c r="H6146" s="417" t="s">
        <v>2616</v>
      </c>
      <c r="I6146" s="417" t="s">
        <v>1392</v>
      </c>
      <c r="J6146" s="417" t="s">
        <v>14630</v>
      </c>
      <c r="K6146" s="417" t="s">
        <v>14763</v>
      </c>
      <c r="L6146" s="417"/>
      <c r="M6146" s="417" t="s">
        <v>28840</v>
      </c>
    </row>
    <row r="6147" spans="1:13" x14ac:dyDescent="0.25">
      <c r="A6147" s="417" t="s">
        <v>3385</v>
      </c>
      <c r="B6147" s="417" t="s">
        <v>2627</v>
      </c>
      <c r="C6147" s="417" t="s">
        <v>14764</v>
      </c>
      <c r="D6147" s="417" t="s">
        <v>73</v>
      </c>
      <c r="E6147" s="423">
        <v>7.2929248376068165E-2</v>
      </c>
      <c r="F6147" s="423">
        <v>5.189879782318215E-5</v>
      </c>
      <c r="G6147" s="422">
        <v>91.542929084751279</v>
      </c>
      <c r="H6147" s="417" t="s">
        <v>2616</v>
      </c>
      <c r="I6147" s="417" t="s">
        <v>1392</v>
      </c>
      <c r="J6147" s="417" t="s">
        <v>14630</v>
      </c>
      <c r="K6147" s="417" t="s">
        <v>14765</v>
      </c>
      <c r="L6147" s="417"/>
      <c r="M6147" s="417" t="s">
        <v>28840</v>
      </c>
    </row>
    <row r="6148" spans="1:13" x14ac:dyDescent="0.25">
      <c r="A6148" s="417" t="s">
        <v>3385</v>
      </c>
      <c r="B6148" s="417" t="s">
        <v>3405</v>
      </c>
      <c r="C6148" s="417" t="s">
        <v>14766</v>
      </c>
      <c r="D6148" s="417" t="s">
        <v>73</v>
      </c>
      <c r="E6148" s="423">
        <v>6.1069893191522381E-2</v>
      </c>
      <c r="F6148" s="423">
        <v>8.0060392448937621E-5</v>
      </c>
      <c r="G6148" s="422">
        <v>80.28118434470484</v>
      </c>
      <c r="H6148" s="417" t="s">
        <v>2616</v>
      </c>
      <c r="I6148" s="417" t="s">
        <v>1392</v>
      </c>
      <c r="J6148" s="417" t="s">
        <v>14617</v>
      </c>
      <c r="K6148" s="417" t="s">
        <v>14767</v>
      </c>
      <c r="L6148" s="417"/>
      <c r="M6148" s="417" t="s">
        <v>28840</v>
      </c>
    </row>
    <row r="6149" spans="1:13" x14ac:dyDescent="0.25">
      <c r="A6149" s="417" t="s">
        <v>3385</v>
      </c>
      <c r="B6149" s="417" t="s">
        <v>3405</v>
      </c>
      <c r="C6149" s="417" t="s">
        <v>14768</v>
      </c>
      <c r="D6149" s="417" t="s">
        <v>73</v>
      </c>
      <c r="E6149" s="423">
        <v>6.8453448193333571E-2</v>
      </c>
      <c r="F6149" s="423">
        <v>5.084326959362359E-5</v>
      </c>
      <c r="G6149" s="422">
        <v>88.883488306823594</v>
      </c>
      <c r="H6149" s="417" t="s">
        <v>2616</v>
      </c>
      <c r="I6149" s="417" t="s">
        <v>1392</v>
      </c>
      <c r="J6149" s="417" t="s">
        <v>14617</v>
      </c>
      <c r="K6149" s="417" t="s">
        <v>14769</v>
      </c>
      <c r="L6149" s="417"/>
      <c r="M6149" s="417" t="s">
        <v>28840</v>
      </c>
    </row>
    <row r="6150" spans="1:13" x14ac:dyDescent="0.25">
      <c r="A6150" s="417" t="s">
        <v>3385</v>
      </c>
      <c r="B6150" s="417" t="s">
        <v>3405</v>
      </c>
      <c r="C6150" s="417" t="s">
        <v>14770</v>
      </c>
      <c r="D6150" s="417" t="s">
        <v>73</v>
      </c>
      <c r="E6150" s="423">
        <v>5.9006010430344327E-2</v>
      </c>
      <c r="F6150" s="423">
        <v>6.4262135667816353E-5</v>
      </c>
      <c r="G6150" s="422">
        <v>76.892518538413142</v>
      </c>
      <c r="H6150" s="417" t="s">
        <v>2616</v>
      </c>
      <c r="I6150" s="417" t="s">
        <v>1392</v>
      </c>
      <c r="J6150" s="417" t="s">
        <v>14617</v>
      </c>
      <c r="K6150" s="417" t="s">
        <v>14771</v>
      </c>
      <c r="L6150" s="417"/>
      <c r="M6150" s="417" t="s">
        <v>28840</v>
      </c>
    </row>
    <row r="6151" spans="1:13" x14ac:dyDescent="0.25">
      <c r="A6151" s="417" t="s">
        <v>3385</v>
      </c>
      <c r="B6151" s="417" t="s">
        <v>3405</v>
      </c>
      <c r="C6151" s="417" t="s">
        <v>14772</v>
      </c>
      <c r="D6151" s="417" t="s">
        <v>73</v>
      </c>
      <c r="E6151" s="423">
        <v>6.0195549849356531E-2</v>
      </c>
      <c r="F6151" s="423">
        <v>3.7700085988101678E-5</v>
      </c>
      <c r="G6151" s="422">
        <v>77.866810416641812</v>
      </c>
      <c r="H6151" s="417" t="s">
        <v>2616</v>
      </c>
      <c r="I6151" s="417" t="s">
        <v>1392</v>
      </c>
      <c r="J6151" s="417" t="s">
        <v>14617</v>
      </c>
      <c r="K6151" s="417" t="s">
        <v>14773</v>
      </c>
      <c r="L6151" s="417"/>
      <c r="M6151" s="417" t="s">
        <v>28840</v>
      </c>
    </row>
    <row r="6152" spans="1:13" x14ac:dyDescent="0.25">
      <c r="A6152" s="417" t="s">
        <v>3385</v>
      </c>
      <c r="B6152" s="417" t="s">
        <v>3405</v>
      </c>
      <c r="C6152" s="417" t="s">
        <v>14774</v>
      </c>
      <c r="D6152" s="417" t="s">
        <v>73</v>
      </c>
      <c r="E6152" s="423">
        <v>6.5700172345118879E-2</v>
      </c>
      <c r="F6152" s="423">
        <v>8.7671852686547003E-5</v>
      </c>
      <c r="G6152" s="422">
        <v>86.567230605478017</v>
      </c>
      <c r="H6152" s="417" t="s">
        <v>2616</v>
      </c>
      <c r="I6152" s="417" t="s">
        <v>1392</v>
      </c>
      <c r="J6152" s="417" t="s">
        <v>14617</v>
      </c>
      <c r="K6152" s="417" t="s">
        <v>14775</v>
      </c>
      <c r="L6152" s="417"/>
      <c r="M6152" s="417" t="s">
        <v>28840</v>
      </c>
    </row>
    <row r="6153" spans="1:13" x14ac:dyDescent="0.25">
      <c r="A6153" s="417" t="s">
        <v>3385</v>
      </c>
      <c r="B6153" s="417" t="s">
        <v>3405</v>
      </c>
      <c r="C6153" s="417" t="s">
        <v>14776</v>
      </c>
      <c r="D6153" s="417" t="s">
        <v>73</v>
      </c>
      <c r="E6153" s="423">
        <v>7.273053996768078E-2</v>
      </c>
      <c r="F6153" s="423">
        <v>2.4813670408342962E-4</v>
      </c>
      <c r="G6153" s="422">
        <v>95.811535970354285</v>
      </c>
      <c r="H6153" s="417" t="s">
        <v>2616</v>
      </c>
      <c r="I6153" s="417" t="s">
        <v>1392</v>
      </c>
      <c r="J6153" s="417" t="s">
        <v>14617</v>
      </c>
      <c r="K6153" s="417" t="s">
        <v>14777</v>
      </c>
      <c r="L6153" s="417"/>
      <c r="M6153" s="417" t="s">
        <v>28840</v>
      </c>
    </row>
    <row r="6154" spans="1:13" x14ac:dyDescent="0.25">
      <c r="A6154" s="417" t="s">
        <v>3385</v>
      </c>
      <c r="B6154" s="417" t="s">
        <v>3405</v>
      </c>
      <c r="C6154" s="417" t="s">
        <v>14778</v>
      </c>
      <c r="D6154" s="417" t="s">
        <v>73</v>
      </c>
      <c r="E6154" s="423">
        <v>7.624988284674436E-2</v>
      </c>
      <c r="F6154" s="423">
        <v>3.353365629817749E-4</v>
      </c>
      <c r="G6154" s="422">
        <v>95.31299534730401</v>
      </c>
      <c r="H6154" s="417" t="s">
        <v>2616</v>
      </c>
      <c r="I6154" s="417" t="s">
        <v>1392</v>
      </c>
      <c r="J6154" s="417" t="s">
        <v>11340</v>
      </c>
      <c r="K6154" s="417" t="s">
        <v>14779</v>
      </c>
      <c r="L6154" s="417"/>
      <c r="M6154" s="417" t="s">
        <v>28840</v>
      </c>
    </row>
    <row r="6155" spans="1:13" x14ac:dyDescent="0.25">
      <c r="A6155" s="417" t="s">
        <v>3385</v>
      </c>
      <c r="B6155" s="417" t="s">
        <v>3405</v>
      </c>
      <c r="C6155" s="417" t="s">
        <v>14780</v>
      </c>
      <c r="D6155" s="417" t="s">
        <v>73</v>
      </c>
      <c r="E6155" s="423">
        <v>7.6249882854183854E-2</v>
      </c>
      <c r="F6155" s="423">
        <v>3.3533656290349789E-4</v>
      </c>
      <c r="G6155" s="422">
        <v>94.860162743730982</v>
      </c>
      <c r="H6155" s="417" t="s">
        <v>2616</v>
      </c>
      <c r="I6155" s="417" t="s">
        <v>1392</v>
      </c>
      <c r="J6155" s="417" t="s">
        <v>11340</v>
      </c>
      <c r="K6155" s="417" t="s">
        <v>14781</v>
      </c>
      <c r="L6155" s="417"/>
      <c r="M6155" s="417" t="s">
        <v>28840</v>
      </c>
    </row>
    <row r="6156" spans="1:13" x14ac:dyDescent="0.25">
      <c r="A6156" s="417" t="s">
        <v>3385</v>
      </c>
      <c r="B6156" s="417" t="s">
        <v>3405</v>
      </c>
      <c r="C6156" s="417" t="s">
        <v>14782</v>
      </c>
      <c r="D6156" s="417" t="s">
        <v>73</v>
      </c>
      <c r="E6156" s="423">
        <v>6.4649473025239712E-2</v>
      </c>
      <c r="F6156" s="423">
        <v>1.354790156256197E-4</v>
      </c>
      <c r="G6156" s="422">
        <v>85.428936180736969</v>
      </c>
      <c r="H6156" s="417" t="s">
        <v>2616</v>
      </c>
      <c r="I6156" s="417" t="s">
        <v>1392</v>
      </c>
      <c r="J6156" s="417" t="s">
        <v>4890</v>
      </c>
      <c r="K6156" s="417" t="s">
        <v>14783</v>
      </c>
      <c r="L6156" s="417"/>
      <c r="M6156" s="417" t="s">
        <v>28840</v>
      </c>
    </row>
    <row r="6157" spans="1:13" x14ac:dyDescent="0.25">
      <c r="A6157" s="417" t="s">
        <v>3385</v>
      </c>
      <c r="B6157" s="417" t="s">
        <v>3405</v>
      </c>
      <c r="C6157" s="417" t="s">
        <v>14784</v>
      </c>
      <c r="D6157" s="417" t="s">
        <v>73</v>
      </c>
      <c r="E6157" s="423">
        <v>7.2573499112723011E-2</v>
      </c>
      <c r="F6157" s="423">
        <v>3.082803836358784E-4</v>
      </c>
      <c r="G6157" s="422">
        <v>91.727691807332661</v>
      </c>
      <c r="H6157" s="417" t="s">
        <v>2616</v>
      </c>
      <c r="I6157" s="417" t="s">
        <v>1392</v>
      </c>
      <c r="J6157" s="417" t="s">
        <v>4890</v>
      </c>
      <c r="K6157" s="417" t="s">
        <v>14785</v>
      </c>
      <c r="L6157" s="417"/>
      <c r="M6157" s="417" t="s">
        <v>28840</v>
      </c>
    </row>
    <row r="6158" spans="1:13" x14ac:dyDescent="0.25">
      <c r="A6158" s="417" t="s">
        <v>3385</v>
      </c>
      <c r="B6158" s="417" t="s">
        <v>3405</v>
      </c>
      <c r="C6158" s="417" t="s">
        <v>14786</v>
      </c>
      <c r="D6158" s="417" t="s">
        <v>73</v>
      </c>
      <c r="E6158" s="423">
        <v>7.4416224684866555E-2</v>
      </c>
      <c r="F6158" s="423">
        <v>1.009982916972286E-4</v>
      </c>
      <c r="G6158" s="422">
        <v>91.799883045000684</v>
      </c>
      <c r="H6158" s="417" t="s">
        <v>2616</v>
      </c>
      <c r="I6158" s="417" t="s">
        <v>1392</v>
      </c>
      <c r="J6158" s="417" t="s">
        <v>4890</v>
      </c>
      <c r="K6158" s="417" t="s">
        <v>14787</v>
      </c>
      <c r="L6158" s="417"/>
      <c r="M6158" s="417" t="s">
        <v>28840</v>
      </c>
    </row>
    <row r="6159" spans="1:13" x14ac:dyDescent="0.25">
      <c r="A6159" s="417" t="s">
        <v>3385</v>
      </c>
      <c r="B6159" s="417" t="s">
        <v>3405</v>
      </c>
      <c r="C6159" s="417" t="s">
        <v>14788</v>
      </c>
      <c r="D6159" s="417" t="s">
        <v>73</v>
      </c>
      <c r="E6159" s="423">
        <v>6.5449473025239707E-2</v>
      </c>
      <c r="F6159" s="423">
        <v>1.354790156256197E-4</v>
      </c>
      <c r="G6159" s="422">
        <v>82.762328180736972</v>
      </c>
      <c r="H6159" s="417" t="s">
        <v>2616</v>
      </c>
      <c r="I6159" s="417" t="s">
        <v>1392</v>
      </c>
      <c r="J6159" s="417" t="s">
        <v>4890</v>
      </c>
      <c r="K6159" s="417" t="s">
        <v>14789</v>
      </c>
      <c r="L6159" s="417"/>
      <c r="M6159" s="417" t="s">
        <v>28840</v>
      </c>
    </row>
    <row r="6160" spans="1:13" x14ac:dyDescent="0.25">
      <c r="A6160" s="417" t="s">
        <v>3385</v>
      </c>
      <c r="B6160" s="417" t="s">
        <v>3405</v>
      </c>
      <c r="C6160" s="417" t="s">
        <v>14790</v>
      </c>
      <c r="D6160" s="417" t="s">
        <v>73</v>
      </c>
      <c r="E6160" s="423">
        <v>6.5112973025239718E-2</v>
      </c>
      <c r="F6160" s="423">
        <v>1.354790156256197E-4</v>
      </c>
      <c r="G6160" s="422">
        <v>82.932908180736987</v>
      </c>
      <c r="H6160" s="417" t="s">
        <v>2616</v>
      </c>
      <c r="I6160" s="417" t="s">
        <v>1392</v>
      </c>
      <c r="J6160" s="417" t="s">
        <v>4890</v>
      </c>
      <c r="K6160" s="417" t="s">
        <v>14791</v>
      </c>
      <c r="L6160" s="417"/>
      <c r="M6160" s="417" t="s">
        <v>28840</v>
      </c>
    </row>
    <row r="6161" spans="1:13" x14ac:dyDescent="0.25">
      <c r="A6161" s="417" t="s">
        <v>3385</v>
      </c>
      <c r="B6161" s="417" t="s">
        <v>3405</v>
      </c>
      <c r="C6161" s="417" t="s">
        <v>14792</v>
      </c>
      <c r="D6161" s="417" t="s">
        <v>73</v>
      </c>
      <c r="E6161" s="423">
        <v>6.5449473025239707E-2</v>
      </c>
      <c r="F6161" s="423">
        <v>1.354790156256197E-4</v>
      </c>
      <c r="G6161" s="422">
        <v>83.258588180736965</v>
      </c>
      <c r="H6161" s="417" t="s">
        <v>2616</v>
      </c>
      <c r="I6161" s="417" t="s">
        <v>1392</v>
      </c>
      <c r="J6161" s="417" t="s">
        <v>4890</v>
      </c>
      <c r="K6161" s="417" t="s">
        <v>14793</v>
      </c>
      <c r="L6161" s="417"/>
      <c r="M6161" s="417" t="s">
        <v>28840</v>
      </c>
    </row>
    <row r="6162" spans="1:13" x14ac:dyDescent="0.25">
      <c r="A6162" s="417" t="s">
        <v>3385</v>
      </c>
      <c r="B6162" s="417" t="s">
        <v>3405</v>
      </c>
      <c r="C6162" s="417" t="s">
        <v>14794</v>
      </c>
      <c r="D6162" s="417" t="s">
        <v>73</v>
      </c>
      <c r="E6162" s="423">
        <v>6.9359282696682054E-2</v>
      </c>
      <c r="F6162" s="423">
        <v>2.4399712213436339E-4</v>
      </c>
      <c r="G6162" s="422">
        <v>86.96173556219064</v>
      </c>
      <c r="H6162" s="417" t="s">
        <v>2616</v>
      </c>
      <c r="I6162" s="417" t="s">
        <v>1392</v>
      </c>
      <c r="J6162" s="417" t="s">
        <v>4890</v>
      </c>
      <c r="K6162" s="417" t="s">
        <v>14795</v>
      </c>
      <c r="L6162" s="417"/>
      <c r="M6162" s="417" t="s">
        <v>28840</v>
      </c>
    </row>
    <row r="6163" spans="1:13" x14ac:dyDescent="0.25">
      <c r="A6163" s="417" t="s">
        <v>3385</v>
      </c>
      <c r="B6163" s="417" t="s">
        <v>3405</v>
      </c>
      <c r="C6163" s="417" t="s">
        <v>14796</v>
      </c>
      <c r="D6163" s="417" t="s">
        <v>73</v>
      </c>
      <c r="E6163" s="423">
        <v>6.5449473025239707E-2</v>
      </c>
      <c r="F6163" s="423">
        <v>1.354790156256197E-4</v>
      </c>
      <c r="G6163" s="422">
        <v>82.466732180736969</v>
      </c>
      <c r="H6163" s="417" t="s">
        <v>2616</v>
      </c>
      <c r="I6163" s="417" t="s">
        <v>1392</v>
      </c>
      <c r="J6163" s="417" t="s">
        <v>4890</v>
      </c>
      <c r="K6163" s="417" t="s">
        <v>14797</v>
      </c>
      <c r="L6163" s="417"/>
      <c r="M6163" s="417" t="s">
        <v>28840</v>
      </c>
    </row>
    <row r="6164" spans="1:13" x14ac:dyDescent="0.25">
      <c r="A6164" s="417" t="s">
        <v>3385</v>
      </c>
      <c r="B6164" s="417" t="s">
        <v>3405</v>
      </c>
      <c r="C6164" s="417" t="s">
        <v>14798</v>
      </c>
      <c r="D6164" s="417" t="s">
        <v>73</v>
      </c>
      <c r="E6164" s="423">
        <v>6.5349473025239718E-2</v>
      </c>
      <c r="F6164" s="423">
        <v>1.354790156256197E-4</v>
      </c>
      <c r="G6164" s="422">
        <v>82.657608180736972</v>
      </c>
      <c r="H6164" s="417" t="s">
        <v>2616</v>
      </c>
      <c r="I6164" s="417" t="s">
        <v>1392</v>
      </c>
      <c r="J6164" s="417" t="s">
        <v>4890</v>
      </c>
      <c r="K6164" s="417" t="s">
        <v>14799</v>
      </c>
      <c r="L6164" s="417"/>
      <c r="M6164" s="417" t="s">
        <v>28840</v>
      </c>
    </row>
    <row r="6165" spans="1:13" x14ac:dyDescent="0.25">
      <c r="A6165" s="417" t="s">
        <v>3385</v>
      </c>
      <c r="B6165" s="417" t="s">
        <v>3405</v>
      </c>
      <c r="C6165" s="417" t="s">
        <v>14800</v>
      </c>
      <c r="D6165" s="417" t="s">
        <v>73</v>
      </c>
      <c r="E6165" s="423">
        <v>6.5449473025239707E-2</v>
      </c>
      <c r="F6165" s="423">
        <v>1.354790156256197E-4</v>
      </c>
      <c r="G6165" s="422">
        <v>82.957364180736974</v>
      </c>
      <c r="H6165" s="417" t="s">
        <v>2616</v>
      </c>
      <c r="I6165" s="417" t="s">
        <v>1392</v>
      </c>
      <c r="J6165" s="417" t="s">
        <v>4890</v>
      </c>
      <c r="K6165" s="417" t="s">
        <v>14801</v>
      </c>
      <c r="L6165" s="417"/>
      <c r="M6165" s="417" t="s">
        <v>28840</v>
      </c>
    </row>
    <row r="6166" spans="1:13" x14ac:dyDescent="0.25">
      <c r="A6166" s="417" t="s">
        <v>3385</v>
      </c>
      <c r="B6166" s="417" t="s">
        <v>3405</v>
      </c>
      <c r="C6166" s="417" t="s">
        <v>14802</v>
      </c>
      <c r="D6166" s="417" t="s">
        <v>73</v>
      </c>
      <c r="E6166" s="423">
        <v>6.5649473025239713E-2</v>
      </c>
      <c r="F6166" s="423">
        <v>1.354790156256197E-4</v>
      </c>
      <c r="G6166" s="422">
        <v>83.646364180736981</v>
      </c>
      <c r="H6166" s="417" t="s">
        <v>2616</v>
      </c>
      <c r="I6166" s="417" t="s">
        <v>1392</v>
      </c>
      <c r="J6166" s="417" t="s">
        <v>4890</v>
      </c>
      <c r="K6166" s="417" t="s">
        <v>14803</v>
      </c>
      <c r="L6166" s="417"/>
      <c r="M6166" s="417" t="s">
        <v>28840</v>
      </c>
    </row>
    <row r="6167" spans="1:13" x14ac:dyDescent="0.25">
      <c r="A6167" s="417" t="s">
        <v>3385</v>
      </c>
      <c r="B6167" s="417" t="s">
        <v>3405</v>
      </c>
      <c r="C6167" s="417" t="s">
        <v>14804</v>
      </c>
      <c r="D6167" s="417" t="s">
        <v>73</v>
      </c>
      <c r="E6167" s="423">
        <v>7.2790023167295395E-2</v>
      </c>
      <c r="F6167" s="423">
        <v>2.5072075403063888E-4</v>
      </c>
      <c r="G6167" s="422">
        <v>91.266385178771387</v>
      </c>
      <c r="H6167" s="417" t="s">
        <v>2616</v>
      </c>
      <c r="I6167" s="417" t="s">
        <v>1392</v>
      </c>
      <c r="J6167" s="417" t="s">
        <v>4890</v>
      </c>
      <c r="K6167" s="417" t="s">
        <v>14805</v>
      </c>
      <c r="L6167" s="417"/>
      <c r="M6167" s="417" t="s">
        <v>28840</v>
      </c>
    </row>
    <row r="6168" spans="1:13" x14ac:dyDescent="0.25">
      <c r="A6168" s="417" t="s">
        <v>3385</v>
      </c>
      <c r="B6168" s="417" t="s">
        <v>3405</v>
      </c>
      <c r="C6168" s="417" t="s">
        <v>14806</v>
      </c>
      <c r="D6168" s="417" t="s">
        <v>73</v>
      </c>
      <c r="E6168" s="423">
        <v>6.5349473025239718E-2</v>
      </c>
      <c r="F6168" s="423">
        <v>1.354790156256197E-4</v>
      </c>
      <c r="G6168" s="422">
        <v>82.694008180736972</v>
      </c>
      <c r="H6168" s="417" t="s">
        <v>2616</v>
      </c>
      <c r="I6168" s="417" t="s">
        <v>1392</v>
      </c>
      <c r="J6168" s="417" t="s">
        <v>4890</v>
      </c>
      <c r="K6168" s="417" t="s">
        <v>14807</v>
      </c>
      <c r="L6168" s="417"/>
      <c r="M6168" s="417" t="s">
        <v>28840</v>
      </c>
    </row>
    <row r="6169" spans="1:13" x14ac:dyDescent="0.25">
      <c r="A6169" s="417" t="s">
        <v>3385</v>
      </c>
      <c r="B6169" s="417" t="s">
        <v>3405</v>
      </c>
      <c r="C6169" s="417" t="s">
        <v>14808</v>
      </c>
      <c r="D6169" s="417" t="s">
        <v>73</v>
      </c>
      <c r="E6169" s="423">
        <v>7.4739446629096359E-2</v>
      </c>
      <c r="F6169" s="423">
        <v>1.554355404479761E-4</v>
      </c>
      <c r="G6169" s="422">
        <v>91.554287102258272</v>
      </c>
      <c r="H6169" s="417" t="s">
        <v>2616</v>
      </c>
      <c r="I6169" s="417" t="s">
        <v>1392</v>
      </c>
      <c r="J6169" s="417" t="s">
        <v>4300</v>
      </c>
      <c r="K6169" s="417" t="s">
        <v>14809</v>
      </c>
      <c r="L6169" s="417"/>
      <c r="M6169" s="417" t="s">
        <v>28840</v>
      </c>
    </row>
    <row r="6170" spans="1:13" x14ac:dyDescent="0.25">
      <c r="A6170" s="417" t="s">
        <v>3385</v>
      </c>
      <c r="B6170" s="417" t="s">
        <v>3405</v>
      </c>
      <c r="C6170" s="417" t="s">
        <v>14810</v>
      </c>
      <c r="D6170" s="417" t="s">
        <v>73</v>
      </c>
      <c r="E6170" s="423">
        <v>7.242555482033132E-2</v>
      </c>
      <c r="F6170" s="423">
        <v>3.0809049860457328E-4</v>
      </c>
      <c r="G6170" s="422">
        <v>90.377477746143612</v>
      </c>
      <c r="H6170" s="417" t="s">
        <v>2616</v>
      </c>
      <c r="I6170" s="417" t="s">
        <v>1392</v>
      </c>
      <c r="J6170" s="417" t="s">
        <v>4300</v>
      </c>
      <c r="K6170" s="417" t="s">
        <v>14811</v>
      </c>
      <c r="L6170" s="417"/>
      <c r="M6170" s="417" t="s">
        <v>28840</v>
      </c>
    </row>
    <row r="6171" spans="1:13" x14ac:dyDescent="0.25">
      <c r="A6171" s="417" t="s">
        <v>3385</v>
      </c>
      <c r="B6171" s="417" t="s">
        <v>3405</v>
      </c>
      <c r="C6171" s="417" t="s">
        <v>14812</v>
      </c>
      <c r="D6171" s="417" t="s">
        <v>73</v>
      </c>
      <c r="E6171" s="423">
        <v>7.0568974293909001E-2</v>
      </c>
      <c r="F6171" s="423">
        <v>1.0013417892905181E-4</v>
      </c>
      <c r="G6171" s="422">
        <v>87.166451457000761</v>
      </c>
      <c r="H6171" s="417" t="s">
        <v>2616</v>
      </c>
      <c r="I6171" s="417" t="s">
        <v>1392</v>
      </c>
      <c r="J6171" s="417" t="s">
        <v>4300</v>
      </c>
      <c r="K6171" s="417" t="s">
        <v>14813</v>
      </c>
      <c r="L6171" s="417"/>
      <c r="M6171" s="417" t="s">
        <v>28840</v>
      </c>
    </row>
    <row r="6172" spans="1:13" x14ac:dyDescent="0.25">
      <c r="A6172" s="417" t="s">
        <v>3385</v>
      </c>
      <c r="B6172" s="417" t="s">
        <v>3405</v>
      </c>
      <c r="C6172" s="417" t="s">
        <v>14814</v>
      </c>
      <c r="D6172" s="417" t="s">
        <v>73</v>
      </c>
      <c r="E6172" s="423">
        <v>7.4310267601804564E-2</v>
      </c>
      <c r="F6172" s="423">
        <v>3.0443612290291408E-4</v>
      </c>
      <c r="G6172" s="422">
        <v>96.139609667880265</v>
      </c>
      <c r="H6172" s="417" t="s">
        <v>2616</v>
      </c>
      <c r="I6172" s="417" t="s">
        <v>1392</v>
      </c>
      <c r="J6172" s="417" t="s">
        <v>4300</v>
      </c>
      <c r="K6172" s="417" t="s">
        <v>14815</v>
      </c>
      <c r="L6172" s="417"/>
      <c r="M6172" s="417" t="s">
        <v>28840</v>
      </c>
    </row>
    <row r="6173" spans="1:13" x14ac:dyDescent="0.25">
      <c r="A6173" s="417" t="s">
        <v>3385</v>
      </c>
      <c r="B6173" s="417" t="s">
        <v>3405</v>
      </c>
      <c r="C6173" s="417" t="s">
        <v>14816</v>
      </c>
      <c r="D6173" s="417" t="s">
        <v>73</v>
      </c>
      <c r="E6173" s="423">
        <v>7.4720669756064562E-2</v>
      </c>
      <c r="F6173" s="423">
        <v>2.9546131626256129E-4</v>
      </c>
      <c r="G6173" s="422">
        <v>104.6029459307867</v>
      </c>
      <c r="H6173" s="417" t="s">
        <v>2616</v>
      </c>
      <c r="I6173" s="417" t="s">
        <v>1392</v>
      </c>
      <c r="J6173" s="417" t="s">
        <v>4300</v>
      </c>
      <c r="K6173" s="417" t="s">
        <v>14817</v>
      </c>
      <c r="L6173" s="417"/>
      <c r="M6173" s="417" t="s">
        <v>28840</v>
      </c>
    </row>
    <row r="6174" spans="1:13" x14ac:dyDescent="0.25">
      <c r="A6174" s="417" t="s">
        <v>3385</v>
      </c>
      <c r="B6174" s="417" t="s">
        <v>3405</v>
      </c>
      <c r="C6174" s="417" t="s">
        <v>14818</v>
      </c>
      <c r="D6174" s="417" t="s">
        <v>73</v>
      </c>
      <c r="E6174" s="423">
        <v>6.2099821874838909E-2</v>
      </c>
      <c r="F6174" s="423">
        <v>5.0473875040068592E-5</v>
      </c>
      <c r="G6174" s="422">
        <v>78.186094773792036</v>
      </c>
      <c r="H6174" s="417" t="s">
        <v>2616</v>
      </c>
      <c r="I6174" s="417" t="s">
        <v>1392</v>
      </c>
      <c r="J6174" s="417" t="s">
        <v>4300</v>
      </c>
      <c r="K6174" s="417" t="s">
        <v>14819</v>
      </c>
      <c r="L6174" s="417"/>
      <c r="M6174" s="417" t="s">
        <v>28840</v>
      </c>
    </row>
    <row r="6175" spans="1:13" x14ac:dyDescent="0.25">
      <c r="A6175" s="417" t="s">
        <v>3385</v>
      </c>
      <c r="B6175" s="417" t="s">
        <v>3405</v>
      </c>
      <c r="C6175" s="417" t="s">
        <v>14820</v>
      </c>
      <c r="D6175" s="417" t="s">
        <v>73</v>
      </c>
      <c r="E6175" s="423">
        <v>6.7961802407833602E-2</v>
      </c>
      <c r="F6175" s="423">
        <v>2.158106668942853E-4</v>
      </c>
      <c r="G6175" s="422">
        <v>84.152181942070911</v>
      </c>
      <c r="H6175" s="417" t="s">
        <v>2616</v>
      </c>
      <c r="I6175" s="417" t="s">
        <v>1392</v>
      </c>
      <c r="J6175" s="417" t="s">
        <v>4300</v>
      </c>
      <c r="K6175" s="417" t="s">
        <v>14821</v>
      </c>
      <c r="L6175" s="417"/>
      <c r="M6175" s="417" t="s">
        <v>28840</v>
      </c>
    </row>
    <row r="6176" spans="1:13" x14ac:dyDescent="0.25">
      <c r="A6176" s="417" t="s">
        <v>3385</v>
      </c>
      <c r="B6176" s="417" t="s">
        <v>3405</v>
      </c>
      <c r="C6176" s="417" t="s">
        <v>14822</v>
      </c>
      <c r="D6176" s="417" t="s">
        <v>73</v>
      </c>
      <c r="E6176" s="423">
        <v>6.0570450238488928E-2</v>
      </c>
      <c r="F6176" s="423">
        <v>5.2917989516274442E-5</v>
      </c>
      <c r="G6176" s="422">
        <v>73.535535313499622</v>
      </c>
      <c r="H6176" s="417" t="s">
        <v>2616</v>
      </c>
      <c r="I6176" s="417" t="s">
        <v>1392</v>
      </c>
      <c r="J6176" s="417" t="s">
        <v>4300</v>
      </c>
      <c r="K6176" s="417" t="s">
        <v>14823</v>
      </c>
      <c r="L6176" s="417"/>
      <c r="M6176" s="417" t="s">
        <v>28840</v>
      </c>
    </row>
    <row r="6177" spans="1:13" x14ac:dyDescent="0.25">
      <c r="A6177" s="417" t="s">
        <v>3385</v>
      </c>
      <c r="B6177" s="417" t="s">
        <v>3405</v>
      </c>
      <c r="C6177" s="417" t="s">
        <v>14824</v>
      </c>
      <c r="D6177" s="417" t="s">
        <v>73</v>
      </c>
      <c r="E6177" s="423">
        <v>7.2642078911742167E-2</v>
      </c>
      <c r="F6177" s="423">
        <v>2.5053087685596702E-4</v>
      </c>
      <c r="G6177" s="422">
        <v>90.820031844935571</v>
      </c>
      <c r="H6177" s="417" t="s">
        <v>2616</v>
      </c>
      <c r="I6177" s="417" t="s">
        <v>1392</v>
      </c>
      <c r="J6177" s="417" t="s">
        <v>4300</v>
      </c>
      <c r="K6177" s="417" t="s">
        <v>14825</v>
      </c>
      <c r="L6177" s="417"/>
      <c r="M6177" s="417" t="s">
        <v>28840</v>
      </c>
    </row>
    <row r="6178" spans="1:13" x14ac:dyDescent="0.25">
      <c r="A6178" s="417" t="s">
        <v>3385</v>
      </c>
      <c r="B6178" s="417" t="s">
        <v>3405</v>
      </c>
      <c r="C6178" s="417" t="s">
        <v>14826</v>
      </c>
      <c r="D6178" s="417" t="s">
        <v>73</v>
      </c>
      <c r="E6178" s="423">
        <v>7.2642078911742153E-2</v>
      </c>
      <c r="F6178" s="423">
        <v>2.5053087685596702E-4</v>
      </c>
      <c r="G6178" s="422">
        <v>94.034244270951575</v>
      </c>
      <c r="H6178" s="417" t="s">
        <v>2616</v>
      </c>
      <c r="I6178" s="417" t="s">
        <v>1392</v>
      </c>
      <c r="J6178" s="417" t="s">
        <v>4300</v>
      </c>
      <c r="K6178" s="417" t="s">
        <v>14827</v>
      </c>
      <c r="L6178" s="417"/>
      <c r="M6178" s="417" t="s">
        <v>28840</v>
      </c>
    </row>
    <row r="6179" spans="1:13" x14ac:dyDescent="0.25">
      <c r="A6179" s="417" t="s">
        <v>3385</v>
      </c>
      <c r="B6179" s="417" t="s">
        <v>3405</v>
      </c>
      <c r="C6179" s="417" t="s">
        <v>14828</v>
      </c>
      <c r="D6179" s="417" t="s">
        <v>73</v>
      </c>
      <c r="E6179" s="423">
        <v>7.8395052710073077E-2</v>
      </c>
      <c r="F6179" s="423">
        <v>3.3099446051646582E-4</v>
      </c>
      <c r="G6179" s="422">
        <v>98.244998631221236</v>
      </c>
      <c r="H6179" s="417" t="s">
        <v>2616</v>
      </c>
      <c r="I6179" s="417" t="s">
        <v>1392</v>
      </c>
      <c r="J6179" s="417" t="s">
        <v>4300</v>
      </c>
      <c r="K6179" s="417" t="s">
        <v>14829</v>
      </c>
      <c r="L6179" s="417"/>
      <c r="M6179" s="417" t="s">
        <v>28840</v>
      </c>
    </row>
    <row r="6180" spans="1:13" x14ac:dyDescent="0.25">
      <c r="A6180" s="417" t="s">
        <v>3385</v>
      </c>
      <c r="B6180" s="417" t="s">
        <v>3405</v>
      </c>
      <c r="C6180" s="417" t="s">
        <v>14830</v>
      </c>
      <c r="D6180" s="417" t="s">
        <v>73</v>
      </c>
      <c r="E6180" s="423">
        <v>7.940886359367158E-2</v>
      </c>
      <c r="F6180" s="423">
        <v>4.8830820717941708E-4</v>
      </c>
      <c r="G6180" s="422">
        <v>101.50925200321529</v>
      </c>
      <c r="H6180" s="417" t="s">
        <v>2616</v>
      </c>
      <c r="I6180" s="417" t="s">
        <v>1392</v>
      </c>
      <c r="J6180" s="417" t="s">
        <v>4300</v>
      </c>
      <c r="K6180" s="417" t="s">
        <v>14831</v>
      </c>
      <c r="L6180" s="417"/>
      <c r="M6180" s="417" t="s">
        <v>28840</v>
      </c>
    </row>
    <row r="6181" spans="1:13" x14ac:dyDescent="0.25">
      <c r="A6181" s="417" t="s">
        <v>3385</v>
      </c>
      <c r="B6181" s="417" t="s">
        <v>3405</v>
      </c>
      <c r="C6181" s="417" t="s">
        <v>14832</v>
      </c>
      <c r="D6181" s="417" t="s">
        <v>73</v>
      </c>
      <c r="E6181" s="423">
        <v>7.3656061310195711E-2</v>
      </c>
      <c r="F6181" s="423">
        <v>3.1350213072738308E-4</v>
      </c>
      <c r="G6181" s="422">
        <v>92.338837864165072</v>
      </c>
      <c r="H6181" s="417" t="s">
        <v>2616</v>
      </c>
      <c r="I6181" s="417" t="s">
        <v>1392</v>
      </c>
      <c r="J6181" s="417" t="s">
        <v>4300</v>
      </c>
      <c r="K6181" s="417" t="s">
        <v>14833</v>
      </c>
      <c r="L6181" s="417"/>
      <c r="M6181" s="417" t="s">
        <v>28840</v>
      </c>
    </row>
    <row r="6182" spans="1:13" x14ac:dyDescent="0.25">
      <c r="A6182" s="417" t="s">
        <v>3385</v>
      </c>
      <c r="B6182" s="417" t="s">
        <v>3405</v>
      </c>
      <c r="C6182" s="417" t="s">
        <v>14834</v>
      </c>
      <c r="D6182" s="417" t="s">
        <v>73</v>
      </c>
      <c r="E6182" s="423">
        <v>6.5181306027107283E-2</v>
      </c>
      <c r="F6182" s="423">
        <v>1.8090898396259559E-4</v>
      </c>
      <c r="G6182" s="422">
        <v>84.085969658667892</v>
      </c>
      <c r="H6182" s="417" t="s">
        <v>2616</v>
      </c>
      <c r="I6182" s="417" t="s">
        <v>1392</v>
      </c>
      <c r="J6182" s="417" t="s">
        <v>4300</v>
      </c>
      <c r="K6182" s="417" t="s">
        <v>14835</v>
      </c>
      <c r="L6182" s="417"/>
      <c r="M6182" s="417" t="s">
        <v>28840</v>
      </c>
    </row>
    <row r="6183" spans="1:13" x14ac:dyDescent="0.25">
      <c r="A6183" s="417" t="s">
        <v>3385</v>
      </c>
      <c r="B6183" s="417" t="s">
        <v>3405</v>
      </c>
      <c r="C6183" s="417" t="s">
        <v>14836</v>
      </c>
      <c r="D6183" s="417" t="s">
        <v>73</v>
      </c>
      <c r="E6183" s="423">
        <v>7.6287288197933206E-2</v>
      </c>
      <c r="F6183" s="423">
        <v>2.9668208697074358E-4</v>
      </c>
      <c r="G6183" s="422">
        <v>95.209581639624218</v>
      </c>
      <c r="H6183" s="417" t="s">
        <v>2616</v>
      </c>
      <c r="I6183" s="417" t="s">
        <v>1392</v>
      </c>
      <c r="J6183" s="417" t="s">
        <v>4300</v>
      </c>
      <c r="K6183" s="417" t="s">
        <v>14837</v>
      </c>
      <c r="L6183" s="417"/>
      <c r="M6183" s="417" t="s">
        <v>28840</v>
      </c>
    </row>
    <row r="6184" spans="1:13" x14ac:dyDescent="0.25">
      <c r="A6184" s="417" t="s">
        <v>3385</v>
      </c>
      <c r="B6184" s="417" t="s">
        <v>3405</v>
      </c>
      <c r="C6184" s="417" t="s">
        <v>14838</v>
      </c>
      <c r="D6184" s="417" t="s">
        <v>73</v>
      </c>
      <c r="E6184" s="423">
        <v>8.1790747117227322E-2</v>
      </c>
      <c r="F6184" s="423">
        <v>5.7504214233678581E-4</v>
      </c>
      <c r="G6184" s="422">
        <v>106.1633993567394</v>
      </c>
      <c r="H6184" s="417" t="s">
        <v>2616</v>
      </c>
      <c r="I6184" s="417" t="s">
        <v>1392</v>
      </c>
      <c r="J6184" s="417" t="s">
        <v>4300</v>
      </c>
      <c r="K6184" s="417" t="s">
        <v>14839</v>
      </c>
      <c r="L6184" s="417"/>
      <c r="M6184" s="417" t="s">
        <v>28840</v>
      </c>
    </row>
    <row r="6185" spans="1:13" x14ac:dyDescent="0.25">
      <c r="A6185" s="417" t="s">
        <v>3385</v>
      </c>
      <c r="B6185" s="417" t="s">
        <v>3405</v>
      </c>
      <c r="C6185" s="417" t="s">
        <v>14840</v>
      </c>
      <c r="D6185" s="417" t="s">
        <v>73</v>
      </c>
      <c r="E6185" s="423">
        <v>7.7294547398110286E-2</v>
      </c>
      <c r="F6185" s="423">
        <v>1.2098413111821581E-4</v>
      </c>
      <c r="G6185" s="422">
        <v>94.877985465648109</v>
      </c>
      <c r="H6185" s="417" t="s">
        <v>2616</v>
      </c>
      <c r="I6185" s="417" t="s">
        <v>1392</v>
      </c>
      <c r="J6185" s="417" t="s">
        <v>4300</v>
      </c>
      <c r="K6185" s="417" t="s">
        <v>14841</v>
      </c>
      <c r="L6185" s="417"/>
      <c r="M6185" s="417" t="s">
        <v>28840</v>
      </c>
    </row>
    <row r="6186" spans="1:13" x14ac:dyDescent="0.25">
      <c r="A6186" s="417" t="s">
        <v>3385</v>
      </c>
      <c r="B6186" s="417" t="s">
        <v>3405</v>
      </c>
      <c r="C6186" s="417" t="s">
        <v>14842</v>
      </c>
      <c r="D6186" s="417" t="s">
        <v>73</v>
      </c>
      <c r="E6186" s="423">
        <v>6.6178525320289672E-2</v>
      </c>
      <c r="F6186" s="423">
        <v>1.8596130621763009E-4</v>
      </c>
      <c r="G6186" s="422">
        <v>81.508138859423951</v>
      </c>
      <c r="H6186" s="417" t="s">
        <v>2616</v>
      </c>
      <c r="I6186" s="417" t="s">
        <v>1392</v>
      </c>
      <c r="J6186" s="417" t="s">
        <v>4300</v>
      </c>
      <c r="K6186" s="417" t="s">
        <v>14843</v>
      </c>
      <c r="L6186" s="417"/>
      <c r="M6186" s="417" t="s">
        <v>28840</v>
      </c>
    </row>
    <row r="6187" spans="1:13" x14ac:dyDescent="0.25">
      <c r="A6187" s="417" t="s">
        <v>3385</v>
      </c>
      <c r="B6187" s="417" t="s">
        <v>3405</v>
      </c>
      <c r="C6187" s="417" t="s">
        <v>14844</v>
      </c>
      <c r="D6187" s="417" t="s">
        <v>73</v>
      </c>
      <c r="E6187" s="423">
        <v>7.7000082395816474E-2</v>
      </c>
      <c r="F6187" s="423">
        <v>3.9899663698687198E-4</v>
      </c>
      <c r="G6187" s="422">
        <v>104.63624794721299</v>
      </c>
      <c r="H6187" s="417" t="s">
        <v>2616</v>
      </c>
      <c r="I6187" s="417" t="s">
        <v>1392</v>
      </c>
      <c r="J6187" s="417" t="s">
        <v>4300</v>
      </c>
      <c r="K6187" s="417" t="s">
        <v>14845</v>
      </c>
      <c r="L6187" s="417"/>
      <c r="M6187" s="417" t="s">
        <v>28840</v>
      </c>
    </row>
    <row r="6188" spans="1:13" x14ac:dyDescent="0.25">
      <c r="A6188" s="417" t="s">
        <v>3385</v>
      </c>
      <c r="B6188" s="417" t="s">
        <v>3405</v>
      </c>
      <c r="C6188" s="417" t="s">
        <v>14846</v>
      </c>
      <c r="D6188" s="417" t="s">
        <v>73</v>
      </c>
      <c r="E6188" s="423">
        <v>7.279187249691621E-2</v>
      </c>
      <c r="F6188" s="423">
        <v>1.741514519071357E-4</v>
      </c>
      <c r="G6188" s="422">
        <v>89.350142615464009</v>
      </c>
      <c r="H6188" s="417" t="s">
        <v>2616</v>
      </c>
      <c r="I6188" s="417" t="s">
        <v>1392</v>
      </c>
      <c r="J6188" s="417" t="s">
        <v>4300</v>
      </c>
      <c r="K6188" s="417" t="s">
        <v>14847</v>
      </c>
      <c r="L6188" s="417"/>
      <c r="M6188" s="417" t="s">
        <v>28840</v>
      </c>
    </row>
    <row r="6189" spans="1:13" x14ac:dyDescent="0.25">
      <c r="A6189" s="417" t="s">
        <v>3385</v>
      </c>
      <c r="B6189" s="417" t="s">
        <v>3405</v>
      </c>
      <c r="C6189" s="417" t="s">
        <v>14848</v>
      </c>
      <c r="D6189" s="417" t="s">
        <v>73</v>
      </c>
      <c r="E6189" s="423">
        <v>8.1168157282264411E-2</v>
      </c>
      <c r="F6189" s="423">
        <v>5.7129734938181234E-4</v>
      </c>
      <c r="G6189" s="422">
        <v>110.1818624745072</v>
      </c>
      <c r="H6189" s="417" t="s">
        <v>2616</v>
      </c>
      <c r="I6189" s="417" t="s">
        <v>1392</v>
      </c>
      <c r="J6189" s="417" t="s">
        <v>4300</v>
      </c>
      <c r="K6189" s="417" t="s">
        <v>14849</v>
      </c>
      <c r="L6189" s="417"/>
      <c r="M6189" s="417" t="s">
        <v>28840</v>
      </c>
    </row>
    <row r="6190" spans="1:13" x14ac:dyDescent="0.25">
      <c r="A6190" s="417" t="s">
        <v>3385</v>
      </c>
      <c r="B6190" s="417" t="s">
        <v>3405</v>
      </c>
      <c r="C6190" s="417" t="s">
        <v>14850</v>
      </c>
      <c r="D6190" s="417" t="s">
        <v>73</v>
      </c>
      <c r="E6190" s="423">
        <v>6.8678419970600313E-2</v>
      </c>
      <c r="F6190" s="423">
        <v>2.8607632687444268E-4</v>
      </c>
      <c r="G6190" s="422">
        <v>85.9027931257516</v>
      </c>
      <c r="H6190" s="417" t="s">
        <v>2616</v>
      </c>
      <c r="I6190" s="417" t="s">
        <v>1392</v>
      </c>
      <c r="J6190" s="417" t="s">
        <v>4300</v>
      </c>
      <c r="K6190" s="417" t="s">
        <v>14851</v>
      </c>
      <c r="L6190" s="417"/>
      <c r="M6190" s="417" t="s">
        <v>28840</v>
      </c>
    </row>
    <row r="6191" spans="1:13" x14ac:dyDescent="0.25">
      <c r="A6191" s="417" t="s">
        <v>3385</v>
      </c>
      <c r="B6191" s="417" t="s">
        <v>3405</v>
      </c>
      <c r="C6191" s="417" t="s">
        <v>14852</v>
      </c>
      <c r="D6191" s="417" t="s">
        <v>73</v>
      </c>
      <c r="E6191" s="423">
        <v>6.4415380745878451E-2</v>
      </c>
      <c r="F6191" s="423">
        <v>1.256930900623972E-4</v>
      </c>
      <c r="G6191" s="422">
        <v>76.449789382323559</v>
      </c>
      <c r="H6191" s="417" t="s">
        <v>2616</v>
      </c>
      <c r="I6191" s="417" t="s">
        <v>1392</v>
      </c>
      <c r="J6191" s="417" t="s">
        <v>4300</v>
      </c>
      <c r="K6191" s="417" t="s">
        <v>14853</v>
      </c>
      <c r="L6191" s="417"/>
      <c r="M6191" s="417" t="s">
        <v>28840</v>
      </c>
    </row>
    <row r="6192" spans="1:13" x14ac:dyDescent="0.25">
      <c r="A6192" s="417" t="s">
        <v>3385</v>
      </c>
      <c r="B6192" s="417" t="s">
        <v>3405</v>
      </c>
      <c r="C6192" s="417" t="s">
        <v>14854</v>
      </c>
      <c r="D6192" s="417" t="s">
        <v>73</v>
      </c>
      <c r="E6192" s="423">
        <v>6.4415380745878437E-2</v>
      </c>
      <c r="F6192" s="423">
        <v>1.256930900623972E-4</v>
      </c>
      <c r="G6192" s="422">
        <v>73.589470689090746</v>
      </c>
      <c r="H6192" s="417" t="s">
        <v>2616</v>
      </c>
      <c r="I6192" s="417" t="s">
        <v>1392</v>
      </c>
      <c r="J6192" s="417" t="s">
        <v>4300</v>
      </c>
      <c r="K6192" s="417" t="s">
        <v>14855</v>
      </c>
      <c r="L6192" s="417"/>
      <c r="M6192" s="417" t="s">
        <v>28840</v>
      </c>
    </row>
    <row r="6193" spans="1:13" x14ac:dyDescent="0.25">
      <c r="A6193" s="417" t="s">
        <v>3385</v>
      </c>
      <c r="B6193" s="417" t="s">
        <v>3405</v>
      </c>
      <c r="C6193" s="417" t="s">
        <v>14856</v>
      </c>
      <c r="D6193" s="417" t="s">
        <v>73</v>
      </c>
      <c r="E6193" s="423">
        <v>7.2642078911742167E-2</v>
      </c>
      <c r="F6193" s="423">
        <v>2.5053087685596702E-4</v>
      </c>
      <c r="G6193" s="422">
        <v>90.572836047615596</v>
      </c>
      <c r="H6193" s="417" t="s">
        <v>2616</v>
      </c>
      <c r="I6193" s="417" t="s">
        <v>1392</v>
      </c>
      <c r="J6193" s="417" t="s">
        <v>4300</v>
      </c>
      <c r="K6193" s="417" t="s">
        <v>14857</v>
      </c>
      <c r="L6193" s="417"/>
      <c r="M6193" s="417" t="s">
        <v>28840</v>
      </c>
    </row>
    <row r="6194" spans="1:13" x14ac:dyDescent="0.25">
      <c r="A6194" s="417" t="s">
        <v>3385</v>
      </c>
      <c r="B6194" s="417" t="s">
        <v>3405</v>
      </c>
      <c r="C6194" s="417" t="s">
        <v>14858</v>
      </c>
      <c r="D6194" s="417" t="s">
        <v>73</v>
      </c>
      <c r="E6194" s="423">
        <v>7.2642078911742153E-2</v>
      </c>
      <c r="F6194" s="423">
        <v>2.5053087685596702E-4</v>
      </c>
      <c r="G6194" s="422">
        <v>94.295760652255566</v>
      </c>
      <c r="H6194" s="417" t="s">
        <v>2616</v>
      </c>
      <c r="I6194" s="417" t="s">
        <v>1392</v>
      </c>
      <c r="J6194" s="417" t="s">
        <v>4300</v>
      </c>
      <c r="K6194" s="417" t="s">
        <v>14859</v>
      </c>
      <c r="L6194" s="417"/>
      <c r="M6194" s="417" t="s">
        <v>28840</v>
      </c>
    </row>
    <row r="6195" spans="1:13" x14ac:dyDescent="0.25">
      <c r="A6195" s="417" t="s">
        <v>3385</v>
      </c>
      <c r="B6195" s="417" t="s">
        <v>3405</v>
      </c>
      <c r="C6195" s="417" t="s">
        <v>14860</v>
      </c>
      <c r="D6195" s="417" t="s">
        <v>73</v>
      </c>
      <c r="E6195" s="423">
        <v>6.9020409671200003E-2</v>
      </c>
      <c r="F6195" s="423">
        <v>1.6792881523519911E-4</v>
      </c>
      <c r="G6195" s="422">
        <v>90.404746764759892</v>
      </c>
      <c r="H6195" s="417" t="s">
        <v>2616</v>
      </c>
      <c r="I6195" s="417" t="s">
        <v>1392</v>
      </c>
      <c r="J6195" s="417" t="s">
        <v>4300</v>
      </c>
      <c r="K6195" s="417" t="s">
        <v>14861</v>
      </c>
      <c r="L6195" s="417"/>
      <c r="M6195" s="417" t="s">
        <v>28840</v>
      </c>
    </row>
    <row r="6196" spans="1:13" x14ac:dyDescent="0.25">
      <c r="A6196" s="417" t="s">
        <v>3385</v>
      </c>
      <c r="B6196" s="417" t="s">
        <v>3405</v>
      </c>
      <c r="C6196" s="417" t="s">
        <v>14862</v>
      </c>
      <c r="D6196" s="417" t="s">
        <v>73</v>
      </c>
      <c r="E6196" s="423">
        <v>7.1428984729731054E-2</v>
      </c>
      <c r="F6196" s="423">
        <v>3.1035487707769188E-4</v>
      </c>
      <c r="G6196" s="422">
        <v>89.221208944964303</v>
      </c>
      <c r="H6196" s="417" t="s">
        <v>2616</v>
      </c>
      <c r="I6196" s="417" t="s">
        <v>1392</v>
      </c>
      <c r="J6196" s="417" t="s">
        <v>4300</v>
      </c>
      <c r="K6196" s="417" t="s">
        <v>14863</v>
      </c>
      <c r="L6196" s="417"/>
      <c r="M6196" s="417" t="s">
        <v>28840</v>
      </c>
    </row>
    <row r="6197" spans="1:13" x14ac:dyDescent="0.25">
      <c r="A6197" s="417" t="s">
        <v>3385</v>
      </c>
      <c r="B6197" s="417" t="s">
        <v>3405</v>
      </c>
      <c r="C6197" s="417" t="s">
        <v>14864</v>
      </c>
      <c r="D6197" s="417" t="s">
        <v>73</v>
      </c>
      <c r="E6197" s="423">
        <v>6.8672217523301604E-2</v>
      </c>
      <c r="F6197" s="423">
        <v>2.2726408623366219E-4</v>
      </c>
      <c r="G6197" s="422">
        <v>88.957810491934978</v>
      </c>
      <c r="H6197" s="417" t="s">
        <v>2616</v>
      </c>
      <c r="I6197" s="417" t="s">
        <v>1392</v>
      </c>
      <c r="J6197" s="417" t="s">
        <v>4300</v>
      </c>
      <c r="K6197" s="417" t="s">
        <v>14865</v>
      </c>
      <c r="L6197" s="417"/>
      <c r="M6197" s="417" t="s">
        <v>28840</v>
      </c>
    </row>
    <row r="6198" spans="1:13" x14ac:dyDescent="0.25">
      <c r="A6198" s="417" t="s">
        <v>3385</v>
      </c>
      <c r="B6198" s="417" t="s">
        <v>3405</v>
      </c>
      <c r="C6198" s="417" t="s">
        <v>14866</v>
      </c>
      <c r="D6198" s="417" t="s">
        <v>73</v>
      </c>
      <c r="E6198" s="423">
        <v>7.2642078912172503E-2</v>
      </c>
      <c r="F6198" s="423">
        <v>2.5053087688518138E-4</v>
      </c>
      <c r="G6198" s="422">
        <v>90.136259455988181</v>
      </c>
      <c r="H6198" s="417" t="s">
        <v>2616</v>
      </c>
      <c r="I6198" s="417" t="s">
        <v>1392</v>
      </c>
      <c r="J6198" s="417" t="s">
        <v>4300</v>
      </c>
      <c r="K6198" s="417" t="s">
        <v>14867</v>
      </c>
      <c r="L6198" s="417"/>
      <c r="M6198" s="417" t="s">
        <v>28840</v>
      </c>
    </row>
    <row r="6199" spans="1:13" x14ac:dyDescent="0.25">
      <c r="A6199" s="417" t="s">
        <v>3385</v>
      </c>
      <c r="B6199" s="417" t="s">
        <v>3405</v>
      </c>
      <c r="C6199" s="417" t="s">
        <v>14868</v>
      </c>
      <c r="D6199" s="417" t="s">
        <v>73</v>
      </c>
      <c r="E6199" s="423">
        <v>6.4415380745878451E-2</v>
      </c>
      <c r="F6199" s="423">
        <v>1.256930900623972E-4</v>
      </c>
      <c r="G6199" s="422">
        <v>77.46165037672435</v>
      </c>
      <c r="H6199" s="417" t="s">
        <v>2616</v>
      </c>
      <c r="I6199" s="417" t="s">
        <v>1392</v>
      </c>
      <c r="J6199" s="417" t="s">
        <v>4300</v>
      </c>
      <c r="K6199" s="417" t="s">
        <v>14869</v>
      </c>
      <c r="L6199" s="417"/>
      <c r="M6199" s="417" t="s">
        <v>28840</v>
      </c>
    </row>
    <row r="6200" spans="1:13" x14ac:dyDescent="0.25">
      <c r="A6200" s="417" t="s">
        <v>3385</v>
      </c>
      <c r="B6200" s="417" t="s">
        <v>3405</v>
      </c>
      <c r="C6200" s="417" t="s">
        <v>14870</v>
      </c>
      <c r="D6200" s="417" t="s">
        <v>73</v>
      </c>
      <c r="E6200" s="423">
        <v>6.9587996924051237E-2</v>
      </c>
      <c r="F6200" s="423">
        <v>6.0412447952773477E-5</v>
      </c>
      <c r="G6200" s="422">
        <v>85.174194932669835</v>
      </c>
      <c r="H6200" s="417" t="s">
        <v>2616</v>
      </c>
      <c r="I6200" s="417" t="s">
        <v>1392</v>
      </c>
      <c r="J6200" s="417" t="s">
        <v>4300</v>
      </c>
      <c r="K6200" s="417" t="s">
        <v>14871</v>
      </c>
      <c r="L6200" s="417"/>
      <c r="M6200" s="417" t="s">
        <v>28840</v>
      </c>
    </row>
    <row r="6201" spans="1:13" x14ac:dyDescent="0.25">
      <c r="A6201" s="417" t="s">
        <v>3385</v>
      </c>
      <c r="B6201" s="417" t="s">
        <v>3405</v>
      </c>
      <c r="C6201" s="417" t="s">
        <v>14872</v>
      </c>
      <c r="D6201" s="417" t="s">
        <v>73</v>
      </c>
      <c r="E6201" s="423">
        <v>6.7600365255827521E-2</v>
      </c>
      <c r="F6201" s="423">
        <v>8.4061318157680059E-5</v>
      </c>
      <c r="G6201" s="422">
        <v>85.565472449551564</v>
      </c>
      <c r="H6201" s="417" t="s">
        <v>2616</v>
      </c>
      <c r="I6201" s="417" t="s">
        <v>1392</v>
      </c>
      <c r="J6201" s="417" t="s">
        <v>4300</v>
      </c>
      <c r="K6201" s="417" t="s">
        <v>14873</v>
      </c>
      <c r="L6201" s="417"/>
      <c r="M6201" s="417" t="s">
        <v>28840</v>
      </c>
    </row>
    <row r="6202" spans="1:13" x14ac:dyDescent="0.25">
      <c r="A6202" s="417" t="s">
        <v>3385</v>
      </c>
      <c r="B6202" s="417" t="s">
        <v>3405</v>
      </c>
      <c r="C6202" s="417" t="s">
        <v>14874</v>
      </c>
      <c r="D6202" s="417" t="s">
        <v>73</v>
      </c>
      <c r="E6202" s="423">
        <v>6.5026619745626915E-2</v>
      </c>
      <c r="F6202" s="423">
        <v>1.141091190068195E-4</v>
      </c>
      <c r="G6202" s="422">
        <v>79.114973318673009</v>
      </c>
      <c r="H6202" s="417" t="s">
        <v>2616</v>
      </c>
      <c r="I6202" s="417" t="s">
        <v>1392</v>
      </c>
      <c r="J6202" s="417" t="s">
        <v>4300</v>
      </c>
      <c r="K6202" s="417" t="s">
        <v>14875</v>
      </c>
      <c r="L6202" s="417"/>
      <c r="M6202" s="417" t="s">
        <v>28840</v>
      </c>
    </row>
    <row r="6203" spans="1:13" x14ac:dyDescent="0.25">
      <c r="A6203" s="417" t="s">
        <v>3385</v>
      </c>
      <c r="B6203" s="417" t="s">
        <v>3405</v>
      </c>
      <c r="C6203" s="417" t="s">
        <v>14876</v>
      </c>
      <c r="D6203" s="417" t="s">
        <v>73</v>
      </c>
      <c r="E6203" s="423">
        <v>7.2642078911742167E-2</v>
      </c>
      <c r="F6203" s="423">
        <v>2.5053087685596702E-4</v>
      </c>
      <c r="G6203" s="422">
        <v>90.198836209015596</v>
      </c>
      <c r="H6203" s="417" t="s">
        <v>2616</v>
      </c>
      <c r="I6203" s="417" t="s">
        <v>1392</v>
      </c>
      <c r="J6203" s="417" t="s">
        <v>4300</v>
      </c>
      <c r="K6203" s="417" t="s">
        <v>14877</v>
      </c>
      <c r="L6203" s="417"/>
      <c r="M6203" s="417" t="s">
        <v>28840</v>
      </c>
    </row>
    <row r="6204" spans="1:13" x14ac:dyDescent="0.25">
      <c r="A6204" s="417" t="s">
        <v>3385</v>
      </c>
      <c r="B6204" s="417" t="s">
        <v>3405</v>
      </c>
      <c r="C6204" s="417" t="s">
        <v>14878</v>
      </c>
      <c r="D6204" s="417" t="s">
        <v>73</v>
      </c>
      <c r="E6204" s="423">
        <v>7.792771746219522E-2</v>
      </c>
      <c r="F6204" s="423">
        <v>1.003354341357498E-4</v>
      </c>
      <c r="G6204" s="422">
        <v>98.76527206386541</v>
      </c>
      <c r="H6204" s="417" t="s">
        <v>2616</v>
      </c>
      <c r="I6204" s="417" t="s">
        <v>1392</v>
      </c>
      <c r="J6204" s="417" t="s">
        <v>4300</v>
      </c>
      <c r="K6204" s="417" t="s">
        <v>14879</v>
      </c>
      <c r="L6204" s="417"/>
      <c r="M6204" s="417" t="s">
        <v>28840</v>
      </c>
    </row>
    <row r="6205" spans="1:13" x14ac:dyDescent="0.25">
      <c r="A6205" s="417" t="s">
        <v>3385</v>
      </c>
      <c r="B6205" s="417" t="s">
        <v>3405</v>
      </c>
      <c r="C6205" s="417" t="s">
        <v>14880</v>
      </c>
      <c r="D6205" s="417" t="s">
        <v>73</v>
      </c>
      <c r="E6205" s="423">
        <v>8.1168157273034267E-2</v>
      </c>
      <c r="F6205" s="423">
        <v>5.7129734863043638E-4</v>
      </c>
      <c r="G6205" s="422">
        <v>110.5672603544844</v>
      </c>
      <c r="H6205" s="417" t="s">
        <v>2616</v>
      </c>
      <c r="I6205" s="417" t="s">
        <v>1392</v>
      </c>
      <c r="J6205" s="417" t="s">
        <v>4300</v>
      </c>
      <c r="K6205" s="417" t="s">
        <v>14881</v>
      </c>
      <c r="L6205" s="417"/>
      <c r="M6205" s="417" t="s">
        <v>28840</v>
      </c>
    </row>
    <row r="6206" spans="1:13" x14ac:dyDescent="0.25">
      <c r="A6206" s="417" t="s">
        <v>3385</v>
      </c>
      <c r="B6206" s="417" t="s">
        <v>3405</v>
      </c>
      <c r="C6206" s="417" t="s">
        <v>14882</v>
      </c>
      <c r="D6206" s="417" t="s">
        <v>73</v>
      </c>
      <c r="E6206" s="423">
        <v>7.0503175951260932E-2</v>
      </c>
      <c r="F6206" s="423">
        <v>1.3547957804195779E-4</v>
      </c>
      <c r="G6206" s="422">
        <v>88.244585091567103</v>
      </c>
      <c r="H6206" s="417" t="s">
        <v>2616</v>
      </c>
      <c r="I6206" s="417" t="s">
        <v>1392</v>
      </c>
      <c r="J6206" s="417" t="s">
        <v>4300</v>
      </c>
      <c r="K6206" s="417" t="s">
        <v>14883</v>
      </c>
      <c r="L6206" s="417"/>
      <c r="M6206" s="417" t="s">
        <v>28840</v>
      </c>
    </row>
    <row r="6207" spans="1:13" x14ac:dyDescent="0.25">
      <c r="A6207" s="417" t="s">
        <v>3385</v>
      </c>
      <c r="B6207" s="417" t="s">
        <v>2627</v>
      </c>
      <c r="C6207" s="417" t="s">
        <v>14884</v>
      </c>
      <c r="D6207" s="417" t="s">
        <v>88</v>
      </c>
      <c r="E6207" s="423">
        <v>0.89362853927590558</v>
      </c>
      <c r="F6207" s="423">
        <v>1.936469687572541E-2</v>
      </c>
      <c r="G6207" s="422">
        <v>1813.7117822061</v>
      </c>
      <c r="H6207" s="417" t="s">
        <v>2616</v>
      </c>
      <c r="I6207" s="417" t="s">
        <v>1392</v>
      </c>
      <c r="J6207" s="417" t="s">
        <v>14268</v>
      </c>
      <c r="K6207" s="417" t="s">
        <v>14885</v>
      </c>
      <c r="L6207" s="417"/>
      <c r="M6207" s="417" t="s">
        <v>28840</v>
      </c>
    </row>
    <row r="6208" spans="1:13" x14ac:dyDescent="0.25">
      <c r="A6208" s="417" t="s">
        <v>3385</v>
      </c>
      <c r="B6208" s="417" t="s">
        <v>2627</v>
      </c>
      <c r="C6208" s="417" t="s">
        <v>14886</v>
      </c>
      <c r="D6208" s="417" t="s">
        <v>88</v>
      </c>
      <c r="E6208" s="423">
        <v>0.90732602568731302</v>
      </c>
      <c r="F6208" s="423">
        <v>2.2691571979201759E-2</v>
      </c>
      <c r="G6208" s="422">
        <v>1880.770035667588</v>
      </c>
      <c r="H6208" s="417" t="s">
        <v>2616</v>
      </c>
      <c r="I6208" s="417" t="s">
        <v>1392</v>
      </c>
      <c r="J6208" s="417" t="s">
        <v>14268</v>
      </c>
      <c r="K6208" s="417" t="s">
        <v>14887</v>
      </c>
      <c r="L6208" s="417"/>
      <c r="M6208" s="417" t="s">
        <v>28840</v>
      </c>
    </row>
    <row r="6209" spans="1:13" x14ac:dyDescent="0.25">
      <c r="A6209" s="417" t="s">
        <v>3385</v>
      </c>
      <c r="B6209" s="417" t="s">
        <v>2627</v>
      </c>
      <c r="C6209" s="417" t="s">
        <v>14888</v>
      </c>
      <c r="D6209" s="417" t="s">
        <v>73</v>
      </c>
      <c r="E6209" s="423">
        <v>6.5440745329384854E-3</v>
      </c>
      <c r="F6209" s="423">
        <v>5.2238265266179143E-5</v>
      </c>
      <c r="G6209" s="422">
        <v>19.455613714637479</v>
      </c>
      <c r="H6209" s="417" t="s">
        <v>2616</v>
      </c>
      <c r="I6209" s="417" t="s">
        <v>1392</v>
      </c>
      <c r="J6209" s="417" t="s">
        <v>14268</v>
      </c>
      <c r="K6209" s="417" t="s">
        <v>14889</v>
      </c>
      <c r="L6209" s="417"/>
      <c r="M6209" s="417" t="s">
        <v>28840</v>
      </c>
    </row>
    <row r="6210" spans="1:13" x14ac:dyDescent="0.25">
      <c r="A6210" s="417" t="s">
        <v>3385</v>
      </c>
      <c r="B6210" s="417" t="s">
        <v>2627</v>
      </c>
      <c r="C6210" s="417" t="s">
        <v>14890</v>
      </c>
      <c r="D6210" s="417" t="s">
        <v>73</v>
      </c>
      <c r="E6210" s="423">
        <v>1.229784517831882E-2</v>
      </c>
      <c r="F6210" s="423">
        <v>8.4853247728057451E-5</v>
      </c>
      <c r="G6210" s="422">
        <v>25.899963313835212</v>
      </c>
      <c r="H6210" s="417" t="s">
        <v>2616</v>
      </c>
      <c r="I6210" s="417" t="s">
        <v>1392</v>
      </c>
      <c r="J6210" s="417" t="s">
        <v>14268</v>
      </c>
      <c r="K6210" s="417" t="s">
        <v>14891</v>
      </c>
      <c r="L6210" s="417"/>
      <c r="M6210" s="417" t="s">
        <v>28840</v>
      </c>
    </row>
    <row r="6211" spans="1:13" x14ac:dyDescent="0.25">
      <c r="A6211" s="417" t="s">
        <v>3385</v>
      </c>
      <c r="B6211" s="417" t="s">
        <v>2627</v>
      </c>
      <c r="C6211" s="417" t="s">
        <v>14892</v>
      </c>
      <c r="D6211" s="417" t="s">
        <v>73</v>
      </c>
      <c r="E6211" s="423">
        <v>1.8550764738510271E-2</v>
      </c>
      <c r="F6211" s="423">
        <v>1.5458030006245489E-4</v>
      </c>
      <c r="G6211" s="422">
        <v>34.659021362796338</v>
      </c>
      <c r="H6211" s="417" t="s">
        <v>2616</v>
      </c>
      <c r="I6211" s="417" t="s">
        <v>1392</v>
      </c>
      <c r="J6211" s="417" t="s">
        <v>14268</v>
      </c>
      <c r="K6211" s="417" t="s">
        <v>14893</v>
      </c>
      <c r="L6211" s="417"/>
      <c r="M6211" s="417" t="s">
        <v>28840</v>
      </c>
    </row>
    <row r="6212" spans="1:13" x14ac:dyDescent="0.25">
      <c r="A6212" s="417" t="s">
        <v>3385</v>
      </c>
      <c r="B6212" s="417" t="s">
        <v>2627</v>
      </c>
      <c r="C6212" s="417" t="s">
        <v>14894</v>
      </c>
      <c r="D6212" s="417" t="s">
        <v>73</v>
      </c>
      <c r="E6212" s="423">
        <v>7.0023191685455897E-3</v>
      </c>
      <c r="F6212" s="423">
        <v>6.0705246634300123E-5</v>
      </c>
      <c r="G6212" s="422">
        <v>23.557215703511059</v>
      </c>
      <c r="H6212" s="417" t="s">
        <v>2616</v>
      </c>
      <c r="I6212" s="417" t="s">
        <v>1392</v>
      </c>
      <c r="J6212" s="417" t="s">
        <v>14268</v>
      </c>
      <c r="K6212" s="417" t="s">
        <v>14895</v>
      </c>
      <c r="L6212" s="417"/>
      <c r="M6212" s="417" t="s">
        <v>28840</v>
      </c>
    </row>
    <row r="6213" spans="1:13" x14ac:dyDescent="0.25">
      <c r="A6213" s="417" t="s">
        <v>3385</v>
      </c>
      <c r="B6213" s="417" t="s">
        <v>2627</v>
      </c>
      <c r="C6213" s="417" t="s">
        <v>14896</v>
      </c>
      <c r="D6213" s="417" t="s">
        <v>73</v>
      </c>
      <c r="E6213" s="423">
        <v>6.7871902117217307E-3</v>
      </c>
      <c r="F6213" s="423">
        <v>5.4276960245264942E-5</v>
      </c>
      <c r="G6213" s="422">
        <v>19.116831245600721</v>
      </c>
      <c r="H6213" s="417" t="s">
        <v>2616</v>
      </c>
      <c r="I6213" s="417" t="s">
        <v>1392</v>
      </c>
      <c r="J6213" s="417" t="s">
        <v>14268</v>
      </c>
      <c r="K6213" s="417" t="s">
        <v>14897</v>
      </c>
      <c r="L6213" s="417"/>
      <c r="M6213" s="417" t="s">
        <v>28840</v>
      </c>
    </row>
    <row r="6214" spans="1:13" x14ac:dyDescent="0.25">
      <c r="A6214" s="417" t="s">
        <v>3385</v>
      </c>
      <c r="B6214" s="417" t="s">
        <v>2627</v>
      </c>
      <c r="C6214" s="417" t="s">
        <v>14898</v>
      </c>
      <c r="D6214" s="417" t="s">
        <v>73</v>
      </c>
      <c r="E6214" s="423">
        <v>1.6236872196361569E-2</v>
      </c>
      <c r="F6214" s="423">
        <v>3.0723519340363203E-4</v>
      </c>
      <c r="G6214" s="422">
        <v>33.502565744712157</v>
      </c>
      <c r="H6214" s="417" t="s">
        <v>2616</v>
      </c>
      <c r="I6214" s="417" t="s">
        <v>1392</v>
      </c>
      <c r="J6214" s="417" t="s">
        <v>14268</v>
      </c>
      <c r="K6214" s="417" t="s">
        <v>14899</v>
      </c>
      <c r="L6214" s="417"/>
      <c r="M6214" s="417" t="s">
        <v>28840</v>
      </c>
    </row>
    <row r="6215" spans="1:13" x14ac:dyDescent="0.25">
      <c r="A6215" s="417" t="s">
        <v>3385</v>
      </c>
      <c r="B6215" s="417" t="s">
        <v>2627</v>
      </c>
      <c r="C6215" s="417" t="s">
        <v>14900</v>
      </c>
      <c r="D6215" s="417" t="s">
        <v>73</v>
      </c>
      <c r="E6215" s="423">
        <v>1.4380292508014409E-2</v>
      </c>
      <c r="F6215" s="423">
        <v>9.9278844061766018E-5</v>
      </c>
      <c r="G6215" s="422">
        <v>28.602753304940681</v>
      </c>
      <c r="H6215" s="417" t="s">
        <v>2616</v>
      </c>
      <c r="I6215" s="417" t="s">
        <v>1392</v>
      </c>
      <c r="J6215" s="417" t="s">
        <v>14268</v>
      </c>
      <c r="K6215" s="417" t="s">
        <v>14901</v>
      </c>
      <c r="L6215" s="417"/>
      <c r="M6215" s="417" t="s">
        <v>28840</v>
      </c>
    </row>
    <row r="6216" spans="1:13" x14ac:dyDescent="0.25">
      <c r="A6216" s="417" t="s">
        <v>3385</v>
      </c>
      <c r="B6216" s="417" t="s">
        <v>2627</v>
      </c>
      <c r="C6216" s="417" t="s">
        <v>14902</v>
      </c>
      <c r="D6216" s="417" t="s">
        <v>73</v>
      </c>
      <c r="E6216" s="423">
        <v>9.4392282335550044E-3</v>
      </c>
      <c r="F6216" s="423">
        <v>5.4949550241428639E-5</v>
      </c>
      <c r="G6216" s="422">
        <v>22.033224604786291</v>
      </c>
      <c r="H6216" s="417" t="s">
        <v>2616</v>
      </c>
      <c r="I6216" s="417" t="s">
        <v>1392</v>
      </c>
      <c r="J6216" s="417" t="s">
        <v>14268</v>
      </c>
      <c r="K6216" s="417" t="s">
        <v>14903</v>
      </c>
      <c r="L6216" s="417"/>
      <c r="M6216" s="417" t="s">
        <v>28840</v>
      </c>
    </row>
    <row r="6217" spans="1:13" x14ac:dyDescent="0.25">
      <c r="A6217" s="417" t="s">
        <v>3385</v>
      </c>
      <c r="B6217" s="417" t="s">
        <v>2627</v>
      </c>
      <c r="C6217" s="417" t="s">
        <v>14904</v>
      </c>
      <c r="D6217" s="417" t="s">
        <v>73</v>
      </c>
      <c r="E6217" s="423">
        <v>1.048596701134437E-2</v>
      </c>
      <c r="F6217" s="423">
        <v>7.2628016139331553E-5</v>
      </c>
      <c r="G6217" s="422">
        <v>23.548483403407239</v>
      </c>
      <c r="H6217" s="417" t="s">
        <v>2616</v>
      </c>
      <c r="I6217" s="417" t="s">
        <v>1392</v>
      </c>
      <c r="J6217" s="417" t="s">
        <v>14268</v>
      </c>
      <c r="K6217" s="417" t="s">
        <v>14905</v>
      </c>
      <c r="L6217" s="417"/>
      <c r="M6217" s="417" t="s">
        <v>28840</v>
      </c>
    </row>
    <row r="6218" spans="1:13" x14ac:dyDescent="0.25">
      <c r="A6218" s="417" t="s">
        <v>3385</v>
      </c>
      <c r="B6218" s="417" t="s">
        <v>2627</v>
      </c>
      <c r="C6218" s="417" t="s">
        <v>14906</v>
      </c>
      <c r="D6218" s="417" t="s">
        <v>73</v>
      </c>
      <c r="E6218" s="423">
        <v>9.4585889966161043E-3</v>
      </c>
      <c r="F6218" s="423">
        <v>1.045743282338817E-4</v>
      </c>
      <c r="G6218" s="422">
        <v>23.560972534468881</v>
      </c>
      <c r="H6218" s="417" t="s">
        <v>2616</v>
      </c>
      <c r="I6218" s="417" t="s">
        <v>1392</v>
      </c>
      <c r="J6218" s="417" t="s">
        <v>14268</v>
      </c>
      <c r="K6218" s="417" t="s">
        <v>14907</v>
      </c>
      <c r="L6218" s="417"/>
      <c r="M6218" s="417" t="s">
        <v>28840</v>
      </c>
    </row>
    <row r="6219" spans="1:13" x14ac:dyDescent="0.25">
      <c r="A6219" s="417" t="s">
        <v>3385</v>
      </c>
      <c r="B6219" s="417" t="s">
        <v>2627</v>
      </c>
      <c r="C6219" s="417" t="s">
        <v>14908</v>
      </c>
      <c r="D6219" s="417" t="s">
        <v>73</v>
      </c>
      <c r="E6219" s="423">
        <v>1.812158505028463E-2</v>
      </c>
      <c r="F6219" s="423">
        <v>3.0358082079098072E-4</v>
      </c>
      <c r="G6219" s="422">
        <v>35.765050969468369</v>
      </c>
      <c r="H6219" s="417" t="s">
        <v>2616</v>
      </c>
      <c r="I6219" s="417" t="s">
        <v>1392</v>
      </c>
      <c r="J6219" s="417" t="s">
        <v>14268</v>
      </c>
      <c r="K6219" s="417" t="s">
        <v>14909</v>
      </c>
      <c r="L6219" s="417"/>
      <c r="M6219" s="417" t="s">
        <v>28840</v>
      </c>
    </row>
    <row r="6220" spans="1:13" x14ac:dyDescent="0.25">
      <c r="A6220" s="417" t="s">
        <v>3385</v>
      </c>
      <c r="B6220" s="417" t="s">
        <v>2627</v>
      </c>
      <c r="C6220" s="417" t="s">
        <v>14910</v>
      </c>
      <c r="D6220" s="417" t="s">
        <v>73</v>
      </c>
      <c r="E6220" s="423">
        <v>1.6382824555259919E-2</v>
      </c>
      <c r="F6220" s="423">
        <v>2.0266066968836649E-4</v>
      </c>
      <c r="G6220" s="422">
        <v>41.327861885771327</v>
      </c>
      <c r="H6220" s="417" t="s">
        <v>2616</v>
      </c>
      <c r="I6220" s="417" t="s">
        <v>1392</v>
      </c>
      <c r="J6220" s="417" t="s">
        <v>14268</v>
      </c>
      <c r="K6220" s="417" t="s">
        <v>14911</v>
      </c>
      <c r="L6220" s="417"/>
      <c r="M6220" s="417" t="s">
        <v>28840</v>
      </c>
    </row>
    <row r="6221" spans="1:13" x14ac:dyDescent="0.25">
      <c r="A6221" s="417" t="s">
        <v>3385</v>
      </c>
      <c r="B6221" s="417" t="s">
        <v>2627</v>
      </c>
      <c r="C6221" s="417" t="s">
        <v>14912</v>
      </c>
      <c r="D6221" s="417" t="s">
        <v>73</v>
      </c>
      <c r="E6221" s="423">
        <v>5.9111391086736926E-3</v>
      </c>
      <c r="F6221" s="423">
        <v>4.961851720230709E-5</v>
      </c>
      <c r="G6221" s="422">
        <v>17.951327965831201</v>
      </c>
      <c r="H6221" s="417" t="s">
        <v>2616</v>
      </c>
      <c r="I6221" s="417" t="s">
        <v>1392</v>
      </c>
      <c r="J6221" s="417" t="s">
        <v>14268</v>
      </c>
      <c r="K6221" s="417" t="s">
        <v>14913</v>
      </c>
      <c r="L6221" s="417"/>
      <c r="M6221" s="417" t="s">
        <v>28840</v>
      </c>
    </row>
    <row r="6222" spans="1:13" x14ac:dyDescent="0.25">
      <c r="A6222" s="417" t="s">
        <v>3385</v>
      </c>
      <c r="B6222" s="417" t="s">
        <v>2627</v>
      </c>
      <c r="C6222" s="417" t="s">
        <v>14914</v>
      </c>
      <c r="D6222" s="417" t="s">
        <v>73</v>
      </c>
      <c r="E6222" s="423">
        <v>1.177311984056818E-2</v>
      </c>
      <c r="F6222" s="423">
        <v>2.1495536106523911E-4</v>
      </c>
      <c r="G6222" s="422">
        <v>26.938405844584889</v>
      </c>
      <c r="H6222" s="417" t="s">
        <v>2616</v>
      </c>
      <c r="I6222" s="417" t="s">
        <v>1392</v>
      </c>
      <c r="J6222" s="417" t="s">
        <v>14268</v>
      </c>
      <c r="K6222" s="417" t="s">
        <v>14915</v>
      </c>
      <c r="L6222" s="417"/>
      <c r="M6222" s="417" t="s">
        <v>28840</v>
      </c>
    </row>
    <row r="6223" spans="1:13" x14ac:dyDescent="0.25">
      <c r="A6223" s="417" t="s">
        <v>3385</v>
      </c>
      <c r="B6223" s="417" t="s">
        <v>2627</v>
      </c>
      <c r="C6223" s="417" t="s">
        <v>14916</v>
      </c>
      <c r="D6223" s="417" t="s">
        <v>73</v>
      </c>
      <c r="E6223" s="423">
        <v>4.3817683806884802E-3</v>
      </c>
      <c r="F6223" s="423">
        <v>5.2062702780138762E-5</v>
      </c>
      <c r="G6223" s="422">
        <v>16.07748730512375</v>
      </c>
      <c r="H6223" s="417" t="s">
        <v>2616</v>
      </c>
      <c r="I6223" s="417" t="s">
        <v>1392</v>
      </c>
      <c r="J6223" s="417" t="s">
        <v>14268</v>
      </c>
      <c r="K6223" s="417" t="s">
        <v>14917</v>
      </c>
      <c r="L6223" s="417"/>
      <c r="M6223" s="417" t="s">
        <v>28840</v>
      </c>
    </row>
    <row r="6224" spans="1:13" x14ac:dyDescent="0.25">
      <c r="A6224" s="417" t="s">
        <v>3385</v>
      </c>
      <c r="B6224" s="417" t="s">
        <v>2627</v>
      </c>
      <c r="C6224" s="417" t="s">
        <v>14918</v>
      </c>
      <c r="D6224" s="417" t="s">
        <v>73</v>
      </c>
      <c r="E6224" s="423">
        <v>1.3177690278262801E-2</v>
      </c>
      <c r="F6224" s="423">
        <v>5.4649134408932292E-5</v>
      </c>
      <c r="G6224" s="422">
        <v>27.322225467112069</v>
      </c>
      <c r="H6224" s="417" t="s">
        <v>2616</v>
      </c>
      <c r="I6224" s="417" t="s">
        <v>1392</v>
      </c>
      <c r="J6224" s="417" t="s">
        <v>14268</v>
      </c>
      <c r="K6224" s="417" t="s">
        <v>14919</v>
      </c>
      <c r="L6224" s="417"/>
      <c r="M6224" s="417" t="s">
        <v>28840</v>
      </c>
    </row>
    <row r="6225" spans="1:13" x14ac:dyDescent="0.25">
      <c r="A6225" s="417" t="s">
        <v>3385</v>
      </c>
      <c r="B6225" s="417" t="s">
        <v>2627</v>
      </c>
      <c r="C6225" s="417" t="s">
        <v>14920</v>
      </c>
      <c r="D6225" s="417" t="s">
        <v>73</v>
      </c>
      <c r="E6225" s="423">
        <v>9.3071885629345697E-3</v>
      </c>
      <c r="F6225" s="423">
        <v>5.3425771259337338E-5</v>
      </c>
      <c r="G6225" s="422">
        <v>22.567687103268518</v>
      </c>
      <c r="H6225" s="417" t="s">
        <v>2616</v>
      </c>
      <c r="I6225" s="417" t="s">
        <v>1392</v>
      </c>
      <c r="J6225" s="417" t="s">
        <v>14268</v>
      </c>
      <c r="K6225" s="417" t="s">
        <v>14921</v>
      </c>
      <c r="L6225" s="417"/>
      <c r="M6225" s="417" t="s">
        <v>28840</v>
      </c>
    </row>
    <row r="6226" spans="1:13" x14ac:dyDescent="0.25">
      <c r="A6226" s="417" t="s">
        <v>3385</v>
      </c>
      <c r="B6226" s="417" t="s">
        <v>2627</v>
      </c>
      <c r="C6226" s="417" t="s">
        <v>14922</v>
      </c>
      <c r="D6226" s="417" t="s">
        <v>73</v>
      </c>
      <c r="E6226" s="423">
        <v>2.220637034718255E-2</v>
      </c>
      <c r="F6226" s="423">
        <v>3.3013913775140519E-4</v>
      </c>
      <c r="G6226" s="422">
        <v>41.170555209132047</v>
      </c>
      <c r="H6226" s="417" t="s">
        <v>2616</v>
      </c>
      <c r="I6226" s="417" t="s">
        <v>1392</v>
      </c>
      <c r="J6226" s="417" t="s">
        <v>14268</v>
      </c>
      <c r="K6226" s="417" t="s">
        <v>14923</v>
      </c>
      <c r="L6226" s="417"/>
      <c r="M6226" s="417" t="s">
        <v>28840</v>
      </c>
    </row>
    <row r="6227" spans="1:13" x14ac:dyDescent="0.25">
      <c r="A6227" s="417" t="s">
        <v>3385</v>
      </c>
      <c r="B6227" s="417" t="s">
        <v>2627</v>
      </c>
      <c r="C6227" s="417" t="s">
        <v>14924</v>
      </c>
      <c r="D6227" s="417" t="s">
        <v>73</v>
      </c>
      <c r="E6227" s="423">
        <v>1.643583800151226E-2</v>
      </c>
      <c r="F6227" s="423">
        <v>2.492903436397049E-4</v>
      </c>
      <c r="G6227" s="422">
        <v>33.0151977417027</v>
      </c>
      <c r="H6227" s="417" t="s">
        <v>2616</v>
      </c>
      <c r="I6227" s="417" t="s">
        <v>1392</v>
      </c>
      <c r="J6227" s="417" t="s">
        <v>14268</v>
      </c>
      <c r="K6227" s="417" t="s">
        <v>14925</v>
      </c>
      <c r="L6227" s="417"/>
      <c r="M6227" s="417" t="s">
        <v>28840</v>
      </c>
    </row>
    <row r="6228" spans="1:13" x14ac:dyDescent="0.25">
      <c r="A6228" s="417" t="s">
        <v>3385</v>
      </c>
      <c r="B6228" s="417" t="s">
        <v>2627</v>
      </c>
      <c r="C6228" s="417" t="s">
        <v>14926</v>
      </c>
      <c r="D6228" s="417" t="s">
        <v>73</v>
      </c>
      <c r="E6228" s="423">
        <v>2.3220180367241831E-2</v>
      </c>
      <c r="F6228" s="423">
        <v>4.874528814231635E-4</v>
      </c>
      <c r="G6228" s="422">
        <v>44.025514630488829</v>
      </c>
      <c r="H6228" s="417" t="s">
        <v>2616</v>
      </c>
      <c r="I6228" s="417" t="s">
        <v>1392</v>
      </c>
      <c r="J6228" s="417" t="s">
        <v>14268</v>
      </c>
      <c r="K6228" s="417" t="s">
        <v>14927</v>
      </c>
      <c r="L6228" s="417"/>
      <c r="M6228" s="417" t="s">
        <v>28840</v>
      </c>
    </row>
    <row r="6229" spans="1:13" x14ac:dyDescent="0.25">
      <c r="A6229" s="417" t="s">
        <v>3385</v>
      </c>
      <c r="B6229" s="417" t="s">
        <v>2627</v>
      </c>
      <c r="C6229" s="417" t="s">
        <v>14928</v>
      </c>
      <c r="D6229" s="417" t="s">
        <v>73</v>
      </c>
      <c r="E6229" s="423">
        <v>1.746737878043406E-2</v>
      </c>
      <c r="F6229" s="423">
        <v>3.126468327538248E-4</v>
      </c>
      <c r="G6229" s="422">
        <v>35.112225616731067</v>
      </c>
      <c r="H6229" s="417" t="s">
        <v>2616</v>
      </c>
      <c r="I6229" s="417" t="s">
        <v>1392</v>
      </c>
      <c r="J6229" s="417" t="s">
        <v>14268</v>
      </c>
      <c r="K6229" s="417" t="s">
        <v>14929</v>
      </c>
      <c r="L6229" s="417"/>
      <c r="M6229" s="417" t="s">
        <v>28840</v>
      </c>
    </row>
    <row r="6230" spans="1:13" x14ac:dyDescent="0.25">
      <c r="A6230" s="417" t="s">
        <v>3385</v>
      </c>
      <c r="B6230" s="417" t="s">
        <v>2627</v>
      </c>
      <c r="C6230" s="417" t="s">
        <v>14930</v>
      </c>
      <c r="D6230" s="417" t="s">
        <v>73</v>
      </c>
      <c r="E6230" s="423">
        <v>8.9926235156773844E-3</v>
      </c>
      <c r="F6230" s="423">
        <v>1.800536890743539E-4</v>
      </c>
      <c r="G6230" s="422">
        <v>23.00050490313328</v>
      </c>
      <c r="H6230" s="417" t="s">
        <v>2616</v>
      </c>
      <c r="I6230" s="417" t="s">
        <v>1392</v>
      </c>
      <c r="J6230" s="417" t="s">
        <v>14268</v>
      </c>
      <c r="K6230" s="417" t="s">
        <v>14931</v>
      </c>
      <c r="L6230" s="417"/>
      <c r="M6230" s="417" t="s">
        <v>28840</v>
      </c>
    </row>
    <row r="6231" spans="1:13" x14ac:dyDescent="0.25">
      <c r="A6231" s="417" t="s">
        <v>3385</v>
      </c>
      <c r="B6231" s="417" t="s">
        <v>2627</v>
      </c>
      <c r="C6231" s="417" t="s">
        <v>14932</v>
      </c>
      <c r="D6231" s="417" t="s">
        <v>73</v>
      </c>
      <c r="E6231" s="423">
        <v>1.4730484883822779E-2</v>
      </c>
      <c r="F6231" s="423">
        <v>1.2440189474094261E-4</v>
      </c>
      <c r="G6231" s="422">
        <v>30.938725721868011</v>
      </c>
      <c r="H6231" s="417" t="s">
        <v>2616</v>
      </c>
      <c r="I6231" s="417" t="s">
        <v>1392</v>
      </c>
      <c r="J6231" s="417" t="s">
        <v>14268</v>
      </c>
      <c r="K6231" s="417" t="s">
        <v>14933</v>
      </c>
      <c r="L6231" s="417"/>
      <c r="M6231" s="417" t="s">
        <v>28840</v>
      </c>
    </row>
    <row r="6232" spans="1:13" x14ac:dyDescent="0.25">
      <c r="A6232" s="417" t="s">
        <v>3385</v>
      </c>
      <c r="B6232" s="417" t="s">
        <v>2627</v>
      </c>
      <c r="C6232" s="417" t="s">
        <v>14934</v>
      </c>
      <c r="D6232" s="417" t="s">
        <v>73</v>
      </c>
      <c r="E6232" s="423">
        <v>2.0098605559225491E-2</v>
      </c>
      <c r="F6232" s="423">
        <v>2.9582662041919091E-4</v>
      </c>
      <c r="G6232" s="422">
        <v>38.208673441644862</v>
      </c>
      <c r="H6232" s="417" t="s">
        <v>2616</v>
      </c>
      <c r="I6232" s="417" t="s">
        <v>1392</v>
      </c>
      <c r="J6232" s="417" t="s">
        <v>14268</v>
      </c>
      <c r="K6232" s="417" t="s">
        <v>14935</v>
      </c>
      <c r="L6232" s="417"/>
      <c r="M6232" s="417" t="s">
        <v>28840</v>
      </c>
    </row>
    <row r="6233" spans="1:13" x14ac:dyDescent="0.25">
      <c r="A6233" s="417" t="s">
        <v>3385</v>
      </c>
      <c r="B6233" s="417" t="s">
        <v>2627</v>
      </c>
      <c r="C6233" s="417" t="s">
        <v>14936</v>
      </c>
      <c r="D6233" s="417" t="s">
        <v>73</v>
      </c>
      <c r="E6233" s="423">
        <v>2.5602064541775969E-2</v>
      </c>
      <c r="F6233" s="423">
        <v>5.7418680995887034E-4</v>
      </c>
      <c r="G6233" s="422">
        <v>48.079447969482608</v>
      </c>
      <c r="H6233" s="417" t="s">
        <v>2616</v>
      </c>
      <c r="I6233" s="417" t="s">
        <v>1392</v>
      </c>
      <c r="J6233" s="417" t="s">
        <v>14268</v>
      </c>
      <c r="K6233" s="417" t="s">
        <v>14937</v>
      </c>
      <c r="L6233" s="417"/>
      <c r="M6233" s="417" t="s">
        <v>28840</v>
      </c>
    </row>
    <row r="6234" spans="1:13" x14ac:dyDescent="0.25">
      <c r="A6234" s="417" t="s">
        <v>3385</v>
      </c>
      <c r="B6234" s="417" t="s">
        <v>2627</v>
      </c>
      <c r="C6234" s="417" t="s">
        <v>14938</v>
      </c>
      <c r="D6234" s="417" t="s">
        <v>73</v>
      </c>
      <c r="E6234" s="423">
        <v>2.110586455518022E-2</v>
      </c>
      <c r="F6234" s="423">
        <v>1.20128737061943E-4</v>
      </c>
      <c r="G6234" s="422">
        <v>37.55062364339571</v>
      </c>
      <c r="H6234" s="417" t="s">
        <v>2616</v>
      </c>
      <c r="I6234" s="417" t="s">
        <v>1392</v>
      </c>
      <c r="J6234" s="417" t="s">
        <v>14268</v>
      </c>
      <c r="K6234" s="417" t="s">
        <v>14939</v>
      </c>
      <c r="L6234" s="417"/>
      <c r="M6234" s="417" t="s">
        <v>28840</v>
      </c>
    </row>
    <row r="6235" spans="1:13" x14ac:dyDescent="0.25">
      <c r="A6235" s="417" t="s">
        <v>3385</v>
      </c>
      <c r="B6235" s="417" t="s">
        <v>2627</v>
      </c>
      <c r="C6235" s="417" t="s">
        <v>14940</v>
      </c>
      <c r="D6235" s="417" t="s">
        <v>73</v>
      </c>
      <c r="E6235" s="423">
        <v>1.2037309936658211E-2</v>
      </c>
      <c r="F6235" s="423">
        <v>1.374469140029083E-4</v>
      </c>
      <c r="G6235" s="422">
        <v>35.266582209548169</v>
      </c>
      <c r="H6235" s="417" t="s">
        <v>2616</v>
      </c>
      <c r="I6235" s="417" t="s">
        <v>1392</v>
      </c>
      <c r="J6235" s="417" t="s">
        <v>14268</v>
      </c>
      <c r="K6235" s="417" t="s">
        <v>14941</v>
      </c>
      <c r="L6235" s="417"/>
      <c r="M6235" s="417" t="s">
        <v>28840</v>
      </c>
    </row>
    <row r="6236" spans="1:13" x14ac:dyDescent="0.25">
      <c r="A6236" s="417" t="s">
        <v>3385</v>
      </c>
      <c r="B6236" s="417" t="s">
        <v>2627</v>
      </c>
      <c r="C6236" s="417" t="s">
        <v>14942</v>
      </c>
      <c r="D6236" s="417" t="s">
        <v>73</v>
      </c>
      <c r="E6236" s="423">
        <v>9.9898426669276577E-3</v>
      </c>
      <c r="F6236" s="423">
        <v>1.851060000241012E-4</v>
      </c>
      <c r="G6236" s="422">
        <v>24.235799036923531</v>
      </c>
      <c r="H6236" s="417" t="s">
        <v>2616</v>
      </c>
      <c r="I6236" s="417" t="s">
        <v>1392</v>
      </c>
      <c r="J6236" s="417" t="s">
        <v>14268</v>
      </c>
      <c r="K6236" s="417" t="s">
        <v>14943</v>
      </c>
      <c r="L6236" s="417"/>
      <c r="M6236" s="417" t="s">
        <v>28840</v>
      </c>
    </row>
    <row r="6237" spans="1:13" x14ac:dyDescent="0.25">
      <c r="A6237" s="417" t="s">
        <v>3385</v>
      </c>
      <c r="B6237" s="417" t="s">
        <v>2627</v>
      </c>
      <c r="C6237" s="417" t="s">
        <v>14944</v>
      </c>
      <c r="D6237" s="417" t="s">
        <v>73</v>
      </c>
      <c r="E6237" s="423">
        <v>1.6643324572921569E-2</v>
      </c>
      <c r="F6237" s="423">
        <v>2.258405953657057E-4</v>
      </c>
      <c r="G6237" s="422">
        <v>37.545964965740232</v>
      </c>
      <c r="H6237" s="417" t="s">
        <v>2616</v>
      </c>
      <c r="I6237" s="417" t="s">
        <v>1392</v>
      </c>
      <c r="J6237" s="417" t="s">
        <v>14268</v>
      </c>
      <c r="K6237" s="417" t="s">
        <v>14945</v>
      </c>
      <c r="L6237" s="417"/>
      <c r="M6237" s="417" t="s">
        <v>28840</v>
      </c>
    </row>
    <row r="6238" spans="1:13" x14ac:dyDescent="0.25">
      <c r="A6238" s="417" t="s">
        <v>3385</v>
      </c>
      <c r="B6238" s="417" t="s">
        <v>2627</v>
      </c>
      <c r="C6238" s="417" t="s">
        <v>14946</v>
      </c>
      <c r="D6238" s="417" t="s">
        <v>73</v>
      </c>
      <c r="E6238" s="423">
        <v>1.1061101780393981E-2</v>
      </c>
      <c r="F6238" s="423">
        <v>4.9868032127990248E-5</v>
      </c>
      <c r="G6238" s="422">
        <v>25.360513229631799</v>
      </c>
      <c r="H6238" s="417" t="s">
        <v>2616</v>
      </c>
      <c r="I6238" s="417" t="s">
        <v>1392</v>
      </c>
      <c r="J6238" s="417" t="s">
        <v>14268</v>
      </c>
      <c r="K6238" s="417" t="s">
        <v>14947</v>
      </c>
      <c r="L6238" s="417"/>
      <c r="M6238" s="417" t="s">
        <v>28840</v>
      </c>
    </row>
    <row r="6239" spans="1:13" x14ac:dyDescent="0.25">
      <c r="A6239" s="417" t="s">
        <v>3385</v>
      </c>
      <c r="B6239" s="417" t="s">
        <v>2627</v>
      </c>
      <c r="C6239" s="417" t="s">
        <v>14948</v>
      </c>
      <c r="D6239" s="417" t="s">
        <v>73</v>
      </c>
      <c r="E6239" s="423">
        <v>9.9706143598104844E-3</v>
      </c>
      <c r="F6239" s="423">
        <v>4.101185318119593E-5</v>
      </c>
      <c r="G6239" s="422">
        <v>23.935653690235309</v>
      </c>
      <c r="H6239" s="417" t="s">
        <v>2616</v>
      </c>
      <c r="I6239" s="417" t="s">
        <v>1392</v>
      </c>
      <c r="J6239" s="417" t="s">
        <v>14268</v>
      </c>
      <c r="K6239" s="417" t="s">
        <v>14949</v>
      </c>
      <c r="L6239" s="417"/>
      <c r="M6239" s="417" t="s">
        <v>28840</v>
      </c>
    </row>
    <row r="6240" spans="1:13" x14ac:dyDescent="0.25">
      <c r="A6240" s="417" t="s">
        <v>3385</v>
      </c>
      <c r="B6240" s="417" t="s">
        <v>2627</v>
      </c>
      <c r="C6240" s="417" t="s">
        <v>14950</v>
      </c>
      <c r="D6240" s="417" t="s">
        <v>73</v>
      </c>
      <c r="E6240" s="423">
        <v>1.6603189862249169E-2</v>
      </c>
      <c r="F6240" s="423">
        <v>1.7329614761934879E-4</v>
      </c>
      <c r="G6240" s="422">
        <v>32.502662707399708</v>
      </c>
      <c r="H6240" s="417" t="s">
        <v>2616</v>
      </c>
      <c r="I6240" s="417" t="s">
        <v>1392</v>
      </c>
      <c r="J6240" s="417" t="s">
        <v>14268</v>
      </c>
      <c r="K6240" s="417" t="s">
        <v>14951</v>
      </c>
      <c r="L6240" s="417"/>
      <c r="M6240" s="417" t="s">
        <v>28840</v>
      </c>
    </row>
    <row r="6241" spans="1:13" x14ac:dyDescent="0.25">
      <c r="A6241" s="417" t="s">
        <v>3385</v>
      </c>
      <c r="B6241" s="417" t="s">
        <v>2627</v>
      </c>
      <c r="C6241" s="417" t="s">
        <v>14952</v>
      </c>
      <c r="D6241" s="417" t="s">
        <v>73</v>
      </c>
      <c r="E6241" s="423">
        <v>2.4979474807477829E-2</v>
      </c>
      <c r="F6241" s="423">
        <v>5.7044204551848763E-4</v>
      </c>
      <c r="G6241" s="422">
        <v>49.385922861389801</v>
      </c>
      <c r="H6241" s="417" t="s">
        <v>2616</v>
      </c>
      <c r="I6241" s="417" t="s">
        <v>1392</v>
      </c>
      <c r="J6241" s="417" t="s">
        <v>14268</v>
      </c>
      <c r="K6241" s="417" t="s">
        <v>14953</v>
      </c>
      <c r="L6241" s="417"/>
      <c r="M6241" s="417" t="s">
        <v>28840</v>
      </c>
    </row>
    <row r="6242" spans="1:13" x14ac:dyDescent="0.25">
      <c r="A6242" s="417" t="s">
        <v>3385</v>
      </c>
      <c r="B6242" s="417" t="s">
        <v>2627</v>
      </c>
      <c r="C6242" s="417" t="s">
        <v>14954</v>
      </c>
      <c r="D6242" s="417" t="s">
        <v>73</v>
      </c>
      <c r="E6242" s="423">
        <v>2.4858347933613651E-2</v>
      </c>
      <c r="F6242" s="423">
        <v>5.7624092581694253E-4</v>
      </c>
      <c r="G6242" s="422">
        <v>48.599170582209631</v>
      </c>
      <c r="H6242" s="417" t="s">
        <v>2616</v>
      </c>
      <c r="I6242" s="417" t="s">
        <v>1392</v>
      </c>
      <c r="J6242" s="417" t="s">
        <v>14268</v>
      </c>
      <c r="K6242" s="417" t="s">
        <v>14955</v>
      </c>
      <c r="L6242" s="417"/>
      <c r="M6242" s="417" t="s">
        <v>28840</v>
      </c>
    </row>
    <row r="6243" spans="1:13" x14ac:dyDescent="0.25">
      <c r="A6243" s="417" t="s">
        <v>3385</v>
      </c>
      <c r="B6243" s="417" t="s">
        <v>2627</v>
      </c>
      <c r="C6243" s="417" t="s">
        <v>14956</v>
      </c>
      <c r="D6243" s="417" t="s">
        <v>73</v>
      </c>
      <c r="E6243" s="423">
        <v>1.2582638511517259E-2</v>
      </c>
      <c r="F6243" s="423">
        <v>1.6580126009248339E-4</v>
      </c>
      <c r="G6243" s="422">
        <v>28.237876196294099</v>
      </c>
      <c r="H6243" s="417" t="s">
        <v>2616</v>
      </c>
      <c r="I6243" s="417" t="s">
        <v>1392</v>
      </c>
      <c r="J6243" s="417" t="s">
        <v>14268</v>
      </c>
      <c r="K6243" s="417" t="s">
        <v>14957</v>
      </c>
      <c r="L6243" s="417"/>
      <c r="M6243" s="417" t="s">
        <v>28840</v>
      </c>
    </row>
    <row r="6244" spans="1:13" x14ac:dyDescent="0.25">
      <c r="A6244" s="417" t="s">
        <v>3385</v>
      </c>
      <c r="B6244" s="417" t="s">
        <v>2627</v>
      </c>
      <c r="C6244" s="417" t="s">
        <v>14958</v>
      </c>
      <c r="D6244" s="417" t="s">
        <v>73</v>
      </c>
      <c r="E6244" s="423">
        <v>1.172592560192982E-2</v>
      </c>
      <c r="F6244" s="423">
        <v>8.008332151800223E-5</v>
      </c>
      <c r="G6244" s="422">
        <v>25.889604761560769</v>
      </c>
      <c r="H6244" s="417" t="s">
        <v>2616</v>
      </c>
      <c r="I6244" s="417" t="s">
        <v>1392</v>
      </c>
      <c r="J6244" s="417" t="s">
        <v>14268</v>
      </c>
      <c r="K6244" s="417" t="s">
        <v>14959</v>
      </c>
      <c r="L6244" s="417"/>
      <c r="M6244" s="417" t="s">
        <v>28840</v>
      </c>
    </row>
    <row r="6245" spans="1:13" x14ac:dyDescent="0.25">
      <c r="A6245" s="417" t="s">
        <v>3385</v>
      </c>
      <c r="B6245" s="417" t="s">
        <v>2627</v>
      </c>
      <c r="C6245" s="417" t="s">
        <v>14960</v>
      </c>
      <c r="D6245" s="417" t="s">
        <v>73</v>
      </c>
      <c r="E6245" s="423">
        <v>1.244029930276404E-2</v>
      </c>
      <c r="F6245" s="423">
        <v>5.3474376426161451E-5</v>
      </c>
      <c r="G6245" s="422">
        <v>26.41745275507175</v>
      </c>
      <c r="H6245" s="417" t="s">
        <v>2616</v>
      </c>
      <c r="I6245" s="417" t="s">
        <v>1392</v>
      </c>
      <c r="J6245" s="417" t="s">
        <v>14268</v>
      </c>
      <c r="K6245" s="417" t="s">
        <v>14961</v>
      </c>
      <c r="L6245" s="417"/>
      <c r="M6245" s="417" t="s">
        <v>28840</v>
      </c>
    </row>
    <row r="6246" spans="1:13" x14ac:dyDescent="0.25">
      <c r="A6246" s="417" t="s">
        <v>3385</v>
      </c>
      <c r="B6246" s="417" t="s">
        <v>2627</v>
      </c>
      <c r="C6246" s="417" t="s">
        <v>14962</v>
      </c>
      <c r="D6246" s="417" t="s">
        <v>73</v>
      </c>
      <c r="E6246" s="423">
        <v>1.073738208933594E-2</v>
      </c>
      <c r="F6246" s="423">
        <v>1.058618584949845E-4</v>
      </c>
      <c r="G6246" s="422">
        <v>24.873869913344709</v>
      </c>
      <c r="H6246" s="417" t="s">
        <v>2616</v>
      </c>
      <c r="I6246" s="417" t="s">
        <v>1392</v>
      </c>
      <c r="J6246" s="417" t="s">
        <v>14268</v>
      </c>
      <c r="K6246" s="417" t="s">
        <v>14963</v>
      </c>
      <c r="L6246" s="417"/>
      <c r="M6246" s="417" t="s">
        <v>28840</v>
      </c>
    </row>
    <row r="6247" spans="1:13" x14ac:dyDescent="0.25">
      <c r="A6247" s="417" t="s">
        <v>3385</v>
      </c>
      <c r="B6247" s="417" t="s">
        <v>2627</v>
      </c>
      <c r="C6247" s="417" t="s">
        <v>14964</v>
      </c>
      <c r="D6247" s="417" t="s">
        <v>73</v>
      </c>
      <c r="E6247" s="423">
        <v>9.9822553794211375E-3</v>
      </c>
      <c r="F6247" s="423">
        <v>7.2456192758610233E-5</v>
      </c>
      <c r="G6247" s="422">
        <v>24.41897983860601</v>
      </c>
      <c r="H6247" s="417" t="s">
        <v>2616</v>
      </c>
      <c r="I6247" s="417" t="s">
        <v>1392</v>
      </c>
      <c r="J6247" s="417" t="s">
        <v>14268</v>
      </c>
      <c r="K6247" s="417" t="s">
        <v>14965</v>
      </c>
      <c r="L6247" s="417"/>
      <c r="M6247" s="417" t="s">
        <v>28840</v>
      </c>
    </row>
    <row r="6248" spans="1:13" x14ac:dyDescent="0.25">
      <c r="A6248" s="417" t="s">
        <v>3385</v>
      </c>
      <c r="B6248" s="417" t="s">
        <v>2627</v>
      </c>
      <c r="C6248" s="417" t="s">
        <v>14966</v>
      </c>
      <c r="D6248" s="417" t="s">
        <v>73</v>
      </c>
      <c r="E6248" s="423">
        <v>1.186548717245885E-2</v>
      </c>
      <c r="F6248" s="423">
        <v>5.10634479940928E-5</v>
      </c>
      <c r="G6248" s="422">
        <v>25.494668672063838</v>
      </c>
      <c r="H6248" s="417" t="s">
        <v>2616</v>
      </c>
      <c r="I6248" s="417" t="s">
        <v>1392</v>
      </c>
      <c r="J6248" s="417" t="s">
        <v>14268</v>
      </c>
      <c r="K6248" s="417" t="s">
        <v>14967</v>
      </c>
      <c r="L6248" s="417"/>
      <c r="M6248" s="417" t="s">
        <v>28840</v>
      </c>
    </row>
    <row r="6249" spans="1:13" x14ac:dyDescent="0.25">
      <c r="A6249" s="417" t="s">
        <v>3385</v>
      </c>
      <c r="B6249" s="417" t="s">
        <v>2627</v>
      </c>
      <c r="C6249" s="417" t="s">
        <v>14968</v>
      </c>
      <c r="D6249" s="417" t="s">
        <v>73</v>
      </c>
      <c r="E6249" s="423">
        <v>1.52403024492724E-2</v>
      </c>
      <c r="F6249" s="423">
        <v>3.094995898064363E-4</v>
      </c>
      <c r="G6249" s="422">
        <v>32.238176210979177</v>
      </c>
      <c r="H6249" s="417" t="s">
        <v>2616</v>
      </c>
      <c r="I6249" s="417" t="s">
        <v>1392</v>
      </c>
      <c r="J6249" s="417" t="s">
        <v>14268</v>
      </c>
      <c r="K6249" s="417" t="s">
        <v>14969</v>
      </c>
      <c r="L6249" s="417"/>
      <c r="M6249" s="417" t="s">
        <v>28840</v>
      </c>
    </row>
    <row r="6250" spans="1:13" x14ac:dyDescent="0.25">
      <c r="A6250" s="417" t="s">
        <v>3385</v>
      </c>
      <c r="B6250" s="417" t="s">
        <v>2627</v>
      </c>
      <c r="C6250" s="417" t="s">
        <v>14970</v>
      </c>
      <c r="D6250" s="417" t="s">
        <v>73</v>
      </c>
      <c r="E6250" s="423">
        <v>3.3666969472259168E-3</v>
      </c>
      <c r="F6250" s="423">
        <v>4.1297607387103803E-5</v>
      </c>
      <c r="G6250" s="422">
        <v>14.708720991996771</v>
      </c>
      <c r="H6250" s="417" t="s">
        <v>2616</v>
      </c>
      <c r="I6250" s="417" t="s">
        <v>1392</v>
      </c>
      <c r="J6250" s="417" t="s">
        <v>14268</v>
      </c>
      <c r="K6250" s="417" t="s">
        <v>14971</v>
      </c>
      <c r="L6250" s="417"/>
      <c r="M6250" s="417" t="s">
        <v>28840</v>
      </c>
    </row>
    <row r="6251" spans="1:13" x14ac:dyDescent="0.25">
      <c r="A6251" s="417" t="s">
        <v>3385</v>
      </c>
      <c r="B6251" s="417" t="s">
        <v>2627</v>
      </c>
      <c r="C6251" s="417" t="s">
        <v>14972</v>
      </c>
      <c r="D6251" s="417" t="s">
        <v>73</v>
      </c>
      <c r="E6251" s="423">
        <v>7.4954393634118089E-3</v>
      </c>
      <c r="F6251" s="423">
        <v>5.5326174615867621E-5</v>
      </c>
      <c r="G6251" s="422">
        <v>21.14142734828831</v>
      </c>
      <c r="H6251" s="417" t="s">
        <v>2616</v>
      </c>
      <c r="I6251" s="417" t="s">
        <v>1392</v>
      </c>
      <c r="J6251" s="417" t="s">
        <v>14268</v>
      </c>
      <c r="K6251" s="417" t="s">
        <v>14973</v>
      </c>
      <c r="L6251" s="417"/>
      <c r="M6251" s="417" t="s">
        <v>28840</v>
      </c>
    </row>
    <row r="6252" spans="1:13" x14ac:dyDescent="0.25">
      <c r="A6252" s="417" t="s">
        <v>3385</v>
      </c>
      <c r="B6252" s="417" t="s">
        <v>2627</v>
      </c>
      <c r="C6252" s="417" t="s">
        <v>14974</v>
      </c>
      <c r="D6252" s="417" t="s">
        <v>73</v>
      </c>
      <c r="E6252" s="423">
        <v>8.3809008479845803E-3</v>
      </c>
      <c r="F6252" s="423">
        <v>5.258853410224309E-5</v>
      </c>
      <c r="G6252" s="422">
        <v>20.74449629701915</v>
      </c>
      <c r="H6252" s="417" t="s">
        <v>2616</v>
      </c>
      <c r="I6252" s="417" t="s">
        <v>1392</v>
      </c>
      <c r="J6252" s="417" t="s">
        <v>14268</v>
      </c>
      <c r="K6252" s="417" t="s">
        <v>14975</v>
      </c>
      <c r="L6252" s="417"/>
      <c r="M6252" s="417" t="s">
        <v>28840</v>
      </c>
    </row>
    <row r="6253" spans="1:13" x14ac:dyDescent="0.25">
      <c r="A6253" s="417" t="s">
        <v>3385</v>
      </c>
      <c r="B6253" s="417" t="s">
        <v>2627</v>
      </c>
      <c r="C6253" s="417" t="s">
        <v>14976</v>
      </c>
      <c r="D6253" s="417" t="s">
        <v>73</v>
      </c>
      <c r="E6253" s="423">
        <v>1.471514200304265E-2</v>
      </c>
      <c r="F6253" s="423">
        <v>1.2411285178252389E-4</v>
      </c>
      <c r="G6253" s="422">
        <v>30.579314572885909</v>
      </c>
      <c r="H6253" s="417" t="s">
        <v>2616</v>
      </c>
      <c r="I6253" s="417" t="s">
        <v>1392</v>
      </c>
      <c r="J6253" s="417" t="s">
        <v>14268</v>
      </c>
      <c r="K6253" s="417" t="s">
        <v>14977</v>
      </c>
      <c r="L6253" s="417"/>
      <c r="M6253" s="417" t="s">
        <v>28840</v>
      </c>
    </row>
    <row r="6254" spans="1:13" x14ac:dyDescent="0.25">
      <c r="A6254" s="417" t="s">
        <v>3385</v>
      </c>
      <c r="B6254" s="417" t="s">
        <v>2627</v>
      </c>
      <c r="C6254" s="417" t="s">
        <v>14978</v>
      </c>
      <c r="D6254" s="417" t="s">
        <v>73</v>
      </c>
      <c r="E6254" s="423">
        <v>1.2483535357782519E-2</v>
      </c>
      <c r="F6254" s="423">
        <v>2.264088151772774E-4</v>
      </c>
      <c r="G6254" s="422">
        <v>27.964826429294011</v>
      </c>
      <c r="H6254" s="417" t="s">
        <v>2616</v>
      </c>
      <c r="I6254" s="417" t="s">
        <v>1392</v>
      </c>
      <c r="J6254" s="417" t="s">
        <v>14268</v>
      </c>
      <c r="K6254" s="417" t="s">
        <v>14979</v>
      </c>
      <c r="L6254" s="417"/>
      <c r="M6254" s="417" t="s">
        <v>28840</v>
      </c>
    </row>
    <row r="6255" spans="1:13" x14ac:dyDescent="0.25">
      <c r="A6255" s="417" t="s">
        <v>3385</v>
      </c>
      <c r="B6255" s="417" t="s">
        <v>2627</v>
      </c>
      <c r="C6255" s="417" t="s">
        <v>14980</v>
      </c>
      <c r="D6255" s="417" t="s">
        <v>73</v>
      </c>
      <c r="E6255" s="423">
        <v>5.8370154037504498E-3</v>
      </c>
      <c r="F6255" s="423">
        <v>4.9438539668251659E-5</v>
      </c>
      <c r="G6255" s="422">
        <v>18.39659525714859</v>
      </c>
      <c r="H6255" s="417" t="s">
        <v>2616</v>
      </c>
      <c r="I6255" s="417" t="s">
        <v>1392</v>
      </c>
      <c r="J6255" s="417" t="s">
        <v>14268</v>
      </c>
      <c r="K6255" s="417" t="s">
        <v>14981</v>
      </c>
      <c r="L6255" s="417"/>
      <c r="M6255" s="417" t="s">
        <v>28840</v>
      </c>
    </row>
    <row r="6256" spans="1:13" x14ac:dyDescent="0.25">
      <c r="A6256" s="417" t="s">
        <v>3385</v>
      </c>
      <c r="B6256" s="417" t="s">
        <v>2627</v>
      </c>
      <c r="C6256" s="417" t="s">
        <v>14982</v>
      </c>
      <c r="D6256" s="417" t="s">
        <v>73</v>
      </c>
      <c r="E6256" s="423">
        <v>1.6453396334338979E-2</v>
      </c>
      <c r="F6256" s="423">
        <v>2.4967557364184619E-4</v>
      </c>
      <c r="G6256" s="422">
        <v>33.041259369391128</v>
      </c>
      <c r="H6256" s="417" t="s">
        <v>2616</v>
      </c>
      <c r="I6256" s="417" t="s">
        <v>1392</v>
      </c>
      <c r="J6256" s="417" t="s">
        <v>14268</v>
      </c>
      <c r="K6256" s="417" t="s">
        <v>14983</v>
      </c>
      <c r="L6256" s="417"/>
      <c r="M6256" s="417" t="s">
        <v>28840</v>
      </c>
    </row>
    <row r="6257" spans="1:13" x14ac:dyDescent="0.25">
      <c r="A6257" s="417" t="s">
        <v>3385</v>
      </c>
      <c r="B6257" s="417" t="s">
        <v>2627</v>
      </c>
      <c r="C6257" s="417" t="s">
        <v>14984</v>
      </c>
      <c r="D6257" s="417" t="s">
        <v>73</v>
      </c>
      <c r="E6257" s="423">
        <v>1.3399314365777199E-2</v>
      </c>
      <c r="F6257" s="423">
        <v>5.9557172038804683E-5</v>
      </c>
      <c r="G6257" s="422">
        <v>27.556943258087681</v>
      </c>
      <c r="H6257" s="417" t="s">
        <v>2616</v>
      </c>
      <c r="I6257" s="417" t="s">
        <v>1392</v>
      </c>
      <c r="J6257" s="417" t="s">
        <v>14268</v>
      </c>
      <c r="K6257" s="417" t="s">
        <v>14985</v>
      </c>
      <c r="L6257" s="417"/>
      <c r="M6257" s="417" t="s">
        <v>28840</v>
      </c>
    </row>
    <row r="6258" spans="1:13" x14ac:dyDescent="0.25">
      <c r="A6258" s="417" t="s">
        <v>3385</v>
      </c>
      <c r="B6258" s="417" t="s">
        <v>2627</v>
      </c>
      <c r="C6258" s="417" t="s">
        <v>14986</v>
      </c>
      <c r="D6258" s="417" t="s">
        <v>73</v>
      </c>
      <c r="E6258" s="423">
        <v>2.2691672773447111E-2</v>
      </c>
      <c r="F6258" s="423">
        <v>4.0607406768995599E-4</v>
      </c>
      <c r="G6258" s="422">
        <v>42.344626020817763</v>
      </c>
      <c r="H6258" s="417" t="s">
        <v>2616</v>
      </c>
      <c r="I6258" s="417" t="s">
        <v>1392</v>
      </c>
      <c r="J6258" s="417" t="s">
        <v>14268</v>
      </c>
      <c r="K6258" s="417" t="s">
        <v>14987</v>
      </c>
      <c r="L6258" s="417"/>
      <c r="M6258" s="417" t="s">
        <v>28840</v>
      </c>
    </row>
    <row r="6259" spans="1:13" x14ac:dyDescent="0.25">
      <c r="A6259" s="417" t="s">
        <v>3385</v>
      </c>
      <c r="B6259" s="417" t="s">
        <v>2627</v>
      </c>
      <c r="C6259" s="417" t="s">
        <v>14988</v>
      </c>
      <c r="D6259" s="417" t="s">
        <v>73</v>
      </c>
      <c r="E6259" s="423">
        <v>1.4780283718877969E-2</v>
      </c>
      <c r="F6259" s="423">
        <v>1.2173770613672979E-4</v>
      </c>
      <c r="G6259" s="422">
        <v>31.094282537972379</v>
      </c>
      <c r="H6259" s="417" t="s">
        <v>2616</v>
      </c>
      <c r="I6259" s="417" t="s">
        <v>1392</v>
      </c>
      <c r="J6259" s="417" t="s">
        <v>14268</v>
      </c>
      <c r="K6259" s="417" t="s">
        <v>14989</v>
      </c>
      <c r="L6259" s="417"/>
      <c r="M6259" s="417" t="s">
        <v>28840</v>
      </c>
    </row>
    <row r="6260" spans="1:13" x14ac:dyDescent="0.25">
      <c r="A6260" s="417" t="s">
        <v>3385</v>
      </c>
      <c r="B6260" s="417" t="s">
        <v>2627</v>
      </c>
      <c r="C6260" s="417" t="s">
        <v>14990</v>
      </c>
      <c r="D6260" s="417" t="s">
        <v>73</v>
      </c>
      <c r="E6260" s="423">
        <v>1.4813131354295749E-2</v>
      </c>
      <c r="F6260" s="423">
        <v>8.8574296427187154E-5</v>
      </c>
      <c r="G6260" s="422">
        <v>29.833601454786429</v>
      </c>
      <c r="H6260" s="417" t="s">
        <v>2616</v>
      </c>
      <c r="I6260" s="417" t="s">
        <v>1392</v>
      </c>
      <c r="J6260" s="417" t="s">
        <v>14268</v>
      </c>
      <c r="K6260" s="417" t="s">
        <v>14991</v>
      </c>
      <c r="L6260" s="417"/>
      <c r="M6260" s="417" t="s">
        <v>28840</v>
      </c>
    </row>
    <row r="6261" spans="1:13" x14ac:dyDescent="0.25">
      <c r="A6261" s="417" t="s">
        <v>3385</v>
      </c>
      <c r="B6261" s="417" t="s">
        <v>2627</v>
      </c>
      <c r="C6261" s="417" t="s">
        <v>14992</v>
      </c>
      <c r="D6261" s="417" t="s">
        <v>73</v>
      </c>
      <c r="E6261" s="423">
        <v>1.141168267404595E-2</v>
      </c>
      <c r="F6261" s="423">
        <v>8.3206013717793532E-5</v>
      </c>
      <c r="G6261" s="422">
        <v>25.776220715120061</v>
      </c>
      <c r="H6261" s="417" t="s">
        <v>2616</v>
      </c>
      <c r="I6261" s="417" t="s">
        <v>1392</v>
      </c>
      <c r="J6261" s="417" t="s">
        <v>14268</v>
      </c>
      <c r="K6261" s="417" t="s">
        <v>14993</v>
      </c>
      <c r="L6261" s="417"/>
      <c r="M6261" s="417" t="s">
        <v>28840</v>
      </c>
    </row>
    <row r="6262" spans="1:13" x14ac:dyDescent="0.25">
      <c r="A6262" s="417" t="s">
        <v>3385</v>
      </c>
      <c r="B6262" s="417" t="s">
        <v>2627</v>
      </c>
      <c r="C6262" s="417" t="s">
        <v>14994</v>
      </c>
      <c r="D6262" s="417" t="s">
        <v>73</v>
      </c>
      <c r="E6262" s="423">
        <v>5.0065276192223689E-3</v>
      </c>
      <c r="F6262" s="423">
        <v>3.8977049191983931E-5</v>
      </c>
      <c r="G6262" s="422">
        <v>17.72232788936773</v>
      </c>
      <c r="H6262" s="417" t="s">
        <v>2616</v>
      </c>
      <c r="I6262" s="417" t="s">
        <v>1392</v>
      </c>
      <c r="J6262" s="417" t="s">
        <v>14268</v>
      </c>
      <c r="K6262" s="417" t="s">
        <v>14995</v>
      </c>
      <c r="L6262" s="417"/>
      <c r="M6262" s="417" t="s">
        <v>28840</v>
      </c>
    </row>
    <row r="6263" spans="1:13" x14ac:dyDescent="0.25">
      <c r="A6263" s="417" t="s">
        <v>3385</v>
      </c>
      <c r="B6263" s="417" t="s">
        <v>2627</v>
      </c>
      <c r="C6263" s="417" t="s">
        <v>14996</v>
      </c>
      <c r="D6263" s="417" t="s">
        <v>73</v>
      </c>
      <c r="E6263" s="423">
        <v>8.8379385957621775E-3</v>
      </c>
      <c r="F6263" s="423">
        <v>1.132539105817261E-4</v>
      </c>
      <c r="G6263" s="422">
        <v>22.268664190535532</v>
      </c>
      <c r="H6263" s="417" t="s">
        <v>2616</v>
      </c>
      <c r="I6263" s="417" t="s">
        <v>1392</v>
      </c>
      <c r="J6263" s="417" t="s">
        <v>14268</v>
      </c>
      <c r="K6263" s="417" t="s">
        <v>14997</v>
      </c>
      <c r="L6263" s="417"/>
      <c r="M6263" s="417" t="s">
        <v>28840</v>
      </c>
    </row>
    <row r="6264" spans="1:13" x14ac:dyDescent="0.25">
      <c r="A6264" s="417" t="s">
        <v>3385</v>
      </c>
      <c r="B6264" s="417" t="s">
        <v>2627</v>
      </c>
      <c r="C6264" s="417" t="s">
        <v>14998</v>
      </c>
      <c r="D6264" s="417" t="s">
        <v>73</v>
      </c>
      <c r="E6264" s="423">
        <v>2.173903519907501E-2</v>
      </c>
      <c r="F6264" s="423">
        <v>9.9480216043136861E-5</v>
      </c>
      <c r="G6264" s="422">
        <v>38.08901940114508</v>
      </c>
      <c r="H6264" s="417" t="s">
        <v>2616</v>
      </c>
      <c r="I6264" s="417" t="s">
        <v>1392</v>
      </c>
      <c r="J6264" s="417" t="s">
        <v>14268</v>
      </c>
      <c r="K6264" s="417" t="s">
        <v>14999</v>
      </c>
      <c r="L6264" s="417"/>
      <c r="M6264" s="417" t="s">
        <v>28840</v>
      </c>
    </row>
    <row r="6265" spans="1:13" x14ac:dyDescent="0.25">
      <c r="A6265" s="417" t="s">
        <v>3385</v>
      </c>
      <c r="B6265" s="417" t="s">
        <v>2627</v>
      </c>
      <c r="C6265" s="417" t="s">
        <v>15000</v>
      </c>
      <c r="D6265" s="417" t="s">
        <v>73</v>
      </c>
      <c r="E6265" s="423">
        <v>1.4099780047492599E-2</v>
      </c>
      <c r="F6265" s="423">
        <v>2.5478824229703469E-4</v>
      </c>
      <c r="G6265" s="422">
        <v>32.598600572454657</v>
      </c>
      <c r="H6265" s="417" t="s">
        <v>2616</v>
      </c>
      <c r="I6265" s="417" t="s">
        <v>1392</v>
      </c>
      <c r="J6265" s="417" t="s">
        <v>14268</v>
      </c>
      <c r="K6265" s="417" t="s">
        <v>15001</v>
      </c>
      <c r="L6265" s="417"/>
      <c r="M6265" s="417" t="s">
        <v>28840</v>
      </c>
    </row>
    <row r="6266" spans="1:13" x14ac:dyDescent="0.25">
      <c r="A6266" s="417" t="s">
        <v>3385</v>
      </c>
      <c r="B6266" s="417" t="s">
        <v>2627</v>
      </c>
      <c r="C6266" s="417" t="s">
        <v>15002</v>
      </c>
      <c r="D6266" s="417" t="s">
        <v>73</v>
      </c>
      <c r="E6266" s="423">
        <v>3.9837467531512398E-2</v>
      </c>
      <c r="F6266" s="423">
        <v>8.1487516802840175E-5</v>
      </c>
      <c r="G6266" s="422">
        <v>59.955319196376152</v>
      </c>
      <c r="H6266" s="417" t="s">
        <v>2616</v>
      </c>
      <c r="I6266" s="417" t="s">
        <v>1392</v>
      </c>
      <c r="J6266" s="417" t="s">
        <v>14268</v>
      </c>
      <c r="K6266" s="417" t="s">
        <v>15003</v>
      </c>
      <c r="L6266" s="417"/>
      <c r="M6266" s="417" t="s">
        <v>28840</v>
      </c>
    </row>
    <row r="6267" spans="1:13" x14ac:dyDescent="0.25">
      <c r="A6267" s="417" t="s">
        <v>3385</v>
      </c>
      <c r="B6267" s="417" t="s">
        <v>2627</v>
      </c>
      <c r="C6267" s="417" t="s">
        <v>15004</v>
      </c>
      <c r="D6267" s="417" t="s">
        <v>73</v>
      </c>
      <c r="E6267" s="423">
        <v>1.5874726150830042E-2</v>
      </c>
      <c r="F6267" s="423">
        <v>1.5746753067394259E-4</v>
      </c>
      <c r="G6267" s="422">
        <v>31.726164210714661</v>
      </c>
      <c r="H6267" s="417" t="s">
        <v>2616</v>
      </c>
      <c r="I6267" s="417" t="s">
        <v>1392</v>
      </c>
      <c r="J6267" s="417" t="s">
        <v>14268</v>
      </c>
      <c r="K6267" s="417" t="s">
        <v>15005</v>
      </c>
      <c r="L6267" s="417"/>
      <c r="M6267" s="417" t="s">
        <v>28840</v>
      </c>
    </row>
    <row r="6268" spans="1:13" x14ac:dyDescent="0.25">
      <c r="A6268" s="417" t="s">
        <v>3385</v>
      </c>
      <c r="B6268" s="417" t="s">
        <v>2627</v>
      </c>
      <c r="C6268" s="417" t="s">
        <v>15006</v>
      </c>
      <c r="D6268" s="417" t="s">
        <v>73</v>
      </c>
      <c r="E6268" s="423">
        <v>7.2327849399523138E-3</v>
      </c>
      <c r="F6268" s="423">
        <v>5.094091168100262E-5</v>
      </c>
      <c r="G6268" s="422">
        <v>19.371469752865469</v>
      </c>
      <c r="H6268" s="417" t="s">
        <v>2616</v>
      </c>
      <c r="I6268" s="417" t="s">
        <v>1392</v>
      </c>
      <c r="J6268" s="417" t="s">
        <v>14268</v>
      </c>
      <c r="K6268" s="417" t="s">
        <v>15007</v>
      </c>
      <c r="L6268" s="417"/>
      <c r="M6268" s="417" t="s">
        <v>28840</v>
      </c>
    </row>
    <row r="6269" spans="1:13" x14ac:dyDescent="0.25">
      <c r="A6269" s="417" t="s">
        <v>3385</v>
      </c>
      <c r="B6269" s="417" t="s">
        <v>2627</v>
      </c>
      <c r="C6269" s="417" t="s">
        <v>15008</v>
      </c>
      <c r="D6269" s="417" t="s">
        <v>73</v>
      </c>
      <c r="E6269" s="423">
        <v>2.2904974635925088E-2</v>
      </c>
      <c r="F6269" s="423">
        <v>5.1336802928344692E-4</v>
      </c>
      <c r="G6269" s="422">
        <v>45.875288909469504</v>
      </c>
      <c r="H6269" s="417" t="s">
        <v>2616</v>
      </c>
      <c r="I6269" s="417" t="s">
        <v>1392</v>
      </c>
      <c r="J6269" s="417" t="s">
        <v>14268</v>
      </c>
      <c r="K6269" s="417" t="s">
        <v>15009</v>
      </c>
      <c r="L6269" s="417"/>
      <c r="M6269" s="417" t="s">
        <v>28840</v>
      </c>
    </row>
    <row r="6270" spans="1:13" x14ac:dyDescent="0.25">
      <c r="A6270" s="417" t="s">
        <v>3385</v>
      </c>
      <c r="B6270" s="417" t="s">
        <v>2627</v>
      </c>
      <c r="C6270" s="417" t="s">
        <v>15010</v>
      </c>
      <c r="D6270" s="417" t="s">
        <v>73</v>
      </c>
      <c r="E6270" s="423">
        <v>9.9428218503253962E-3</v>
      </c>
      <c r="F6270" s="423">
        <v>1.197437973903974E-4</v>
      </c>
      <c r="G6270" s="422">
        <v>24.37608433009828</v>
      </c>
      <c r="H6270" s="417" t="s">
        <v>2616</v>
      </c>
      <c r="I6270" s="417" t="s">
        <v>1392</v>
      </c>
      <c r="J6270" s="417" t="s">
        <v>14268</v>
      </c>
      <c r="K6270" s="417" t="s">
        <v>15011</v>
      </c>
      <c r="L6270" s="417"/>
      <c r="M6270" s="417" t="s">
        <v>28840</v>
      </c>
    </row>
    <row r="6271" spans="1:13" x14ac:dyDescent="0.25">
      <c r="A6271" s="417" t="s">
        <v>3385</v>
      </c>
      <c r="B6271" s="417" t="s">
        <v>2627</v>
      </c>
      <c r="C6271" s="417" t="s">
        <v>15012</v>
      </c>
      <c r="D6271" s="417" t="s">
        <v>73</v>
      </c>
      <c r="E6271" s="423">
        <v>1.605777410099149E-2</v>
      </c>
      <c r="F6271" s="423">
        <v>9.1909457184115534E-5</v>
      </c>
      <c r="G6271" s="422">
        <v>31.426465206937259</v>
      </c>
      <c r="H6271" s="417" t="s">
        <v>2616</v>
      </c>
      <c r="I6271" s="417" t="s">
        <v>1392</v>
      </c>
      <c r="J6271" s="417" t="s">
        <v>14268</v>
      </c>
      <c r="K6271" s="417" t="s">
        <v>15013</v>
      </c>
      <c r="L6271" s="417"/>
      <c r="M6271" s="417" t="s">
        <v>28840</v>
      </c>
    </row>
    <row r="6272" spans="1:13" x14ac:dyDescent="0.25">
      <c r="A6272" s="417" t="s">
        <v>3385</v>
      </c>
      <c r="B6272" s="417" t="s">
        <v>2627</v>
      </c>
      <c r="C6272" s="417" t="s">
        <v>15014</v>
      </c>
      <c r="D6272" s="417" t="s">
        <v>73</v>
      </c>
      <c r="E6272" s="423">
        <v>1.648757077936986E-2</v>
      </c>
      <c r="F6272" s="423">
        <v>5.0940911679436619E-5</v>
      </c>
      <c r="G6272" s="422">
        <v>30.673639908490969</v>
      </c>
      <c r="H6272" s="417" t="s">
        <v>2616</v>
      </c>
      <c r="I6272" s="417" t="s">
        <v>1392</v>
      </c>
      <c r="J6272" s="417" t="s">
        <v>14268</v>
      </c>
      <c r="K6272" s="417" t="s">
        <v>15015</v>
      </c>
      <c r="L6272" s="417"/>
      <c r="M6272" s="417" t="s">
        <v>28840</v>
      </c>
    </row>
    <row r="6273" spans="1:13" x14ac:dyDescent="0.25">
      <c r="A6273" s="417" t="s">
        <v>3385</v>
      </c>
      <c r="B6273" s="417" t="s">
        <v>2627</v>
      </c>
      <c r="C6273" s="417" t="s">
        <v>15016</v>
      </c>
      <c r="D6273" s="417" t="s">
        <v>83</v>
      </c>
      <c r="E6273" s="423">
        <v>0.7875999325037587</v>
      </c>
      <c r="F6273" s="423">
        <v>7.0815187492781293E-3</v>
      </c>
      <c r="G6273" s="422">
        <v>1417.965140097351</v>
      </c>
      <c r="H6273" s="417" t="s">
        <v>2616</v>
      </c>
      <c r="I6273" s="417" t="s">
        <v>1392</v>
      </c>
      <c r="J6273" s="417" t="s">
        <v>14281</v>
      </c>
      <c r="K6273" s="417" t="s">
        <v>15017</v>
      </c>
      <c r="L6273" s="417"/>
      <c r="M6273" s="417" t="s">
        <v>28840</v>
      </c>
    </row>
    <row r="6274" spans="1:13" x14ac:dyDescent="0.25">
      <c r="A6274" s="417" t="s">
        <v>3385</v>
      </c>
      <c r="B6274" s="417" t="s">
        <v>2627</v>
      </c>
      <c r="C6274" s="417" t="s">
        <v>15018</v>
      </c>
      <c r="D6274" s="417" t="s">
        <v>83</v>
      </c>
      <c r="E6274" s="423">
        <v>0.93855787290675907</v>
      </c>
      <c r="F6274" s="423">
        <v>1.3575689953400021E-2</v>
      </c>
      <c r="G6274" s="422">
        <v>1650.0137990491339</v>
      </c>
      <c r="H6274" s="417" t="s">
        <v>2616</v>
      </c>
      <c r="I6274" s="417" t="s">
        <v>1392</v>
      </c>
      <c r="J6274" s="417" t="s">
        <v>14271</v>
      </c>
      <c r="K6274" s="417" t="s">
        <v>15019</v>
      </c>
      <c r="L6274" s="417"/>
      <c r="M6274" s="417" t="s">
        <v>28840</v>
      </c>
    </row>
    <row r="6275" spans="1:13" x14ac:dyDescent="0.25">
      <c r="A6275" s="417" t="s">
        <v>3385</v>
      </c>
      <c r="B6275" s="417" t="s">
        <v>2627</v>
      </c>
      <c r="C6275" s="417" t="s">
        <v>15020</v>
      </c>
      <c r="D6275" s="417" t="s">
        <v>83</v>
      </c>
      <c r="E6275" s="423">
        <v>0.86117716834215452</v>
      </c>
      <c r="F6275" s="423">
        <v>1.336069090109222E-2</v>
      </c>
      <c r="G6275" s="422">
        <v>1556.502615611093</v>
      </c>
      <c r="H6275" s="417" t="s">
        <v>2616</v>
      </c>
      <c r="I6275" s="417" t="s">
        <v>1392</v>
      </c>
      <c r="J6275" s="417" t="s">
        <v>14281</v>
      </c>
      <c r="K6275" s="417" t="s">
        <v>15021</v>
      </c>
      <c r="L6275" s="417"/>
      <c r="M6275" s="417" t="s">
        <v>28840</v>
      </c>
    </row>
    <row r="6276" spans="1:13" x14ac:dyDescent="0.25">
      <c r="A6276" s="417" t="s">
        <v>3385</v>
      </c>
      <c r="B6276" s="417" t="s">
        <v>2627</v>
      </c>
      <c r="C6276" s="417" t="s">
        <v>15022</v>
      </c>
      <c r="D6276" s="417" t="s">
        <v>83</v>
      </c>
      <c r="E6276" s="423">
        <v>0.37975635723972412</v>
      </c>
      <c r="F6276" s="423">
        <v>5.3899761438980414E-3</v>
      </c>
      <c r="G6276" s="422">
        <v>884.61206210933415</v>
      </c>
      <c r="H6276" s="417" t="s">
        <v>2616</v>
      </c>
      <c r="I6276" s="417" t="s">
        <v>1392</v>
      </c>
      <c r="J6276" s="417" t="s">
        <v>14281</v>
      </c>
      <c r="K6276" s="417" t="s">
        <v>15023</v>
      </c>
      <c r="L6276" s="417"/>
      <c r="M6276" s="417" t="s">
        <v>28840</v>
      </c>
    </row>
    <row r="6277" spans="1:13" x14ac:dyDescent="0.25">
      <c r="A6277" s="417" t="s">
        <v>3385</v>
      </c>
      <c r="B6277" s="417" t="s">
        <v>2627</v>
      </c>
      <c r="C6277" s="417" t="s">
        <v>15024</v>
      </c>
      <c r="D6277" s="417" t="s">
        <v>83</v>
      </c>
      <c r="E6277" s="423">
        <v>0.73141936510786343</v>
      </c>
      <c r="F6277" s="423">
        <v>1.9131606952245059E-2</v>
      </c>
      <c r="G6277" s="422">
        <v>1461.013580153576</v>
      </c>
      <c r="H6277" s="417" t="s">
        <v>2616</v>
      </c>
      <c r="I6277" s="417" t="s">
        <v>1392</v>
      </c>
      <c r="J6277" s="417" t="s">
        <v>14281</v>
      </c>
      <c r="K6277" s="417" t="s">
        <v>15025</v>
      </c>
      <c r="L6277" s="417"/>
      <c r="M6277" s="417" t="s">
        <v>28840</v>
      </c>
    </row>
    <row r="6278" spans="1:13" x14ac:dyDescent="0.25">
      <c r="A6278" s="417" t="s">
        <v>3385</v>
      </c>
      <c r="B6278" s="417" t="s">
        <v>2627</v>
      </c>
      <c r="C6278" s="417" t="s">
        <v>15026</v>
      </c>
      <c r="D6278" s="417" t="s">
        <v>83</v>
      </c>
      <c r="E6278" s="423">
        <v>0.74868822367893284</v>
      </c>
      <c r="F6278" s="423">
        <v>1.054254095461169E-2</v>
      </c>
      <c r="G6278" s="422">
        <v>1415.926854307844</v>
      </c>
      <c r="H6278" s="417" t="s">
        <v>2616</v>
      </c>
      <c r="I6278" s="417" t="s">
        <v>1392</v>
      </c>
      <c r="J6278" s="417" t="s">
        <v>14281</v>
      </c>
      <c r="K6278" s="417" t="s">
        <v>15027</v>
      </c>
      <c r="L6278" s="417"/>
      <c r="M6278" s="417" t="s">
        <v>28840</v>
      </c>
    </row>
    <row r="6279" spans="1:13" x14ac:dyDescent="0.25">
      <c r="A6279" s="417" t="s">
        <v>3385</v>
      </c>
      <c r="B6279" s="417" t="s">
        <v>2627</v>
      </c>
      <c r="C6279" s="417" t="s">
        <v>15028</v>
      </c>
      <c r="D6279" s="417" t="s">
        <v>83</v>
      </c>
      <c r="E6279" s="423">
        <v>0.837608848465898</v>
      </c>
      <c r="F6279" s="423">
        <v>1.9080125686665499E-2</v>
      </c>
      <c r="G6279" s="422">
        <v>1603.852911349911</v>
      </c>
      <c r="H6279" s="417" t="s">
        <v>2616</v>
      </c>
      <c r="I6279" s="417" t="s">
        <v>1392</v>
      </c>
      <c r="J6279" s="417" t="s">
        <v>14281</v>
      </c>
      <c r="K6279" s="417" t="s">
        <v>15029</v>
      </c>
      <c r="L6279" s="417"/>
      <c r="M6279" s="417" t="s">
        <v>28840</v>
      </c>
    </row>
    <row r="6280" spans="1:13" x14ac:dyDescent="0.25">
      <c r="A6280" s="417" t="s">
        <v>3385</v>
      </c>
      <c r="B6280" s="417" t="s">
        <v>2627</v>
      </c>
      <c r="C6280" s="417" t="s">
        <v>15030</v>
      </c>
      <c r="D6280" s="417" t="s">
        <v>83</v>
      </c>
      <c r="E6280" s="423">
        <v>0.4301190814789741</v>
      </c>
      <c r="F6280" s="423">
        <v>2.1476976758648229E-3</v>
      </c>
      <c r="G6280" s="422">
        <v>949.50488485340895</v>
      </c>
      <c r="H6280" s="417" t="s">
        <v>2616</v>
      </c>
      <c r="I6280" s="417" t="s">
        <v>1392</v>
      </c>
      <c r="J6280" s="417" t="s">
        <v>14281</v>
      </c>
      <c r="K6280" s="417" t="s">
        <v>15031</v>
      </c>
      <c r="L6280" s="417"/>
      <c r="M6280" s="417" t="s">
        <v>28840</v>
      </c>
    </row>
    <row r="6281" spans="1:13" x14ac:dyDescent="0.25">
      <c r="A6281" s="417" t="s">
        <v>3385</v>
      </c>
      <c r="B6281" s="417" t="s">
        <v>2627</v>
      </c>
      <c r="C6281" s="417" t="s">
        <v>15032</v>
      </c>
      <c r="D6281" s="417" t="s">
        <v>83</v>
      </c>
      <c r="E6281" s="423">
        <v>0.52352278653269668</v>
      </c>
      <c r="F6281" s="423">
        <v>1.7317100665956149E-3</v>
      </c>
      <c r="G6281" s="422">
        <v>1041.6419259979141</v>
      </c>
      <c r="H6281" s="417" t="s">
        <v>2616</v>
      </c>
      <c r="I6281" s="417" t="s">
        <v>1392</v>
      </c>
      <c r="J6281" s="417" t="s">
        <v>14281</v>
      </c>
      <c r="K6281" s="417" t="s">
        <v>15033</v>
      </c>
      <c r="L6281" s="417"/>
      <c r="M6281" s="417" t="s">
        <v>28840</v>
      </c>
    </row>
    <row r="6282" spans="1:13" x14ac:dyDescent="0.25">
      <c r="A6282" s="417" t="s">
        <v>3385</v>
      </c>
      <c r="B6282" s="417" t="s">
        <v>2627</v>
      </c>
      <c r="C6282" s="417" t="s">
        <v>15034</v>
      </c>
      <c r="D6282" s="417" t="s">
        <v>83</v>
      </c>
      <c r="E6282" s="423">
        <v>0.45281321017146442</v>
      </c>
      <c r="F6282" s="423">
        <v>2.5005467160431811E-3</v>
      </c>
      <c r="G6282" s="422">
        <v>1112.8468557457991</v>
      </c>
      <c r="H6282" s="417" t="s">
        <v>2616</v>
      </c>
      <c r="I6282" s="417" t="s">
        <v>1392</v>
      </c>
      <c r="J6282" s="417" t="s">
        <v>14281</v>
      </c>
      <c r="K6282" s="417" t="s">
        <v>15035</v>
      </c>
      <c r="L6282" s="417"/>
      <c r="M6282" s="417" t="s">
        <v>28840</v>
      </c>
    </row>
    <row r="6283" spans="1:13" x14ac:dyDescent="0.25">
      <c r="A6283" s="417" t="s">
        <v>3385</v>
      </c>
      <c r="B6283" s="417" t="s">
        <v>2627</v>
      </c>
      <c r="C6283" s="417" t="s">
        <v>15036</v>
      </c>
      <c r="D6283" s="417" t="s">
        <v>83</v>
      </c>
      <c r="E6283" s="423">
        <v>0.6931530992734386</v>
      </c>
      <c r="F6283" s="423">
        <v>2.2648482754632272E-3</v>
      </c>
      <c r="G6283" s="422">
        <v>1259.377649270559</v>
      </c>
      <c r="H6283" s="417" t="s">
        <v>2616</v>
      </c>
      <c r="I6283" s="417" t="s">
        <v>1392</v>
      </c>
      <c r="J6283" s="417" t="s">
        <v>14281</v>
      </c>
      <c r="K6283" s="417" t="s">
        <v>15037</v>
      </c>
      <c r="L6283" s="417"/>
      <c r="M6283" s="417" t="s">
        <v>28840</v>
      </c>
    </row>
    <row r="6284" spans="1:13" x14ac:dyDescent="0.25">
      <c r="A6284" s="417" t="s">
        <v>3385</v>
      </c>
      <c r="B6284" s="417" t="s">
        <v>2627</v>
      </c>
      <c r="C6284" s="417" t="s">
        <v>15038</v>
      </c>
      <c r="D6284" s="417" t="s">
        <v>83</v>
      </c>
      <c r="E6284" s="423">
        <v>0.54243326673744274</v>
      </c>
      <c r="F6284" s="423">
        <v>2.2147695424561131E-3</v>
      </c>
      <c r="G6284" s="422">
        <v>1074.1665351403869</v>
      </c>
      <c r="H6284" s="417" t="s">
        <v>2616</v>
      </c>
      <c r="I6284" s="417" t="s">
        <v>1392</v>
      </c>
      <c r="J6284" s="417" t="s">
        <v>14281</v>
      </c>
      <c r="K6284" s="417" t="s">
        <v>15039</v>
      </c>
      <c r="L6284" s="417"/>
      <c r="M6284" s="417" t="s">
        <v>28840</v>
      </c>
    </row>
    <row r="6285" spans="1:13" x14ac:dyDescent="0.25">
      <c r="A6285" s="417" t="s">
        <v>3385</v>
      </c>
      <c r="B6285" s="417" t="s">
        <v>2627</v>
      </c>
      <c r="C6285" s="417" t="s">
        <v>15040</v>
      </c>
      <c r="D6285" s="417" t="s">
        <v>83</v>
      </c>
      <c r="E6285" s="423">
        <v>0.58089227557409151</v>
      </c>
      <c r="F6285" s="423">
        <v>2.45567351411773E-3</v>
      </c>
      <c r="G6285" s="422">
        <v>1124.0224016857089</v>
      </c>
      <c r="H6285" s="417" t="s">
        <v>2616</v>
      </c>
      <c r="I6285" s="417" t="s">
        <v>1392</v>
      </c>
      <c r="J6285" s="417" t="s">
        <v>14281</v>
      </c>
      <c r="K6285" s="417" t="s">
        <v>15041</v>
      </c>
      <c r="L6285" s="417"/>
      <c r="M6285" s="417" t="s">
        <v>28840</v>
      </c>
    </row>
    <row r="6286" spans="1:13" x14ac:dyDescent="0.25">
      <c r="A6286" s="417" t="s">
        <v>3385</v>
      </c>
      <c r="B6286" s="417" t="s">
        <v>2627</v>
      </c>
      <c r="C6286" s="417" t="s">
        <v>15042</v>
      </c>
      <c r="D6286" s="417" t="s">
        <v>83</v>
      </c>
      <c r="E6286" s="423">
        <v>0.64877052210310848</v>
      </c>
      <c r="F6286" s="423">
        <v>5.4872633844448137E-3</v>
      </c>
      <c r="G6286" s="422">
        <v>1568.5648680590709</v>
      </c>
      <c r="H6286" s="417" t="s">
        <v>2616</v>
      </c>
      <c r="I6286" s="417" t="s">
        <v>1392</v>
      </c>
      <c r="J6286" s="417" t="s">
        <v>14281</v>
      </c>
      <c r="K6286" s="417" t="s">
        <v>15043</v>
      </c>
      <c r="L6286" s="417"/>
      <c r="M6286" s="417" t="s">
        <v>28840</v>
      </c>
    </row>
    <row r="6287" spans="1:13" x14ac:dyDescent="0.25">
      <c r="A6287" s="417" t="s">
        <v>3385</v>
      </c>
      <c r="B6287" s="417" t="s">
        <v>2627</v>
      </c>
      <c r="C6287" s="417" t="s">
        <v>15044</v>
      </c>
      <c r="D6287" s="417" t="s">
        <v>83</v>
      </c>
      <c r="E6287" s="423">
        <v>0.54876571543164887</v>
      </c>
      <c r="F6287" s="423">
        <v>2.3975661575665551E-3</v>
      </c>
      <c r="G6287" s="422">
        <v>1105.7754261093521</v>
      </c>
      <c r="H6287" s="417" t="s">
        <v>2616</v>
      </c>
      <c r="I6287" s="417" t="s">
        <v>1392</v>
      </c>
      <c r="J6287" s="417" t="s">
        <v>14281</v>
      </c>
      <c r="K6287" s="417" t="s">
        <v>15045</v>
      </c>
      <c r="L6287" s="417"/>
      <c r="M6287" s="417" t="s">
        <v>28840</v>
      </c>
    </row>
    <row r="6288" spans="1:13" x14ac:dyDescent="0.25">
      <c r="A6288" s="417" t="s">
        <v>3385</v>
      </c>
      <c r="B6288" s="417" t="s">
        <v>2627</v>
      </c>
      <c r="C6288" s="417" t="s">
        <v>15046</v>
      </c>
      <c r="D6288" s="417" t="s">
        <v>83</v>
      </c>
      <c r="E6288" s="423">
        <v>0.64208333466740386</v>
      </c>
      <c r="F6288" s="423">
        <v>2.1252965853235379E-3</v>
      </c>
      <c r="G6288" s="422">
        <v>1188.250782612291</v>
      </c>
      <c r="H6288" s="417" t="s">
        <v>2616</v>
      </c>
      <c r="I6288" s="417" t="s">
        <v>1392</v>
      </c>
      <c r="J6288" s="417" t="s">
        <v>14281</v>
      </c>
      <c r="K6288" s="417" t="s">
        <v>15047</v>
      </c>
      <c r="L6288" s="417"/>
      <c r="M6288" s="417" t="s">
        <v>28840</v>
      </c>
    </row>
    <row r="6289" spans="1:13" x14ac:dyDescent="0.25">
      <c r="A6289" s="417" t="s">
        <v>3385</v>
      </c>
      <c r="B6289" s="417" t="s">
        <v>2627</v>
      </c>
      <c r="C6289" s="417" t="s">
        <v>15048</v>
      </c>
      <c r="D6289" s="417" t="s">
        <v>83</v>
      </c>
      <c r="E6289" s="423">
        <v>0.31131806341449397</v>
      </c>
      <c r="F6289" s="423">
        <v>1.7452188900529411E-3</v>
      </c>
      <c r="G6289" s="422">
        <v>768.47140053923329</v>
      </c>
      <c r="H6289" s="417" t="s">
        <v>2616</v>
      </c>
      <c r="I6289" s="417" t="s">
        <v>1392</v>
      </c>
      <c r="J6289" s="417" t="s">
        <v>14281</v>
      </c>
      <c r="K6289" s="417" t="s">
        <v>15049</v>
      </c>
      <c r="L6289" s="417"/>
      <c r="M6289" s="417" t="s">
        <v>28840</v>
      </c>
    </row>
    <row r="6290" spans="1:13" x14ac:dyDescent="0.25">
      <c r="A6290" s="417" t="s">
        <v>3385</v>
      </c>
      <c r="B6290" s="417" t="s">
        <v>2627</v>
      </c>
      <c r="C6290" s="417" t="s">
        <v>15050</v>
      </c>
      <c r="D6290" s="417" t="s">
        <v>83</v>
      </c>
      <c r="E6290" s="423">
        <v>0.47200500461425698</v>
      </c>
      <c r="F6290" s="423">
        <v>2.2911980715286089E-3</v>
      </c>
      <c r="G6290" s="422">
        <v>1018.8265458494</v>
      </c>
      <c r="H6290" s="417" t="s">
        <v>2616</v>
      </c>
      <c r="I6290" s="417" t="s">
        <v>1392</v>
      </c>
      <c r="J6290" s="417" t="s">
        <v>14281</v>
      </c>
      <c r="K6290" s="417" t="s">
        <v>15051</v>
      </c>
      <c r="L6290" s="417"/>
      <c r="M6290" s="417" t="s">
        <v>28840</v>
      </c>
    </row>
    <row r="6291" spans="1:13" x14ac:dyDescent="0.25">
      <c r="A6291" s="417" t="s">
        <v>3385</v>
      </c>
      <c r="B6291" s="417" t="s">
        <v>2627</v>
      </c>
      <c r="C6291" s="417" t="s">
        <v>15052</v>
      </c>
      <c r="D6291" s="417" t="s">
        <v>83</v>
      </c>
      <c r="E6291" s="423">
        <v>0.50646636916026977</v>
      </c>
      <c r="F6291" s="423">
        <v>2.1846515650871452E-3</v>
      </c>
      <c r="G6291" s="422">
        <v>1003.37834634798</v>
      </c>
      <c r="H6291" s="417" t="s">
        <v>2616</v>
      </c>
      <c r="I6291" s="417" t="s">
        <v>1392</v>
      </c>
      <c r="J6291" s="417" t="s">
        <v>14281</v>
      </c>
      <c r="K6291" s="417" t="s">
        <v>15053</v>
      </c>
      <c r="L6291" s="417"/>
      <c r="M6291" s="417" t="s">
        <v>28840</v>
      </c>
    </row>
    <row r="6292" spans="1:13" x14ac:dyDescent="0.25">
      <c r="A6292" s="417" t="s">
        <v>3385</v>
      </c>
      <c r="B6292" s="417" t="s">
        <v>2627</v>
      </c>
      <c r="C6292" s="417" t="s">
        <v>15054</v>
      </c>
      <c r="D6292" s="417" t="s">
        <v>83</v>
      </c>
      <c r="E6292" s="423">
        <v>0.40746063578607639</v>
      </c>
      <c r="F6292" s="423">
        <v>2.062056614652938E-3</v>
      </c>
      <c r="G6292" s="422">
        <v>912.00014971326652</v>
      </c>
      <c r="H6292" s="417" t="s">
        <v>2616</v>
      </c>
      <c r="I6292" s="417" t="s">
        <v>1392</v>
      </c>
      <c r="J6292" s="417" t="s">
        <v>14281</v>
      </c>
      <c r="K6292" s="417" t="s">
        <v>15055</v>
      </c>
      <c r="L6292" s="417"/>
      <c r="M6292" s="417" t="s">
        <v>28840</v>
      </c>
    </row>
    <row r="6293" spans="1:13" x14ac:dyDescent="0.25">
      <c r="A6293" s="417" t="s">
        <v>3385</v>
      </c>
      <c r="B6293" s="417" t="s">
        <v>2627</v>
      </c>
      <c r="C6293" s="417" t="s">
        <v>15056</v>
      </c>
      <c r="D6293" s="417" t="s">
        <v>83</v>
      </c>
      <c r="E6293" s="423">
        <v>0.60978091727933992</v>
      </c>
      <c r="F6293" s="423">
        <v>3.3728131576724741E-3</v>
      </c>
      <c r="G6293" s="422">
        <v>1181.689565442405</v>
      </c>
      <c r="H6293" s="417" t="s">
        <v>2616</v>
      </c>
      <c r="I6293" s="417" t="s">
        <v>1392</v>
      </c>
      <c r="J6293" s="417" t="s">
        <v>14281</v>
      </c>
      <c r="K6293" s="417" t="s">
        <v>15057</v>
      </c>
      <c r="L6293" s="417"/>
      <c r="M6293" s="417" t="s">
        <v>28840</v>
      </c>
    </row>
    <row r="6294" spans="1:13" x14ac:dyDescent="0.25">
      <c r="A6294" s="417" t="s">
        <v>3385</v>
      </c>
      <c r="B6294" s="417" t="s">
        <v>2627</v>
      </c>
      <c r="C6294" s="417" t="s">
        <v>15058</v>
      </c>
      <c r="D6294" s="417" t="s">
        <v>83</v>
      </c>
      <c r="E6294" s="423">
        <v>0.46178273070043629</v>
      </c>
      <c r="F6294" s="423">
        <v>2.1205275823689262E-3</v>
      </c>
      <c r="G6294" s="422">
        <v>949.94138824307629</v>
      </c>
      <c r="H6294" s="417" t="s">
        <v>2616</v>
      </c>
      <c r="I6294" s="417" t="s">
        <v>1392</v>
      </c>
      <c r="J6294" s="417" t="s">
        <v>14281</v>
      </c>
      <c r="K6294" s="417" t="s">
        <v>15059</v>
      </c>
      <c r="L6294" s="417"/>
      <c r="M6294" s="417" t="s">
        <v>28840</v>
      </c>
    </row>
    <row r="6295" spans="1:13" x14ac:dyDescent="0.25">
      <c r="A6295" s="417" t="s">
        <v>3385</v>
      </c>
      <c r="B6295" s="417" t="s">
        <v>2627</v>
      </c>
      <c r="C6295" s="417" t="s">
        <v>15060</v>
      </c>
      <c r="D6295" s="417" t="s">
        <v>83</v>
      </c>
      <c r="E6295" s="423">
        <v>0.56407457595069455</v>
      </c>
      <c r="F6295" s="423">
        <v>4.8405712644481163E-3</v>
      </c>
      <c r="G6295" s="422">
        <v>1141.4318660440799</v>
      </c>
      <c r="H6295" s="417" t="s">
        <v>2616</v>
      </c>
      <c r="I6295" s="417" t="s">
        <v>1392</v>
      </c>
      <c r="J6295" s="417" t="s">
        <v>14281</v>
      </c>
      <c r="K6295" s="417" t="s">
        <v>15061</v>
      </c>
      <c r="L6295" s="417"/>
      <c r="M6295" s="417" t="s">
        <v>28840</v>
      </c>
    </row>
    <row r="6296" spans="1:13" x14ac:dyDescent="0.25">
      <c r="A6296" s="417" t="s">
        <v>3385</v>
      </c>
      <c r="B6296" s="417" t="s">
        <v>2627</v>
      </c>
      <c r="C6296" s="417" t="s">
        <v>15062</v>
      </c>
      <c r="D6296" s="417" t="s">
        <v>83</v>
      </c>
      <c r="E6296" s="423">
        <v>0.70935295704089896</v>
      </c>
      <c r="F6296" s="423">
        <v>1.6824330110465979E-2</v>
      </c>
      <c r="G6296" s="422">
        <v>1422.693692420874</v>
      </c>
      <c r="H6296" s="417" t="s">
        <v>2616</v>
      </c>
      <c r="I6296" s="417" t="s">
        <v>1392</v>
      </c>
      <c r="J6296" s="417" t="s">
        <v>14281</v>
      </c>
      <c r="K6296" s="417" t="s">
        <v>15063</v>
      </c>
      <c r="L6296" s="417"/>
      <c r="M6296" s="417" t="s">
        <v>28840</v>
      </c>
    </row>
    <row r="6297" spans="1:13" x14ac:dyDescent="0.25">
      <c r="A6297" s="417" t="s">
        <v>3385</v>
      </c>
      <c r="B6297" s="417" t="s">
        <v>2627</v>
      </c>
      <c r="C6297" s="417" t="s">
        <v>15064</v>
      </c>
      <c r="D6297" s="417" t="s">
        <v>83</v>
      </c>
      <c r="E6297" s="423">
        <v>0.75231201481847676</v>
      </c>
      <c r="F6297" s="423">
        <v>1.9082273561488089E-2</v>
      </c>
      <c r="G6297" s="422">
        <v>1495.4919704718061</v>
      </c>
      <c r="H6297" s="417" t="s">
        <v>2616</v>
      </c>
      <c r="I6297" s="417" t="s">
        <v>1392</v>
      </c>
      <c r="J6297" s="417" t="s">
        <v>14281</v>
      </c>
      <c r="K6297" s="417" t="s">
        <v>15065</v>
      </c>
      <c r="L6297" s="417"/>
      <c r="M6297" s="417" t="s">
        <v>28840</v>
      </c>
    </row>
    <row r="6298" spans="1:13" x14ac:dyDescent="0.25">
      <c r="A6298" s="417" t="s">
        <v>3385</v>
      </c>
      <c r="B6298" s="417" t="s">
        <v>2627</v>
      </c>
      <c r="C6298" s="417" t="s">
        <v>15066</v>
      </c>
      <c r="D6298" s="417" t="s">
        <v>83</v>
      </c>
      <c r="E6298" s="423">
        <v>0.67981860462873733</v>
      </c>
      <c r="F6298" s="423">
        <v>1.5271993984860481E-2</v>
      </c>
      <c r="G6298" s="422">
        <v>1372.6448759594639</v>
      </c>
      <c r="H6298" s="417" t="s">
        <v>2616</v>
      </c>
      <c r="I6298" s="417" t="s">
        <v>1392</v>
      </c>
      <c r="J6298" s="417" t="s">
        <v>14281</v>
      </c>
      <c r="K6298" s="417" t="s">
        <v>15067</v>
      </c>
      <c r="L6298" s="417"/>
      <c r="M6298" s="417" t="s">
        <v>28840</v>
      </c>
    </row>
    <row r="6299" spans="1:13" x14ac:dyDescent="0.25">
      <c r="A6299" s="417" t="s">
        <v>3385</v>
      </c>
      <c r="B6299" s="417" t="s">
        <v>2627</v>
      </c>
      <c r="C6299" s="417" t="s">
        <v>15068</v>
      </c>
      <c r="D6299" s="417" t="s">
        <v>83</v>
      </c>
      <c r="E6299" s="423">
        <v>0.49992755031686559</v>
      </c>
      <c r="F6299" s="423">
        <v>5.816855783630507E-3</v>
      </c>
      <c r="G6299" s="422">
        <v>1067.8020867878679</v>
      </c>
      <c r="H6299" s="417" t="s">
        <v>2616</v>
      </c>
      <c r="I6299" s="417" t="s">
        <v>1392</v>
      </c>
      <c r="J6299" s="417" t="s">
        <v>14281</v>
      </c>
      <c r="K6299" s="417" t="s">
        <v>15069</v>
      </c>
      <c r="L6299" s="417"/>
      <c r="M6299" s="417" t="s">
        <v>28840</v>
      </c>
    </row>
    <row r="6300" spans="1:13" x14ac:dyDescent="0.25">
      <c r="A6300" s="417" t="s">
        <v>3385</v>
      </c>
      <c r="B6300" s="417" t="s">
        <v>2627</v>
      </c>
      <c r="C6300" s="417" t="s">
        <v>15070</v>
      </c>
      <c r="D6300" s="417" t="s">
        <v>83</v>
      </c>
      <c r="E6300" s="423">
        <v>0.81675060131286081</v>
      </c>
      <c r="F6300" s="423">
        <v>2.2469188738624721E-2</v>
      </c>
      <c r="G6300" s="422">
        <v>1604.689387499825</v>
      </c>
      <c r="H6300" s="417" t="s">
        <v>2616</v>
      </c>
      <c r="I6300" s="417" t="s">
        <v>1392</v>
      </c>
      <c r="J6300" s="417" t="s">
        <v>14281</v>
      </c>
      <c r="K6300" s="417" t="s">
        <v>15071</v>
      </c>
      <c r="L6300" s="417"/>
      <c r="M6300" s="417" t="s">
        <v>28840</v>
      </c>
    </row>
    <row r="6301" spans="1:13" x14ac:dyDescent="0.25">
      <c r="A6301" s="417" t="s">
        <v>3385</v>
      </c>
      <c r="B6301" s="417" t="s">
        <v>2627</v>
      </c>
      <c r="C6301" s="417" t="s">
        <v>15072</v>
      </c>
      <c r="D6301" s="417" t="s">
        <v>83</v>
      </c>
      <c r="E6301" s="423">
        <v>0.79258613139658529</v>
      </c>
      <c r="F6301" s="423">
        <v>2.119909554765282E-2</v>
      </c>
      <c r="G6301" s="422">
        <v>1563.7403560430471</v>
      </c>
      <c r="H6301" s="417" t="s">
        <v>2616</v>
      </c>
      <c r="I6301" s="417" t="s">
        <v>1392</v>
      </c>
      <c r="J6301" s="417" t="s">
        <v>14281</v>
      </c>
      <c r="K6301" s="417" t="s">
        <v>15073</v>
      </c>
      <c r="L6301" s="417"/>
      <c r="M6301" s="417" t="s">
        <v>28840</v>
      </c>
    </row>
    <row r="6302" spans="1:13" x14ac:dyDescent="0.25">
      <c r="A6302" s="417" t="s">
        <v>3385</v>
      </c>
      <c r="B6302" s="417" t="s">
        <v>2627</v>
      </c>
      <c r="C6302" s="417" t="s">
        <v>15074</v>
      </c>
      <c r="D6302" s="417" t="s">
        <v>83</v>
      </c>
      <c r="E6302" s="423">
        <v>0.45159861033928689</v>
      </c>
      <c r="F6302" s="423">
        <v>3.2766694009951471E-3</v>
      </c>
      <c r="G6302" s="422">
        <v>985.9040238915187</v>
      </c>
      <c r="H6302" s="417" t="s">
        <v>2616</v>
      </c>
      <c r="I6302" s="417" t="s">
        <v>1392</v>
      </c>
      <c r="J6302" s="417" t="s">
        <v>14281</v>
      </c>
      <c r="K6302" s="417" t="s">
        <v>15075</v>
      </c>
      <c r="L6302" s="417"/>
      <c r="M6302" s="417" t="s">
        <v>28840</v>
      </c>
    </row>
    <row r="6303" spans="1:13" x14ac:dyDescent="0.25">
      <c r="A6303" s="417" t="s">
        <v>3385</v>
      </c>
      <c r="B6303" s="417" t="s">
        <v>2627</v>
      </c>
      <c r="C6303" s="417" t="s">
        <v>15076</v>
      </c>
      <c r="D6303" s="417" t="s">
        <v>83</v>
      </c>
      <c r="E6303" s="423">
        <v>0.66907884031912457</v>
      </c>
      <c r="F6303" s="423">
        <v>1.4707508124071509E-2</v>
      </c>
      <c r="G6303" s="422">
        <v>1354.4453067696841</v>
      </c>
      <c r="H6303" s="417" t="s">
        <v>2616</v>
      </c>
      <c r="I6303" s="417" t="s">
        <v>1392</v>
      </c>
      <c r="J6303" s="417" t="s">
        <v>14281</v>
      </c>
      <c r="K6303" s="417" t="s">
        <v>15077</v>
      </c>
      <c r="L6303" s="417"/>
      <c r="M6303" s="417" t="s">
        <v>28840</v>
      </c>
    </row>
    <row r="6304" spans="1:13" x14ac:dyDescent="0.25">
      <c r="A6304" s="417" t="s">
        <v>3385</v>
      </c>
      <c r="B6304" s="417" t="s">
        <v>2627</v>
      </c>
      <c r="C6304" s="417" t="s">
        <v>15078</v>
      </c>
      <c r="D6304" s="417" t="s">
        <v>83</v>
      </c>
      <c r="E6304" s="423">
        <v>0.73620236794698946</v>
      </c>
      <c r="F6304" s="423">
        <v>1.8235544759058891E-2</v>
      </c>
      <c r="G6304" s="422">
        <v>1468.1926161559761</v>
      </c>
      <c r="H6304" s="417" t="s">
        <v>2616</v>
      </c>
      <c r="I6304" s="417" t="s">
        <v>1392</v>
      </c>
      <c r="J6304" s="417" t="s">
        <v>14281</v>
      </c>
      <c r="K6304" s="417" t="s">
        <v>15079</v>
      </c>
      <c r="L6304" s="417"/>
      <c r="M6304" s="417" t="s">
        <v>28840</v>
      </c>
    </row>
    <row r="6305" spans="1:13" x14ac:dyDescent="0.25">
      <c r="A6305" s="417" t="s">
        <v>3385</v>
      </c>
      <c r="B6305" s="417" t="s">
        <v>2627</v>
      </c>
      <c r="C6305" s="417" t="s">
        <v>15080</v>
      </c>
      <c r="D6305" s="417" t="s">
        <v>83</v>
      </c>
      <c r="E6305" s="423">
        <v>0.76510373682478405</v>
      </c>
      <c r="F6305" s="423">
        <v>1.427984663830096E-2</v>
      </c>
      <c r="G6305" s="422">
        <v>1449.167992895414</v>
      </c>
      <c r="H6305" s="417" t="s">
        <v>2616</v>
      </c>
      <c r="I6305" s="417" t="s">
        <v>1392</v>
      </c>
      <c r="J6305" s="417" t="s">
        <v>14281</v>
      </c>
      <c r="K6305" s="417" t="s">
        <v>15081</v>
      </c>
      <c r="L6305" s="417"/>
      <c r="M6305" s="417" t="s">
        <v>28840</v>
      </c>
    </row>
    <row r="6306" spans="1:13" x14ac:dyDescent="0.25">
      <c r="A6306" s="417" t="s">
        <v>3385</v>
      </c>
      <c r="B6306" s="417" t="s">
        <v>2627</v>
      </c>
      <c r="C6306" s="417" t="s">
        <v>15082</v>
      </c>
      <c r="D6306" s="417" t="s">
        <v>83</v>
      </c>
      <c r="E6306" s="423">
        <v>0.77867570032050037</v>
      </c>
      <c r="F6306" s="423">
        <v>1.4984798131145871E-2</v>
      </c>
      <c r="G6306" s="422">
        <v>1472.0627157399281</v>
      </c>
      <c r="H6306" s="417" t="s">
        <v>2616</v>
      </c>
      <c r="I6306" s="417" t="s">
        <v>1392</v>
      </c>
      <c r="J6306" s="417" t="s">
        <v>14281</v>
      </c>
      <c r="K6306" s="417" t="s">
        <v>15083</v>
      </c>
      <c r="L6306" s="417"/>
      <c r="M6306" s="417" t="s">
        <v>28840</v>
      </c>
    </row>
    <row r="6307" spans="1:13" x14ac:dyDescent="0.25">
      <c r="A6307" s="417" t="s">
        <v>3385</v>
      </c>
      <c r="B6307" s="417" t="s">
        <v>2627</v>
      </c>
      <c r="C6307" s="417" t="s">
        <v>15084</v>
      </c>
      <c r="D6307" s="417" t="s">
        <v>83</v>
      </c>
      <c r="E6307" s="423">
        <v>0.73253102442576201</v>
      </c>
      <c r="F6307" s="423">
        <v>1.2587963055619799E-2</v>
      </c>
      <c r="G6307" s="422">
        <v>1394.220657949583</v>
      </c>
      <c r="H6307" s="417" t="s">
        <v>2616</v>
      </c>
      <c r="I6307" s="417" t="s">
        <v>1392</v>
      </c>
      <c r="J6307" s="417" t="s">
        <v>14281</v>
      </c>
      <c r="K6307" s="417" t="s">
        <v>15085</v>
      </c>
      <c r="L6307" s="417"/>
      <c r="M6307" s="417" t="s">
        <v>28840</v>
      </c>
    </row>
    <row r="6308" spans="1:13" x14ac:dyDescent="0.25">
      <c r="A6308" s="417" t="s">
        <v>3385</v>
      </c>
      <c r="B6308" s="417" t="s">
        <v>2627</v>
      </c>
      <c r="C6308" s="417" t="s">
        <v>15086</v>
      </c>
      <c r="D6308" s="417" t="s">
        <v>83</v>
      </c>
      <c r="E6308" s="423">
        <v>0.74610298792345264</v>
      </c>
      <c r="F6308" s="423">
        <v>1.329291454839392E-2</v>
      </c>
      <c r="G6308" s="422">
        <v>1417.115380965158</v>
      </c>
      <c r="H6308" s="417" t="s">
        <v>2616</v>
      </c>
      <c r="I6308" s="417" t="s">
        <v>1392</v>
      </c>
      <c r="J6308" s="417" t="s">
        <v>14281</v>
      </c>
      <c r="K6308" s="417" t="s">
        <v>15087</v>
      </c>
      <c r="L6308" s="417"/>
      <c r="M6308" s="417" t="s">
        <v>28840</v>
      </c>
    </row>
    <row r="6309" spans="1:13" x14ac:dyDescent="0.25">
      <c r="A6309" s="417" t="s">
        <v>3385</v>
      </c>
      <c r="B6309" s="417" t="s">
        <v>2627</v>
      </c>
      <c r="C6309" s="417" t="s">
        <v>15088</v>
      </c>
      <c r="D6309" s="417" t="s">
        <v>83</v>
      </c>
      <c r="E6309" s="423">
        <v>0.75424616602705563</v>
      </c>
      <c r="F6309" s="423">
        <v>1.371588544399731E-2</v>
      </c>
      <c r="G6309" s="422">
        <v>1430.8522147406741</v>
      </c>
      <c r="H6309" s="417" t="s">
        <v>2616</v>
      </c>
      <c r="I6309" s="417" t="s">
        <v>1392</v>
      </c>
      <c r="J6309" s="417" t="s">
        <v>14281</v>
      </c>
      <c r="K6309" s="417" t="s">
        <v>15089</v>
      </c>
      <c r="L6309" s="417"/>
      <c r="M6309" s="417" t="s">
        <v>28840</v>
      </c>
    </row>
    <row r="6310" spans="1:13" x14ac:dyDescent="0.25">
      <c r="A6310" s="417" t="s">
        <v>3385</v>
      </c>
      <c r="B6310" s="417" t="s">
        <v>2627</v>
      </c>
      <c r="C6310" s="417" t="s">
        <v>15090</v>
      </c>
      <c r="D6310" s="417" t="s">
        <v>83</v>
      </c>
      <c r="E6310" s="423">
        <v>0.77053252222310598</v>
      </c>
      <c r="F6310" s="423">
        <v>1.4561827235373919E-2</v>
      </c>
      <c r="G6310" s="422">
        <v>1458.32588222392</v>
      </c>
      <c r="H6310" s="417" t="s">
        <v>2616</v>
      </c>
      <c r="I6310" s="417" t="s">
        <v>1392</v>
      </c>
      <c r="J6310" s="417" t="s">
        <v>14281</v>
      </c>
      <c r="K6310" s="417" t="s">
        <v>15091</v>
      </c>
      <c r="L6310" s="417"/>
      <c r="M6310" s="417" t="s">
        <v>28840</v>
      </c>
    </row>
    <row r="6311" spans="1:13" x14ac:dyDescent="0.25">
      <c r="A6311" s="417" t="s">
        <v>3385</v>
      </c>
      <c r="B6311" s="417" t="s">
        <v>2627</v>
      </c>
      <c r="C6311" s="417" t="s">
        <v>15092</v>
      </c>
      <c r="D6311" s="417" t="s">
        <v>83</v>
      </c>
      <c r="E6311" s="423">
        <v>0.84382112512213381</v>
      </c>
      <c r="F6311" s="423">
        <v>1.8368565296463669E-2</v>
      </c>
      <c r="G6311" s="422">
        <v>1581.957385250977</v>
      </c>
      <c r="H6311" s="417" t="s">
        <v>2616</v>
      </c>
      <c r="I6311" s="417" t="s">
        <v>1392</v>
      </c>
      <c r="J6311" s="417" t="s">
        <v>14281</v>
      </c>
      <c r="K6311" s="417" t="s">
        <v>15093</v>
      </c>
      <c r="L6311" s="417"/>
      <c r="M6311" s="417" t="s">
        <v>28840</v>
      </c>
    </row>
    <row r="6312" spans="1:13" x14ac:dyDescent="0.25">
      <c r="A6312" s="417" t="s">
        <v>3385</v>
      </c>
      <c r="B6312" s="417" t="s">
        <v>2627</v>
      </c>
      <c r="C6312" s="417" t="s">
        <v>15094</v>
      </c>
      <c r="D6312" s="417" t="s">
        <v>83</v>
      </c>
      <c r="E6312" s="423">
        <v>0.76510373682521948</v>
      </c>
      <c r="F6312" s="423">
        <v>1.427984663833012E-2</v>
      </c>
      <c r="G6312" s="422">
        <v>1449.167992774403</v>
      </c>
      <c r="H6312" s="417" t="s">
        <v>2616</v>
      </c>
      <c r="I6312" s="417" t="s">
        <v>1392</v>
      </c>
      <c r="J6312" s="417" t="s">
        <v>14281</v>
      </c>
      <c r="K6312" s="417" t="s">
        <v>15095</v>
      </c>
      <c r="L6312" s="417"/>
      <c r="M6312" s="417" t="s">
        <v>28840</v>
      </c>
    </row>
    <row r="6313" spans="1:13" x14ac:dyDescent="0.25">
      <c r="A6313" s="417" t="s">
        <v>3385</v>
      </c>
      <c r="B6313" s="417" t="s">
        <v>2627</v>
      </c>
      <c r="C6313" s="417" t="s">
        <v>15096</v>
      </c>
      <c r="D6313" s="417" t="s">
        <v>83</v>
      </c>
      <c r="E6313" s="423">
        <v>0.84382112512222984</v>
      </c>
      <c r="F6313" s="423">
        <v>1.836856529644583E-2</v>
      </c>
      <c r="G6313" s="422">
        <v>1581.9573854212019</v>
      </c>
      <c r="H6313" s="417" t="s">
        <v>2616</v>
      </c>
      <c r="I6313" s="417" t="s">
        <v>1392</v>
      </c>
      <c r="J6313" s="417" t="s">
        <v>14281</v>
      </c>
      <c r="K6313" s="417" t="s">
        <v>15097</v>
      </c>
      <c r="L6313" s="417"/>
      <c r="M6313" s="417" t="s">
        <v>28840</v>
      </c>
    </row>
    <row r="6314" spans="1:13" x14ac:dyDescent="0.25">
      <c r="A6314" s="417" t="s">
        <v>3385</v>
      </c>
      <c r="B6314" s="417" t="s">
        <v>2627</v>
      </c>
      <c r="C6314" s="417" t="s">
        <v>15098</v>
      </c>
      <c r="D6314" s="417" t="s">
        <v>83</v>
      </c>
      <c r="E6314" s="423">
        <v>0.62510740627182915</v>
      </c>
      <c r="F6314" s="423">
        <v>1.1539436450697689E-2</v>
      </c>
      <c r="G6314" s="422">
        <v>1407.3362078306429</v>
      </c>
      <c r="H6314" s="417" t="s">
        <v>2616</v>
      </c>
      <c r="I6314" s="417" t="s">
        <v>1392</v>
      </c>
      <c r="J6314" s="417" t="s">
        <v>14281</v>
      </c>
      <c r="K6314" s="417" t="s">
        <v>15099</v>
      </c>
      <c r="L6314" s="417"/>
      <c r="M6314" s="417" t="s">
        <v>28840</v>
      </c>
    </row>
    <row r="6315" spans="1:13" x14ac:dyDescent="0.25">
      <c r="A6315" s="417" t="s">
        <v>3385</v>
      </c>
      <c r="B6315" s="417" t="s">
        <v>2627</v>
      </c>
      <c r="C6315" s="417" t="s">
        <v>15100</v>
      </c>
      <c r="D6315" s="417" t="s">
        <v>83</v>
      </c>
      <c r="E6315" s="423">
        <v>0.84853311383290264</v>
      </c>
      <c r="F6315" s="423">
        <v>2.3260788961539509E-2</v>
      </c>
      <c r="G6315" s="422">
        <v>1789.220757886455</v>
      </c>
      <c r="H6315" s="417" t="s">
        <v>2616</v>
      </c>
      <c r="I6315" s="417" t="s">
        <v>1392</v>
      </c>
      <c r="J6315" s="417" t="s">
        <v>14281</v>
      </c>
      <c r="K6315" s="417" t="s">
        <v>15101</v>
      </c>
      <c r="L6315" s="417"/>
      <c r="M6315" s="417" t="s">
        <v>28840</v>
      </c>
    </row>
    <row r="6316" spans="1:13" x14ac:dyDescent="0.25">
      <c r="A6316" s="417" t="s">
        <v>3385</v>
      </c>
      <c r="B6316" s="417" t="s">
        <v>2627</v>
      </c>
      <c r="C6316" s="417" t="s">
        <v>15102</v>
      </c>
      <c r="D6316" s="417" t="s">
        <v>83</v>
      </c>
      <c r="E6316" s="423">
        <v>0.66548887215445984</v>
      </c>
      <c r="F6316" s="423">
        <v>1.3657930397922791E-2</v>
      </c>
      <c r="G6316" s="422">
        <v>1476.357199178505</v>
      </c>
      <c r="H6316" s="417" t="s">
        <v>2616</v>
      </c>
      <c r="I6316" s="417" t="s">
        <v>1392</v>
      </c>
      <c r="J6316" s="417" t="s">
        <v>14281</v>
      </c>
      <c r="K6316" s="417" t="s">
        <v>15103</v>
      </c>
      <c r="L6316" s="417"/>
      <c r="M6316" s="417" t="s">
        <v>28840</v>
      </c>
    </row>
    <row r="6317" spans="1:13" x14ac:dyDescent="0.25">
      <c r="A6317" s="417" t="s">
        <v>3385</v>
      </c>
      <c r="B6317" s="417" t="s">
        <v>2627</v>
      </c>
      <c r="C6317" s="417" t="s">
        <v>15104</v>
      </c>
      <c r="D6317" s="417" t="s">
        <v>83</v>
      </c>
      <c r="E6317" s="423">
        <v>0.65202836906022976</v>
      </c>
      <c r="F6317" s="423">
        <v>1.295176323471689E-2</v>
      </c>
      <c r="G6317" s="422">
        <v>1453.350164403113</v>
      </c>
      <c r="H6317" s="417" t="s">
        <v>2616</v>
      </c>
      <c r="I6317" s="417" t="s">
        <v>1392</v>
      </c>
      <c r="J6317" s="417" t="s">
        <v>14281</v>
      </c>
      <c r="K6317" s="417" t="s">
        <v>15105</v>
      </c>
      <c r="L6317" s="417"/>
      <c r="M6317" s="417" t="s">
        <v>28840</v>
      </c>
    </row>
    <row r="6318" spans="1:13" x14ac:dyDescent="0.25">
      <c r="A6318" s="417" t="s">
        <v>3385</v>
      </c>
      <c r="B6318" s="417" t="s">
        <v>2627</v>
      </c>
      <c r="C6318" s="417" t="s">
        <v>15106</v>
      </c>
      <c r="D6318" s="417" t="s">
        <v>83</v>
      </c>
      <c r="E6318" s="423">
        <v>0.6762572527315539</v>
      </c>
      <c r="F6318" s="423">
        <v>1.4222867069173591E-2</v>
      </c>
      <c r="G6318" s="422">
        <v>1494.7627684333861</v>
      </c>
      <c r="H6318" s="417" t="s">
        <v>2616</v>
      </c>
      <c r="I6318" s="417" t="s">
        <v>1392</v>
      </c>
      <c r="J6318" s="417" t="s">
        <v>14281</v>
      </c>
      <c r="K6318" s="417" t="s">
        <v>15107</v>
      </c>
      <c r="L6318" s="417"/>
      <c r="M6318" s="417" t="s">
        <v>28840</v>
      </c>
    </row>
    <row r="6319" spans="1:13" x14ac:dyDescent="0.25">
      <c r="A6319" s="417" t="s">
        <v>3385</v>
      </c>
      <c r="B6319" s="417" t="s">
        <v>2627</v>
      </c>
      <c r="C6319" s="417" t="s">
        <v>15108</v>
      </c>
      <c r="D6319" s="417" t="s">
        <v>83</v>
      </c>
      <c r="E6319" s="423">
        <v>0.67087303369589024</v>
      </c>
      <c r="F6319" s="423">
        <v>1.3940390710132901E-2</v>
      </c>
      <c r="G6319" s="422">
        <v>1485.55992522261</v>
      </c>
      <c r="H6319" s="417" t="s">
        <v>2616</v>
      </c>
      <c r="I6319" s="417" t="s">
        <v>1392</v>
      </c>
      <c r="J6319" s="417" t="s">
        <v>14281</v>
      </c>
      <c r="K6319" s="417" t="s">
        <v>15109</v>
      </c>
      <c r="L6319" s="417"/>
      <c r="M6319" s="417" t="s">
        <v>28840</v>
      </c>
    </row>
    <row r="6320" spans="1:13" x14ac:dyDescent="0.25">
      <c r="A6320" s="417" t="s">
        <v>3385</v>
      </c>
      <c r="B6320" s="417" t="s">
        <v>2627</v>
      </c>
      <c r="C6320" s="417" t="s">
        <v>15110</v>
      </c>
      <c r="D6320" s="417" t="s">
        <v>83</v>
      </c>
      <c r="E6320" s="423">
        <v>0.722022910945746</v>
      </c>
      <c r="F6320" s="423">
        <v>1.662381679308135E-2</v>
      </c>
      <c r="G6320" s="422">
        <v>1572.986531135231</v>
      </c>
      <c r="H6320" s="417" t="s">
        <v>2616</v>
      </c>
      <c r="I6320" s="417" t="s">
        <v>1392</v>
      </c>
      <c r="J6320" s="417" t="s">
        <v>14281</v>
      </c>
      <c r="K6320" s="417" t="s">
        <v>15111</v>
      </c>
      <c r="L6320" s="417"/>
      <c r="M6320" s="417" t="s">
        <v>28840</v>
      </c>
    </row>
    <row r="6321" spans="1:13" x14ac:dyDescent="0.25">
      <c r="A6321" s="417" t="s">
        <v>3385</v>
      </c>
      <c r="B6321" s="417" t="s">
        <v>2627</v>
      </c>
      <c r="C6321" s="417" t="s">
        <v>15112</v>
      </c>
      <c r="D6321" s="417" t="s">
        <v>83</v>
      </c>
      <c r="E6321" s="423">
        <v>0.56857335097064321</v>
      </c>
      <c r="F6321" s="423">
        <v>8.5735502243279253E-3</v>
      </c>
      <c r="G6321" s="422">
        <v>1310.706850031869</v>
      </c>
      <c r="H6321" s="417" t="s">
        <v>2616</v>
      </c>
      <c r="I6321" s="417" t="s">
        <v>1392</v>
      </c>
      <c r="J6321" s="417" t="s">
        <v>14281</v>
      </c>
      <c r="K6321" s="417" t="s">
        <v>15113</v>
      </c>
      <c r="L6321" s="417"/>
      <c r="M6321" s="417" t="s">
        <v>28840</v>
      </c>
    </row>
    <row r="6322" spans="1:13" x14ac:dyDescent="0.25">
      <c r="A6322" s="417" t="s">
        <v>3385</v>
      </c>
      <c r="B6322" s="417" t="s">
        <v>2627</v>
      </c>
      <c r="C6322" s="417" t="s">
        <v>15114</v>
      </c>
      <c r="D6322" s="417" t="s">
        <v>83</v>
      </c>
      <c r="E6322" s="423">
        <v>0.65202836906022976</v>
      </c>
      <c r="F6322" s="423">
        <v>1.295176323471689E-2</v>
      </c>
      <c r="G6322" s="422">
        <v>1453.350164403113</v>
      </c>
      <c r="H6322" s="417" t="s">
        <v>2616</v>
      </c>
      <c r="I6322" s="417" t="s">
        <v>1392</v>
      </c>
      <c r="J6322" s="417" t="s">
        <v>14281</v>
      </c>
      <c r="K6322" s="417" t="s">
        <v>15115</v>
      </c>
      <c r="L6322" s="417"/>
      <c r="M6322" s="417" t="s">
        <v>28840</v>
      </c>
    </row>
    <row r="6323" spans="1:13" x14ac:dyDescent="0.25">
      <c r="A6323" s="417" t="s">
        <v>3385</v>
      </c>
      <c r="B6323" s="417" t="s">
        <v>2627</v>
      </c>
      <c r="C6323" s="417" t="s">
        <v>15116</v>
      </c>
      <c r="D6323" s="417" t="s">
        <v>83</v>
      </c>
      <c r="E6323" s="423">
        <v>0.60087855964041315</v>
      </c>
      <c r="F6323" s="423">
        <v>1.026834990695707E-2</v>
      </c>
      <c r="G6323" s="422">
        <v>1365.92371225949</v>
      </c>
      <c r="H6323" s="417" t="s">
        <v>2616</v>
      </c>
      <c r="I6323" s="417" t="s">
        <v>1392</v>
      </c>
      <c r="J6323" s="417" t="s">
        <v>14281</v>
      </c>
      <c r="K6323" s="417" t="s">
        <v>15117</v>
      </c>
      <c r="L6323" s="417"/>
      <c r="M6323" s="417" t="s">
        <v>28840</v>
      </c>
    </row>
    <row r="6324" spans="1:13" x14ac:dyDescent="0.25">
      <c r="A6324" s="417" t="s">
        <v>3385</v>
      </c>
      <c r="B6324" s="417" t="s">
        <v>2627</v>
      </c>
      <c r="C6324" s="417" t="s">
        <v>15118</v>
      </c>
      <c r="D6324" s="417" t="s">
        <v>83</v>
      </c>
      <c r="E6324" s="423">
        <v>0.62510740627182915</v>
      </c>
      <c r="F6324" s="423">
        <v>1.1539436450697689E-2</v>
      </c>
      <c r="G6324" s="422">
        <v>1407.3362078306429</v>
      </c>
      <c r="H6324" s="417" t="s">
        <v>2616</v>
      </c>
      <c r="I6324" s="417" t="s">
        <v>1392</v>
      </c>
      <c r="J6324" s="417" t="s">
        <v>14281</v>
      </c>
      <c r="K6324" s="417" t="s">
        <v>15119</v>
      </c>
      <c r="L6324" s="417"/>
      <c r="M6324" s="417" t="s">
        <v>28840</v>
      </c>
    </row>
    <row r="6325" spans="1:13" x14ac:dyDescent="0.25">
      <c r="A6325" s="417" t="s">
        <v>3385</v>
      </c>
      <c r="B6325" s="417" t="s">
        <v>2627</v>
      </c>
      <c r="C6325" s="417" t="s">
        <v>15120</v>
      </c>
      <c r="D6325" s="417" t="s">
        <v>83</v>
      </c>
      <c r="E6325" s="423">
        <v>0.98654834555678517</v>
      </c>
      <c r="F6325" s="423">
        <v>1.722763920876105E-2</v>
      </c>
      <c r="G6325" s="422">
        <v>1752.0232399307581</v>
      </c>
      <c r="H6325" s="417" t="s">
        <v>2616</v>
      </c>
      <c r="I6325" s="417" t="s">
        <v>1392</v>
      </c>
      <c r="J6325" s="417" t="s">
        <v>14281</v>
      </c>
      <c r="K6325" s="417" t="s">
        <v>15121</v>
      </c>
      <c r="L6325" s="417"/>
      <c r="M6325" s="417" t="s">
        <v>28840</v>
      </c>
    </row>
    <row r="6326" spans="1:13" x14ac:dyDescent="0.25">
      <c r="A6326" s="417" t="s">
        <v>3385</v>
      </c>
      <c r="B6326" s="417" t="s">
        <v>2627</v>
      </c>
      <c r="C6326" s="417" t="s">
        <v>15122</v>
      </c>
      <c r="D6326" s="417" t="s">
        <v>83</v>
      </c>
      <c r="E6326" s="423">
        <v>0.78449312877747002</v>
      </c>
      <c r="F6326" s="423">
        <v>6.9230756415462127E-3</v>
      </c>
      <c r="G6326" s="422">
        <v>1412.7484462748839</v>
      </c>
      <c r="H6326" s="417" t="s">
        <v>2616</v>
      </c>
      <c r="I6326" s="417" t="s">
        <v>1392</v>
      </c>
      <c r="J6326" s="417" t="s">
        <v>14281</v>
      </c>
      <c r="K6326" s="417" t="s">
        <v>15123</v>
      </c>
      <c r="L6326" s="417"/>
      <c r="M6326" s="417" t="s">
        <v>28840</v>
      </c>
    </row>
    <row r="6327" spans="1:13" x14ac:dyDescent="0.25">
      <c r="A6327" s="417" t="s">
        <v>3385</v>
      </c>
      <c r="B6327" s="417" t="s">
        <v>2627</v>
      </c>
      <c r="C6327" s="417" t="s">
        <v>15124</v>
      </c>
      <c r="D6327" s="417" t="s">
        <v>83</v>
      </c>
      <c r="E6327" s="423">
        <v>0.93949439096724263</v>
      </c>
      <c r="F6327" s="423">
        <v>1.4827946323178361E-2</v>
      </c>
      <c r="G6327" s="422">
        <v>1673.0140413747511</v>
      </c>
      <c r="H6327" s="417" t="s">
        <v>2616</v>
      </c>
      <c r="I6327" s="417" t="s">
        <v>1392</v>
      </c>
      <c r="J6327" s="417" t="s">
        <v>14281</v>
      </c>
      <c r="K6327" s="417" t="s">
        <v>15125</v>
      </c>
      <c r="L6327" s="417"/>
      <c r="M6327" s="417" t="s">
        <v>28840</v>
      </c>
    </row>
    <row r="6328" spans="1:13" x14ac:dyDescent="0.25">
      <c r="A6328" s="417" t="s">
        <v>3385</v>
      </c>
      <c r="B6328" s="417" t="s">
        <v>2627</v>
      </c>
      <c r="C6328" s="417" t="s">
        <v>15126</v>
      </c>
      <c r="D6328" s="417" t="s">
        <v>83</v>
      </c>
      <c r="E6328" s="423">
        <v>1.1055860009968901</v>
      </c>
      <c r="F6328" s="423">
        <v>2.329841088617246E-2</v>
      </c>
      <c r="G6328" s="422">
        <v>1951.9016519598031</v>
      </c>
      <c r="H6328" s="417" t="s">
        <v>2616</v>
      </c>
      <c r="I6328" s="417" t="s">
        <v>1392</v>
      </c>
      <c r="J6328" s="417" t="s">
        <v>14281</v>
      </c>
      <c r="K6328" s="417" t="s">
        <v>15127</v>
      </c>
      <c r="L6328" s="417"/>
      <c r="M6328" s="417" t="s">
        <v>28840</v>
      </c>
    </row>
    <row r="6329" spans="1:13" x14ac:dyDescent="0.25">
      <c r="A6329" s="417" t="s">
        <v>3385</v>
      </c>
      <c r="B6329" s="417" t="s">
        <v>2627</v>
      </c>
      <c r="C6329" s="417" t="s">
        <v>15128</v>
      </c>
      <c r="D6329" s="417" t="s">
        <v>83</v>
      </c>
      <c r="E6329" s="423">
        <v>0.70422461800138614</v>
      </c>
      <c r="F6329" s="423">
        <v>2.8294818956938099E-3</v>
      </c>
      <c r="G6329" s="422">
        <v>1277.968048914182</v>
      </c>
      <c r="H6329" s="417" t="s">
        <v>2616</v>
      </c>
      <c r="I6329" s="417" t="s">
        <v>1392</v>
      </c>
      <c r="J6329" s="417" t="s">
        <v>14281</v>
      </c>
      <c r="K6329" s="417" t="s">
        <v>15129</v>
      </c>
      <c r="L6329" s="417"/>
      <c r="M6329" s="417" t="s">
        <v>28840</v>
      </c>
    </row>
    <row r="6330" spans="1:13" x14ac:dyDescent="0.25">
      <c r="A6330" s="417" t="s">
        <v>3385</v>
      </c>
      <c r="B6330" s="417" t="s">
        <v>2627</v>
      </c>
      <c r="C6330" s="417" t="s">
        <v>15130</v>
      </c>
      <c r="D6330" s="417" t="s">
        <v>83</v>
      </c>
      <c r="E6330" s="423">
        <v>0.83985072241762604</v>
      </c>
      <c r="F6330" s="423">
        <v>9.7462437421340503E-3</v>
      </c>
      <c r="G6330" s="422">
        <v>1505.7004445086179</v>
      </c>
      <c r="H6330" s="417" t="s">
        <v>2616</v>
      </c>
      <c r="I6330" s="417" t="s">
        <v>1392</v>
      </c>
      <c r="J6330" s="417" t="s">
        <v>14281</v>
      </c>
      <c r="K6330" s="417" t="s">
        <v>15131</v>
      </c>
      <c r="L6330" s="417"/>
      <c r="M6330" s="417" t="s">
        <v>28840</v>
      </c>
    </row>
    <row r="6331" spans="1:13" x14ac:dyDescent="0.25">
      <c r="A6331" s="417" t="s">
        <v>3385</v>
      </c>
      <c r="B6331" s="417" t="s">
        <v>2627</v>
      </c>
      <c r="C6331" s="417" t="s">
        <v>15132</v>
      </c>
      <c r="D6331" s="417" t="s">
        <v>83</v>
      </c>
      <c r="E6331" s="423">
        <v>0.71529613672955017</v>
      </c>
      <c r="F6331" s="423">
        <v>3.3941155156650932E-3</v>
      </c>
      <c r="G6331" s="422">
        <v>1296.558448545509</v>
      </c>
      <c r="H6331" s="417" t="s">
        <v>2616</v>
      </c>
      <c r="I6331" s="417" t="s">
        <v>1392</v>
      </c>
      <c r="J6331" s="417" t="s">
        <v>14281</v>
      </c>
      <c r="K6331" s="417" t="s">
        <v>15133</v>
      </c>
      <c r="L6331" s="417"/>
      <c r="M6331" s="417" t="s">
        <v>28840</v>
      </c>
    </row>
    <row r="6332" spans="1:13" x14ac:dyDescent="0.25">
      <c r="A6332" s="417" t="s">
        <v>3385</v>
      </c>
      <c r="B6332" s="417" t="s">
        <v>2627</v>
      </c>
      <c r="C6332" s="417" t="s">
        <v>15134</v>
      </c>
      <c r="D6332" s="417" t="s">
        <v>83</v>
      </c>
      <c r="E6332" s="423">
        <v>0.79833252718933245</v>
      </c>
      <c r="F6332" s="423">
        <v>7.6288676668290756E-3</v>
      </c>
      <c r="G6332" s="422">
        <v>1435.986445851602</v>
      </c>
      <c r="H6332" s="417" t="s">
        <v>2616</v>
      </c>
      <c r="I6332" s="417" t="s">
        <v>1392</v>
      </c>
      <c r="J6332" s="417" t="s">
        <v>14281</v>
      </c>
      <c r="K6332" s="417" t="s">
        <v>15135</v>
      </c>
      <c r="L6332" s="417"/>
      <c r="M6332" s="417" t="s">
        <v>28840</v>
      </c>
    </row>
    <row r="6333" spans="1:13" x14ac:dyDescent="0.25">
      <c r="A6333" s="417" t="s">
        <v>3385</v>
      </c>
      <c r="B6333" s="417" t="s">
        <v>2627</v>
      </c>
      <c r="C6333" s="417" t="s">
        <v>15136</v>
      </c>
      <c r="D6333" s="417" t="s">
        <v>83</v>
      </c>
      <c r="E6333" s="423">
        <v>0.88136891764859837</v>
      </c>
      <c r="F6333" s="423">
        <v>1.1863619817515009E-2</v>
      </c>
      <c r="G6333" s="422">
        <v>1575.4144432946321</v>
      </c>
      <c r="H6333" s="417" t="s">
        <v>2616</v>
      </c>
      <c r="I6333" s="417" t="s">
        <v>1392</v>
      </c>
      <c r="J6333" s="417" t="s">
        <v>14281</v>
      </c>
      <c r="K6333" s="417" t="s">
        <v>15137</v>
      </c>
      <c r="L6333" s="417"/>
      <c r="M6333" s="417" t="s">
        <v>28840</v>
      </c>
    </row>
    <row r="6334" spans="1:13" x14ac:dyDescent="0.25">
      <c r="A6334" s="417" t="s">
        <v>3385</v>
      </c>
      <c r="B6334" s="417" t="s">
        <v>2627</v>
      </c>
      <c r="C6334" s="417" t="s">
        <v>15138</v>
      </c>
      <c r="D6334" s="417" t="s">
        <v>83</v>
      </c>
      <c r="E6334" s="423">
        <v>0.74851069291211458</v>
      </c>
      <c r="F6334" s="423">
        <v>5.088016375998242E-3</v>
      </c>
      <c r="G6334" s="422">
        <v>1352.329647533229</v>
      </c>
      <c r="H6334" s="417" t="s">
        <v>2616</v>
      </c>
      <c r="I6334" s="417" t="s">
        <v>1392</v>
      </c>
      <c r="J6334" s="417" t="s">
        <v>14281</v>
      </c>
      <c r="K6334" s="417" t="s">
        <v>15139</v>
      </c>
      <c r="L6334" s="417"/>
      <c r="M6334" s="417" t="s">
        <v>28840</v>
      </c>
    </row>
    <row r="6335" spans="1:13" x14ac:dyDescent="0.25">
      <c r="A6335" s="417" t="s">
        <v>3385</v>
      </c>
      <c r="B6335" s="417" t="s">
        <v>2627</v>
      </c>
      <c r="C6335" s="417" t="s">
        <v>15140</v>
      </c>
      <c r="D6335" s="417" t="s">
        <v>83</v>
      </c>
      <c r="E6335" s="423">
        <v>0.92565499255754236</v>
      </c>
      <c r="F6335" s="423">
        <v>1.412215429804139E-2</v>
      </c>
      <c r="G6335" s="422">
        <v>1649.7760419252811</v>
      </c>
      <c r="H6335" s="417" t="s">
        <v>2616</v>
      </c>
      <c r="I6335" s="417" t="s">
        <v>1392</v>
      </c>
      <c r="J6335" s="417" t="s">
        <v>14281</v>
      </c>
      <c r="K6335" s="417" t="s">
        <v>15141</v>
      </c>
      <c r="L6335" s="417"/>
      <c r="M6335" s="417" t="s">
        <v>28840</v>
      </c>
    </row>
    <row r="6336" spans="1:13" x14ac:dyDescent="0.25">
      <c r="A6336" s="417" t="s">
        <v>3385</v>
      </c>
      <c r="B6336" s="417" t="s">
        <v>2627</v>
      </c>
      <c r="C6336" s="417" t="s">
        <v>15142</v>
      </c>
      <c r="D6336" s="417" t="s">
        <v>83</v>
      </c>
      <c r="E6336" s="423">
        <v>0.75681433195720615</v>
      </c>
      <c r="F6336" s="423">
        <v>5.5114915911289291E-3</v>
      </c>
      <c r="G6336" s="422">
        <v>1366.2724472714681</v>
      </c>
      <c r="H6336" s="417" t="s">
        <v>2616</v>
      </c>
      <c r="I6336" s="417" t="s">
        <v>1392</v>
      </c>
      <c r="J6336" s="417" t="s">
        <v>14281</v>
      </c>
      <c r="K6336" s="417" t="s">
        <v>15143</v>
      </c>
      <c r="L6336" s="417"/>
      <c r="M6336" s="417" t="s">
        <v>28840</v>
      </c>
    </row>
    <row r="6337" spans="1:13" x14ac:dyDescent="0.25">
      <c r="A6337" s="417" t="s">
        <v>3385</v>
      </c>
      <c r="B6337" s="417" t="s">
        <v>2627</v>
      </c>
      <c r="C6337" s="417" t="s">
        <v>15144</v>
      </c>
      <c r="D6337" s="417" t="s">
        <v>83</v>
      </c>
      <c r="E6337" s="423">
        <v>1.1747641639358879</v>
      </c>
      <c r="F6337" s="423">
        <v>2.6826410750760969E-2</v>
      </c>
      <c r="G6337" s="422">
        <v>2068.0600336603411</v>
      </c>
      <c r="H6337" s="417" t="s">
        <v>2616</v>
      </c>
      <c r="I6337" s="417" t="s">
        <v>1392</v>
      </c>
      <c r="J6337" s="417" t="s">
        <v>14281</v>
      </c>
      <c r="K6337" s="417" t="s">
        <v>15145</v>
      </c>
      <c r="L6337" s="417"/>
      <c r="M6337" s="417" t="s">
        <v>28840</v>
      </c>
    </row>
    <row r="6338" spans="1:13" x14ac:dyDescent="0.25">
      <c r="A6338" s="417" t="s">
        <v>3385</v>
      </c>
      <c r="B6338" s="417" t="s">
        <v>2627</v>
      </c>
      <c r="C6338" s="417" t="s">
        <v>15146</v>
      </c>
      <c r="D6338" s="417" t="s">
        <v>83</v>
      </c>
      <c r="E6338" s="423">
        <v>1.1581568858414319</v>
      </c>
      <c r="F6338" s="423">
        <v>2.5979460320515391E-2</v>
      </c>
      <c r="G6338" s="422">
        <v>2040.1744344285539</v>
      </c>
      <c r="H6338" s="417" t="s">
        <v>2616</v>
      </c>
      <c r="I6338" s="417" t="s">
        <v>1392</v>
      </c>
      <c r="J6338" s="417" t="s">
        <v>14281</v>
      </c>
      <c r="K6338" s="417" t="s">
        <v>15147</v>
      </c>
      <c r="L6338" s="417"/>
      <c r="M6338" s="417" t="s">
        <v>28840</v>
      </c>
    </row>
    <row r="6339" spans="1:13" x14ac:dyDescent="0.25">
      <c r="A6339" s="417" t="s">
        <v>3385</v>
      </c>
      <c r="B6339" s="417" t="s">
        <v>2627</v>
      </c>
      <c r="C6339" s="417" t="s">
        <v>15148</v>
      </c>
      <c r="D6339" s="417" t="s">
        <v>83</v>
      </c>
      <c r="E6339" s="423">
        <v>0.93949439096500809</v>
      </c>
      <c r="F6339" s="423">
        <v>1.4827946323144979E-2</v>
      </c>
      <c r="G6339" s="422">
        <v>1673.0140413968479</v>
      </c>
      <c r="H6339" s="417" t="s">
        <v>2616</v>
      </c>
      <c r="I6339" s="417" t="s">
        <v>1392</v>
      </c>
      <c r="J6339" s="417" t="s">
        <v>14281</v>
      </c>
      <c r="K6339" s="417" t="s">
        <v>15149</v>
      </c>
      <c r="L6339" s="417"/>
      <c r="M6339" s="417" t="s">
        <v>28840</v>
      </c>
    </row>
    <row r="6340" spans="1:13" x14ac:dyDescent="0.25">
      <c r="A6340" s="417" t="s">
        <v>3385</v>
      </c>
      <c r="B6340" s="417" t="s">
        <v>2627</v>
      </c>
      <c r="C6340" s="417" t="s">
        <v>15150</v>
      </c>
      <c r="D6340" s="417" t="s">
        <v>83</v>
      </c>
      <c r="E6340" s="423">
        <v>0.7844931287760758</v>
      </c>
      <c r="F6340" s="423">
        <v>6.9230756413451479E-3</v>
      </c>
      <c r="G6340" s="422">
        <v>1412.74844623426</v>
      </c>
      <c r="H6340" s="417" t="s">
        <v>2616</v>
      </c>
      <c r="I6340" s="417" t="s">
        <v>1392</v>
      </c>
      <c r="J6340" s="417" t="s">
        <v>14281</v>
      </c>
      <c r="K6340" s="417" t="s">
        <v>15151</v>
      </c>
      <c r="L6340" s="417"/>
      <c r="M6340" s="417" t="s">
        <v>28840</v>
      </c>
    </row>
    <row r="6341" spans="1:13" x14ac:dyDescent="0.25">
      <c r="A6341" s="417" t="s">
        <v>3385</v>
      </c>
      <c r="B6341" s="417" t="s">
        <v>2627</v>
      </c>
      <c r="C6341" s="417" t="s">
        <v>15152</v>
      </c>
      <c r="D6341" s="417" t="s">
        <v>83</v>
      </c>
      <c r="E6341" s="423">
        <v>1.005923503334053</v>
      </c>
      <c r="F6341" s="423">
        <v>1.8215748043894399E-2</v>
      </c>
      <c r="G6341" s="422">
        <v>1784.556439234949</v>
      </c>
      <c r="H6341" s="417" t="s">
        <v>2616</v>
      </c>
      <c r="I6341" s="417" t="s">
        <v>1392</v>
      </c>
      <c r="J6341" s="417" t="s">
        <v>14281</v>
      </c>
      <c r="K6341" s="417" t="s">
        <v>15153</v>
      </c>
      <c r="L6341" s="417"/>
      <c r="M6341" s="417" t="s">
        <v>28840</v>
      </c>
    </row>
    <row r="6342" spans="1:13" x14ac:dyDescent="0.25">
      <c r="A6342" s="417" t="s">
        <v>3385</v>
      </c>
      <c r="B6342" s="417" t="s">
        <v>2627</v>
      </c>
      <c r="C6342" s="417" t="s">
        <v>15154</v>
      </c>
      <c r="D6342" s="417" t="s">
        <v>83</v>
      </c>
      <c r="E6342" s="423">
        <v>1.0668168563421081</v>
      </c>
      <c r="F6342" s="423">
        <v>2.1321232954550951E-2</v>
      </c>
      <c r="G6342" s="422">
        <v>1886.803637403842</v>
      </c>
      <c r="H6342" s="417" t="s">
        <v>2616</v>
      </c>
      <c r="I6342" s="417" t="s">
        <v>1392</v>
      </c>
      <c r="J6342" s="417" t="s">
        <v>14281</v>
      </c>
      <c r="K6342" s="417" t="s">
        <v>15155</v>
      </c>
      <c r="L6342" s="417"/>
      <c r="M6342" s="417" t="s">
        <v>28840</v>
      </c>
    </row>
    <row r="6343" spans="1:13" x14ac:dyDescent="0.25">
      <c r="A6343" s="417" t="s">
        <v>3385</v>
      </c>
      <c r="B6343" s="417" t="s">
        <v>2627</v>
      </c>
      <c r="C6343" s="417" t="s">
        <v>15156</v>
      </c>
      <c r="D6343" s="417" t="s">
        <v>83</v>
      </c>
      <c r="E6343" s="423">
        <v>0.76511797100350132</v>
      </c>
      <c r="F6343" s="423">
        <v>5.9349668064672192E-3</v>
      </c>
      <c r="G6343" s="422">
        <v>1380.215247020195</v>
      </c>
      <c r="H6343" s="417" t="s">
        <v>2616</v>
      </c>
      <c r="I6343" s="417" t="s">
        <v>1392</v>
      </c>
      <c r="J6343" s="417" t="s">
        <v>14281</v>
      </c>
      <c r="K6343" s="417" t="s">
        <v>15157</v>
      </c>
      <c r="L6343" s="417"/>
      <c r="M6343" s="417" t="s">
        <v>28840</v>
      </c>
    </row>
    <row r="6344" spans="1:13" x14ac:dyDescent="0.25">
      <c r="A6344" s="417" t="s">
        <v>3385</v>
      </c>
      <c r="B6344" s="417" t="s">
        <v>2627</v>
      </c>
      <c r="C6344" s="417" t="s">
        <v>15158</v>
      </c>
      <c r="D6344" s="417" t="s">
        <v>83</v>
      </c>
      <c r="E6344" s="423">
        <v>0.89879983172784805</v>
      </c>
      <c r="F6344" s="423">
        <v>2.0704452036100301E-2</v>
      </c>
      <c r="G6344" s="422">
        <v>1675.3517444957261</v>
      </c>
      <c r="H6344" s="417" t="s">
        <v>2616</v>
      </c>
      <c r="I6344" s="417" t="s">
        <v>1392</v>
      </c>
      <c r="J6344" s="417" t="s">
        <v>14281</v>
      </c>
      <c r="K6344" s="417" t="s">
        <v>15159</v>
      </c>
      <c r="L6344" s="417"/>
      <c r="M6344" s="417" t="s">
        <v>28840</v>
      </c>
    </row>
    <row r="6345" spans="1:13" x14ac:dyDescent="0.25">
      <c r="A6345" s="417" t="s">
        <v>3385</v>
      </c>
      <c r="B6345" s="417" t="s">
        <v>2627</v>
      </c>
      <c r="C6345" s="417" t="s">
        <v>15160</v>
      </c>
      <c r="D6345" s="417" t="s">
        <v>83</v>
      </c>
      <c r="E6345" s="423">
        <v>0.70293423875666139</v>
      </c>
      <c r="F6345" s="423">
        <v>1.054218379532524E-2</v>
      </c>
      <c r="G6345" s="422">
        <v>1344.9293392484019</v>
      </c>
      <c r="H6345" s="417" t="s">
        <v>2616</v>
      </c>
      <c r="I6345" s="417" t="s">
        <v>1392</v>
      </c>
      <c r="J6345" s="417" t="s">
        <v>14281</v>
      </c>
      <c r="K6345" s="417" t="s">
        <v>15161</v>
      </c>
      <c r="L6345" s="417"/>
      <c r="M6345" s="417" t="s">
        <v>28840</v>
      </c>
    </row>
    <row r="6346" spans="1:13" x14ac:dyDescent="0.25">
      <c r="A6346" s="417" t="s">
        <v>3385</v>
      </c>
      <c r="B6346" s="417" t="s">
        <v>2627</v>
      </c>
      <c r="C6346" s="417" t="s">
        <v>15162</v>
      </c>
      <c r="D6346" s="417" t="s">
        <v>83</v>
      </c>
      <c r="E6346" s="423">
        <v>0.87975734352653889</v>
      </c>
      <c r="F6346" s="423">
        <v>1.9716453734914489E-2</v>
      </c>
      <c r="G6346" s="422">
        <v>1643.227343687093</v>
      </c>
      <c r="H6346" s="417" t="s">
        <v>2616</v>
      </c>
      <c r="I6346" s="417" t="s">
        <v>1392</v>
      </c>
      <c r="J6346" s="417" t="s">
        <v>14281</v>
      </c>
      <c r="K6346" s="417" t="s">
        <v>15163</v>
      </c>
      <c r="L6346" s="417"/>
      <c r="M6346" s="417" t="s">
        <v>28840</v>
      </c>
    </row>
    <row r="6347" spans="1:13" x14ac:dyDescent="0.25">
      <c r="A6347" s="417" t="s">
        <v>3385</v>
      </c>
      <c r="B6347" s="417" t="s">
        <v>2627</v>
      </c>
      <c r="C6347" s="417" t="s">
        <v>15164</v>
      </c>
      <c r="D6347" s="417" t="s">
        <v>83</v>
      </c>
      <c r="E6347" s="423">
        <v>0.71653601604595551</v>
      </c>
      <c r="F6347" s="423">
        <v>1.124789686754833E-2</v>
      </c>
      <c r="G6347" s="422">
        <v>1367.8753396094889</v>
      </c>
      <c r="H6347" s="417" t="s">
        <v>2616</v>
      </c>
      <c r="I6347" s="417" t="s">
        <v>1392</v>
      </c>
      <c r="J6347" s="417" t="s">
        <v>14281</v>
      </c>
      <c r="K6347" s="417" t="s">
        <v>15165</v>
      </c>
      <c r="L6347" s="417"/>
      <c r="M6347" s="417" t="s">
        <v>28840</v>
      </c>
    </row>
    <row r="6348" spans="1:13" x14ac:dyDescent="0.25">
      <c r="A6348" s="417" t="s">
        <v>3385</v>
      </c>
      <c r="B6348" s="417" t="s">
        <v>2627</v>
      </c>
      <c r="C6348" s="417" t="s">
        <v>15166</v>
      </c>
      <c r="D6348" s="417" t="s">
        <v>83</v>
      </c>
      <c r="E6348" s="423">
        <v>0.62132357501881197</v>
      </c>
      <c r="F6348" s="423">
        <v>6.3079053615278536E-3</v>
      </c>
      <c r="G6348" s="422">
        <v>1207.253337175564</v>
      </c>
      <c r="H6348" s="417" t="s">
        <v>2616</v>
      </c>
      <c r="I6348" s="417" t="s">
        <v>1392</v>
      </c>
      <c r="J6348" s="417" t="s">
        <v>14281</v>
      </c>
      <c r="K6348" s="417" t="s">
        <v>15167</v>
      </c>
      <c r="L6348" s="417"/>
      <c r="M6348" s="417" t="s">
        <v>28840</v>
      </c>
    </row>
    <row r="6349" spans="1:13" x14ac:dyDescent="0.25">
      <c r="A6349" s="417" t="s">
        <v>3385</v>
      </c>
      <c r="B6349" s="417" t="s">
        <v>2627</v>
      </c>
      <c r="C6349" s="417" t="s">
        <v>15168</v>
      </c>
      <c r="D6349" s="417" t="s">
        <v>83</v>
      </c>
      <c r="E6349" s="423">
        <v>0.61316250864299982</v>
      </c>
      <c r="F6349" s="423">
        <v>5.884477518074748E-3</v>
      </c>
      <c r="G6349" s="422">
        <v>1193.4857369491749</v>
      </c>
      <c r="H6349" s="417" t="s">
        <v>2616</v>
      </c>
      <c r="I6349" s="417" t="s">
        <v>1392</v>
      </c>
      <c r="J6349" s="417" t="s">
        <v>14281</v>
      </c>
      <c r="K6349" s="417" t="s">
        <v>15169</v>
      </c>
      <c r="L6349" s="417"/>
      <c r="M6349" s="417" t="s">
        <v>28840</v>
      </c>
    </row>
    <row r="6350" spans="1:13" x14ac:dyDescent="0.25">
      <c r="A6350" s="417" t="s">
        <v>3385</v>
      </c>
      <c r="B6350" s="417" t="s">
        <v>2627</v>
      </c>
      <c r="C6350" s="417" t="s">
        <v>15170</v>
      </c>
      <c r="D6350" s="417" t="s">
        <v>83</v>
      </c>
      <c r="E6350" s="423">
        <v>0.71653601604595551</v>
      </c>
      <c r="F6350" s="423">
        <v>1.124789686754833E-2</v>
      </c>
      <c r="G6350" s="422">
        <v>1367.8753396094889</v>
      </c>
      <c r="H6350" s="417" t="s">
        <v>2616</v>
      </c>
      <c r="I6350" s="417" t="s">
        <v>1392</v>
      </c>
      <c r="J6350" s="417" t="s">
        <v>14281</v>
      </c>
      <c r="K6350" s="417" t="s">
        <v>15171</v>
      </c>
      <c r="L6350" s="417"/>
      <c r="M6350" s="417" t="s">
        <v>28840</v>
      </c>
    </row>
    <row r="6351" spans="1:13" x14ac:dyDescent="0.25">
      <c r="A6351" s="417" t="s">
        <v>3385</v>
      </c>
      <c r="B6351" s="417" t="s">
        <v>2627</v>
      </c>
      <c r="C6351" s="417" t="s">
        <v>15172</v>
      </c>
      <c r="D6351" s="417" t="s">
        <v>83</v>
      </c>
      <c r="E6351" s="423">
        <v>0.54243326673744274</v>
      </c>
      <c r="F6351" s="423">
        <v>2.2147695424561131E-3</v>
      </c>
      <c r="G6351" s="422">
        <v>1074.1665351403869</v>
      </c>
      <c r="H6351" s="417" t="s">
        <v>2616</v>
      </c>
      <c r="I6351" s="417" t="s">
        <v>1392</v>
      </c>
      <c r="J6351" s="417" t="s">
        <v>14281</v>
      </c>
      <c r="K6351" s="417" t="s">
        <v>15173</v>
      </c>
      <c r="L6351" s="417"/>
      <c r="M6351" s="417" t="s">
        <v>28840</v>
      </c>
    </row>
    <row r="6352" spans="1:13" x14ac:dyDescent="0.25">
      <c r="A6352" s="417" t="s">
        <v>3385</v>
      </c>
      <c r="B6352" s="417" t="s">
        <v>2627</v>
      </c>
      <c r="C6352" s="417" t="s">
        <v>15174</v>
      </c>
      <c r="D6352" s="417" t="s">
        <v>83</v>
      </c>
      <c r="E6352" s="423">
        <v>0.56963682131663873</v>
      </c>
      <c r="F6352" s="423">
        <v>3.6261956870121659E-3</v>
      </c>
      <c r="G6352" s="422">
        <v>1120.0585358362259</v>
      </c>
      <c r="H6352" s="417" t="s">
        <v>2616</v>
      </c>
      <c r="I6352" s="417" t="s">
        <v>1392</v>
      </c>
      <c r="J6352" s="417" t="s">
        <v>14281</v>
      </c>
      <c r="K6352" s="417" t="s">
        <v>15175</v>
      </c>
      <c r="L6352" s="417"/>
      <c r="M6352" s="417" t="s">
        <v>28840</v>
      </c>
    </row>
    <row r="6353" spans="1:13" x14ac:dyDescent="0.25">
      <c r="A6353" s="417" t="s">
        <v>3385</v>
      </c>
      <c r="B6353" s="417" t="s">
        <v>2627</v>
      </c>
      <c r="C6353" s="417" t="s">
        <v>15176</v>
      </c>
      <c r="D6353" s="417" t="s">
        <v>83</v>
      </c>
      <c r="E6353" s="423">
        <v>0.70293423875666139</v>
      </c>
      <c r="F6353" s="423">
        <v>1.054218379532524E-2</v>
      </c>
      <c r="G6353" s="422">
        <v>1344.9293392484019</v>
      </c>
      <c r="H6353" s="417" t="s">
        <v>2616</v>
      </c>
      <c r="I6353" s="417" t="s">
        <v>1392</v>
      </c>
      <c r="J6353" s="417" t="s">
        <v>14281</v>
      </c>
      <c r="K6353" s="417" t="s">
        <v>15177</v>
      </c>
      <c r="L6353" s="417"/>
      <c r="M6353" s="417" t="s">
        <v>28840</v>
      </c>
    </row>
    <row r="6354" spans="1:13" x14ac:dyDescent="0.25">
      <c r="A6354" s="417" t="s">
        <v>3385</v>
      </c>
      <c r="B6354" s="417" t="s">
        <v>2627</v>
      </c>
      <c r="C6354" s="417" t="s">
        <v>15178</v>
      </c>
      <c r="D6354" s="417" t="s">
        <v>83</v>
      </c>
      <c r="E6354" s="423">
        <v>0.60228108681147785</v>
      </c>
      <c r="F6354" s="423">
        <v>5.3199070603441728E-3</v>
      </c>
      <c r="G6354" s="422">
        <v>1175.128936703127</v>
      </c>
      <c r="H6354" s="417" t="s">
        <v>2616</v>
      </c>
      <c r="I6354" s="417" t="s">
        <v>1392</v>
      </c>
      <c r="J6354" s="417" t="s">
        <v>14281</v>
      </c>
      <c r="K6354" s="417" t="s">
        <v>15179</v>
      </c>
      <c r="L6354" s="417"/>
      <c r="M6354" s="417" t="s">
        <v>28840</v>
      </c>
    </row>
    <row r="6355" spans="1:13" x14ac:dyDescent="0.25">
      <c r="A6355" s="417" t="s">
        <v>3385</v>
      </c>
      <c r="B6355" s="417" t="s">
        <v>2627</v>
      </c>
      <c r="C6355" s="417" t="s">
        <v>15180</v>
      </c>
      <c r="D6355" s="417" t="s">
        <v>83</v>
      </c>
      <c r="E6355" s="423">
        <v>0.95048658543473741</v>
      </c>
      <c r="F6355" s="423">
        <v>2.3386161710770358E-2</v>
      </c>
      <c r="G6355" s="422">
        <v>1762.546545590852</v>
      </c>
      <c r="H6355" s="417" t="s">
        <v>2616</v>
      </c>
      <c r="I6355" s="417" t="s">
        <v>1392</v>
      </c>
      <c r="J6355" s="417" t="s">
        <v>14281</v>
      </c>
      <c r="K6355" s="417" t="s">
        <v>15181</v>
      </c>
      <c r="L6355" s="417"/>
      <c r="M6355" s="417" t="s">
        <v>28840</v>
      </c>
    </row>
    <row r="6356" spans="1:13" x14ac:dyDescent="0.25">
      <c r="A6356" s="417" t="s">
        <v>3385</v>
      </c>
      <c r="B6356" s="417" t="s">
        <v>2627</v>
      </c>
      <c r="C6356" s="417" t="s">
        <v>15182</v>
      </c>
      <c r="D6356" s="417" t="s">
        <v>83</v>
      </c>
      <c r="E6356" s="423">
        <v>0.93142559141330616</v>
      </c>
      <c r="F6356" s="423">
        <v>2.2397203255740319E-2</v>
      </c>
      <c r="G6356" s="422">
        <v>1730.390926217302</v>
      </c>
      <c r="H6356" s="417" t="s">
        <v>2616</v>
      </c>
      <c r="I6356" s="417" t="s">
        <v>1392</v>
      </c>
      <c r="J6356" s="417" t="s">
        <v>14281</v>
      </c>
      <c r="K6356" s="417" t="s">
        <v>15183</v>
      </c>
      <c r="L6356" s="417"/>
      <c r="M6356" s="417" t="s">
        <v>28840</v>
      </c>
    </row>
    <row r="6357" spans="1:13" x14ac:dyDescent="0.25">
      <c r="A6357" s="417" t="s">
        <v>3385</v>
      </c>
      <c r="B6357" s="417" t="s">
        <v>2627</v>
      </c>
      <c r="C6357" s="417" t="s">
        <v>15184</v>
      </c>
      <c r="D6357" s="417" t="s">
        <v>83</v>
      </c>
      <c r="E6357" s="423">
        <v>0.70293423875666139</v>
      </c>
      <c r="F6357" s="423">
        <v>1.054218379532524E-2</v>
      </c>
      <c r="G6357" s="422">
        <v>1344.9293392484019</v>
      </c>
      <c r="H6357" s="417" t="s">
        <v>2616</v>
      </c>
      <c r="I6357" s="417" t="s">
        <v>1392</v>
      </c>
      <c r="J6357" s="417" t="s">
        <v>14281</v>
      </c>
      <c r="K6357" s="417" t="s">
        <v>15185</v>
      </c>
      <c r="L6357" s="417"/>
      <c r="M6357" s="417" t="s">
        <v>28840</v>
      </c>
    </row>
    <row r="6358" spans="1:13" x14ac:dyDescent="0.25">
      <c r="A6358" s="417" t="s">
        <v>3385</v>
      </c>
      <c r="B6358" s="417" t="s">
        <v>2627</v>
      </c>
      <c r="C6358" s="417" t="s">
        <v>15186</v>
      </c>
      <c r="D6358" s="417" t="s">
        <v>83</v>
      </c>
      <c r="E6358" s="423">
        <v>0.54243326673744274</v>
      </c>
      <c r="F6358" s="423">
        <v>2.2147695424561131E-3</v>
      </c>
      <c r="G6358" s="422">
        <v>1074.1665351403869</v>
      </c>
      <c r="H6358" s="417" t="s">
        <v>2616</v>
      </c>
      <c r="I6358" s="417" t="s">
        <v>1392</v>
      </c>
      <c r="J6358" s="417" t="s">
        <v>14281</v>
      </c>
      <c r="K6358" s="417" t="s">
        <v>15187</v>
      </c>
      <c r="L6358" s="417"/>
      <c r="M6358" s="417" t="s">
        <v>28840</v>
      </c>
    </row>
    <row r="6359" spans="1:13" x14ac:dyDescent="0.25">
      <c r="A6359" s="417" t="s">
        <v>3385</v>
      </c>
      <c r="B6359" s="417" t="s">
        <v>2627</v>
      </c>
      <c r="C6359" s="417" t="s">
        <v>15188</v>
      </c>
      <c r="D6359" s="417" t="s">
        <v>83</v>
      </c>
      <c r="E6359" s="423">
        <v>0.54243326673744274</v>
      </c>
      <c r="F6359" s="423">
        <v>2.2147695424561131E-3</v>
      </c>
      <c r="G6359" s="422">
        <v>1074.1665351403869</v>
      </c>
      <c r="H6359" s="417" t="s">
        <v>2616</v>
      </c>
      <c r="I6359" s="417" t="s">
        <v>1392</v>
      </c>
      <c r="J6359" s="417" t="s">
        <v>14281</v>
      </c>
      <c r="K6359" s="417" t="s">
        <v>15189</v>
      </c>
      <c r="L6359" s="417"/>
      <c r="M6359" s="417" t="s">
        <v>28840</v>
      </c>
    </row>
    <row r="6360" spans="1:13" x14ac:dyDescent="0.25">
      <c r="A6360" s="417" t="s">
        <v>3385</v>
      </c>
      <c r="B6360" s="417" t="s">
        <v>2627</v>
      </c>
      <c r="C6360" s="417" t="s">
        <v>15190</v>
      </c>
      <c r="D6360" s="417" t="s">
        <v>83</v>
      </c>
      <c r="E6360" s="423">
        <v>0.57779788768959284</v>
      </c>
      <c r="F6360" s="423">
        <v>4.0496235302530303E-3</v>
      </c>
      <c r="G6360" s="422">
        <v>1133.826136068551</v>
      </c>
      <c r="H6360" s="417" t="s">
        <v>2616</v>
      </c>
      <c r="I6360" s="417" t="s">
        <v>1392</v>
      </c>
      <c r="J6360" s="417" t="s">
        <v>14281</v>
      </c>
      <c r="K6360" s="417" t="s">
        <v>15191</v>
      </c>
      <c r="L6360" s="417"/>
      <c r="M6360" s="417" t="s">
        <v>28840</v>
      </c>
    </row>
    <row r="6361" spans="1:13" x14ac:dyDescent="0.25">
      <c r="A6361" s="417" t="s">
        <v>3385</v>
      </c>
      <c r="B6361" s="417" t="s">
        <v>2627</v>
      </c>
      <c r="C6361" s="417" t="s">
        <v>15192</v>
      </c>
      <c r="D6361" s="417" t="s">
        <v>83</v>
      </c>
      <c r="E6361" s="423">
        <v>0.88519805444415056</v>
      </c>
      <c r="F6361" s="423">
        <v>1.9998738963849339E-2</v>
      </c>
      <c r="G6361" s="422">
        <v>1652.4057437841859</v>
      </c>
      <c r="H6361" s="417" t="s">
        <v>2616</v>
      </c>
      <c r="I6361" s="417" t="s">
        <v>1392</v>
      </c>
      <c r="J6361" s="417" t="s">
        <v>14281</v>
      </c>
      <c r="K6361" s="417" t="s">
        <v>15193</v>
      </c>
      <c r="L6361" s="417"/>
      <c r="M6361" s="417" t="s">
        <v>28840</v>
      </c>
    </row>
    <row r="6362" spans="1:13" x14ac:dyDescent="0.25">
      <c r="A6362" s="417" t="s">
        <v>3385</v>
      </c>
      <c r="B6362" s="417" t="s">
        <v>2627</v>
      </c>
      <c r="C6362" s="417" t="s">
        <v>15194</v>
      </c>
      <c r="D6362" s="417" t="s">
        <v>83</v>
      </c>
      <c r="E6362" s="423">
        <v>0.80768829488194338</v>
      </c>
      <c r="F6362" s="423">
        <v>1.4176815247013129E-2</v>
      </c>
      <c r="G6362" s="422">
        <v>1506.2307923830799</v>
      </c>
      <c r="H6362" s="417" t="s">
        <v>2616</v>
      </c>
      <c r="I6362" s="417" t="s">
        <v>1392</v>
      </c>
      <c r="J6362" s="417" t="s">
        <v>14281</v>
      </c>
      <c r="K6362" s="417" t="s">
        <v>15195</v>
      </c>
      <c r="L6362" s="417"/>
      <c r="M6362" s="417" t="s">
        <v>28840</v>
      </c>
    </row>
    <row r="6363" spans="1:13" x14ac:dyDescent="0.25">
      <c r="A6363" s="417" t="s">
        <v>3385</v>
      </c>
      <c r="B6363" s="417" t="s">
        <v>2627</v>
      </c>
      <c r="C6363" s="417" t="s">
        <v>15196</v>
      </c>
      <c r="D6363" s="417" t="s">
        <v>83</v>
      </c>
      <c r="E6363" s="423">
        <v>0.77489850896081047</v>
      </c>
      <c r="F6363" s="423">
        <v>1.24821923458074E-2</v>
      </c>
      <c r="G6363" s="422">
        <v>1450.971748289679</v>
      </c>
      <c r="H6363" s="417" t="s">
        <v>2616</v>
      </c>
      <c r="I6363" s="417" t="s">
        <v>1392</v>
      </c>
      <c r="J6363" s="417" t="s">
        <v>14281</v>
      </c>
      <c r="K6363" s="417" t="s">
        <v>15197</v>
      </c>
      <c r="L6363" s="417"/>
      <c r="M6363" s="417" t="s">
        <v>28840</v>
      </c>
    </row>
    <row r="6364" spans="1:13" x14ac:dyDescent="0.25">
      <c r="A6364" s="417" t="s">
        <v>3385</v>
      </c>
      <c r="B6364" s="417" t="s">
        <v>2627</v>
      </c>
      <c r="C6364" s="417" t="s">
        <v>15198</v>
      </c>
      <c r="D6364" s="417" t="s">
        <v>83</v>
      </c>
      <c r="E6364" s="423">
        <v>0.81861822352371771</v>
      </c>
      <c r="F6364" s="423">
        <v>1.4741689547421111E-2</v>
      </c>
      <c r="G6364" s="422">
        <v>1524.6504738908191</v>
      </c>
      <c r="H6364" s="417" t="s">
        <v>2616</v>
      </c>
      <c r="I6364" s="417" t="s">
        <v>1392</v>
      </c>
      <c r="J6364" s="417" t="s">
        <v>14281</v>
      </c>
      <c r="K6364" s="417" t="s">
        <v>15199</v>
      </c>
      <c r="L6364" s="417"/>
      <c r="M6364" s="417" t="s">
        <v>28840</v>
      </c>
    </row>
    <row r="6365" spans="1:13" x14ac:dyDescent="0.25">
      <c r="A6365" s="417" t="s">
        <v>3385</v>
      </c>
      <c r="B6365" s="417" t="s">
        <v>2627</v>
      </c>
      <c r="C6365" s="417" t="s">
        <v>15200</v>
      </c>
      <c r="D6365" s="417" t="s">
        <v>83</v>
      </c>
      <c r="E6365" s="423">
        <v>0.80768829488194338</v>
      </c>
      <c r="F6365" s="423">
        <v>1.4176815247013129E-2</v>
      </c>
      <c r="G6365" s="422">
        <v>1506.2307923830799</v>
      </c>
      <c r="H6365" s="417" t="s">
        <v>2616</v>
      </c>
      <c r="I6365" s="417" t="s">
        <v>1392</v>
      </c>
      <c r="J6365" s="417" t="s">
        <v>14281</v>
      </c>
      <c r="K6365" s="417" t="s">
        <v>15201</v>
      </c>
      <c r="L6365" s="417"/>
      <c r="M6365" s="417" t="s">
        <v>28840</v>
      </c>
    </row>
    <row r="6366" spans="1:13" x14ac:dyDescent="0.25">
      <c r="A6366" s="417" t="s">
        <v>3385</v>
      </c>
      <c r="B6366" s="417" t="s">
        <v>2627</v>
      </c>
      <c r="C6366" s="417" t="s">
        <v>15202</v>
      </c>
      <c r="D6366" s="417" t="s">
        <v>83</v>
      </c>
      <c r="E6366" s="423">
        <v>0.84867552728782436</v>
      </c>
      <c r="F6366" s="423">
        <v>1.6295093873416679E-2</v>
      </c>
      <c r="G6366" s="422">
        <v>1575.304598493407</v>
      </c>
      <c r="H6366" s="417" t="s">
        <v>2616</v>
      </c>
      <c r="I6366" s="417" t="s">
        <v>1392</v>
      </c>
      <c r="J6366" s="417" t="s">
        <v>14281</v>
      </c>
      <c r="K6366" s="417" t="s">
        <v>15203</v>
      </c>
      <c r="L6366" s="417"/>
      <c r="M6366" s="417" t="s">
        <v>28840</v>
      </c>
    </row>
    <row r="6367" spans="1:13" x14ac:dyDescent="0.25">
      <c r="A6367" s="417" t="s">
        <v>3385</v>
      </c>
      <c r="B6367" s="417" t="s">
        <v>2627</v>
      </c>
      <c r="C6367" s="417" t="s">
        <v>15204</v>
      </c>
      <c r="D6367" s="417" t="s">
        <v>83</v>
      </c>
      <c r="E6367" s="423">
        <v>0.8514080094469616</v>
      </c>
      <c r="F6367" s="423">
        <v>1.6436312448521711E-2</v>
      </c>
      <c r="G6367" s="422">
        <v>1579.90951849305</v>
      </c>
      <c r="H6367" s="417" t="s">
        <v>2616</v>
      </c>
      <c r="I6367" s="417" t="s">
        <v>1392</v>
      </c>
      <c r="J6367" s="417" t="s">
        <v>14281</v>
      </c>
      <c r="K6367" s="417" t="s">
        <v>15205</v>
      </c>
      <c r="L6367" s="417"/>
      <c r="M6367" s="417" t="s">
        <v>28840</v>
      </c>
    </row>
    <row r="6368" spans="1:13" x14ac:dyDescent="0.25">
      <c r="A6368" s="417" t="s">
        <v>3385</v>
      </c>
      <c r="B6368" s="417" t="s">
        <v>2627</v>
      </c>
      <c r="C6368" s="417" t="s">
        <v>15206</v>
      </c>
      <c r="D6368" s="417" t="s">
        <v>83</v>
      </c>
      <c r="E6368" s="423">
        <v>0.58089227557409151</v>
      </c>
      <c r="F6368" s="423">
        <v>2.45567351411773E-3</v>
      </c>
      <c r="G6368" s="422">
        <v>1124.0224016857089</v>
      </c>
      <c r="H6368" s="417" t="s">
        <v>2616</v>
      </c>
      <c r="I6368" s="417" t="s">
        <v>1392</v>
      </c>
      <c r="J6368" s="417" t="s">
        <v>14281</v>
      </c>
      <c r="K6368" s="417" t="s">
        <v>15207</v>
      </c>
      <c r="L6368" s="417"/>
      <c r="M6368" s="417" t="s">
        <v>28840</v>
      </c>
    </row>
    <row r="6369" spans="1:13" x14ac:dyDescent="0.25">
      <c r="A6369" s="417" t="s">
        <v>3385</v>
      </c>
      <c r="B6369" s="417" t="s">
        <v>2627</v>
      </c>
      <c r="C6369" s="417" t="s">
        <v>15208</v>
      </c>
      <c r="D6369" s="417" t="s">
        <v>83</v>
      </c>
      <c r="E6369" s="423">
        <v>0.73964873338149451</v>
      </c>
      <c r="F6369" s="423">
        <v>1.017902125310244E-2</v>
      </c>
      <c r="G6369" s="422">
        <v>1725.1528802882051</v>
      </c>
      <c r="H6369" s="417" t="s">
        <v>2616</v>
      </c>
      <c r="I6369" s="417" t="s">
        <v>1392</v>
      </c>
      <c r="J6369" s="417" t="s">
        <v>14281</v>
      </c>
      <c r="K6369" s="417" t="s">
        <v>15209</v>
      </c>
      <c r="L6369" s="417"/>
      <c r="M6369" s="417" t="s">
        <v>28840</v>
      </c>
    </row>
    <row r="6370" spans="1:13" x14ac:dyDescent="0.25">
      <c r="A6370" s="417" t="s">
        <v>3385</v>
      </c>
      <c r="B6370" s="417" t="s">
        <v>2627</v>
      </c>
      <c r="C6370" s="417" t="s">
        <v>15210</v>
      </c>
      <c r="D6370" s="417" t="s">
        <v>83</v>
      </c>
      <c r="E6370" s="423">
        <v>0.92691292626645405</v>
      </c>
      <c r="F6370" s="423">
        <v>1.9846885950614599E-2</v>
      </c>
      <c r="G6370" s="422">
        <v>2047.819087405667</v>
      </c>
      <c r="H6370" s="417" t="s">
        <v>2616</v>
      </c>
      <c r="I6370" s="417" t="s">
        <v>1392</v>
      </c>
      <c r="J6370" s="417" t="s">
        <v>14281</v>
      </c>
      <c r="K6370" s="417" t="s">
        <v>15211</v>
      </c>
      <c r="L6370" s="417"/>
      <c r="M6370" s="417" t="s">
        <v>28840</v>
      </c>
    </row>
    <row r="6371" spans="1:13" x14ac:dyDescent="0.25">
      <c r="A6371" s="417" t="s">
        <v>3385</v>
      </c>
      <c r="B6371" s="417" t="s">
        <v>2627</v>
      </c>
      <c r="C6371" s="417" t="s">
        <v>15212</v>
      </c>
      <c r="D6371" s="417" t="s">
        <v>83</v>
      </c>
      <c r="E6371" s="423">
        <v>0.64877052210310848</v>
      </c>
      <c r="F6371" s="423">
        <v>5.4872633844448137E-3</v>
      </c>
      <c r="G6371" s="422">
        <v>1568.5648680590709</v>
      </c>
      <c r="H6371" s="417" t="s">
        <v>2616</v>
      </c>
      <c r="I6371" s="417" t="s">
        <v>1392</v>
      </c>
      <c r="J6371" s="417" t="s">
        <v>14281</v>
      </c>
      <c r="K6371" s="417" t="s">
        <v>15213</v>
      </c>
      <c r="L6371" s="417"/>
      <c r="M6371" s="417" t="s">
        <v>28840</v>
      </c>
    </row>
    <row r="6372" spans="1:13" x14ac:dyDescent="0.25">
      <c r="A6372" s="417" t="s">
        <v>3385</v>
      </c>
      <c r="B6372" s="417" t="s">
        <v>2627</v>
      </c>
      <c r="C6372" s="417" t="s">
        <v>15214</v>
      </c>
      <c r="D6372" s="417" t="s">
        <v>83</v>
      </c>
      <c r="E6372" s="423">
        <v>0.98199063006025367</v>
      </c>
      <c r="F6372" s="423">
        <v>2.2690375567672619E-2</v>
      </c>
      <c r="G6372" s="422">
        <v>2142.7209131036079</v>
      </c>
      <c r="H6372" s="417" t="s">
        <v>2616</v>
      </c>
      <c r="I6372" s="417" t="s">
        <v>1392</v>
      </c>
      <c r="J6372" s="417" t="s">
        <v>14281</v>
      </c>
      <c r="K6372" s="417" t="s">
        <v>15215</v>
      </c>
      <c r="L6372" s="417"/>
      <c r="M6372" s="417" t="s">
        <v>28840</v>
      </c>
    </row>
    <row r="6373" spans="1:13" x14ac:dyDescent="0.25">
      <c r="A6373" s="417" t="s">
        <v>3385</v>
      </c>
      <c r="B6373" s="417" t="s">
        <v>2627</v>
      </c>
      <c r="C6373" s="417" t="s">
        <v>15216</v>
      </c>
      <c r="D6373" s="417" t="s">
        <v>83</v>
      </c>
      <c r="E6373" s="423">
        <v>0.81400363348347349</v>
      </c>
      <c r="F6373" s="423">
        <v>1.401773223534407E-2</v>
      </c>
      <c r="G6373" s="422">
        <v>1853.2703448764521</v>
      </c>
      <c r="H6373" s="417" t="s">
        <v>2616</v>
      </c>
      <c r="I6373" s="417" t="s">
        <v>1392</v>
      </c>
      <c r="J6373" s="417" t="s">
        <v>14281</v>
      </c>
      <c r="K6373" s="417" t="s">
        <v>15217</v>
      </c>
      <c r="L6373" s="417"/>
      <c r="M6373" s="417" t="s">
        <v>28840</v>
      </c>
    </row>
    <row r="6374" spans="1:13" x14ac:dyDescent="0.25">
      <c r="A6374" s="417" t="s">
        <v>3385</v>
      </c>
      <c r="B6374" s="417" t="s">
        <v>2627</v>
      </c>
      <c r="C6374" s="417" t="s">
        <v>15218</v>
      </c>
      <c r="D6374" s="417" t="s">
        <v>83</v>
      </c>
      <c r="E6374" s="423">
        <v>0.82501917424917692</v>
      </c>
      <c r="F6374" s="423">
        <v>1.458643015916403E-2</v>
      </c>
      <c r="G6374" s="422">
        <v>1872.250710183524</v>
      </c>
      <c r="H6374" s="417" t="s">
        <v>2616</v>
      </c>
      <c r="I6374" s="417" t="s">
        <v>1392</v>
      </c>
      <c r="J6374" s="417" t="s">
        <v>14281</v>
      </c>
      <c r="K6374" s="417" t="s">
        <v>15219</v>
      </c>
      <c r="L6374" s="417"/>
      <c r="M6374" s="417" t="s">
        <v>28840</v>
      </c>
    </row>
    <row r="6375" spans="1:13" x14ac:dyDescent="0.25">
      <c r="A6375" s="417" t="s">
        <v>3385</v>
      </c>
      <c r="B6375" s="417" t="s">
        <v>2627</v>
      </c>
      <c r="C6375" s="417" t="s">
        <v>15220</v>
      </c>
      <c r="D6375" s="417" t="s">
        <v>83</v>
      </c>
      <c r="E6375" s="423">
        <v>1.260133034209838</v>
      </c>
      <c r="F6375" s="423">
        <v>3.7049998133490102E-2</v>
      </c>
      <c r="G6375" s="422">
        <v>2621.9751320959572</v>
      </c>
      <c r="H6375" s="417" t="s">
        <v>2616</v>
      </c>
      <c r="I6375" s="417" t="s">
        <v>1392</v>
      </c>
      <c r="J6375" s="417" t="s">
        <v>14281</v>
      </c>
      <c r="K6375" s="417" t="s">
        <v>15221</v>
      </c>
      <c r="L6375" s="417"/>
      <c r="M6375" s="417" t="s">
        <v>28840</v>
      </c>
    </row>
    <row r="6376" spans="1:13" x14ac:dyDescent="0.25">
      <c r="A6376" s="417" t="s">
        <v>3385</v>
      </c>
      <c r="B6376" s="417" t="s">
        <v>2627</v>
      </c>
      <c r="C6376" s="417" t="s">
        <v>15222</v>
      </c>
      <c r="D6376" s="417" t="s">
        <v>83</v>
      </c>
      <c r="E6376" s="423">
        <v>0.64877052210310848</v>
      </c>
      <c r="F6376" s="423">
        <v>5.4872633844448137E-3</v>
      </c>
      <c r="G6376" s="422">
        <v>1568.5648680590709</v>
      </c>
      <c r="H6376" s="417" t="s">
        <v>2616</v>
      </c>
      <c r="I6376" s="417" t="s">
        <v>1392</v>
      </c>
      <c r="J6376" s="417" t="s">
        <v>14281</v>
      </c>
      <c r="K6376" s="417" t="s">
        <v>15223</v>
      </c>
      <c r="L6376" s="417"/>
      <c r="M6376" s="417" t="s">
        <v>28840</v>
      </c>
    </row>
    <row r="6377" spans="1:13" x14ac:dyDescent="0.25">
      <c r="A6377" s="417" t="s">
        <v>3385</v>
      </c>
      <c r="B6377" s="417" t="s">
        <v>2627</v>
      </c>
      <c r="C6377" s="417" t="s">
        <v>15224</v>
      </c>
      <c r="D6377" s="417" t="s">
        <v>83</v>
      </c>
      <c r="E6377" s="423">
        <v>0.64877052210310848</v>
      </c>
      <c r="F6377" s="423">
        <v>5.4872633844448137E-3</v>
      </c>
      <c r="G6377" s="422">
        <v>1568.5648680590709</v>
      </c>
      <c r="H6377" s="417" t="s">
        <v>2616</v>
      </c>
      <c r="I6377" s="417" t="s">
        <v>1392</v>
      </c>
      <c r="J6377" s="417" t="s">
        <v>14281</v>
      </c>
      <c r="K6377" s="417" t="s">
        <v>15225</v>
      </c>
      <c r="L6377" s="417"/>
      <c r="M6377" s="417" t="s">
        <v>28840</v>
      </c>
    </row>
    <row r="6378" spans="1:13" x14ac:dyDescent="0.25">
      <c r="A6378" s="417" t="s">
        <v>3385</v>
      </c>
      <c r="B6378" s="417" t="s">
        <v>2627</v>
      </c>
      <c r="C6378" s="417" t="s">
        <v>15226</v>
      </c>
      <c r="D6378" s="417" t="s">
        <v>83</v>
      </c>
      <c r="E6378" s="423">
        <v>0.71761765184985826</v>
      </c>
      <c r="F6378" s="423">
        <v>9.0416254058944961E-3</v>
      </c>
      <c r="G6378" s="422">
        <v>1687.19215006583</v>
      </c>
      <c r="H6378" s="417" t="s">
        <v>2616</v>
      </c>
      <c r="I6378" s="417" t="s">
        <v>1392</v>
      </c>
      <c r="J6378" s="417" t="s">
        <v>14281</v>
      </c>
      <c r="K6378" s="417" t="s">
        <v>15227</v>
      </c>
      <c r="L6378" s="417"/>
      <c r="M6378" s="417" t="s">
        <v>28840</v>
      </c>
    </row>
    <row r="6379" spans="1:13" x14ac:dyDescent="0.25">
      <c r="A6379" s="417" t="s">
        <v>3385</v>
      </c>
      <c r="B6379" s="417" t="s">
        <v>2627</v>
      </c>
      <c r="C6379" s="417" t="s">
        <v>15228</v>
      </c>
      <c r="D6379" s="417" t="s">
        <v>83</v>
      </c>
      <c r="E6379" s="423">
        <v>0.76718758525253128</v>
      </c>
      <c r="F6379" s="423">
        <v>1.160076606045689E-2</v>
      </c>
      <c r="G6379" s="422">
        <v>1772.6037931721351</v>
      </c>
      <c r="H6379" s="417" t="s">
        <v>2616</v>
      </c>
      <c r="I6379" s="417" t="s">
        <v>1392</v>
      </c>
      <c r="J6379" s="417" t="s">
        <v>14281</v>
      </c>
      <c r="K6379" s="417" t="s">
        <v>15229</v>
      </c>
      <c r="L6379" s="417"/>
      <c r="M6379" s="417" t="s">
        <v>28840</v>
      </c>
    </row>
    <row r="6380" spans="1:13" x14ac:dyDescent="0.25">
      <c r="A6380" s="417" t="s">
        <v>3385</v>
      </c>
      <c r="B6380" s="417" t="s">
        <v>2627</v>
      </c>
      <c r="C6380" s="417" t="s">
        <v>15230</v>
      </c>
      <c r="D6380" s="417" t="s">
        <v>83</v>
      </c>
      <c r="E6380" s="423">
        <v>0.63860333554372495</v>
      </c>
      <c r="F6380" s="423">
        <v>7.05717436342036E-3</v>
      </c>
      <c r="G6380" s="422">
        <v>1257.5479282465119</v>
      </c>
      <c r="H6380" s="417" t="s">
        <v>2616</v>
      </c>
      <c r="I6380" s="417" t="s">
        <v>1392</v>
      </c>
      <c r="J6380" s="417" t="s">
        <v>14281</v>
      </c>
      <c r="K6380" s="417" t="s">
        <v>15231</v>
      </c>
      <c r="L6380" s="417"/>
      <c r="M6380" s="417" t="s">
        <v>28840</v>
      </c>
    </row>
    <row r="6381" spans="1:13" x14ac:dyDescent="0.25">
      <c r="A6381" s="417" t="s">
        <v>3385</v>
      </c>
      <c r="B6381" s="417" t="s">
        <v>2627</v>
      </c>
      <c r="C6381" s="417" t="s">
        <v>15232</v>
      </c>
      <c r="D6381" s="417" t="s">
        <v>83</v>
      </c>
      <c r="E6381" s="423">
        <v>0.66582685818945342</v>
      </c>
      <c r="F6381" s="423">
        <v>8.469176988755012E-3</v>
      </c>
      <c r="G6381" s="422">
        <v>1303.53959819899</v>
      </c>
      <c r="H6381" s="417" t="s">
        <v>2616</v>
      </c>
      <c r="I6381" s="417" t="s">
        <v>1392</v>
      </c>
      <c r="J6381" s="417" t="s">
        <v>14281</v>
      </c>
      <c r="K6381" s="417" t="s">
        <v>15233</v>
      </c>
      <c r="L6381" s="417"/>
      <c r="M6381" s="417" t="s">
        <v>28840</v>
      </c>
    </row>
    <row r="6382" spans="1:13" x14ac:dyDescent="0.25">
      <c r="A6382" s="417" t="s">
        <v>3385</v>
      </c>
      <c r="B6382" s="417" t="s">
        <v>2627</v>
      </c>
      <c r="C6382" s="417" t="s">
        <v>15234</v>
      </c>
      <c r="D6382" s="417" t="s">
        <v>83</v>
      </c>
      <c r="E6382" s="423">
        <v>0.74749741997899122</v>
      </c>
      <c r="F6382" s="423">
        <v>1.2705184292555519E-2</v>
      </c>
      <c r="G6382" s="422">
        <v>1441.5145964009901</v>
      </c>
      <c r="H6382" s="417" t="s">
        <v>2616</v>
      </c>
      <c r="I6382" s="417" t="s">
        <v>1392</v>
      </c>
      <c r="J6382" s="417" t="s">
        <v>14281</v>
      </c>
      <c r="K6382" s="417" t="s">
        <v>15235</v>
      </c>
      <c r="L6382" s="417"/>
      <c r="M6382" s="417" t="s">
        <v>28840</v>
      </c>
    </row>
    <row r="6383" spans="1:13" x14ac:dyDescent="0.25">
      <c r="A6383" s="417" t="s">
        <v>3385</v>
      </c>
      <c r="B6383" s="417" t="s">
        <v>2627</v>
      </c>
      <c r="C6383" s="417" t="s">
        <v>15236</v>
      </c>
      <c r="D6383" s="417" t="s">
        <v>83</v>
      </c>
      <c r="E6383" s="423">
        <v>0.7202739003937797</v>
      </c>
      <c r="F6383" s="423">
        <v>1.129318188420728E-2</v>
      </c>
      <c r="G6383" s="422">
        <v>1395.522933012247</v>
      </c>
      <c r="H6383" s="417" t="s">
        <v>2616</v>
      </c>
      <c r="I6383" s="417" t="s">
        <v>1392</v>
      </c>
      <c r="J6383" s="417" t="s">
        <v>14281</v>
      </c>
      <c r="K6383" s="417" t="s">
        <v>15237</v>
      </c>
      <c r="L6383" s="417"/>
      <c r="M6383" s="417" t="s">
        <v>28840</v>
      </c>
    </row>
    <row r="6384" spans="1:13" x14ac:dyDescent="0.25">
      <c r="A6384" s="417" t="s">
        <v>3385</v>
      </c>
      <c r="B6384" s="417" t="s">
        <v>2627</v>
      </c>
      <c r="C6384" s="417" t="s">
        <v>15238</v>
      </c>
      <c r="D6384" s="417" t="s">
        <v>83</v>
      </c>
      <c r="E6384" s="423">
        <v>0.73660801386188979</v>
      </c>
      <c r="F6384" s="423">
        <v>1.214038360639277E-2</v>
      </c>
      <c r="G6384" s="422">
        <v>1423.117935953625</v>
      </c>
      <c r="H6384" s="417" t="s">
        <v>2616</v>
      </c>
      <c r="I6384" s="417" t="s">
        <v>1392</v>
      </c>
      <c r="J6384" s="417" t="s">
        <v>14281</v>
      </c>
      <c r="K6384" s="417" t="s">
        <v>15239</v>
      </c>
      <c r="L6384" s="417"/>
      <c r="M6384" s="417" t="s">
        <v>28840</v>
      </c>
    </row>
    <row r="6385" spans="1:13" x14ac:dyDescent="0.25">
      <c r="A6385" s="417" t="s">
        <v>3385</v>
      </c>
      <c r="B6385" s="417" t="s">
        <v>2627</v>
      </c>
      <c r="C6385" s="417" t="s">
        <v>15240</v>
      </c>
      <c r="D6385" s="417" t="s">
        <v>83</v>
      </c>
      <c r="E6385" s="423">
        <v>0.68488332517282935</v>
      </c>
      <c r="F6385" s="423">
        <v>9.4575788352402219E-3</v>
      </c>
      <c r="G6385" s="422">
        <v>1335.733770043322</v>
      </c>
      <c r="H6385" s="417" t="s">
        <v>2616</v>
      </c>
      <c r="I6385" s="417" t="s">
        <v>1392</v>
      </c>
      <c r="J6385" s="417" t="s">
        <v>14281</v>
      </c>
      <c r="K6385" s="417" t="s">
        <v>15241</v>
      </c>
      <c r="L6385" s="417"/>
      <c r="M6385" s="417" t="s">
        <v>28840</v>
      </c>
    </row>
    <row r="6386" spans="1:13" x14ac:dyDescent="0.25">
      <c r="A6386" s="417" t="s">
        <v>3385</v>
      </c>
      <c r="B6386" s="417" t="s">
        <v>2627</v>
      </c>
      <c r="C6386" s="417" t="s">
        <v>15242</v>
      </c>
      <c r="D6386" s="417" t="s">
        <v>83</v>
      </c>
      <c r="E6386" s="423">
        <v>0.60049040657740538</v>
      </c>
      <c r="F6386" s="423">
        <v>5.0803709547716288E-3</v>
      </c>
      <c r="G6386" s="422">
        <v>1193.159595526766</v>
      </c>
      <c r="H6386" s="417" t="s">
        <v>2616</v>
      </c>
      <c r="I6386" s="417" t="s">
        <v>1392</v>
      </c>
      <c r="J6386" s="417" t="s">
        <v>14281</v>
      </c>
      <c r="K6386" s="417" t="s">
        <v>15243</v>
      </c>
      <c r="L6386" s="417"/>
      <c r="M6386" s="417" t="s">
        <v>28840</v>
      </c>
    </row>
    <row r="6387" spans="1:13" x14ac:dyDescent="0.25">
      <c r="A6387" s="417" t="s">
        <v>3385</v>
      </c>
      <c r="B6387" s="417" t="s">
        <v>2627</v>
      </c>
      <c r="C6387" s="417" t="s">
        <v>15244</v>
      </c>
      <c r="D6387" s="417" t="s">
        <v>83</v>
      </c>
      <c r="E6387" s="423">
        <v>0.66582685818945342</v>
      </c>
      <c r="F6387" s="423">
        <v>8.469176988755012E-3</v>
      </c>
      <c r="G6387" s="422">
        <v>1303.53959819899</v>
      </c>
      <c r="H6387" s="417" t="s">
        <v>2616</v>
      </c>
      <c r="I6387" s="417" t="s">
        <v>1392</v>
      </c>
      <c r="J6387" s="417" t="s">
        <v>14281</v>
      </c>
      <c r="K6387" s="417" t="s">
        <v>15245</v>
      </c>
      <c r="L6387" s="417"/>
      <c r="M6387" s="417" t="s">
        <v>28840</v>
      </c>
    </row>
    <row r="6388" spans="1:13" x14ac:dyDescent="0.25">
      <c r="A6388" s="417" t="s">
        <v>3385</v>
      </c>
      <c r="B6388" s="417" t="s">
        <v>2627</v>
      </c>
      <c r="C6388" s="417" t="s">
        <v>15246</v>
      </c>
      <c r="D6388" s="417" t="s">
        <v>83</v>
      </c>
      <c r="E6388" s="423">
        <v>0.86222546420442492</v>
      </c>
      <c r="F6388" s="423">
        <v>1.3414448768684469E-2</v>
      </c>
      <c r="G6388" s="422">
        <v>1558.2645862372319</v>
      </c>
      <c r="H6388" s="417" t="s">
        <v>2616</v>
      </c>
      <c r="I6388" s="417" t="s">
        <v>1392</v>
      </c>
      <c r="J6388" s="417" t="s">
        <v>14281</v>
      </c>
      <c r="K6388" s="417" t="s">
        <v>15247</v>
      </c>
      <c r="L6388" s="417"/>
      <c r="M6388" s="417" t="s">
        <v>28840</v>
      </c>
    </row>
    <row r="6389" spans="1:13" x14ac:dyDescent="0.25">
      <c r="A6389" s="417" t="s">
        <v>3385</v>
      </c>
      <c r="B6389" s="417" t="s">
        <v>2627</v>
      </c>
      <c r="C6389" s="417" t="s">
        <v>15248</v>
      </c>
      <c r="D6389" s="417" t="s">
        <v>83</v>
      </c>
      <c r="E6389" s="423">
        <v>1.129129076684162</v>
      </c>
      <c r="F6389" s="423">
        <v>2.7101585828982831E-2</v>
      </c>
      <c r="G6389" s="422">
        <v>2006.8748594175979</v>
      </c>
      <c r="H6389" s="417" t="s">
        <v>2616</v>
      </c>
      <c r="I6389" s="417" t="s">
        <v>1392</v>
      </c>
      <c r="J6389" s="417" t="s">
        <v>14281</v>
      </c>
      <c r="K6389" s="417" t="s">
        <v>15249</v>
      </c>
      <c r="L6389" s="417"/>
      <c r="M6389" s="417" t="s">
        <v>28840</v>
      </c>
    </row>
    <row r="6390" spans="1:13" x14ac:dyDescent="0.25">
      <c r="A6390" s="417" t="s">
        <v>3385</v>
      </c>
      <c r="B6390" s="417" t="s">
        <v>2627</v>
      </c>
      <c r="C6390" s="417" t="s">
        <v>15250</v>
      </c>
      <c r="D6390" s="417" t="s">
        <v>83</v>
      </c>
      <c r="E6390" s="423">
        <v>0.820948814911587</v>
      </c>
      <c r="F6390" s="423">
        <v>1.1297732734243761E-2</v>
      </c>
      <c r="G6390" s="422">
        <v>1488.8869980154129</v>
      </c>
      <c r="H6390" s="417" t="s">
        <v>2616</v>
      </c>
      <c r="I6390" s="417" t="s">
        <v>1392</v>
      </c>
      <c r="J6390" s="417" t="s">
        <v>14281</v>
      </c>
      <c r="K6390" s="417" t="s">
        <v>15251</v>
      </c>
      <c r="L6390" s="417"/>
      <c r="M6390" s="417" t="s">
        <v>28840</v>
      </c>
    </row>
    <row r="6391" spans="1:13" x14ac:dyDescent="0.25">
      <c r="A6391" s="417" t="s">
        <v>3385</v>
      </c>
      <c r="B6391" s="417" t="s">
        <v>2627</v>
      </c>
      <c r="C6391" s="417" t="s">
        <v>15252</v>
      </c>
      <c r="D6391" s="417" t="s">
        <v>83</v>
      </c>
      <c r="E6391" s="423">
        <v>0.83470769800659594</v>
      </c>
      <c r="F6391" s="423">
        <v>1.200330474564758E-2</v>
      </c>
      <c r="G6391" s="422">
        <v>1512.0128607475849</v>
      </c>
      <c r="H6391" s="417" t="s">
        <v>2616</v>
      </c>
      <c r="I6391" s="417" t="s">
        <v>1392</v>
      </c>
      <c r="J6391" s="417" t="s">
        <v>14281</v>
      </c>
      <c r="K6391" s="417" t="s">
        <v>15253</v>
      </c>
      <c r="L6391" s="417"/>
      <c r="M6391" s="417" t="s">
        <v>28840</v>
      </c>
    </row>
    <row r="6392" spans="1:13" x14ac:dyDescent="0.25">
      <c r="A6392" s="417" t="s">
        <v>3385</v>
      </c>
      <c r="B6392" s="417" t="s">
        <v>2627</v>
      </c>
      <c r="C6392" s="417" t="s">
        <v>15254</v>
      </c>
      <c r="D6392" s="417" t="s">
        <v>83</v>
      </c>
      <c r="E6392" s="423">
        <v>0.84296302786590849</v>
      </c>
      <c r="F6392" s="423">
        <v>1.242664795272143E-2</v>
      </c>
      <c r="G6392" s="422">
        <v>1525.8883782205301</v>
      </c>
      <c r="H6392" s="417" t="s">
        <v>2616</v>
      </c>
      <c r="I6392" s="417" t="s">
        <v>1392</v>
      </c>
      <c r="J6392" s="417" t="s">
        <v>14281</v>
      </c>
      <c r="K6392" s="417" t="s">
        <v>15255</v>
      </c>
      <c r="L6392" s="417"/>
      <c r="M6392" s="417" t="s">
        <v>28840</v>
      </c>
    </row>
    <row r="6393" spans="1:13" x14ac:dyDescent="0.25">
      <c r="A6393" s="417" t="s">
        <v>3385</v>
      </c>
      <c r="B6393" s="417" t="s">
        <v>2627</v>
      </c>
      <c r="C6393" s="417" t="s">
        <v>15256</v>
      </c>
      <c r="D6393" s="417" t="s">
        <v>83</v>
      </c>
      <c r="E6393" s="423">
        <v>0.64208333466740386</v>
      </c>
      <c r="F6393" s="423">
        <v>2.1252965853235379E-3</v>
      </c>
      <c r="G6393" s="422">
        <v>1188.250782612291</v>
      </c>
      <c r="H6393" s="417" t="s">
        <v>2616</v>
      </c>
      <c r="I6393" s="417" t="s">
        <v>1392</v>
      </c>
      <c r="J6393" s="417" t="s">
        <v>14281</v>
      </c>
      <c r="K6393" s="417" t="s">
        <v>15257</v>
      </c>
      <c r="L6393" s="417"/>
      <c r="M6393" s="417" t="s">
        <v>28840</v>
      </c>
    </row>
    <row r="6394" spans="1:13" x14ac:dyDescent="0.25">
      <c r="A6394" s="417" t="s">
        <v>3385</v>
      </c>
      <c r="B6394" s="417" t="s">
        <v>2627</v>
      </c>
      <c r="C6394" s="417" t="s">
        <v>15258</v>
      </c>
      <c r="D6394" s="417" t="s">
        <v>83</v>
      </c>
      <c r="E6394" s="423">
        <v>0.87598434729752417</v>
      </c>
      <c r="F6394" s="423">
        <v>1.4120020780090149E-2</v>
      </c>
      <c r="G6394" s="422">
        <v>1581.3904490017951</v>
      </c>
      <c r="H6394" s="417" t="s">
        <v>2616</v>
      </c>
      <c r="I6394" s="417" t="s">
        <v>1392</v>
      </c>
      <c r="J6394" s="417" t="s">
        <v>14281</v>
      </c>
      <c r="K6394" s="417" t="s">
        <v>15259</v>
      </c>
      <c r="L6394" s="417"/>
      <c r="M6394" s="417" t="s">
        <v>28840</v>
      </c>
    </row>
    <row r="6395" spans="1:13" x14ac:dyDescent="0.25">
      <c r="A6395" s="417" t="s">
        <v>3385</v>
      </c>
      <c r="B6395" s="417" t="s">
        <v>2627</v>
      </c>
      <c r="C6395" s="417" t="s">
        <v>15260</v>
      </c>
      <c r="D6395" s="417" t="s">
        <v>83</v>
      </c>
      <c r="E6395" s="423">
        <v>0.88148790052747794</v>
      </c>
      <c r="F6395" s="423">
        <v>1.440224958465991E-2</v>
      </c>
      <c r="G6395" s="422">
        <v>1590.64079407797</v>
      </c>
      <c r="H6395" s="417" t="s">
        <v>2616</v>
      </c>
      <c r="I6395" s="417" t="s">
        <v>1392</v>
      </c>
      <c r="J6395" s="417" t="s">
        <v>14281</v>
      </c>
      <c r="K6395" s="417" t="s">
        <v>15261</v>
      </c>
      <c r="L6395" s="417"/>
      <c r="M6395" s="417" t="s">
        <v>28840</v>
      </c>
    </row>
    <row r="6396" spans="1:13" x14ac:dyDescent="0.25">
      <c r="A6396" s="417" t="s">
        <v>3385</v>
      </c>
      <c r="B6396" s="417" t="s">
        <v>2627</v>
      </c>
      <c r="C6396" s="417" t="s">
        <v>15262</v>
      </c>
      <c r="D6396" s="417" t="s">
        <v>83</v>
      </c>
      <c r="E6396" s="423">
        <v>1.0108214016406809</v>
      </c>
      <c r="F6396" s="423">
        <v>2.103462649239694E-2</v>
      </c>
      <c r="G6396" s="422">
        <v>1808.0239031799131</v>
      </c>
      <c r="H6396" s="417" t="s">
        <v>2616</v>
      </c>
      <c r="I6396" s="417" t="s">
        <v>1392</v>
      </c>
      <c r="J6396" s="417" t="s">
        <v>14281</v>
      </c>
      <c r="K6396" s="417" t="s">
        <v>15263</v>
      </c>
      <c r="L6396" s="417"/>
      <c r="M6396" s="417" t="s">
        <v>28840</v>
      </c>
    </row>
    <row r="6397" spans="1:13" x14ac:dyDescent="0.25">
      <c r="A6397" s="417" t="s">
        <v>3385</v>
      </c>
      <c r="B6397" s="417" t="s">
        <v>2627</v>
      </c>
      <c r="C6397" s="417" t="s">
        <v>15264</v>
      </c>
      <c r="D6397" s="417" t="s">
        <v>83</v>
      </c>
      <c r="E6397" s="423">
        <v>0.88423967715465746</v>
      </c>
      <c r="F6397" s="423">
        <v>1.454336398711796E-2</v>
      </c>
      <c r="G6397" s="422">
        <v>1595.2659666876989</v>
      </c>
      <c r="H6397" s="417" t="s">
        <v>2616</v>
      </c>
      <c r="I6397" s="417" t="s">
        <v>1392</v>
      </c>
      <c r="J6397" s="417" t="s">
        <v>14281</v>
      </c>
      <c r="K6397" s="417" t="s">
        <v>15265</v>
      </c>
      <c r="L6397" s="417"/>
      <c r="M6397" s="417" t="s">
        <v>28840</v>
      </c>
    </row>
    <row r="6398" spans="1:13" x14ac:dyDescent="0.25">
      <c r="A6398" s="417" t="s">
        <v>3385</v>
      </c>
      <c r="B6398" s="417" t="s">
        <v>2627</v>
      </c>
      <c r="C6398" s="417" t="s">
        <v>15266</v>
      </c>
      <c r="D6398" s="417" t="s">
        <v>83</v>
      </c>
      <c r="E6398" s="423">
        <v>1.192438658489511</v>
      </c>
      <c r="F6398" s="423">
        <v>3.0348177043583269E-2</v>
      </c>
      <c r="G6398" s="422">
        <v>2113.285291414335</v>
      </c>
      <c r="H6398" s="417" t="s">
        <v>2616</v>
      </c>
      <c r="I6398" s="417" t="s">
        <v>1392</v>
      </c>
      <c r="J6398" s="417" t="s">
        <v>14281</v>
      </c>
      <c r="K6398" s="417" t="s">
        <v>15267</v>
      </c>
      <c r="L6398" s="417"/>
      <c r="M6398" s="417" t="s">
        <v>28840</v>
      </c>
    </row>
    <row r="6399" spans="1:13" x14ac:dyDescent="0.25">
      <c r="A6399" s="417" t="s">
        <v>3385</v>
      </c>
      <c r="B6399" s="417" t="s">
        <v>2627</v>
      </c>
      <c r="C6399" s="417" t="s">
        <v>15268</v>
      </c>
      <c r="D6399" s="417" t="s">
        <v>83</v>
      </c>
      <c r="E6399" s="423">
        <v>1.1814315520191869</v>
      </c>
      <c r="F6399" s="423">
        <v>2.978371943443834E-2</v>
      </c>
      <c r="G6399" s="422">
        <v>2094.784601266726</v>
      </c>
      <c r="H6399" s="417" t="s">
        <v>2616</v>
      </c>
      <c r="I6399" s="417" t="s">
        <v>1392</v>
      </c>
      <c r="J6399" s="417" t="s">
        <v>14281</v>
      </c>
      <c r="K6399" s="417" t="s">
        <v>15269</v>
      </c>
      <c r="L6399" s="417"/>
      <c r="M6399" s="417" t="s">
        <v>28840</v>
      </c>
    </row>
    <row r="6400" spans="1:13" x14ac:dyDescent="0.25">
      <c r="A6400" s="417" t="s">
        <v>3385</v>
      </c>
      <c r="B6400" s="417" t="s">
        <v>2627</v>
      </c>
      <c r="C6400" s="417" t="s">
        <v>15270</v>
      </c>
      <c r="D6400" s="417" t="s">
        <v>83</v>
      </c>
      <c r="E6400" s="423">
        <v>1.0355686716351811</v>
      </c>
      <c r="F6400" s="423">
        <v>2.2303696151067951E-2</v>
      </c>
      <c r="G6400" s="422">
        <v>1849.618993137794</v>
      </c>
      <c r="H6400" s="417" t="s">
        <v>2616</v>
      </c>
      <c r="I6400" s="417" t="s">
        <v>1392</v>
      </c>
      <c r="J6400" s="417" t="s">
        <v>14281</v>
      </c>
      <c r="K6400" s="417" t="s">
        <v>15271</v>
      </c>
      <c r="L6400" s="417"/>
      <c r="M6400" s="417" t="s">
        <v>28840</v>
      </c>
    </row>
    <row r="6401" spans="1:13" x14ac:dyDescent="0.25">
      <c r="A6401" s="417" t="s">
        <v>3385</v>
      </c>
      <c r="B6401" s="417" t="s">
        <v>2627</v>
      </c>
      <c r="C6401" s="417" t="s">
        <v>15272</v>
      </c>
      <c r="D6401" s="417" t="s">
        <v>83</v>
      </c>
      <c r="E6401" s="423">
        <v>0.85397013433812952</v>
      </c>
      <c r="F6401" s="423">
        <v>1.2991105561794581E-2</v>
      </c>
      <c r="G6401" s="422">
        <v>1544.3890686994359</v>
      </c>
      <c r="H6401" s="417" t="s">
        <v>2616</v>
      </c>
      <c r="I6401" s="417" t="s">
        <v>1392</v>
      </c>
      <c r="J6401" s="417" t="s">
        <v>14281</v>
      </c>
      <c r="K6401" s="417" t="s">
        <v>15273</v>
      </c>
      <c r="L6401" s="417"/>
      <c r="M6401" s="417" t="s">
        <v>28840</v>
      </c>
    </row>
    <row r="6402" spans="1:13" x14ac:dyDescent="0.25">
      <c r="A6402" s="417" t="s">
        <v>3385</v>
      </c>
      <c r="B6402" s="417" t="s">
        <v>2627</v>
      </c>
      <c r="C6402" s="417" t="s">
        <v>15274</v>
      </c>
      <c r="D6402" s="417" t="s">
        <v>83</v>
      </c>
      <c r="E6402" s="423">
        <v>0.64208333466740386</v>
      </c>
      <c r="F6402" s="423">
        <v>2.1252965853235379E-3</v>
      </c>
      <c r="G6402" s="422">
        <v>1188.250782612291</v>
      </c>
      <c r="H6402" s="417" t="s">
        <v>2616</v>
      </c>
      <c r="I6402" s="417" t="s">
        <v>1392</v>
      </c>
      <c r="J6402" s="417" t="s">
        <v>14281</v>
      </c>
      <c r="K6402" s="417" t="s">
        <v>15275</v>
      </c>
      <c r="L6402" s="417"/>
      <c r="M6402" s="417" t="s">
        <v>28840</v>
      </c>
    </row>
    <row r="6403" spans="1:13" x14ac:dyDescent="0.25">
      <c r="A6403" s="417" t="s">
        <v>3385</v>
      </c>
      <c r="B6403" s="417" t="s">
        <v>2627</v>
      </c>
      <c r="C6403" s="417" t="s">
        <v>15276</v>
      </c>
      <c r="D6403" s="417" t="s">
        <v>83</v>
      </c>
      <c r="E6403" s="423">
        <v>0.89799856024269242</v>
      </c>
      <c r="F6403" s="423">
        <v>1.5248935998490769E-2</v>
      </c>
      <c r="G6403" s="422">
        <v>1618.391829353626</v>
      </c>
      <c r="H6403" s="417" t="s">
        <v>2616</v>
      </c>
      <c r="I6403" s="417" t="s">
        <v>1392</v>
      </c>
      <c r="J6403" s="417" t="s">
        <v>14281</v>
      </c>
      <c r="K6403" s="417" t="s">
        <v>15277</v>
      </c>
      <c r="L6403" s="417"/>
      <c r="M6403" s="417" t="s">
        <v>28840</v>
      </c>
    </row>
    <row r="6404" spans="1:13" x14ac:dyDescent="0.25">
      <c r="A6404" s="417" t="s">
        <v>3385</v>
      </c>
      <c r="B6404" s="417" t="s">
        <v>2627</v>
      </c>
      <c r="C6404" s="417" t="s">
        <v>15278</v>
      </c>
      <c r="D6404" s="417" t="s">
        <v>83</v>
      </c>
      <c r="E6404" s="423">
        <v>0.64208333466740386</v>
      </c>
      <c r="F6404" s="423">
        <v>2.1252965853235379E-3</v>
      </c>
      <c r="G6404" s="422">
        <v>1188.250782612291</v>
      </c>
      <c r="H6404" s="417" t="s">
        <v>2616</v>
      </c>
      <c r="I6404" s="417" t="s">
        <v>1392</v>
      </c>
      <c r="J6404" s="417" t="s">
        <v>14281</v>
      </c>
      <c r="K6404" s="417" t="s">
        <v>15279</v>
      </c>
      <c r="L6404" s="417"/>
      <c r="M6404" s="417" t="s">
        <v>28840</v>
      </c>
    </row>
    <row r="6405" spans="1:13" x14ac:dyDescent="0.25">
      <c r="A6405" s="417" t="s">
        <v>3385</v>
      </c>
      <c r="B6405" s="417" t="s">
        <v>2627</v>
      </c>
      <c r="C6405" s="417" t="s">
        <v>15280</v>
      </c>
      <c r="D6405" s="417" t="s">
        <v>83</v>
      </c>
      <c r="E6405" s="423">
        <v>1.0961451964001609</v>
      </c>
      <c r="F6405" s="423">
        <v>2.5410132925297622E-2</v>
      </c>
      <c r="G6405" s="422">
        <v>1951.4357161850769</v>
      </c>
      <c r="H6405" s="417" t="s">
        <v>2616</v>
      </c>
      <c r="I6405" s="417" t="s">
        <v>1392</v>
      </c>
      <c r="J6405" s="417" t="s">
        <v>14281</v>
      </c>
      <c r="K6405" s="417" t="s">
        <v>15281</v>
      </c>
      <c r="L6405" s="417"/>
      <c r="M6405" s="417" t="s">
        <v>28840</v>
      </c>
    </row>
    <row r="6406" spans="1:13" x14ac:dyDescent="0.25">
      <c r="A6406" s="417" t="s">
        <v>3385</v>
      </c>
      <c r="B6406" s="417" t="s">
        <v>2627</v>
      </c>
      <c r="C6406" s="417" t="s">
        <v>15282</v>
      </c>
      <c r="D6406" s="417" t="s">
        <v>83</v>
      </c>
      <c r="E6406" s="423">
        <v>0.89249500700835227</v>
      </c>
      <c r="F6406" s="423">
        <v>1.4966707193980459E-2</v>
      </c>
      <c r="G6406" s="422">
        <v>1609.141484138976</v>
      </c>
      <c r="H6406" s="417" t="s">
        <v>2616</v>
      </c>
      <c r="I6406" s="417" t="s">
        <v>1392</v>
      </c>
      <c r="J6406" s="417" t="s">
        <v>14281</v>
      </c>
      <c r="K6406" s="417" t="s">
        <v>15283</v>
      </c>
      <c r="L6406" s="417"/>
      <c r="M6406" s="417" t="s">
        <v>28840</v>
      </c>
    </row>
    <row r="6407" spans="1:13" x14ac:dyDescent="0.25">
      <c r="A6407" s="417" t="s">
        <v>3385</v>
      </c>
      <c r="B6407" s="417" t="s">
        <v>2627</v>
      </c>
      <c r="C6407" s="417" t="s">
        <v>15284</v>
      </c>
      <c r="D6407" s="417" t="s">
        <v>83</v>
      </c>
      <c r="E6407" s="423">
        <v>1.134632629926893</v>
      </c>
      <c r="F6407" s="423">
        <v>2.7383814633547349E-2</v>
      </c>
      <c r="G6407" s="422">
        <v>2016.1252039843571</v>
      </c>
      <c r="H6407" s="417" t="s">
        <v>2616</v>
      </c>
      <c r="I6407" s="417" t="s">
        <v>1392</v>
      </c>
      <c r="J6407" s="417" t="s">
        <v>14281</v>
      </c>
      <c r="K6407" s="417" t="s">
        <v>15285</v>
      </c>
      <c r="L6407" s="417"/>
      <c r="M6407" s="417" t="s">
        <v>28840</v>
      </c>
    </row>
    <row r="6408" spans="1:13" x14ac:dyDescent="0.25">
      <c r="A6408" s="417" t="s">
        <v>3385</v>
      </c>
      <c r="B6408" s="417" t="s">
        <v>2627</v>
      </c>
      <c r="C6408" s="417" t="s">
        <v>15286</v>
      </c>
      <c r="D6408" s="417" t="s">
        <v>83</v>
      </c>
      <c r="E6408" s="423">
        <v>0.38280006030092167</v>
      </c>
      <c r="F6408" s="423">
        <v>5.5520719310830002E-3</v>
      </c>
      <c r="G6408" s="422">
        <v>889.77726510575974</v>
      </c>
      <c r="H6408" s="417" t="s">
        <v>2616</v>
      </c>
      <c r="I6408" s="417" t="s">
        <v>1392</v>
      </c>
      <c r="J6408" s="417" t="s">
        <v>14281</v>
      </c>
      <c r="K6408" s="417" t="s">
        <v>15287</v>
      </c>
      <c r="L6408" s="417"/>
      <c r="M6408" s="417" t="s">
        <v>28840</v>
      </c>
    </row>
    <row r="6409" spans="1:13" x14ac:dyDescent="0.25">
      <c r="A6409" s="417" t="s">
        <v>3385</v>
      </c>
      <c r="B6409" s="417" t="s">
        <v>2627</v>
      </c>
      <c r="C6409" s="417" t="s">
        <v>15288</v>
      </c>
      <c r="D6409" s="417" t="s">
        <v>83</v>
      </c>
      <c r="E6409" s="423">
        <v>0.37485761617258578</v>
      </c>
      <c r="F6409" s="423">
        <v>5.1290882363017537E-3</v>
      </c>
      <c r="G6409" s="422">
        <v>876.29883563843259</v>
      </c>
      <c r="H6409" s="417" t="s">
        <v>2616</v>
      </c>
      <c r="I6409" s="417" t="s">
        <v>1392</v>
      </c>
      <c r="J6409" s="417" t="s">
        <v>14281</v>
      </c>
      <c r="K6409" s="417" t="s">
        <v>15289</v>
      </c>
      <c r="L6409" s="417"/>
      <c r="M6409" s="417" t="s">
        <v>28840</v>
      </c>
    </row>
    <row r="6410" spans="1:13" x14ac:dyDescent="0.25">
      <c r="A6410" s="417" t="s">
        <v>3385</v>
      </c>
      <c r="B6410" s="417" t="s">
        <v>2627</v>
      </c>
      <c r="C6410" s="417" t="s">
        <v>15290</v>
      </c>
      <c r="D6410" s="417" t="s">
        <v>83</v>
      </c>
      <c r="E6410" s="423">
        <v>0.45957701996327671</v>
      </c>
      <c r="F6410" s="423">
        <v>9.6409141131732802E-3</v>
      </c>
      <c r="G6410" s="422">
        <v>1020.068749702902</v>
      </c>
      <c r="H6410" s="417" t="s">
        <v>2616</v>
      </c>
      <c r="I6410" s="417" t="s">
        <v>1392</v>
      </c>
      <c r="J6410" s="417" t="s">
        <v>14281</v>
      </c>
      <c r="K6410" s="417" t="s">
        <v>15291</v>
      </c>
      <c r="L6410" s="417"/>
      <c r="M6410" s="417" t="s">
        <v>28840</v>
      </c>
    </row>
    <row r="6411" spans="1:13" x14ac:dyDescent="0.25">
      <c r="A6411" s="417" t="s">
        <v>3385</v>
      </c>
      <c r="B6411" s="417" t="s">
        <v>2627</v>
      </c>
      <c r="C6411" s="417" t="s">
        <v>15292</v>
      </c>
      <c r="D6411" s="417" t="s">
        <v>83</v>
      </c>
      <c r="E6411" s="423">
        <v>0.39868494860036108</v>
      </c>
      <c r="F6411" s="423">
        <v>6.398039299013664E-3</v>
      </c>
      <c r="G6411" s="422">
        <v>916.73412427031599</v>
      </c>
      <c r="H6411" s="417" t="s">
        <v>2616</v>
      </c>
      <c r="I6411" s="417" t="s">
        <v>1392</v>
      </c>
      <c r="J6411" s="417" t="s">
        <v>14281</v>
      </c>
      <c r="K6411" s="417" t="s">
        <v>15293</v>
      </c>
      <c r="L6411" s="417"/>
      <c r="M6411" s="417" t="s">
        <v>28840</v>
      </c>
    </row>
    <row r="6412" spans="1:13" x14ac:dyDescent="0.25">
      <c r="A6412" s="417" t="s">
        <v>3385</v>
      </c>
      <c r="B6412" s="417" t="s">
        <v>2627</v>
      </c>
      <c r="C6412" s="417" t="s">
        <v>15294</v>
      </c>
      <c r="D6412" s="417" t="s">
        <v>83</v>
      </c>
      <c r="E6412" s="423">
        <v>0.43574968764425343</v>
      </c>
      <c r="F6412" s="423">
        <v>8.3719630938040562E-3</v>
      </c>
      <c r="G6412" s="422">
        <v>979.63346131890751</v>
      </c>
      <c r="H6412" s="417" t="s">
        <v>2616</v>
      </c>
      <c r="I6412" s="417" t="s">
        <v>1392</v>
      </c>
      <c r="J6412" s="417" t="s">
        <v>14281</v>
      </c>
      <c r="K6412" s="417" t="s">
        <v>15295</v>
      </c>
      <c r="L6412" s="417"/>
      <c r="M6412" s="417" t="s">
        <v>28840</v>
      </c>
    </row>
    <row r="6413" spans="1:13" x14ac:dyDescent="0.25">
      <c r="A6413" s="417" t="s">
        <v>3385</v>
      </c>
      <c r="B6413" s="417" t="s">
        <v>2627</v>
      </c>
      <c r="C6413" s="417" t="s">
        <v>15296</v>
      </c>
      <c r="D6413" s="417" t="s">
        <v>83</v>
      </c>
      <c r="E6413" s="423">
        <v>0.34573532108053212</v>
      </c>
      <c r="F6413" s="423">
        <v>3.5781480927385648E-3</v>
      </c>
      <c r="G6413" s="422">
        <v>826.8779276665889</v>
      </c>
      <c r="H6413" s="417" t="s">
        <v>2616</v>
      </c>
      <c r="I6413" s="417" t="s">
        <v>1392</v>
      </c>
      <c r="J6413" s="417" t="s">
        <v>14281</v>
      </c>
      <c r="K6413" s="417" t="s">
        <v>15297</v>
      </c>
      <c r="L6413" s="417"/>
      <c r="M6413" s="417" t="s">
        <v>28840</v>
      </c>
    </row>
    <row r="6414" spans="1:13" x14ac:dyDescent="0.25">
      <c r="A6414" s="417" t="s">
        <v>3385</v>
      </c>
      <c r="B6414" s="417" t="s">
        <v>2627</v>
      </c>
      <c r="C6414" s="417" t="s">
        <v>15298</v>
      </c>
      <c r="D6414" s="417" t="s">
        <v>83</v>
      </c>
      <c r="E6414" s="423">
        <v>0.41986479953496481</v>
      </c>
      <c r="F6414" s="423">
        <v>7.5259957671519884E-3</v>
      </c>
      <c r="G6414" s="422">
        <v>952.67660293082611</v>
      </c>
      <c r="H6414" s="417" t="s">
        <v>2616</v>
      </c>
      <c r="I6414" s="417" t="s">
        <v>1392</v>
      </c>
      <c r="J6414" s="417" t="s">
        <v>14281</v>
      </c>
      <c r="K6414" s="417" t="s">
        <v>15299</v>
      </c>
      <c r="L6414" s="417"/>
      <c r="M6414" s="417" t="s">
        <v>28840</v>
      </c>
    </row>
    <row r="6415" spans="1:13" x14ac:dyDescent="0.25">
      <c r="A6415" s="417" t="s">
        <v>3385</v>
      </c>
      <c r="B6415" s="417" t="s">
        <v>2627</v>
      </c>
      <c r="C6415" s="417" t="s">
        <v>15300</v>
      </c>
      <c r="D6415" s="417" t="s">
        <v>83</v>
      </c>
      <c r="E6415" s="423">
        <v>0.51252664735609565</v>
      </c>
      <c r="F6415" s="423">
        <v>1.2460805289239721E-2</v>
      </c>
      <c r="G6415" s="422">
        <v>1109.924945857988</v>
      </c>
      <c r="H6415" s="417" t="s">
        <v>2616</v>
      </c>
      <c r="I6415" s="417" t="s">
        <v>1392</v>
      </c>
      <c r="J6415" s="417" t="s">
        <v>14281</v>
      </c>
      <c r="K6415" s="417" t="s">
        <v>15301</v>
      </c>
      <c r="L6415" s="417"/>
      <c r="M6415" s="417" t="s">
        <v>28840</v>
      </c>
    </row>
    <row r="6416" spans="1:13" x14ac:dyDescent="0.25">
      <c r="A6416" s="417" t="s">
        <v>3385</v>
      </c>
      <c r="B6416" s="417" t="s">
        <v>2627</v>
      </c>
      <c r="C6416" s="417" t="s">
        <v>15302</v>
      </c>
      <c r="D6416" s="417" t="s">
        <v>83</v>
      </c>
      <c r="E6416" s="423">
        <v>0.52046909144913078</v>
      </c>
      <c r="F6416" s="423">
        <v>1.2883788961074109E-2</v>
      </c>
      <c r="G6416" s="422">
        <v>1123.403375236127</v>
      </c>
      <c r="H6416" s="417" t="s">
        <v>2616</v>
      </c>
      <c r="I6416" s="417" t="s">
        <v>1392</v>
      </c>
      <c r="J6416" s="417" t="s">
        <v>14281</v>
      </c>
      <c r="K6416" s="417" t="s">
        <v>15303</v>
      </c>
      <c r="L6416" s="417"/>
      <c r="M6416" s="417" t="s">
        <v>28840</v>
      </c>
    </row>
    <row r="6417" spans="1:13" x14ac:dyDescent="0.25">
      <c r="A6417" s="417" t="s">
        <v>3385</v>
      </c>
      <c r="B6417" s="417" t="s">
        <v>2627</v>
      </c>
      <c r="C6417" s="417" t="s">
        <v>15304</v>
      </c>
      <c r="D6417" s="417" t="s">
        <v>83</v>
      </c>
      <c r="E6417" s="423">
        <v>0.37750509760231188</v>
      </c>
      <c r="F6417" s="423">
        <v>5.2700828224685938E-3</v>
      </c>
      <c r="G6417" s="422">
        <v>880.79164566363158</v>
      </c>
      <c r="H6417" s="417" t="s">
        <v>2616</v>
      </c>
      <c r="I6417" s="417" t="s">
        <v>1392</v>
      </c>
      <c r="J6417" s="417" t="s">
        <v>14281</v>
      </c>
      <c r="K6417" s="417" t="s">
        <v>15305</v>
      </c>
      <c r="L6417" s="417"/>
      <c r="M6417" s="417" t="s">
        <v>28840</v>
      </c>
    </row>
    <row r="6418" spans="1:13" x14ac:dyDescent="0.25">
      <c r="A6418" s="417" t="s">
        <v>3385</v>
      </c>
      <c r="B6418" s="417" t="s">
        <v>2627</v>
      </c>
      <c r="C6418" s="417" t="s">
        <v>15306</v>
      </c>
      <c r="D6418" s="417" t="s">
        <v>83</v>
      </c>
      <c r="E6418" s="423">
        <v>0.34573532108053212</v>
      </c>
      <c r="F6418" s="423">
        <v>3.5781480927385648E-3</v>
      </c>
      <c r="G6418" s="422">
        <v>826.8779276665889</v>
      </c>
      <c r="H6418" s="417" t="s">
        <v>2616</v>
      </c>
      <c r="I6418" s="417" t="s">
        <v>1392</v>
      </c>
      <c r="J6418" s="417" t="s">
        <v>14281</v>
      </c>
      <c r="K6418" s="417" t="s">
        <v>15307</v>
      </c>
      <c r="L6418" s="417"/>
      <c r="M6418" s="417" t="s">
        <v>28840</v>
      </c>
    </row>
    <row r="6419" spans="1:13" x14ac:dyDescent="0.25">
      <c r="A6419" s="417" t="s">
        <v>3385</v>
      </c>
      <c r="B6419" s="417" t="s">
        <v>2627</v>
      </c>
      <c r="C6419" s="417" t="s">
        <v>15308</v>
      </c>
      <c r="D6419" s="417" t="s">
        <v>83</v>
      </c>
      <c r="E6419" s="423">
        <v>0.38809502308314808</v>
      </c>
      <c r="F6419" s="423">
        <v>5.8340610592830539E-3</v>
      </c>
      <c r="G6419" s="422">
        <v>898.762884935746</v>
      </c>
      <c r="H6419" s="417" t="s">
        <v>2616</v>
      </c>
      <c r="I6419" s="417" t="s">
        <v>1392</v>
      </c>
      <c r="J6419" s="417" t="s">
        <v>14281</v>
      </c>
      <c r="K6419" s="417" t="s">
        <v>15309</v>
      </c>
      <c r="L6419" s="417"/>
      <c r="M6419" s="417" t="s">
        <v>28840</v>
      </c>
    </row>
    <row r="6420" spans="1:13" x14ac:dyDescent="0.25">
      <c r="A6420" s="417" t="s">
        <v>3385</v>
      </c>
      <c r="B6420" s="417" t="s">
        <v>2627</v>
      </c>
      <c r="C6420" s="417" t="s">
        <v>15310</v>
      </c>
      <c r="D6420" s="417" t="s">
        <v>83</v>
      </c>
      <c r="E6420" s="423">
        <v>0.39074250438780678</v>
      </c>
      <c r="F6420" s="423">
        <v>5.975055591610403E-3</v>
      </c>
      <c r="G6420" s="422">
        <v>903.25569450786531</v>
      </c>
      <c r="H6420" s="417" t="s">
        <v>2616</v>
      </c>
      <c r="I6420" s="417" t="s">
        <v>1392</v>
      </c>
      <c r="J6420" s="417" t="s">
        <v>14281</v>
      </c>
      <c r="K6420" s="417" t="s">
        <v>15311</v>
      </c>
      <c r="L6420" s="417"/>
      <c r="M6420" s="417" t="s">
        <v>28840</v>
      </c>
    </row>
    <row r="6421" spans="1:13" x14ac:dyDescent="0.25">
      <c r="A6421" s="417" t="s">
        <v>3385</v>
      </c>
      <c r="B6421" s="417" t="s">
        <v>2627</v>
      </c>
      <c r="C6421" s="417" t="s">
        <v>15312</v>
      </c>
      <c r="D6421" s="417" t="s">
        <v>83</v>
      </c>
      <c r="E6421" s="423">
        <v>0.52841153555190767</v>
      </c>
      <c r="F6421" s="423">
        <v>1.3306772635122499E-2</v>
      </c>
      <c r="G6421" s="422">
        <v>1136.881804493687</v>
      </c>
      <c r="H6421" s="417" t="s">
        <v>2616</v>
      </c>
      <c r="I6421" s="417" t="s">
        <v>1392</v>
      </c>
      <c r="J6421" s="417" t="s">
        <v>14281</v>
      </c>
      <c r="K6421" s="417" t="s">
        <v>15313</v>
      </c>
      <c r="L6421" s="417"/>
      <c r="M6421" s="417" t="s">
        <v>28840</v>
      </c>
    </row>
    <row r="6422" spans="1:13" x14ac:dyDescent="0.25">
      <c r="A6422" s="417" t="s">
        <v>3385</v>
      </c>
      <c r="B6422" s="417" t="s">
        <v>2627</v>
      </c>
      <c r="C6422" s="417" t="s">
        <v>15314</v>
      </c>
      <c r="D6422" s="417" t="s">
        <v>83</v>
      </c>
      <c r="E6422" s="423">
        <v>0.70674391284874227</v>
      </c>
      <c r="F6422" s="423">
        <v>1.4572702147217301E-2</v>
      </c>
      <c r="G6422" s="422">
        <v>1416.568842924547</v>
      </c>
      <c r="H6422" s="417" t="s">
        <v>2616</v>
      </c>
      <c r="I6422" s="417" t="s">
        <v>1392</v>
      </c>
      <c r="J6422" s="417" t="s">
        <v>14281</v>
      </c>
      <c r="K6422" s="417" t="s">
        <v>15315</v>
      </c>
      <c r="L6422" s="417"/>
      <c r="M6422" s="417" t="s">
        <v>28840</v>
      </c>
    </row>
    <row r="6423" spans="1:13" x14ac:dyDescent="0.25">
      <c r="A6423" s="417" t="s">
        <v>3385</v>
      </c>
      <c r="B6423" s="417" t="s">
        <v>2627</v>
      </c>
      <c r="C6423" s="417" t="s">
        <v>15316</v>
      </c>
      <c r="D6423" s="417" t="s">
        <v>83</v>
      </c>
      <c r="E6423" s="423">
        <v>0.68515872588275128</v>
      </c>
      <c r="F6423" s="423">
        <v>1.3443368439137361E-2</v>
      </c>
      <c r="G6423" s="422">
        <v>1379.9948384304109</v>
      </c>
      <c r="H6423" s="417" t="s">
        <v>2616</v>
      </c>
      <c r="I6423" s="417" t="s">
        <v>1392</v>
      </c>
      <c r="J6423" s="417" t="s">
        <v>14281</v>
      </c>
      <c r="K6423" s="417" t="s">
        <v>15317</v>
      </c>
      <c r="L6423" s="417"/>
      <c r="M6423" s="417" t="s">
        <v>28840</v>
      </c>
    </row>
    <row r="6424" spans="1:13" x14ac:dyDescent="0.25">
      <c r="A6424" s="417" t="s">
        <v>3385</v>
      </c>
      <c r="B6424" s="417" t="s">
        <v>2627</v>
      </c>
      <c r="C6424" s="417" t="s">
        <v>15318</v>
      </c>
      <c r="D6424" s="417" t="s">
        <v>83</v>
      </c>
      <c r="E6424" s="423">
        <v>0.67706428076691183</v>
      </c>
      <c r="F6424" s="423">
        <v>1.3019868298480961E-2</v>
      </c>
      <c r="G6424" s="422">
        <v>1366.279586830932</v>
      </c>
      <c r="H6424" s="417" t="s">
        <v>2616</v>
      </c>
      <c r="I6424" s="417" t="s">
        <v>1392</v>
      </c>
      <c r="J6424" s="417" t="s">
        <v>14281</v>
      </c>
      <c r="K6424" s="417" t="s">
        <v>15319</v>
      </c>
      <c r="L6424" s="417"/>
      <c r="M6424" s="417" t="s">
        <v>28840</v>
      </c>
    </row>
    <row r="6425" spans="1:13" x14ac:dyDescent="0.25">
      <c r="A6425" s="417" t="s">
        <v>3385</v>
      </c>
      <c r="B6425" s="417" t="s">
        <v>2627</v>
      </c>
      <c r="C6425" s="417" t="s">
        <v>15320</v>
      </c>
      <c r="D6425" s="417" t="s">
        <v>83</v>
      </c>
      <c r="E6425" s="423">
        <v>0.47200500461425698</v>
      </c>
      <c r="F6425" s="423">
        <v>2.2911980715286089E-3</v>
      </c>
      <c r="G6425" s="422">
        <v>1018.8265458494</v>
      </c>
      <c r="H6425" s="417" t="s">
        <v>2616</v>
      </c>
      <c r="I6425" s="417" t="s">
        <v>1392</v>
      </c>
      <c r="J6425" s="417" t="s">
        <v>14281</v>
      </c>
      <c r="K6425" s="417" t="s">
        <v>15321</v>
      </c>
      <c r="L6425" s="417"/>
      <c r="M6425" s="417" t="s">
        <v>28840</v>
      </c>
    </row>
    <row r="6426" spans="1:13" x14ac:dyDescent="0.25">
      <c r="A6426" s="417" t="s">
        <v>3385</v>
      </c>
      <c r="B6426" s="417" t="s">
        <v>2627</v>
      </c>
      <c r="C6426" s="417" t="s">
        <v>15322</v>
      </c>
      <c r="D6426" s="417" t="s">
        <v>83</v>
      </c>
      <c r="E6426" s="423">
        <v>0.66357353892049398</v>
      </c>
      <c r="F6426" s="423">
        <v>1.231403473092174E-2</v>
      </c>
      <c r="G6426" s="422">
        <v>1343.4208341233691</v>
      </c>
      <c r="H6426" s="417" t="s">
        <v>2616</v>
      </c>
      <c r="I6426" s="417" t="s">
        <v>1392</v>
      </c>
      <c r="J6426" s="417" t="s">
        <v>14281</v>
      </c>
      <c r="K6426" s="417" t="s">
        <v>15323</v>
      </c>
      <c r="L6426" s="417"/>
      <c r="M6426" s="417" t="s">
        <v>28840</v>
      </c>
    </row>
    <row r="6427" spans="1:13" x14ac:dyDescent="0.25">
      <c r="A6427" s="417" t="s">
        <v>3385</v>
      </c>
      <c r="B6427" s="417" t="s">
        <v>2627</v>
      </c>
      <c r="C6427" s="417" t="s">
        <v>15324</v>
      </c>
      <c r="D6427" s="417" t="s">
        <v>83</v>
      </c>
      <c r="E6427" s="423">
        <v>0.51517537854118278</v>
      </c>
      <c r="F6427" s="423">
        <v>4.549865487473749E-3</v>
      </c>
      <c r="G6427" s="422">
        <v>1091.9745545115759</v>
      </c>
      <c r="H6427" s="417" t="s">
        <v>2616</v>
      </c>
      <c r="I6427" s="417" t="s">
        <v>1392</v>
      </c>
      <c r="J6427" s="417" t="s">
        <v>14281</v>
      </c>
      <c r="K6427" s="417" t="s">
        <v>15325</v>
      </c>
      <c r="L6427" s="417"/>
      <c r="M6427" s="417" t="s">
        <v>28840</v>
      </c>
    </row>
    <row r="6428" spans="1:13" x14ac:dyDescent="0.25">
      <c r="A6428" s="417" t="s">
        <v>3385</v>
      </c>
      <c r="B6428" s="417" t="s">
        <v>2627</v>
      </c>
      <c r="C6428" s="417" t="s">
        <v>15326</v>
      </c>
      <c r="D6428" s="417" t="s">
        <v>83</v>
      </c>
      <c r="E6428" s="423">
        <v>0.77419762210921472</v>
      </c>
      <c r="F6428" s="423">
        <v>1.8101869985063801E-2</v>
      </c>
      <c r="G6428" s="422">
        <v>1530.86260674307</v>
      </c>
      <c r="H6428" s="417" t="s">
        <v>2616</v>
      </c>
      <c r="I6428" s="417" t="s">
        <v>1392</v>
      </c>
      <c r="J6428" s="417" t="s">
        <v>14281</v>
      </c>
      <c r="K6428" s="417" t="s">
        <v>15327</v>
      </c>
      <c r="L6428" s="417"/>
      <c r="M6428" s="417" t="s">
        <v>28840</v>
      </c>
    </row>
    <row r="6429" spans="1:13" x14ac:dyDescent="0.25">
      <c r="A6429" s="417" t="s">
        <v>3385</v>
      </c>
      <c r="B6429" s="417" t="s">
        <v>2627</v>
      </c>
      <c r="C6429" s="417" t="s">
        <v>15328</v>
      </c>
      <c r="D6429" s="417" t="s">
        <v>83</v>
      </c>
      <c r="E6429" s="423">
        <v>0.75531058351595359</v>
      </c>
      <c r="F6429" s="423">
        <v>1.7113702990479669E-2</v>
      </c>
      <c r="G6429" s="422">
        <v>1498.860352684125</v>
      </c>
      <c r="H6429" s="417" t="s">
        <v>2616</v>
      </c>
      <c r="I6429" s="417" t="s">
        <v>1392</v>
      </c>
      <c r="J6429" s="417" t="s">
        <v>14281</v>
      </c>
      <c r="K6429" s="417" t="s">
        <v>15329</v>
      </c>
      <c r="L6429" s="417"/>
      <c r="M6429" s="417" t="s">
        <v>28840</v>
      </c>
    </row>
    <row r="6430" spans="1:13" x14ac:dyDescent="0.25">
      <c r="A6430" s="417" t="s">
        <v>3385</v>
      </c>
      <c r="B6430" s="417" t="s">
        <v>2627</v>
      </c>
      <c r="C6430" s="417" t="s">
        <v>15330</v>
      </c>
      <c r="D6430" s="417" t="s">
        <v>83</v>
      </c>
      <c r="E6430" s="423">
        <v>0.50708093343093752</v>
      </c>
      <c r="F6430" s="423">
        <v>4.1263653472292626E-3</v>
      </c>
      <c r="G6430" s="422">
        <v>1078.259302869699</v>
      </c>
      <c r="H6430" s="417" t="s">
        <v>2616</v>
      </c>
      <c r="I6430" s="417" t="s">
        <v>1392</v>
      </c>
      <c r="J6430" s="417" t="s">
        <v>14281</v>
      </c>
      <c r="K6430" s="417" t="s">
        <v>15331</v>
      </c>
      <c r="L6430" s="417"/>
      <c r="M6430" s="417" t="s">
        <v>28840</v>
      </c>
    </row>
    <row r="6431" spans="1:13" x14ac:dyDescent="0.25">
      <c r="A6431" s="417" t="s">
        <v>3385</v>
      </c>
      <c r="B6431" s="417" t="s">
        <v>2627</v>
      </c>
      <c r="C6431" s="417" t="s">
        <v>15332</v>
      </c>
      <c r="D6431" s="417" t="s">
        <v>83</v>
      </c>
      <c r="E6431" s="423">
        <v>0.47200500461425698</v>
      </c>
      <c r="F6431" s="423">
        <v>2.2911980715286089E-3</v>
      </c>
      <c r="G6431" s="422">
        <v>1018.8265458494</v>
      </c>
      <c r="H6431" s="417" t="s">
        <v>2616</v>
      </c>
      <c r="I6431" s="417" t="s">
        <v>1392</v>
      </c>
      <c r="J6431" s="417" t="s">
        <v>14281</v>
      </c>
      <c r="K6431" s="417" t="s">
        <v>15333</v>
      </c>
      <c r="L6431" s="417"/>
      <c r="M6431" s="417" t="s">
        <v>28840</v>
      </c>
    </row>
    <row r="6432" spans="1:13" x14ac:dyDescent="0.25">
      <c r="A6432" s="417" t="s">
        <v>3385</v>
      </c>
      <c r="B6432" s="417" t="s">
        <v>2627</v>
      </c>
      <c r="C6432" s="417" t="s">
        <v>15334</v>
      </c>
      <c r="D6432" s="417" t="s">
        <v>83</v>
      </c>
      <c r="E6432" s="423">
        <v>0.47200500461425698</v>
      </c>
      <c r="F6432" s="423">
        <v>2.2911980715286089E-3</v>
      </c>
      <c r="G6432" s="422">
        <v>1018.8265458494</v>
      </c>
      <c r="H6432" s="417" t="s">
        <v>2616</v>
      </c>
      <c r="I6432" s="417" t="s">
        <v>1392</v>
      </c>
      <c r="J6432" s="417" t="s">
        <v>14281</v>
      </c>
      <c r="K6432" s="417" t="s">
        <v>15335</v>
      </c>
      <c r="L6432" s="417"/>
      <c r="M6432" s="417" t="s">
        <v>28840</v>
      </c>
    </row>
    <row r="6433" spans="1:13" x14ac:dyDescent="0.25">
      <c r="A6433" s="417" t="s">
        <v>3385</v>
      </c>
      <c r="B6433" s="417" t="s">
        <v>2627</v>
      </c>
      <c r="C6433" s="417" t="s">
        <v>15336</v>
      </c>
      <c r="D6433" s="417" t="s">
        <v>83</v>
      </c>
      <c r="E6433" s="423">
        <v>0.66896983565905521</v>
      </c>
      <c r="F6433" s="423">
        <v>1.25963681579833E-2</v>
      </c>
      <c r="G6433" s="422">
        <v>1352.5643351653889</v>
      </c>
      <c r="H6433" s="417" t="s">
        <v>2616</v>
      </c>
      <c r="I6433" s="417" t="s">
        <v>1392</v>
      </c>
      <c r="J6433" s="417" t="s">
        <v>14281</v>
      </c>
      <c r="K6433" s="417" t="s">
        <v>15337</v>
      </c>
      <c r="L6433" s="417"/>
      <c r="M6433" s="417" t="s">
        <v>28840</v>
      </c>
    </row>
    <row r="6434" spans="1:13" x14ac:dyDescent="0.25">
      <c r="A6434" s="417" t="s">
        <v>3385</v>
      </c>
      <c r="B6434" s="417" t="s">
        <v>2627</v>
      </c>
      <c r="C6434" s="417" t="s">
        <v>15338</v>
      </c>
      <c r="D6434" s="417" t="s">
        <v>83</v>
      </c>
      <c r="E6434" s="423">
        <v>0.64198835195435444</v>
      </c>
      <c r="F6434" s="423">
        <v>1.1184701022817271E-2</v>
      </c>
      <c r="G6434" s="422">
        <v>1306.8468301983701</v>
      </c>
      <c r="H6434" s="417" t="s">
        <v>2616</v>
      </c>
      <c r="I6434" s="417" t="s">
        <v>1392</v>
      </c>
      <c r="J6434" s="417" t="s">
        <v>14281</v>
      </c>
      <c r="K6434" s="417" t="s">
        <v>15339</v>
      </c>
      <c r="L6434" s="417"/>
      <c r="M6434" s="417" t="s">
        <v>28840</v>
      </c>
    </row>
    <row r="6435" spans="1:13" x14ac:dyDescent="0.25">
      <c r="A6435" s="417" t="s">
        <v>3385</v>
      </c>
      <c r="B6435" s="417" t="s">
        <v>2627</v>
      </c>
      <c r="C6435" s="417" t="s">
        <v>15340</v>
      </c>
      <c r="D6435" s="417" t="s">
        <v>83</v>
      </c>
      <c r="E6435" s="423">
        <v>0.70944206121796427</v>
      </c>
      <c r="F6435" s="423">
        <v>1.471386886071061E-2</v>
      </c>
      <c r="G6435" s="422">
        <v>1421.1405933515839</v>
      </c>
      <c r="H6435" s="417" t="s">
        <v>2616</v>
      </c>
      <c r="I6435" s="417" t="s">
        <v>1392</v>
      </c>
      <c r="J6435" s="417" t="s">
        <v>14281</v>
      </c>
      <c r="K6435" s="417" t="s">
        <v>15341</v>
      </c>
      <c r="L6435" s="417"/>
      <c r="M6435" s="417" t="s">
        <v>28840</v>
      </c>
    </row>
    <row r="6436" spans="1:13" x14ac:dyDescent="0.25">
      <c r="A6436" s="417" t="s">
        <v>3385</v>
      </c>
      <c r="B6436" s="417" t="s">
        <v>2627</v>
      </c>
      <c r="C6436" s="417" t="s">
        <v>15342</v>
      </c>
      <c r="D6436" s="417" t="s">
        <v>83</v>
      </c>
      <c r="E6436" s="423">
        <v>0.72860566589328757</v>
      </c>
      <c r="F6436" s="423">
        <v>1.375757515236653E-2</v>
      </c>
      <c r="G6436" s="422">
        <v>1377.8626479589</v>
      </c>
      <c r="H6436" s="417" t="s">
        <v>2616</v>
      </c>
      <c r="I6436" s="417" t="s">
        <v>1392</v>
      </c>
      <c r="J6436" s="417" t="s">
        <v>14281</v>
      </c>
      <c r="K6436" s="417" t="s">
        <v>15343</v>
      </c>
      <c r="L6436" s="417"/>
      <c r="M6436" s="417" t="s">
        <v>28840</v>
      </c>
    </row>
    <row r="6437" spans="1:13" x14ac:dyDescent="0.25">
      <c r="A6437" s="417" t="s">
        <v>3385</v>
      </c>
      <c r="B6437" s="417" t="s">
        <v>2627</v>
      </c>
      <c r="C6437" s="417" t="s">
        <v>15344</v>
      </c>
      <c r="D6437" s="417" t="s">
        <v>83</v>
      </c>
      <c r="E6437" s="423">
        <v>1.0076525974306001</v>
      </c>
      <c r="F6437" s="423">
        <v>2.829525090900321E-2</v>
      </c>
      <c r="G6437" s="422">
        <v>1848.282305541107</v>
      </c>
      <c r="H6437" s="417" t="s">
        <v>2616</v>
      </c>
      <c r="I6437" s="417" t="s">
        <v>1392</v>
      </c>
      <c r="J6437" s="417" t="s">
        <v>14281</v>
      </c>
      <c r="K6437" s="417" t="s">
        <v>15345</v>
      </c>
      <c r="L6437" s="417"/>
      <c r="M6437" s="417" t="s">
        <v>28840</v>
      </c>
    </row>
    <row r="6438" spans="1:13" x14ac:dyDescent="0.25">
      <c r="A6438" s="417" t="s">
        <v>3385</v>
      </c>
      <c r="B6438" s="417" t="s">
        <v>2627</v>
      </c>
      <c r="C6438" s="417" t="s">
        <v>15346</v>
      </c>
      <c r="D6438" s="417" t="s">
        <v>83</v>
      </c>
      <c r="E6438" s="423">
        <v>0.81258511307028514</v>
      </c>
      <c r="F6438" s="423">
        <v>1.813270207299781E-2</v>
      </c>
      <c r="G6438" s="422">
        <v>1519.435880217839</v>
      </c>
      <c r="H6438" s="417" t="s">
        <v>2616</v>
      </c>
      <c r="I6438" s="417" t="s">
        <v>1392</v>
      </c>
      <c r="J6438" s="417" t="s">
        <v>14281</v>
      </c>
      <c r="K6438" s="417" t="s">
        <v>15347</v>
      </c>
      <c r="L6438" s="417"/>
      <c r="M6438" s="417" t="s">
        <v>28840</v>
      </c>
    </row>
    <row r="6439" spans="1:13" x14ac:dyDescent="0.25">
      <c r="A6439" s="417" t="s">
        <v>3385</v>
      </c>
      <c r="B6439" s="417" t="s">
        <v>2627</v>
      </c>
      <c r="C6439" s="417" t="s">
        <v>15348</v>
      </c>
      <c r="D6439" s="417" t="s">
        <v>83</v>
      </c>
      <c r="E6439" s="423">
        <v>0.82613018490492218</v>
      </c>
      <c r="F6439" s="423">
        <v>1.88383700464754E-2</v>
      </c>
      <c r="G6439" s="422">
        <v>1542.270312457197</v>
      </c>
      <c r="H6439" s="417" t="s">
        <v>2616</v>
      </c>
      <c r="I6439" s="417" t="s">
        <v>1392</v>
      </c>
      <c r="J6439" s="417" t="s">
        <v>14281</v>
      </c>
      <c r="K6439" s="417" t="s">
        <v>15349</v>
      </c>
      <c r="L6439" s="417"/>
      <c r="M6439" s="417" t="s">
        <v>28840</v>
      </c>
    </row>
    <row r="6440" spans="1:13" x14ac:dyDescent="0.25">
      <c r="A6440" s="417" t="s">
        <v>3385</v>
      </c>
      <c r="B6440" s="417" t="s">
        <v>2627</v>
      </c>
      <c r="C6440" s="417" t="s">
        <v>15350</v>
      </c>
      <c r="D6440" s="417" t="s">
        <v>83</v>
      </c>
      <c r="E6440" s="423">
        <v>0.80987605028258725</v>
      </c>
      <c r="F6440" s="423">
        <v>1.7991567339205171E-2</v>
      </c>
      <c r="G6440" s="422">
        <v>1514.8689424726099</v>
      </c>
      <c r="H6440" s="417" t="s">
        <v>2616</v>
      </c>
      <c r="I6440" s="417" t="s">
        <v>1392</v>
      </c>
      <c r="J6440" s="417" t="s">
        <v>14281</v>
      </c>
      <c r="K6440" s="417" t="s">
        <v>15351</v>
      </c>
      <c r="L6440" s="417"/>
      <c r="M6440" s="417" t="s">
        <v>28840</v>
      </c>
    </row>
    <row r="6441" spans="1:13" x14ac:dyDescent="0.25">
      <c r="A6441" s="417" t="s">
        <v>3385</v>
      </c>
      <c r="B6441" s="417" t="s">
        <v>2627</v>
      </c>
      <c r="C6441" s="417" t="s">
        <v>15352</v>
      </c>
      <c r="D6441" s="417" t="s">
        <v>83</v>
      </c>
      <c r="E6441" s="423">
        <v>0.85322029252642784</v>
      </c>
      <c r="F6441" s="423">
        <v>2.0249698979029049E-2</v>
      </c>
      <c r="G6441" s="422">
        <v>1587.9390599461531</v>
      </c>
      <c r="H6441" s="417" t="s">
        <v>2616</v>
      </c>
      <c r="I6441" s="417" t="s">
        <v>1392</v>
      </c>
      <c r="J6441" s="417" t="s">
        <v>14281</v>
      </c>
      <c r="K6441" s="417" t="s">
        <v>15353</v>
      </c>
      <c r="L6441" s="417"/>
      <c r="M6441" s="417" t="s">
        <v>28840</v>
      </c>
    </row>
    <row r="6442" spans="1:13" x14ac:dyDescent="0.25">
      <c r="A6442" s="417" t="s">
        <v>3385</v>
      </c>
      <c r="B6442" s="417" t="s">
        <v>2627</v>
      </c>
      <c r="C6442" s="417" t="s">
        <v>15354</v>
      </c>
      <c r="D6442" s="417" t="s">
        <v>83</v>
      </c>
      <c r="E6442" s="423">
        <v>0.92907274244559113</v>
      </c>
      <c r="F6442" s="423">
        <v>2.420143208150443E-2</v>
      </c>
      <c r="G6442" s="422">
        <v>1715.8118006603311</v>
      </c>
      <c r="H6442" s="417" t="s">
        <v>2616</v>
      </c>
      <c r="I6442" s="417" t="s">
        <v>1392</v>
      </c>
      <c r="J6442" s="417" t="s">
        <v>14281</v>
      </c>
      <c r="K6442" s="417" t="s">
        <v>15355</v>
      </c>
      <c r="L6442" s="417"/>
      <c r="M6442" s="417" t="s">
        <v>28840</v>
      </c>
    </row>
    <row r="6443" spans="1:13" x14ac:dyDescent="0.25">
      <c r="A6443" s="417" t="s">
        <v>3385</v>
      </c>
      <c r="B6443" s="417" t="s">
        <v>2627</v>
      </c>
      <c r="C6443" s="417" t="s">
        <v>15356</v>
      </c>
      <c r="D6443" s="417" t="s">
        <v>83</v>
      </c>
      <c r="E6443" s="423">
        <v>0.96968954578704458</v>
      </c>
      <c r="F6443" s="423">
        <v>2.631746731815502E-2</v>
      </c>
      <c r="G6443" s="422">
        <v>1784.28387340159</v>
      </c>
      <c r="H6443" s="417" t="s">
        <v>2616</v>
      </c>
      <c r="I6443" s="417" t="s">
        <v>1392</v>
      </c>
      <c r="J6443" s="417" t="s">
        <v>14281</v>
      </c>
      <c r="K6443" s="417" t="s">
        <v>15357</v>
      </c>
      <c r="L6443" s="417"/>
      <c r="M6443" s="417" t="s">
        <v>28840</v>
      </c>
    </row>
    <row r="6444" spans="1:13" x14ac:dyDescent="0.25">
      <c r="A6444" s="417" t="s">
        <v>3385</v>
      </c>
      <c r="B6444" s="417" t="s">
        <v>2627</v>
      </c>
      <c r="C6444" s="417" t="s">
        <v>15358</v>
      </c>
      <c r="D6444" s="417" t="s">
        <v>83</v>
      </c>
      <c r="E6444" s="423">
        <v>0.6473351668629278</v>
      </c>
      <c r="F6444" s="423">
        <v>9.5235770579787694E-3</v>
      </c>
      <c r="G6444" s="422">
        <v>1240.8561463368769</v>
      </c>
      <c r="H6444" s="417" t="s">
        <v>2616</v>
      </c>
      <c r="I6444" s="417" t="s">
        <v>1392</v>
      </c>
      <c r="J6444" s="417" t="s">
        <v>14281</v>
      </c>
      <c r="K6444" s="417" t="s">
        <v>15359</v>
      </c>
      <c r="L6444" s="417"/>
      <c r="M6444" s="417" t="s">
        <v>28840</v>
      </c>
    </row>
    <row r="6445" spans="1:13" x14ac:dyDescent="0.25">
      <c r="A6445" s="417" t="s">
        <v>3385</v>
      </c>
      <c r="B6445" s="417" t="s">
        <v>2627</v>
      </c>
      <c r="C6445" s="417" t="s">
        <v>15360</v>
      </c>
      <c r="D6445" s="417" t="s">
        <v>83</v>
      </c>
      <c r="E6445" s="423">
        <v>0.81529411985564681</v>
      </c>
      <c r="F6445" s="423">
        <v>1.827383578629126E-2</v>
      </c>
      <c r="G6445" s="422">
        <v>1524.002772730581</v>
      </c>
      <c r="H6445" s="417" t="s">
        <v>2616</v>
      </c>
      <c r="I6445" s="417" t="s">
        <v>1392</v>
      </c>
      <c r="J6445" s="417" t="s">
        <v>14281</v>
      </c>
      <c r="K6445" s="417" t="s">
        <v>15361</v>
      </c>
      <c r="L6445" s="417"/>
      <c r="M6445" s="417" t="s">
        <v>28840</v>
      </c>
    </row>
    <row r="6446" spans="1:13" x14ac:dyDescent="0.25">
      <c r="A6446" s="417" t="s">
        <v>3385</v>
      </c>
      <c r="B6446" s="417" t="s">
        <v>2627</v>
      </c>
      <c r="C6446" s="417" t="s">
        <v>15362</v>
      </c>
      <c r="D6446" s="417" t="s">
        <v>83</v>
      </c>
      <c r="E6446" s="423">
        <v>0.88031023841146405</v>
      </c>
      <c r="F6446" s="423">
        <v>2.1661016074280681E-2</v>
      </c>
      <c r="G6446" s="422">
        <v>1633.607447727692</v>
      </c>
      <c r="H6446" s="417" t="s">
        <v>2616</v>
      </c>
      <c r="I6446" s="417" t="s">
        <v>1392</v>
      </c>
      <c r="J6446" s="417" t="s">
        <v>14281</v>
      </c>
      <c r="K6446" s="417" t="s">
        <v>15363</v>
      </c>
      <c r="L6446" s="417"/>
      <c r="M6446" s="417" t="s">
        <v>28840</v>
      </c>
    </row>
    <row r="6447" spans="1:13" x14ac:dyDescent="0.25">
      <c r="A6447" s="417" t="s">
        <v>3385</v>
      </c>
      <c r="B6447" s="417" t="s">
        <v>2627</v>
      </c>
      <c r="C6447" s="417" t="s">
        <v>15364</v>
      </c>
      <c r="D6447" s="417" t="s">
        <v>83</v>
      </c>
      <c r="E6447" s="423">
        <v>0.99136152266381272</v>
      </c>
      <c r="F6447" s="423">
        <v>2.7446520151061062E-2</v>
      </c>
      <c r="G6447" s="422">
        <v>1820.818657021804</v>
      </c>
      <c r="H6447" s="417" t="s">
        <v>2616</v>
      </c>
      <c r="I6447" s="417" t="s">
        <v>1392</v>
      </c>
      <c r="J6447" s="417" t="s">
        <v>14281</v>
      </c>
      <c r="K6447" s="417" t="s">
        <v>15365</v>
      </c>
      <c r="L6447" s="417"/>
      <c r="M6447" s="417" t="s">
        <v>28840</v>
      </c>
    </row>
    <row r="6448" spans="1:13" x14ac:dyDescent="0.25">
      <c r="A6448" s="417" t="s">
        <v>3385</v>
      </c>
      <c r="B6448" s="417" t="s">
        <v>2627</v>
      </c>
      <c r="C6448" s="417" t="s">
        <v>15366</v>
      </c>
      <c r="D6448" s="417" t="s">
        <v>83</v>
      </c>
      <c r="E6448" s="423">
        <v>0.40746063578607639</v>
      </c>
      <c r="F6448" s="423">
        <v>2.062056614652938E-3</v>
      </c>
      <c r="G6448" s="422">
        <v>912.00014971326652</v>
      </c>
      <c r="H6448" s="417" t="s">
        <v>2616</v>
      </c>
      <c r="I6448" s="417" t="s">
        <v>1392</v>
      </c>
      <c r="J6448" s="417" t="s">
        <v>14281</v>
      </c>
      <c r="K6448" s="417" t="s">
        <v>15367</v>
      </c>
      <c r="L6448" s="417"/>
      <c r="M6448" s="417" t="s">
        <v>28840</v>
      </c>
    </row>
    <row r="6449" spans="1:13" x14ac:dyDescent="0.25">
      <c r="A6449" s="417" t="s">
        <v>3385</v>
      </c>
      <c r="B6449" s="417" t="s">
        <v>2627</v>
      </c>
      <c r="C6449" s="417" t="s">
        <v>15368</v>
      </c>
      <c r="D6449" s="417" t="s">
        <v>83</v>
      </c>
      <c r="E6449" s="423">
        <v>0.83055248923121872</v>
      </c>
      <c r="F6449" s="423">
        <v>2.4354981301880241E-2</v>
      </c>
      <c r="G6449" s="422">
        <v>1629.014661036392</v>
      </c>
      <c r="H6449" s="417" t="s">
        <v>2616</v>
      </c>
      <c r="I6449" s="417" t="s">
        <v>1392</v>
      </c>
      <c r="J6449" s="417" t="s">
        <v>14281</v>
      </c>
      <c r="K6449" s="417" t="s">
        <v>15369</v>
      </c>
      <c r="L6449" s="417"/>
      <c r="M6449" s="417" t="s">
        <v>28840</v>
      </c>
    </row>
    <row r="6450" spans="1:13" x14ac:dyDescent="0.25">
      <c r="A6450" s="417" t="s">
        <v>3385</v>
      </c>
      <c r="B6450" s="417" t="s">
        <v>2627</v>
      </c>
      <c r="C6450" s="417" t="s">
        <v>15370</v>
      </c>
      <c r="D6450" s="417" t="s">
        <v>83</v>
      </c>
      <c r="E6450" s="423">
        <v>0.7207628365016947</v>
      </c>
      <c r="F6450" s="423">
        <v>1.857010877424372E-2</v>
      </c>
      <c r="G6450" s="422">
        <v>1442.9539400039471</v>
      </c>
      <c r="H6450" s="417" t="s">
        <v>2616</v>
      </c>
      <c r="I6450" s="417" t="s">
        <v>1392</v>
      </c>
      <c r="J6450" s="417" t="s">
        <v>14281</v>
      </c>
      <c r="K6450" s="417" t="s">
        <v>15371</v>
      </c>
      <c r="L6450" s="417"/>
      <c r="M6450" s="417" t="s">
        <v>28840</v>
      </c>
    </row>
    <row r="6451" spans="1:13" x14ac:dyDescent="0.25">
      <c r="A6451" s="417" t="s">
        <v>3385</v>
      </c>
      <c r="B6451" s="417" t="s">
        <v>2627</v>
      </c>
      <c r="C6451" s="417" t="s">
        <v>15372</v>
      </c>
      <c r="D6451" s="417" t="s">
        <v>83</v>
      </c>
      <c r="E6451" s="423">
        <v>0.65917351126467816</v>
      </c>
      <c r="F6451" s="423">
        <v>1.5324935972740639E-2</v>
      </c>
      <c r="G6451" s="422">
        <v>1338.578406399394</v>
      </c>
      <c r="H6451" s="417" t="s">
        <v>2616</v>
      </c>
      <c r="I6451" s="417" t="s">
        <v>1392</v>
      </c>
      <c r="J6451" s="417" t="s">
        <v>14281</v>
      </c>
      <c r="K6451" s="417" t="s">
        <v>15373</v>
      </c>
      <c r="L6451" s="417"/>
      <c r="M6451" s="417" t="s">
        <v>28840</v>
      </c>
    </row>
    <row r="6452" spans="1:13" x14ac:dyDescent="0.25">
      <c r="A6452" s="417" t="s">
        <v>3385</v>
      </c>
      <c r="B6452" s="417" t="s">
        <v>2627</v>
      </c>
      <c r="C6452" s="417" t="s">
        <v>15374</v>
      </c>
      <c r="D6452" s="417" t="s">
        <v>83</v>
      </c>
      <c r="E6452" s="423">
        <v>0.64042893490317399</v>
      </c>
      <c r="F6452" s="423">
        <v>1.4337274689065659E-2</v>
      </c>
      <c r="G6452" s="422">
        <v>1306.811937437059</v>
      </c>
      <c r="H6452" s="417" t="s">
        <v>2616</v>
      </c>
      <c r="I6452" s="417" t="s">
        <v>1392</v>
      </c>
      <c r="J6452" s="417" t="s">
        <v>14281</v>
      </c>
      <c r="K6452" s="417" t="s">
        <v>15375</v>
      </c>
      <c r="L6452" s="417"/>
      <c r="M6452" s="417" t="s">
        <v>28840</v>
      </c>
    </row>
    <row r="6453" spans="1:13" x14ac:dyDescent="0.25">
      <c r="A6453" s="417" t="s">
        <v>3385</v>
      </c>
      <c r="B6453" s="417" t="s">
        <v>2627</v>
      </c>
      <c r="C6453" s="417" t="s">
        <v>15376</v>
      </c>
      <c r="D6453" s="417" t="s">
        <v>83</v>
      </c>
      <c r="E6453" s="423">
        <v>0.6323955460821592</v>
      </c>
      <c r="F6453" s="423">
        <v>1.391399148236842E-2</v>
      </c>
      <c r="G6453" s="422">
        <v>1293.1977422141019</v>
      </c>
      <c r="H6453" s="417" t="s">
        <v>2616</v>
      </c>
      <c r="I6453" s="417" t="s">
        <v>1392</v>
      </c>
      <c r="J6453" s="417" t="s">
        <v>14281</v>
      </c>
      <c r="K6453" s="417" t="s">
        <v>15377</v>
      </c>
      <c r="L6453" s="417"/>
      <c r="M6453" s="417" t="s">
        <v>28840</v>
      </c>
    </row>
    <row r="6454" spans="1:13" x14ac:dyDescent="0.25">
      <c r="A6454" s="417" t="s">
        <v>3385</v>
      </c>
      <c r="B6454" s="417" t="s">
        <v>2627</v>
      </c>
      <c r="C6454" s="417" t="s">
        <v>15378</v>
      </c>
      <c r="D6454" s="417" t="s">
        <v>83</v>
      </c>
      <c r="E6454" s="423">
        <v>0.70737384836321981</v>
      </c>
      <c r="F6454" s="423">
        <v>1.7864636330691071E-2</v>
      </c>
      <c r="G6454" s="422">
        <v>1420.2635999091619</v>
      </c>
      <c r="H6454" s="417" t="s">
        <v>2616</v>
      </c>
      <c r="I6454" s="417" t="s">
        <v>1392</v>
      </c>
      <c r="J6454" s="417" t="s">
        <v>14281</v>
      </c>
      <c r="K6454" s="417" t="s">
        <v>15379</v>
      </c>
      <c r="L6454" s="417"/>
      <c r="M6454" s="417" t="s">
        <v>28840</v>
      </c>
    </row>
    <row r="6455" spans="1:13" x14ac:dyDescent="0.25">
      <c r="A6455" s="417" t="s">
        <v>3385</v>
      </c>
      <c r="B6455" s="417" t="s">
        <v>2627</v>
      </c>
      <c r="C6455" s="417" t="s">
        <v>15380</v>
      </c>
      <c r="D6455" s="417" t="s">
        <v>83</v>
      </c>
      <c r="E6455" s="423">
        <v>0.40746063578607639</v>
      </c>
      <c r="F6455" s="423">
        <v>2.062056614652938E-3</v>
      </c>
      <c r="G6455" s="422">
        <v>912.00014971326652</v>
      </c>
      <c r="H6455" s="417" t="s">
        <v>2616</v>
      </c>
      <c r="I6455" s="417" t="s">
        <v>1392</v>
      </c>
      <c r="J6455" s="417" t="s">
        <v>14281</v>
      </c>
      <c r="K6455" s="417" t="s">
        <v>15381</v>
      </c>
      <c r="L6455" s="417"/>
      <c r="M6455" s="417" t="s">
        <v>28840</v>
      </c>
    </row>
    <row r="6456" spans="1:13" x14ac:dyDescent="0.25">
      <c r="A6456" s="417" t="s">
        <v>3385</v>
      </c>
      <c r="B6456" s="417" t="s">
        <v>2627</v>
      </c>
      <c r="C6456" s="417" t="s">
        <v>15382</v>
      </c>
      <c r="D6456" s="417" t="s">
        <v>83</v>
      </c>
      <c r="E6456" s="423">
        <v>0.46904995755180362</v>
      </c>
      <c r="F6456" s="423">
        <v>5.3072293169683449E-3</v>
      </c>
      <c r="G6456" s="422">
        <v>1016.3756827139</v>
      </c>
      <c r="H6456" s="417" t="s">
        <v>2616</v>
      </c>
      <c r="I6456" s="417" t="s">
        <v>1392</v>
      </c>
      <c r="J6456" s="417" t="s">
        <v>14281</v>
      </c>
      <c r="K6456" s="417" t="s">
        <v>15383</v>
      </c>
      <c r="L6456" s="417"/>
      <c r="M6456" s="417" t="s">
        <v>28840</v>
      </c>
    </row>
    <row r="6457" spans="1:13" x14ac:dyDescent="0.25">
      <c r="A6457" s="417" t="s">
        <v>3385</v>
      </c>
      <c r="B6457" s="417" t="s">
        <v>2627</v>
      </c>
      <c r="C6457" s="417" t="s">
        <v>15384</v>
      </c>
      <c r="D6457" s="417" t="s">
        <v>83</v>
      </c>
      <c r="E6457" s="423">
        <v>0.6216843593727388</v>
      </c>
      <c r="F6457" s="423">
        <v>1.3349613526603431E-2</v>
      </c>
      <c r="G6457" s="422">
        <v>1275.045471058495</v>
      </c>
      <c r="H6457" s="417" t="s">
        <v>2616</v>
      </c>
      <c r="I6457" s="417" t="s">
        <v>1392</v>
      </c>
      <c r="J6457" s="417" t="s">
        <v>14281</v>
      </c>
      <c r="K6457" s="417" t="s">
        <v>15385</v>
      </c>
      <c r="L6457" s="417"/>
      <c r="M6457" s="417" t="s">
        <v>28840</v>
      </c>
    </row>
    <row r="6458" spans="1:13" x14ac:dyDescent="0.25">
      <c r="A6458" s="417" t="s">
        <v>3385</v>
      </c>
      <c r="B6458" s="417" t="s">
        <v>2627</v>
      </c>
      <c r="C6458" s="417" t="s">
        <v>15386</v>
      </c>
      <c r="D6458" s="417" t="s">
        <v>83</v>
      </c>
      <c r="E6458" s="423">
        <v>0.7287962235659049</v>
      </c>
      <c r="F6458" s="423">
        <v>1.899339217407494E-2</v>
      </c>
      <c r="G6458" s="422">
        <v>1456.568136347908</v>
      </c>
      <c r="H6458" s="417" t="s">
        <v>2616</v>
      </c>
      <c r="I6458" s="417" t="s">
        <v>1392</v>
      </c>
      <c r="J6458" s="417" t="s">
        <v>14281</v>
      </c>
      <c r="K6458" s="417" t="s">
        <v>15387</v>
      </c>
      <c r="L6458" s="417"/>
      <c r="M6458" s="417" t="s">
        <v>28840</v>
      </c>
    </row>
    <row r="6459" spans="1:13" x14ac:dyDescent="0.25">
      <c r="A6459" s="417" t="s">
        <v>3385</v>
      </c>
      <c r="B6459" s="417" t="s">
        <v>2627</v>
      </c>
      <c r="C6459" s="417" t="s">
        <v>15388</v>
      </c>
      <c r="D6459" s="417" t="s">
        <v>83</v>
      </c>
      <c r="E6459" s="423">
        <v>0.71005164821747779</v>
      </c>
      <c r="F6459" s="423">
        <v>1.800573084763708E-2</v>
      </c>
      <c r="G6459" s="422">
        <v>1424.801671163091</v>
      </c>
      <c r="H6459" s="417" t="s">
        <v>2616</v>
      </c>
      <c r="I6459" s="417" t="s">
        <v>1392</v>
      </c>
      <c r="J6459" s="417" t="s">
        <v>14281</v>
      </c>
      <c r="K6459" s="417" t="s">
        <v>15389</v>
      </c>
      <c r="L6459" s="417"/>
      <c r="M6459" s="417" t="s">
        <v>28840</v>
      </c>
    </row>
    <row r="6460" spans="1:13" x14ac:dyDescent="0.25">
      <c r="A6460" s="417" t="s">
        <v>3385</v>
      </c>
      <c r="B6460" s="417" t="s">
        <v>2627</v>
      </c>
      <c r="C6460" s="417" t="s">
        <v>15390</v>
      </c>
      <c r="D6460" s="417" t="s">
        <v>83</v>
      </c>
      <c r="E6460" s="423">
        <v>0.42352741528148519</v>
      </c>
      <c r="F6460" s="423">
        <v>2.9086234035028079E-3</v>
      </c>
      <c r="G6460" s="422">
        <v>939.22854949747455</v>
      </c>
      <c r="H6460" s="417" t="s">
        <v>2616</v>
      </c>
      <c r="I6460" s="417" t="s">
        <v>1392</v>
      </c>
      <c r="J6460" s="417" t="s">
        <v>14281</v>
      </c>
      <c r="K6460" s="417" t="s">
        <v>15391</v>
      </c>
      <c r="L6460" s="417"/>
      <c r="M6460" s="417" t="s">
        <v>28840</v>
      </c>
    </row>
    <row r="6461" spans="1:13" x14ac:dyDescent="0.25">
      <c r="A6461" s="417" t="s">
        <v>3385</v>
      </c>
      <c r="B6461" s="417" t="s">
        <v>2627</v>
      </c>
      <c r="C6461" s="417" t="s">
        <v>15392</v>
      </c>
      <c r="D6461" s="417" t="s">
        <v>83</v>
      </c>
      <c r="E6461" s="423">
        <v>0.72076283648449246</v>
      </c>
      <c r="F6461" s="423">
        <v>1.8570108773357141E-2</v>
      </c>
      <c r="G6461" s="422">
        <v>1442.953940039037</v>
      </c>
      <c r="H6461" s="417" t="s">
        <v>2616</v>
      </c>
      <c r="I6461" s="417" t="s">
        <v>1392</v>
      </c>
      <c r="J6461" s="417" t="s">
        <v>14281</v>
      </c>
      <c r="K6461" s="417" t="s">
        <v>15393</v>
      </c>
      <c r="L6461" s="417"/>
      <c r="M6461" s="417" t="s">
        <v>28840</v>
      </c>
    </row>
    <row r="6462" spans="1:13" x14ac:dyDescent="0.25">
      <c r="A6462" s="417" t="s">
        <v>3385</v>
      </c>
      <c r="B6462" s="417" t="s">
        <v>2627</v>
      </c>
      <c r="C6462" s="417" t="s">
        <v>15394</v>
      </c>
      <c r="D6462" s="417" t="s">
        <v>83</v>
      </c>
      <c r="E6462" s="423">
        <v>0.40746063578607639</v>
      </c>
      <c r="F6462" s="423">
        <v>2.062056614652938E-3</v>
      </c>
      <c r="G6462" s="422">
        <v>912.00014971326652</v>
      </c>
      <c r="H6462" s="417" t="s">
        <v>2616</v>
      </c>
      <c r="I6462" s="417" t="s">
        <v>1392</v>
      </c>
      <c r="J6462" s="417" t="s">
        <v>14281</v>
      </c>
      <c r="K6462" s="417" t="s">
        <v>15395</v>
      </c>
      <c r="L6462" s="417"/>
      <c r="M6462" s="417" t="s">
        <v>28840</v>
      </c>
    </row>
    <row r="6463" spans="1:13" x14ac:dyDescent="0.25">
      <c r="A6463" s="417" t="s">
        <v>3385</v>
      </c>
      <c r="B6463" s="417" t="s">
        <v>2627</v>
      </c>
      <c r="C6463" s="417" t="s">
        <v>15396</v>
      </c>
      <c r="D6463" s="417" t="s">
        <v>83</v>
      </c>
      <c r="E6463" s="423">
        <v>0.76092978269813716</v>
      </c>
      <c r="F6463" s="423">
        <v>2.0686525751234541E-2</v>
      </c>
      <c r="G6463" s="422">
        <v>1511.0249427466781</v>
      </c>
      <c r="H6463" s="417" t="s">
        <v>2616</v>
      </c>
      <c r="I6463" s="417" t="s">
        <v>1392</v>
      </c>
      <c r="J6463" s="417" t="s">
        <v>14281</v>
      </c>
      <c r="K6463" s="417" t="s">
        <v>15397</v>
      </c>
      <c r="L6463" s="417"/>
      <c r="M6463" s="417" t="s">
        <v>28840</v>
      </c>
    </row>
    <row r="6464" spans="1:13" x14ac:dyDescent="0.25">
      <c r="A6464" s="417" t="s">
        <v>3385</v>
      </c>
      <c r="B6464" s="417" t="s">
        <v>2627</v>
      </c>
      <c r="C6464" s="417" t="s">
        <v>15398</v>
      </c>
      <c r="D6464" s="417" t="s">
        <v>83</v>
      </c>
      <c r="E6464" s="423">
        <v>0.40746063578607639</v>
      </c>
      <c r="F6464" s="423">
        <v>2.062056614652938E-3</v>
      </c>
      <c r="G6464" s="422">
        <v>912.00014971326652</v>
      </c>
      <c r="H6464" s="417" t="s">
        <v>2616</v>
      </c>
      <c r="I6464" s="417" t="s">
        <v>1392</v>
      </c>
      <c r="J6464" s="417" t="s">
        <v>14281</v>
      </c>
      <c r="K6464" s="417" t="s">
        <v>15399</v>
      </c>
      <c r="L6464" s="417"/>
      <c r="M6464" s="417" t="s">
        <v>28840</v>
      </c>
    </row>
    <row r="6465" spans="1:13" x14ac:dyDescent="0.25">
      <c r="A6465" s="417" t="s">
        <v>3385</v>
      </c>
      <c r="B6465" s="417" t="s">
        <v>2627</v>
      </c>
      <c r="C6465" s="417" t="s">
        <v>15400</v>
      </c>
      <c r="D6465" s="417" t="s">
        <v>83</v>
      </c>
      <c r="E6465" s="423">
        <v>0.62168435912061504</v>
      </c>
      <c r="F6465" s="423">
        <v>1.3349613527748209E-2</v>
      </c>
      <c r="G6465" s="422">
        <v>1275.0454711861919</v>
      </c>
      <c r="H6465" s="417" t="s">
        <v>2616</v>
      </c>
      <c r="I6465" s="417" t="s">
        <v>1392</v>
      </c>
      <c r="J6465" s="417" t="s">
        <v>14281</v>
      </c>
      <c r="K6465" s="417" t="s">
        <v>15401</v>
      </c>
      <c r="L6465" s="417"/>
      <c r="M6465" s="417" t="s">
        <v>28840</v>
      </c>
    </row>
    <row r="6466" spans="1:13" x14ac:dyDescent="0.25">
      <c r="A6466" s="417" t="s">
        <v>3385</v>
      </c>
      <c r="B6466" s="417" t="s">
        <v>2627</v>
      </c>
      <c r="C6466" s="417" t="s">
        <v>15402</v>
      </c>
      <c r="D6466" s="417" t="s">
        <v>83</v>
      </c>
      <c r="E6466" s="423">
        <v>0.66452910452503411</v>
      </c>
      <c r="F6466" s="423">
        <v>1.560712474705986E-2</v>
      </c>
      <c r="G6466" s="422">
        <v>1347.65453469617</v>
      </c>
      <c r="H6466" s="417" t="s">
        <v>2616</v>
      </c>
      <c r="I6466" s="417" t="s">
        <v>1392</v>
      </c>
      <c r="J6466" s="417" t="s">
        <v>14281</v>
      </c>
      <c r="K6466" s="417" t="s">
        <v>15403</v>
      </c>
      <c r="L6466" s="417"/>
      <c r="M6466" s="417" t="s">
        <v>28840</v>
      </c>
    </row>
    <row r="6467" spans="1:13" x14ac:dyDescent="0.25">
      <c r="A6467" s="417" t="s">
        <v>3385</v>
      </c>
      <c r="B6467" s="417" t="s">
        <v>2627</v>
      </c>
      <c r="C6467" s="417" t="s">
        <v>15404</v>
      </c>
      <c r="D6467" s="417" t="s">
        <v>83</v>
      </c>
      <c r="E6467" s="423">
        <v>0.68106229243452199</v>
      </c>
      <c r="F6467" s="423">
        <v>7.052015789677353E-3</v>
      </c>
      <c r="G6467" s="422">
        <v>1301.8902746427991</v>
      </c>
      <c r="H6467" s="417" t="s">
        <v>2616</v>
      </c>
      <c r="I6467" s="417" t="s">
        <v>1392</v>
      </c>
      <c r="J6467" s="417" t="s">
        <v>14281</v>
      </c>
      <c r="K6467" s="417" t="s">
        <v>15405</v>
      </c>
      <c r="L6467" s="417"/>
      <c r="M6467" s="417" t="s">
        <v>28840</v>
      </c>
    </row>
    <row r="6468" spans="1:13" x14ac:dyDescent="0.25">
      <c r="A6468" s="417" t="s">
        <v>3385</v>
      </c>
      <c r="B6468" s="417" t="s">
        <v>2627</v>
      </c>
      <c r="C6468" s="417" t="s">
        <v>15406</v>
      </c>
      <c r="D6468" s="417" t="s">
        <v>83</v>
      </c>
      <c r="E6468" s="423">
        <v>0.94973823283588232</v>
      </c>
      <c r="F6468" s="423">
        <v>2.0919772625147881E-2</v>
      </c>
      <c r="G6468" s="422">
        <v>1754.95446440673</v>
      </c>
      <c r="H6468" s="417" t="s">
        <v>2616</v>
      </c>
      <c r="I6468" s="417" t="s">
        <v>1392</v>
      </c>
      <c r="J6468" s="417" t="s">
        <v>14281</v>
      </c>
      <c r="K6468" s="417" t="s">
        <v>15407</v>
      </c>
      <c r="L6468" s="417"/>
      <c r="M6468" s="417" t="s">
        <v>28840</v>
      </c>
    </row>
    <row r="6469" spans="1:13" x14ac:dyDescent="0.25">
      <c r="A6469" s="417" t="s">
        <v>3385</v>
      </c>
      <c r="B6469" s="417" t="s">
        <v>2627</v>
      </c>
      <c r="C6469" s="417" t="s">
        <v>15408</v>
      </c>
      <c r="D6469" s="417" t="s">
        <v>83</v>
      </c>
      <c r="E6469" s="423">
        <v>1.223897476256004</v>
      </c>
      <c r="F6469" s="423">
        <v>3.5070556635589709E-2</v>
      </c>
      <c r="G6469" s="422">
        <v>2217.2650836414691</v>
      </c>
      <c r="H6469" s="417" t="s">
        <v>2616</v>
      </c>
      <c r="I6469" s="417" t="s">
        <v>1392</v>
      </c>
      <c r="J6469" s="417" t="s">
        <v>14281</v>
      </c>
      <c r="K6469" s="417" t="s">
        <v>15409</v>
      </c>
      <c r="L6469" s="417"/>
      <c r="M6469" s="417" t="s">
        <v>28840</v>
      </c>
    </row>
    <row r="6470" spans="1:13" x14ac:dyDescent="0.25">
      <c r="A6470" s="417" t="s">
        <v>3385</v>
      </c>
      <c r="B6470" s="417" t="s">
        <v>2627</v>
      </c>
      <c r="C6470" s="417" t="s">
        <v>15410</v>
      </c>
      <c r="D6470" s="417" t="s">
        <v>83</v>
      </c>
      <c r="E6470" s="423">
        <v>0.76331004446104267</v>
      </c>
      <c r="F6470" s="423">
        <v>1.1297248115650291E-2</v>
      </c>
      <c r="G6470" s="422">
        <v>1440.5834215059781</v>
      </c>
      <c r="H6470" s="417" t="s">
        <v>2616</v>
      </c>
      <c r="I6470" s="417" t="s">
        <v>1392</v>
      </c>
      <c r="J6470" s="417" t="s">
        <v>14281</v>
      </c>
      <c r="K6470" s="417" t="s">
        <v>15411</v>
      </c>
      <c r="L6470" s="417"/>
      <c r="M6470" s="417" t="s">
        <v>28840</v>
      </c>
    </row>
    <row r="6471" spans="1:13" x14ac:dyDescent="0.25">
      <c r="A6471" s="417" t="s">
        <v>3385</v>
      </c>
      <c r="B6471" s="417" t="s">
        <v>2627</v>
      </c>
      <c r="C6471" s="417" t="s">
        <v>15412</v>
      </c>
      <c r="D6471" s="417" t="s">
        <v>83</v>
      </c>
      <c r="E6471" s="423">
        <v>0.73589413239398571</v>
      </c>
      <c r="F6471" s="423">
        <v>9.8821694622959998E-3</v>
      </c>
      <c r="G6471" s="422">
        <v>1394.352378224391</v>
      </c>
      <c r="H6471" s="417" t="s">
        <v>2616</v>
      </c>
      <c r="I6471" s="417" t="s">
        <v>1392</v>
      </c>
      <c r="J6471" s="417" t="s">
        <v>14281</v>
      </c>
      <c r="K6471" s="417" t="s">
        <v>15413</v>
      </c>
      <c r="L6471" s="417"/>
      <c r="M6471" s="417" t="s">
        <v>28840</v>
      </c>
    </row>
    <row r="6472" spans="1:13" x14ac:dyDescent="0.25">
      <c r="A6472" s="417" t="s">
        <v>3385</v>
      </c>
      <c r="B6472" s="417" t="s">
        <v>2627</v>
      </c>
      <c r="C6472" s="417" t="s">
        <v>15414</v>
      </c>
      <c r="D6472" s="417" t="s">
        <v>83</v>
      </c>
      <c r="E6472" s="423">
        <v>0.77427637879202449</v>
      </c>
      <c r="F6472" s="423">
        <v>1.186327596279204E-2</v>
      </c>
      <c r="G6472" s="422">
        <v>1459.0757626007889</v>
      </c>
      <c r="H6472" s="417" t="s">
        <v>2616</v>
      </c>
      <c r="I6472" s="417" t="s">
        <v>1392</v>
      </c>
      <c r="J6472" s="417" t="s">
        <v>14281</v>
      </c>
      <c r="K6472" s="417" t="s">
        <v>15415</v>
      </c>
      <c r="L6472" s="417"/>
      <c r="M6472" s="417" t="s">
        <v>28840</v>
      </c>
    </row>
    <row r="6473" spans="1:13" x14ac:dyDescent="0.25">
      <c r="A6473" s="417" t="s">
        <v>3385</v>
      </c>
      <c r="B6473" s="417" t="s">
        <v>2627</v>
      </c>
      <c r="C6473" s="417" t="s">
        <v>15416</v>
      </c>
      <c r="D6473" s="417" t="s">
        <v>83</v>
      </c>
      <c r="E6473" s="423">
        <v>0.88942325211874351</v>
      </c>
      <c r="F6473" s="423">
        <v>1.7806609360446469E-2</v>
      </c>
      <c r="G6473" s="422">
        <v>1653.246217561554</v>
      </c>
      <c r="H6473" s="417" t="s">
        <v>2616</v>
      </c>
      <c r="I6473" s="417" t="s">
        <v>1392</v>
      </c>
      <c r="J6473" s="417" t="s">
        <v>14281</v>
      </c>
      <c r="K6473" s="417" t="s">
        <v>15417</v>
      </c>
      <c r="L6473" s="417"/>
      <c r="M6473" s="417" t="s">
        <v>28840</v>
      </c>
    </row>
    <row r="6474" spans="1:13" x14ac:dyDescent="0.25">
      <c r="A6474" s="417" t="s">
        <v>3385</v>
      </c>
      <c r="B6474" s="417" t="s">
        <v>2627</v>
      </c>
      <c r="C6474" s="417" t="s">
        <v>15418</v>
      </c>
      <c r="D6474" s="417" t="s">
        <v>83</v>
      </c>
      <c r="E6474" s="423">
        <v>0.85378256191812696</v>
      </c>
      <c r="F6474" s="423">
        <v>1.596700218340252E-2</v>
      </c>
      <c r="G6474" s="422">
        <v>1593.145851267946</v>
      </c>
      <c r="H6474" s="417" t="s">
        <v>2616</v>
      </c>
      <c r="I6474" s="417" t="s">
        <v>1392</v>
      </c>
      <c r="J6474" s="417" t="s">
        <v>14281</v>
      </c>
      <c r="K6474" s="417" t="s">
        <v>15419</v>
      </c>
      <c r="L6474" s="417"/>
      <c r="M6474" s="417" t="s">
        <v>28840</v>
      </c>
    </row>
    <row r="6475" spans="1:13" x14ac:dyDescent="0.25">
      <c r="A6475" s="417" t="s">
        <v>3385</v>
      </c>
      <c r="B6475" s="417" t="s">
        <v>2627</v>
      </c>
      <c r="C6475" s="417" t="s">
        <v>15420</v>
      </c>
      <c r="D6475" s="417" t="s">
        <v>83</v>
      </c>
      <c r="E6475" s="423">
        <v>0.98539756232010911</v>
      </c>
      <c r="F6475" s="423">
        <v>2.2760334353310381E-2</v>
      </c>
      <c r="G6475" s="422">
        <v>1815.086244511775</v>
      </c>
      <c r="H6475" s="417" t="s">
        <v>2616</v>
      </c>
      <c r="I6475" s="417" t="s">
        <v>1392</v>
      </c>
      <c r="J6475" s="417" t="s">
        <v>14281</v>
      </c>
      <c r="K6475" s="417" t="s">
        <v>15421</v>
      </c>
      <c r="L6475" s="417"/>
      <c r="M6475" s="417" t="s">
        <v>28840</v>
      </c>
    </row>
    <row r="6476" spans="1:13" x14ac:dyDescent="0.25">
      <c r="A6476" s="417" t="s">
        <v>3385</v>
      </c>
      <c r="B6476" s="417" t="s">
        <v>2627</v>
      </c>
      <c r="C6476" s="417" t="s">
        <v>15422</v>
      </c>
      <c r="D6476" s="417" t="s">
        <v>83</v>
      </c>
      <c r="E6476" s="423">
        <v>0.82636663312318814</v>
      </c>
      <c r="F6476" s="423">
        <v>1.4551925814970491E-2</v>
      </c>
      <c r="G6476" s="422">
        <v>1546.9147803611661</v>
      </c>
      <c r="H6476" s="417" t="s">
        <v>2616</v>
      </c>
      <c r="I6476" s="417" t="s">
        <v>1392</v>
      </c>
      <c r="J6476" s="417" t="s">
        <v>14281</v>
      </c>
      <c r="K6476" s="417" t="s">
        <v>15423</v>
      </c>
      <c r="L6476" s="417"/>
      <c r="M6476" s="417" t="s">
        <v>28840</v>
      </c>
    </row>
    <row r="6477" spans="1:13" x14ac:dyDescent="0.25">
      <c r="A6477" s="417" t="s">
        <v>3385</v>
      </c>
      <c r="B6477" s="417" t="s">
        <v>2627</v>
      </c>
      <c r="C6477" s="417" t="s">
        <v>15424</v>
      </c>
      <c r="D6477" s="417" t="s">
        <v>83</v>
      </c>
      <c r="E6477" s="423">
        <v>1.2266575412036671</v>
      </c>
      <c r="F6477" s="423">
        <v>3.5213021655729843E-2</v>
      </c>
      <c r="G6477" s="422">
        <v>2221.9193161477128</v>
      </c>
      <c r="H6477" s="417" t="s">
        <v>2616</v>
      </c>
      <c r="I6477" s="417" t="s">
        <v>1392</v>
      </c>
      <c r="J6477" s="417" t="s">
        <v>14281</v>
      </c>
      <c r="K6477" s="417" t="s">
        <v>15425</v>
      </c>
      <c r="L6477" s="417"/>
      <c r="M6477" s="417" t="s">
        <v>28840</v>
      </c>
    </row>
    <row r="6478" spans="1:13" x14ac:dyDescent="0.25">
      <c r="A6478" s="417" t="s">
        <v>3385</v>
      </c>
      <c r="B6478" s="417" t="s">
        <v>2627</v>
      </c>
      <c r="C6478" s="417" t="s">
        <v>15426</v>
      </c>
      <c r="D6478" s="417" t="s">
        <v>83</v>
      </c>
      <c r="E6478" s="423">
        <v>1.223897475956697</v>
      </c>
      <c r="F6478" s="423">
        <v>3.5070556631219517E-2</v>
      </c>
      <c r="G6478" s="422">
        <v>2217.2650836890671</v>
      </c>
      <c r="H6478" s="417" t="s">
        <v>2616</v>
      </c>
      <c r="I6478" s="417" t="s">
        <v>1392</v>
      </c>
      <c r="J6478" s="417" t="s">
        <v>14281</v>
      </c>
      <c r="K6478" s="417" t="s">
        <v>15427</v>
      </c>
      <c r="L6478" s="417"/>
      <c r="M6478" s="417" t="s">
        <v>28840</v>
      </c>
    </row>
    <row r="6479" spans="1:13" x14ac:dyDescent="0.25">
      <c r="A6479" s="417" t="s">
        <v>3385</v>
      </c>
      <c r="B6479" s="417" t="s">
        <v>2627</v>
      </c>
      <c r="C6479" s="417" t="s">
        <v>15428</v>
      </c>
      <c r="D6479" s="417" t="s">
        <v>83</v>
      </c>
      <c r="E6479" s="423">
        <v>1.007330362407302</v>
      </c>
      <c r="F6479" s="423">
        <v>2.3892406186505139E-2</v>
      </c>
      <c r="G6479" s="422">
        <v>1852.07122122025</v>
      </c>
      <c r="H6479" s="417" t="s">
        <v>2616</v>
      </c>
      <c r="I6479" s="417" t="s">
        <v>1392</v>
      </c>
      <c r="J6479" s="417" t="s">
        <v>14281</v>
      </c>
      <c r="K6479" s="417" t="s">
        <v>15429</v>
      </c>
      <c r="L6479" s="417"/>
      <c r="M6479" s="417" t="s">
        <v>28840</v>
      </c>
    </row>
    <row r="6480" spans="1:13" x14ac:dyDescent="0.25">
      <c r="A6480" s="417" t="s">
        <v>3385</v>
      </c>
      <c r="B6480" s="417" t="s">
        <v>2627</v>
      </c>
      <c r="C6480" s="417" t="s">
        <v>15430</v>
      </c>
      <c r="D6480" s="417" t="s">
        <v>83</v>
      </c>
      <c r="E6480" s="423">
        <v>0.67557910620091288</v>
      </c>
      <c r="F6480" s="423">
        <v>6.769001003162742E-3</v>
      </c>
      <c r="G6480" s="422">
        <v>1292.6440610296891</v>
      </c>
      <c r="H6480" s="417" t="s">
        <v>2616</v>
      </c>
      <c r="I6480" s="417" t="s">
        <v>1392</v>
      </c>
      <c r="J6480" s="417" t="s">
        <v>14281</v>
      </c>
      <c r="K6480" s="417" t="s">
        <v>15431</v>
      </c>
      <c r="L6480" s="417"/>
      <c r="M6480" s="417" t="s">
        <v>28840</v>
      </c>
    </row>
    <row r="6481" spans="1:13" x14ac:dyDescent="0.25">
      <c r="A6481" s="417" t="s">
        <v>3385</v>
      </c>
      <c r="B6481" s="417" t="s">
        <v>2627</v>
      </c>
      <c r="C6481" s="417" t="s">
        <v>15432</v>
      </c>
      <c r="D6481" s="417" t="s">
        <v>83</v>
      </c>
      <c r="E6481" s="423">
        <v>0.63719683232817037</v>
      </c>
      <c r="F6481" s="423">
        <v>4.7878914195376484E-3</v>
      </c>
      <c r="G6481" s="422">
        <v>1227.920611866135</v>
      </c>
      <c r="H6481" s="417" t="s">
        <v>2616</v>
      </c>
      <c r="I6481" s="417" t="s">
        <v>1392</v>
      </c>
      <c r="J6481" s="417" t="s">
        <v>14281</v>
      </c>
      <c r="K6481" s="417" t="s">
        <v>15433</v>
      </c>
      <c r="L6481" s="417"/>
      <c r="M6481" s="417" t="s">
        <v>28840</v>
      </c>
    </row>
    <row r="6482" spans="1:13" x14ac:dyDescent="0.25">
      <c r="A6482" s="417" t="s">
        <v>3385</v>
      </c>
      <c r="B6482" s="417" t="s">
        <v>2627</v>
      </c>
      <c r="C6482" s="417" t="s">
        <v>15434</v>
      </c>
      <c r="D6482" s="417" t="s">
        <v>83</v>
      </c>
      <c r="E6482" s="423">
        <v>0.72766934754996371</v>
      </c>
      <c r="F6482" s="423">
        <v>9.4576478065333449E-3</v>
      </c>
      <c r="G6482" s="422">
        <v>1380.483042085948</v>
      </c>
      <c r="H6482" s="417" t="s">
        <v>2616</v>
      </c>
      <c r="I6482" s="417" t="s">
        <v>1392</v>
      </c>
      <c r="J6482" s="417" t="s">
        <v>14281</v>
      </c>
      <c r="K6482" s="417" t="s">
        <v>15435</v>
      </c>
      <c r="L6482" s="417"/>
      <c r="M6482" s="417" t="s">
        <v>28840</v>
      </c>
    </row>
    <row r="6483" spans="1:13" x14ac:dyDescent="0.25">
      <c r="A6483" s="417" t="s">
        <v>3385</v>
      </c>
      <c r="B6483" s="417" t="s">
        <v>2627</v>
      </c>
      <c r="C6483" s="417" t="s">
        <v>15436</v>
      </c>
      <c r="D6483" s="417" t="s">
        <v>83</v>
      </c>
      <c r="E6483" s="423">
        <v>1.0785744065083001</v>
      </c>
      <c r="F6483" s="423">
        <v>2.7569679331098381E-2</v>
      </c>
      <c r="G6483" s="422">
        <v>1972.2089571524409</v>
      </c>
      <c r="H6483" s="417" t="s">
        <v>2616</v>
      </c>
      <c r="I6483" s="417" t="s">
        <v>1392</v>
      </c>
      <c r="J6483" s="417" t="s">
        <v>14281</v>
      </c>
      <c r="K6483" s="417" t="s">
        <v>15437</v>
      </c>
      <c r="L6483" s="417"/>
      <c r="M6483" s="417" t="s">
        <v>28840</v>
      </c>
    </row>
    <row r="6484" spans="1:13" x14ac:dyDescent="0.25">
      <c r="A6484" s="417" t="s">
        <v>3385</v>
      </c>
      <c r="B6484" s="417" t="s">
        <v>2627</v>
      </c>
      <c r="C6484" s="417" t="s">
        <v>15438</v>
      </c>
      <c r="D6484" s="417" t="s">
        <v>83</v>
      </c>
      <c r="E6484" s="423">
        <v>0.72766934754996371</v>
      </c>
      <c r="F6484" s="423">
        <v>9.4576478065333449E-3</v>
      </c>
      <c r="G6484" s="422">
        <v>1380.483042085948</v>
      </c>
      <c r="H6484" s="417" t="s">
        <v>2616</v>
      </c>
      <c r="I6484" s="417" t="s">
        <v>1392</v>
      </c>
      <c r="J6484" s="417" t="s">
        <v>14281</v>
      </c>
      <c r="K6484" s="417" t="s">
        <v>15439</v>
      </c>
      <c r="L6484" s="417"/>
      <c r="M6484" s="417" t="s">
        <v>28840</v>
      </c>
    </row>
    <row r="6485" spans="1:13" x14ac:dyDescent="0.25">
      <c r="A6485" s="417" t="s">
        <v>3385</v>
      </c>
      <c r="B6485" s="417" t="s">
        <v>2627</v>
      </c>
      <c r="C6485" s="417" t="s">
        <v>15440</v>
      </c>
      <c r="D6485" s="417" t="s">
        <v>83</v>
      </c>
      <c r="E6485" s="423">
        <v>0.83459140083954897</v>
      </c>
      <c r="F6485" s="423">
        <v>1.4976450697515419E-2</v>
      </c>
      <c r="G6485" s="422">
        <v>1560.7840813224111</v>
      </c>
      <c r="H6485" s="417" t="s">
        <v>2616</v>
      </c>
      <c r="I6485" s="417" t="s">
        <v>1392</v>
      </c>
      <c r="J6485" s="417" t="s">
        <v>14281</v>
      </c>
      <c r="K6485" s="417" t="s">
        <v>15441</v>
      </c>
      <c r="L6485" s="417"/>
      <c r="M6485" s="417" t="s">
        <v>28840</v>
      </c>
    </row>
    <row r="6486" spans="1:13" x14ac:dyDescent="0.25">
      <c r="A6486" s="417" t="s">
        <v>3385</v>
      </c>
      <c r="B6486" s="417" t="s">
        <v>2627</v>
      </c>
      <c r="C6486" s="417" t="s">
        <v>15442</v>
      </c>
      <c r="D6486" s="417" t="s">
        <v>83</v>
      </c>
      <c r="E6486" s="423">
        <v>1.1772716622929089</v>
      </c>
      <c r="F6486" s="423">
        <v>3.2663953809047512E-2</v>
      </c>
      <c r="G6486" s="422">
        <v>2138.6406358642739</v>
      </c>
      <c r="H6486" s="417" t="s">
        <v>2616</v>
      </c>
      <c r="I6486" s="417" t="s">
        <v>1392</v>
      </c>
      <c r="J6486" s="417" t="s">
        <v>14281</v>
      </c>
      <c r="K6486" s="417" t="s">
        <v>15443</v>
      </c>
      <c r="L6486" s="417"/>
      <c r="M6486" s="417" t="s">
        <v>28840</v>
      </c>
    </row>
    <row r="6487" spans="1:13" x14ac:dyDescent="0.25">
      <c r="A6487" s="417" t="s">
        <v>3385</v>
      </c>
      <c r="B6487" s="417" t="s">
        <v>2627</v>
      </c>
      <c r="C6487" s="417" t="s">
        <v>15444</v>
      </c>
      <c r="D6487" s="417" t="s">
        <v>83</v>
      </c>
      <c r="E6487" s="423">
        <v>0.67198689117042332</v>
      </c>
      <c r="F6487" s="423">
        <v>1.3127333669548189E-2</v>
      </c>
      <c r="G6487" s="422">
        <v>1304.843729308622</v>
      </c>
      <c r="H6487" s="417" t="s">
        <v>2616</v>
      </c>
      <c r="I6487" s="417" t="s">
        <v>1392</v>
      </c>
      <c r="J6487" s="417" t="s">
        <v>14281</v>
      </c>
      <c r="K6487" s="417" t="s">
        <v>15445</v>
      </c>
      <c r="L6487" s="417"/>
      <c r="M6487" s="417" t="s">
        <v>28840</v>
      </c>
    </row>
    <row r="6488" spans="1:13" x14ac:dyDescent="0.25">
      <c r="A6488" s="417" t="s">
        <v>3385</v>
      </c>
      <c r="B6488" s="417" t="s">
        <v>2627</v>
      </c>
      <c r="C6488" s="417" t="s">
        <v>15446</v>
      </c>
      <c r="D6488" s="417" t="s">
        <v>83</v>
      </c>
      <c r="E6488" s="423">
        <v>0.62886808902129654</v>
      </c>
      <c r="F6488" s="423">
        <v>1.0869527292699551E-2</v>
      </c>
      <c r="G6488" s="422">
        <v>1232.0432493219389</v>
      </c>
      <c r="H6488" s="417" t="s">
        <v>2616</v>
      </c>
      <c r="I6488" s="417" t="s">
        <v>1392</v>
      </c>
      <c r="J6488" s="417" t="s">
        <v>14281</v>
      </c>
      <c r="K6488" s="417" t="s">
        <v>15447</v>
      </c>
      <c r="L6488" s="417"/>
      <c r="M6488" s="417" t="s">
        <v>28840</v>
      </c>
    </row>
    <row r="6489" spans="1:13" x14ac:dyDescent="0.25">
      <c r="A6489" s="417" t="s">
        <v>3385</v>
      </c>
      <c r="B6489" s="417" t="s">
        <v>2627</v>
      </c>
      <c r="C6489" s="417" t="s">
        <v>15448</v>
      </c>
      <c r="D6489" s="417" t="s">
        <v>83</v>
      </c>
      <c r="E6489" s="423">
        <v>0.59922391254395457</v>
      </c>
      <c r="F6489" s="423">
        <v>9.3172854085591394E-3</v>
      </c>
      <c r="G6489" s="422">
        <v>1181.9929190957421</v>
      </c>
      <c r="H6489" s="417" t="s">
        <v>2616</v>
      </c>
      <c r="I6489" s="417" t="s">
        <v>1392</v>
      </c>
      <c r="J6489" s="417" t="s">
        <v>14281</v>
      </c>
      <c r="K6489" s="417" t="s">
        <v>15449</v>
      </c>
      <c r="L6489" s="417"/>
      <c r="M6489" s="417" t="s">
        <v>28840</v>
      </c>
    </row>
    <row r="6490" spans="1:13" x14ac:dyDescent="0.25">
      <c r="A6490" s="417" t="s">
        <v>3385</v>
      </c>
      <c r="B6490" s="417" t="s">
        <v>2627</v>
      </c>
      <c r="C6490" s="417" t="s">
        <v>15450</v>
      </c>
      <c r="D6490" s="417" t="s">
        <v>83</v>
      </c>
      <c r="E6490" s="423">
        <v>0.98459820673925325</v>
      </c>
      <c r="F6490" s="423">
        <v>2.9496429901918669E-2</v>
      </c>
      <c r="G6490" s="422">
        <v>1832.647211677825</v>
      </c>
      <c r="H6490" s="417" t="s">
        <v>2616</v>
      </c>
      <c r="I6490" s="417" t="s">
        <v>1392</v>
      </c>
      <c r="J6490" s="417" t="s">
        <v>14281</v>
      </c>
      <c r="K6490" s="417" t="s">
        <v>15451</v>
      </c>
      <c r="L6490" s="417"/>
      <c r="M6490" s="417" t="s">
        <v>28840</v>
      </c>
    </row>
    <row r="6491" spans="1:13" x14ac:dyDescent="0.25">
      <c r="A6491" s="417" t="s">
        <v>3385</v>
      </c>
      <c r="B6491" s="417" t="s">
        <v>2627</v>
      </c>
      <c r="C6491" s="417" t="s">
        <v>15452</v>
      </c>
      <c r="D6491" s="417" t="s">
        <v>83</v>
      </c>
      <c r="E6491" s="423">
        <v>0.6800716665730947</v>
      </c>
      <c r="F6491" s="423">
        <v>1.355067236526733E-2</v>
      </c>
      <c r="G6491" s="422">
        <v>1318.493819776221</v>
      </c>
      <c r="H6491" s="417" t="s">
        <v>2616</v>
      </c>
      <c r="I6491" s="417" t="s">
        <v>1392</v>
      </c>
      <c r="J6491" s="417" t="s">
        <v>14281</v>
      </c>
      <c r="K6491" s="417" t="s">
        <v>15453</v>
      </c>
      <c r="L6491" s="417"/>
      <c r="M6491" s="417" t="s">
        <v>28840</v>
      </c>
    </row>
    <row r="6492" spans="1:13" x14ac:dyDescent="0.25">
      <c r="A6492" s="417" t="s">
        <v>3385</v>
      </c>
      <c r="B6492" s="417" t="s">
        <v>2627</v>
      </c>
      <c r="C6492" s="417" t="s">
        <v>15454</v>
      </c>
      <c r="D6492" s="417" t="s">
        <v>83</v>
      </c>
      <c r="E6492" s="423">
        <v>0.65312241522879988</v>
      </c>
      <c r="F6492" s="423">
        <v>1.2139543379679211E-2</v>
      </c>
      <c r="G6492" s="422">
        <v>1272.993519341431</v>
      </c>
      <c r="H6492" s="417" t="s">
        <v>2616</v>
      </c>
      <c r="I6492" s="417" t="s">
        <v>1392</v>
      </c>
      <c r="J6492" s="417" t="s">
        <v>14281</v>
      </c>
      <c r="K6492" s="417" t="s">
        <v>15455</v>
      </c>
      <c r="L6492" s="417"/>
      <c r="M6492" s="417" t="s">
        <v>28840</v>
      </c>
    </row>
    <row r="6493" spans="1:13" x14ac:dyDescent="0.25">
      <c r="A6493" s="417" t="s">
        <v>3385</v>
      </c>
      <c r="B6493" s="417" t="s">
        <v>2627</v>
      </c>
      <c r="C6493" s="417" t="s">
        <v>15456</v>
      </c>
      <c r="D6493" s="417" t="s">
        <v>83</v>
      </c>
      <c r="E6493" s="423">
        <v>0.66659704089816707</v>
      </c>
      <c r="F6493" s="423">
        <v>1.2845107872406621E-2</v>
      </c>
      <c r="G6493" s="422">
        <v>1295.743669668436</v>
      </c>
      <c r="H6493" s="417" t="s">
        <v>2616</v>
      </c>
      <c r="I6493" s="417" t="s">
        <v>1392</v>
      </c>
      <c r="J6493" s="417" t="s">
        <v>14281</v>
      </c>
      <c r="K6493" s="417" t="s">
        <v>15457</v>
      </c>
      <c r="L6493" s="417"/>
      <c r="M6493" s="417" t="s">
        <v>28840</v>
      </c>
    </row>
    <row r="6494" spans="1:13" x14ac:dyDescent="0.25">
      <c r="A6494" s="417" t="s">
        <v>3385</v>
      </c>
      <c r="B6494" s="417" t="s">
        <v>2627</v>
      </c>
      <c r="C6494" s="417" t="s">
        <v>15458</v>
      </c>
      <c r="D6494" s="417" t="s">
        <v>83</v>
      </c>
      <c r="E6494" s="423">
        <v>0.6639021157642605</v>
      </c>
      <c r="F6494" s="423">
        <v>1.270399497392969E-2</v>
      </c>
      <c r="G6494" s="422">
        <v>1291.193639515398</v>
      </c>
      <c r="H6494" s="417" t="s">
        <v>2616</v>
      </c>
      <c r="I6494" s="417" t="s">
        <v>1392</v>
      </c>
      <c r="J6494" s="417" t="s">
        <v>14281</v>
      </c>
      <c r="K6494" s="417" t="s">
        <v>15459</v>
      </c>
      <c r="L6494" s="417"/>
      <c r="M6494" s="417" t="s">
        <v>28840</v>
      </c>
    </row>
    <row r="6495" spans="1:13" x14ac:dyDescent="0.25">
      <c r="A6495" s="417" t="s">
        <v>3385</v>
      </c>
      <c r="B6495" s="417" t="s">
        <v>2627</v>
      </c>
      <c r="C6495" s="417" t="s">
        <v>15460</v>
      </c>
      <c r="D6495" s="417" t="s">
        <v>83</v>
      </c>
      <c r="E6495" s="423">
        <v>0.46178273070043629</v>
      </c>
      <c r="F6495" s="423">
        <v>2.1205275823689262E-3</v>
      </c>
      <c r="G6495" s="422">
        <v>949.94138824307629</v>
      </c>
      <c r="H6495" s="417" t="s">
        <v>2616</v>
      </c>
      <c r="I6495" s="417" t="s">
        <v>1392</v>
      </c>
      <c r="J6495" s="417" t="s">
        <v>14281</v>
      </c>
      <c r="K6495" s="417" t="s">
        <v>15461</v>
      </c>
      <c r="L6495" s="417"/>
      <c r="M6495" s="417" t="s">
        <v>28840</v>
      </c>
    </row>
    <row r="6496" spans="1:13" x14ac:dyDescent="0.25">
      <c r="A6496" s="417" t="s">
        <v>3385</v>
      </c>
      <c r="B6496" s="417" t="s">
        <v>2627</v>
      </c>
      <c r="C6496" s="417" t="s">
        <v>15462</v>
      </c>
      <c r="D6496" s="417" t="s">
        <v>83</v>
      </c>
      <c r="E6496" s="423">
        <v>0.71241076818240678</v>
      </c>
      <c r="F6496" s="423">
        <v>1.5244027147928749E-2</v>
      </c>
      <c r="G6496" s="422">
        <v>1373.0941804273309</v>
      </c>
      <c r="H6496" s="417" t="s">
        <v>2616</v>
      </c>
      <c r="I6496" s="417" t="s">
        <v>1392</v>
      </c>
      <c r="J6496" s="417" t="s">
        <v>14281</v>
      </c>
      <c r="K6496" s="417" t="s">
        <v>15463</v>
      </c>
      <c r="L6496" s="417"/>
      <c r="M6496" s="417" t="s">
        <v>28840</v>
      </c>
    </row>
    <row r="6497" spans="1:13" x14ac:dyDescent="0.25">
      <c r="A6497" s="417" t="s">
        <v>3385</v>
      </c>
      <c r="B6497" s="417" t="s">
        <v>2627</v>
      </c>
      <c r="C6497" s="417" t="s">
        <v>15464</v>
      </c>
      <c r="D6497" s="417" t="s">
        <v>83</v>
      </c>
      <c r="E6497" s="423">
        <v>0.87947779367756762</v>
      </c>
      <c r="F6497" s="423">
        <v>2.399206690655481E-2</v>
      </c>
      <c r="G6497" s="422">
        <v>1655.1650881418359</v>
      </c>
      <c r="H6497" s="417" t="s">
        <v>2616</v>
      </c>
      <c r="I6497" s="417" t="s">
        <v>1392</v>
      </c>
      <c r="J6497" s="417" t="s">
        <v>14281</v>
      </c>
      <c r="K6497" s="417" t="s">
        <v>15465</v>
      </c>
      <c r="L6497" s="417"/>
      <c r="M6497" s="417" t="s">
        <v>28840</v>
      </c>
    </row>
    <row r="6498" spans="1:13" x14ac:dyDescent="0.25">
      <c r="A6498" s="417" t="s">
        <v>3385</v>
      </c>
      <c r="B6498" s="417" t="s">
        <v>2627</v>
      </c>
      <c r="C6498" s="417" t="s">
        <v>15466</v>
      </c>
      <c r="D6498" s="417" t="s">
        <v>83</v>
      </c>
      <c r="E6498" s="423">
        <v>0.90375045270628518</v>
      </c>
      <c r="F6498" s="423">
        <v>2.5263042945236711E-2</v>
      </c>
      <c r="G6498" s="422">
        <v>1696.1463115177601</v>
      </c>
      <c r="H6498" s="417" t="s">
        <v>2616</v>
      </c>
      <c r="I6498" s="417" t="s">
        <v>1392</v>
      </c>
      <c r="J6498" s="417" t="s">
        <v>14281</v>
      </c>
      <c r="K6498" s="417" t="s">
        <v>15467</v>
      </c>
      <c r="L6498" s="417"/>
      <c r="M6498" s="417" t="s">
        <v>28840</v>
      </c>
    </row>
    <row r="6499" spans="1:13" x14ac:dyDescent="0.25">
      <c r="A6499" s="417" t="s">
        <v>3385</v>
      </c>
      <c r="B6499" s="417" t="s">
        <v>2627</v>
      </c>
      <c r="C6499" s="417" t="s">
        <v>15468</v>
      </c>
      <c r="D6499" s="417" t="s">
        <v>83</v>
      </c>
      <c r="E6499" s="423">
        <v>0.94415599688989427</v>
      </c>
      <c r="F6499" s="423">
        <v>2.7378776471919219E-2</v>
      </c>
      <c r="G6499" s="422">
        <v>1764.36580843396</v>
      </c>
      <c r="H6499" s="417" t="s">
        <v>2616</v>
      </c>
      <c r="I6499" s="417" t="s">
        <v>1392</v>
      </c>
      <c r="J6499" s="417" t="s">
        <v>14281</v>
      </c>
      <c r="K6499" s="417" t="s">
        <v>15469</v>
      </c>
      <c r="L6499" s="417"/>
      <c r="M6499" s="417" t="s">
        <v>28840</v>
      </c>
    </row>
    <row r="6500" spans="1:13" x14ac:dyDescent="0.25">
      <c r="A6500" s="417" t="s">
        <v>3385</v>
      </c>
      <c r="B6500" s="417" t="s">
        <v>2627</v>
      </c>
      <c r="C6500" s="417" t="s">
        <v>15470</v>
      </c>
      <c r="D6500" s="417" t="s">
        <v>83</v>
      </c>
      <c r="E6500" s="423">
        <v>0.89025749421095846</v>
      </c>
      <c r="F6500" s="423">
        <v>2.4556518500800279E-2</v>
      </c>
      <c r="G6500" s="422">
        <v>1673.365208806757</v>
      </c>
      <c r="H6500" s="417" t="s">
        <v>2616</v>
      </c>
      <c r="I6500" s="417" t="s">
        <v>1392</v>
      </c>
      <c r="J6500" s="417" t="s">
        <v>14281</v>
      </c>
      <c r="K6500" s="417" t="s">
        <v>15471</v>
      </c>
      <c r="L6500" s="417"/>
      <c r="M6500" s="417" t="s">
        <v>28840</v>
      </c>
    </row>
    <row r="6501" spans="1:13" x14ac:dyDescent="0.25">
      <c r="A6501" s="417" t="s">
        <v>3385</v>
      </c>
      <c r="B6501" s="417" t="s">
        <v>2627</v>
      </c>
      <c r="C6501" s="417" t="s">
        <v>15472</v>
      </c>
      <c r="D6501" s="417" t="s">
        <v>83</v>
      </c>
      <c r="E6501" s="423">
        <v>0.6639021157642605</v>
      </c>
      <c r="F6501" s="423">
        <v>1.270399497392969E-2</v>
      </c>
      <c r="G6501" s="422">
        <v>1291.193639515398</v>
      </c>
      <c r="H6501" s="417" t="s">
        <v>2616</v>
      </c>
      <c r="I6501" s="417" t="s">
        <v>1392</v>
      </c>
      <c r="J6501" s="417" t="s">
        <v>14281</v>
      </c>
      <c r="K6501" s="417" t="s">
        <v>15473</v>
      </c>
      <c r="L6501" s="417"/>
      <c r="M6501" s="417" t="s">
        <v>28840</v>
      </c>
    </row>
    <row r="6502" spans="1:13" x14ac:dyDescent="0.25">
      <c r="A6502" s="417" t="s">
        <v>3385</v>
      </c>
      <c r="B6502" s="417" t="s">
        <v>2627</v>
      </c>
      <c r="C6502" s="417" t="s">
        <v>15474</v>
      </c>
      <c r="D6502" s="417" t="s">
        <v>83</v>
      </c>
      <c r="E6502" s="423">
        <v>0.46178273070043629</v>
      </c>
      <c r="F6502" s="423">
        <v>2.1205275823689262E-3</v>
      </c>
      <c r="G6502" s="422">
        <v>949.94138824307629</v>
      </c>
      <c r="H6502" s="417" t="s">
        <v>2616</v>
      </c>
      <c r="I6502" s="417" t="s">
        <v>1392</v>
      </c>
      <c r="J6502" s="417" t="s">
        <v>14281</v>
      </c>
      <c r="K6502" s="417" t="s">
        <v>15475</v>
      </c>
      <c r="L6502" s="417"/>
      <c r="M6502" s="417" t="s">
        <v>28840</v>
      </c>
    </row>
    <row r="6503" spans="1:13" x14ac:dyDescent="0.25">
      <c r="A6503" s="417" t="s">
        <v>3385</v>
      </c>
      <c r="B6503" s="417" t="s">
        <v>2627</v>
      </c>
      <c r="C6503" s="417" t="s">
        <v>15476</v>
      </c>
      <c r="D6503" s="417" t="s">
        <v>83</v>
      </c>
      <c r="E6503" s="423">
        <v>0.69893614251057956</v>
      </c>
      <c r="F6503" s="423">
        <v>1.453846265513499E-2</v>
      </c>
      <c r="G6503" s="422">
        <v>1350.344029652902</v>
      </c>
      <c r="H6503" s="417" t="s">
        <v>2616</v>
      </c>
      <c r="I6503" s="417" t="s">
        <v>1392</v>
      </c>
      <c r="J6503" s="417" t="s">
        <v>14281</v>
      </c>
      <c r="K6503" s="417" t="s">
        <v>15477</v>
      </c>
      <c r="L6503" s="417"/>
      <c r="M6503" s="417" t="s">
        <v>28840</v>
      </c>
    </row>
    <row r="6504" spans="1:13" x14ac:dyDescent="0.25">
      <c r="A6504" s="417" t="s">
        <v>3385</v>
      </c>
      <c r="B6504" s="417" t="s">
        <v>2627</v>
      </c>
      <c r="C6504" s="417" t="s">
        <v>15478</v>
      </c>
      <c r="D6504" s="417" t="s">
        <v>83</v>
      </c>
      <c r="E6504" s="423">
        <v>0.70163106764377903</v>
      </c>
      <c r="F6504" s="423">
        <v>1.4679575553677651E-2</v>
      </c>
      <c r="G6504" s="422">
        <v>1354.8940601192189</v>
      </c>
      <c r="H6504" s="417" t="s">
        <v>2616</v>
      </c>
      <c r="I6504" s="417" t="s">
        <v>1392</v>
      </c>
      <c r="J6504" s="417" t="s">
        <v>14281</v>
      </c>
      <c r="K6504" s="417" t="s">
        <v>15479</v>
      </c>
      <c r="L6504" s="417"/>
      <c r="M6504" s="417" t="s">
        <v>28840</v>
      </c>
    </row>
    <row r="6505" spans="1:13" x14ac:dyDescent="0.25">
      <c r="A6505" s="417" t="s">
        <v>3385</v>
      </c>
      <c r="B6505" s="417" t="s">
        <v>2627</v>
      </c>
      <c r="C6505" s="417" t="s">
        <v>15480</v>
      </c>
      <c r="D6505" s="417" t="s">
        <v>83</v>
      </c>
      <c r="E6505" s="423">
        <v>0.46178273070043629</v>
      </c>
      <c r="F6505" s="423">
        <v>2.1205275823689262E-3</v>
      </c>
      <c r="G6505" s="422">
        <v>949.94138824307629</v>
      </c>
      <c r="H6505" s="417" t="s">
        <v>2616</v>
      </c>
      <c r="I6505" s="417" t="s">
        <v>1392</v>
      </c>
      <c r="J6505" s="417" t="s">
        <v>14281</v>
      </c>
      <c r="K6505" s="417" t="s">
        <v>15481</v>
      </c>
      <c r="L6505" s="417"/>
      <c r="M6505" s="417" t="s">
        <v>28840</v>
      </c>
    </row>
    <row r="6506" spans="1:13" x14ac:dyDescent="0.25">
      <c r="A6506" s="417" t="s">
        <v>3385</v>
      </c>
      <c r="B6506" s="417" t="s">
        <v>2627</v>
      </c>
      <c r="C6506" s="417" t="s">
        <v>15482</v>
      </c>
      <c r="D6506" s="417" t="s">
        <v>83</v>
      </c>
      <c r="E6506" s="423">
        <v>1.0169373083504221</v>
      </c>
      <c r="F6506" s="423">
        <v>3.1189784684560951E-2</v>
      </c>
      <c r="G6506" s="422">
        <v>1887.247572040267</v>
      </c>
      <c r="H6506" s="417" t="s">
        <v>2616</v>
      </c>
      <c r="I6506" s="417" t="s">
        <v>1392</v>
      </c>
      <c r="J6506" s="417" t="s">
        <v>14281</v>
      </c>
      <c r="K6506" s="417" t="s">
        <v>15483</v>
      </c>
      <c r="L6506" s="417"/>
      <c r="M6506" s="417" t="s">
        <v>28840</v>
      </c>
    </row>
    <row r="6507" spans="1:13" x14ac:dyDescent="0.25">
      <c r="A6507" s="417" t="s">
        <v>3385</v>
      </c>
      <c r="B6507" s="417" t="s">
        <v>2627</v>
      </c>
      <c r="C6507" s="417" t="s">
        <v>15484</v>
      </c>
      <c r="D6507" s="417" t="s">
        <v>83</v>
      </c>
      <c r="E6507" s="423">
        <v>0.72319046871520554</v>
      </c>
      <c r="F6507" s="423">
        <v>1.5808478742131971E-2</v>
      </c>
      <c r="G6507" s="422">
        <v>1391.294300140926</v>
      </c>
      <c r="H6507" s="417" t="s">
        <v>2616</v>
      </c>
      <c r="I6507" s="417" t="s">
        <v>1392</v>
      </c>
      <c r="J6507" s="417" t="s">
        <v>14281</v>
      </c>
      <c r="K6507" s="417" t="s">
        <v>15485</v>
      </c>
      <c r="L6507" s="417"/>
      <c r="M6507" s="417" t="s">
        <v>28840</v>
      </c>
    </row>
    <row r="6508" spans="1:13" x14ac:dyDescent="0.25">
      <c r="A6508" s="417" t="s">
        <v>3385</v>
      </c>
      <c r="B6508" s="417" t="s">
        <v>2627</v>
      </c>
      <c r="C6508" s="417" t="s">
        <v>15486</v>
      </c>
      <c r="D6508" s="417" t="s">
        <v>83</v>
      </c>
      <c r="E6508" s="423">
        <v>0.57496958633783135</v>
      </c>
      <c r="F6508" s="423">
        <v>8.0472693216300517E-3</v>
      </c>
      <c r="G6508" s="422">
        <v>1141.0426488418941</v>
      </c>
      <c r="H6508" s="417" t="s">
        <v>2616</v>
      </c>
      <c r="I6508" s="417" t="s">
        <v>1392</v>
      </c>
      <c r="J6508" s="417" t="s">
        <v>14281</v>
      </c>
      <c r="K6508" s="417" t="s">
        <v>15487</v>
      </c>
      <c r="L6508" s="417"/>
      <c r="M6508" s="417" t="s">
        <v>28840</v>
      </c>
    </row>
    <row r="6509" spans="1:13" x14ac:dyDescent="0.25">
      <c r="A6509" s="417" t="s">
        <v>3385</v>
      </c>
      <c r="B6509" s="417" t="s">
        <v>2627</v>
      </c>
      <c r="C6509" s="417" t="s">
        <v>15488</v>
      </c>
      <c r="D6509" s="417" t="s">
        <v>83</v>
      </c>
      <c r="E6509" s="423">
        <v>0.8886089639654251</v>
      </c>
      <c r="F6509" s="423">
        <v>2.1735074304370029E-2</v>
      </c>
      <c r="G6509" s="422">
        <v>1690.0707588223499</v>
      </c>
      <c r="H6509" s="417" t="s">
        <v>2616</v>
      </c>
      <c r="I6509" s="417" t="s">
        <v>1392</v>
      </c>
      <c r="J6509" s="417" t="s">
        <v>14281</v>
      </c>
      <c r="K6509" s="417" t="s">
        <v>15489</v>
      </c>
      <c r="L6509" s="417"/>
      <c r="M6509" s="417" t="s">
        <v>28840</v>
      </c>
    </row>
    <row r="6510" spans="1:13" x14ac:dyDescent="0.25">
      <c r="A6510" s="417" t="s">
        <v>3385</v>
      </c>
      <c r="B6510" s="417" t="s">
        <v>2627</v>
      </c>
      <c r="C6510" s="417" t="s">
        <v>15490</v>
      </c>
      <c r="D6510" s="417" t="s">
        <v>83</v>
      </c>
      <c r="E6510" s="423">
        <v>0.82042947088631013</v>
      </c>
      <c r="F6510" s="423">
        <v>1.818580883316788E-2</v>
      </c>
      <c r="G6510" s="422">
        <v>1574.8104970904469</v>
      </c>
      <c r="H6510" s="417" t="s">
        <v>2616</v>
      </c>
      <c r="I6510" s="417" t="s">
        <v>1392</v>
      </c>
      <c r="J6510" s="417" t="s">
        <v>14281</v>
      </c>
      <c r="K6510" s="417" t="s">
        <v>15491</v>
      </c>
      <c r="L6510" s="417"/>
      <c r="M6510" s="417" t="s">
        <v>28840</v>
      </c>
    </row>
    <row r="6511" spans="1:13" x14ac:dyDescent="0.25">
      <c r="A6511" s="417" t="s">
        <v>3385</v>
      </c>
      <c r="B6511" s="417" t="s">
        <v>2627</v>
      </c>
      <c r="C6511" s="417" t="s">
        <v>15492</v>
      </c>
      <c r="D6511" s="417" t="s">
        <v>83</v>
      </c>
      <c r="E6511" s="423">
        <v>0.8886089639654251</v>
      </c>
      <c r="F6511" s="423">
        <v>2.1735074304370029E-2</v>
      </c>
      <c r="G6511" s="422">
        <v>1690.0707588223499</v>
      </c>
      <c r="H6511" s="417" t="s">
        <v>2616</v>
      </c>
      <c r="I6511" s="417" t="s">
        <v>1392</v>
      </c>
      <c r="J6511" s="417" t="s">
        <v>14281</v>
      </c>
      <c r="K6511" s="417" t="s">
        <v>15493</v>
      </c>
      <c r="L6511" s="417"/>
      <c r="M6511" s="417" t="s">
        <v>28840</v>
      </c>
    </row>
    <row r="6512" spans="1:13" x14ac:dyDescent="0.25">
      <c r="A6512" s="417" t="s">
        <v>3385</v>
      </c>
      <c r="B6512" s="417" t="s">
        <v>2627</v>
      </c>
      <c r="C6512" s="417" t="s">
        <v>15494</v>
      </c>
      <c r="D6512" s="417" t="s">
        <v>83</v>
      </c>
      <c r="E6512" s="423">
        <v>0.84224693233853465</v>
      </c>
      <c r="F6512" s="423">
        <v>1.932157597651446E-2</v>
      </c>
      <c r="G6512" s="422">
        <v>1611.693812287635</v>
      </c>
      <c r="H6512" s="417" t="s">
        <v>2616</v>
      </c>
      <c r="I6512" s="417" t="s">
        <v>1392</v>
      </c>
      <c r="J6512" s="417" t="s">
        <v>14281</v>
      </c>
      <c r="K6512" s="417" t="s">
        <v>15495</v>
      </c>
      <c r="L6512" s="417"/>
      <c r="M6512" s="417" t="s">
        <v>28840</v>
      </c>
    </row>
    <row r="6513" spans="1:13" x14ac:dyDescent="0.25">
      <c r="A6513" s="417" t="s">
        <v>3385</v>
      </c>
      <c r="B6513" s="417" t="s">
        <v>2627</v>
      </c>
      <c r="C6513" s="417" t="s">
        <v>15496</v>
      </c>
      <c r="D6513" s="417" t="s">
        <v>83</v>
      </c>
      <c r="E6513" s="423">
        <v>0.72770538650992944</v>
      </c>
      <c r="F6513" s="423">
        <v>1.3358808766090991E-2</v>
      </c>
      <c r="G6513" s="422">
        <v>1418.056574388361</v>
      </c>
      <c r="H6513" s="417" t="s">
        <v>2616</v>
      </c>
      <c r="I6513" s="417" t="s">
        <v>1392</v>
      </c>
      <c r="J6513" s="417" t="s">
        <v>14281</v>
      </c>
      <c r="K6513" s="417" t="s">
        <v>15497</v>
      </c>
      <c r="L6513" s="417"/>
      <c r="M6513" s="417" t="s">
        <v>28840</v>
      </c>
    </row>
    <row r="6514" spans="1:13" x14ac:dyDescent="0.25">
      <c r="A6514" s="417" t="s">
        <v>3385</v>
      </c>
      <c r="B6514" s="417" t="s">
        <v>2627</v>
      </c>
      <c r="C6514" s="417" t="s">
        <v>15498</v>
      </c>
      <c r="D6514" s="417" t="s">
        <v>83</v>
      </c>
      <c r="E6514" s="423">
        <v>1.104056204266868</v>
      </c>
      <c r="F6514" s="423">
        <v>3.2950753879774787E-2</v>
      </c>
      <c r="G6514" s="422">
        <v>2054.293303167161</v>
      </c>
      <c r="H6514" s="417" t="s">
        <v>2616</v>
      </c>
      <c r="I6514" s="417" t="s">
        <v>1392</v>
      </c>
      <c r="J6514" s="417" t="s">
        <v>14281</v>
      </c>
      <c r="K6514" s="417" t="s">
        <v>15499</v>
      </c>
      <c r="L6514" s="417"/>
      <c r="M6514" s="417" t="s">
        <v>28840</v>
      </c>
    </row>
    <row r="6515" spans="1:13" x14ac:dyDescent="0.25">
      <c r="A6515" s="417" t="s">
        <v>3385</v>
      </c>
      <c r="B6515" s="417" t="s">
        <v>2627</v>
      </c>
      <c r="C6515" s="417" t="s">
        <v>15500</v>
      </c>
      <c r="D6515" s="417" t="s">
        <v>83</v>
      </c>
      <c r="E6515" s="423">
        <v>0.8449740153070262</v>
      </c>
      <c r="F6515" s="423">
        <v>1.9463537610654141E-2</v>
      </c>
      <c r="G6515" s="422">
        <v>1616.304022686091</v>
      </c>
      <c r="H6515" s="417" t="s">
        <v>2616</v>
      </c>
      <c r="I6515" s="417" t="s">
        <v>1392</v>
      </c>
      <c r="J6515" s="417" t="s">
        <v>14281</v>
      </c>
      <c r="K6515" s="417" t="s">
        <v>15501</v>
      </c>
      <c r="L6515" s="417"/>
      <c r="M6515" s="417" t="s">
        <v>28840</v>
      </c>
    </row>
    <row r="6516" spans="1:13" x14ac:dyDescent="0.25">
      <c r="A6516" s="417" t="s">
        <v>3385</v>
      </c>
      <c r="B6516" s="417" t="s">
        <v>2627</v>
      </c>
      <c r="C6516" s="417" t="s">
        <v>15502</v>
      </c>
      <c r="D6516" s="417" t="s">
        <v>83</v>
      </c>
      <c r="E6516" s="423">
        <v>0.82588385161534006</v>
      </c>
      <c r="F6516" s="423">
        <v>1.846975109948747E-2</v>
      </c>
      <c r="G6516" s="422">
        <v>1584.0313470792839</v>
      </c>
      <c r="H6516" s="417" t="s">
        <v>2616</v>
      </c>
      <c r="I6516" s="417" t="s">
        <v>1392</v>
      </c>
      <c r="J6516" s="417" t="s">
        <v>14281</v>
      </c>
      <c r="K6516" s="417" t="s">
        <v>15503</v>
      </c>
      <c r="L6516" s="417"/>
      <c r="M6516" s="417" t="s">
        <v>28840</v>
      </c>
    </row>
    <row r="6517" spans="1:13" x14ac:dyDescent="0.25">
      <c r="A6517" s="417" t="s">
        <v>3385</v>
      </c>
      <c r="B6517" s="417" t="s">
        <v>2627</v>
      </c>
      <c r="C6517" s="417" t="s">
        <v>15504</v>
      </c>
      <c r="D6517" s="417" t="s">
        <v>83</v>
      </c>
      <c r="E6517" s="423">
        <v>0.85861000111333707</v>
      </c>
      <c r="F6517" s="423">
        <v>2.0173396657961851E-2</v>
      </c>
      <c r="G6517" s="422">
        <v>1639.356247666753</v>
      </c>
      <c r="H6517" s="417" t="s">
        <v>2616</v>
      </c>
      <c r="I6517" s="417" t="s">
        <v>1392</v>
      </c>
      <c r="J6517" s="417" t="s">
        <v>14281</v>
      </c>
      <c r="K6517" s="417" t="s">
        <v>15505</v>
      </c>
      <c r="L6517" s="417"/>
      <c r="M6517" s="417" t="s">
        <v>28840</v>
      </c>
    </row>
    <row r="6518" spans="1:13" x14ac:dyDescent="0.25">
      <c r="A6518" s="417" t="s">
        <v>3385</v>
      </c>
      <c r="B6518" s="417" t="s">
        <v>2627</v>
      </c>
      <c r="C6518" s="417" t="s">
        <v>15506</v>
      </c>
      <c r="D6518" s="417" t="s">
        <v>83</v>
      </c>
      <c r="E6518" s="423">
        <v>0.83951975591747308</v>
      </c>
      <c r="F6518" s="423">
        <v>1.917960551486423E-2</v>
      </c>
      <c r="G6518" s="422">
        <v>1607.083422870292</v>
      </c>
      <c r="H6518" s="417" t="s">
        <v>2616</v>
      </c>
      <c r="I6518" s="417" t="s">
        <v>1392</v>
      </c>
      <c r="J6518" s="417" t="s">
        <v>14281</v>
      </c>
      <c r="K6518" s="417" t="s">
        <v>15507</v>
      </c>
      <c r="L6518" s="417"/>
      <c r="M6518" s="417" t="s">
        <v>28840</v>
      </c>
    </row>
    <row r="6519" spans="1:13" x14ac:dyDescent="0.25">
      <c r="A6519" s="417" t="s">
        <v>3385</v>
      </c>
      <c r="B6519" s="417" t="s">
        <v>2627</v>
      </c>
      <c r="C6519" s="417" t="s">
        <v>15508</v>
      </c>
      <c r="D6519" s="417" t="s">
        <v>83</v>
      </c>
      <c r="E6519" s="423">
        <v>0.81497518522664258</v>
      </c>
      <c r="F6519" s="423">
        <v>1.790187125744315E-2</v>
      </c>
      <c r="G6519" s="422">
        <v>1565.5898111230681</v>
      </c>
      <c r="H6519" s="417" t="s">
        <v>2616</v>
      </c>
      <c r="I6519" s="417" t="s">
        <v>1392</v>
      </c>
      <c r="J6519" s="417" t="s">
        <v>14281</v>
      </c>
      <c r="K6519" s="417" t="s">
        <v>15509</v>
      </c>
      <c r="L6519" s="417"/>
      <c r="M6519" s="417" t="s">
        <v>28840</v>
      </c>
    </row>
    <row r="6520" spans="1:13" x14ac:dyDescent="0.25">
      <c r="A6520" s="417" t="s">
        <v>3385</v>
      </c>
      <c r="B6520" s="417" t="s">
        <v>2627</v>
      </c>
      <c r="C6520" s="417" t="s">
        <v>15510</v>
      </c>
      <c r="D6520" s="417" t="s">
        <v>83</v>
      </c>
      <c r="E6520" s="423">
        <v>0.56407457595069455</v>
      </c>
      <c r="F6520" s="423">
        <v>4.8405712644481163E-3</v>
      </c>
      <c r="G6520" s="422">
        <v>1141.4318660440799</v>
      </c>
      <c r="H6520" s="417" t="s">
        <v>2616</v>
      </c>
      <c r="I6520" s="417" t="s">
        <v>1392</v>
      </c>
      <c r="J6520" s="417" t="s">
        <v>14281</v>
      </c>
      <c r="K6520" s="417" t="s">
        <v>15511</v>
      </c>
      <c r="L6520" s="417"/>
      <c r="M6520" s="417" t="s">
        <v>28840</v>
      </c>
    </row>
    <row r="6521" spans="1:13" x14ac:dyDescent="0.25">
      <c r="A6521" s="417" t="s">
        <v>3385</v>
      </c>
      <c r="B6521" s="417" t="s">
        <v>2627</v>
      </c>
      <c r="C6521" s="417" t="s">
        <v>15512</v>
      </c>
      <c r="D6521" s="417" t="s">
        <v>83</v>
      </c>
      <c r="E6521" s="423">
        <v>0.88042744922118232</v>
      </c>
      <c r="F6521" s="423">
        <v>2.130916135782622E-2</v>
      </c>
      <c r="G6521" s="422">
        <v>1676.239561471948</v>
      </c>
      <c r="H6521" s="417" t="s">
        <v>2616</v>
      </c>
      <c r="I6521" s="417" t="s">
        <v>1392</v>
      </c>
      <c r="J6521" s="417" t="s">
        <v>14281</v>
      </c>
      <c r="K6521" s="417" t="s">
        <v>15513</v>
      </c>
      <c r="L6521" s="417"/>
      <c r="M6521" s="417" t="s">
        <v>28840</v>
      </c>
    </row>
    <row r="6522" spans="1:13" x14ac:dyDescent="0.25">
      <c r="A6522" s="417" t="s">
        <v>3385</v>
      </c>
      <c r="B6522" s="417" t="s">
        <v>2627</v>
      </c>
      <c r="C6522" s="417" t="s">
        <v>15514</v>
      </c>
      <c r="D6522" s="417" t="s">
        <v>83</v>
      </c>
      <c r="E6522" s="423">
        <v>0.88588180539322725</v>
      </c>
      <c r="F6522" s="423">
        <v>2.1593102361086889E-2</v>
      </c>
      <c r="G6522" s="422">
        <v>1685.4603805774559</v>
      </c>
      <c r="H6522" s="417" t="s">
        <v>2616</v>
      </c>
      <c r="I6522" s="417" t="s">
        <v>1392</v>
      </c>
      <c r="J6522" s="417" t="s">
        <v>14281</v>
      </c>
      <c r="K6522" s="417" t="s">
        <v>15515</v>
      </c>
      <c r="L6522" s="417"/>
      <c r="M6522" s="417" t="s">
        <v>28840</v>
      </c>
    </row>
    <row r="6523" spans="1:13" x14ac:dyDescent="0.25">
      <c r="A6523" s="417" t="s">
        <v>3385</v>
      </c>
      <c r="B6523" s="417" t="s">
        <v>2627</v>
      </c>
      <c r="C6523" s="417" t="s">
        <v>15516</v>
      </c>
      <c r="D6523" s="417" t="s">
        <v>83</v>
      </c>
      <c r="E6523" s="423">
        <v>1.054966882934588</v>
      </c>
      <c r="F6523" s="423">
        <v>3.0395277008781842E-2</v>
      </c>
      <c r="G6523" s="422">
        <v>1971.305714803844</v>
      </c>
      <c r="H6523" s="417" t="s">
        <v>2616</v>
      </c>
      <c r="I6523" s="417" t="s">
        <v>1392</v>
      </c>
      <c r="J6523" s="417" t="s">
        <v>14281</v>
      </c>
      <c r="K6523" s="417" t="s">
        <v>15517</v>
      </c>
      <c r="L6523" s="417"/>
      <c r="M6523" s="417" t="s">
        <v>28840</v>
      </c>
    </row>
    <row r="6524" spans="1:13" x14ac:dyDescent="0.25">
      <c r="A6524" s="417" t="s">
        <v>3385</v>
      </c>
      <c r="B6524" s="417" t="s">
        <v>2627</v>
      </c>
      <c r="C6524" s="417" t="s">
        <v>15518</v>
      </c>
      <c r="D6524" s="417" t="s">
        <v>83</v>
      </c>
      <c r="E6524" s="423">
        <v>0.8886089639654251</v>
      </c>
      <c r="F6524" s="423">
        <v>2.1735074304370029E-2</v>
      </c>
      <c r="G6524" s="422">
        <v>1690.0707588223499</v>
      </c>
      <c r="H6524" s="417" t="s">
        <v>2616</v>
      </c>
      <c r="I6524" s="417" t="s">
        <v>1392</v>
      </c>
      <c r="J6524" s="417" t="s">
        <v>14281</v>
      </c>
      <c r="K6524" s="417" t="s">
        <v>15519</v>
      </c>
      <c r="L6524" s="417"/>
      <c r="M6524" s="417" t="s">
        <v>28840</v>
      </c>
    </row>
    <row r="6525" spans="1:13" x14ac:dyDescent="0.25">
      <c r="A6525" s="417" t="s">
        <v>3385</v>
      </c>
      <c r="B6525" s="417" t="s">
        <v>2627</v>
      </c>
      <c r="C6525" s="417" t="s">
        <v>15520</v>
      </c>
      <c r="D6525" s="417" t="s">
        <v>83</v>
      </c>
      <c r="E6525" s="423">
        <v>1.03589531035903</v>
      </c>
      <c r="F6525" s="423">
        <v>2.9402457817105151E-2</v>
      </c>
      <c r="G6525" s="422">
        <v>1939.0644971297399</v>
      </c>
      <c r="H6525" s="417" t="s">
        <v>2616</v>
      </c>
      <c r="I6525" s="417" t="s">
        <v>1392</v>
      </c>
      <c r="J6525" s="417" t="s">
        <v>14281</v>
      </c>
      <c r="K6525" s="417" t="s">
        <v>15521</v>
      </c>
      <c r="L6525" s="417"/>
      <c r="M6525" s="417" t="s">
        <v>28840</v>
      </c>
    </row>
    <row r="6526" spans="1:13" x14ac:dyDescent="0.25">
      <c r="A6526" s="417" t="s">
        <v>3385</v>
      </c>
      <c r="B6526" s="417" t="s">
        <v>2627</v>
      </c>
      <c r="C6526" s="417" t="s">
        <v>15522</v>
      </c>
      <c r="D6526" s="417" t="s">
        <v>83</v>
      </c>
      <c r="E6526" s="423">
        <v>1.0713300705885089</v>
      </c>
      <c r="F6526" s="423">
        <v>3.1247111951360901E-2</v>
      </c>
      <c r="G6526" s="422">
        <v>1998.9684167741991</v>
      </c>
      <c r="H6526" s="417" t="s">
        <v>2616</v>
      </c>
      <c r="I6526" s="417" t="s">
        <v>1392</v>
      </c>
      <c r="J6526" s="417" t="s">
        <v>14281</v>
      </c>
      <c r="K6526" s="417" t="s">
        <v>15523</v>
      </c>
      <c r="L6526" s="417"/>
      <c r="M6526" s="417" t="s">
        <v>28840</v>
      </c>
    </row>
    <row r="6527" spans="1:13" x14ac:dyDescent="0.25">
      <c r="A6527" s="417" t="s">
        <v>3385</v>
      </c>
      <c r="B6527" s="417" t="s">
        <v>2627</v>
      </c>
      <c r="C6527" s="417" t="s">
        <v>15524</v>
      </c>
      <c r="D6527" s="417" t="s">
        <v>83</v>
      </c>
      <c r="E6527" s="423">
        <v>1.0686214132571801</v>
      </c>
      <c r="F6527" s="423">
        <v>3.110610306966852E-2</v>
      </c>
      <c r="G6527" s="422">
        <v>1994.38930239407</v>
      </c>
      <c r="H6527" s="417" t="s">
        <v>2616</v>
      </c>
      <c r="I6527" s="417" t="s">
        <v>1392</v>
      </c>
      <c r="J6527" s="417" t="s">
        <v>14281</v>
      </c>
      <c r="K6527" s="417" t="s">
        <v>15525</v>
      </c>
      <c r="L6527" s="417"/>
      <c r="M6527" s="417" t="s">
        <v>28840</v>
      </c>
    </row>
    <row r="6528" spans="1:13" x14ac:dyDescent="0.25">
      <c r="A6528" s="417" t="s">
        <v>3385</v>
      </c>
      <c r="B6528" s="417" t="s">
        <v>2627</v>
      </c>
      <c r="C6528" s="417" t="s">
        <v>15526</v>
      </c>
      <c r="D6528" s="417" t="s">
        <v>83</v>
      </c>
      <c r="E6528" s="423">
        <v>0.59952791181485166</v>
      </c>
      <c r="F6528" s="423">
        <v>6.6861893697179502E-3</v>
      </c>
      <c r="G6528" s="422">
        <v>1201.367206160146</v>
      </c>
      <c r="H6528" s="417" t="s">
        <v>2616</v>
      </c>
      <c r="I6528" s="417" t="s">
        <v>1392</v>
      </c>
      <c r="J6528" s="417" t="s">
        <v>14281</v>
      </c>
      <c r="K6528" s="417" t="s">
        <v>15527</v>
      </c>
      <c r="L6528" s="417"/>
      <c r="M6528" s="417" t="s">
        <v>28840</v>
      </c>
    </row>
    <row r="6529" spans="1:13" x14ac:dyDescent="0.25">
      <c r="A6529" s="417" t="s">
        <v>3385</v>
      </c>
      <c r="B6529" s="417" t="s">
        <v>2627</v>
      </c>
      <c r="C6529" s="417" t="s">
        <v>15528</v>
      </c>
      <c r="D6529" s="417" t="s">
        <v>83</v>
      </c>
      <c r="E6529" s="423">
        <v>0.82861102159341993</v>
      </c>
      <c r="F6529" s="423">
        <v>1.8611718593930002E-2</v>
      </c>
      <c r="G6529" s="422">
        <v>1588.6417174236769</v>
      </c>
      <c r="H6529" s="417" t="s">
        <v>2616</v>
      </c>
      <c r="I6529" s="417" t="s">
        <v>1392</v>
      </c>
      <c r="J6529" s="417" t="s">
        <v>14281</v>
      </c>
      <c r="K6529" s="417" t="s">
        <v>15529</v>
      </c>
      <c r="L6529" s="417"/>
      <c r="M6529" s="417" t="s">
        <v>28840</v>
      </c>
    </row>
    <row r="6530" spans="1:13" x14ac:dyDescent="0.25">
      <c r="A6530" s="417" t="s">
        <v>3385</v>
      </c>
      <c r="B6530" s="417" t="s">
        <v>2627</v>
      </c>
      <c r="C6530" s="417" t="s">
        <v>15530</v>
      </c>
      <c r="D6530" s="417" t="s">
        <v>83</v>
      </c>
      <c r="E6530" s="423">
        <v>0.56407457595069455</v>
      </c>
      <c r="F6530" s="423">
        <v>4.8405712644481163E-3</v>
      </c>
      <c r="G6530" s="422">
        <v>1141.4318660440799</v>
      </c>
      <c r="H6530" s="417" t="s">
        <v>2616</v>
      </c>
      <c r="I6530" s="417" t="s">
        <v>1392</v>
      </c>
      <c r="J6530" s="417" t="s">
        <v>14281</v>
      </c>
      <c r="K6530" s="417" t="s">
        <v>15531</v>
      </c>
      <c r="L6530" s="417"/>
      <c r="M6530" s="417" t="s">
        <v>28840</v>
      </c>
    </row>
    <row r="6531" spans="1:13" x14ac:dyDescent="0.25">
      <c r="A6531" s="417" t="s">
        <v>3385</v>
      </c>
      <c r="B6531" s="417" t="s">
        <v>2627</v>
      </c>
      <c r="C6531" s="417" t="s">
        <v>15532</v>
      </c>
      <c r="D6531" s="417" t="s">
        <v>83</v>
      </c>
      <c r="E6531" s="423">
        <v>0.8449740153070262</v>
      </c>
      <c r="F6531" s="423">
        <v>1.9463537610654141E-2</v>
      </c>
      <c r="G6531" s="422">
        <v>1616.304022686091</v>
      </c>
      <c r="H6531" s="417" t="s">
        <v>2616</v>
      </c>
      <c r="I6531" s="417" t="s">
        <v>1392</v>
      </c>
      <c r="J6531" s="417" t="s">
        <v>14281</v>
      </c>
      <c r="K6531" s="417" t="s">
        <v>15533</v>
      </c>
      <c r="L6531" s="417"/>
      <c r="M6531" s="417" t="s">
        <v>28840</v>
      </c>
    </row>
    <row r="6532" spans="1:13" x14ac:dyDescent="0.25">
      <c r="A6532" s="417" t="s">
        <v>3385</v>
      </c>
      <c r="B6532" s="417" t="s">
        <v>2627</v>
      </c>
      <c r="C6532" s="417" t="s">
        <v>15534</v>
      </c>
      <c r="D6532" s="417" t="s">
        <v>83</v>
      </c>
      <c r="E6532" s="423">
        <v>0.84770120535077687</v>
      </c>
      <c r="F6532" s="423">
        <v>1.9605511522632509E-2</v>
      </c>
      <c r="G6532" s="422">
        <v>1620.914464230123</v>
      </c>
      <c r="H6532" s="417" t="s">
        <v>2616</v>
      </c>
      <c r="I6532" s="417" t="s">
        <v>1392</v>
      </c>
      <c r="J6532" s="417" t="s">
        <v>14281</v>
      </c>
      <c r="K6532" s="417" t="s">
        <v>15535</v>
      </c>
      <c r="L6532" s="417"/>
      <c r="M6532" s="417" t="s">
        <v>28840</v>
      </c>
    </row>
    <row r="6533" spans="1:13" x14ac:dyDescent="0.25">
      <c r="A6533" s="417" t="s">
        <v>3385</v>
      </c>
      <c r="B6533" s="417" t="s">
        <v>2627</v>
      </c>
      <c r="C6533" s="417" t="s">
        <v>15536</v>
      </c>
      <c r="D6533" s="417" t="s">
        <v>83</v>
      </c>
      <c r="E6533" s="423">
        <v>0.56407457595069455</v>
      </c>
      <c r="F6533" s="423">
        <v>4.8405712644481163E-3</v>
      </c>
      <c r="G6533" s="422">
        <v>1141.4318660440799</v>
      </c>
      <c r="H6533" s="417" t="s">
        <v>2616</v>
      </c>
      <c r="I6533" s="417" t="s">
        <v>1392</v>
      </c>
      <c r="J6533" s="417" t="s">
        <v>14281</v>
      </c>
      <c r="K6533" s="417" t="s">
        <v>15537</v>
      </c>
      <c r="L6533" s="417"/>
      <c r="M6533" s="417" t="s">
        <v>28840</v>
      </c>
    </row>
    <row r="6534" spans="1:13" x14ac:dyDescent="0.25">
      <c r="A6534" s="417" t="s">
        <v>3385</v>
      </c>
      <c r="B6534" s="417" t="s">
        <v>2627</v>
      </c>
      <c r="C6534" s="417" t="s">
        <v>15538</v>
      </c>
      <c r="D6534" s="417" t="s">
        <v>83</v>
      </c>
      <c r="E6534" s="423">
        <v>1.1749628235609391</v>
      </c>
      <c r="F6534" s="423">
        <v>3.6641988688777938E-2</v>
      </c>
      <c r="G6534" s="422">
        <v>2174.1638579749479</v>
      </c>
      <c r="H6534" s="417" t="s">
        <v>2616</v>
      </c>
      <c r="I6534" s="417" t="s">
        <v>1392</v>
      </c>
      <c r="J6534" s="417" t="s">
        <v>14281</v>
      </c>
      <c r="K6534" s="417" t="s">
        <v>15539</v>
      </c>
      <c r="L6534" s="417"/>
      <c r="M6534" s="417" t="s">
        <v>28840</v>
      </c>
    </row>
    <row r="6535" spans="1:13" x14ac:dyDescent="0.25">
      <c r="A6535" s="417" t="s">
        <v>3385</v>
      </c>
      <c r="B6535" s="417" t="s">
        <v>2627</v>
      </c>
      <c r="C6535" s="417" t="s">
        <v>15540</v>
      </c>
      <c r="D6535" s="417" t="s">
        <v>83</v>
      </c>
      <c r="E6535" s="423">
        <v>0.89679048600827371</v>
      </c>
      <c r="F6535" s="423">
        <v>2.2160985202595969E-2</v>
      </c>
      <c r="G6535" s="422">
        <v>1703.9019568764761</v>
      </c>
      <c r="H6535" s="417" t="s">
        <v>2616</v>
      </c>
      <c r="I6535" s="417" t="s">
        <v>1392</v>
      </c>
      <c r="J6535" s="417" t="s">
        <v>14281</v>
      </c>
      <c r="K6535" s="417" t="s">
        <v>15541</v>
      </c>
      <c r="L6535" s="417"/>
      <c r="M6535" s="417" t="s">
        <v>28840</v>
      </c>
    </row>
    <row r="6536" spans="1:13" x14ac:dyDescent="0.25">
      <c r="A6536" s="417" t="s">
        <v>3385</v>
      </c>
      <c r="B6536" s="417" t="s">
        <v>2627</v>
      </c>
      <c r="C6536" s="417" t="s">
        <v>15542</v>
      </c>
      <c r="D6536" s="417" t="s">
        <v>83</v>
      </c>
      <c r="E6536" s="423">
        <v>1.0958561353320919</v>
      </c>
      <c r="F6536" s="423">
        <v>3.2523878804815082E-2</v>
      </c>
      <c r="G6536" s="422">
        <v>2040.4307245048051</v>
      </c>
      <c r="H6536" s="417" t="s">
        <v>2616</v>
      </c>
      <c r="I6536" s="417" t="s">
        <v>1392</v>
      </c>
      <c r="J6536" s="417" t="s">
        <v>14281</v>
      </c>
      <c r="K6536" s="417" t="s">
        <v>15543</v>
      </c>
      <c r="L6536" s="417"/>
      <c r="M6536" s="417" t="s">
        <v>28840</v>
      </c>
    </row>
    <row r="6537" spans="1:13" x14ac:dyDescent="0.25">
      <c r="A6537" s="417" t="s">
        <v>3385</v>
      </c>
      <c r="B6537" s="417" t="s">
        <v>2627</v>
      </c>
      <c r="C6537" s="417" t="s">
        <v>15544</v>
      </c>
      <c r="D6537" s="417" t="s">
        <v>73</v>
      </c>
      <c r="E6537" s="423">
        <v>8.2354115547211698E-3</v>
      </c>
      <c r="F6537" s="423">
        <v>7.0868242980876034E-5</v>
      </c>
      <c r="G6537" s="422">
        <v>21.579893679609981</v>
      </c>
      <c r="H6537" s="417" t="s">
        <v>2616</v>
      </c>
      <c r="I6537" s="417" t="s">
        <v>1392</v>
      </c>
      <c r="J6537" s="417" t="s">
        <v>15545</v>
      </c>
      <c r="K6537" s="417" t="s">
        <v>15546</v>
      </c>
      <c r="L6537" s="417"/>
      <c r="M6537" s="417" t="s">
        <v>28840</v>
      </c>
    </row>
    <row r="6538" spans="1:13" x14ac:dyDescent="0.25">
      <c r="A6538" s="417" t="s">
        <v>3385</v>
      </c>
      <c r="B6538" s="417" t="s">
        <v>2627</v>
      </c>
      <c r="C6538" s="417" t="s">
        <v>15547</v>
      </c>
      <c r="D6538" s="417" t="s">
        <v>73</v>
      </c>
      <c r="E6538" s="423">
        <v>1.400356668216071E-2</v>
      </c>
      <c r="F6538" s="423">
        <v>1.0356476785387501E-4</v>
      </c>
      <c r="G6538" s="422">
        <v>28.040354279867952</v>
      </c>
      <c r="H6538" s="417" t="s">
        <v>2616</v>
      </c>
      <c r="I6538" s="417" t="s">
        <v>1392</v>
      </c>
      <c r="J6538" s="417" t="s">
        <v>15545</v>
      </c>
      <c r="K6538" s="417" t="s">
        <v>15548</v>
      </c>
      <c r="L6538" s="417"/>
      <c r="M6538" s="417" t="s">
        <v>28840</v>
      </c>
    </row>
    <row r="6539" spans="1:13" x14ac:dyDescent="0.25">
      <c r="A6539" s="417" t="s">
        <v>3385</v>
      </c>
      <c r="B6539" s="417" t="s">
        <v>2627</v>
      </c>
      <c r="C6539" s="417" t="s">
        <v>15549</v>
      </c>
      <c r="D6539" s="417" t="s">
        <v>73</v>
      </c>
      <c r="E6539" s="423">
        <v>2.036402139030417E-2</v>
      </c>
      <c r="F6539" s="423">
        <v>1.7365675122749569E-4</v>
      </c>
      <c r="G6539" s="422">
        <v>36.938379228897368</v>
      </c>
      <c r="H6539" s="417" t="s">
        <v>2616</v>
      </c>
      <c r="I6539" s="417" t="s">
        <v>1392</v>
      </c>
      <c r="J6539" s="417" t="s">
        <v>15545</v>
      </c>
      <c r="K6539" s="417" t="s">
        <v>15550</v>
      </c>
      <c r="L6539" s="417"/>
      <c r="M6539" s="417" t="s">
        <v>28840</v>
      </c>
    </row>
    <row r="6540" spans="1:13" x14ac:dyDescent="0.25">
      <c r="A6540" s="417" t="s">
        <v>3385</v>
      </c>
      <c r="B6540" s="417" t="s">
        <v>2627</v>
      </c>
      <c r="C6540" s="417" t="s">
        <v>15551</v>
      </c>
      <c r="D6540" s="417" t="s">
        <v>73</v>
      </c>
      <c r="E6540" s="423">
        <v>8.694801811858657E-3</v>
      </c>
      <c r="F6540" s="423">
        <v>7.9356393091525778E-5</v>
      </c>
      <c r="G6540" s="422">
        <v>25.69174967894125</v>
      </c>
      <c r="H6540" s="417" t="s">
        <v>2616</v>
      </c>
      <c r="I6540" s="417" t="s">
        <v>1392</v>
      </c>
      <c r="J6540" s="417" t="s">
        <v>15545</v>
      </c>
      <c r="K6540" s="417" t="s">
        <v>15552</v>
      </c>
      <c r="L6540" s="417"/>
      <c r="M6540" s="417" t="s">
        <v>28840</v>
      </c>
    </row>
    <row r="6541" spans="1:13" x14ac:dyDescent="0.25">
      <c r="A6541" s="417" t="s">
        <v>3385</v>
      </c>
      <c r="B6541" s="417" t="s">
        <v>2627</v>
      </c>
      <c r="C6541" s="417" t="s">
        <v>15553</v>
      </c>
      <c r="D6541" s="417" t="s">
        <v>73</v>
      </c>
      <c r="E6541" s="423">
        <v>8.4791350326622085E-3</v>
      </c>
      <c r="F6541" s="423">
        <v>7.2912035987273351E-5</v>
      </c>
      <c r="G6541" s="422">
        <v>21.2402642599254</v>
      </c>
      <c r="H6541" s="417" t="s">
        <v>2616</v>
      </c>
      <c r="I6541" s="417" t="s">
        <v>1392</v>
      </c>
      <c r="J6541" s="417" t="s">
        <v>15545</v>
      </c>
      <c r="K6541" s="417" t="s">
        <v>15554</v>
      </c>
      <c r="L6541" s="417"/>
      <c r="M6541" s="417" t="s">
        <v>28840</v>
      </c>
    </row>
    <row r="6542" spans="1:13" x14ac:dyDescent="0.25">
      <c r="A6542" s="417" t="s">
        <v>3385</v>
      </c>
      <c r="B6542" s="417" t="s">
        <v>2627</v>
      </c>
      <c r="C6542" s="417" t="s">
        <v>15555</v>
      </c>
      <c r="D6542" s="417" t="s">
        <v>73</v>
      </c>
      <c r="E6542" s="423">
        <v>1.8041508873905251E-2</v>
      </c>
      <c r="F6542" s="423">
        <v>3.2688036129937729E-4</v>
      </c>
      <c r="G6542" s="422">
        <v>35.777616027021509</v>
      </c>
      <c r="H6542" s="417" t="s">
        <v>2616</v>
      </c>
      <c r="I6542" s="417" t="s">
        <v>1392</v>
      </c>
      <c r="J6542" s="417" t="s">
        <v>15545</v>
      </c>
      <c r="K6542" s="417" t="s">
        <v>15556</v>
      </c>
      <c r="L6542" s="417"/>
      <c r="M6542" s="417" t="s">
        <v>28840</v>
      </c>
    </row>
    <row r="6543" spans="1:13" x14ac:dyDescent="0.25">
      <c r="A6543" s="417" t="s">
        <v>3385</v>
      </c>
      <c r="B6543" s="417" t="s">
        <v>2627</v>
      </c>
      <c r="C6543" s="417" t="s">
        <v>15557</v>
      </c>
      <c r="D6543" s="417" t="s">
        <v>73</v>
      </c>
      <c r="E6543" s="423">
        <v>1.6178009944497491E-2</v>
      </c>
      <c r="F6543" s="423">
        <v>1.181492443263076E-4</v>
      </c>
      <c r="G6543" s="422">
        <v>30.85954539057656</v>
      </c>
      <c r="H6543" s="417" t="s">
        <v>2616</v>
      </c>
      <c r="I6543" s="417" t="s">
        <v>1392</v>
      </c>
      <c r="J6543" s="417" t="s">
        <v>15545</v>
      </c>
      <c r="K6543" s="417" t="s">
        <v>15558</v>
      </c>
      <c r="L6543" s="417"/>
      <c r="M6543" s="417" t="s">
        <v>28840</v>
      </c>
    </row>
    <row r="6544" spans="1:13" x14ac:dyDescent="0.25">
      <c r="A6544" s="417" t="s">
        <v>3385</v>
      </c>
      <c r="B6544" s="417" t="s">
        <v>2627</v>
      </c>
      <c r="C6544" s="417" t="s">
        <v>15559</v>
      </c>
      <c r="D6544" s="417" t="s">
        <v>73</v>
      </c>
      <c r="E6544" s="423">
        <v>1.113780314955887E-2</v>
      </c>
      <c r="F6544" s="423">
        <v>7.3586307457944246E-5</v>
      </c>
      <c r="G6544" s="422">
        <v>24.163948602507102</v>
      </c>
      <c r="H6544" s="417" t="s">
        <v>2616</v>
      </c>
      <c r="I6544" s="417" t="s">
        <v>1392</v>
      </c>
      <c r="J6544" s="417" t="s">
        <v>15545</v>
      </c>
      <c r="K6544" s="417" t="s">
        <v>15560</v>
      </c>
      <c r="L6544" s="417"/>
      <c r="M6544" s="417" t="s">
        <v>28840</v>
      </c>
    </row>
    <row r="6545" spans="1:13" x14ac:dyDescent="0.25">
      <c r="A6545" s="417" t="s">
        <v>3385</v>
      </c>
      <c r="B6545" s="417" t="s">
        <v>2627</v>
      </c>
      <c r="C6545" s="417" t="s">
        <v>15561</v>
      </c>
      <c r="D6545" s="417" t="s">
        <v>73</v>
      </c>
      <c r="E6545" s="423">
        <v>1.2187158701111721E-2</v>
      </c>
      <c r="F6545" s="423">
        <v>9.1308965025762535E-5</v>
      </c>
      <c r="G6545" s="422">
        <v>25.682995401569428</v>
      </c>
      <c r="H6545" s="417" t="s">
        <v>2616</v>
      </c>
      <c r="I6545" s="417" t="s">
        <v>1392</v>
      </c>
      <c r="J6545" s="417" t="s">
        <v>15545</v>
      </c>
      <c r="K6545" s="417" t="s">
        <v>15562</v>
      </c>
      <c r="L6545" s="417"/>
      <c r="M6545" s="417" t="s">
        <v>28840</v>
      </c>
    </row>
    <row r="6546" spans="1:13" x14ac:dyDescent="0.25">
      <c r="A6546" s="417" t="s">
        <v>3385</v>
      </c>
      <c r="B6546" s="417" t="s">
        <v>2627</v>
      </c>
      <c r="C6546" s="417" t="s">
        <v>15563</v>
      </c>
      <c r="D6546" s="417" t="s">
        <v>73</v>
      </c>
      <c r="E6546" s="423">
        <v>1.1157212339005971E-2</v>
      </c>
      <c r="F6546" s="423">
        <v>1.233351456199415E-4</v>
      </c>
      <c r="G6546" s="422">
        <v>25.695515951499829</v>
      </c>
      <c r="H6546" s="417" t="s">
        <v>2616</v>
      </c>
      <c r="I6546" s="417" t="s">
        <v>1392</v>
      </c>
      <c r="J6546" s="417" t="s">
        <v>15545</v>
      </c>
      <c r="K6546" s="417" t="s">
        <v>15564</v>
      </c>
      <c r="L6546" s="417"/>
      <c r="M6546" s="417" t="s">
        <v>28840</v>
      </c>
    </row>
    <row r="6547" spans="1:13" x14ac:dyDescent="0.25">
      <c r="A6547" s="417" t="s">
        <v>3385</v>
      </c>
      <c r="B6547" s="417" t="s">
        <v>2627</v>
      </c>
      <c r="C6547" s="417" t="s">
        <v>15565</v>
      </c>
      <c r="D6547" s="417" t="s">
        <v>73</v>
      </c>
      <c r="E6547" s="423">
        <v>1.9933243080903319E-2</v>
      </c>
      <c r="F6547" s="423">
        <v>3.2321236799899062E-4</v>
      </c>
      <c r="G6547" s="422">
        <v>38.048529823511977</v>
      </c>
      <c r="H6547" s="417" t="s">
        <v>2616</v>
      </c>
      <c r="I6547" s="417" t="s">
        <v>1392</v>
      </c>
      <c r="J6547" s="417" t="s">
        <v>15545</v>
      </c>
      <c r="K6547" s="417" t="s">
        <v>15566</v>
      </c>
      <c r="L6547" s="417"/>
      <c r="M6547" s="417" t="s">
        <v>28840</v>
      </c>
    </row>
    <row r="6548" spans="1:13" x14ac:dyDescent="0.25">
      <c r="A6548" s="417" t="s">
        <v>3385</v>
      </c>
      <c r="B6548" s="417" t="s">
        <v>2627</v>
      </c>
      <c r="C6548" s="417" t="s">
        <v>15567</v>
      </c>
      <c r="D6548" s="417" t="s">
        <v>73</v>
      </c>
      <c r="E6548" s="423">
        <v>1.8098758454998899E-2</v>
      </c>
      <c r="F6548" s="423">
        <v>2.2166670177689601E-4</v>
      </c>
      <c r="G6548" s="422">
        <v>43.506822511953452</v>
      </c>
      <c r="H6548" s="417" t="s">
        <v>2616</v>
      </c>
      <c r="I6548" s="417" t="s">
        <v>1392</v>
      </c>
      <c r="J6548" s="417" t="s">
        <v>15545</v>
      </c>
      <c r="K6548" s="417" t="s">
        <v>15568</v>
      </c>
      <c r="L6548" s="417"/>
      <c r="M6548" s="417" t="s">
        <v>28840</v>
      </c>
    </row>
    <row r="6549" spans="1:13" x14ac:dyDescent="0.25">
      <c r="A6549" s="417" t="s">
        <v>3385</v>
      </c>
      <c r="B6549" s="417" t="s">
        <v>2627</v>
      </c>
      <c r="C6549" s="417" t="s">
        <v>15569</v>
      </c>
      <c r="D6549" s="417" t="s">
        <v>73</v>
      </c>
      <c r="E6549" s="423">
        <v>7.6773094655798466E-3</v>
      </c>
      <c r="F6549" s="423">
        <v>6.8304151222098268E-5</v>
      </c>
      <c r="G6549" s="422">
        <v>20.168446223163599</v>
      </c>
      <c r="H6549" s="417" t="s">
        <v>2616</v>
      </c>
      <c r="I6549" s="417" t="s">
        <v>1392</v>
      </c>
      <c r="J6549" s="417" t="s">
        <v>15545</v>
      </c>
      <c r="K6549" s="417" t="s">
        <v>15570</v>
      </c>
      <c r="L6549" s="417"/>
      <c r="M6549" s="417" t="s">
        <v>28840</v>
      </c>
    </row>
    <row r="6550" spans="1:13" x14ac:dyDescent="0.25">
      <c r="A6550" s="417" t="s">
        <v>3385</v>
      </c>
      <c r="B6550" s="417" t="s">
        <v>2627</v>
      </c>
      <c r="C6550" s="417" t="s">
        <v>15571</v>
      </c>
      <c r="D6550" s="417" t="s">
        <v>73</v>
      </c>
      <c r="E6550" s="423">
        <v>1.3561126806082629E-2</v>
      </c>
      <c r="F6550" s="423">
        <v>2.342567547351842E-4</v>
      </c>
      <c r="G6550" s="422">
        <v>29.189001368000969</v>
      </c>
      <c r="H6550" s="417" t="s">
        <v>2616</v>
      </c>
      <c r="I6550" s="417" t="s">
        <v>1392</v>
      </c>
      <c r="J6550" s="417" t="s">
        <v>15545</v>
      </c>
      <c r="K6550" s="417" t="s">
        <v>15572</v>
      </c>
      <c r="L6550" s="417"/>
      <c r="M6550" s="417" t="s">
        <v>28840</v>
      </c>
    </row>
    <row r="6551" spans="1:13" x14ac:dyDescent="0.25">
      <c r="A6551" s="417" t="s">
        <v>3385</v>
      </c>
      <c r="B6551" s="417" t="s">
        <v>2627</v>
      </c>
      <c r="C6551" s="417" t="s">
        <v>15573</v>
      </c>
      <c r="D6551" s="417" t="s">
        <v>73</v>
      </c>
      <c r="E6551" s="423">
        <v>6.1422375081118842E-3</v>
      </c>
      <c r="F6551" s="423">
        <v>7.0757126966839088E-5</v>
      </c>
      <c r="G6551" s="422">
        <v>18.287617433518051</v>
      </c>
      <c r="H6551" s="417" t="s">
        <v>2616</v>
      </c>
      <c r="I6551" s="417" t="s">
        <v>1392</v>
      </c>
      <c r="J6551" s="417" t="s">
        <v>15545</v>
      </c>
      <c r="K6551" s="417" t="s">
        <v>15574</v>
      </c>
      <c r="L6551" s="417"/>
      <c r="M6551" s="417" t="s">
        <v>28840</v>
      </c>
    </row>
    <row r="6552" spans="1:13" x14ac:dyDescent="0.25">
      <c r="A6552" s="417" t="s">
        <v>3385</v>
      </c>
      <c r="B6552" s="417" t="s">
        <v>2627</v>
      </c>
      <c r="C6552" s="417" t="s">
        <v>15575</v>
      </c>
      <c r="D6552" s="417" t="s">
        <v>73</v>
      </c>
      <c r="E6552" s="423">
        <v>1.4885611349352569E-2</v>
      </c>
      <c r="F6552" s="423">
        <v>7.3285140583370791E-5</v>
      </c>
      <c r="G6552" s="422">
        <v>29.466171966951979</v>
      </c>
      <c r="H6552" s="417" t="s">
        <v>2616</v>
      </c>
      <c r="I6552" s="417" t="s">
        <v>1392</v>
      </c>
      <c r="J6552" s="417" t="s">
        <v>15545</v>
      </c>
      <c r="K6552" s="417" t="s">
        <v>15576</v>
      </c>
      <c r="L6552" s="417"/>
      <c r="M6552" s="417" t="s">
        <v>28840</v>
      </c>
    </row>
    <row r="6553" spans="1:13" x14ac:dyDescent="0.25">
      <c r="A6553" s="417" t="s">
        <v>3385</v>
      </c>
      <c r="B6553" s="417" t="s">
        <v>2627</v>
      </c>
      <c r="C6553" s="417" t="s">
        <v>15577</v>
      </c>
      <c r="D6553" s="417" t="s">
        <v>73</v>
      </c>
      <c r="E6553" s="423">
        <v>1.100543337971753E-2</v>
      </c>
      <c r="F6553" s="423">
        <v>7.2058719023736987E-5</v>
      </c>
      <c r="G6553" s="422">
        <v>24.69974725709536</v>
      </c>
      <c r="H6553" s="417" t="s">
        <v>2616</v>
      </c>
      <c r="I6553" s="417" t="s">
        <v>1392</v>
      </c>
      <c r="J6553" s="417" t="s">
        <v>15545</v>
      </c>
      <c r="K6553" s="417" t="s">
        <v>15578</v>
      </c>
      <c r="L6553" s="417"/>
      <c r="M6553" s="417" t="s">
        <v>28840</v>
      </c>
    </row>
    <row r="6554" spans="1:13" x14ac:dyDescent="0.25">
      <c r="A6554" s="417" t="s">
        <v>3385</v>
      </c>
      <c r="B6554" s="417" t="s">
        <v>2627</v>
      </c>
      <c r="C6554" s="417" t="s">
        <v>15579</v>
      </c>
      <c r="D6554" s="417" t="s">
        <v>73</v>
      </c>
      <c r="E6554" s="423">
        <v>2.4033245869597718E-2</v>
      </c>
      <c r="F6554" s="423">
        <v>3.4986961716336452E-4</v>
      </c>
      <c r="G6554" s="422">
        <v>43.474171350463052</v>
      </c>
      <c r="H6554" s="417" t="s">
        <v>2616</v>
      </c>
      <c r="I6554" s="417" t="s">
        <v>1392</v>
      </c>
      <c r="J6554" s="417" t="s">
        <v>15545</v>
      </c>
      <c r="K6554" s="417" t="s">
        <v>15580</v>
      </c>
      <c r="L6554" s="417"/>
      <c r="M6554" s="417" t="s">
        <v>28840</v>
      </c>
    </row>
    <row r="6555" spans="1:13" x14ac:dyDescent="0.25">
      <c r="A6555" s="417" t="s">
        <v>3385</v>
      </c>
      <c r="B6555" s="417" t="s">
        <v>2627</v>
      </c>
      <c r="C6555" s="417" t="s">
        <v>15581</v>
      </c>
      <c r="D6555" s="417" t="s">
        <v>73</v>
      </c>
      <c r="E6555" s="423">
        <v>1.8241215839182239E-2</v>
      </c>
      <c r="F6555" s="423">
        <v>2.6871963212170161E-4</v>
      </c>
      <c r="G6555" s="422">
        <v>35.288432153544491</v>
      </c>
      <c r="H6555" s="417" t="s">
        <v>2616</v>
      </c>
      <c r="I6555" s="417" t="s">
        <v>1392</v>
      </c>
      <c r="J6555" s="417" t="s">
        <v>15545</v>
      </c>
      <c r="K6555" s="417" t="s">
        <v>15582</v>
      </c>
      <c r="L6555" s="417"/>
      <c r="M6555" s="417" t="s">
        <v>28840</v>
      </c>
    </row>
    <row r="6556" spans="1:13" x14ac:dyDescent="0.25">
      <c r="A6556" s="417" t="s">
        <v>3385</v>
      </c>
      <c r="B6556" s="417" t="s">
        <v>2627</v>
      </c>
      <c r="C6556" s="417" t="s">
        <v>15583</v>
      </c>
      <c r="D6556" s="417" t="s">
        <v>73</v>
      </c>
      <c r="E6556" s="423">
        <v>2.5050833378207141E-2</v>
      </c>
      <c r="F6556" s="423">
        <v>5.0776943689467499E-4</v>
      </c>
      <c r="G6556" s="422">
        <v>46.339767748493159</v>
      </c>
      <c r="H6556" s="417" t="s">
        <v>2616</v>
      </c>
      <c r="I6556" s="417" t="s">
        <v>1392</v>
      </c>
      <c r="J6556" s="417" t="s">
        <v>15545</v>
      </c>
      <c r="K6556" s="417" t="s">
        <v>15584</v>
      </c>
      <c r="L6556" s="417"/>
      <c r="M6556" s="417" t="s">
        <v>28840</v>
      </c>
    </row>
    <row r="6557" spans="1:13" x14ac:dyDescent="0.25">
      <c r="A6557" s="417" t="s">
        <v>3385</v>
      </c>
      <c r="B6557" s="417" t="s">
        <v>2627</v>
      </c>
      <c r="C6557" s="417" t="s">
        <v>15585</v>
      </c>
      <c r="D6557" s="417" t="s">
        <v>73</v>
      </c>
      <c r="E6557" s="423">
        <v>1.9276599608739411E-2</v>
      </c>
      <c r="F6557" s="423">
        <v>3.3231215443233869E-4</v>
      </c>
      <c r="G6557" s="422">
        <v>37.393272473667899</v>
      </c>
      <c r="H6557" s="417" t="s">
        <v>2616</v>
      </c>
      <c r="I6557" s="417" t="s">
        <v>1392</v>
      </c>
      <c r="J6557" s="417" t="s">
        <v>15545</v>
      </c>
      <c r="K6557" s="417" t="s">
        <v>15586</v>
      </c>
      <c r="L6557" s="417"/>
      <c r="M6557" s="417" t="s">
        <v>28840</v>
      </c>
    </row>
    <row r="6558" spans="1:13" x14ac:dyDescent="0.25">
      <c r="A6558" s="417" t="s">
        <v>3385</v>
      </c>
      <c r="B6558" s="417" t="s">
        <v>2627</v>
      </c>
      <c r="C6558" s="417" t="s">
        <v>15587</v>
      </c>
      <c r="D6558" s="417" t="s">
        <v>73</v>
      </c>
      <c r="E6558" s="423">
        <v>1.069008180461921E-2</v>
      </c>
      <c r="F6558" s="423">
        <v>1.9900319555169599E-4</v>
      </c>
      <c r="G6558" s="422">
        <v>25.133646898158808</v>
      </c>
      <c r="H6558" s="417" t="s">
        <v>2616</v>
      </c>
      <c r="I6558" s="417" t="s">
        <v>1392</v>
      </c>
      <c r="J6558" s="417" t="s">
        <v>15545</v>
      </c>
      <c r="K6558" s="417" t="s">
        <v>15588</v>
      </c>
      <c r="L6558" s="417"/>
      <c r="M6558" s="417" t="s">
        <v>28840</v>
      </c>
    </row>
    <row r="6559" spans="1:13" x14ac:dyDescent="0.25">
      <c r="A6559" s="417" t="s">
        <v>3385</v>
      </c>
      <c r="B6559" s="417" t="s">
        <v>2627</v>
      </c>
      <c r="C6559" s="417" t="s">
        <v>15589</v>
      </c>
      <c r="D6559" s="417" t="s">
        <v>73</v>
      </c>
      <c r="E6559" s="423">
        <v>1.6529509844637909E-2</v>
      </c>
      <c r="F6559" s="423">
        <v>1.4336595761180659E-4</v>
      </c>
      <c r="G6559" s="422">
        <v>33.204225106452597</v>
      </c>
      <c r="H6559" s="417" t="s">
        <v>2616</v>
      </c>
      <c r="I6559" s="417" t="s">
        <v>1392</v>
      </c>
      <c r="J6559" s="417" t="s">
        <v>15545</v>
      </c>
      <c r="K6559" s="417" t="s">
        <v>15590</v>
      </c>
      <c r="L6559" s="417"/>
      <c r="M6559" s="417" t="s">
        <v>28840</v>
      </c>
    </row>
    <row r="6560" spans="1:13" x14ac:dyDescent="0.25">
      <c r="A6560" s="417" t="s">
        <v>3385</v>
      </c>
      <c r="B6560" s="417" t="s">
        <v>2627</v>
      </c>
      <c r="C6560" s="417" t="s">
        <v>15591</v>
      </c>
      <c r="D6560" s="417" t="s">
        <v>73</v>
      </c>
      <c r="E6560" s="423">
        <v>2.191762873249662E-2</v>
      </c>
      <c r="F6560" s="423">
        <v>3.1542924699817408E-4</v>
      </c>
      <c r="G6560" s="422">
        <v>40.501255144100668</v>
      </c>
      <c r="H6560" s="417" t="s">
        <v>2616</v>
      </c>
      <c r="I6560" s="417" t="s">
        <v>1392</v>
      </c>
      <c r="J6560" s="417" t="s">
        <v>15545</v>
      </c>
      <c r="K6560" s="417" t="s">
        <v>15592</v>
      </c>
      <c r="L6560" s="417"/>
      <c r="M6560" s="417" t="s">
        <v>28840</v>
      </c>
    </row>
    <row r="6561" spans="1:13" x14ac:dyDescent="0.25">
      <c r="A6561" s="417" t="s">
        <v>3385</v>
      </c>
      <c r="B6561" s="417" t="s">
        <v>2627</v>
      </c>
      <c r="C6561" s="417" t="s">
        <v>15593</v>
      </c>
      <c r="D6561" s="417" t="s">
        <v>73</v>
      </c>
      <c r="E6561" s="423">
        <v>2.7441591360967219E-2</v>
      </c>
      <c r="F6561" s="423">
        <v>5.9482648745806666E-4</v>
      </c>
      <c r="G6561" s="422">
        <v>50.40880463529237</v>
      </c>
      <c r="H6561" s="417" t="s">
        <v>2616</v>
      </c>
      <c r="I6561" s="417" t="s">
        <v>1392</v>
      </c>
      <c r="J6561" s="417" t="s">
        <v>15545</v>
      </c>
      <c r="K6561" s="417" t="s">
        <v>15594</v>
      </c>
      <c r="L6561" s="417"/>
      <c r="M6561" s="417" t="s">
        <v>28840</v>
      </c>
    </row>
    <row r="6562" spans="1:13" x14ac:dyDescent="0.25">
      <c r="A6562" s="417" t="s">
        <v>3385</v>
      </c>
      <c r="B6562" s="417" t="s">
        <v>2627</v>
      </c>
      <c r="C6562" s="417" t="s">
        <v>15595</v>
      </c>
      <c r="D6562" s="417" t="s">
        <v>73</v>
      </c>
      <c r="E6562" s="423">
        <v>2.292864227075115E-2</v>
      </c>
      <c r="F6562" s="423">
        <v>1.3907695900147011E-4</v>
      </c>
      <c r="G6562" s="422">
        <v>39.840757793830058</v>
      </c>
      <c r="H6562" s="417" t="s">
        <v>2616</v>
      </c>
      <c r="I6562" s="417" t="s">
        <v>1392</v>
      </c>
      <c r="J6562" s="417" t="s">
        <v>15545</v>
      </c>
      <c r="K6562" s="417" t="s">
        <v>15596</v>
      </c>
      <c r="L6562" s="417"/>
      <c r="M6562" s="417" t="s">
        <v>28840</v>
      </c>
    </row>
    <row r="6563" spans="1:13" x14ac:dyDescent="0.25">
      <c r="A6563" s="417" t="s">
        <v>3385</v>
      </c>
      <c r="B6563" s="417" t="s">
        <v>2627</v>
      </c>
      <c r="C6563" s="417" t="s">
        <v>15597</v>
      </c>
      <c r="D6563" s="417" t="s">
        <v>73</v>
      </c>
      <c r="E6563" s="423">
        <v>1.3742380057352311E-2</v>
      </c>
      <c r="F6563" s="423">
        <v>1.562899146539466E-4</v>
      </c>
      <c r="G6563" s="422">
        <v>37.430389601791539</v>
      </c>
      <c r="H6563" s="417" t="s">
        <v>2616</v>
      </c>
      <c r="I6563" s="417" t="s">
        <v>1392</v>
      </c>
      <c r="J6563" s="417" t="s">
        <v>15545</v>
      </c>
      <c r="K6563" s="417" t="s">
        <v>15598</v>
      </c>
      <c r="L6563" s="417"/>
      <c r="M6563" s="417" t="s">
        <v>28840</v>
      </c>
    </row>
    <row r="6564" spans="1:13" x14ac:dyDescent="0.25">
      <c r="A6564" s="417" t="s">
        <v>3385</v>
      </c>
      <c r="B6564" s="417" t="s">
        <v>2627</v>
      </c>
      <c r="C6564" s="417" t="s">
        <v>15599</v>
      </c>
      <c r="D6564" s="417" t="s">
        <v>73</v>
      </c>
      <c r="E6564" s="423">
        <v>1.1771206037814581E-2</v>
      </c>
      <c r="F6564" s="423">
        <v>2.0429618070946651E-4</v>
      </c>
      <c r="G6564" s="422">
        <v>26.476325914457629</v>
      </c>
      <c r="H6564" s="417" t="s">
        <v>2616</v>
      </c>
      <c r="I6564" s="417" t="s">
        <v>1392</v>
      </c>
      <c r="J6564" s="417" t="s">
        <v>15545</v>
      </c>
      <c r="K6564" s="417" t="s">
        <v>15600</v>
      </c>
      <c r="L6564" s="417"/>
      <c r="M6564" s="417" t="s">
        <v>28840</v>
      </c>
    </row>
    <row r="6565" spans="1:13" x14ac:dyDescent="0.25">
      <c r="A6565" s="417" t="s">
        <v>3385</v>
      </c>
      <c r="B6565" s="417" t="s">
        <v>2627</v>
      </c>
      <c r="C6565" s="417" t="s">
        <v>15601</v>
      </c>
      <c r="D6565" s="417" t="s">
        <v>73</v>
      </c>
      <c r="E6565" s="423">
        <v>1.8359909885638261E-2</v>
      </c>
      <c r="F6565" s="423">
        <v>2.4490460606517369E-4</v>
      </c>
      <c r="G6565" s="422">
        <v>39.715471122381707</v>
      </c>
      <c r="H6565" s="417" t="s">
        <v>2616</v>
      </c>
      <c r="I6565" s="417" t="s">
        <v>1392</v>
      </c>
      <c r="J6565" s="417" t="s">
        <v>15545</v>
      </c>
      <c r="K6565" s="417" t="s">
        <v>15602</v>
      </c>
      <c r="L6565" s="417"/>
      <c r="M6565" s="417" t="s">
        <v>28840</v>
      </c>
    </row>
    <row r="6566" spans="1:13" x14ac:dyDescent="0.25">
      <c r="A6566" s="417" t="s">
        <v>3385</v>
      </c>
      <c r="B6566" s="417" t="s">
        <v>2627</v>
      </c>
      <c r="C6566" s="417" t="s">
        <v>15603</v>
      </c>
      <c r="D6566" s="417" t="s">
        <v>73</v>
      </c>
      <c r="E6566" s="423">
        <v>1.2763731379882719E-2</v>
      </c>
      <c r="F6566" s="423">
        <v>6.8492085483088728E-5</v>
      </c>
      <c r="G6566" s="422">
        <v>27.499555448025109</v>
      </c>
      <c r="H6566" s="417" t="s">
        <v>2616</v>
      </c>
      <c r="I6566" s="417" t="s">
        <v>1392</v>
      </c>
      <c r="J6566" s="417" t="s">
        <v>15545</v>
      </c>
      <c r="K6566" s="417" t="s">
        <v>15604</v>
      </c>
      <c r="L6566" s="417"/>
      <c r="M6566" s="417" t="s">
        <v>28840</v>
      </c>
    </row>
    <row r="6567" spans="1:13" x14ac:dyDescent="0.25">
      <c r="A6567" s="417" t="s">
        <v>3385</v>
      </c>
      <c r="B6567" s="417" t="s">
        <v>2627</v>
      </c>
      <c r="C6567" s="417" t="s">
        <v>15605</v>
      </c>
      <c r="D6567" s="417" t="s">
        <v>73</v>
      </c>
      <c r="E6567" s="423">
        <v>1.1670517742098079E-2</v>
      </c>
      <c r="F6567" s="423">
        <v>5.9613766085165208E-5</v>
      </c>
      <c r="G6567" s="422">
        <v>26.071133763781301</v>
      </c>
      <c r="H6567" s="417" t="s">
        <v>2616</v>
      </c>
      <c r="I6567" s="417" t="s">
        <v>1392</v>
      </c>
      <c r="J6567" s="417" t="s">
        <v>15545</v>
      </c>
      <c r="K6567" s="417" t="s">
        <v>15606</v>
      </c>
      <c r="L6567" s="417"/>
      <c r="M6567" s="417" t="s">
        <v>28840</v>
      </c>
    </row>
    <row r="6568" spans="1:13" x14ac:dyDescent="0.25">
      <c r="A6568" s="417" t="s">
        <v>3385</v>
      </c>
      <c r="B6568" s="417" t="s">
        <v>2627</v>
      </c>
      <c r="C6568" s="417" t="s">
        <v>15607</v>
      </c>
      <c r="D6568" s="417" t="s">
        <v>73</v>
      </c>
      <c r="E6568" s="423">
        <v>1.8409191222385109E-2</v>
      </c>
      <c r="F6568" s="423">
        <v>1.924423235633565E-4</v>
      </c>
      <c r="G6568" s="422">
        <v>34.773987833851479</v>
      </c>
      <c r="H6568" s="417" t="s">
        <v>2616</v>
      </c>
      <c r="I6568" s="417" t="s">
        <v>1392</v>
      </c>
      <c r="J6568" s="417" t="s">
        <v>15545</v>
      </c>
      <c r="K6568" s="417" t="s">
        <v>15608</v>
      </c>
      <c r="L6568" s="417"/>
      <c r="M6568" s="417" t="s">
        <v>28840</v>
      </c>
    </row>
    <row r="6569" spans="1:13" x14ac:dyDescent="0.25">
      <c r="A6569" s="417" t="s">
        <v>3385</v>
      </c>
      <c r="B6569" s="417" t="s">
        <v>2627</v>
      </c>
      <c r="C6569" s="417" t="s">
        <v>15609</v>
      </c>
      <c r="D6569" s="417" t="s">
        <v>73</v>
      </c>
      <c r="E6569" s="423">
        <v>2.6816681848734529E-2</v>
      </c>
      <c r="F6569" s="423">
        <v>5.9106777974918929E-4</v>
      </c>
      <c r="G6569" s="422">
        <v>51.720146208917477</v>
      </c>
      <c r="H6569" s="417" t="s">
        <v>2616</v>
      </c>
      <c r="I6569" s="417" t="s">
        <v>1392</v>
      </c>
      <c r="J6569" s="417" t="s">
        <v>15545</v>
      </c>
      <c r="K6569" s="417" t="s">
        <v>15610</v>
      </c>
      <c r="L6569" s="417"/>
      <c r="M6569" s="417" t="s">
        <v>28840</v>
      </c>
    </row>
    <row r="6570" spans="1:13" x14ac:dyDescent="0.25">
      <c r="A6570" s="417" t="s">
        <v>3385</v>
      </c>
      <c r="B6570" s="417" t="s">
        <v>2627</v>
      </c>
      <c r="C6570" s="417" t="s">
        <v>15611</v>
      </c>
      <c r="D6570" s="417" t="s">
        <v>73</v>
      </c>
      <c r="E6570" s="423">
        <v>2.6695104074086689E-2</v>
      </c>
      <c r="F6570" s="423">
        <v>5.968882903525499E-4</v>
      </c>
      <c r="G6570" s="422">
        <v>50.930463504834727</v>
      </c>
      <c r="H6570" s="417" t="s">
        <v>2616</v>
      </c>
      <c r="I6570" s="417" t="s">
        <v>1392</v>
      </c>
      <c r="J6570" s="417" t="s">
        <v>15545</v>
      </c>
      <c r="K6570" s="417" t="s">
        <v>15612</v>
      </c>
      <c r="L6570" s="417"/>
      <c r="M6570" s="417" t="s">
        <v>28840</v>
      </c>
    </row>
    <row r="6571" spans="1:13" x14ac:dyDescent="0.25">
      <c r="A6571" s="417" t="s">
        <v>3385</v>
      </c>
      <c r="B6571" s="417" t="s">
        <v>2627</v>
      </c>
      <c r="C6571" s="417" t="s">
        <v>15613</v>
      </c>
      <c r="D6571" s="417" t="s">
        <v>73</v>
      </c>
      <c r="E6571" s="423">
        <v>1.428907185370192E-2</v>
      </c>
      <c r="F6571" s="423">
        <v>1.8471513609241941E-4</v>
      </c>
      <c r="G6571" s="422">
        <v>30.384111561266991</v>
      </c>
      <c r="H6571" s="417" t="s">
        <v>2616</v>
      </c>
      <c r="I6571" s="417" t="s">
        <v>1392</v>
      </c>
      <c r="J6571" s="417" t="s">
        <v>15545</v>
      </c>
      <c r="K6571" s="417" t="s">
        <v>15614</v>
      </c>
      <c r="L6571" s="417"/>
      <c r="M6571" s="417" t="s">
        <v>28840</v>
      </c>
    </row>
    <row r="6572" spans="1:13" x14ac:dyDescent="0.25">
      <c r="A6572" s="417" t="s">
        <v>3385</v>
      </c>
      <c r="B6572" s="417" t="s">
        <v>2627</v>
      </c>
      <c r="C6572" s="417" t="s">
        <v>15615</v>
      </c>
      <c r="D6572" s="417" t="s">
        <v>73</v>
      </c>
      <c r="E6572" s="423">
        <v>1.3430217268124449E-2</v>
      </c>
      <c r="F6572" s="423">
        <v>9.8782913559857731E-5</v>
      </c>
      <c r="G6572" s="422">
        <v>28.029969726147101</v>
      </c>
      <c r="H6572" s="417" t="s">
        <v>2616</v>
      </c>
      <c r="I6572" s="417" t="s">
        <v>1392</v>
      </c>
      <c r="J6572" s="417" t="s">
        <v>15545</v>
      </c>
      <c r="K6572" s="417" t="s">
        <v>15616</v>
      </c>
      <c r="L6572" s="417"/>
      <c r="M6572" s="417" t="s">
        <v>28840</v>
      </c>
    </row>
    <row r="6573" spans="1:13" x14ac:dyDescent="0.25">
      <c r="A6573" s="417" t="s">
        <v>3385</v>
      </c>
      <c r="B6573" s="417" t="s">
        <v>2627</v>
      </c>
      <c r="C6573" s="417" t="s">
        <v>15617</v>
      </c>
      <c r="D6573" s="417" t="s">
        <v>73</v>
      </c>
      <c r="E6573" s="423">
        <v>1.4146376896418931E-2</v>
      </c>
      <c r="F6573" s="423">
        <v>7.2107445705679699E-5</v>
      </c>
      <c r="G6573" s="422">
        <v>28.559137322844471</v>
      </c>
      <c r="H6573" s="417" t="s">
        <v>2616</v>
      </c>
      <c r="I6573" s="417" t="s">
        <v>1392</v>
      </c>
      <c r="J6573" s="417" t="s">
        <v>15545</v>
      </c>
      <c r="K6573" s="417" t="s">
        <v>15618</v>
      </c>
      <c r="L6573" s="417"/>
      <c r="M6573" s="417" t="s">
        <v>28840</v>
      </c>
    </row>
    <row r="6574" spans="1:13" x14ac:dyDescent="0.25">
      <c r="A6574" s="417" t="s">
        <v>3385</v>
      </c>
      <c r="B6574" s="417" t="s">
        <v>2627</v>
      </c>
      <c r="C6574" s="417" t="s">
        <v>15619</v>
      </c>
      <c r="D6574" s="417" t="s">
        <v>73</v>
      </c>
      <c r="E6574" s="423">
        <v>1.252153041337218E-2</v>
      </c>
      <c r="F6574" s="423">
        <v>1.2475680174982149E-4</v>
      </c>
      <c r="G6574" s="422">
        <v>27.11677388386093</v>
      </c>
      <c r="H6574" s="417" t="s">
        <v>2616</v>
      </c>
      <c r="I6574" s="417" t="s">
        <v>1392</v>
      </c>
      <c r="J6574" s="417" t="s">
        <v>15545</v>
      </c>
      <c r="K6574" s="417" t="s">
        <v>15620</v>
      </c>
      <c r="L6574" s="417"/>
      <c r="M6574" s="417" t="s">
        <v>28840</v>
      </c>
    </row>
    <row r="6575" spans="1:13" x14ac:dyDescent="0.25">
      <c r="A6575" s="417" t="s">
        <v>3385</v>
      </c>
      <c r="B6575" s="417" t="s">
        <v>2627</v>
      </c>
      <c r="C6575" s="417" t="s">
        <v>15621</v>
      </c>
      <c r="D6575" s="417" t="s">
        <v>73</v>
      </c>
      <c r="E6575" s="423">
        <v>1.168218785288792E-2</v>
      </c>
      <c r="F6575" s="423">
        <v>9.1136720798815711E-5</v>
      </c>
      <c r="G6575" s="422">
        <v>26.555668216172009</v>
      </c>
      <c r="H6575" s="417" t="s">
        <v>2616</v>
      </c>
      <c r="I6575" s="417" t="s">
        <v>1392</v>
      </c>
      <c r="J6575" s="417" t="s">
        <v>15545</v>
      </c>
      <c r="K6575" s="417" t="s">
        <v>15622</v>
      </c>
      <c r="L6575" s="417"/>
      <c r="M6575" s="417" t="s">
        <v>28840</v>
      </c>
    </row>
    <row r="6576" spans="1:13" x14ac:dyDescent="0.25">
      <c r="A6576" s="417" t="s">
        <v>3385</v>
      </c>
      <c r="B6576" s="417" t="s">
        <v>2627</v>
      </c>
      <c r="C6576" s="417" t="s">
        <v>15623</v>
      </c>
      <c r="D6576" s="417" t="s">
        <v>73</v>
      </c>
      <c r="E6576" s="423">
        <v>1.357012773577243E-2</v>
      </c>
      <c r="F6576" s="423">
        <v>6.9690489948978868E-5</v>
      </c>
      <c r="G6576" s="422">
        <v>27.634046280026968</v>
      </c>
      <c r="H6576" s="417" t="s">
        <v>2616</v>
      </c>
      <c r="I6576" s="417" t="s">
        <v>1392</v>
      </c>
      <c r="J6576" s="417" t="s">
        <v>15545</v>
      </c>
      <c r="K6576" s="417" t="s">
        <v>15624</v>
      </c>
      <c r="L6576" s="417"/>
      <c r="M6576" s="417" t="s">
        <v>28840</v>
      </c>
    </row>
    <row r="6577" spans="1:13" x14ac:dyDescent="0.25">
      <c r="A6577" s="417" t="s">
        <v>3385</v>
      </c>
      <c r="B6577" s="417" t="s">
        <v>2627</v>
      </c>
      <c r="C6577" s="417" t="s">
        <v>15625</v>
      </c>
      <c r="D6577" s="417" t="s">
        <v>73</v>
      </c>
      <c r="E6577" s="423">
        <v>1.704122643080214E-2</v>
      </c>
      <c r="F6577" s="423">
        <v>3.2915319956658662E-4</v>
      </c>
      <c r="G6577" s="422">
        <v>34.508515884892773</v>
      </c>
      <c r="H6577" s="417" t="s">
        <v>2616</v>
      </c>
      <c r="I6577" s="417" t="s">
        <v>1392</v>
      </c>
      <c r="J6577" s="417" t="s">
        <v>15545</v>
      </c>
      <c r="K6577" s="417" t="s">
        <v>15626</v>
      </c>
      <c r="L6577" s="417"/>
      <c r="M6577" s="417" t="s">
        <v>28840</v>
      </c>
    </row>
    <row r="6578" spans="1:13" x14ac:dyDescent="0.25">
      <c r="A6578" s="417" t="s">
        <v>3385</v>
      </c>
      <c r="B6578" s="417" t="s">
        <v>2627</v>
      </c>
      <c r="C6578" s="417" t="s">
        <v>15627</v>
      </c>
      <c r="D6578" s="417" t="s">
        <v>73</v>
      </c>
      <c r="E6578" s="423">
        <v>5.0500905322798956E-3</v>
      </c>
      <c r="F6578" s="423">
        <v>5.9900234563261642E-5</v>
      </c>
      <c r="G6578" s="422">
        <v>16.821133725094182</v>
      </c>
      <c r="H6578" s="417" t="s">
        <v>2616</v>
      </c>
      <c r="I6578" s="417" t="s">
        <v>1392</v>
      </c>
      <c r="J6578" s="417" t="s">
        <v>15545</v>
      </c>
      <c r="K6578" s="417" t="s">
        <v>15628</v>
      </c>
      <c r="L6578" s="417"/>
      <c r="M6578" s="417" t="s">
        <v>28840</v>
      </c>
    </row>
    <row r="6579" spans="1:13" x14ac:dyDescent="0.25">
      <c r="A6579" s="417" t="s">
        <v>3385</v>
      </c>
      <c r="B6579" s="417" t="s">
        <v>2627</v>
      </c>
      <c r="C6579" s="417" t="s">
        <v>15629</v>
      </c>
      <c r="D6579" s="417" t="s">
        <v>73</v>
      </c>
      <c r="E6579" s="423">
        <v>9.1891548071998744E-3</v>
      </c>
      <c r="F6579" s="423">
        <v>7.3963873395477953E-5</v>
      </c>
      <c r="G6579" s="422">
        <v>23.269921852777379</v>
      </c>
      <c r="H6579" s="417" t="s">
        <v>2616</v>
      </c>
      <c r="I6579" s="417" t="s">
        <v>1392</v>
      </c>
      <c r="J6579" s="417" t="s">
        <v>15545</v>
      </c>
      <c r="K6579" s="417" t="s">
        <v>15630</v>
      </c>
      <c r="L6579" s="417"/>
      <c r="M6579" s="417" t="s">
        <v>28840</v>
      </c>
    </row>
    <row r="6580" spans="1:13" x14ac:dyDescent="0.25">
      <c r="A6580" s="417" t="s">
        <v>3385</v>
      </c>
      <c r="B6580" s="417" t="s">
        <v>2627</v>
      </c>
      <c r="C6580" s="417" t="s">
        <v>15631</v>
      </c>
      <c r="D6580" s="417" t="s">
        <v>73</v>
      </c>
      <c r="E6580" s="423">
        <v>1.0076829945551299E-2</v>
      </c>
      <c r="F6580" s="423">
        <v>7.1219388780169107E-5</v>
      </c>
      <c r="G6580" s="422">
        <v>22.871998473690969</v>
      </c>
      <c r="H6580" s="417" t="s">
        <v>2616</v>
      </c>
      <c r="I6580" s="417" t="s">
        <v>1392</v>
      </c>
      <c r="J6580" s="417" t="s">
        <v>15545</v>
      </c>
      <c r="K6580" s="417" t="s">
        <v>15632</v>
      </c>
      <c r="L6580" s="417"/>
      <c r="M6580" s="417" t="s">
        <v>28840</v>
      </c>
    </row>
    <row r="6581" spans="1:13" x14ac:dyDescent="0.25">
      <c r="A6581" s="417" t="s">
        <v>3385</v>
      </c>
      <c r="B6581" s="417" t="s">
        <v>2627</v>
      </c>
      <c r="C6581" s="417" t="s">
        <v>15633</v>
      </c>
      <c r="D6581" s="417" t="s">
        <v>73</v>
      </c>
      <c r="E6581" s="423">
        <v>1.651410938589435E-2</v>
      </c>
      <c r="F6581" s="423">
        <v>1.4307579144518881E-4</v>
      </c>
      <c r="G6581" s="422">
        <v>32.84347405837616</v>
      </c>
      <c r="H6581" s="417" t="s">
        <v>2616</v>
      </c>
      <c r="I6581" s="417" t="s">
        <v>1392</v>
      </c>
      <c r="J6581" s="417" t="s">
        <v>15545</v>
      </c>
      <c r="K6581" s="417" t="s">
        <v>15634</v>
      </c>
      <c r="L6581" s="417"/>
      <c r="M6581" s="417" t="s">
        <v>28840</v>
      </c>
    </row>
    <row r="6582" spans="1:13" x14ac:dyDescent="0.25">
      <c r="A6582" s="417" t="s">
        <v>3385</v>
      </c>
      <c r="B6582" s="417" t="s">
        <v>2627</v>
      </c>
      <c r="C6582" s="417" t="s">
        <v>15635</v>
      </c>
      <c r="D6582" s="417" t="s">
        <v>73</v>
      </c>
      <c r="E6582" s="423">
        <v>1.427418906535902E-2</v>
      </c>
      <c r="F6582" s="423">
        <v>2.4575286858377198E-4</v>
      </c>
      <c r="G6582" s="422">
        <v>30.219246018550301</v>
      </c>
      <c r="H6582" s="417" t="s">
        <v>2616</v>
      </c>
      <c r="I6582" s="417" t="s">
        <v>1392</v>
      </c>
      <c r="J6582" s="417" t="s">
        <v>15545</v>
      </c>
      <c r="K6582" s="417" t="s">
        <v>15636</v>
      </c>
      <c r="L6582" s="417"/>
      <c r="M6582" s="417" t="s">
        <v>28840</v>
      </c>
    </row>
    <row r="6583" spans="1:13" x14ac:dyDescent="0.25">
      <c r="A6583" s="417" t="s">
        <v>3385</v>
      </c>
      <c r="B6583" s="417" t="s">
        <v>2627</v>
      </c>
      <c r="C6583" s="417" t="s">
        <v>15637</v>
      </c>
      <c r="D6583" s="417" t="s">
        <v>73</v>
      </c>
      <c r="E6583" s="423">
        <v>7.5265847876220893E-3</v>
      </c>
      <c r="F6583" s="423">
        <v>6.8061519355979553E-5</v>
      </c>
      <c r="G6583" s="422">
        <v>20.51822768121189</v>
      </c>
      <c r="H6583" s="417" t="s">
        <v>2616</v>
      </c>
      <c r="I6583" s="417" t="s">
        <v>1392</v>
      </c>
      <c r="J6583" s="417" t="s">
        <v>15545</v>
      </c>
      <c r="K6583" s="417" t="s">
        <v>15638</v>
      </c>
      <c r="L6583" s="417"/>
      <c r="M6583" s="417" t="s">
        <v>28840</v>
      </c>
    </row>
    <row r="6584" spans="1:13" x14ac:dyDescent="0.25">
      <c r="A6584" s="417" t="s">
        <v>3385</v>
      </c>
      <c r="B6584" s="417" t="s">
        <v>2627</v>
      </c>
      <c r="C6584" s="417" t="s">
        <v>15639</v>
      </c>
      <c r="D6584" s="417" t="s">
        <v>73</v>
      </c>
      <c r="E6584" s="423">
        <v>1.825883958418863E-2</v>
      </c>
      <c r="F6584" s="423">
        <v>2.6910629741633729E-4</v>
      </c>
      <c r="G6584" s="422">
        <v>35.31459081902139</v>
      </c>
      <c r="H6584" s="417" t="s">
        <v>2616</v>
      </c>
      <c r="I6584" s="417" t="s">
        <v>1392</v>
      </c>
      <c r="J6584" s="417" t="s">
        <v>15545</v>
      </c>
      <c r="K6584" s="417" t="s">
        <v>15640</v>
      </c>
      <c r="L6584" s="417"/>
      <c r="M6584" s="417" t="s">
        <v>28840</v>
      </c>
    </row>
    <row r="6585" spans="1:13" x14ac:dyDescent="0.25">
      <c r="A6585" s="417" t="s">
        <v>3385</v>
      </c>
      <c r="B6585" s="417" t="s">
        <v>2627</v>
      </c>
      <c r="C6585" s="417" t="s">
        <v>15641</v>
      </c>
      <c r="D6585" s="417" t="s">
        <v>73</v>
      </c>
      <c r="E6585" s="423">
        <v>1.5107789723414981E-2</v>
      </c>
      <c r="F6585" s="423">
        <v>7.8205444384774652E-5</v>
      </c>
      <c r="G6585" s="422">
        <v>29.701476793859541</v>
      </c>
      <c r="H6585" s="417" t="s">
        <v>2616</v>
      </c>
      <c r="I6585" s="417" t="s">
        <v>1392</v>
      </c>
      <c r="J6585" s="417" t="s">
        <v>15545</v>
      </c>
      <c r="K6585" s="417" t="s">
        <v>15642</v>
      </c>
      <c r="L6585" s="417"/>
      <c r="M6585" s="417" t="s">
        <v>28840</v>
      </c>
    </row>
    <row r="6586" spans="1:13" x14ac:dyDescent="0.25">
      <c r="A6586" s="417" t="s">
        <v>3385</v>
      </c>
      <c r="B6586" s="417" t="s">
        <v>2627</v>
      </c>
      <c r="C6586" s="417" t="s">
        <v>15643</v>
      </c>
      <c r="D6586" s="417" t="s">
        <v>73</v>
      </c>
      <c r="E6586" s="423">
        <v>2.4520356387070671E-2</v>
      </c>
      <c r="F6586" s="423">
        <v>4.2608744505799628E-4</v>
      </c>
      <c r="G6586" s="422">
        <v>44.652616435685047</v>
      </c>
      <c r="H6586" s="417" t="s">
        <v>2616</v>
      </c>
      <c r="I6586" s="417" t="s">
        <v>1392</v>
      </c>
      <c r="J6586" s="417" t="s">
        <v>15545</v>
      </c>
      <c r="K6586" s="417" t="s">
        <v>15644</v>
      </c>
      <c r="L6586" s="417"/>
      <c r="M6586" s="417" t="s">
        <v>28840</v>
      </c>
    </row>
    <row r="6587" spans="1:13" x14ac:dyDescent="0.25">
      <c r="A6587" s="417" t="s">
        <v>3385</v>
      </c>
      <c r="B6587" s="417" t="s">
        <v>2627</v>
      </c>
      <c r="C6587" s="417" t="s">
        <v>15645</v>
      </c>
      <c r="D6587" s="417" t="s">
        <v>73</v>
      </c>
      <c r="E6587" s="423">
        <v>1.657949356965174E-2</v>
      </c>
      <c r="F6587" s="423">
        <v>1.406917688877726E-4</v>
      </c>
      <c r="G6587" s="422">
        <v>33.360360135451643</v>
      </c>
      <c r="H6587" s="417" t="s">
        <v>2616</v>
      </c>
      <c r="I6587" s="417" t="s">
        <v>1392</v>
      </c>
      <c r="J6587" s="417" t="s">
        <v>15545</v>
      </c>
      <c r="K6587" s="417" t="s">
        <v>15646</v>
      </c>
      <c r="L6587" s="417"/>
      <c r="M6587" s="417" t="s">
        <v>28840</v>
      </c>
    </row>
    <row r="6588" spans="1:13" x14ac:dyDescent="0.25">
      <c r="A6588" s="417" t="s">
        <v>3385</v>
      </c>
      <c r="B6588" s="417" t="s">
        <v>2627</v>
      </c>
      <c r="C6588" s="417" t="s">
        <v>15647</v>
      </c>
      <c r="D6588" s="417" t="s">
        <v>73</v>
      </c>
      <c r="E6588" s="423">
        <v>1.6612463709917941E-2</v>
      </c>
      <c r="F6588" s="423">
        <v>1.0740484495797301E-4</v>
      </c>
      <c r="G6588" s="422">
        <v>32.094982492997012</v>
      </c>
      <c r="H6588" s="417" t="s">
        <v>2616</v>
      </c>
      <c r="I6588" s="417" t="s">
        <v>1392</v>
      </c>
      <c r="J6588" s="417" t="s">
        <v>15545</v>
      </c>
      <c r="K6588" s="417" t="s">
        <v>15648</v>
      </c>
      <c r="L6588" s="417"/>
      <c r="M6588" s="417" t="s">
        <v>28840</v>
      </c>
    </row>
    <row r="6589" spans="1:13" x14ac:dyDescent="0.25">
      <c r="A6589" s="417" t="s">
        <v>3385</v>
      </c>
      <c r="B6589" s="417" t="s">
        <v>2627</v>
      </c>
      <c r="C6589" s="417" t="s">
        <v>15649</v>
      </c>
      <c r="D6589" s="417" t="s">
        <v>73</v>
      </c>
      <c r="E6589" s="423">
        <v>1.311518868610807E-2</v>
      </c>
      <c r="F6589" s="423">
        <v>1.019134041125939E-4</v>
      </c>
      <c r="G6589" s="422">
        <v>27.916302100976171</v>
      </c>
      <c r="H6589" s="417" t="s">
        <v>2616</v>
      </c>
      <c r="I6589" s="417" t="s">
        <v>1392</v>
      </c>
      <c r="J6589" s="417" t="s">
        <v>15545</v>
      </c>
      <c r="K6589" s="417" t="s">
        <v>15650</v>
      </c>
      <c r="L6589" s="417"/>
      <c r="M6589" s="417" t="s">
        <v>28840</v>
      </c>
    </row>
    <row r="6590" spans="1:13" x14ac:dyDescent="0.25">
      <c r="A6590" s="417" t="s">
        <v>3385</v>
      </c>
      <c r="B6590" s="417" t="s">
        <v>2627</v>
      </c>
      <c r="C6590" s="417" t="s">
        <v>15651</v>
      </c>
      <c r="D6590" s="417" t="s">
        <v>73</v>
      </c>
      <c r="E6590" s="423">
        <v>6.6940207831131873E-3</v>
      </c>
      <c r="F6590" s="423">
        <v>5.7573875135961019E-5</v>
      </c>
      <c r="G6590" s="422">
        <v>19.842274644235601</v>
      </c>
      <c r="H6590" s="417" t="s">
        <v>2616</v>
      </c>
      <c r="I6590" s="417" t="s">
        <v>1392</v>
      </c>
      <c r="J6590" s="417" t="s">
        <v>15545</v>
      </c>
      <c r="K6590" s="417" t="s">
        <v>15652</v>
      </c>
      <c r="L6590" s="417"/>
      <c r="M6590" s="417" t="s">
        <v>28840</v>
      </c>
    </row>
    <row r="6591" spans="1:13" x14ac:dyDescent="0.25">
      <c r="A6591" s="417" t="s">
        <v>3385</v>
      </c>
      <c r="B6591" s="417" t="s">
        <v>2627</v>
      </c>
      <c r="C6591" s="417" t="s">
        <v>15653</v>
      </c>
      <c r="D6591" s="417" t="s">
        <v>73</v>
      </c>
      <c r="E6591" s="423">
        <v>1.061501021800698E-2</v>
      </c>
      <c r="F6591" s="423">
        <v>1.3217641903584131E-4</v>
      </c>
      <c r="G6591" s="422">
        <v>24.501862268877751</v>
      </c>
      <c r="H6591" s="417" t="s">
        <v>2616</v>
      </c>
      <c r="I6591" s="417" t="s">
        <v>1392</v>
      </c>
      <c r="J6591" s="417" t="s">
        <v>15545</v>
      </c>
      <c r="K6591" s="417" t="s">
        <v>15654</v>
      </c>
      <c r="L6591" s="417"/>
      <c r="M6591" s="417" t="s">
        <v>28840</v>
      </c>
    </row>
    <row r="6592" spans="1:13" x14ac:dyDescent="0.25">
      <c r="A6592" s="417" t="s">
        <v>3385</v>
      </c>
      <c r="B6592" s="417" t="s">
        <v>2627</v>
      </c>
      <c r="C6592" s="417" t="s">
        <v>15655</v>
      </c>
      <c r="D6592" s="417" t="s">
        <v>73</v>
      </c>
      <c r="E6592" s="423">
        <v>2.3564170635831931E-2</v>
      </c>
      <c r="F6592" s="423">
        <v>1.1835147267906779E-4</v>
      </c>
      <c r="G6592" s="422">
        <v>40.381158071275891</v>
      </c>
      <c r="H6592" s="417" t="s">
        <v>2616</v>
      </c>
      <c r="I6592" s="417" t="s">
        <v>1392</v>
      </c>
      <c r="J6592" s="417" t="s">
        <v>15545</v>
      </c>
      <c r="K6592" s="417" t="s">
        <v>15656</v>
      </c>
      <c r="L6592" s="417"/>
      <c r="M6592" s="417" t="s">
        <v>28840</v>
      </c>
    </row>
    <row r="6593" spans="1:13" x14ac:dyDescent="0.25">
      <c r="A6593" s="417" t="s">
        <v>3385</v>
      </c>
      <c r="B6593" s="417" t="s">
        <v>2627</v>
      </c>
      <c r="C6593" s="417" t="s">
        <v>15657</v>
      </c>
      <c r="D6593" s="417" t="s">
        <v>73</v>
      </c>
      <c r="E6593" s="423">
        <v>1.581000629349899E-2</v>
      </c>
      <c r="F6593" s="423">
        <v>2.7392458925807429E-4</v>
      </c>
      <c r="G6593" s="422">
        <v>34.755737901910322</v>
      </c>
      <c r="H6593" s="417" t="s">
        <v>2616</v>
      </c>
      <c r="I6593" s="417" t="s">
        <v>1392</v>
      </c>
      <c r="J6593" s="417" t="s">
        <v>15545</v>
      </c>
      <c r="K6593" s="417" t="s">
        <v>15658</v>
      </c>
      <c r="L6593" s="417"/>
      <c r="M6593" s="417" t="s">
        <v>28840</v>
      </c>
    </row>
    <row r="6594" spans="1:13" x14ac:dyDescent="0.25">
      <c r="A6594" s="417" t="s">
        <v>3385</v>
      </c>
      <c r="B6594" s="417" t="s">
        <v>2627</v>
      </c>
      <c r="C6594" s="417" t="s">
        <v>15659</v>
      </c>
      <c r="D6594" s="417" t="s">
        <v>73</v>
      </c>
      <c r="E6594" s="423">
        <v>4.1612038045677563E-2</v>
      </c>
      <c r="F6594" s="423">
        <v>1.001906189290233E-4</v>
      </c>
      <c r="G6594" s="422">
        <v>62.180848430645938</v>
      </c>
      <c r="H6594" s="417" t="s">
        <v>2616</v>
      </c>
      <c r="I6594" s="417" t="s">
        <v>1392</v>
      </c>
      <c r="J6594" s="417" t="s">
        <v>15545</v>
      </c>
      <c r="K6594" s="417" t="s">
        <v>15660</v>
      </c>
      <c r="L6594" s="417"/>
      <c r="M6594" s="417" t="s">
        <v>28840</v>
      </c>
    </row>
    <row r="6595" spans="1:13" x14ac:dyDescent="0.25">
      <c r="A6595" s="417" t="s">
        <v>3385</v>
      </c>
      <c r="B6595" s="417" t="s">
        <v>2627</v>
      </c>
      <c r="C6595" s="417" t="s">
        <v>15661</v>
      </c>
      <c r="D6595" s="417" t="s">
        <v>73</v>
      </c>
      <c r="E6595" s="423">
        <v>1.767801375612741E-2</v>
      </c>
      <c r="F6595" s="423">
        <v>1.7655474425705501E-4</v>
      </c>
      <c r="G6595" s="422">
        <v>33.99459675374127</v>
      </c>
      <c r="H6595" s="417" t="s">
        <v>2616</v>
      </c>
      <c r="I6595" s="417" t="s">
        <v>1392</v>
      </c>
      <c r="J6595" s="417" t="s">
        <v>15545</v>
      </c>
      <c r="K6595" s="417" t="s">
        <v>15662</v>
      </c>
      <c r="L6595" s="417"/>
      <c r="M6595" s="417" t="s">
        <v>28840</v>
      </c>
    </row>
    <row r="6596" spans="1:13" x14ac:dyDescent="0.25">
      <c r="A6596" s="417" t="s">
        <v>3385</v>
      </c>
      <c r="B6596" s="417" t="s">
        <v>2627</v>
      </c>
      <c r="C6596" s="417" t="s">
        <v>15663</v>
      </c>
      <c r="D6596" s="417" t="s">
        <v>73</v>
      </c>
      <c r="E6596" s="423">
        <v>8.9258437476720555E-3</v>
      </c>
      <c r="F6596" s="423">
        <v>6.9567647298402019E-5</v>
      </c>
      <c r="G6596" s="422">
        <v>21.495539363051321</v>
      </c>
      <c r="H6596" s="417" t="s">
        <v>2616</v>
      </c>
      <c r="I6596" s="417" t="s">
        <v>1392</v>
      </c>
      <c r="J6596" s="417" t="s">
        <v>15545</v>
      </c>
      <c r="K6596" s="417" t="s">
        <v>15664</v>
      </c>
      <c r="L6596" s="417"/>
      <c r="M6596" s="417" t="s">
        <v>28840</v>
      </c>
    </row>
    <row r="6597" spans="1:13" x14ac:dyDescent="0.25">
      <c r="A6597" s="417" t="s">
        <v>3385</v>
      </c>
      <c r="B6597" s="417" t="s">
        <v>2627</v>
      </c>
      <c r="C6597" s="417" t="s">
        <v>15665</v>
      </c>
      <c r="D6597" s="417" t="s">
        <v>73</v>
      </c>
      <c r="E6597" s="423">
        <v>2.4734453069262571E-2</v>
      </c>
      <c r="F6597" s="423">
        <v>5.3378109012442636E-4</v>
      </c>
      <c r="G6597" s="422">
        <v>48.196433097422862</v>
      </c>
      <c r="H6597" s="417" t="s">
        <v>2616</v>
      </c>
      <c r="I6597" s="417" t="s">
        <v>1392</v>
      </c>
      <c r="J6597" s="417" t="s">
        <v>15545</v>
      </c>
      <c r="K6597" s="417" t="s">
        <v>15666</v>
      </c>
      <c r="L6597" s="417"/>
      <c r="M6597" s="417" t="s">
        <v>28840</v>
      </c>
    </row>
    <row r="6598" spans="1:13" x14ac:dyDescent="0.25">
      <c r="A6598" s="417" t="s">
        <v>3385</v>
      </c>
      <c r="B6598" s="417" t="s">
        <v>2627</v>
      </c>
      <c r="C6598" s="417" t="s">
        <v>15667</v>
      </c>
      <c r="D6598" s="417" t="s">
        <v>73</v>
      </c>
      <c r="E6598" s="423">
        <v>1.1642655760263909E-2</v>
      </c>
      <c r="F6598" s="423">
        <v>1.3854254043019291E-4</v>
      </c>
      <c r="G6598" s="422">
        <v>26.512665490152902</v>
      </c>
      <c r="H6598" s="417" t="s">
        <v>2616</v>
      </c>
      <c r="I6598" s="417" t="s">
        <v>1392</v>
      </c>
      <c r="J6598" s="417" t="s">
        <v>15545</v>
      </c>
      <c r="K6598" s="417" t="s">
        <v>15668</v>
      </c>
      <c r="L6598" s="417"/>
      <c r="M6598" s="417" t="s">
        <v>28840</v>
      </c>
    </row>
    <row r="6599" spans="1:13" x14ac:dyDescent="0.25">
      <c r="A6599" s="417" t="s">
        <v>3385</v>
      </c>
      <c r="B6599" s="417" t="s">
        <v>2627</v>
      </c>
      <c r="C6599" s="417" t="s">
        <v>15669</v>
      </c>
      <c r="D6599" s="417" t="s">
        <v>73</v>
      </c>
      <c r="E6599" s="423">
        <v>1.7772895384470789E-2</v>
      </c>
      <c r="F6599" s="423">
        <v>1.106386148089107E-4</v>
      </c>
      <c r="G6599" s="422">
        <v>33.580672314152508</v>
      </c>
      <c r="H6599" s="417" t="s">
        <v>2616</v>
      </c>
      <c r="I6599" s="417" t="s">
        <v>1392</v>
      </c>
      <c r="J6599" s="417" t="s">
        <v>15545</v>
      </c>
      <c r="K6599" s="417" t="s">
        <v>15670</v>
      </c>
      <c r="L6599" s="417"/>
      <c r="M6599" s="417" t="s">
        <v>28840</v>
      </c>
    </row>
    <row r="6600" spans="1:13" x14ac:dyDescent="0.25">
      <c r="A6600" s="417" t="s">
        <v>3385</v>
      </c>
      <c r="B6600" s="417" t="s">
        <v>2627</v>
      </c>
      <c r="C6600" s="417" t="s">
        <v>15671</v>
      </c>
      <c r="D6600" s="417" t="s">
        <v>73</v>
      </c>
      <c r="E6600" s="423">
        <v>1.8203766551727639E-2</v>
      </c>
      <c r="F6600" s="423">
        <v>6.9567647300045711E-5</v>
      </c>
      <c r="G6600" s="422">
        <v>32.825964943946772</v>
      </c>
      <c r="H6600" s="417" t="s">
        <v>2616</v>
      </c>
      <c r="I6600" s="417" t="s">
        <v>1392</v>
      </c>
      <c r="J6600" s="417" t="s">
        <v>15545</v>
      </c>
      <c r="K6600" s="417" t="s">
        <v>15672</v>
      </c>
      <c r="L6600" s="417"/>
      <c r="M6600" s="417" t="s">
        <v>28840</v>
      </c>
    </row>
    <row r="6601" spans="1:13" x14ac:dyDescent="0.25">
      <c r="A6601" s="417" t="s">
        <v>3385</v>
      </c>
      <c r="B6601" s="417" t="s">
        <v>2627</v>
      </c>
      <c r="C6601" s="417" t="s">
        <v>15673</v>
      </c>
      <c r="D6601" s="417" t="s">
        <v>83</v>
      </c>
      <c r="E6601" s="423">
        <v>0.76273135320467844</v>
      </c>
      <c r="F6601" s="423">
        <v>1.890720804714606E-2</v>
      </c>
      <c r="G6601" s="422">
        <v>1514.321258659091</v>
      </c>
      <c r="H6601" s="417" t="s">
        <v>2616</v>
      </c>
      <c r="I6601" s="417" t="s">
        <v>1392</v>
      </c>
      <c r="J6601" s="417" t="s">
        <v>14271</v>
      </c>
      <c r="K6601" s="417" t="s">
        <v>15674</v>
      </c>
      <c r="L6601" s="417"/>
      <c r="M6601" s="417" t="s">
        <v>28840</v>
      </c>
    </row>
    <row r="6602" spans="1:13" x14ac:dyDescent="0.25">
      <c r="A6602" s="417" t="s">
        <v>3385</v>
      </c>
      <c r="B6602" s="417" t="s">
        <v>2627</v>
      </c>
      <c r="C6602" s="417" t="s">
        <v>15675</v>
      </c>
      <c r="D6602" s="417" t="s">
        <v>83</v>
      </c>
      <c r="E6602" s="423">
        <v>0.80569041104491779</v>
      </c>
      <c r="F6602" s="423">
        <v>2.116515149316265E-2</v>
      </c>
      <c r="G6602" s="422">
        <v>1587.11953685193</v>
      </c>
      <c r="H6602" s="417" t="s">
        <v>2616</v>
      </c>
      <c r="I6602" s="417" t="s">
        <v>1392</v>
      </c>
      <c r="J6602" s="417" t="s">
        <v>14271</v>
      </c>
      <c r="K6602" s="417" t="s">
        <v>15676</v>
      </c>
      <c r="L6602" s="417"/>
      <c r="M6602" s="417" t="s">
        <v>28840</v>
      </c>
    </row>
    <row r="6603" spans="1:13" x14ac:dyDescent="0.25">
      <c r="A6603" s="417" t="s">
        <v>3385</v>
      </c>
      <c r="B6603" s="417" t="s">
        <v>2627</v>
      </c>
      <c r="C6603" s="417" t="s">
        <v>15677</v>
      </c>
      <c r="D6603" s="417" t="s">
        <v>83</v>
      </c>
      <c r="E6603" s="423">
        <v>0.73319700077569638</v>
      </c>
      <c r="F6603" s="423">
        <v>1.735487192314248E-2</v>
      </c>
      <c r="G6603" s="422">
        <v>1464.272442481159</v>
      </c>
      <c r="H6603" s="417" t="s">
        <v>2616</v>
      </c>
      <c r="I6603" s="417" t="s">
        <v>1392</v>
      </c>
      <c r="J6603" s="417" t="s">
        <v>14271</v>
      </c>
      <c r="K6603" s="417" t="s">
        <v>15678</v>
      </c>
      <c r="L6603" s="417"/>
      <c r="M6603" s="417" t="s">
        <v>28840</v>
      </c>
    </row>
    <row r="6604" spans="1:13" x14ac:dyDescent="0.25">
      <c r="A6604" s="417" t="s">
        <v>3385</v>
      </c>
      <c r="B6604" s="417" t="s">
        <v>2627</v>
      </c>
      <c r="C6604" s="417" t="s">
        <v>15679</v>
      </c>
      <c r="D6604" s="417" t="s">
        <v>83</v>
      </c>
      <c r="E6604" s="423">
        <v>0.55330594639916053</v>
      </c>
      <c r="F6604" s="423">
        <v>7.899733727755865E-3</v>
      </c>
      <c r="G6604" s="422">
        <v>1159.4296531053369</v>
      </c>
      <c r="H6604" s="417" t="s">
        <v>2616</v>
      </c>
      <c r="I6604" s="417" t="s">
        <v>1392</v>
      </c>
      <c r="J6604" s="417" t="s">
        <v>14271</v>
      </c>
      <c r="K6604" s="417" t="s">
        <v>15680</v>
      </c>
      <c r="L6604" s="417"/>
      <c r="M6604" s="417" t="s">
        <v>28840</v>
      </c>
    </row>
    <row r="6605" spans="1:13" x14ac:dyDescent="0.25">
      <c r="A6605" s="417" t="s">
        <v>3385</v>
      </c>
      <c r="B6605" s="417" t="s">
        <v>2627</v>
      </c>
      <c r="C6605" s="417" t="s">
        <v>15681</v>
      </c>
      <c r="D6605" s="417" t="s">
        <v>83</v>
      </c>
      <c r="E6605" s="423">
        <v>0.87012899755058082</v>
      </c>
      <c r="F6605" s="423">
        <v>2.4552066677775639E-2</v>
      </c>
      <c r="G6605" s="422">
        <v>1696.316954467557</v>
      </c>
      <c r="H6605" s="417" t="s">
        <v>2616</v>
      </c>
      <c r="I6605" s="417" t="s">
        <v>1392</v>
      </c>
      <c r="J6605" s="417" t="s">
        <v>14271</v>
      </c>
      <c r="K6605" s="417" t="s">
        <v>15682</v>
      </c>
      <c r="L6605" s="417"/>
      <c r="M6605" s="417" t="s">
        <v>28840</v>
      </c>
    </row>
    <row r="6606" spans="1:13" x14ac:dyDescent="0.25">
      <c r="A6606" s="417" t="s">
        <v>3385</v>
      </c>
      <c r="B6606" s="417" t="s">
        <v>2627</v>
      </c>
      <c r="C6606" s="417" t="s">
        <v>15683</v>
      </c>
      <c r="D6606" s="417" t="s">
        <v>83</v>
      </c>
      <c r="E6606" s="423">
        <v>0.84596452748568729</v>
      </c>
      <c r="F6606" s="423">
        <v>2.3281973484454099E-2</v>
      </c>
      <c r="G6606" s="422">
        <v>1655.3679223248289</v>
      </c>
      <c r="H6606" s="417" t="s">
        <v>2616</v>
      </c>
      <c r="I6606" s="417" t="s">
        <v>1392</v>
      </c>
      <c r="J6606" s="417" t="s">
        <v>14271</v>
      </c>
      <c r="K6606" s="417" t="s">
        <v>15684</v>
      </c>
      <c r="L6606" s="417"/>
      <c r="M6606" s="417" t="s">
        <v>28840</v>
      </c>
    </row>
    <row r="6607" spans="1:13" x14ac:dyDescent="0.25">
      <c r="A6607" s="417" t="s">
        <v>3385</v>
      </c>
      <c r="B6607" s="417" t="s">
        <v>2627</v>
      </c>
      <c r="C6607" s="417" t="s">
        <v>15685</v>
      </c>
      <c r="D6607" s="417" t="s">
        <v>83</v>
      </c>
      <c r="E6607" s="423">
        <v>0.50497700654068645</v>
      </c>
      <c r="F6607" s="423">
        <v>5.3595473383605584E-3</v>
      </c>
      <c r="G6607" s="422">
        <v>1077.53159017708</v>
      </c>
      <c r="H6607" s="417" t="s">
        <v>2616</v>
      </c>
      <c r="I6607" s="417" t="s">
        <v>1392</v>
      </c>
      <c r="J6607" s="417" t="s">
        <v>14271</v>
      </c>
      <c r="K6607" s="417" t="s">
        <v>15686</v>
      </c>
      <c r="L6607" s="417"/>
      <c r="M6607" s="417" t="s">
        <v>28840</v>
      </c>
    </row>
    <row r="6608" spans="1:13" x14ac:dyDescent="0.25">
      <c r="A6608" s="417" t="s">
        <v>3385</v>
      </c>
      <c r="B6608" s="417" t="s">
        <v>2627</v>
      </c>
      <c r="C6608" s="417" t="s">
        <v>15687</v>
      </c>
      <c r="D6608" s="417" t="s">
        <v>83</v>
      </c>
      <c r="E6608" s="423">
        <v>0.722457236425463</v>
      </c>
      <c r="F6608" s="423">
        <v>1.6790386059814359E-2</v>
      </c>
      <c r="G6608" s="422">
        <v>1446.0728731108561</v>
      </c>
      <c r="H6608" s="417" t="s">
        <v>2616</v>
      </c>
      <c r="I6608" s="417" t="s">
        <v>1392</v>
      </c>
      <c r="J6608" s="417" t="s">
        <v>14271</v>
      </c>
      <c r="K6608" s="417" t="s">
        <v>15688</v>
      </c>
      <c r="L6608" s="417"/>
      <c r="M6608" s="417" t="s">
        <v>28840</v>
      </c>
    </row>
    <row r="6609" spans="1:13" x14ac:dyDescent="0.25">
      <c r="A6609" s="417" t="s">
        <v>3385</v>
      </c>
      <c r="B6609" s="417" t="s">
        <v>2627</v>
      </c>
      <c r="C6609" s="417" t="s">
        <v>15689</v>
      </c>
      <c r="D6609" s="417" t="s">
        <v>83</v>
      </c>
      <c r="E6609" s="423">
        <v>0.78958076411406264</v>
      </c>
      <c r="F6609" s="423">
        <v>2.0318422709762848E-2</v>
      </c>
      <c r="G6609" s="422">
        <v>1559.820182725377</v>
      </c>
      <c r="H6609" s="417" t="s">
        <v>2616</v>
      </c>
      <c r="I6609" s="417" t="s">
        <v>1392</v>
      </c>
      <c r="J6609" s="417" t="s">
        <v>14271</v>
      </c>
      <c r="K6609" s="417" t="s">
        <v>15690</v>
      </c>
      <c r="L6609" s="417"/>
      <c r="M6609" s="417" t="s">
        <v>28840</v>
      </c>
    </row>
    <row r="6610" spans="1:13" x14ac:dyDescent="0.25">
      <c r="A6610" s="417" t="s">
        <v>3385</v>
      </c>
      <c r="B6610" s="417" t="s">
        <v>2627</v>
      </c>
      <c r="C6610" s="417" t="s">
        <v>15691</v>
      </c>
      <c r="D6610" s="417" t="s">
        <v>73</v>
      </c>
      <c r="E6610" s="423">
        <v>5.741180369599079E-3</v>
      </c>
      <c r="F6610" s="423">
        <v>4.7589427357119502E-5</v>
      </c>
      <c r="G6610" s="422">
        <v>18.53946779707535</v>
      </c>
      <c r="H6610" s="417" t="s">
        <v>2616</v>
      </c>
      <c r="I6610" s="417" t="s">
        <v>1392</v>
      </c>
      <c r="J6610" s="417" t="s">
        <v>15692</v>
      </c>
      <c r="K6610" s="417" t="s">
        <v>15693</v>
      </c>
      <c r="L6610" s="417"/>
      <c r="M6610" s="417" t="s">
        <v>28840</v>
      </c>
    </row>
    <row r="6611" spans="1:13" x14ac:dyDescent="0.25">
      <c r="A6611" s="417" t="s">
        <v>3385</v>
      </c>
      <c r="B6611" s="417" t="s">
        <v>2627</v>
      </c>
      <c r="C6611" s="417" t="s">
        <v>15694</v>
      </c>
      <c r="D6611" s="417" t="s">
        <v>73</v>
      </c>
      <c r="E6611" s="423">
        <v>2.138615953698858E-2</v>
      </c>
      <c r="F6611" s="423">
        <v>5.2538083803249462E-4</v>
      </c>
      <c r="G6611" s="422">
        <v>42.307881467540128</v>
      </c>
      <c r="H6611" s="417" t="s">
        <v>2616</v>
      </c>
      <c r="I6611" s="417" t="s">
        <v>1392</v>
      </c>
      <c r="J6611" s="417" t="s">
        <v>15692</v>
      </c>
      <c r="K6611" s="417" t="s">
        <v>15695</v>
      </c>
      <c r="L6611" s="417"/>
      <c r="M6611" s="417" t="s">
        <v>28840</v>
      </c>
    </row>
    <row r="6612" spans="1:13" x14ac:dyDescent="0.25">
      <c r="A6612" s="417" t="s">
        <v>3385</v>
      </c>
      <c r="B6612" s="417" t="s">
        <v>2627</v>
      </c>
      <c r="C6612" s="417" t="s">
        <v>15696</v>
      </c>
      <c r="D6612" s="417" t="s">
        <v>73</v>
      </c>
      <c r="E6612" s="423">
        <v>2.2579605119650702E-2</v>
      </c>
      <c r="F6612" s="423">
        <v>5.8810876489153873E-4</v>
      </c>
      <c r="G6612" s="422">
        <v>44.330290440423028</v>
      </c>
      <c r="H6612" s="417" t="s">
        <v>2616</v>
      </c>
      <c r="I6612" s="417" t="s">
        <v>1392</v>
      </c>
      <c r="J6612" s="417" t="s">
        <v>15692</v>
      </c>
      <c r="K6612" s="417" t="s">
        <v>15697</v>
      </c>
      <c r="L6612" s="417"/>
      <c r="M6612" s="417" t="s">
        <v>28840</v>
      </c>
    </row>
    <row r="6613" spans="1:13" x14ac:dyDescent="0.25">
      <c r="A6613" s="417" t="s">
        <v>3385</v>
      </c>
      <c r="B6613" s="417" t="s">
        <v>2627</v>
      </c>
      <c r="C6613" s="417" t="s">
        <v>15698</v>
      </c>
      <c r="D6613" s="417" t="s">
        <v>73</v>
      </c>
      <c r="E6613" s="423">
        <v>7.6712615678484336E-3</v>
      </c>
      <c r="F6613" s="423">
        <v>1.076614671321076E-4</v>
      </c>
      <c r="G6613" s="422">
        <v>21.481261373412359</v>
      </c>
      <c r="H6613" s="417" t="s">
        <v>2616</v>
      </c>
      <c r="I6613" s="417" t="s">
        <v>1392</v>
      </c>
      <c r="J6613" s="417" t="s">
        <v>15692</v>
      </c>
      <c r="K6613" s="417" t="s">
        <v>15699</v>
      </c>
      <c r="L6613" s="417"/>
      <c r="M6613" s="417" t="s">
        <v>28840</v>
      </c>
    </row>
    <row r="6614" spans="1:13" x14ac:dyDescent="0.25">
      <c r="A6614" s="417" t="s">
        <v>3385</v>
      </c>
      <c r="B6614" s="417" t="s">
        <v>2627</v>
      </c>
      <c r="C6614" s="417" t="s">
        <v>15700</v>
      </c>
      <c r="D6614" s="417" t="s">
        <v>73</v>
      </c>
      <c r="E6614" s="423">
        <v>1.5568112316824079E-2</v>
      </c>
      <c r="F6614" s="423">
        <v>2.1958219399906539E-4</v>
      </c>
      <c r="G6614" s="422">
        <v>32.448637779970092</v>
      </c>
      <c r="H6614" s="417" t="s">
        <v>2616</v>
      </c>
      <c r="I6614" s="417" t="s">
        <v>1392</v>
      </c>
      <c r="J6614" s="417" t="s">
        <v>15692</v>
      </c>
      <c r="K6614" s="417" t="s">
        <v>15701</v>
      </c>
      <c r="L6614" s="417"/>
      <c r="M6614" s="417" t="s">
        <v>28840</v>
      </c>
    </row>
    <row r="6615" spans="1:13" x14ac:dyDescent="0.25">
      <c r="A6615" s="417" t="s">
        <v>3385</v>
      </c>
      <c r="B6615" s="417" t="s">
        <v>2627</v>
      </c>
      <c r="C6615" s="417" t="s">
        <v>15702</v>
      </c>
      <c r="D6615" s="417" t="s">
        <v>73</v>
      </c>
      <c r="E6615" s="423">
        <v>2.4369773496915308E-2</v>
      </c>
      <c r="F6615" s="423">
        <v>6.822006555932006E-4</v>
      </c>
      <c r="G6615" s="422">
        <v>47.363903882497702</v>
      </c>
      <c r="H6615" s="417" t="s">
        <v>2616</v>
      </c>
      <c r="I6615" s="417" t="s">
        <v>1392</v>
      </c>
      <c r="J6615" s="417" t="s">
        <v>15692</v>
      </c>
      <c r="K6615" s="417" t="s">
        <v>15703</v>
      </c>
      <c r="L6615" s="417"/>
      <c r="M6615" s="417" t="s">
        <v>28840</v>
      </c>
    </row>
    <row r="6616" spans="1:13" x14ac:dyDescent="0.25">
      <c r="A6616" s="417" t="s">
        <v>3385</v>
      </c>
      <c r="B6616" s="417" t="s">
        <v>2627</v>
      </c>
      <c r="C6616" s="417" t="s">
        <v>15704</v>
      </c>
      <c r="D6616" s="417" t="s">
        <v>73</v>
      </c>
      <c r="E6616" s="423">
        <v>2.3698460352669391E-2</v>
      </c>
      <c r="F6616" s="423">
        <v>6.4691619667641581E-4</v>
      </c>
      <c r="G6616" s="422">
        <v>46.226298842553497</v>
      </c>
      <c r="H6616" s="417" t="s">
        <v>2616</v>
      </c>
      <c r="I6616" s="417" t="s">
        <v>1392</v>
      </c>
      <c r="J6616" s="417" t="s">
        <v>15692</v>
      </c>
      <c r="K6616" s="417" t="s">
        <v>15705</v>
      </c>
      <c r="L6616" s="417"/>
      <c r="M6616" s="417" t="s">
        <v>28840</v>
      </c>
    </row>
    <row r="6617" spans="1:13" x14ac:dyDescent="0.25">
      <c r="A6617" s="417" t="s">
        <v>3385</v>
      </c>
      <c r="B6617" s="417" t="s">
        <v>2627</v>
      </c>
      <c r="C6617" s="417" t="s">
        <v>15706</v>
      </c>
      <c r="D6617" s="417" t="s">
        <v>73</v>
      </c>
      <c r="E6617" s="423">
        <v>1.4225486032856401E-2</v>
      </c>
      <c r="F6617" s="423">
        <v>1.4901327615155939E-4</v>
      </c>
      <c r="G6617" s="422">
        <v>30.17342769587064</v>
      </c>
      <c r="H6617" s="417" t="s">
        <v>2616</v>
      </c>
      <c r="I6617" s="417" t="s">
        <v>1392</v>
      </c>
      <c r="J6617" s="417" t="s">
        <v>15692</v>
      </c>
      <c r="K6617" s="417" t="s">
        <v>15707</v>
      </c>
      <c r="L6617" s="417"/>
      <c r="M6617" s="417" t="s">
        <v>28840</v>
      </c>
    </row>
    <row r="6618" spans="1:13" x14ac:dyDescent="0.25">
      <c r="A6618" s="417" t="s">
        <v>3385</v>
      </c>
      <c r="B6618" s="417" t="s">
        <v>2627</v>
      </c>
      <c r="C6618" s="417" t="s">
        <v>15708</v>
      </c>
      <c r="D6618" s="417" t="s">
        <v>73</v>
      </c>
      <c r="E6618" s="423">
        <v>5.5994624272219951E-3</v>
      </c>
      <c r="F6618" s="423">
        <v>4.7469736010821011E-5</v>
      </c>
      <c r="G6618" s="422">
        <v>18.35873676530581</v>
      </c>
      <c r="H6618" s="417" t="s">
        <v>2616</v>
      </c>
      <c r="I6618" s="417" t="s">
        <v>1392</v>
      </c>
      <c r="J6618" s="417" t="s">
        <v>15692</v>
      </c>
      <c r="K6618" s="417" t="s">
        <v>15709</v>
      </c>
      <c r="L6618" s="417"/>
      <c r="M6618" s="417" t="s">
        <v>28840</v>
      </c>
    </row>
    <row r="6619" spans="1:13" x14ac:dyDescent="0.25">
      <c r="A6619" s="417" t="s">
        <v>3385</v>
      </c>
      <c r="B6619" s="417" t="s">
        <v>2627</v>
      </c>
      <c r="C6619" s="417" t="s">
        <v>15710</v>
      </c>
      <c r="D6619" s="417" t="s">
        <v>73</v>
      </c>
      <c r="E6619" s="423">
        <v>7.6104700451780326E-3</v>
      </c>
      <c r="F6619" s="423">
        <v>1.049305630625713E-4</v>
      </c>
      <c r="G6619" s="422">
        <v>21.382255675918859</v>
      </c>
      <c r="H6619" s="417" t="s">
        <v>2616</v>
      </c>
      <c r="I6619" s="417" t="s">
        <v>1392</v>
      </c>
      <c r="J6619" s="417" t="s">
        <v>15692</v>
      </c>
      <c r="K6619" s="417" t="s">
        <v>15711</v>
      </c>
      <c r="L6619" s="417"/>
      <c r="M6619" s="417" t="s">
        <v>28840</v>
      </c>
    </row>
    <row r="6620" spans="1:13" x14ac:dyDescent="0.25">
      <c r="A6620" s="417" t="s">
        <v>3385</v>
      </c>
      <c r="B6620" s="417" t="s">
        <v>2627</v>
      </c>
      <c r="C6620" s="417" t="s">
        <v>15712</v>
      </c>
      <c r="D6620" s="417" t="s">
        <v>73</v>
      </c>
      <c r="E6620" s="423">
        <v>2.213206303134619E-2</v>
      </c>
      <c r="F6620" s="423">
        <v>5.6458579265890687E-4</v>
      </c>
      <c r="G6620" s="422">
        <v>43.571887085773128</v>
      </c>
      <c r="H6620" s="417" t="s">
        <v>2616</v>
      </c>
      <c r="I6620" s="417" t="s">
        <v>1392</v>
      </c>
      <c r="J6620" s="417" t="s">
        <v>15692</v>
      </c>
      <c r="K6620" s="417" t="s">
        <v>15713</v>
      </c>
      <c r="L6620" s="417"/>
      <c r="M6620" s="417" t="s">
        <v>28840</v>
      </c>
    </row>
    <row r="6621" spans="1:13" x14ac:dyDescent="0.25">
      <c r="A6621" s="417" t="s">
        <v>3385</v>
      </c>
      <c r="B6621" s="417" t="s">
        <v>2627</v>
      </c>
      <c r="C6621" s="417" t="s">
        <v>15714</v>
      </c>
      <c r="D6621" s="417" t="s">
        <v>83</v>
      </c>
      <c r="E6621" s="423">
        <v>0.81881307512232715</v>
      </c>
      <c r="F6621" s="423">
        <v>1.6358975230802909E-2</v>
      </c>
      <c r="G6621" s="422">
        <v>1541.0739170332231</v>
      </c>
      <c r="H6621" s="417" t="s">
        <v>2616</v>
      </c>
      <c r="I6621" s="417" t="s">
        <v>1392</v>
      </c>
      <c r="J6621" s="417" t="s">
        <v>14271</v>
      </c>
      <c r="K6621" s="417" t="s">
        <v>15715</v>
      </c>
      <c r="L6621" s="417"/>
      <c r="M6621" s="417" t="s">
        <v>28840</v>
      </c>
    </row>
    <row r="6622" spans="1:13" x14ac:dyDescent="0.25">
      <c r="A6622" s="417" t="s">
        <v>3385</v>
      </c>
      <c r="B6622" s="417" t="s">
        <v>2627</v>
      </c>
      <c r="C6622" s="417" t="s">
        <v>15716</v>
      </c>
      <c r="D6622" s="417" t="s">
        <v>83</v>
      </c>
      <c r="E6622" s="423">
        <v>0.83238503861654212</v>
      </c>
      <c r="F6622" s="423">
        <v>1.706392672347358E-2</v>
      </c>
      <c r="G6622" s="422">
        <v>1563.9686402562029</v>
      </c>
      <c r="H6622" s="417" t="s">
        <v>2616</v>
      </c>
      <c r="I6622" s="417" t="s">
        <v>1392</v>
      </c>
      <c r="J6622" s="417" t="s">
        <v>14271</v>
      </c>
      <c r="K6622" s="417" t="s">
        <v>15717</v>
      </c>
      <c r="L6622" s="417"/>
      <c r="M6622" s="417" t="s">
        <v>28840</v>
      </c>
    </row>
    <row r="6623" spans="1:13" x14ac:dyDescent="0.25">
      <c r="A6623" s="417" t="s">
        <v>3385</v>
      </c>
      <c r="B6623" s="417" t="s">
        <v>2627</v>
      </c>
      <c r="C6623" s="417" t="s">
        <v>15718</v>
      </c>
      <c r="D6623" s="417" t="s">
        <v>83</v>
      </c>
      <c r="E6623" s="423">
        <v>0.78624036272362052</v>
      </c>
      <c r="F6623" s="423">
        <v>1.4667091648040431E-2</v>
      </c>
      <c r="G6623" s="422">
        <v>1486.126582700178</v>
      </c>
      <c r="H6623" s="417" t="s">
        <v>2616</v>
      </c>
      <c r="I6623" s="417" t="s">
        <v>1392</v>
      </c>
      <c r="J6623" s="417" t="s">
        <v>14271</v>
      </c>
      <c r="K6623" s="417" t="s">
        <v>15719</v>
      </c>
      <c r="L6623" s="417"/>
      <c r="M6623" s="417" t="s">
        <v>28840</v>
      </c>
    </row>
    <row r="6624" spans="1:13" x14ac:dyDescent="0.25">
      <c r="A6624" s="417" t="s">
        <v>3385</v>
      </c>
      <c r="B6624" s="417" t="s">
        <v>2627</v>
      </c>
      <c r="C6624" s="417" t="s">
        <v>15720</v>
      </c>
      <c r="D6624" s="417" t="s">
        <v>83</v>
      </c>
      <c r="E6624" s="423">
        <v>0.79981232622139287</v>
      </c>
      <c r="F6624" s="423">
        <v>1.5372043140799461E-2</v>
      </c>
      <c r="G6624" s="422">
        <v>1509.0213056041409</v>
      </c>
      <c r="H6624" s="417" t="s">
        <v>2616</v>
      </c>
      <c r="I6624" s="417" t="s">
        <v>1392</v>
      </c>
      <c r="J6624" s="417" t="s">
        <v>14271</v>
      </c>
      <c r="K6624" s="417" t="s">
        <v>15721</v>
      </c>
      <c r="L6624" s="417"/>
      <c r="M6624" s="417" t="s">
        <v>28840</v>
      </c>
    </row>
    <row r="6625" spans="1:13" x14ac:dyDescent="0.25">
      <c r="A6625" s="417" t="s">
        <v>3385</v>
      </c>
      <c r="B6625" s="417" t="s">
        <v>2627</v>
      </c>
      <c r="C6625" s="417" t="s">
        <v>15722</v>
      </c>
      <c r="D6625" s="417" t="s">
        <v>83</v>
      </c>
      <c r="E6625" s="423">
        <v>0.80795550432037722</v>
      </c>
      <c r="F6625" s="423">
        <v>1.5795014036535989E-2</v>
      </c>
      <c r="G6625" s="422">
        <v>1522.758138857492</v>
      </c>
      <c r="H6625" s="417" t="s">
        <v>2616</v>
      </c>
      <c r="I6625" s="417" t="s">
        <v>1392</v>
      </c>
      <c r="J6625" s="417" t="s">
        <v>14271</v>
      </c>
      <c r="K6625" s="417" t="s">
        <v>15723</v>
      </c>
      <c r="L6625" s="417"/>
      <c r="M6625" s="417" t="s">
        <v>28840</v>
      </c>
    </row>
    <row r="6626" spans="1:13" x14ac:dyDescent="0.25">
      <c r="A6626" s="417" t="s">
        <v>3385</v>
      </c>
      <c r="B6626" s="417" t="s">
        <v>2627</v>
      </c>
      <c r="C6626" s="417" t="s">
        <v>15724</v>
      </c>
      <c r="D6626" s="417" t="s">
        <v>83</v>
      </c>
      <c r="E6626" s="423">
        <v>0.82424186052290527</v>
      </c>
      <c r="F6626" s="423">
        <v>1.6640955827879059E-2</v>
      </c>
      <c r="G6626" s="422">
        <v>1550.2318065083409</v>
      </c>
      <c r="H6626" s="417" t="s">
        <v>2616</v>
      </c>
      <c r="I6626" s="417" t="s">
        <v>1392</v>
      </c>
      <c r="J6626" s="417" t="s">
        <v>14271</v>
      </c>
      <c r="K6626" s="417" t="s">
        <v>15725</v>
      </c>
      <c r="L6626" s="417"/>
      <c r="M6626" s="417" t="s">
        <v>28840</v>
      </c>
    </row>
    <row r="6627" spans="1:13" x14ac:dyDescent="0.25">
      <c r="A6627" s="417" t="s">
        <v>3385</v>
      </c>
      <c r="B6627" s="417" t="s">
        <v>2627</v>
      </c>
      <c r="C6627" s="417" t="s">
        <v>15726</v>
      </c>
      <c r="D6627" s="417" t="s">
        <v>83</v>
      </c>
      <c r="E6627" s="423">
        <v>0.89753046342435661</v>
      </c>
      <c r="F6627" s="423">
        <v>2.044769388891348E-2</v>
      </c>
      <c r="G6627" s="422">
        <v>1673.863309595469</v>
      </c>
      <c r="H6627" s="417" t="s">
        <v>2616</v>
      </c>
      <c r="I6627" s="417" t="s">
        <v>1392</v>
      </c>
      <c r="J6627" s="417" t="s">
        <v>14271</v>
      </c>
      <c r="K6627" s="417" t="s">
        <v>15727</v>
      </c>
      <c r="L6627" s="417"/>
      <c r="M6627" s="417" t="s">
        <v>28840</v>
      </c>
    </row>
    <row r="6628" spans="1:13" x14ac:dyDescent="0.25">
      <c r="A6628" s="417" t="s">
        <v>3385</v>
      </c>
      <c r="B6628" s="417" t="s">
        <v>2627</v>
      </c>
      <c r="C6628" s="417" t="s">
        <v>15728</v>
      </c>
      <c r="D6628" s="417" t="s">
        <v>83</v>
      </c>
      <c r="E6628" s="423">
        <v>0.81881307512176793</v>
      </c>
      <c r="F6628" s="423">
        <v>1.6358975230722141E-2</v>
      </c>
      <c r="G6628" s="422">
        <v>1541.0739170234449</v>
      </c>
      <c r="H6628" s="417" t="s">
        <v>2616</v>
      </c>
      <c r="I6628" s="417" t="s">
        <v>1392</v>
      </c>
      <c r="J6628" s="417" t="s">
        <v>14271</v>
      </c>
      <c r="K6628" s="417" t="s">
        <v>15729</v>
      </c>
      <c r="L6628" s="417"/>
      <c r="M6628" s="417" t="s">
        <v>28840</v>
      </c>
    </row>
    <row r="6629" spans="1:13" x14ac:dyDescent="0.25">
      <c r="A6629" s="417" t="s">
        <v>3385</v>
      </c>
      <c r="B6629" s="417" t="s">
        <v>2627</v>
      </c>
      <c r="C6629" s="417" t="s">
        <v>15730</v>
      </c>
      <c r="D6629" s="417" t="s">
        <v>83</v>
      </c>
      <c r="E6629" s="423">
        <v>0.89753046342212384</v>
      </c>
      <c r="F6629" s="423">
        <v>2.0447693888940639E-2</v>
      </c>
      <c r="G6629" s="422">
        <v>1673.86330952922</v>
      </c>
      <c r="H6629" s="417" t="s">
        <v>2616</v>
      </c>
      <c r="I6629" s="417" t="s">
        <v>1392</v>
      </c>
      <c r="J6629" s="417" t="s">
        <v>14271</v>
      </c>
      <c r="K6629" s="417" t="s">
        <v>15731</v>
      </c>
      <c r="L6629" s="417"/>
      <c r="M6629" s="417" t="s">
        <v>28840</v>
      </c>
    </row>
    <row r="6630" spans="1:13" x14ac:dyDescent="0.25">
      <c r="A6630" s="417" t="s">
        <v>3385</v>
      </c>
      <c r="B6630" s="417" t="s">
        <v>2627</v>
      </c>
      <c r="C6630" s="417" t="s">
        <v>15732</v>
      </c>
      <c r="D6630" s="417" t="s">
        <v>73</v>
      </c>
      <c r="E6630" s="423">
        <v>2.29471722338557E-2</v>
      </c>
      <c r="F6630" s="423">
        <v>4.5455432203011142E-4</v>
      </c>
      <c r="G6630" s="422">
        <v>43.053625780223577</v>
      </c>
      <c r="H6630" s="417" t="s">
        <v>2616</v>
      </c>
      <c r="I6630" s="417" t="s">
        <v>1392</v>
      </c>
      <c r="J6630" s="417" t="s">
        <v>15692</v>
      </c>
      <c r="K6630" s="417" t="s">
        <v>15733</v>
      </c>
      <c r="L6630" s="417"/>
      <c r="M6630" s="417" t="s">
        <v>28840</v>
      </c>
    </row>
    <row r="6631" spans="1:13" x14ac:dyDescent="0.25">
      <c r="A6631" s="417" t="s">
        <v>3385</v>
      </c>
      <c r="B6631" s="417" t="s">
        <v>2627</v>
      </c>
      <c r="C6631" s="417" t="s">
        <v>15734</v>
      </c>
      <c r="D6631" s="417" t="s">
        <v>73</v>
      </c>
      <c r="E6631" s="423">
        <v>2.3324214951912042E-2</v>
      </c>
      <c r="F6631" s="423">
        <v>4.7413857945371313E-4</v>
      </c>
      <c r="G6631" s="422">
        <v>43.689664071613343</v>
      </c>
      <c r="H6631" s="417" t="s">
        <v>2616</v>
      </c>
      <c r="I6631" s="417" t="s">
        <v>1392</v>
      </c>
      <c r="J6631" s="417" t="s">
        <v>15692</v>
      </c>
      <c r="K6631" s="417" t="s">
        <v>15735</v>
      </c>
      <c r="L6631" s="417"/>
      <c r="M6631" s="417" t="s">
        <v>28840</v>
      </c>
    </row>
    <row r="6632" spans="1:13" x14ac:dyDescent="0.25">
      <c r="A6632" s="417" t="s">
        <v>3385</v>
      </c>
      <c r="B6632" s="417" t="s">
        <v>2627</v>
      </c>
      <c r="C6632" s="417" t="s">
        <v>15736</v>
      </c>
      <c r="D6632" s="417" t="s">
        <v>73</v>
      </c>
      <c r="E6632" s="423">
        <v>2.2042269710813859E-2</v>
      </c>
      <c r="F6632" s="423">
        <v>4.0755210422214409E-4</v>
      </c>
      <c r="G6632" s="422">
        <v>41.52713386737566</v>
      </c>
      <c r="H6632" s="417" t="s">
        <v>2616</v>
      </c>
      <c r="I6632" s="417" t="s">
        <v>1392</v>
      </c>
      <c r="J6632" s="417" t="s">
        <v>15692</v>
      </c>
      <c r="K6632" s="417" t="s">
        <v>15737</v>
      </c>
      <c r="L6632" s="417"/>
      <c r="M6632" s="417" t="s">
        <v>28840</v>
      </c>
    </row>
    <row r="6633" spans="1:13" x14ac:dyDescent="0.25">
      <c r="A6633" s="417" t="s">
        <v>3385</v>
      </c>
      <c r="B6633" s="417" t="s">
        <v>2627</v>
      </c>
      <c r="C6633" s="417" t="s">
        <v>15738</v>
      </c>
      <c r="D6633" s="417" t="s">
        <v>73</v>
      </c>
      <c r="E6633" s="423">
        <v>2.2419312428764569E-2</v>
      </c>
      <c r="F6633" s="423">
        <v>4.2713636163765369E-4</v>
      </c>
      <c r="G6633" s="422">
        <v>42.163172168178129</v>
      </c>
      <c r="H6633" s="417" t="s">
        <v>2616</v>
      </c>
      <c r="I6633" s="417" t="s">
        <v>1392</v>
      </c>
      <c r="J6633" s="417" t="s">
        <v>15692</v>
      </c>
      <c r="K6633" s="417" t="s">
        <v>15739</v>
      </c>
      <c r="L6633" s="417"/>
      <c r="M6633" s="417" t="s">
        <v>28840</v>
      </c>
    </row>
    <row r="6634" spans="1:13" x14ac:dyDescent="0.25">
      <c r="A6634" s="417" t="s">
        <v>3385</v>
      </c>
      <c r="B6634" s="417" t="s">
        <v>2627</v>
      </c>
      <c r="C6634" s="417" t="s">
        <v>15740</v>
      </c>
      <c r="D6634" s="417" t="s">
        <v>73</v>
      </c>
      <c r="E6634" s="423">
        <v>2.26455380595754E-2</v>
      </c>
      <c r="F6634" s="423">
        <v>4.3888691609398017E-4</v>
      </c>
      <c r="G6634" s="422">
        <v>42.54479513504473</v>
      </c>
      <c r="H6634" s="417" t="s">
        <v>2616</v>
      </c>
      <c r="I6634" s="417" t="s">
        <v>1392</v>
      </c>
      <c r="J6634" s="417" t="s">
        <v>15692</v>
      </c>
      <c r="K6634" s="417" t="s">
        <v>15741</v>
      </c>
      <c r="L6634" s="417"/>
      <c r="M6634" s="417" t="s">
        <v>28840</v>
      </c>
    </row>
    <row r="6635" spans="1:13" x14ac:dyDescent="0.25">
      <c r="A6635" s="417" t="s">
        <v>3385</v>
      </c>
      <c r="B6635" s="417" t="s">
        <v>2627</v>
      </c>
      <c r="C6635" s="417" t="s">
        <v>15742</v>
      </c>
      <c r="D6635" s="417" t="s">
        <v>73</v>
      </c>
      <c r="E6635" s="423">
        <v>2.1733044800089321E-2</v>
      </c>
      <c r="F6635" s="423">
        <v>4.3483060214876681E-4</v>
      </c>
      <c r="G6635" s="422">
        <v>40.740857219599881</v>
      </c>
      <c r="H6635" s="417" t="s">
        <v>2616</v>
      </c>
      <c r="I6635" s="417" t="s">
        <v>1392</v>
      </c>
      <c r="J6635" s="417" t="s">
        <v>15692</v>
      </c>
      <c r="K6635" s="417" t="s">
        <v>15743</v>
      </c>
      <c r="L6635" s="417"/>
      <c r="M6635" s="417" t="s">
        <v>28840</v>
      </c>
    </row>
    <row r="6636" spans="1:13" x14ac:dyDescent="0.25">
      <c r="A6636" s="417" t="s">
        <v>3385</v>
      </c>
      <c r="B6636" s="417" t="s">
        <v>2627</v>
      </c>
      <c r="C6636" s="417" t="s">
        <v>15744</v>
      </c>
      <c r="D6636" s="417" t="s">
        <v>73</v>
      </c>
      <c r="E6636" s="423">
        <v>2.5134019998183849E-2</v>
      </c>
      <c r="F6636" s="423">
        <v>5.6814301507478377E-4</v>
      </c>
      <c r="G6636" s="422">
        <v>46.742647895141808</v>
      </c>
      <c r="H6636" s="417" t="s">
        <v>2616</v>
      </c>
      <c r="I6636" s="417" t="s">
        <v>1392</v>
      </c>
      <c r="J6636" s="417" t="s">
        <v>15692</v>
      </c>
      <c r="K6636" s="417" t="s">
        <v>15745</v>
      </c>
      <c r="L6636" s="417"/>
      <c r="M6636" s="417" t="s">
        <v>28840</v>
      </c>
    </row>
    <row r="6637" spans="1:13" x14ac:dyDescent="0.25">
      <c r="A6637" s="417" t="s">
        <v>3385</v>
      </c>
      <c r="B6637" s="417" t="s">
        <v>2627</v>
      </c>
      <c r="C6637" s="417" t="s">
        <v>15746</v>
      </c>
      <c r="D6637" s="417" t="s">
        <v>73</v>
      </c>
      <c r="E6637" s="423">
        <v>2.2947172233823171E-2</v>
      </c>
      <c r="F6637" s="423">
        <v>4.5455432203006301E-4</v>
      </c>
      <c r="G6637" s="422">
        <v>43.053625777361859</v>
      </c>
      <c r="H6637" s="417" t="s">
        <v>2616</v>
      </c>
      <c r="I6637" s="417" t="s">
        <v>1392</v>
      </c>
      <c r="J6637" s="417" t="s">
        <v>15692</v>
      </c>
      <c r="K6637" s="417" t="s">
        <v>15747</v>
      </c>
      <c r="L6637" s="417"/>
      <c r="M6637" s="417" t="s">
        <v>28840</v>
      </c>
    </row>
    <row r="6638" spans="1:13" x14ac:dyDescent="0.25">
      <c r="A6638" s="417" t="s">
        <v>3385</v>
      </c>
      <c r="B6638" s="417" t="s">
        <v>2627</v>
      </c>
      <c r="C6638" s="417" t="s">
        <v>15748</v>
      </c>
      <c r="D6638" s="417" t="s">
        <v>73</v>
      </c>
      <c r="E6638" s="423">
        <v>1.5512493430316569E-2</v>
      </c>
      <c r="F6638" s="423">
        <v>3.4894373658393561E-4</v>
      </c>
      <c r="G6638" s="422">
        <v>28.798833204686581</v>
      </c>
      <c r="H6638" s="417" t="s">
        <v>2616</v>
      </c>
      <c r="I6638" s="417" t="s">
        <v>1392</v>
      </c>
      <c r="J6638" s="417" t="s">
        <v>15692</v>
      </c>
      <c r="K6638" s="417" t="s">
        <v>15749</v>
      </c>
      <c r="L6638" s="417"/>
      <c r="M6638" s="417" t="s">
        <v>28840</v>
      </c>
    </row>
    <row r="6639" spans="1:13" x14ac:dyDescent="0.25">
      <c r="A6639" s="417" t="s">
        <v>3385</v>
      </c>
      <c r="B6639" s="417" t="s">
        <v>2627</v>
      </c>
      <c r="C6639" s="417" t="s">
        <v>15750</v>
      </c>
      <c r="D6639" s="417" t="s">
        <v>73</v>
      </c>
      <c r="E6639" s="423">
        <v>1.082965593754758E-2</v>
      </c>
      <c r="F6639" s="423">
        <v>4.7093613483204888E-5</v>
      </c>
      <c r="G6639" s="422">
        <v>23.73523444608902</v>
      </c>
      <c r="H6639" s="417" t="s">
        <v>2616</v>
      </c>
      <c r="I6639" s="417" t="s">
        <v>1392</v>
      </c>
      <c r="J6639" s="417" t="s">
        <v>15692</v>
      </c>
      <c r="K6639" s="417" t="s">
        <v>15751</v>
      </c>
      <c r="L6639" s="417"/>
      <c r="M6639" s="417" t="s">
        <v>28840</v>
      </c>
    </row>
    <row r="6640" spans="1:13" x14ac:dyDescent="0.25">
      <c r="A6640" s="417" t="s">
        <v>3385</v>
      </c>
      <c r="B6640" s="417" t="s">
        <v>2627</v>
      </c>
      <c r="C6640" s="417" t="s">
        <v>15752</v>
      </c>
      <c r="D6640" s="417" t="s">
        <v>73</v>
      </c>
      <c r="E6640" s="423">
        <v>1.0674992010508731E-2</v>
      </c>
      <c r="F6640" s="423">
        <v>4.6900538388241908E-5</v>
      </c>
      <c r="G6640" s="422">
        <v>23.54000362641041</v>
      </c>
      <c r="H6640" s="417" t="s">
        <v>2616</v>
      </c>
      <c r="I6640" s="417" t="s">
        <v>1392</v>
      </c>
      <c r="J6640" s="417" t="s">
        <v>15692</v>
      </c>
      <c r="K6640" s="417" t="s">
        <v>15753</v>
      </c>
      <c r="L6640" s="417"/>
      <c r="M6640" s="417" t="s">
        <v>28840</v>
      </c>
    </row>
    <row r="6641" spans="1:13" x14ac:dyDescent="0.25">
      <c r="A6641" s="417" t="s">
        <v>3385</v>
      </c>
      <c r="B6641" s="417" t="s">
        <v>2627</v>
      </c>
      <c r="C6641" s="417" t="s">
        <v>15754</v>
      </c>
      <c r="D6641" s="417" t="s">
        <v>73</v>
      </c>
      <c r="E6641" s="423">
        <v>1.0674992010508731E-2</v>
      </c>
      <c r="F6641" s="423">
        <v>4.6900538388241908E-5</v>
      </c>
      <c r="G6641" s="422">
        <v>23.54000362641041</v>
      </c>
      <c r="H6641" s="417" t="s">
        <v>2616</v>
      </c>
      <c r="I6641" s="417" t="s">
        <v>1392</v>
      </c>
      <c r="J6641" s="417" t="s">
        <v>15692</v>
      </c>
      <c r="K6641" s="417" t="s">
        <v>15755</v>
      </c>
      <c r="L6641" s="417"/>
      <c r="M6641" s="417" t="s">
        <v>28840</v>
      </c>
    </row>
    <row r="6642" spans="1:13" x14ac:dyDescent="0.25">
      <c r="A6642" s="417" t="s">
        <v>3385</v>
      </c>
      <c r="B6642" s="417" t="s">
        <v>2627</v>
      </c>
      <c r="C6642" s="417" t="s">
        <v>15756</v>
      </c>
      <c r="D6642" s="417" t="s">
        <v>73</v>
      </c>
      <c r="E6642" s="423">
        <v>2.2373486713620969E-4</v>
      </c>
      <c r="F6642" s="423">
        <v>3.4996082816933711E-7</v>
      </c>
      <c r="G6642" s="422">
        <v>0.27273025268067819</v>
      </c>
      <c r="H6642" s="417" t="s">
        <v>2616</v>
      </c>
      <c r="I6642" s="417" t="s">
        <v>1392</v>
      </c>
      <c r="J6642" s="417" t="s">
        <v>15692</v>
      </c>
      <c r="K6642" s="417" t="s">
        <v>15757</v>
      </c>
      <c r="L6642" s="417"/>
      <c r="M6642" s="417" t="s">
        <v>28840</v>
      </c>
    </row>
    <row r="6643" spans="1:13" x14ac:dyDescent="0.25">
      <c r="A6643" s="417" t="s">
        <v>3385</v>
      </c>
      <c r="B6643" s="417" t="s">
        <v>2627</v>
      </c>
      <c r="C6643" s="417" t="s">
        <v>15758</v>
      </c>
      <c r="D6643" s="417" t="s">
        <v>73</v>
      </c>
      <c r="E6643" s="423">
        <v>2.2373486713620969E-4</v>
      </c>
      <c r="F6643" s="423">
        <v>3.4996082816933711E-7</v>
      </c>
      <c r="G6643" s="422">
        <v>0.27273025268067819</v>
      </c>
      <c r="H6643" s="417" t="s">
        <v>2616</v>
      </c>
      <c r="I6643" s="417" t="s">
        <v>1392</v>
      </c>
      <c r="J6643" s="417" t="s">
        <v>15692</v>
      </c>
      <c r="K6643" s="417" t="s">
        <v>15759</v>
      </c>
      <c r="L6643" s="417"/>
      <c r="M6643" s="417" t="s">
        <v>28840</v>
      </c>
    </row>
    <row r="6644" spans="1:13" x14ac:dyDescent="0.25">
      <c r="A6644" s="417" t="s">
        <v>3385</v>
      </c>
      <c r="B6644" s="417" t="s">
        <v>2627</v>
      </c>
      <c r="C6644" s="417" t="s">
        <v>15760</v>
      </c>
      <c r="D6644" s="417" t="s">
        <v>73</v>
      </c>
      <c r="E6644" s="423">
        <v>2.2373486713620969E-4</v>
      </c>
      <c r="F6644" s="423">
        <v>3.4996082816933711E-7</v>
      </c>
      <c r="G6644" s="422">
        <v>0.27273025268067819</v>
      </c>
      <c r="H6644" s="417" t="s">
        <v>2616</v>
      </c>
      <c r="I6644" s="417" t="s">
        <v>1392</v>
      </c>
      <c r="J6644" s="417" t="s">
        <v>15692</v>
      </c>
      <c r="K6644" s="417" t="s">
        <v>15761</v>
      </c>
      <c r="L6644" s="417"/>
      <c r="M6644" s="417" t="s">
        <v>28840</v>
      </c>
    </row>
    <row r="6645" spans="1:13" x14ac:dyDescent="0.25">
      <c r="A6645" s="417" t="s">
        <v>3385</v>
      </c>
      <c r="B6645" s="417" t="s">
        <v>2627</v>
      </c>
      <c r="C6645" s="417" t="s">
        <v>15762</v>
      </c>
      <c r="D6645" s="417" t="s">
        <v>83</v>
      </c>
      <c r="E6645" s="423">
        <v>0.6785992977151325</v>
      </c>
      <c r="F6645" s="423">
        <v>1.36244137728671E-2</v>
      </c>
      <c r="G6645" s="422">
        <v>1499.979661701381</v>
      </c>
      <c r="H6645" s="417" t="s">
        <v>2616</v>
      </c>
      <c r="I6645" s="417" t="s">
        <v>1392</v>
      </c>
      <c r="J6645" s="417" t="s">
        <v>14271</v>
      </c>
      <c r="K6645" s="417" t="s">
        <v>15763</v>
      </c>
      <c r="L6645" s="417"/>
      <c r="M6645" s="417" t="s">
        <v>28840</v>
      </c>
    </row>
    <row r="6646" spans="1:13" x14ac:dyDescent="0.25">
      <c r="A6646" s="417" t="s">
        <v>3385</v>
      </c>
      <c r="B6646" s="417" t="s">
        <v>2627</v>
      </c>
      <c r="C6646" s="417" t="s">
        <v>15764</v>
      </c>
      <c r="D6646" s="417" t="s">
        <v>83</v>
      </c>
      <c r="E6646" s="423">
        <v>0.90202505654748366</v>
      </c>
      <c r="F6646" s="423">
        <v>2.5345769020435081E-2</v>
      </c>
      <c r="G6646" s="422">
        <v>1881.8643268157009</v>
      </c>
      <c r="H6646" s="417" t="s">
        <v>2616</v>
      </c>
      <c r="I6646" s="417" t="s">
        <v>1392</v>
      </c>
      <c r="J6646" s="417" t="s">
        <v>14271</v>
      </c>
      <c r="K6646" s="417" t="s">
        <v>15765</v>
      </c>
      <c r="L6646" s="417"/>
      <c r="M6646" s="417" t="s">
        <v>28840</v>
      </c>
    </row>
    <row r="6647" spans="1:13" x14ac:dyDescent="0.25">
      <c r="A6647" s="417" t="s">
        <v>3385</v>
      </c>
      <c r="B6647" s="417" t="s">
        <v>2627</v>
      </c>
      <c r="C6647" s="417" t="s">
        <v>15766</v>
      </c>
      <c r="D6647" s="417" t="s">
        <v>83</v>
      </c>
      <c r="E6647" s="423">
        <v>0.71898077286395234</v>
      </c>
      <c r="F6647" s="423">
        <v>1.5742906428020991E-2</v>
      </c>
      <c r="G6647" s="422">
        <v>1569.000663155269</v>
      </c>
      <c r="H6647" s="417" t="s">
        <v>2616</v>
      </c>
      <c r="I6647" s="417" t="s">
        <v>1392</v>
      </c>
      <c r="J6647" s="417" t="s">
        <v>14271</v>
      </c>
      <c r="K6647" s="417" t="s">
        <v>15767</v>
      </c>
      <c r="L6647" s="417"/>
      <c r="M6647" s="417" t="s">
        <v>28840</v>
      </c>
    </row>
    <row r="6648" spans="1:13" x14ac:dyDescent="0.25">
      <c r="A6648" s="417" t="s">
        <v>3385</v>
      </c>
      <c r="B6648" s="417" t="s">
        <v>2627</v>
      </c>
      <c r="C6648" s="417" t="s">
        <v>15768</v>
      </c>
      <c r="D6648" s="417" t="s">
        <v>83</v>
      </c>
      <c r="E6648" s="423">
        <v>0.70552029946881345</v>
      </c>
      <c r="F6648" s="423">
        <v>1.5036743730024759E-2</v>
      </c>
      <c r="G6648" s="422">
        <v>1545.9936999285089</v>
      </c>
      <c r="H6648" s="417" t="s">
        <v>2616</v>
      </c>
      <c r="I6648" s="417" t="s">
        <v>1392</v>
      </c>
      <c r="J6648" s="417" t="s">
        <v>14271</v>
      </c>
      <c r="K6648" s="417" t="s">
        <v>15769</v>
      </c>
      <c r="L6648" s="417"/>
      <c r="M6648" s="417" t="s">
        <v>28840</v>
      </c>
    </row>
    <row r="6649" spans="1:13" x14ac:dyDescent="0.25">
      <c r="A6649" s="417" t="s">
        <v>3385</v>
      </c>
      <c r="B6649" s="417" t="s">
        <v>2627</v>
      </c>
      <c r="C6649" s="417" t="s">
        <v>15770</v>
      </c>
      <c r="D6649" s="417" t="s">
        <v>83</v>
      </c>
      <c r="E6649" s="423">
        <v>0.72974912701038364</v>
      </c>
      <c r="F6649" s="423">
        <v>1.6307833183843691E-2</v>
      </c>
      <c r="G6649" s="422">
        <v>1587.4061585478221</v>
      </c>
      <c r="H6649" s="417" t="s">
        <v>2616</v>
      </c>
      <c r="I6649" s="417" t="s">
        <v>1392</v>
      </c>
      <c r="J6649" s="417" t="s">
        <v>14271</v>
      </c>
      <c r="K6649" s="417" t="s">
        <v>15771</v>
      </c>
      <c r="L6649" s="417"/>
      <c r="M6649" s="417" t="s">
        <v>28840</v>
      </c>
    </row>
    <row r="6650" spans="1:13" x14ac:dyDescent="0.25">
      <c r="A6650" s="417" t="s">
        <v>3385</v>
      </c>
      <c r="B6650" s="417" t="s">
        <v>2627</v>
      </c>
      <c r="C6650" s="417" t="s">
        <v>15772</v>
      </c>
      <c r="D6650" s="417" t="s">
        <v>83</v>
      </c>
      <c r="E6650" s="423">
        <v>0.72436492474370651</v>
      </c>
      <c r="F6650" s="423">
        <v>1.6025364106467429E-2</v>
      </c>
      <c r="G6650" s="422">
        <v>1578.203347483204</v>
      </c>
      <c r="H6650" s="417" t="s">
        <v>2616</v>
      </c>
      <c r="I6650" s="417" t="s">
        <v>1392</v>
      </c>
      <c r="J6650" s="417" t="s">
        <v>14271</v>
      </c>
      <c r="K6650" s="417" t="s">
        <v>15773</v>
      </c>
      <c r="L6650" s="417"/>
      <c r="M6650" s="417" t="s">
        <v>28840</v>
      </c>
    </row>
    <row r="6651" spans="1:13" x14ac:dyDescent="0.25">
      <c r="A6651" s="417" t="s">
        <v>3385</v>
      </c>
      <c r="B6651" s="417" t="s">
        <v>2627</v>
      </c>
      <c r="C6651" s="417" t="s">
        <v>15774</v>
      </c>
      <c r="D6651" s="417" t="s">
        <v>83</v>
      </c>
      <c r="E6651" s="423">
        <v>0.77551478535139329</v>
      </c>
      <c r="F6651" s="423">
        <v>1.8708788902716579E-2</v>
      </c>
      <c r="G6651" s="422">
        <v>1665.629924734199</v>
      </c>
      <c r="H6651" s="417" t="s">
        <v>2616</v>
      </c>
      <c r="I6651" s="417" t="s">
        <v>1392</v>
      </c>
      <c r="J6651" s="417" t="s">
        <v>14271</v>
      </c>
      <c r="K6651" s="417" t="s">
        <v>15775</v>
      </c>
      <c r="L6651" s="417"/>
      <c r="M6651" s="417" t="s">
        <v>28840</v>
      </c>
    </row>
    <row r="6652" spans="1:13" x14ac:dyDescent="0.25">
      <c r="A6652" s="417" t="s">
        <v>3385</v>
      </c>
      <c r="B6652" s="417" t="s">
        <v>2627</v>
      </c>
      <c r="C6652" s="417" t="s">
        <v>15776</v>
      </c>
      <c r="D6652" s="417" t="s">
        <v>83</v>
      </c>
      <c r="E6652" s="423">
        <v>0.62206526461930634</v>
      </c>
      <c r="F6652" s="423">
        <v>1.065852724102863E-2</v>
      </c>
      <c r="G6652" s="422">
        <v>1403.3503428597969</v>
      </c>
      <c r="H6652" s="417" t="s">
        <v>2616</v>
      </c>
      <c r="I6652" s="417" t="s">
        <v>1392</v>
      </c>
      <c r="J6652" s="417" t="s">
        <v>14271</v>
      </c>
      <c r="K6652" s="417" t="s">
        <v>15777</v>
      </c>
      <c r="L6652" s="417"/>
      <c r="M6652" s="417" t="s">
        <v>28840</v>
      </c>
    </row>
    <row r="6653" spans="1:13" x14ac:dyDescent="0.25">
      <c r="A6653" s="417" t="s">
        <v>3385</v>
      </c>
      <c r="B6653" s="417" t="s">
        <v>2627</v>
      </c>
      <c r="C6653" s="417" t="s">
        <v>15778</v>
      </c>
      <c r="D6653" s="417" t="s">
        <v>83</v>
      </c>
      <c r="E6653" s="423">
        <v>0.70552029946881345</v>
      </c>
      <c r="F6653" s="423">
        <v>1.5036743730024759E-2</v>
      </c>
      <c r="G6653" s="422">
        <v>1545.9936999285089</v>
      </c>
      <c r="H6653" s="417" t="s">
        <v>2616</v>
      </c>
      <c r="I6653" s="417" t="s">
        <v>1392</v>
      </c>
      <c r="J6653" s="417" t="s">
        <v>14271</v>
      </c>
      <c r="K6653" s="417" t="s">
        <v>15779</v>
      </c>
      <c r="L6653" s="417"/>
      <c r="M6653" s="417" t="s">
        <v>28840</v>
      </c>
    </row>
    <row r="6654" spans="1:13" x14ac:dyDescent="0.25">
      <c r="A6654" s="417" t="s">
        <v>3385</v>
      </c>
      <c r="B6654" s="417" t="s">
        <v>2627</v>
      </c>
      <c r="C6654" s="417" t="s">
        <v>15780</v>
      </c>
      <c r="D6654" s="417" t="s">
        <v>83</v>
      </c>
      <c r="E6654" s="423">
        <v>0.65437044098017438</v>
      </c>
      <c r="F6654" s="423">
        <v>1.2353321195127699E-2</v>
      </c>
      <c r="G6654" s="422">
        <v>1458.567132234489</v>
      </c>
      <c r="H6654" s="417" t="s">
        <v>2616</v>
      </c>
      <c r="I6654" s="417" t="s">
        <v>1392</v>
      </c>
      <c r="J6654" s="417" t="s">
        <v>14271</v>
      </c>
      <c r="K6654" s="417" t="s">
        <v>15781</v>
      </c>
      <c r="L6654" s="417"/>
      <c r="M6654" s="417" t="s">
        <v>28840</v>
      </c>
    </row>
    <row r="6655" spans="1:13" x14ac:dyDescent="0.25">
      <c r="A6655" s="417" t="s">
        <v>3385</v>
      </c>
      <c r="B6655" s="417" t="s">
        <v>2627</v>
      </c>
      <c r="C6655" s="417" t="s">
        <v>15782</v>
      </c>
      <c r="D6655" s="417" t="s">
        <v>83</v>
      </c>
      <c r="E6655" s="423">
        <v>0.6785992977151325</v>
      </c>
      <c r="F6655" s="423">
        <v>1.36244137728671E-2</v>
      </c>
      <c r="G6655" s="422">
        <v>1499.979661701381</v>
      </c>
      <c r="H6655" s="417" t="s">
        <v>2616</v>
      </c>
      <c r="I6655" s="417" t="s">
        <v>1392</v>
      </c>
      <c r="J6655" s="417" t="s">
        <v>14271</v>
      </c>
      <c r="K6655" s="417" t="s">
        <v>15783</v>
      </c>
      <c r="L6655" s="417"/>
      <c r="M6655" s="417" t="s">
        <v>28840</v>
      </c>
    </row>
    <row r="6656" spans="1:13" x14ac:dyDescent="0.25">
      <c r="A6656" s="417" t="s">
        <v>3385</v>
      </c>
      <c r="B6656" s="417" t="s">
        <v>2627</v>
      </c>
      <c r="C6656" s="417" t="s">
        <v>15784</v>
      </c>
      <c r="D6656" s="417" t="s">
        <v>73</v>
      </c>
      <c r="E6656" s="423">
        <v>6.3338845568165544E-3</v>
      </c>
      <c r="F6656" s="423">
        <v>5.6695132309331797E-5</v>
      </c>
      <c r="G6656" s="422">
        <v>22.739833139065759</v>
      </c>
      <c r="H6656" s="417" t="s">
        <v>2616</v>
      </c>
      <c r="I6656" s="417" t="s">
        <v>1392</v>
      </c>
      <c r="J6656" s="417" t="s">
        <v>15692</v>
      </c>
      <c r="K6656" s="417" t="s">
        <v>15785</v>
      </c>
      <c r="L6656" s="417"/>
      <c r="M6656" s="417" t="s">
        <v>28840</v>
      </c>
    </row>
    <row r="6657" spans="1:13" x14ac:dyDescent="0.25">
      <c r="A6657" s="417" t="s">
        <v>3385</v>
      </c>
      <c r="B6657" s="417" t="s">
        <v>2627</v>
      </c>
      <c r="C6657" s="417" t="s">
        <v>15786</v>
      </c>
      <c r="D6657" s="417" t="s">
        <v>73</v>
      </c>
      <c r="E6657" s="423">
        <v>1.9049917029194841E-2</v>
      </c>
      <c r="F6657" s="423">
        <v>3.7863845724616057E-4</v>
      </c>
      <c r="G6657" s="422">
        <v>41.918684193555457</v>
      </c>
      <c r="H6657" s="417" t="s">
        <v>2616</v>
      </c>
      <c r="I6657" s="417" t="s">
        <v>1392</v>
      </c>
      <c r="J6657" s="417" t="s">
        <v>15692</v>
      </c>
      <c r="K6657" s="417" t="s">
        <v>15787</v>
      </c>
      <c r="L6657" s="417"/>
      <c r="M6657" s="417" t="s">
        <v>28840</v>
      </c>
    </row>
    <row r="6658" spans="1:13" x14ac:dyDescent="0.25">
      <c r="A6658" s="417" t="s">
        <v>3385</v>
      </c>
      <c r="B6658" s="417" t="s">
        <v>2627</v>
      </c>
      <c r="C6658" s="417" t="s">
        <v>15788</v>
      </c>
      <c r="D6658" s="417" t="s">
        <v>73</v>
      </c>
      <c r="E6658" s="423">
        <v>2.525690745454065E-2</v>
      </c>
      <c r="F6658" s="423">
        <v>7.0426953786781842E-4</v>
      </c>
      <c r="G6658" s="422">
        <v>52.527821219542624</v>
      </c>
      <c r="H6658" s="417" t="s">
        <v>2616</v>
      </c>
      <c r="I6658" s="417" t="s">
        <v>1392</v>
      </c>
      <c r="J6658" s="417" t="s">
        <v>15692</v>
      </c>
      <c r="K6658" s="417" t="s">
        <v>15789</v>
      </c>
      <c r="L6658" s="417"/>
      <c r="M6658" s="417" t="s">
        <v>28840</v>
      </c>
    </row>
    <row r="6659" spans="1:13" x14ac:dyDescent="0.25">
      <c r="A6659" s="417" t="s">
        <v>3385</v>
      </c>
      <c r="B6659" s="417" t="s">
        <v>2627</v>
      </c>
      <c r="C6659" s="417" t="s">
        <v>15790</v>
      </c>
      <c r="D6659" s="417" t="s">
        <v>73</v>
      </c>
      <c r="E6659" s="423">
        <v>1.608580968424209E-2</v>
      </c>
      <c r="F6659" s="423">
        <v>3.261627445989365E-4</v>
      </c>
      <c r="G6659" s="422">
        <v>37.614836890079488</v>
      </c>
      <c r="H6659" s="417" t="s">
        <v>2616</v>
      </c>
      <c r="I6659" s="417" t="s">
        <v>1392</v>
      </c>
      <c r="J6659" s="417" t="s">
        <v>15692</v>
      </c>
      <c r="K6659" s="417" t="s">
        <v>15791</v>
      </c>
      <c r="L6659" s="417"/>
      <c r="M6659" s="417" t="s">
        <v>28840</v>
      </c>
    </row>
    <row r="6660" spans="1:13" x14ac:dyDescent="0.25">
      <c r="A6660" s="417" t="s">
        <v>3385</v>
      </c>
      <c r="B6660" s="417" t="s">
        <v>2627</v>
      </c>
      <c r="C6660" s="417" t="s">
        <v>15792</v>
      </c>
      <c r="D6660" s="417" t="s">
        <v>73</v>
      </c>
      <c r="E6660" s="423">
        <v>1.9797809678245629E-2</v>
      </c>
      <c r="F6660" s="423">
        <v>4.1787443527983452E-4</v>
      </c>
      <c r="G6660" s="422">
        <v>43.197000413385773</v>
      </c>
      <c r="H6660" s="417" t="s">
        <v>2616</v>
      </c>
      <c r="I6660" s="417" t="s">
        <v>1392</v>
      </c>
      <c r="J6660" s="417" t="s">
        <v>15692</v>
      </c>
      <c r="K6660" s="417" t="s">
        <v>15793</v>
      </c>
      <c r="L6660" s="417"/>
      <c r="M6660" s="417" t="s">
        <v>28840</v>
      </c>
    </row>
    <row r="6661" spans="1:13" x14ac:dyDescent="0.25">
      <c r="A6661" s="417" t="s">
        <v>3385</v>
      </c>
      <c r="B6661" s="417" t="s">
        <v>2627</v>
      </c>
      <c r="C6661" s="417" t="s">
        <v>15794</v>
      </c>
      <c r="D6661" s="417" t="s">
        <v>73</v>
      </c>
      <c r="E6661" s="423">
        <v>2.04709116896214E-2</v>
      </c>
      <c r="F6661" s="423">
        <v>4.5318665177038431E-4</v>
      </c>
      <c r="G6661" s="422">
        <v>44.347482488393283</v>
      </c>
      <c r="H6661" s="417" t="s">
        <v>2616</v>
      </c>
      <c r="I6661" s="417" t="s">
        <v>1392</v>
      </c>
      <c r="J6661" s="417" t="s">
        <v>15692</v>
      </c>
      <c r="K6661" s="417" t="s">
        <v>15795</v>
      </c>
      <c r="L6661" s="417"/>
      <c r="M6661" s="417" t="s">
        <v>28840</v>
      </c>
    </row>
    <row r="6662" spans="1:13" x14ac:dyDescent="0.25">
      <c r="A6662" s="417" t="s">
        <v>3385</v>
      </c>
      <c r="B6662" s="417" t="s">
        <v>2627</v>
      </c>
      <c r="C6662" s="417" t="s">
        <v>15796</v>
      </c>
      <c r="D6662" s="417" t="s">
        <v>73</v>
      </c>
      <c r="E6662" s="423">
        <v>2.032133316481646E-2</v>
      </c>
      <c r="F6662" s="423">
        <v>4.4533956848115213E-4</v>
      </c>
      <c r="G6662" s="422">
        <v>44.091819605420518</v>
      </c>
      <c r="H6662" s="417" t="s">
        <v>2616</v>
      </c>
      <c r="I6662" s="417" t="s">
        <v>1392</v>
      </c>
      <c r="J6662" s="417" t="s">
        <v>15692</v>
      </c>
      <c r="K6662" s="417" t="s">
        <v>15797</v>
      </c>
      <c r="L6662" s="417"/>
      <c r="M6662" s="417" t="s">
        <v>28840</v>
      </c>
    </row>
    <row r="6663" spans="1:13" x14ac:dyDescent="0.25">
      <c r="A6663" s="417" t="s">
        <v>3385</v>
      </c>
      <c r="B6663" s="417" t="s">
        <v>2627</v>
      </c>
      <c r="C6663" s="417" t="s">
        <v>15798</v>
      </c>
      <c r="D6663" s="417" t="s">
        <v>73</v>
      </c>
      <c r="E6663" s="423">
        <v>2.1742325495341819E-2</v>
      </c>
      <c r="F6663" s="423">
        <v>5.1988752217930752E-4</v>
      </c>
      <c r="G6663" s="422">
        <v>46.520613324647243</v>
      </c>
      <c r="H6663" s="417" t="s">
        <v>2616</v>
      </c>
      <c r="I6663" s="417" t="s">
        <v>1392</v>
      </c>
      <c r="J6663" s="417" t="s">
        <v>15692</v>
      </c>
      <c r="K6663" s="417" t="s">
        <v>15799</v>
      </c>
      <c r="L6663" s="417"/>
      <c r="M6663" s="417" t="s">
        <v>28840</v>
      </c>
    </row>
    <row r="6664" spans="1:13" x14ac:dyDescent="0.25">
      <c r="A6664" s="417" t="s">
        <v>3385</v>
      </c>
      <c r="B6664" s="417" t="s">
        <v>2627</v>
      </c>
      <c r="C6664" s="417" t="s">
        <v>15800</v>
      </c>
      <c r="D6664" s="417" t="s">
        <v>73</v>
      </c>
      <c r="E6664" s="423">
        <v>1.747934614446623E-2</v>
      </c>
      <c r="F6664" s="423">
        <v>2.9624329774668751E-4</v>
      </c>
      <c r="G6664" s="422">
        <v>39.234227422598678</v>
      </c>
      <c r="H6664" s="417" t="s">
        <v>2616</v>
      </c>
      <c r="I6664" s="417" t="s">
        <v>1392</v>
      </c>
      <c r="J6664" s="417" t="s">
        <v>15692</v>
      </c>
      <c r="K6664" s="417" t="s">
        <v>15801</v>
      </c>
      <c r="L6664" s="417"/>
      <c r="M6664" s="417" t="s">
        <v>28840</v>
      </c>
    </row>
    <row r="6665" spans="1:13" x14ac:dyDescent="0.25">
      <c r="A6665" s="417" t="s">
        <v>3385</v>
      </c>
      <c r="B6665" s="417" t="s">
        <v>2627</v>
      </c>
      <c r="C6665" s="417" t="s">
        <v>15802</v>
      </c>
      <c r="D6665" s="417" t="s">
        <v>73</v>
      </c>
      <c r="E6665" s="423">
        <v>1.5821215395180051E-2</v>
      </c>
      <c r="F6665" s="423">
        <v>3.122788690002925E-4</v>
      </c>
      <c r="G6665" s="422">
        <v>37.162716778090363</v>
      </c>
      <c r="H6665" s="417" t="s">
        <v>2616</v>
      </c>
      <c r="I6665" s="417" t="s">
        <v>1392</v>
      </c>
      <c r="J6665" s="417" t="s">
        <v>15692</v>
      </c>
      <c r="K6665" s="417" t="s">
        <v>15803</v>
      </c>
      <c r="L6665" s="417"/>
      <c r="M6665" s="417" t="s">
        <v>28840</v>
      </c>
    </row>
    <row r="6666" spans="1:13" x14ac:dyDescent="0.25">
      <c r="A6666" s="417" t="s">
        <v>3385</v>
      </c>
      <c r="B6666" s="417" t="s">
        <v>2627</v>
      </c>
      <c r="C6666" s="417" t="s">
        <v>15804</v>
      </c>
      <c r="D6666" s="417" t="s">
        <v>73</v>
      </c>
      <c r="E6666" s="423">
        <v>1.8376815360352339E-2</v>
      </c>
      <c r="F6666" s="423">
        <v>3.4332633090257652E-4</v>
      </c>
      <c r="G6666" s="422">
        <v>40.768202994254359</v>
      </c>
      <c r="H6666" s="417" t="s">
        <v>2616</v>
      </c>
      <c r="I6666" s="417" t="s">
        <v>1392</v>
      </c>
      <c r="J6666" s="417" t="s">
        <v>15692</v>
      </c>
      <c r="K6666" s="417" t="s">
        <v>15805</v>
      </c>
      <c r="L6666" s="417"/>
      <c r="M6666" s="417" t="s">
        <v>28840</v>
      </c>
    </row>
    <row r="6667" spans="1:13" x14ac:dyDescent="0.25">
      <c r="A6667" s="417" t="s">
        <v>3385</v>
      </c>
      <c r="B6667" s="417" t="s">
        <v>2627</v>
      </c>
      <c r="C6667" s="417" t="s">
        <v>15806</v>
      </c>
      <c r="D6667" s="417" t="s">
        <v>73</v>
      </c>
      <c r="E6667" s="423">
        <v>1.9049917029194841E-2</v>
      </c>
      <c r="F6667" s="423">
        <v>3.7863845724616057E-4</v>
      </c>
      <c r="G6667" s="422">
        <v>41.918684193555457</v>
      </c>
      <c r="H6667" s="417" t="s">
        <v>2616</v>
      </c>
      <c r="I6667" s="417" t="s">
        <v>1392</v>
      </c>
      <c r="J6667" s="417" t="s">
        <v>15692</v>
      </c>
      <c r="K6667" s="417" t="s">
        <v>15807</v>
      </c>
      <c r="L6667" s="417"/>
      <c r="M6667" s="417" t="s">
        <v>28840</v>
      </c>
    </row>
    <row r="6668" spans="1:13" x14ac:dyDescent="0.25">
      <c r="A6668" s="417" t="s">
        <v>3385</v>
      </c>
      <c r="B6668" s="417" t="s">
        <v>2627</v>
      </c>
      <c r="C6668" s="417" t="s">
        <v>15808</v>
      </c>
      <c r="D6668" s="417" t="s">
        <v>73</v>
      </c>
      <c r="E6668" s="423">
        <v>6.1189805603705733E-3</v>
      </c>
      <c r="F6668" s="423">
        <v>5.0273567981579309E-5</v>
      </c>
      <c r="G6668" s="422">
        <v>18.304091991461039</v>
      </c>
      <c r="H6668" s="417" t="s">
        <v>2616</v>
      </c>
      <c r="I6668" s="417" t="s">
        <v>1392</v>
      </c>
      <c r="J6668" s="417" t="s">
        <v>15692</v>
      </c>
      <c r="K6668" s="417" t="s">
        <v>15809</v>
      </c>
      <c r="L6668" s="417"/>
      <c r="M6668" s="417" t="s">
        <v>28840</v>
      </c>
    </row>
    <row r="6669" spans="1:13" x14ac:dyDescent="0.25">
      <c r="A6669" s="417" t="s">
        <v>3385</v>
      </c>
      <c r="B6669" s="417" t="s">
        <v>2627</v>
      </c>
      <c r="C6669" s="417" t="s">
        <v>15810</v>
      </c>
      <c r="D6669" s="417" t="s">
        <v>73</v>
      </c>
      <c r="E6669" s="423">
        <v>1.2271303139769089E-2</v>
      </c>
      <c r="F6669" s="423">
        <v>5.8657574495334298E-5</v>
      </c>
      <c r="G6669" s="422">
        <v>25.56189484757288</v>
      </c>
      <c r="H6669" s="417" t="s">
        <v>2616</v>
      </c>
      <c r="I6669" s="417" t="s">
        <v>1392</v>
      </c>
      <c r="J6669" s="417" t="s">
        <v>15692</v>
      </c>
      <c r="K6669" s="417" t="s">
        <v>15811</v>
      </c>
      <c r="L6669" s="417"/>
      <c r="M6669" s="417" t="s">
        <v>28840</v>
      </c>
    </row>
    <row r="6670" spans="1:13" x14ac:dyDescent="0.25">
      <c r="A6670" s="417" t="s">
        <v>3385</v>
      </c>
      <c r="B6670" s="417" t="s">
        <v>2627</v>
      </c>
      <c r="C6670" s="417" t="s">
        <v>15812</v>
      </c>
      <c r="D6670" s="417" t="s">
        <v>73</v>
      </c>
      <c r="E6670" s="423">
        <v>1.3537934497307891E-2</v>
      </c>
      <c r="F6670" s="423">
        <v>6.0503381371648088E-5</v>
      </c>
      <c r="G6670" s="422">
        <v>27.074575794113649</v>
      </c>
      <c r="H6670" s="417" t="s">
        <v>2616</v>
      </c>
      <c r="I6670" s="417" t="s">
        <v>1392</v>
      </c>
      <c r="J6670" s="417" t="s">
        <v>15692</v>
      </c>
      <c r="K6670" s="417" t="s">
        <v>15813</v>
      </c>
      <c r="L6670" s="417"/>
      <c r="M6670" s="417" t="s">
        <v>28840</v>
      </c>
    </row>
    <row r="6671" spans="1:13" x14ac:dyDescent="0.25">
      <c r="A6671" s="417" t="s">
        <v>3385</v>
      </c>
      <c r="B6671" s="417" t="s">
        <v>2627</v>
      </c>
      <c r="C6671" s="417" t="s">
        <v>15814</v>
      </c>
      <c r="D6671" s="417" t="s">
        <v>73</v>
      </c>
      <c r="E6671" s="423">
        <v>1.1664277574358711E-2</v>
      </c>
      <c r="F6671" s="423">
        <v>5.783726694845965E-5</v>
      </c>
      <c r="G6671" s="422">
        <v>24.84462719035097</v>
      </c>
      <c r="H6671" s="417" t="s">
        <v>2616</v>
      </c>
      <c r="I6671" s="417" t="s">
        <v>1392</v>
      </c>
      <c r="J6671" s="417" t="s">
        <v>15692</v>
      </c>
      <c r="K6671" s="417" t="s">
        <v>15815</v>
      </c>
      <c r="L6671" s="417"/>
      <c r="M6671" s="417" t="s">
        <v>28840</v>
      </c>
    </row>
    <row r="6672" spans="1:13" x14ac:dyDescent="0.25">
      <c r="A6672" s="417" t="s">
        <v>3385</v>
      </c>
      <c r="B6672" s="417" t="s">
        <v>2627</v>
      </c>
      <c r="C6672" s="417" t="s">
        <v>15816</v>
      </c>
      <c r="D6672" s="417" t="s">
        <v>73</v>
      </c>
      <c r="E6672" s="423">
        <v>1.3537934497307891E-2</v>
      </c>
      <c r="F6672" s="423">
        <v>6.0503381371648088E-5</v>
      </c>
      <c r="G6672" s="422">
        <v>27.074575794113649</v>
      </c>
      <c r="H6672" s="417" t="s">
        <v>2616</v>
      </c>
      <c r="I6672" s="417" t="s">
        <v>1392</v>
      </c>
      <c r="J6672" s="417" t="s">
        <v>15692</v>
      </c>
      <c r="K6672" s="417" t="s">
        <v>15817</v>
      </c>
      <c r="L6672" s="417"/>
      <c r="M6672" s="417" t="s">
        <v>28840</v>
      </c>
    </row>
    <row r="6673" spans="1:13" x14ac:dyDescent="0.25">
      <c r="A6673" s="417" t="s">
        <v>3385</v>
      </c>
      <c r="B6673" s="417" t="s">
        <v>2627</v>
      </c>
      <c r="C6673" s="417" t="s">
        <v>15818</v>
      </c>
      <c r="D6673" s="417" t="s">
        <v>73</v>
      </c>
      <c r="E6673" s="423">
        <v>1.3537934497307891E-2</v>
      </c>
      <c r="F6673" s="423">
        <v>6.0503381371648088E-5</v>
      </c>
      <c r="G6673" s="422">
        <v>27.074575794113649</v>
      </c>
      <c r="H6673" s="417" t="s">
        <v>2616</v>
      </c>
      <c r="I6673" s="417" t="s">
        <v>1392</v>
      </c>
      <c r="J6673" s="417" t="s">
        <v>15692</v>
      </c>
      <c r="K6673" s="417" t="s">
        <v>15819</v>
      </c>
      <c r="L6673" s="417"/>
      <c r="M6673" s="417" t="s">
        <v>28840</v>
      </c>
    </row>
    <row r="6674" spans="1:13" x14ac:dyDescent="0.25">
      <c r="A6674" s="417" t="s">
        <v>3385</v>
      </c>
      <c r="B6674" s="417" t="s">
        <v>2627</v>
      </c>
      <c r="C6674" s="417" t="s">
        <v>15820</v>
      </c>
      <c r="D6674" s="417" t="s">
        <v>73</v>
      </c>
      <c r="E6674" s="423">
        <v>1.3537934497307891E-2</v>
      </c>
      <c r="F6674" s="423">
        <v>6.0503381371648088E-5</v>
      </c>
      <c r="G6674" s="422">
        <v>27.074575794113649</v>
      </c>
      <c r="H6674" s="417" t="s">
        <v>2616</v>
      </c>
      <c r="I6674" s="417" t="s">
        <v>1392</v>
      </c>
      <c r="J6674" s="417" t="s">
        <v>15692</v>
      </c>
      <c r="K6674" s="417" t="s">
        <v>15821</v>
      </c>
      <c r="L6674" s="417"/>
      <c r="M6674" s="417" t="s">
        <v>28840</v>
      </c>
    </row>
    <row r="6675" spans="1:13" x14ac:dyDescent="0.25">
      <c r="A6675" s="417" t="s">
        <v>3385</v>
      </c>
      <c r="B6675" s="417" t="s">
        <v>2627</v>
      </c>
      <c r="C6675" s="417" t="s">
        <v>15822</v>
      </c>
      <c r="D6675" s="417" t="s">
        <v>73</v>
      </c>
      <c r="E6675" s="423">
        <v>7.5053554011381253E-3</v>
      </c>
      <c r="F6675" s="423">
        <v>5.2215447504822811E-5</v>
      </c>
      <c r="G6675" s="422">
        <v>19.930384514026692</v>
      </c>
      <c r="H6675" s="417" t="s">
        <v>2616</v>
      </c>
      <c r="I6675" s="417" t="s">
        <v>1392</v>
      </c>
      <c r="J6675" s="417" t="s">
        <v>15692</v>
      </c>
      <c r="K6675" s="417" t="s">
        <v>15823</v>
      </c>
      <c r="L6675" s="417"/>
      <c r="M6675" s="417" t="s">
        <v>28840</v>
      </c>
    </row>
    <row r="6676" spans="1:13" x14ac:dyDescent="0.25">
      <c r="A6676" s="417" t="s">
        <v>3385</v>
      </c>
      <c r="B6676" s="417" t="s">
        <v>2627</v>
      </c>
      <c r="C6676" s="417" t="s">
        <v>15824</v>
      </c>
      <c r="D6676" s="417" t="s">
        <v>73</v>
      </c>
      <c r="E6676" s="423">
        <v>7.5279276568783436E-3</v>
      </c>
      <c r="F6676" s="423">
        <v>5.2245986989648138E-5</v>
      </c>
      <c r="G6676" s="422">
        <v>19.95705621993234</v>
      </c>
      <c r="H6676" s="417" t="s">
        <v>2616</v>
      </c>
      <c r="I6676" s="417" t="s">
        <v>1392</v>
      </c>
      <c r="J6676" s="417" t="s">
        <v>15692</v>
      </c>
      <c r="K6676" s="417" t="s">
        <v>15825</v>
      </c>
      <c r="L6676" s="417"/>
      <c r="M6676" s="417" t="s">
        <v>28840</v>
      </c>
    </row>
    <row r="6677" spans="1:13" x14ac:dyDescent="0.25">
      <c r="A6677" s="417" t="s">
        <v>3385</v>
      </c>
      <c r="B6677" s="417" t="s">
        <v>2627</v>
      </c>
      <c r="C6677" s="417" t="s">
        <v>15826</v>
      </c>
      <c r="D6677" s="417" t="s">
        <v>73</v>
      </c>
      <c r="E6677" s="423">
        <v>7.1269046705611429E-3</v>
      </c>
      <c r="F6677" s="423">
        <v>6.0649522175415783E-5</v>
      </c>
      <c r="G6677" s="422">
        <v>20.054784215648631</v>
      </c>
      <c r="H6677" s="417" t="s">
        <v>2616</v>
      </c>
      <c r="I6677" s="417" t="s">
        <v>1392</v>
      </c>
      <c r="J6677" s="417" t="s">
        <v>15692</v>
      </c>
      <c r="K6677" s="417" t="s">
        <v>15827</v>
      </c>
      <c r="L6677" s="417"/>
      <c r="M6677" s="417" t="s">
        <v>28840</v>
      </c>
    </row>
    <row r="6678" spans="1:13" x14ac:dyDescent="0.25">
      <c r="A6678" s="417" t="s">
        <v>3385</v>
      </c>
      <c r="B6678" s="417" t="s">
        <v>2627</v>
      </c>
      <c r="C6678" s="417" t="s">
        <v>15828</v>
      </c>
      <c r="D6678" s="417" t="s">
        <v>73</v>
      </c>
      <c r="E6678" s="423">
        <v>1.6457024577272251E-2</v>
      </c>
      <c r="F6678" s="423">
        <v>3.0795935885243422E-4</v>
      </c>
      <c r="G6678" s="422">
        <v>33.776044398380932</v>
      </c>
      <c r="H6678" s="417" t="s">
        <v>2616</v>
      </c>
      <c r="I6678" s="417" t="s">
        <v>1392</v>
      </c>
      <c r="J6678" s="417" t="s">
        <v>15692</v>
      </c>
      <c r="K6678" s="417" t="s">
        <v>15829</v>
      </c>
      <c r="L6678" s="417"/>
      <c r="M6678" s="417" t="s">
        <v>28840</v>
      </c>
    </row>
    <row r="6679" spans="1:13" x14ac:dyDescent="0.25">
      <c r="A6679" s="417" t="s">
        <v>3385</v>
      </c>
      <c r="B6679" s="417" t="s">
        <v>2627</v>
      </c>
      <c r="C6679" s="417" t="s">
        <v>15830</v>
      </c>
      <c r="D6679" s="417" t="s">
        <v>73</v>
      </c>
      <c r="E6679" s="423">
        <v>1.6457024577272251E-2</v>
      </c>
      <c r="F6679" s="423">
        <v>3.0795935885243422E-4</v>
      </c>
      <c r="G6679" s="422">
        <v>33.776044398380932</v>
      </c>
      <c r="H6679" s="417" t="s">
        <v>2616</v>
      </c>
      <c r="I6679" s="417" t="s">
        <v>1392</v>
      </c>
      <c r="J6679" s="417" t="s">
        <v>15692</v>
      </c>
      <c r="K6679" s="417" t="s">
        <v>15831</v>
      </c>
      <c r="L6679" s="417"/>
      <c r="M6679" s="417" t="s">
        <v>28840</v>
      </c>
    </row>
    <row r="6680" spans="1:13" x14ac:dyDescent="0.25">
      <c r="A6680" s="417" t="s">
        <v>3385</v>
      </c>
      <c r="B6680" s="417" t="s">
        <v>2627</v>
      </c>
      <c r="C6680" s="417" t="s">
        <v>15832</v>
      </c>
      <c r="D6680" s="417" t="s">
        <v>73</v>
      </c>
      <c r="E6680" s="423">
        <v>1.6457024577272251E-2</v>
      </c>
      <c r="F6680" s="423">
        <v>3.0795935885243422E-4</v>
      </c>
      <c r="G6680" s="422">
        <v>33.776044398380932</v>
      </c>
      <c r="H6680" s="417" t="s">
        <v>2616</v>
      </c>
      <c r="I6680" s="417" t="s">
        <v>1392</v>
      </c>
      <c r="J6680" s="417" t="s">
        <v>15692</v>
      </c>
      <c r="K6680" s="417" t="s">
        <v>15833</v>
      </c>
      <c r="L6680" s="417"/>
      <c r="M6680" s="417" t="s">
        <v>28840</v>
      </c>
    </row>
    <row r="6681" spans="1:13" x14ac:dyDescent="0.25">
      <c r="A6681" s="417" t="s">
        <v>3385</v>
      </c>
      <c r="B6681" s="417" t="s">
        <v>2627</v>
      </c>
      <c r="C6681" s="417" t="s">
        <v>15834</v>
      </c>
      <c r="D6681" s="417" t="s">
        <v>73</v>
      </c>
      <c r="E6681" s="423">
        <v>1.6457024577272251E-2</v>
      </c>
      <c r="F6681" s="423">
        <v>3.0795935885243422E-4</v>
      </c>
      <c r="G6681" s="422">
        <v>33.776044398380932</v>
      </c>
      <c r="H6681" s="417" t="s">
        <v>2616</v>
      </c>
      <c r="I6681" s="417" t="s">
        <v>1392</v>
      </c>
      <c r="J6681" s="417" t="s">
        <v>15692</v>
      </c>
      <c r="K6681" s="417" t="s">
        <v>15835</v>
      </c>
      <c r="L6681" s="417"/>
      <c r="M6681" s="417" t="s">
        <v>28840</v>
      </c>
    </row>
    <row r="6682" spans="1:13" x14ac:dyDescent="0.25">
      <c r="A6682" s="417" t="s">
        <v>3385</v>
      </c>
      <c r="B6682" s="417" t="s">
        <v>2627</v>
      </c>
      <c r="C6682" s="417" t="s">
        <v>15836</v>
      </c>
      <c r="D6682" s="417" t="s">
        <v>73</v>
      </c>
      <c r="E6682" s="423">
        <v>1.6457024577272251E-2</v>
      </c>
      <c r="F6682" s="423">
        <v>3.0795935885243422E-4</v>
      </c>
      <c r="G6682" s="422">
        <v>33.776044398380932</v>
      </c>
      <c r="H6682" s="417" t="s">
        <v>2616</v>
      </c>
      <c r="I6682" s="417" t="s">
        <v>1392</v>
      </c>
      <c r="J6682" s="417" t="s">
        <v>15692</v>
      </c>
      <c r="K6682" s="417" t="s">
        <v>15837</v>
      </c>
      <c r="L6682" s="417"/>
      <c r="M6682" s="417" t="s">
        <v>28840</v>
      </c>
    </row>
    <row r="6683" spans="1:13" x14ac:dyDescent="0.25">
      <c r="A6683" s="417" t="s">
        <v>3385</v>
      </c>
      <c r="B6683" s="417" t="s">
        <v>2627</v>
      </c>
      <c r="C6683" s="417" t="s">
        <v>15838</v>
      </c>
      <c r="D6683" s="417" t="s">
        <v>73</v>
      </c>
      <c r="E6683" s="423">
        <v>1.6457024577272251E-2</v>
      </c>
      <c r="F6683" s="423">
        <v>3.0795935885243422E-4</v>
      </c>
      <c r="G6683" s="422">
        <v>33.776044398380932</v>
      </c>
      <c r="H6683" s="417" t="s">
        <v>2616</v>
      </c>
      <c r="I6683" s="417" t="s">
        <v>1392</v>
      </c>
      <c r="J6683" s="417" t="s">
        <v>15692</v>
      </c>
      <c r="K6683" s="417" t="s">
        <v>15839</v>
      </c>
      <c r="L6683" s="417"/>
      <c r="M6683" s="417" t="s">
        <v>28840</v>
      </c>
    </row>
    <row r="6684" spans="1:13" x14ac:dyDescent="0.25">
      <c r="A6684" s="417" t="s">
        <v>3385</v>
      </c>
      <c r="B6684" s="417" t="s">
        <v>2627</v>
      </c>
      <c r="C6684" s="417" t="s">
        <v>15840</v>
      </c>
      <c r="D6684" s="417" t="s">
        <v>73</v>
      </c>
      <c r="E6684" s="423">
        <v>1.6457024577272251E-2</v>
      </c>
      <c r="F6684" s="423">
        <v>3.0795935885243422E-4</v>
      </c>
      <c r="G6684" s="422">
        <v>33.776044398380932</v>
      </c>
      <c r="H6684" s="417" t="s">
        <v>2616</v>
      </c>
      <c r="I6684" s="417" t="s">
        <v>1392</v>
      </c>
      <c r="J6684" s="417" t="s">
        <v>15692</v>
      </c>
      <c r="K6684" s="417" t="s">
        <v>15841</v>
      </c>
      <c r="L6684" s="417"/>
      <c r="M6684" s="417" t="s">
        <v>28840</v>
      </c>
    </row>
    <row r="6685" spans="1:13" x14ac:dyDescent="0.25">
      <c r="A6685" s="417" t="s">
        <v>3385</v>
      </c>
      <c r="B6685" s="417" t="s">
        <v>2627</v>
      </c>
      <c r="C6685" s="417" t="s">
        <v>15842</v>
      </c>
      <c r="D6685" s="417" t="s">
        <v>73</v>
      </c>
      <c r="E6685" s="423">
        <v>2.1435130211596031E-4</v>
      </c>
      <c r="F6685" s="423">
        <v>2.2553338235512711E-7</v>
      </c>
      <c r="G6685" s="422">
        <v>0.25910364521251578</v>
      </c>
      <c r="H6685" s="417" t="s">
        <v>2616</v>
      </c>
      <c r="I6685" s="417" t="s">
        <v>1392</v>
      </c>
      <c r="J6685" s="417" t="s">
        <v>15692</v>
      </c>
      <c r="K6685" s="417" t="s">
        <v>15843</v>
      </c>
      <c r="L6685" s="417"/>
      <c r="M6685" s="417" t="s">
        <v>28840</v>
      </c>
    </row>
    <row r="6686" spans="1:13" x14ac:dyDescent="0.25">
      <c r="A6686" s="417" t="s">
        <v>3385</v>
      </c>
      <c r="B6686" s="417" t="s">
        <v>2627</v>
      </c>
      <c r="C6686" s="417" t="s">
        <v>15844</v>
      </c>
      <c r="D6686" s="417" t="s">
        <v>73</v>
      </c>
      <c r="E6686" s="423">
        <v>2.1435130211596031E-4</v>
      </c>
      <c r="F6686" s="423">
        <v>2.2553338235512711E-7</v>
      </c>
      <c r="G6686" s="422">
        <v>0.25910364521251578</v>
      </c>
      <c r="H6686" s="417" t="s">
        <v>2616</v>
      </c>
      <c r="I6686" s="417" t="s">
        <v>1392</v>
      </c>
      <c r="J6686" s="417" t="s">
        <v>15692</v>
      </c>
      <c r="K6686" s="417" t="s">
        <v>15845</v>
      </c>
      <c r="L6686" s="417"/>
      <c r="M6686" s="417" t="s">
        <v>28840</v>
      </c>
    </row>
    <row r="6687" spans="1:13" x14ac:dyDescent="0.25">
      <c r="A6687" s="417" t="s">
        <v>3385</v>
      </c>
      <c r="B6687" s="417" t="s">
        <v>2627</v>
      </c>
      <c r="C6687" s="417" t="s">
        <v>15846</v>
      </c>
      <c r="D6687" s="417" t="s">
        <v>73</v>
      </c>
      <c r="E6687" s="423">
        <v>2.1435130211596031E-4</v>
      </c>
      <c r="F6687" s="423">
        <v>2.2553338235512711E-7</v>
      </c>
      <c r="G6687" s="422">
        <v>0.25910364521251578</v>
      </c>
      <c r="H6687" s="417" t="s">
        <v>2616</v>
      </c>
      <c r="I6687" s="417" t="s">
        <v>1392</v>
      </c>
      <c r="J6687" s="417" t="s">
        <v>15692</v>
      </c>
      <c r="K6687" s="417" t="s">
        <v>15847</v>
      </c>
      <c r="L6687" s="417"/>
      <c r="M6687" s="417" t="s">
        <v>28840</v>
      </c>
    </row>
    <row r="6688" spans="1:13" x14ac:dyDescent="0.25">
      <c r="A6688" s="417" t="s">
        <v>3385</v>
      </c>
      <c r="B6688" s="417" t="s">
        <v>2627</v>
      </c>
      <c r="C6688" s="417" t="s">
        <v>15848</v>
      </c>
      <c r="D6688" s="417" t="s">
        <v>73</v>
      </c>
      <c r="E6688" s="423">
        <v>9.6321083117997825E-3</v>
      </c>
      <c r="F6688" s="423">
        <v>5.2230834063624061E-5</v>
      </c>
      <c r="G6688" s="422">
        <v>22.225549999370489</v>
      </c>
      <c r="H6688" s="417" t="s">
        <v>2616</v>
      </c>
      <c r="I6688" s="417" t="s">
        <v>1392</v>
      </c>
      <c r="J6688" s="417" t="s">
        <v>15692</v>
      </c>
      <c r="K6688" s="417" t="s">
        <v>15849</v>
      </c>
      <c r="L6688" s="417"/>
      <c r="M6688" s="417" t="s">
        <v>28840</v>
      </c>
    </row>
    <row r="6689" spans="1:13" x14ac:dyDescent="0.25">
      <c r="A6689" s="417" t="s">
        <v>3385</v>
      </c>
      <c r="B6689" s="417" t="s">
        <v>2627</v>
      </c>
      <c r="C6689" s="417" t="s">
        <v>15850</v>
      </c>
      <c r="D6689" s="417" t="s">
        <v>73</v>
      </c>
      <c r="E6689" s="423">
        <v>8.7682453460662928E-3</v>
      </c>
      <c r="F6689" s="423">
        <v>5.0945454657037897E-5</v>
      </c>
      <c r="G6689" s="422">
        <v>21.217435677703939</v>
      </c>
      <c r="H6689" s="417" t="s">
        <v>2616</v>
      </c>
      <c r="I6689" s="417" t="s">
        <v>1392</v>
      </c>
      <c r="J6689" s="417" t="s">
        <v>15692</v>
      </c>
      <c r="K6689" s="417" t="s">
        <v>15851</v>
      </c>
      <c r="L6689" s="417"/>
      <c r="M6689" s="417" t="s">
        <v>28840</v>
      </c>
    </row>
    <row r="6690" spans="1:13" x14ac:dyDescent="0.25">
      <c r="A6690" s="417" t="s">
        <v>3385</v>
      </c>
      <c r="B6690" s="417" t="s">
        <v>2627</v>
      </c>
      <c r="C6690" s="417" t="s">
        <v>15852</v>
      </c>
      <c r="D6690" s="417" t="s">
        <v>73</v>
      </c>
      <c r="E6690" s="423">
        <v>1.586566400271449E-2</v>
      </c>
      <c r="F6690" s="423">
        <v>6.0922324334757887E-5</v>
      </c>
      <c r="G6690" s="422">
        <v>29.583442262505059</v>
      </c>
      <c r="H6690" s="417" t="s">
        <v>2616</v>
      </c>
      <c r="I6690" s="417" t="s">
        <v>1392</v>
      </c>
      <c r="J6690" s="417" t="s">
        <v>15692</v>
      </c>
      <c r="K6690" s="417" t="s">
        <v>15853</v>
      </c>
      <c r="L6690" s="417"/>
      <c r="M6690" s="417" t="s">
        <v>28840</v>
      </c>
    </row>
    <row r="6691" spans="1:13" x14ac:dyDescent="0.25">
      <c r="A6691" s="417" t="s">
        <v>3385</v>
      </c>
      <c r="B6691" s="417" t="s">
        <v>2627</v>
      </c>
      <c r="C6691" s="417" t="s">
        <v>15854</v>
      </c>
      <c r="D6691" s="417" t="s">
        <v>73</v>
      </c>
      <c r="E6691" s="423">
        <v>1.586566400271449E-2</v>
      </c>
      <c r="F6691" s="423">
        <v>6.0922324334757887E-5</v>
      </c>
      <c r="G6691" s="422">
        <v>29.583442262505059</v>
      </c>
      <c r="H6691" s="417" t="s">
        <v>2616</v>
      </c>
      <c r="I6691" s="417" t="s">
        <v>1392</v>
      </c>
      <c r="J6691" s="417" t="s">
        <v>15692</v>
      </c>
      <c r="K6691" s="417" t="s">
        <v>15855</v>
      </c>
      <c r="L6691" s="417"/>
      <c r="M6691" s="417" t="s">
        <v>28840</v>
      </c>
    </row>
    <row r="6692" spans="1:13" x14ac:dyDescent="0.25">
      <c r="A6692" s="417" t="s">
        <v>3385</v>
      </c>
      <c r="B6692" s="417" t="s">
        <v>2627</v>
      </c>
      <c r="C6692" s="417" t="s">
        <v>15856</v>
      </c>
      <c r="D6692" s="417" t="s">
        <v>73</v>
      </c>
      <c r="E6692" s="423">
        <v>1.586566400271449E-2</v>
      </c>
      <c r="F6692" s="423">
        <v>6.0922324334757887E-5</v>
      </c>
      <c r="G6692" s="422">
        <v>29.583442262505059</v>
      </c>
      <c r="H6692" s="417" t="s">
        <v>2616</v>
      </c>
      <c r="I6692" s="417" t="s">
        <v>1392</v>
      </c>
      <c r="J6692" s="417" t="s">
        <v>15692</v>
      </c>
      <c r="K6692" s="417" t="s">
        <v>15857</v>
      </c>
      <c r="L6692" s="417"/>
      <c r="M6692" s="417" t="s">
        <v>28840</v>
      </c>
    </row>
    <row r="6693" spans="1:13" x14ac:dyDescent="0.25">
      <c r="A6693" s="417" t="s">
        <v>3385</v>
      </c>
      <c r="B6693" s="417" t="s">
        <v>2627</v>
      </c>
      <c r="C6693" s="417" t="s">
        <v>15858</v>
      </c>
      <c r="D6693" s="417" t="s">
        <v>73</v>
      </c>
      <c r="E6693" s="423">
        <v>7.5876698451013578E-3</v>
      </c>
      <c r="F6693" s="423">
        <v>4.3096881921889252E-5</v>
      </c>
      <c r="G6693" s="422">
        <v>19.817826133775739</v>
      </c>
      <c r="H6693" s="417" t="s">
        <v>2616</v>
      </c>
      <c r="I6693" s="417" t="s">
        <v>1392</v>
      </c>
      <c r="J6693" s="417" t="s">
        <v>15692</v>
      </c>
      <c r="K6693" s="417" t="s">
        <v>15859</v>
      </c>
      <c r="L6693" s="417"/>
      <c r="M6693" s="417" t="s">
        <v>28840</v>
      </c>
    </row>
    <row r="6694" spans="1:13" x14ac:dyDescent="0.25">
      <c r="A6694" s="417" t="s">
        <v>3385</v>
      </c>
      <c r="B6694" s="417" t="s">
        <v>2627</v>
      </c>
      <c r="C6694" s="417" t="s">
        <v>15860</v>
      </c>
      <c r="D6694" s="417" t="s">
        <v>73</v>
      </c>
      <c r="E6694" s="423">
        <v>7.4370826449801234E-3</v>
      </c>
      <c r="F6694" s="423">
        <v>4.2931313658061857E-5</v>
      </c>
      <c r="G6694" s="422">
        <v>19.627886146025801</v>
      </c>
      <c r="H6694" s="417" t="s">
        <v>2616</v>
      </c>
      <c r="I6694" s="417" t="s">
        <v>1392</v>
      </c>
      <c r="J6694" s="417" t="s">
        <v>15692</v>
      </c>
      <c r="K6694" s="417" t="s">
        <v>15861</v>
      </c>
      <c r="L6694" s="417"/>
      <c r="M6694" s="417" t="s">
        <v>28840</v>
      </c>
    </row>
    <row r="6695" spans="1:13" x14ac:dyDescent="0.25">
      <c r="A6695" s="417" t="s">
        <v>3385</v>
      </c>
      <c r="B6695" s="417" t="s">
        <v>2627</v>
      </c>
      <c r="C6695" s="417" t="s">
        <v>15862</v>
      </c>
      <c r="D6695" s="417" t="s">
        <v>73</v>
      </c>
      <c r="E6695" s="423">
        <v>7.4370826449801234E-3</v>
      </c>
      <c r="F6695" s="423">
        <v>4.2931313658061857E-5</v>
      </c>
      <c r="G6695" s="422">
        <v>19.627886146025801</v>
      </c>
      <c r="H6695" s="417" t="s">
        <v>2616</v>
      </c>
      <c r="I6695" s="417" t="s">
        <v>1392</v>
      </c>
      <c r="J6695" s="417" t="s">
        <v>15692</v>
      </c>
      <c r="K6695" s="417" t="s">
        <v>15863</v>
      </c>
      <c r="L6695" s="417"/>
      <c r="M6695" s="417" t="s">
        <v>28840</v>
      </c>
    </row>
    <row r="6696" spans="1:13" x14ac:dyDescent="0.25">
      <c r="A6696" s="417" t="s">
        <v>3385</v>
      </c>
      <c r="B6696" s="417" t="s">
        <v>2627</v>
      </c>
      <c r="C6696" s="417" t="s">
        <v>15864</v>
      </c>
      <c r="D6696" s="417" t="s">
        <v>73</v>
      </c>
      <c r="E6696" s="423">
        <v>8.1575979352570896E-3</v>
      </c>
      <c r="F6696" s="423">
        <v>9.3469490102930511E-5</v>
      </c>
      <c r="G6696" s="422">
        <v>21.872086542699471</v>
      </c>
      <c r="H6696" s="417" t="s">
        <v>2616</v>
      </c>
      <c r="I6696" s="417" t="s">
        <v>1392</v>
      </c>
      <c r="J6696" s="417" t="s">
        <v>15692</v>
      </c>
      <c r="K6696" s="417" t="s">
        <v>15865</v>
      </c>
      <c r="L6696" s="417"/>
      <c r="M6696" s="417" t="s">
        <v>28840</v>
      </c>
    </row>
    <row r="6697" spans="1:13" x14ac:dyDescent="0.25">
      <c r="A6697" s="417" t="s">
        <v>3385</v>
      </c>
      <c r="B6697" s="417" t="s">
        <v>2627</v>
      </c>
      <c r="C6697" s="417" t="s">
        <v>15866</v>
      </c>
      <c r="D6697" s="417" t="s">
        <v>73</v>
      </c>
      <c r="E6697" s="423">
        <v>1.0166075754615001E-2</v>
      </c>
      <c r="F6697" s="423">
        <v>1.02626175147047E-4</v>
      </c>
      <c r="G6697" s="422">
        <v>24.472654057144439</v>
      </c>
      <c r="H6697" s="417" t="s">
        <v>2616</v>
      </c>
      <c r="I6697" s="417" t="s">
        <v>1392</v>
      </c>
      <c r="J6697" s="417" t="s">
        <v>15692</v>
      </c>
      <c r="K6697" s="417" t="s">
        <v>15867</v>
      </c>
      <c r="L6697" s="417"/>
      <c r="M6697" s="417" t="s">
        <v>28840</v>
      </c>
    </row>
    <row r="6698" spans="1:13" x14ac:dyDescent="0.25">
      <c r="A6698" s="417" t="s">
        <v>3385</v>
      </c>
      <c r="B6698" s="417" t="s">
        <v>2627</v>
      </c>
      <c r="C6698" s="417" t="s">
        <v>15868</v>
      </c>
      <c r="D6698" s="417" t="s">
        <v>73</v>
      </c>
      <c r="E6698" s="423">
        <v>1.0166075754615001E-2</v>
      </c>
      <c r="F6698" s="423">
        <v>1.02626175147047E-4</v>
      </c>
      <c r="G6698" s="422">
        <v>24.472654057144439</v>
      </c>
      <c r="H6698" s="417" t="s">
        <v>2616</v>
      </c>
      <c r="I6698" s="417" t="s">
        <v>1392</v>
      </c>
      <c r="J6698" s="417" t="s">
        <v>15692</v>
      </c>
      <c r="K6698" s="417" t="s">
        <v>15869</v>
      </c>
      <c r="L6698" s="417"/>
      <c r="M6698" s="417" t="s">
        <v>28840</v>
      </c>
    </row>
    <row r="6699" spans="1:13" x14ac:dyDescent="0.25">
      <c r="A6699" s="417" t="s">
        <v>3385</v>
      </c>
      <c r="B6699" s="417" t="s">
        <v>2627</v>
      </c>
      <c r="C6699" s="417" t="s">
        <v>15870</v>
      </c>
      <c r="D6699" s="417" t="s">
        <v>73</v>
      </c>
      <c r="E6699" s="423">
        <v>1.0166075754615001E-2</v>
      </c>
      <c r="F6699" s="423">
        <v>1.02626175147047E-4</v>
      </c>
      <c r="G6699" s="422">
        <v>24.472654057144439</v>
      </c>
      <c r="H6699" s="417" t="s">
        <v>2616</v>
      </c>
      <c r="I6699" s="417" t="s">
        <v>1392</v>
      </c>
      <c r="J6699" s="417" t="s">
        <v>15692</v>
      </c>
      <c r="K6699" s="417" t="s">
        <v>15871</v>
      </c>
      <c r="L6699" s="417"/>
      <c r="M6699" s="417" t="s">
        <v>28840</v>
      </c>
    </row>
    <row r="6700" spans="1:13" x14ac:dyDescent="0.25">
      <c r="A6700" s="417" t="s">
        <v>3385</v>
      </c>
      <c r="B6700" s="417" t="s">
        <v>2627</v>
      </c>
      <c r="C6700" s="417" t="s">
        <v>15872</v>
      </c>
      <c r="D6700" s="417" t="s">
        <v>73</v>
      </c>
      <c r="E6700" s="423">
        <v>1.8346166405986731E-2</v>
      </c>
      <c r="F6700" s="423">
        <v>3.0429639130069829E-4</v>
      </c>
      <c r="G6700" s="422">
        <v>36.043846260294423</v>
      </c>
      <c r="H6700" s="417" t="s">
        <v>2616</v>
      </c>
      <c r="I6700" s="417" t="s">
        <v>1392</v>
      </c>
      <c r="J6700" s="417" t="s">
        <v>15692</v>
      </c>
      <c r="K6700" s="417" t="s">
        <v>15873</v>
      </c>
      <c r="L6700" s="417"/>
      <c r="M6700" s="417" t="s">
        <v>28840</v>
      </c>
    </row>
    <row r="6701" spans="1:13" x14ac:dyDescent="0.25">
      <c r="A6701" s="417" t="s">
        <v>3385</v>
      </c>
      <c r="B6701" s="417" t="s">
        <v>2627</v>
      </c>
      <c r="C6701" s="417" t="s">
        <v>15874</v>
      </c>
      <c r="D6701" s="417" t="s">
        <v>73</v>
      </c>
      <c r="E6701" s="423">
        <v>1.8346166405986731E-2</v>
      </c>
      <c r="F6701" s="423">
        <v>3.0429639130069829E-4</v>
      </c>
      <c r="G6701" s="422">
        <v>36.043846260294423</v>
      </c>
      <c r="H6701" s="417" t="s">
        <v>2616</v>
      </c>
      <c r="I6701" s="417" t="s">
        <v>1392</v>
      </c>
      <c r="J6701" s="417" t="s">
        <v>15692</v>
      </c>
      <c r="K6701" s="417" t="s">
        <v>15875</v>
      </c>
      <c r="L6701" s="417"/>
      <c r="M6701" s="417" t="s">
        <v>28840</v>
      </c>
    </row>
    <row r="6702" spans="1:13" x14ac:dyDescent="0.25">
      <c r="A6702" s="417" t="s">
        <v>3385</v>
      </c>
      <c r="B6702" s="417" t="s">
        <v>2627</v>
      </c>
      <c r="C6702" s="417" t="s">
        <v>15876</v>
      </c>
      <c r="D6702" s="417" t="s">
        <v>73</v>
      </c>
      <c r="E6702" s="423">
        <v>8.54907582712661E-3</v>
      </c>
      <c r="F6702" s="423">
        <v>1.019615309295403E-4</v>
      </c>
      <c r="G6702" s="422">
        <v>35.545178062615378</v>
      </c>
      <c r="H6702" s="417" t="s">
        <v>2616</v>
      </c>
      <c r="I6702" s="417" t="s">
        <v>1392</v>
      </c>
      <c r="J6702" s="417" t="s">
        <v>15692</v>
      </c>
      <c r="K6702" s="417" t="s">
        <v>15877</v>
      </c>
      <c r="L6702" s="417"/>
      <c r="M6702" s="417" t="s">
        <v>28840</v>
      </c>
    </row>
    <row r="6703" spans="1:13" x14ac:dyDescent="0.25">
      <c r="A6703" s="417" t="s">
        <v>3385</v>
      </c>
      <c r="B6703" s="417" t="s">
        <v>2627</v>
      </c>
      <c r="C6703" s="417" t="s">
        <v>15878</v>
      </c>
      <c r="D6703" s="417" t="s">
        <v>73</v>
      </c>
      <c r="E6703" s="423">
        <v>1.6603319957305709E-2</v>
      </c>
      <c r="F6703" s="423">
        <v>2.0313908788874009E-4</v>
      </c>
      <c r="G6703" s="422">
        <v>41.619730083723141</v>
      </c>
      <c r="H6703" s="417" t="s">
        <v>2616</v>
      </c>
      <c r="I6703" s="417" t="s">
        <v>1392</v>
      </c>
      <c r="J6703" s="417" t="s">
        <v>15692</v>
      </c>
      <c r="K6703" s="417" t="s">
        <v>15879</v>
      </c>
      <c r="L6703" s="417"/>
      <c r="M6703" s="417" t="s">
        <v>28840</v>
      </c>
    </row>
    <row r="6704" spans="1:13" x14ac:dyDescent="0.25">
      <c r="A6704" s="417" t="s">
        <v>3385</v>
      </c>
      <c r="B6704" s="417" t="s">
        <v>2627</v>
      </c>
      <c r="C6704" s="417" t="s">
        <v>15880</v>
      </c>
      <c r="D6704" s="417" t="s">
        <v>73</v>
      </c>
      <c r="E6704" s="423">
        <v>1.6603319957305709E-2</v>
      </c>
      <c r="F6704" s="423">
        <v>2.0313908788874009E-4</v>
      </c>
      <c r="G6704" s="422">
        <v>41.619730083723141</v>
      </c>
      <c r="H6704" s="417" t="s">
        <v>2616</v>
      </c>
      <c r="I6704" s="417" t="s">
        <v>1392</v>
      </c>
      <c r="J6704" s="417" t="s">
        <v>15692</v>
      </c>
      <c r="K6704" s="417" t="s">
        <v>15881</v>
      </c>
      <c r="L6704" s="417"/>
      <c r="M6704" s="417" t="s">
        <v>28840</v>
      </c>
    </row>
    <row r="6705" spans="1:13" x14ac:dyDescent="0.25">
      <c r="A6705" s="417" t="s">
        <v>3385</v>
      </c>
      <c r="B6705" s="417" t="s">
        <v>2627</v>
      </c>
      <c r="C6705" s="417" t="s">
        <v>15882</v>
      </c>
      <c r="D6705" s="417" t="s">
        <v>73</v>
      </c>
      <c r="E6705" s="423">
        <v>6.3147675283431468E-3</v>
      </c>
      <c r="F6705" s="423">
        <v>4.9145335200376819E-5</v>
      </c>
      <c r="G6705" s="422">
        <v>18.243231759169021</v>
      </c>
      <c r="H6705" s="417" t="s">
        <v>2616</v>
      </c>
      <c r="I6705" s="417" t="s">
        <v>1392</v>
      </c>
      <c r="J6705" s="417" t="s">
        <v>15692</v>
      </c>
      <c r="K6705" s="417" t="s">
        <v>15883</v>
      </c>
      <c r="L6705" s="417"/>
      <c r="M6705" s="417" t="s">
        <v>28840</v>
      </c>
    </row>
    <row r="6706" spans="1:13" x14ac:dyDescent="0.25">
      <c r="A6706" s="417" t="s">
        <v>3385</v>
      </c>
      <c r="B6706" s="417" t="s">
        <v>2627</v>
      </c>
      <c r="C6706" s="417" t="s">
        <v>15884</v>
      </c>
      <c r="D6706" s="417" t="s">
        <v>73</v>
      </c>
      <c r="E6706" s="423">
        <v>6.3147675283431468E-3</v>
      </c>
      <c r="F6706" s="423">
        <v>4.9145335200376819E-5</v>
      </c>
      <c r="G6706" s="422">
        <v>18.243231759169021</v>
      </c>
      <c r="H6706" s="417" t="s">
        <v>2616</v>
      </c>
      <c r="I6706" s="417" t="s">
        <v>1392</v>
      </c>
      <c r="J6706" s="417" t="s">
        <v>15692</v>
      </c>
      <c r="K6706" s="417" t="s">
        <v>15885</v>
      </c>
      <c r="L6706" s="417"/>
      <c r="M6706" s="417" t="s">
        <v>28840</v>
      </c>
    </row>
    <row r="6707" spans="1:13" x14ac:dyDescent="0.25">
      <c r="A6707" s="417" t="s">
        <v>3385</v>
      </c>
      <c r="B6707" s="417" t="s">
        <v>2627</v>
      </c>
      <c r="C6707" s="417" t="s">
        <v>15886</v>
      </c>
      <c r="D6707" s="417" t="s">
        <v>73</v>
      </c>
      <c r="E6707" s="423">
        <v>1.952957079180795E-4</v>
      </c>
      <c r="F6707" s="423">
        <v>1.137968883108989E-7</v>
      </c>
      <c r="G6707" s="422">
        <v>0.23513793843704381</v>
      </c>
      <c r="H6707" s="417" t="s">
        <v>2616</v>
      </c>
      <c r="I6707" s="417" t="s">
        <v>1392</v>
      </c>
      <c r="J6707" s="417" t="s">
        <v>15692</v>
      </c>
      <c r="K6707" s="417" t="s">
        <v>15887</v>
      </c>
      <c r="L6707" s="417"/>
      <c r="M6707" s="417" t="s">
        <v>28840</v>
      </c>
    </row>
    <row r="6708" spans="1:13" x14ac:dyDescent="0.25">
      <c r="A6708" s="417" t="s">
        <v>3385</v>
      </c>
      <c r="B6708" s="417" t="s">
        <v>2627</v>
      </c>
      <c r="C6708" s="417" t="s">
        <v>15888</v>
      </c>
      <c r="D6708" s="417" t="s">
        <v>73</v>
      </c>
      <c r="E6708" s="423">
        <v>1.952957079180795E-4</v>
      </c>
      <c r="F6708" s="423">
        <v>1.137968883108989E-7</v>
      </c>
      <c r="G6708" s="422">
        <v>0.23513793843704381</v>
      </c>
      <c r="H6708" s="417" t="s">
        <v>2616</v>
      </c>
      <c r="I6708" s="417" t="s">
        <v>1392</v>
      </c>
      <c r="J6708" s="417" t="s">
        <v>15692</v>
      </c>
      <c r="K6708" s="417" t="s">
        <v>15889</v>
      </c>
      <c r="L6708" s="417"/>
      <c r="M6708" s="417" t="s">
        <v>28840</v>
      </c>
    </row>
    <row r="6709" spans="1:13" x14ac:dyDescent="0.25">
      <c r="A6709" s="417" t="s">
        <v>3385</v>
      </c>
      <c r="B6709" s="417" t="s">
        <v>2627</v>
      </c>
      <c r="C6709" s="417" t="s">
        <v>15890</v>
      </c>
      <c r="D6709" s="417" t="s">
        <v>73</v>
      </c>
      <c r="E6709" s="423">
        <v>1.952957079180795E-4</v>
      </c>
      <c r="F6709" s="423">
        <v>1.137968883108989E-7</v>
      </c>
      <c r="G6709" s="422">
        <v>0.23513793843704381</v>
      </c>
      <c r="H6709" s="417" t="s">
        <v>2616</v>
      </c>
      <c r="I6709" s="417" t="s">
        <v>1392</v>
      </c>
      <c r="J6709" s="417" t="s">
        <v>15692</v>
      </c>
      <c r="K6709" s="417" t="s">
        <v>15891</v>
      </c>
      <c r="L6709" s="417"/>
      <c r="M6709" s="417" t="s">
        <v>28840</v>
      </c>
    </row>
    <row r="6710" spans="1:13" x14ac:dyDescent="0.25">
      <c r="A6710" s="417" t="s">
        <v>3385</v>
      </c>
      <c r="B6710" s="417" t="s">
        <v>2627</v>
      </c>
      <c r="C6710" s="417" t="s">
        <v>15892</v>
      </c>
      <c r="D6710" s="417" t="s">
        <v>73</v>
      </c>
      <c r="E6710" s="423">
        <v>1.198278245320852E-2</v>
      </c>
      <c r="F6710" s="423">
        <v>2.154626765429551E-4</v>
      </c>
      <c r="G6710" s="422">
        <v>27.19645887896317</v>
      </c>
      <c r="H6710" s="417" t="s">
        <v>2616</v>
      </c>
      <c r="I6710" s="417" t="s">
        <v>1392</v>
      </c>
      <c r="J6710" s="417" t="s">
        <v>15692</v>
      </c>
      <c r="K6710" s="417" t="s">
        <v>15893</v>
      </c>
      <c r="L6710" s="417"/>
      <c r="M6710" s="417" t="s">
        <v>28840</v>
      </c>
    </row>
    <row r="6711" spans="1:13" x14ac:dyDescent="0.25">
      <c r="A6711" s="417" t="s">
        <v>3385</v>
      </c>
      <c r="B6711" s="417" t="s">
        <v>2627</v>
      </c>
      <c r="C6711" s="417" t="s">
        <v>15894</v>
      </c>
      <c r="D6711" s="417" t="s">
        <v>73</v>
      </c>
      <c r="E6711" s="423">
        <v>1.198278245320852E-2</v>
      </c>
      <c r="F6711" s="423">
        <v>2.154626765429551E-4</v>
      </c>
      <c r="G6711" s="422">
        <v>27.19645887896317</v>
      </c>
      <c r="H6711" s="417" t="s">
        <v>2616</v>
      </c>
      <c r="I6711" s="417" t="s">
        <v>1392</v>
      </c>
      <c r="J6711" s="417" t="s">
        <v>15692</v>
      </c>
      <c r="K6711" s="417" t="s">
        <v>15895</v>
      </c>
      <c r="L6711" s="417"/>
      <c r="M6711" s="417" t="s">
        <v>28840</v>
      </c>
    </row>
    <row r="6712" spans="1:13" x14ac:dyDescent="0.25">
      <c r="A6712" s="417" t="s">
        <v>3385</v>
      </c>
      <c r="B6712" s="417" t="s">
        <v>2627</v>
      </c>
      <c r="C6712" s="417" t="s">
        <v>15896</v>
      </c>
      <c r="D6712" s="417" t="s">
        <v>73</v>
      </c>
      <c r="E6712" s="423">
        <v>1.198278245320852E-2</v>
      </c>
      <c r="F6712" s="423">
        <v>2.154626765429551E-4</v>
      </c>
      <c r="G6712" s="422">
        <v>27.19645887896317</v>
      </c>
      <c r="H6712" s="417" t="s">
        <v>2616</v>
      </c>
      <c r="I6712" s="417" t="s">
        <v>1392</v>
      </c>
      <c r="J6712" s="417" t="s">
        <v>15692</v>
      </c>
      <c r="K6712" s="417" t="s">
        <v>15897</v>
      </c>
      <c r="L6712" s="417"/>
      <c r="M6712" s="417" t="s">
        <v>28840</v>
      </c>
    </row>
    <row r="6713" spans="1:13" x14ac:dyDescent="0.25">
      <c r="A6713" s="417" t="s">
        <v>3385</v>
      </c>
      <c r="B6713" s="417" t="s">
        <v>2627</v>
      </c>
      <c r="C6713" s="417" t="s">
        <v>15898</v>
      </c>
      <c r="D6713" s="417" t="s">
        <v>73</v>
      </c>
      <c r="E6713" s="423">
        <v>5.7852429699511822E-3</v>
      </c>
      <c r="F6713" s="423">
        <v>7.7854818209910337E-5</v>
      </c>
      <c r="G6713" s="422">
        <v>18.141487629587239</v>
      </c>
      <c r="H6713" s="417" t="s">
        <v>2616</v>
      </c>
      <c r="I6713" s="417" t="s">
        <v>1392</v>
      </c>
      <c r="J6713" s="417" t="s">
        <v>15692</v>
      </c>
      <c r="K6713" s="417" t="s">
        <v>15899</v>
      </c>
      <c r="L6713" s="417"/>
      <c r="M6713" s="417" t="s">
        <v>28840</v>
      </c>
    </row>
    <row r="6714" spans="1:13" x14ac:dyDescent="0.25">
      <c r="A6714" s="417" t="s">
        <v>3385</v>
      </c>
      <c r="B6714" s="417" t="s">
        <v>2627</v>
      </c>
      <c r="C6714" s="417" t="s">
        <v>15900</v>
      </c>
      <c r="D6714" s="417" t="s">
        <v>73</v>
      </c>
      <c r="E6714" s="423">
        <v>1.198278245320852E-2</v>
      </c>
      <c r="F6714" s="423">
        <v>2.154626765429551E-4</v>
      </c>
      <c r="G6714" s="422">
        <v>27.19645887896317</v>
      </c>
      <c r="H6714" s="417" t="s">
        <v>2616</v>
      </c>
      <c r="I6714" s="417" t="s">
        <v>1392</v>
      </c>
      <c r="J6714" s="417" t="s">
        <v>15692</v>
      </c>
      <c r="K6714" s="417" t="s">
        <v>15901</v>
      </c>
      <c r="L6714" s="417"/>
      <c r="M6714" s="417" t="s">
        <v>28840</v>
      </c>
    </row>
    <row r="6715" spans="1:13" x14ac:dyDescent="0.25">
      <c r="A6715" s="417" t="s">
        <v>3385</v>
      </c>
      <c r="B6715" s="417" t="s">
        <v>2627</v>
      </c>
      <c r="C6715" s="417" t="s">
        <v>15902</v>
      </c>
      <c r="D6715" s="417" t="s">
        <v>73</v>
      </c>
      <c r="E6715" s="423">
        <v>1.198278245320852E-2</v>
      </c>
      <c r="F6715" s="423">
        <v>2.154626765429551E-4</v>
      </c>
      <c r="G6715" s="422">
        <v>27.19645887896317</v>
      </c>
      <c r="H6715" s="417" t="s">
        <v>2616</v>
      </c>
      <c r="I6715" s="417" t="s">
        <v>1392</v>
      </c>
      <c r="J6715" s="417" t="s">
        <v>15692</v>
      </c>
      <c r="K6715" s="417" t="s">
        <v>15903</v>
      </c>
      <c r="L6715" s="417"/>
      <c r="M6715" s="417" t="s">
        <v>28840</v>
      </c>
    </row>
    <row r="6716" spans="1:13" x14ac:dyDescent="0.25">
      <c r="A6716" s="417" t="s">
        <v>3385</v>
      </c>
      <c r="B6716" s="417" t="s">
        <v>2627</v>
      </c>
      <c r="C6716" s="417" t="s">
        <v>15904</v>
      </c>
      <c r="D6716" s="417" t="s">
        <v>73</v>
      </c>
      <c r="E6716" s="423">
        <v>1.198278245320852E-2</v>
      </c>
      <c r="F6716" s="423">
        <v>2.154626765429551E-4</v>
      </c>
      <c r="G6716" s="422">
        <v>27.19645887896317</v>
      </c>
      <c r="H6716" s="417" t="s">
        <v>2616</v>
      </c>
      <c r="I6716" s="417" t="s">
        <v>1392</v>
      </c>
      <c r="J6716" s="417" t="s">
        <v>15692</v>
      </c>
      <c r="K6716" s="417" t="s">
        <v>15905</v>
      </c>
      <c r="L6716" s="417"/>
      <c r="M6716" s="417" t="s">
        <v>28840</v>
      </c>
    </row>
    <row r="6717" spans="1:13" x14ac:dyDescent="0.25">
      <c r="A6717" s="417" t="s">
        <v>3385</v>
      </c>
      <c r="B6717" s="417" t="s">
        <v>2627</v>
      </c>
      <c r="C6717" s="417" t="s">
        <v>15906</v>
      </c>
      <c r="D6717" s="417" t="s">
        <v>73</v>
      </c>
      <c r="E6717" s="423">
        <v>1.198278245320852E-2</v>
      </c>
      <c r="F6717" s="423">
        <v>2.154626765429551E-4</v>
      </c>
      <c r="G6717" s="422">
        <v>27.19645887896317</v>
      </c>
      <c r="H6717" s="417" t="s">
        <v>2616</v>
      </c>
      <c r="I6717" s="417" t="s">
        <v>1392</v>
      </c>
      <c r="J6717" s="417" t="s">
        <v>15692</v>
      </c>
      <c r="K6717" s="417" t="s">
        <v>15907</v>
      </c>
      <c r="L6717" s="417"/>
      <c r="M6717" s="417" t="s">
        <v>28840</v>
      </c>
    </row>
    <row r="6718" spans="1:13" x14ac:dyDescent="0.25">
      <c r="A6718" s="417" t="s">
        <v>3385</v>
      </c>
      <c r="B6718" s="417" t="s">
        <v>2627</v>
      </c>
      <c r="C6718" s="417" t="s">
        <v>15908</v>
      </c>
      <c r="D6718" s="417" t="s">
        <v>73</v>
      </c>
      <c r="E6718" s="423">
        <v>1.198278245320852E-2</v>
      </c>
      <c r="F6718" s="423">
        <v>2.154626765429551E-4</v>
      </c>
      <c r="G6718" s="422">
        <v>27.19645887896317</v>
      </c>
      <c r="H6718" s="417" t="s">
        <v>2616</v>
      </c>
      <c r="I6718" s="417" t="s">
        <v>1392</v>
      </c>
      <c r="J6718" s="417" t="s">
        <v>15692</v>
      </c>
      <c r="K6718" s="417" t="s">
        <v>15909</v>
      </c>
      <c r="L6718" s="417"/>
      <c r="M6718" s="417" t="s">
        <v>28840</v>
      </c>
    </row>
    <row r="6719" spans="1:13" x14ac:dyDescent="0.25">
      <c r="A6719" s="417" t="s">
        <v>3385</v>
      </c>
      <c r="B6719" s="417" t="s">
        <v>2627</v>
      </c>
      <c r="C6719" s="417" t="s">
        <v>15910</v>
      </c>
      <c r="D6719" s="417" t="s">
        <v>73</v>
      </c>
      <c r="E6719" s="423">
        <v>1.198278245320852E-2</v>
      </c>
      <c r="F6719" s="423">
        <v>2.154626765429551E-4</v>
      </c>
      <c r="G6719" s="422">
        <v>27.19645887896317</v>
      </c>
      <c r="H6719" s="417" t="s">
        <v>2616</v>
      </c>
      <c r="I6719" s="417" t="s">
        <v>1392</v>
      </c>
      <c r="J6719" s="417" t="s">
        <v>15692</v>
      </c>
      <c r="K6719" s="417" t="s">
        <v>15911</v>
      </c>
      <c r="L6719" s="417"/>
      <c r="M6719" s="417" t="s">
        <v>28840</v>
      </c>
    </row>
    <row r="6720" spans="1:13" x14ac:dyDescent="0.25">
      <c r="A6720" s="417" t="s">
        <v>3385</v>
      </c>
      <c r="B6720" s="417" t="s">
        <v>2627</v>
      </c>
      <c r="C6720" s="417" t="s">
        <v>15912</v>
      </c>
      <c r="D6720" s="417" t="s">
        <v>73</v>
      </c>
      <c r="E6720" s="423">
        <v>1.198278245320852E-2</v>
      </c>
      <c r="F6720" s="423">
        <v>2.154626765429551E-4</v>
      </c>
      <c r="G6720" s="422">
        <v>27.19645887896317</v>
      </c>
      <c r="H6720" s="417" t="s">
        <v>2616</v>
      </c>
      <c r="I6720" s="417" t="s">
        <v>1392</v>
      </c>
      <c r="J6720" s="417" t="s">
        <v>15692</v>
      </c>
      <c r="K6720" s="417" t="s">
        <v>15913</v>
      </c>
      <c r="L6720" s="417"/>
      <c r="M6720" s="417" t="s">
        <v>28840</v>
      </c>
    </row>
    <row r="6721" spans="1:13" x14ac:dyDescent="0.25">
      <c r="A6721" s="417" t="s">
        <v>3385</v>
      </c>
      <c r="B6721" s="417" t="s">
        <v>2627</v>
      </c>
      <c r="C6721" s="417" t="s">
        <v>15914</v>
      </c>
      <c r="D6721" s="417" t="s">
        <v>73</v>
      </c>
      <c r="E6721" s="423">
        <v>1.198278245320852E-2</v>
      </c>
      <c r="F6721" s="423">
        <v>2.154626765429551E-4</v>
      </c>
      <c r="G6721" s="422">
        <v>27.19645887896317</v>
      </c>
      <c r="H6721" s="417" t="s">
        <v>2616</v>
      </c>
      <c r="I6721" s="417" t="s">
        <v>1392</v>
      </c>
      <c r="J6721" s="417" t="s">
        <v>15692</v>
      </c>
      <c r="K6721" s="417" t="s">
        <v>15915</v>
      </c>
      <c r="L6721" s="417"/>
      <c r="M6721" s="417" t="s">
        <v>28840</v>
      </c>
    </row>
    <row r="6722" spans="1:13" x14ac:dyDescent="0.25">
      <c r="A6722" s="417" t="s">
        <v>3385</v>
      </c>
      <c r="B6722" s="417" t="s">
        <v>2627</v>
      </c>
      <c r="C6722" s="417" t="s">
        <v>15916</v>
      </c>
      <c r="D6722" s="417" t="s">
        <v>73</v>
      </c>
      <c r="E6722" s="423">
        <v>1.9185462738130639E-4</v>
      </c>
      <c r="F6722" s="423">
        <v>1.1929630424132951E-7</v>
      </c>
      <c r="G6722" s="422">
        <v>0.23092180422299541</v>
      </c>
      <c r="H6722" s="417" t="s">
        <v>2616</v>
      </c>
      <c r="I6722" s="417" t="s">
        <v>1392</v>
      </c>
      <c r="J6722" s="417" t="s">
        <v>15692</v>
      </c>
      <c r="K6722" s="417" t="s">
        <v>15917</v>
      </c>
      <c r="L6722" s="417"/>
      <c r="M6722" s="417" t="s">
        <v>28840</v>
      </c>
    </row>
    <row r="6723" spans="1:13" x14ac:dyDescent="0.25">
      <c r="A6723" s="417" t="s">
        <v>3385</v>
      </c>
      <c r="B6723" s="417" t="s">
        <v>2627</v>
      </c>
      <c r="C6723" s="417" t="s">
        <v>15918</v>
      </c>
      <c r="D6723" s="417" t="s">
        <v>73</v>
      </c>
      <c r="E6723" s="423">
        <v>1.9185462738130639E-4</v>
      </c>
      <c r="F6723" s="423">
        <v>1.1929630424132951E-7</v>
      </c>
      <c r="G6723" s="422">
        <v>0.23092180422299541</v>
      </c>
      <c r="H6723" s="417" t="s">
        <v>2616</v>
      </c>
      <c r="I6723" s="417" t="s">
        <v>1392</v>
      </c>
      <c r="J6723" s="417" t="s">
        <v>15692</v>
      </c>
      <c r="K6723" s="417" t="s">
        <v>15919</v>
      </c>
      <c r="L6723" s="417"/>
      <c r="M6723" s="417" t="s">
        <v>28840</v>
      </c>
    </row>
    <row r="6724" spans="1:13" x14ac:dyDescent="0.25">
      <c r="A6724" s="417" t="s">
        <v>3385</v>
      </c>
      <c r="B6724" s="417" t="s">
        <v>2627</v>
      </c>
      <c r="C6724" s="417" t="s">
        <v>15920</v>
      </c>
      <c r="D6724" s="417" t="s">
        <v>73</v>
      </c>
      <c r="E6724" s="423">
        <v>1.9185462738130639E-4</v>
      </c>
      <c r="F6724" s="423">
        <v>1.1929630424132951E-7</v>
      </c>
      <c r="G6724" s="422">
        <v>0.23092180422299541</v>
      </c>
      <c r="H6724" s="417" t="s">
        <v>2616</v>
      </c>
      <c r="I6724" s="417" t="s">
        <v>1392</v>
      </c>
      <c r="J6724" s="417" t="s">
        <v>15692</v>
      </c>
      <c r="K6724" s="417" t="s">
        <v>15921</v>
      </c>
      <c r="L6724" s="417"/>
      <c r="M6724" s="417" t="s">
        <v>28840</v>
      </c>
    </row>
    <row r="6725" spans="1:13" x14ac:dyDescent="0.25">
      <c r="A6725" s="417" t="s">
        <v>3385</v>
      </c>
      <c r="B6725" s="417" t="s">
        <v>2627</v>
      </c>
      <c r="C6725" s="417" t="s">
        <v>15922</v>
      </c>
      <c r="D6725" s="417" t="s">
        <v>73</v>
      </c>
      <c r="E6725" s="423">
        <v>1.9185462738130639E-4</v>
      </c>
      <c r="F6725" s="423">
        <v>1.1929630424132951E-7</v>
      </c>
      <c r="G6725" s="422">
        <v>0.23092180422299541</v>
      </c>
      <c r="H6725" s="417" t="s">
        <v>2616</v>
      </c>
      <c r="I6725" s="417" t="s">
        <v>1392</v>
      </c>
      <c r="J6725" s="417" t="s">
        <v>15692</v>
      </c>
      <c r="K6725" s="417" t="s">
        <v>15923</v>
      </c>
      <c r="L6725" s="417"/>
      <c r="M6725" s="417" t="s">
        <v>28840</v>
      </c>
    </row>
    <row r="6726" spans="1:13" x14ac:dyDescent="0.25">
      <c r="A6726" s="417" t="s">
        <v>3385</v>
      </c>
      <c r="B6726" s="417" t="s">
        <v>2627</v>
      </c>
      <c r="C6726" s="417" t="s">
        <v>15924</v>
      </c>
      <c r="D6726" s="417" t="s">
        <v>73</v>
      </c>
      <c r="E6726" s="423">
        <v>1.9185462738130639E-4</v>
      </c>
      <c r="F6726" s="423">
        <v>1.1929630424132951E-7</v>
      </c>
      <c r="G6726" s="422">
        <v>0.23092180422299541</v>
      </c>
      <c r="H6726" s="417" t="s">
        <v>2616</v>
      </c>
      <c r="I6726" s="417" t="s">
        <v>1392</v>
      </c>
      <c r="J6726" s="417" t="s">
        <v>15692</v>
      </c>
      <c r="K6726" s="417" t="s">
        <v>15925</v>
      </c>
      <c r="L6726" s="417"/>
      <c r="M6726" s="417" t="s">
        <v>28840</v>
      </c>
    </row>
    <row r="6727" spans="1:13" x14ac:dyDescent="0.25">
      <c r="A6727" s="417" t="s">
        <v>3385</v>
      </c>
      <c r="B6727" s="417" t="s">
        <v>2627</v>
      </c>
      <c r="C6727" s="417" t="s">
        <v>15926</v>
      </c>
      <c r="D6727" s="417" t="s">
        <v>73</v>
      </c>
      <c r="E6727" s="423">
        <v>1.9185462738130639E-4</v>
      </c>
      <c r="F6727" s="423">
        <v>1.1929630424132951E-7</v>
      </c>
      <c r="G6727" s="422">
        <v>0.23092180422299541</v>
      </c>
      <c r="H6727" s="417" t="s">
        <v>2616</v>
      </c>
      <c r="I6727" s="417" t="s">
        <v>1392</v>
      </c>
      <c r="J6727" s="417" t="s">
        <v>15692</v>
      </c>
      <c r="K6727" s="417" t="s">
        <v>15927</v>
      </c>
      <c r="L6727" s="417"/>
      <c r="M6727" s="417" t="s">
        <v>28840</v>
      </c>
    </row>
    <row r="6728" spans="1:13" x14ac:dyDescent="0.25">
      <c r="A6728" s="417" t="s">
        <v>3385</v>
      </c>
      <c r="B6728" s="417" t="s">
        <v>2627</v>
      </c>
      <c r="C6728" s="417" t="s">
        <v>15928</v>
      </c>
      <c r="D6728" s="417" t="s">
        <v>73</v>
      </c>
      <c r="E6728" s="423">
        <v>1.9185462738130639E-4</v>
      </c>
      <c r="F6728" s="423">
        <v>1.1929630424132951E-7</v>
      </c>
      <c r="G6728" s="422">
        <v>0.23092180422299541</v>
      </c>
      <c r="H6728" s="417" t="s">
        <v>2616</v>
      </c>
      <c r="I6728" s="417" t="s">
        <v>1392</v>
      </c>
      <c r="J6728" s="417" t="s">
        <v>15692</v>
      </c>
      <c r="K6728" s="417" t="s">
        <v>15929</v>
      </c>
      <c r="L6728" s="417"/>
      <c r="M6728" s="417" t="s">
        <v>28840</v>
      </c>
    </row>
    <row r="6729" spans="1:13" x14ac:dyDescent="0.25">
      <c r="A6729" s="417" t="s">
        <v>3385</v>
      </c>
      <c r="B6729" s="417" t="s">
        <v>2627</v>
      </c>
      <c r="C6729" s="417" t="s">
        <v>15930</v>
      </c>
      <c r="D6729" s="417" t="s">
        <v>83</v>
      </c>
      <c r="E6729" s="423">
        <v>1.0415697556445389</v>
      </c>
      <c r="F6729" s="423">
        <v>1.9311114271384409E-2</v>
      </c>
      <c r="G6729" s="422">
        <v>1845.5992083122021</v>
      </c>
      <c r="H6729" s="417" t="s">
        <v>2616</v>
      </c>
      <c r="I6729" s="417" t="s">
        <v>1392</v>
      </c>
      <c r="J6729" s="417" t="s">
        <v>14271</v>
      </c>
      <c r="K6729" s="417" t="s">
        <v>15931</v>
      </c>
      <c r="L6729" s="417"/>
      <c r="M6729" s="417" t="s">
        <v>28840</v>
      </c>
    </row>
    <row r="6730" spans="1:13" x14ac:dyDescent="0.25">
      <c r="A6730" s="417" t="s">
        <v>3385</v>
      </c>
      <c r="B6730" s="417" t="s">
        <v>2627</v>
      </c>
      <c r="C6730" s="417" t="s">
        <v>15932</v>
      </c>
      <c r="D6730" s="417" t="s">
        <v>83</v>
      </c>
      <c r="E6730" s="423">
        <v>0.83951453886034888</v>
      </c>
      <c r="F6730" s="423">
        <v>9.0065507043164579E-3</v>
      </c>
      <c r="G6730" s="422">
        <v>1506.3244148884189</v>
      </c>
      <c r="H6730" s="417" t="s">
        <v>2616</v>
      </c>
      <c r="I6730" s="417" t="s">
        <v>1392</v>
      </c>
      <c r="J6730" s="417" t="s">
        <v>14271</v>
      </c>
      <c r="K6730" s="417" t="s">
        <v>15933</v>
      </c>
      <c r="L6730" s="417"/>
      <c r="M6730" s="417" t="s">
        <v>28840</v>
      </c>
    </row>
    <row r="6731" spans="1:13" x14ac:dyDescent="0.25">
      <c r="A6731" s="417" t="s">
        <v>3385</v>
      </c>
      <c r="B6731" s="417" t="s">
        <v>2627</v>
      </c>
      <c r="C6731" s="417" t="s">
        <v>15934</v>
      </c>
      <c r="D6731" s="417" t="s">
        <v>83</v>
      </c>
      <c r="E6731" s="423">
        <v>0.99451580104855652</v>
      </c>
      <c r="F6731" s="423">
        <v>1.6911421386018959E-2</v>
      </c>
      <c r="G6731" s="422">
        <v>1766.5900101763889</v>
      </c>
      <c r="H6731" s="417" t="s">
        <v>2616</v>
      </c>
      <c r="I6731" s="417" t="s">
        <v>1392</v>
      </c>
      <c r="J6731" s="417" t="s">
        <v>14271</v>
      </c>
      <c r="K6731" s="417" t="s">
        <v>15935</v>
      </c>
      <c r="L6731" s="417"/>
      <c r="M6731" s="417" t="s">
        <v>28840</v>
      </c>
    </row>
    <row r="6732" spans="1:13" x14ac:dyDescent="0.25">
      <c r="A6732" s="417" t="s">
        <v>3385</v>
      </c>
      <c r="B6732" s="417" t="s">
        <v>2627</v>
      </c>
      <c r="C6732" s="417" t="s">
        <v>15936</v>
      </c>
      <c r="D6732" s="417" t="s">
        <v>83</v>
      </c>
      <c r="E6732" s="423">
        <v>1.1606074110782441</v>
      </c>
      <c r="F6732" s="423">
        <v>2.5381885948910589E-2</v>
      </c>
      <c r="G6732" s="422">
        <v>2045.4776210880459</v>
      </c>
      <c r="H6732" s="417" t="s">
        <v>2616</v>
      </c>
      <c r="I6732" s="417" t="s">
        <v>1392</v>
      </c>
      <c r="J6732" s="417" t="s">
        <v>14271</v>
      </c>
      <c r="K6732" s="417" t="s">
        <v>15937</v>
      </c>
      <c r="L6732" s="417"/>
      <c r="M6732" s="417" t="s">
        <v>28840</v>
      </c>
    </row>
    <row r="6733" spans="1:13" x14ac:dyDescent="0.25">
      <c r="A6733" s="417" t="s">
        <v>3385</v>
      </c>
      <c r="B6733" s="417" t="s">
        <v>2627</v>
      </c>
      <c r="C6733" s="417" t="s">
        <v>15938</v>
      </c>
      <c r="D6733" s="417" t="s">
        <v>83</v>
      </c>
      <c r="E6733" s="423">
        <v>0.75924602808254782</v>
      </c>
      <c r="F6733" s="423">
        <v>4.9129569582219076E-3</v>
      </c>
      <c r="G6733" s="422">
        <v>1371.5440176266391</v>
      </c>
      <c r="H6733" s="417" t="s">
        <v>2616</v>
      </c>
      <c r="I6733" s="417" t="s">
        <v>1392</v>
      </c>
      <c r="J6733" s="417" t="s">
        <v>14271</v>
      </c>
      <c r="K6733" s="417" t="s">
        <v>15939</v>
      </c>
      <c r="L6733" s="417"/>
      <c r="M6733" s="417" t="s">
        <v>28840</v>
      </c>
    </row>
    <row r="6734" spans="1:13" x14ac:dyDescent="0.25">
      <c r="A6734" s="417" t="s">
        <v>3385</v>
      </c>
      <c r="B6734" s="417" t="s">
        <v>2627</v>
      </c>
      <c r="C6734" s="417" t="s">
        <v>15940</v>
      </c>
      <c r="D6734" s="417" t="s">
        <v>83</v>
      </c>
      <c r="E6734" s="423">
        <v>0.89487213249897057</v>
      </c>
      <c r="F6734" s="423">
        <v>1.182971880486744E-2</v>
      </c>
      <c r="G6734" s="422">
        <v>1599.2764133112339</v>
      </c>
      <c r="H6734" s="417" t="s">
        <v>2616</v>
      </c>
      <c r="I6734" s="417" t="s">
        <v>1392</v>
      </c>
      <c r="J6734" s="417" t="s">
        <v>14271</v>
      </c>
      <c r="K6734" s="417" t="s">
        <v>15941</v>
      </c>
      <c r="L6734" s="417"/>
      <c r="M6734" s="417" t="s">
        <v>28840</v>
      </c>
    </row>
    <row r="6735" spans="1:13" x14ac:dyDescent="0.25">
      <c r="A6735" s="417" t="s">
        <v>3385</v>
      </c>
      <c r="B6735" s="417" t="s">
        <v>2627</v>
      </c>
      <c r="C6735" s="417" t="s">
        <v>15942</v>
      </c>
      <c r="D6735" s="417" t="s">
        <v>83</v>
      </c>
      <c r="E6735" s="423">
        <v>0.77031754681189457</v>
      </c>
      <c r="F6735" s="423">
        <v>5.4775905785984748E-3</v>
      </c>
      <c r="G6735" s="422">
        <v>1390.134417296742</v>
      </c>
      <c r="H6735" s="417" t="s">
        <v>2616</v>
      </c>
      <c r="I6735" s="417" t="s">
        <v>1392</v>
      </c>
      <c r="J6735" s="417" t="s">
        <v>14271</v>
      </c>
      <c r="K6735" s="417" t="s">
        <v>15943</v>
      </c>
      <c r="L6735" s="417"/>
      <c r="M6735" s="417" t="s">
        <v>28840</v>
      </c>
    </row>
    <row r="6736" spans="1:13" x14ac:dyDescent="0.25">
      <c r="A6736" s="417" t="s">
        <v>3385</v>
      </c>
      <c r="B6736" s="417" t="s">
        <v>2627</v>
      </c>
      <c r="C6736" s="417" t="s">
        <v>15944</v>
      </c>
      <c r="D6736" s="417" t="s">
        <v>83</v>
      </c>
      <c r="E6736" s="423">
        <v>0.85335393727213338</v>
      </c>
      <c r="F6736" s="423">
        <v>9.7123427295775326E-3</v>
      </c>
      <c r="G6736" s="422">
        <v>1529.5624145287759</v>
      </c>
      <c r="H6736" s="417" t="s">
        <v>2616</v>
      </c>
      <c r="I6736" s="417" t="s">
        <v>1392</v>
      </c>
      <c r="J6736" s="417" t="s">
        <v>14271</v>
      </c>
      <c r="K6736" s="417" t="s">
        <v>15945</v>
      </c>
      <c r="L6736" s="417"/>
      <c r="M6736" s="417" t="s">
        <v>28840</v>
      </c>
    </row>
    <row r="6737" spans="1:13" x14ac:dyDescent="0.25">
      <c r="A6737" s="417" t="s">
        <v>3385</v>
      </c>
      <c r="B6737" s="417" t="s">
        <v>2627</v>
      </c>
      <c r="C6737" s="417" t="s">
        <v>15946</v>
      </c>
      <c r="D6737" s="417" t="s">
        <v>83</v>
      </c>
      <c r="E6737" s="423">
        <v>0.93639032772840525</v>
      </c>
      <c r="F6737" s="423">
        <v>1.394709488018555E-2</v>
      </c>
      <c r="G6737" s="422">
        <v>1668.9904117160261</v>
      </c>
      <c r="H6737" s="417" t="s">
        <v>2616</v>
      </c>
      <c r="I6737" s="417" t="s">
        <v>1392</v>
      </c>
      <c r="J6737" s="417" t="s">
        <v>14271</v>
      </c>
      <c r="K6737" s="417" t="s">
        <v>15947</v>
      </c>
      <c r="L6737" s="417"/>
      <c r="M6737" s="417" t="s">
        <v>28840</v>
      </c>
    </row>
    <row r="6738" spans="1:13" x14ac:dyDescent="0.25">
      <c r="A6738" s="417" t="s">
        <v>3385</v>
      </c>
      <c r="B6738" s="417" t="s">
        <v>2627</v>
      </c>
      <c r="C6738" s="417" t="s">
        <v>15948</v>
      </c>
      <c r="D6738" s="417" t="s">
        <v>83</v>
      </c>
      <c r="E6738" s="423">
        <v>0.80353210299558264</v>
      </c>
      <c r="F6738" s="423">
        <v>7.1714914389837386E-3</v>
      </c>
      <c r="G6738" s="422">
        <v>1445.905616277156</v>
      </c>
      <c r="H6738" s="417" t="s">
        <v>2616</v>
      </c>
      <c r="I6738" s="417" t="s">
        <v>1392</v>
      </c>
      <c r="J6738" s="417" t="s">
        <v>14271</v>
      </c>
      <c r="K6738" s="417" t="s">
        <v>15949</v>
      </c>
      <c r="L6738" s="417"/>
      <c r="M6738" s="417" t="s">
        <v>28840</v>
      </c>
    </row>
    <row r="6739" spans="1:13" x14ac:dyDescent="0.25">
      <c r="A6739" s="417" t="s">
        <v>3385</v>
      </c>
      <c r="B6739" s="417" t="s">
        <v>2627</v>
      </c>
      <c r="C6739" s="417" t="s">
        <v>15950</v>
      </c>
      <c r="D6739" s="417" t="s">
        <v>83</v>
      </c>
      <c r="E6739" s="423">
        <v>0.98067640263639455</v>
      </c>
      <c r="F6739" s="423">
        <v>1.620562936069541E-2</v>
      </c>
      <c r="G6739" s="422">
        <v>1743.3520104183281</v>
      </c>
      <c r="H6739" s="417" t="s">
        <v>2616</v>
      </c>
      <c r="I6739" s="417" t="s">
        <v>1392</v>
      </c>
      <c r="J6739" s="417" t="s">
        <v>14271</v>
      </c>
      <c r="K6739" s="417" t="s">
        <v>15951</v>
      </c>
      <c r="L6739" s="417"/>
      <c r="M6739" s="417" t="s">
        <v>28840</v>
      </c>
    </row>
    <row r="6740" spans="1:13" x14ac:dyDescent="0.25">
      <c r="A6740" s="417" t="s">
        <v>3385</v>
      </c>
      <c r="B6740" s="417" t="s">
        <v>2627</v>
      </c>
      <c r="C6740" s="417" t="s">
        <v>15952</v>
      </c>
      <c r="D6740" s="417" t="s">
        <v>83</v>
      </c>
      <c r="E6740" s="423">
        <v>0.81183574203657471</v>
      </c>
      <c r="F6740" s="423">
        <v>7.5949666535495711E-3</v>
      </c>
      <c r="G6740" s="422">
        <v>1459.8484159123229</v>
      </c>
      <c r="H6740" s="417" t="s">
        <v>2616</v>
      </c>
      <c r="I6740" s="417" t="s">
        <v>1392</v>
      </c>
      <c r="J6740" s="417" t="s">
        <v>14271</v>
      </c>
      <c r="K6740" s="417" t="s">
        <v>15953</v>
      </c>
      <c r="L6740" s="417"/>
      <c r="M6740" s="417" t="s">
        <v>28840</v>
      </c>
    </row>
    <row r="6741" spans="1:13" x14ac:dyDescent="0.25">
      <c r="A6741" s="417" t="s">
        <v>3385</v>
      </c>
      <c r="B6741" s="417" t="s">
        <v>2627</v>
      </c>
      <c r="C6741" s="417" t="s">
        <v>15954</v>
      </c>
      <c r="D6741" s="417" t="s">
        <v>83</v>
      </c>
      <c r="E6741" s="423">
        <v>1.2297855740165931</v>
      </c>
      <c r="F6741" s="423">
        <v>2.8909885813463761E-2</v>
      </c>
      <c r="G6741" s="422">
        <v>2161.6360023057218</v>
      </c>
      <c r="H6741" s="417" t="s">
        <v>2616</v>
      </c>
      <c r="I6741" s="417" t="s">
        <v>1392</v>
      </c>
      <c r="J6741" s="417" t="s">
        <v>14271</v>
      </c>
      <c r="K6741" s="417" t="s">
        <v>15955</v>
      </c>
      <c r="L6741" s="417"/>
      <c r="M6741" s="417" t="s">
        <v>28840</v>
      </c>
    </row>
    <row r="6742" spans="1:13" x14ac:dyDescent="0.25">
      <c r="A6742" s="417" t="s">
        <v>3385</v>
      </c>
      <c r="B6742" s="417" t="s">
        <v>2627</v>
      </c>
      <c r="C6742" s="417" t="s">
        <v>15956</v>
      </c>
      <c r="D6742" s="417" t="s">
        <v>83</v>
      </c>
      <c r="E6742" s="423">
        <v>1.2131782959326249</v>
      </c>
      <c r="F6742" s="423">
        <v>2.8062935383281241E-2</v>
      </c>
      <c r="G6742" s="422">
        <v>2133.750402839933</v>
      </c>
      <c r="H6742" s="417" t="s">
        <v>2616</v>
      </c>
      <c r="I6742" s="417" t="s">
        <v>1392</v>
      </c>
      <c r="J6742" s="417" t="s">
        <v>14271</v>
      </c>
      <c r="K6742" s="417" t="s">
        <v>15957</v>
      </c>
      <c r="L6742" s="417"/>
      <c r="M6742" s="417" t="s">
        <v>28840</v>
      </c>
    </row>
    <row r="6743" spans="1:13" x14ac:dyDescent="0.25">
      <c r="A6743" s="417" t="s">
        <v>3385</v>
      </c>
      <c r="B6743" s="417" t="s">
        <v>2627</v>
      </c>
      <c r="C6743" s="417" t="s">
        <v>15958</v>
      </c>
      <c r="D6743" s="417" t="s">
        <v>83</v>
      </c>
      <c r="E6743" s="423">
        <v>0.99451580104991777</v>
      </c>
      <c r="F6743" s="423">
        <v>1.691142138589476E-2</v>
      </c>
      <c r="G6743" s="422">
        <v>1766.5900100913759</v>
      </c>
      <c r="H6743" s="417" t="s">
        <v>2616</v>
      </c>
      <c r="I6743" s="417" t="s">
        <v>1392</v>
      </c>
      <c r="J6743" s="417" t="s">
        <v>14271</v>
      </c>
      <c r="K6743" s="417" t="s">
        <v>15959</v>
      </c>
      <c r="L6743" s="417"/>
      <c r="M6743" s="417" t="s">
        <v>28840</v>
      </c>
    </row>
    <row r="6744" spans="1:13" x14ac:dyDescent="0.25">
      <c r="A6744" s="417" t="s">
        <v>3385</v>
      </c>
      <c r="B6744" s="417" t="s">
        <v>2627</v>
      </c>
      <c r="C6744" s="417" t="s">
        <v>15960</v>
      </c>
      <c r="D6744" s="417" t="s">
        <v>83</v>
      </c>
      <c r="E6744" s="423">
        <v>0.83951453885861682</v>
      </c>
      <c r="F6744" s="423">
        <v>9.0065507042678752E-3</v>
      </c>
      <c r="G6744" s="422">
        <v>1506.3244149482271</v>
      </c>
      <c r="H6744" s="417" t="s">
        <v>2616</v>
      </c>
      <c r="I6744" s="417" t="s">
        <v>1392</v>
      </c>
      <c r="J6744" s="417" t="s">
        <v>14271</v>
      </c>
      <c r="K6744" s="417" t="s">
        <v>15961</v>
      </c>
      <c r="L6744" s="417"/>
      <c r="M6744" s="417" t="s">
        <v>28840</v>
      </c>
    </row>
    <row r="6745" spans="1:13" x14ac:dyDescent="0.25">
      <c r="A6745" s="417" t="s">
        <v>3385</v>
      </c>
      <c r="B6745" s="417" t="s">
        <v>2627</v>
      </c>
      <c r="C6745" s="417" t="s">
        <v>15962</v>
      </c>
      <c r="D6745" s="417" t="s">
        <v>83</v>
      </c>
      <c r="E6745" s="423">
        <v>0.84317342417104069</v>
      </c>
      <c r="F6745" s="423">
        <v>9.1654347755241866E-3</v>
      </c>
      <c r="G6745" s="422">
        <v>1512.24046759822</v>
      </c>
      <c r="H6745" s="417" t="s">
        <v>2616</v>
      </c>
      <c r="I6745" s="417" t="s">
        <v>1392</v>
      </c>
      <c r="J6745" s="417" t="s">
        <v>15692</v>
      </c>
      <c r="K6745" s="417" t="s">
        <v>15963</v>
      </c>
      <c r="L6745" s="417"/>
      <c r="M6745" s="417" t="s">
        <v>28840</v>
      </c>
    </row>
    <row r="6746" spans="1:13" x14ac:dyDescent="0.25">
      <c r="A6746" s="417" t="s">
        <v>3385</v>
      </c>
      <c r="B6746" s="417" t="s">
        <v>2627</v>
      </c>
      <c r="C6746" s="417" t="s">
        <v>15964</v>
      </c>
      <c r="D6746" s="417" t="s">
        <v>83</v>
      </c>
      <c r="E6746" s="423">
        <v>1.060944913422746</v>
      </c>
      <c r="F6746" s="423">
        <v>2.029922310674755E-2</v>
      </c>
      <c r="G6746" s="422">
        <v>1878.1324079856161</v>
      </c>
      <c r="H6746" s="417" t="s">
        <v>2616</v>
      </c>
      <c r="I6746" s="417" t="s">
        <v>1392</v>
      </c>
      <c r="J6746" s="417" t="s">
        <v>14271</v>
      </c>
      <c r="K6746" s="417" t="s">
        <v>15965</v>
      </c>
      <c r="L6746" s="417"/>
      <c r="M6746" s="417" t="s">
        <v>28840</v>
      </c>
    </row>
    <row r="6747" spans="1:13" x14ac:dyDescent="0.25">
      <c r="A6747" s="417" t="s">
        <v>3385</v>
      </c>
      <c r="B6747" s="417" t="s">
        <v>2627</v>
      </c>
      <c r="C6747" s="417" t="s">
        <v>15966</v>
      </c>
      <c r="D6747" s="417" t="s">
        <v>83</v>
      </c>
      <c r="E6747" s="423">
        <v>1.121838266421443</v>
      </c>
      <c r="F6747" s="423">
        <v>2.3404708017187609E-2</v>
      </c>
      <c r="G6747" s="422">
        <v>1980.379606318739</v>
      </c>
      <c r="H6747" s="417" t="s">
        <v>2616</v>
      </c>
      <c r="I6747" s="417" t="s">
        <v>1392</v>
      </c>
      <c r="J6747" s="417" t="s">
        <v>14271</v>
      </c>
      <c r="K6747" s="417" t="s">
        <v>15967</v>
      </c>
      <c r="L6747" s="417"/>
      <c r="M6747" s="417" t="s">
        <v>28840</v>
      </c>
    </row>
    <row r="6748" spans="1:13" x14ac:dyDescent="0.25">
      <c r="A6748" s="417" t="s">
        <v>3385</v>
      </c>
      <c r="B6748" s="417" t="s">
        <v>2627</v>
      </c>
      <c r="C6748" s="417" t="s">
        <v>15968</v>
      </c>
      <c r="D6748" s="417" t="s">
        <v>83</v>
      </c>
      <c r="E6748" s="423">
        <v>0.82013938108789985</v>
      </c>
      <c r="F6748" s="423">
        <v>8.0184418689556204E-3</v>
      </c>
      <c r="G6748" s="422">
        <v>1473.791215577965</v>
      </c>
      <c r="H6748" s="417" t="s">
        <v>2616</v>
      </c>
      <c r="I6748" s="417" t="s">
        <v>1392</v>
      </c>
      <c r="J6748" s="417" t="s">
        <v>14271</v>
      </c>
      <c r="K6748" s="417" t="s">
        <v>15969</v>
      </c>
      <c r="L6748" s="417"/>
      <c r="M6748" s="417" t="s">
        <v>28840</v>
      </c>
    </row>
    <row r="6749" spans="1:13" x14ac:dyDescent="0.25">
      <c r="A6749" s="417" t="s">
        <v>3385</v>
      </c>
      <c r="B6749" s="417" t="s">
        <v>2627</v>
      </c>
      <c r="C6749" s="417" t="s">
        <v>15970</v>
      </c>
      <c r="D6749" s="417" t="s">
        <v>73</v>
      </c>
      <c r="E6749" s="423">
        <v>2.9147494832216261E-2</v>
      </c>
      <c r="F6749" s="423">
        <v>5.3660718137445705E-4</v>
      </c>
      <c r="G6749" s="422">
        <v>51.528814083364757</v>
      </c>
      <c r="H6749" s="417" t="s">
        <v>2616</v>
      </c>
      <c r="I6749" s="417" t="s">
        <v>1392</v>
      </c>
      <c r="J6749" s="417" t="s">
        <v>15692</v>
      </c>
      <c r="K6749" s="417" t="s">
        <v>15971</v>
      </c>
      <c r="L6749" s="417"/>
      <c r="M6749" s="417" t="s">
        <v>28840</v>
      </c>
    </row>
    <row r="6750" spans="1:13" x14ac:dyDescent="0.25">
      <c r="A6750" s="417" t="s">
        <v>3385</v>
      </c>
      <c r="B6750" s="417" t="s">
        <v>2627</v>
      </c>
      <c r="C6750" s="417" t="s">
        <v>15972</v>
      </c>
      <c r="D6750" s="417" t="s">
        <v>73</v>
      </c>
      <c r="E6750" s="423">
        <v>2.3534198854734401E-2</v>
      </c>
      <c r="F6750" s="423">
        <v>2.5033610091346539E-4</v>
      </c>
      <c r="G6750" s="422">
        <v>42.103421042221846</v>
      </c>
      <c r="H6750" s="417" t="s">
        <v>2616</v>
      </c>
      <c r="I6750" s="417" t="s">
        <v>1392</v>
      </c>
      <c r="J6750" s="417" t="s">
        <v>15692</v>
      </c>
      <c r="K6750" s="417" t="s">
        <v>15973</v>
      </c>
      <c r="L6750" s="417"/>
      <c r="M6750" s="417" t="s">
        <v>28840</v>
      </c>
    </row>
    <row r="6751" spans="1:13" x14ac:dyDescent="0.25">
      <c r="A6751" s="417" t="s">
        <v>3385</v>
      </c>
      <c r="B6751" s="417" t="s">
        <v>2627</v>
      </c>
      <c r="C6751" s="417" t="s">
        <v>15974</v>
      </c>
      <c r="D6751" s="417" t="s">
        <v>73</v>
      </c>
      <c r="E6751" s="423">
        <v>2.7840288919752019E-2</v>
      </c>
      <c r="F6751" s="423">
        <v>4.699413133146658E-4</v>
      </c>
      <c r="G6751" s="422">
        <v>49.333859538596577</v>
      </c>
      <c r="H6751" s="417" t="s">
        <v>2616</v>
      </c>
      <c r="I6751" s="417" t="s">
        <v>1392</v>
      </c>
      <c r="J6751" s="417" t="s">
        <v>15692</v>
      </c>
      <c r="K6751" s="417" t="s">
        <v>15975</v>
      </c>
      <c r="L6751" s="417"/>
      <c r="M6751" s="417" t="s">
        <v>28840</v>
      </c>
    </row>
    <row r="6752" spans="1:13" x14ac:dyDescent="0.25">
      <c r="A6752" s="417" t="s">
        <v>3385</v>
      </c>
      <c r="B6752" s="417" t="s">
        <v>2627</v>
      </c>
      <c r="C6752" s="417" t="s">
        <v>15976</v>
      </c>
      <c r="D6752" s="417" t="s">
        <v>73</v>
      </c>
      <c r="E6752" s="423">
        <v>3.2454479938207839E-2</v>
      </c>
      <c r="F6752" s="423">
        <v>7.0525928934463676E-4</v>
      </c>
      <c r="G6752" s="422">
        <v>57.081636265031037</v>
      </c>
      <c r="H6752" s="417" t="s">
        <v>2616</v>
      </c>
      <c r="I6752" s="417" t="s">
        <v>1392</v>
      </c>
      <c r="J6752" s="417" t="s">
        <v>15692</v>
      </c>
      <c r="K6752" s="417" t="s">
        <v>15977</v>
      </c>
      <c r="L6752" s="417"/>
      <c r="M6752" s="417" t="s">
        <v>28840</v>
      </c>
    </row>
    <row r="6753" spans="1:13" x14ac:dyDescent="0.25">
      <c r="A6753" s="417" t="s">
        <v>3385</v>
      </c>
      <c r="B6753" s="417" t="s">
        <v>2627</v>
      </c>
      <c r="C6753" s="417" t="s">
        <v>15978</v>
      </c>
      <c r="D6753" s="417" t="s">
        <v>73</v>
      </c>
      <c r="E6753" s="423">
        <v>1.250279808098269E-2</v>
      </c>
      <c r="F6753" s="423">
        <v>5.0645352959094827E-5</v>
      </c>
      <c r="G6753" s="422">
        <v>26.500905831962729</v>
      </c>
      <c r="H6753" s="417" t="s">
        <v>2616</v>
      </c>
      <c r="I6753" s="417" t="s">
        <v>1392</v>
      </c>
      <c r="J6753" s="417" t="s">
        <v>15692</v>
      </c>
      <c r="K6753" s="417" t="s">
        <v>15979</v>
      </c>
      <c r="L6753" s="417"/>
      <c r="M6753" s="417" t="s">
        <v>28840</v>
      </c>
    </row>
    <row r="6754" spans="1:13" x14ac:dyDescent="0.25">
      <c r="A6754" s="417" t="s">
        <v>3385</v>
      </c>
      <c r="B6754" s="417" t="s">
        <v>2627</v>
      </c>
      <c r="C6754" s="417" t="s">
        <v>15980</v>
      </c>
      <c r="D6754" s="417" t="s">
        <v>73</v>
      </c>
      <c r="E6754" s="423">
        <v>1.7021513779017328E-2</v>
      </c>
      <c r="F6754" s="423">
        <v>7.0232322242104909E-5</v>
      </c>
      <c r="G6754" s="422">
        <v>32.112182579020512</v>
      </c>
      <c r="H6754" s="417" t="s">
        <v>2616</v>
      </c>
      <c r="I6754" s="417" t="s">
        <v>1392</v>
      </c>
      <c r="J6754" s="417" t="s">
        <v>15692</v>
      </c>
      <c r="K6754" s="417" t="s">
        <v>15981</v>
      </c>
      <c r="L6754" s="417"/>
      <c r="M6754" s="417" t="s">
        <v>28840</v>
      </c>
    </row>
    <row r="6755" spans="1:13" x14ac:dyDescent="0.25">
      <c r="A6755" s="417" t="s">
        <v>3385</v>
      </c>
      <c r="B6755" s="417" t="s">
        <v>2627</v>
      </c>
      <c r="C6755" s="417" t="s">
        <v>15982</v>
      </c>
      <c r="D6755" s="417" t="s">
        <v>73</v>
      </c>
      <c r="E6755" s="423">
        <v>2.5072088163663721E-2</v>
      </c>
      <c r="F6755" s="423">
        <v>3.2876653391445722E-4</v>
      </c>
      <c r="G6755" s="422">
        <v>44.685720502135709</v>
      </c>
      <c r="H6755" s="417" t="s">
        <v>2616</v>
      </c>
      <c r="I6755" s="417" t="s">
        <v>1392</v>
      </c>
      <c r="J6755" s="417" t="s">
        <v>15692</v>
      </c>
      <c r="K6755" s="417" t="s">
        <v>15983</v>
      </c>
      <c r="L6755" s="417"/>
      <c r="M6755" s="417" t="s">
        <v>28840</v>
      </c>
    </row>
    <row r="6756" spans="1:13" x14ac:dyDescent="0.25">
      <c r="A6756" s="417" t="s">
        <v>3385</v>
      </c>
      <c r="B6756" s="417" t="s">
        <v>2627</v>
      </c>
      <c r="C6756" s="417" t="s">
        <v>15984</v>
      </c>
      <c r="D6756" s="417" t="s">
        <v>73</v>
      </c>
      <c r="E6756" s="423">
        <v>2.1611837218709819E-2</v>
      </c>
      <c r="F6756" s="423">
        <v>1.522980596634207E-4</v>
      </c>
      <c r="G6756" s="422">
        <v>38.875546708605007</v>
      </c>
      <c r="H6756" s="417" t="s">
        <v>2616</v>
      </c>
      <c r="I6756" s="417" t="s">
        <v>1392</v>
      </c>
      <c r="J6756" s="417" t="s">
        <v>15692</v>
      </c>
      <c r="K6756" s="417" t="s">
        <v>15985</v>
      </c>
      <c r="L6756" s="417"/>
      <c r="M6756" s="417" t="s">
        <v>28840</v>
      </c>
    </row>
    <row r="6757" spans="1:13" x14ac:dyDescent="0.25">
      <c r="A6757" s="417" t="s">
        <v>3385</v>
      </c>
      <c r="B6757" s="417" t="s">
        <v>2627</v>
      </c>
      <c r="C6757" s="417" t="s">
        <v>15986</v>
      </c>
      <c r="D6757" s="417" t="s">
        <v>73</v>
      </c>
      <c r="E6757" s="423">
        <v>2.3918671182018271E-2</v>
      </c>
      <c r="F6757" s="423">
        <v>2.6994370916072128E-4</v>
      </c>
      <c r="G6757" s="422">
        <v>42.748995906547357</v>
      </c>
      <c r="H6757" s="417" t="s">
        <v>2616</v>
      </c>
      <c r="I6757" s="417" t="s">
        <v>1392</v>
      </c>
      <c r="J6757" s="417" t="s">
        <v>15692</v>
      </c>
      <c r="K6757" s="417" t="s">
        <v>15987</v>
      </c>
      <c r="L6757" s="417"/>
      <c r="M6757" s="417" t="s">
        <v>28840</v>
      </c>
    </row>
    <row r="6758" spans="1:13" x14ac:dyDescent="0.25">
      <c r="A6758" s="417" t="s">
        <v>3385</v>
      </c>
      <c r="B6758" s="417" t="s">
        <v>2627</v>
      </c>
      <c r="C6758" s="417" t="s">
        <v>15988</v>
      </c>
      <c r="D6758" s="417" t="s">
        <v>73</v>
      </c>
      <c r="E6758" s="423">
        <v>1.9464482603187672E-2</v>
      </c>
      <c r="F6758" s="423">
        <v>1.195020314816647E-4</v>
      </c>
      <c r="G6758" s="422">
        <v>35.470141360844337</v>
      </c>
      <c r="H6758" s="417" t="s">
        <v>2616</v>
      </c>
      <c r="I6758" s="417" t="s">
        <v>1392</v>
      </c>
      <c r="J6758" s="417" t="s">
        <v>15692</v>
      </c>
      <c r="K6758" s="417" t="s">
        <v>15989</v>
      </c>
      <c r="L6758" s="417"/>
      <c r="M6758" s="417" t="s">
        <v>28840</v>
      </c>
    </row>
    <row r="6759" spans="1:13" x14ac:dyDescent="0.25">
      <c r="A6759" s="417" t="s">
        <v>3385</v>
      </c>
      <c r="B6759" s="417" t="s">
        <v>2627</v>
      </c>
      <c r="C6759" s="417" t="s">
        <v>15990</v>
      </c>
      <c r="D6759" s="417" t="s">
        <v>73</v>
      </c>
      <c r="E6759" s="423">
        <v>2.2534570804053609E-2</v>
      </c>
      <c r="F6759" s="423">
        <v>1.993563194647363E-4</v>
      </c>
      <c r="G6759" s="422">
        <v>40.424926387354738</v>
      </c>
      <c r="H6759" s="417" t="s">
        <v>2616</v>
      </c>
      <c r="I6759" s="417" t="s">
        <v>1392</v>
      </c>
      <c r="J6759" s="417" t="s">
        <v>15692</v>
      </c>
      <c r="K6759" s="417" t="s">
        <v>15991</v>
      </c>
      <c r="L6759" s="417"/>
      <c r="M6759" s="417" t="s">
        <v>28840</v>
      </c>
    </row>
    <row r="6760" spans="1:13" x14ac:dyDescent="0.25">
      <c r="A6760" s="417" t="s">
        <v>3385</v>
      </c>
      <c r="B6760" s="417" t="s">
        <v>2627</v>
      </c>
      <c r="C6760" s="417" t="s">
        <v>15992</v>
      </c>
      <c r="D6760" s="417" t="s">
        <v>73</v>
      </c>
      <c r="E6760" s="423">
        <v>2.7455816592350728E-2</v>
      </c>
      <c r="F6760" s="423">
        <v>4.5033370506733809E-4</v>
      </c>
      <c r="G6760" s="422">
        <v>48.688284672286152</v>
      </c>
      <c r="H6760" s="417" t="s">
        <v>2616</v>
      </c>
      <c r="I6760" s="417" t="s">
        <v>1392</v>
      </c>
      <c r="J6760" s="417" t="s">
        <v>15692</v>
      </c>
      <c r="K6760" s="417" t="s">
        <v>15993</v>
      </c>
      <c r="L6760" s="417"/>
      <c r="M6760" s="417" t="s">
        <v>28840</v>
      </c>
    </row>
    <row r="6761" spans="1:13" x14ac:dyDescent="0.25">
      <c r="A6761" s="417" t="s">
        <v>3385</v>
      </c>
      <c r="B6761" s="417" t="s">
        <v>2627</v>
      </c>
      <c r="C6761" s="417" t="s">
        <v>15994</v>
      </c>
      <c r="D6761" s="417" t="s">
        <v>73</v>
      </c>
      <c r="E6761" s="423">
        <v>1.5889040661853551E-2</v>
      </c>
      <c r="F6761" s="423">
        <v>6.9017691616771998E-5</v>
      </c>
      <c r="G6761" s="422">
        <v>30.709254198679169</v>
      </c>
      <c r="H6761" s="417" t="s">
        <v>2616</v>
      </c>
      <c r="I6761" s="417" t="s">
        <v>1392</v>
      </c>
      <c r="J6761" s="417" t="s">
        <v>15692</v>
      </c>
      <c r="K6761" s="417" t="s">
        <v>15995</v>
      </c>
      <c r="L6761" s="417"/>
      <c r="M6761" s="417" t="s">
        <v>28840</v>
      </c>
    </row>
    <row r="6762" spans="1:13" x14ac:dyDescent="0.25">
      <c r="A6762" s="417" t="s">
        <v>3385</v>
      </c>
      <c r="B6762" s="417" t="s">
        <v>2627</v>
      </c>
      <c r="C6762" s="417" t="s">
        <v>15996</v>
      </c>
      <c r="D6762" s="417" t="s">
        <v>73</v>
      </c>
      <c r="E6762" s="423">
        <v>3.4376318482742627E-2</v>
      </c>
      <c r="F6762" s="423">
        <v>8.0327065358082165E-4</v>
      </c>
      <c r="G6762" s="422">
        <v>60.308632258312187</v>
      </c>
      <c r="H6762" s="417" t="s">
        <v>2616</v>
      </c>
      <c r="I6762" s="417" t="s">
        <v>1392</v>
      </c>
      <c r="J6762" s="417" t="s">
        <v>15692</v>
      </c>
      <c r="K6762" s="417" t="s">
        <v>15997</v>
      </c>
      <c r="L6762" s="417"/>
      <c r="M6762" s="417" t="s">
        <v>28840</v>
      </c>
    </row>
    <row r="6763" spans="1:13" x14ac:dyDescent="0.25">
      <c r="A6763" s="417" t="s">
        <v>3385</v>
      </c>
      <c r="B6763" s="417" t="s">
        <v>2627</v>
      </c>
      <c r="C6763" s="417" t="s">
        <v>15998</v>
      </c>
      <c r="D6763" s="417" t="s">
        <v>73</v>
      </c>
      <c r="E6763" s="423">
        <v>3.3914951689823322E-2</v>
      </c>
      <c r="F6763" s="423">
        <v>7.7974152367974066E-4</v>
      </c>
      <c r="G6763" s="422">
        <v>59.533942424358401</v>
      </c>
      <c r="H6763" s="417" t="s">
        <v>2616</v>
      </c>
      <c r="I6763" s="417" t="s">
        <v>1392</v>
      </c>
      <c r="J6763" s="417" t="s">
        <v>15692</v>
      </c>
      <c r="K6763" s="417" t="s">
        <v>15999</v>
      </c>
      <c r="L6763" s="417"/>
      <c r="M6763" s="417" t="s">
        <v>28840</v>
      </c>
    </row>
    <row r="6764" spans="1:13" x14ac:dyDescent="0.25">
      <c r="A6764" s="417" t="s">
        <v>3385</v>
      </c>
      <c r="B6764" s="417" t="s">
        <v>2627</v>
      </c>
      <c r="C6764" s="417" t="s">
        <v>16000</v>
      </c>
      <c r="D6764" s="417" t="s">
        <v>73</v>
      </c>
      <c r="E6764" s="423">
        <v>2.7840288919762309E-2</v>
      </c>
      <c r="F6764" s="423">
        <v>4.6994131331437171E-4</v>
      </c>
      <c r="G6764" s="422">
        <v>49.333859537119437</v>
      </c>
      <c r="H6764" s="417" t="s">
        <v>2616</v>
      </c>
      <c r="I6764" s="417" t="s">
        <v>1392</v>
      </c>
      <c r="J6764" s="417" t="s">
        <v>15692</v>
      </c>
      <c r="K6764" s="417" t="s">
        <v>16001</v>
      </c>
      <c r="L6764" s="417"/>
      <c r="M6764" s="417" t="s">
        <v>28840</v>
      </c>
    </row>
    <row r="6765" spans="1:13" x14ac:dyDescent="0.25">
      <c r="A6765" s="417" t="s">
        <v>3385</v>
      </c>
      <c r="B6765" s="417" t="s">
        <v>2627</v>
      </c>
      <c r="C6765" s="417" t="s">
        <v>16002</v>
      </c>
      <c r="D6765" s="417" t="s">
        <v>73</v>
      </c>
      <c r="E6765" s="423">
        <v>2.3534198854734401E-2</v>
      </c>
      <c r="F6765" s="423">
        <v>2.5033610091346539E-4</v>
      </c>
      <c r="G6765" s="422">
        <v>42.103421042221839</v>
      </c>
      <c r="H6765" s="417" t="s">
        <v>2616</v>
      </c>
      <c r="I6765" s="417" t="s">
        <v>1392</v>
      </c>
      <c r="J6765" s="417" t="s">
        <v>15692</v>
      </c>
      <c r="K6765" s="417" t="s">
        <v>16003</v>
      </c>
      <c r="L6765" s="417"/>
      <c r="M6765" s="417" t="s">
        <v>28840</v>
      </c>
    </row>
    <row r="6766" spans="1:13" x14ac:dyDescent="0.25">
      <c r="A6766" s="417" t="s">
        <v>3385</v>
      </c>
      <c r="B6766" s="417" t="s">
        <v>2627</v>
      </c>
      <c r="C6766" s="417" t="s">
        <v>16004</v>
      </c>
      <c r="D6766" s="417" t="s">
        <v>83</v>
      </c>
      <c r="E6766" s="423">
        <v>0.71916982384186268</v>
      </c>
      <c r="F6766" s="423">
        <v>5.0388356089450161E-3</v>
      </c>
      <c r="G6766" s="422">
        <v>1311.678384770792</v>
      </c>
      <c r="H6766" s="417" t="s">
        <v>2616</v>
      </c>
      <c r="I6766" s="417" t="s">
        <v>1392</v>
      </c>
      <c r="J6766" s="417" t="s">
        <v>15692</v>
      </c>
      <c r="K6766" s="417" t="s">
        <v>16005</v>
      </c>
      <c r="L6766" s="417"/>
      <c r="M6766" s="417" t="s">
        <v>28840</v>
      </c>
    </row>
    <row r="6767" spans="1:13" x14ac:dyDescent="0.25">
      <c r="A6767" s="417" t="s">
        <v>3385</v>
      </c>
      <c r="B6767" s="417" t="s">
        <v>2627</v>
      </c>
      <c r="C6767" s="417" t="s">
        <v>16006</v>
      </c>
      <c r="D6767" s="417" t="s">
        <v>73</v>
      </c>
      <c r="E6767" s="423">
        <v>2.0337940884796849E-2</v>
      </c>
      <c r="F6767" s="423">
        <v>6.0758585184109493E-5</v>
      </c>
      <c r="G6767" s="422">
        <v>35.784869963794343</v>
      </c>
      <c r="H6767" s="417" t="s">
        <v>2616</v>
      </c>
      <c r="I6767" s="417" t="s">
        <v>1392</v>
      </c>
      <c r="J6767" s="417" t="s">
        <v>15692</v>
      </c>
      <c r="K6767" s="417" t="s">
        <v>16007</v>
      </c>
      <c r="L6767" s="417"/>
      <c r="M6767" s="417" t="s">
        <v>28840</v>
      </c>
    </row>
    <row r="6768" spans="1:13" x14ac:dyDescent="0.25">
      <c r="A6768" s="417" t="s">
        <v>3385</v>
      </c>
      <c r="B6768" s="417" t="s">
        <v>2627</v>
      </c>
      <c r="C6768" s="417" t="s">
        <v>16008</v>
      </c>
      <c r="D6768" s="417" t="s">
        <v>73</v>
      </c>
      <c r="E6768" s="423">
        <v>1.6861915681112848E-2</v>
      </c>
      <c r="F6768" s="423">
        <v>5.628888097267958E-5</v>
      </c>
      <c r="G6768" s="422">
        <v>31.66013778880561</v>
      </c>
      <c r="H6768" s="417" t="s">
        <v>2616</v>
      </c>
      <c r="I6768" s="417" t="s">
        <v>1392</v>
      </c>
      <c r="J6768" s="417" t="s">
        <v>15692</v>
      </c>
      <c r="K6768" s="417" t="s">
        <v>16009</v>
      </c>
      <c r="L6768" s="417"/>
      <c r="M6768" s="417" t="s">
        <v>28840</v>
      </c>
    </row>
    <row r="6769" spans="1:13" x14ac:dyDescent="0.25">
      <c r="A6769" s="417" t="s">
        <v>3385</v>
      </c>
      <c r="B6769" s="417" t="s">
        <v>2627</v>
      </c>
      <c r="C6769" s="417" t="s">
        <v>16010</v>
      </c>
      <c r="D6769" s="417" t="s">
        <v>73</v>
      </c>
      <c r="E6769" s="423">
        <v>1.72344831022706E-2</v>
      </c>
      <c r="F6769" s="423">
        <v>6.7323535073426748E-5</v>
      </c>
      <c r="G6769" s="422">
        <v>32.221568668784379</v>
      </c>
      <c r="H6769" s="417" t="s">
        <v>2616</v>
      </c>
      <c r="I6769" s="417" t="s">
        <v>1392</v>
      </c>
      <c r="J6769" s="417" t="s">
        <v>15692</v>
      </c>
      <c r="K6769" s="417" t="s">
        <v>16011</v>
      </c>
      <c r="L6769" s="417"/>
      <c r="M6769" s="417" t="s">
        <v>28840</v>
      </c>
    </row>
    <row r="6770" spans="1:13" x14ac:dyDescent="0.25">
      <c r="A6770" s="417" t="s">
        <v>3385</v>
      </c>
      <c r="B6770" s="417" t="s">
        <v>2627</v>
      </c>
      <c r="C6770" s="417" t="s">
        <v>16012</v>
      </c>
      <c r="D6770" s="417" t="s">
        <v>73</v>
      </c>
      <c r="E6770" s="423">
        <v>3.137743433013096E-2</v>
      </c>
      <c r="F6770" s="423">
        <v>6.5033130922691196E-4</v>
      </c>
      <c r="G6770" s="422">
        <v>55.273148307322941</v>
      </c>
      <c r="H6770" s="417" t="s">
        <v>2616</v>
      </c>
      <c r="I6770" s="417" t="s">
        <v>1392</v>
      </c>
      <c r="J6770" s="417" t="s">
        <v>15692</v>
      </c>
      <c r="K6770" s="417" t="s">
        <v>16013</v>
      </c>
      <c r="L6770" s="417"/>
      <c r="M6770" s="417" t="s">
        <v>28840</v>
      </c>
    </row>
    <row r="6771" spans="1:13" x14ac:dyDescent="0.25">
      <c r="A6771" s="417" t="s">
        <v>3385</v>
      </c>
      <c r="B6771" s="417" t="s">
        <v>2627</v>
      </c>
      <c r="C6771" s="417" t="s">
        <v>16014</v>
      </c>
      <c r="D6771" s="417" t="s">
        <v>73</v>
      </c>
      <c r="E6771" s="423">
        <v>2.2995937596681771E-2</v>
      </c>
      <c r="F6771" s="423">
        <v>2.2288544936272E-4</v>
      </c>
      <c r="G6771" s="422">
        <v>41.199616228824283</v>
      </c>
      <c r="H6771" s="417" t="s">
        <v>2616</v>
      </c>
      <c r="I6771" s="417" t="s">
        <v>1392</v>
      </c>
      <c r="J6771" s="417" t="s">
        <v>15692</v>
      </c>
      <c r="K6771" s="417" t="s">
        <v>16015</v>
      </c>
      <c r="L6771" s="417"/>
      <c r="M6771" s="417" t="s">
        <v>28840</v>
      </c>
    </row>
    <row r="6772" spans="1:13" x14ac:dyDescent="0.25">
      <c r="A6772" s="417" t="s">
        <v>3385</v>
      </c>
      <c r="B6772" s="417" t="s">
        <v>2627</v>
      </c>
      <c r="C6772" s="417" t="s">
        <v>16016</v>
      </c>
      <c r="D6772" s="417" t="s">
        <v>83</v>
      </c>
      <c r="E6772" s="423">
        <v>0.95286259594986755</v>
      </c>
      <c r="F6772" s="423">
        <v>2.278762409629569E-2</v>
      </c>
      <c r="G6772" s="422">
        <v>1767.750109180952</v>
      </c>
      <c r="H6772" s="417" t="s">
        <v>2616</v>
      </c>
      <c r="I6772" s="417" t="s">
        <v>1392</v>
      </c>
      <c r="J6772" s="417" t="s">
        <v>14271</v>
      </c>
      <c r="K6772" s="417" t="s">
        <v>16017</v>
      </c>
      <c r="L6772" s="417"/>
      <c r="M6772" s="417" t="s">
        <v>28840</v>
      </c>
    </row>
    <row r="6773" spans="1:13" x14ac:dyDescent="0.25">
      <c r="A6773" s="417" t="s">
        <v>3385</v>
      </c>
      <c r="B6773" s="417" t="s">
        <v>2627</v>
      </c>
      <c r="C6773" s="417" t="s">
        <v>16018</v>
      </c>
      <c r="D6773" s="417" t="s">
        <v>83</v>
      </c>
      <c r="E6773" s="423">
        <v>0.75699700296893768</v>
      </c>
      <c r="F6773" s="423">
        <v>1.262535585525674E-2</v>
      </c>
      <c r="G6773" s="422">
        <v>1437.327703929458</v>
      </c>
      <c r="H6773" s="417" t="s">
        <v>2616</v>
      </c>
      <c r="I6773" s="417" t="s">
        <v>1392</v>
      </c>
      <c r="J6773" s="417" t="s">
        <v>14271</v>
      </c>
      <c r="K6773" s="417" t="s">
        <v>16019</v>
      </c>
      <c r="L6773" s="417"/>
      <c r="M6773" s="417" t="s">
        <v>28840</v>
      </c>
    </row>
    <row r="6774" spans="1:13" x14ac:dyDescent="0.25">
      <c r="A6774" s="417" t="s">
        <v>3385</v>
      </c>
      <c r="B6774" s="417" t="s">
        <v>2627</v>
      </c>
      <c r="C6774" s="417" t="s">
        <v>16020</v>
      </c>
      <c r="D6774" s="417" t="s">
        <v>83</v>
      </c>
      <c r="E6774" s="423">
        <v>0.93382010774110447</v>
      </c>
      <c r="F6774" s="423">
        <v>2.1799625795039839E-2</v>
      </c>
      <c r="G6774" s="422">
        <v>1735.6257084513441</v>
      </c>
      <c r="H6774" s="417" t="s">
        <v>2616</v>
      </c>
      <c r="I6774" s="417" t="s">
        <v>1392</v>
      </c>
      <c r="J6774" s="417" t="s">
        <v>14271</v>
      </c>
      <c r="K6774" s="417" t="s">
        <v>16021</v>
      </c>
      <c r="L6774" s="417"/>
      <c r="M6774" s="417" t="s">
        <v>28840</v>
      </c>
    </row>
    <row r="6775" spans="1:13" x14ac:dyDescent="0.25">
      <c r="A6775" s="417" t="s">
        <v>3385</v>
      </c>
      <c r="B6775" s="417" t="s">
        <v>2627</v>
      </c>
      <c r="C6775" s="417" t="s">
        <v>16022</v>
      </c>
      <c r="D6775" s="417" t="s">
        <v>83</v>
      </c>
      <c r="E6775" s="423">
        <v>0.77059878026222528</v>
      </c>
      <c r="F6775" s="423">
        <v>1.3331068927590209E-2</v>
      </c>
      <c r="G6775" s="422">
        <v>1460.273704001615</v>
      </c>
      <c r="H6775" s="417" t="s">
        <v>2616</v>
      </c>
      <c r="I6775" s="417" t="s">
        <v>1392</v>
      </c>
      <c r="J6775" s="417" t="s">
        <v>14271</v>
      </c>
      <c r="K6775" s="417" t="s">
        <v>16023</v>
      </c>
      <c r="L6775" s="417"/>
      <c r="M6775" s="417" t="s">
        <v>28840</v>
      </c>
    </row>
    <row r="6776" spans="1:13" x14ac:dyDescent="0.25">
      <c r="A6776" s="417" t="s">
        <v>3385</v>
      </c>
      <c r="B6776" s="417" t="s">
        <v>2627</v>
      </c>
      <c r="C6776" s="417" t="s">
        <v>16024</v>
      </c>
      <c r="D6776" s="417" t="s">
        <v>83</v>
      </c>
      <c r="E6776" s="423">
        <v>0.67538633923306568</v>
      </c>
      <c r="F6776" s="423">
        <v>8.3910774217068433E-3</v>
      </c>
      <c r="G6776" s="422">
        <v>1299.6517017958879</v>
      </c>
      <c r="H6776" s="417" t="s">
        <v>2616</v>
      </c>
      <c r="I6776" s="417" t="s">
        <v>1392</v>
      </c>
      <c r="J6776" s="417" t="s">
        <v>14271</v>
      </c>
      <c r="K6776" s="417" t="s">
        <v>16025</v>
      </c>
      <c r="L6776" s="417"/>
      <c r="M6776" s="417" t="s">
        <v>28840</v>
      </c>
    </row>
    <row r="6777" spans="1:13" x14ac:dyDescent="0.25">
      <c r="A6777" s="417" t="s">
        <v>3385</v>
      </c>
      <c r="B6777" s="417" t="s">
        <v>2627</v>
      </c>
      <c r="C6777" s="417" t="s">
        <v>16026</v>
      </c>
      <c r="D6777" s="417" t="s">
        <v>83</v>
      </c>
      <c r="E6777" s="423">
        <v>0.66722527285962596</v>
      </c>
      <c r="F6777" s="423">
        <v>7.9676495783973997E-3</v>
      </c>
      <c r="G6777" s="422">
        <v>1285.8841015647531</v>
      </c>
      <c r="H6777" s="417" t="s">
        <v>2616</v>
      </c>
      <c r="I6777" s="417" t="s">
        <v>1392</v>
      </c>
      <c r="J6777" s="417" t="s">
        <v>14271</v>
      </c>
      <c r="K6777" s="417" t="s">
        <v>16027</v>
      </c>
      <c r="L6777" s="417"/>
      <c r="M6777" s="417" t="s">
        <v>28840</v>
      </c>
    </row>
    <row r="6778" spans="1:13" x14ac:dyDescent="0.25">
      <c r="A6778" s="417" t="s">
        <v>3385</v>
      </c>
      <c r="B6778" s="417" t="s">
        <v>2627</v>
      </c>
      <c r="C6778" s="417" t="s">
        <v>16028</v>
      </c>
      <c r="D6778" s="417" t="s">
        <v>83</v>
      </c>
      <c r="E6778" s="423">
        <v>0.77059878026222528</v>
      </c>
      <c r="F6778" s="423">
        <v>1.3331068927590209E-2</v>
      </c>
      <c r="G6778" s="422">
        <v>1460.273704001615</v>
      </c>
      <c r="H6778" s="417" t="s">
        <v>2616</v>
      </c>
      <c r="I6778" s="417" t="s">
        <v>1392</v>
      </c>
      <c r="J6778" s="417" t="s">
        <v>14271</v>
      </c>
      <c r="K6778" s="417" t="s">
        <v>16029</v>
      </c>
      <c r="L6778" s="417"/>
      <c r="M6778" s="417" t="s">
        <v>28840</v>
      </c>
    </row>
    <row r="6779" spans="1:13" x14ac:dyDescent="0.25">
      <c r="A6779" s="417" t="s">
        <v>3385</v>
      </c>
      <c r="B6779" s="417" t="s">
        <v>2627</v>
      </c>
      <c r="C6779" s="417" t="s">
        <v>16030</v>
      </c>
      <c r="D6779" s="417" t="s">
        <v>83</v>
      </c>
      <c r="E6779" s="423">
        <v>0.59649603095375614</v>
      </c>
      <c r="F6779" s="423">
        <v>4.2979416023384703E-3</v>
      </c>
      <c r="G6779" s="422">
        <v>1166.5648997309679</v>
      </c>
      <c r="H6779" s="417" t="s">
        <v>2616</v>
      </c>
      <c r="I6779" s="417" t="s">
        <v>1392</v>
      </c>
      <c r="J6779" s="417" t="s">
        <v>14271</v>
      </c>
      <c r="K6779" s="417" t="s">
        <v>16031</v>
      </c>
      <c r="L6779" s="417"/>
      <c r="M6779" s="417" t="s">
        <v>28840</v>
      </c>
    </row>
    <row r="6780" spans="1:13" x14ac:dyDescent="0.25">
      <c r="A6780" s="417" t="s">
        <v>3385</v>
      </c>
      <c r="B6780" s="417" t="s">
        <v>2627</v>
      </c>
      <c r="C6780" s="417" t="s">
        <v>16032</v>
      </c>
      <c r="D6780" s="417" t="s">
        <v>83</v>
      </c>
      <c r="E6780" s="423">
        <v>0.62369958553453686</v>
      </c>
      <c r="F6780" s="423">
        <v>5.7093677471607984E-3</v>
      </c>
      <c r="G6780" s="422">
        <v>1212.45690046499</v>
      </c>
      <c r="H6780" s="417" t="s">
        <v>2616</v>
      </c>
      <c r="I6780" s="417" t="s">
        <v>1392</v>
      </c>
      <c r="J6780" s="417" t="s">
        <v>14271</v>
      </c>
      <c r="K6780" s="417" t="s">
        <v>16033</v>
      </c>
      <c r="L6780" s="417"/>
      <c r="M6780" s="417" t="s">
        <v>28840</v>
      </c>
    </row>
    <row r="6781" spans="1:13" x14ac:dyDescent="0.25">
      <c r="A6781" s="417" t="s">
        <v>3385</v>
      </c>
      <c r="B6781" s="417" t="s">
        <v>2627</v>
      </c>
      <c r="C6781" s="417" t="s">
        <v>16034</v>
      </c>
      <c r="D6781" s="417" t="s">
        <v>83</v>
      </c>
      <c r="E6781" s="423">
        <v>0.75699700296893768</v>
      </c>
      <c r="F6781" s="423">
        <v>1.262535585525674E-2</v>
      </c>
      <c r="G6781" s="422">
        <v>1437.327703929458</v>
      </c>
      <c r="H6781" s="417" t="s">
        <v>2616</v>
      </c>
      <c r="I6781" s="417" t="s">
        <v>1392</v>
      </c>
      <c r="J6781" s="417" t="s">
        <v>14271</v>
      </c>
      <c r="K6781" s="417" t="s">
        <v>16035</v>
      </c>
      <c r="L6781" s="417"/>
      <c r="M6781" s="417" t="s">
        <v>28840</v>
      </c>
    </row>
    <row r="6782" spans="1:13" x14ac:dyDescent="0.25">
      <c r="A6782" s="417" t="s">
        <v>3385</v>
      </c>
      <c r="B6782" s="417" t="s">
        <v>2627</v>
      </c>
      <c r="C6782" s="417" t="s">
        <v>16036</v>
      </c>
      <c r="D6782" s="417" t="s">
        <v>83</v>
      </c>
      <c r="E6782" s="423">
        <v>0.65634385102772774</v>
      </c>
      <c r="F6782" s="423">
        <v>7.4030791204602198E-3</v>
      </c>
      <c r="G6782" s="422">
        <v>1267.527301309934</v>
      </c>
      <c r="H6782" s="417" t="s">
        <v>2616</v>
      </c>
      <c r="I6782" s="417" t="s">
        <v>1392</v>
      </c>
      <c r="J6782" s="417" t="s">
        <v>14271</v>
      </c>
      <c r="K6782" s="417" t="s">
        <v>16037</v>
      </c>
      <c r="L6782" s="417"/>
      <c r="M6782" s="417" t="s">
        <v>28840</v>
      </c>
    </row>
    <row r="6783" spans="1:13" x14ac:dyDescent="0.25">
      <c r="A6783" s="417" t="s">
        <v>3385</v>
      </c>
      <c r="B6783" s="417" t="s">
        <v>2627</v>
      </c>
      <c r="C6783" s="417" t="s">
        <v>16038</v>
      </c>
      <c r="D6783" s="417" t="s">
        <v>83</v>
      </c>
      <c r="E6783" s="423">
        <v>1.004549349649039</v>
      </c>
      <c r="F6783" s="423">
        <v>2.5469333770862568E-2</v>
      </c>
      <c r="G6783" s="422">
        <v>1854.944909858275</v>
      </c>
      <c r="H6783" s="417" t="s">
        <v>2616</v>
      </c>
      <c r="I6783" s="417" t="s">
        <v>1392</v>
      </c>
      <c r="J6783" s="417" t="s">
        <v>14271</v>
      </c>
      <c r="K6783" s="417" t="s">
        <v>16039</v>
      </c>
      <c r="L6783" s="417"/>
      <c r="M6783" s="417" t="s">
        <v>28840</v>
      </c>
    </row>
    <row r="6784" spans="1:13" x14ac:dyDescent="0.25">
      <c r="A6784" s="417" t="s">
        <v>3385</v>
      </c>
      <c r="B6784" s="417" t="s">
        <v>2627</v>
      </c>
      <c r="C6784" s="417" t="s">
        <v>16040</v>
      </c>
      <c r="D6784" s="417" t="s">
        <v>83</v>
      </c>
      <c r="E6784" s="423">
        <v>0.98548835561736658</v>
      </c>
      <c r="F6784" s="423">
        <v>2.4480375315703861E-2</v>
      </c>
      <c r="G6784" s="422">
        <v>1822.7892906297029</v>
      </c>
      <c r="H6784" s="417" t="s">
        <v>2616</v>
      </c>
      <c r="I6784" s="417" t="s">
        <v>1392</v>
      </c>
      <c r="J6784" s="417" t="s">
        <v>14271</v>
      </c>
      <c r="K6784" s="417" t="s">
        <v>16041</v>
      </c>
      <c r="L6784" s="417"/>
      <c r="M6784" s="417" t="s">
        <v>28840</v>
      </c>
    </row>
    <row r="6785" spans="1:13" x14ac:dyDescent="0.25">
      <c r="A6785" s="417" t="s">
        <v>3385</v>
      </c>
      <c r="B6785" s="417" t="s">
        <v>2627</v>
      </c>
      <c r="C6785" s="417" t="s">
        <v>16042</v>
      </c>
      <c r="D6785" s="417" t="s">
        <v>83</v>
      </c>
      <c r="E6785" s="423">
        <v>0.75699700296893768</v>
      </c>
      <c r="F6785" s="423">
        <v>1.262535585525674E-2</v>
      </c>
      <c r="G6785" s="422">
        <v>1437.327703929458</v>
      </c>
      <c r="H6785" s="417" t="s">
        <v>2616</v>
      </c>
      <c r="I6785" s="417" t="s">
        <v>1392</v>
      </c>
      <c r="J6785" s="417" t="s">
        <v>14271</v>
      </c>
      <c r="K6785" s="417" t="s">
        <v>16043</v>
      </c>
      <c r="L6785" s="417"/>
      <c r="M6785" s="417" t="s">
        <v>28840</v>
      </c>
    </row>
    <row r="6786" spans="1:13" x14ac:dyDescent="0.25">
      <c r="A6786" s="417" t="s">
        <v>3385</v>
      </c>
      <c r="B6786" s="417" t="s">
        <v>2627</v>
      </c>
      <c r="C6786" s="417" t="s">
        <v>16044</v>
      </c>
      <c r="D6786" s="417" t="s">
        <v>83</v>
      </c>
      <c r="E6786" s="423">
        <v>0.59649603095375614</v>
      </c>
      <c r="F6786" s="423">
        <v>4.2979416023384703E-3</v>
      </c>
      <c r="G6786" s="422">
        <v>1166.5648997309679</v>
      </c>
      <c r="H6786" s="417" t="s">
        <v>2616</v>
      </c>
      <c r="I6786" s="417" t="s">
        <v>1392</v>
      </c>
      <c r="J6786" s="417" t="s">
        <v>14271</v>
      </c>
      <c r="K6786" s="417" t="s">
        <v>16045</v>
      </c>
      <c r="L6786" s="417"/>
      <c r="M6786" s="417" t="s">
        <v>28840</v>
      </c>
    </row>
    <row r="6787" spans="1:13" x14ac:dyDescent="0.25">
      <c r="A6787" s="417" t="s">
        <v>3385</v>
      </c>
      <c r="B6787" s="417" t="s">
        <v>2627</v>
      </c>
      <c r="C6787" s="417" t="s">
        <v>16046</v>
      </c>
      <c r="D6787" s="417" t="s">
        <v>83</v>
      </c>
      <c r="E6787" s="423">
        <v>0.59649603095375614</v>
      </c>
      <c r="F6787" s="423">
        <v>4.2979416023384703E-3</v>
      </c>
      <c r="G6787" s="422">
        <v>1166.5648997309679</v>
      </c>
      <c r="H6787" s="417" t="s">
        <v>2616</v>
      </c>
      <c r="I6787" s="417" t="s">
        <v>1392</v>
      </c>
      <c r="J6787" s="417" t="s">
        <v>14271</v>
      </c>
      <c r="K6787" s="417" t="s">
        <v>16047</v>
      </c>
      <c r="L6787" s="417"/>
      <c r="M6787" s="417" t="s">
        <v>28840</v>
      </c>
    </row>
    <row r="6788" spans="1:13" x14ac:dyDescent="0.25">
      <c r="A6788" s="417" t="s">
        <v>3385</v>
      </c>
      <c r="B6788" s="417" t="s">
        <v>2627</v>
      </c>
      <c r="C6788" s="417" t="s">
        <v>16048</v>
      </c>
      <c r="D6788" s="417" t="s">
        <v>83</v>
      </c>
      <c r="E6788" s="423">
        <v>0.6318606519070129</v>
      </c>
      <c r="F6788" s="423">
        <v>6.1327955903362798E-3</v>
      </c>
      <c r="G6788" s="422">
        <v>1226.224500748169</v>
      </c>
      <c r="H6788" s="417" t="s">
        <v>2616</v>
      </c>
      <c r="I6788" s="417" t="s">
        <v>1392</v>
      </c>
      <c r="J6788" s="417" t="s">
        <v>14271</v>
      </c>
      <c r="K6788" s="417" t="s">
        <v>16049</v>
      </c>
      <c r="L6788" s="417"/>
      <c r="M6788" s="417" t="s">
        <v>28840</v>
      </c>
    </row>
    <row r="6789" spans="1:13" x14ac:dyDescent="0.25">
      <c r="A6789" s="417" t="s">
        <v>3385</v>
      </c>
      <c r="B6789" s="417" t="s">
        <v>2627</v>
      </c>
      <c r="C6789" s="417" t="s">
        <v>16050</v>
      </c>
      <c r="D6789" s="417" t="s">
        <v>83</v>
      </c>
      <c r="E6789" s="423">
        <v>0.93926081865577604</v>
      </c>
      <c r="F6789" s="423">
        <v>2.208191102392967E-2</v>
      </c>
      <c r="G6789" s="422">
        <v>1744.8041085513059</v>
      </c>
      <c r="H6789" s="417" t="s">
        <v>2616</v>
      </c>
      <c r="I6789" s="417" t="s">
        <v>1392</v>
      </c>
      <c r="J6789" s="417" t="s">
        <v>14271</v>
      </c>
      <c r="K6789" s="417" t="s">
        <v>16051</v>
      </c>
      <c r="L6789" s="417"/>
      <c r="M6789" s="417" t="s">
        <v>28840</v>
      </c>
    </row>
    <row r="6790" spans="1:13" x14ac:dyDescent="0.25">
      <c r="A6790" s="417" t="s">
        <v>3385</v>
      </c>
      <c r="B6790" s="417" t="s">
        <v>2627</v>
      </c>
      <c r="C6790" s="417" t="s">
        <v>16052</v>
      </c>
      <c r="D6790" s="417" t="s">
        <v>73</v>
      </c>
      <c r="E6790" s="423">
        <v>2.667441259984555E-2</v>
      </c>
      <c r="F6790" s="423">
        <v>6.3318534824903278E-4</v>
      </c>
      <c r="G6790" s="422">
        <v>49.355390526439898</v>
      </c>
      <c r="H6790" s="417" t="s">
        <v>2616</v>
      </c>
      <c r="I6790" s="417" t="s">
        <v>1392</v>
      </c>
      <c r="J6790" s="417" t="s">
        <v>15692</v>
      </c>
      <c r="K6790" s="417" t="s">
        <v>16053</v>
      </c>
      <c r="L6790" s="417"/>
      <c r="M6790" s="417" t="s">
        <v>28840</v>
      </c>
    </row>
    <row r="6791" spans="1:13" x14ac:dyDescent="0.25">
      <c r="A6791" s="417" t="s">
        <v>3385</v>
      </c>
      <c r="B6791" s="417" t="s">
        <v>2627</v>
      </c>
      <c r="C6791" s="417" t="s">
        <v>16054</v>
      </c>
      <c r="D6791" s="417" t="s">
        <v>73</v>
      </c>
      <c r="E6791" s="423">
        <v>2.1233070561472198E-2</v>
      </c>
      <c r="F6791" s="423">
        <v>3.5086737424694511E-4</v>
      </c>
      <c r="G6791" s="422">
        <v>40.175925694177998</v>
      </c>
      <c r="H6791" s="417" t="s">
        <v>2616</v>
      </c>
      <c r="I6791" s="417" t="s">
        <v>1392</v>
      </c>
      <c r="J6791" s="417" t="s">
        <v>15692</v>
      </c>
      <c r="K6791" s="417" t="s">
        <v>16055</v>
      </c>
      <c r="L6791" s="417"/>
      <c r="M6791" s="417" t="s">
        <v>28840</v>
      </c>
    </row>
    <row r="6792" spans="1:13" x14ac:dyDescent="0.25">
      <c r="A6792" s="417" t="s">
        <v>3385</v>
      </c>
      <c r="B6792" s="417" t="s">
        <v>2627</v>
      </c>
      <c r="C6792" s="417" t="s">
        <v>16056</v>
      </c>
      <c r="D6792" s="417" t="s">
        <v>73</v>
      </c>
      <c r="E6792" s="423">
        <v>2.6145393234855669E-2</v>
      </c>
      <c r="F6792" s="423">
        <v>6.0573776743894374E-4</v>
      </c>
      <c r="G6792" s="422">
        <v>48.462942551444527</v>
      </c>
      <c r="H6792" s="417" t="s">
        <v>2616</v>
      </c>
      <c r="I6792" s="417" t="s">
        <v>1392</v>
      </c>
      <c r="J6792" s="417" t="s">
        <v>15692</v>
      </c>
      <c r="K6792" s="417" t="s">
        <v>16057</v>
      </c>
      <c r="L6792" s="417"/>
      <c r="M6792" s="417" t="s">
        <v>28840</v>
      </c>
    </row>
    <row r="6793" spans="1:13" x14ac:dyDescent="0.25">
      <c r="A6793" s="417" t="s">
        <v>3385</v>
      </c>
      <c r="B6793" s="417" t="s">
        <v>2627</v>
      </c>
      <c r="C6793" s="417" t="s">
        <v>16058</v>
      </c>
      <c r="D6793" s="417" t="s">
        <v>73</v>
      </c>
      <c r="E6793" s="423">
        <v>2.161094153648388E-2</v>
      </c>
      <c r="F6793" s="423">
        <v>3.7047278911246672E-4</v>
      </c>
      <c r="G6793" s="422">
        <v>40.813388535305748</v>
      </c>
      <c r="H6793" s="417" t="s">
        <v>2616</v>
      </c>
      <c r="I6793" s="417" t="s">
        <v>1392</v>
      </c>
      <c r="J6793" s="417" t="s">
        <v>15692</v>
      </c>
      <c r="K6793" s="417" t="s">
        <v>16059</v>
      </c>
      <c r="L6793" s="417"/>
      <c r="M6793" s="417" t="s">
        <v>28840</v>
      </c>
    </row>
    <row r="6794" spans="1:13" x14ac:dyDescent="0.25">
      <c r="A6794" s="417" t="s">
        <v>3385</v>
      </c>
      <c r="B6794" s="417" t="s">
        <v>2627</v>
      </c>
      <c r="C6794" s="417" t="s">
        <v>16060</v>
      </c>
      <c r="D6794" s="417" t="s">
        <v>73</v>
      </c>
      <c r="E6794" s="423">
        <v>8.6340283291168052E-3</v>
      </c>
      <c r="F6794" s="423">
        <v>4.9354780387103282E-5</v>
      </c>
      <c r="G6794" s="422">
        <v>21.746653379606279</v>
      </c>
      <c r="H6794" s="417" t="s">
        <v>2616</v>
      </c>
      <c r="I6794" s="417" t="s">
        <v>1392</v>
      </c>
      <c r="J6794" s="417" t="s">
        <v>15692</v>
      </c>
      <c r="K6794" s="417" t="s">
        <v>16061</v>
      </c>
      <c r="L6794" s="417"/>
      <c r="M6794" s="417" t="s">
        <v>28840</v>
      </c>
    </row>
    <row r="6795" spans="1:13" x14ac:dyDescent="0.25">
      <c r="A6795" s="417" t="s">
        <v>3385</v>
      </c>
      <c r="B6795" s="417" t="s">
        <v>2627</v>
      </c>
      <c r="C6795" s="417" t="s">
        <v>16062</v>
      </c>
      <c r="D6795" s="417" t="s">
        <v>73</v>
      </c>
      <c r="E6795" s="423">
        <v>1.896584471212908E-2</v>
      </c>
      <c r="F6795" s="423">
        <v>2.332348850791501E-4</v>
      </c>
      <c r="G6795" s="422">
        <v>36.351148680217527</v>
      </c>
      <c r="H6795" s="417" t="s">
        <v>2616</v>
      </c>
      <c r="I6795" s="417" t="s">
        <v>1392</v>
      </c>
      <c r="J6795" s="417" t="s">
        <v>15692</v>
      </c>
      <c r="K6795" s="417" t="s">
        <v>16063</v>
      </c>
      <c r="L6795" s="417"/>
      <c r="M6795" s="417" t="s">
        <v>28840</v>
      </c>
    </row>
    <row r="6796" spans="1:13" x14ac:dyDescent="0.25">
      <c r="A6796" s="417" t="s">
        <v>3385</v>
      </c>
      <c r="B6796" s="417" t="s">
        <v>2627</v>
      </c>
      <c r="C6796" s="417" t="s">
        <v>16064</v>
      </c>
      <c r="D6796" s="417" t="s">
        <v>73</v>
      </c>
      <c r="E6796" s="423">
        <v>1.873912212717934E-2</v>
      </c>
      <c r="F6796" s="423">
        <v>2.2147163616604711E-4</v>
      </c>
      <c r="G6796" s="422">
        <v>35.968670973549528</v>
      </c>
      <c r="H6796" s="417" t="s">
        <v>2616</v>
      </c>
      <c r="I6796" s="417" t="s">
        <v>1392</v>
      </c>
      <c r="J6796" s="417" t="s">
        <v>15692</v>
      </c>
      <c r="K6796" s="417" t="s">
        <v>16065</v>
      </c>
      <c r="L6796" s="417"/>
      <c r="M6796" s="417" t="s">
        <v>28840</v>
      </c>
    </row>
    <row r="6797" spans="1:13" x14ac:dyDescent="0.25">
      <c r="A6797" s="417" t="s">
        <v>3385</v>
      </c>
      <c r="B6797" s="417" t="s">
        <v>2627</v>
      </c>
      <c r="C6797" s="417" t="s">
        <v>16066</v>
      </c>
      <c r="D6797" s="417" t="s">
        <v>73</v>
      </c>
      <c r="E6797" s="423">
        <v>2.161094153648388E-2</v>
      </c>
      <c r="F6797" s="423">
        <v>3.7047278911246672E-4</v>
      </c>
      <c r="G6797" s="422">
        <v>40.813388535305748</v>
      </c>
      <c r="H6797" s="417" t="s">
        <v>2616</v>
      </c>
      <c r="I6797" s="417" t="s">
        <v>1392</v>
      </c>
      <c r="J6797" s="417" t="s">
        <v>15692</v>
      </c>
      <c r="K6797" s="417" t="s">
        <v>16067</v>
      </c>
      <c r="L6797" s="417"/>
      <c r="M6797" s="417" t="s">
        <v>28840</v>
      </c>
    </row>
    <row r="6798" spans="1:13" x14ac:dyDescent="0.25">
      <c r="A6798" s="417" t="s">
        <v>3385</v>
      </c>
      <c r="B6798" s="417" t="s">
        <v>2627</v>
      </c>
      <c r="C6798" s="417" t="s">
        <v>16068</v>
      </c>
      <c r="D6798" s="417" t="s">
        <v>73</v>
      </c>
      <c r="E6798" s="423">
        <v>9.1950017864008346E-3</v>
      </c>
      <c r="F6798" s="423">
        <v>5.5244947063107558E-5</v>
      </c>
      <c r="G6798" s="422">
        <v>22.50775998956226</v>
      </c>
      <c r="H6798" s="417" t="s">
        <v>2616</v>
      </c>
      <c r="I6798" s="417" t="s">
        <v>1392</v>
      </c>
      <c r="J6798" s="417" t="s">
        <v>15692</v>
      </c>
      <c r="K6798" s="417" t="s">
        <v>16069</v>
      </c>
      <c r="L6798" s="417"/>
      <c r="M6798" s="417" t="s">
        <v>28840</v>
      </c>
    </row>
    <row r="6799" spans="1:13" x14ac:dyDescent="0.25">
      <c r="A6799" s="417" t="s">
        <v>3385</v>
      </c>
      <c r="B6799" s="417" t="s">
        <v>2627</v>
      </c>
      <c r="C6799" s="417" t="s">
        <v>16070</v>
      </c>
      <c r="D6799" s="417" t="s">
        <v>73</v>
      </c>
      <c r="E6799" s="423">
        <v>1.7529935007560709E-2</v>
      </c>
      <c r="F6799" s="423">
        <v>1.5873430861011021E-4</v>
      </c>
      <c r="G6799" s="422">
        <v>33.928789906441096</v>
      </c>
      <c r="H6799" s="417" t="s">
        <v>2616</v>
      </c>
      <c r="I6799" s="417" t="s">
        <v>1392</v>
      </c>
      <c r="J6799" s="417" t="s">
        <v>15692</v>
      </c>
      <c r="K6799" s="417" t="s">
        <v>16071</v>
      </c>
      <c r="L6799" s="417"/>
      <c r="M6799" s="417" t="s">
        <v>28840</v>
      </c>
    </row>
    <row r="6800" spans="1:13" x14ac:dyDescent="0.25">
      <c r="A6800" s="417" t="s">
        <v>3385</v>
      </c>
      <c r="B6800" s="417" t="s">
        <v>2627</v>
      </c>
      <c r="C6800" s="417" t="s">
        <v>16072</v>
      </c>
      <c r="D6800" s="417" t="s">
        <v>73</v>
      </c>
      <c r="E6800" s="423">
        <v>2.1233070561472198E-2</v>
      </c>
      <c r="F6800" s="423">
        <v>3.5086737424694511E-4</v>
      </c>
      <c r="G6800" s="422">
        <v>40.175925694177998</v>
      </c>
      <c r="H6800" s="417" t="s">
        <v>2616</v>
      </c>
      <c r="I6800" s="417" t="s">
        <v>1392</v>
      </c>
      <c r="J6800" s="417" t="s">
        <v>15692</v>
      </c>
      <c r="K6800" s="417" t="s">
        <v>16073</v>
      </c>
      <c r="L6800" s="417"/>
      <c r="M6800" s="417" t="s">
        <v>28840</v>
      </c>
    </row>
    <row r="6801" spans="1:13" x14ac:dyDescent="0.25">
      <c r="A6801" s="417" t="s">
        <v>3385</v>
      </c>
      <c r="B6801" s="417" t="s">
        <v>2627</v>
      </c>
      <c r="C6801" s="417" t="s">
        <v>16074</v>
      </c>
      <c r="D6801" s="417" t="s">
        <v>73</v>
      </c>
      <c r="E6801" s="423">
        <v>1.8436825347195009E-2</v>
      </c>
      <c r="F6801" s="423">
        <v>2.0578730427098579E-4</v>
      </c>
      <c r="G6801" s="422">
        <v>35.458700708373421</v>
      </c>
      <c r="H6801" s="417" t="s">
        <v>2616</v>
      </c>
      <c r="I6801" s="417" t="s">
        <v>1392</v>
      </c>
      <c r="J6801" s="417" t="s">
        <v>15692</v>
      </c>
      <c r="K6801" s="417" t="s">
        <v>16075</v>
      </c>
      <c r="L6801" s="417"/>
      <c r="M6801" s="417" t="s">
        <v>28840</v>
      </c>
    </row>
    <row r="6802" spans="1:13" x14ac:dyDescent="0.25">
      <c r="A6802" s="417" t="s">
        <v>3385</v>
      </c>
      <c r="B6802" s="417" t="s">
        <v>2627</v>
      </c>
      <c r="C6802" s="417" t="s">
        <v>16076</v>
      </c>
      <c r="D6802" s="417" t="s">
        <v>73</v>
      </c>
      <c r="E6802" s="423">
        <v>2.8110322304481919E-2</v>
      </c>
      <c r="F6802" s="423">
        <v>7.0768592471916539E-4</v>
      </c>
      <c r="G6802" s="422">
        <v>51.777749285332654</v>
      </c>
      <c r="H6802" s="417" t="s">
        <v>2616</v>
      </c>
      <c r="I6802" s="417" t="s">
        <v>1392</v>
      </c>
      <c r="J6802" s="417" t="s">
        <v>15692</v>
      </c>
      <c r="K6802" s="417" t="s">
        <v>16077</v>
      </c>
      <c r="L6802" s="417"/>
      <c r="M6802" s="417" t="s">
        <v>28840</v>
      </c>
    </row>
    <row r="6803" spans="1:13" x14ac:dyDescent="0.25">
      <c r="A6803" s="417" t="s">
        <v>3385</v>
      </c>
      <c r="B6803" s="417" t="s">
        <v>2627</v>
      </c>
      <c r="C6803" s="417" t="s">
        <v>16078</v>
      </c>
      <c r="D6803" s="417" t="s">
        <v>73</v>
      </c>
      <c r="E6803" s="423">
        <v>2.7580788829474592E-2</v>
      </c>
      <c r="F6803" s="423">
        <v>6.8021166988083246E-4</v>
      </c>
      <c r="G6803" s="422">
        <v>50.884434046882632</v>
      </c>
      <c r="H6803" s="417" t="s">
        <v>2616</v>
      </c>
      <c r="I6803" s="417" t="s">
        <v>1392</v>
      </c>
      <c r="J6803" s="417" t="s">
        <v>15692</v>
      </c>
      <c r="K6803" s="417" t="s">
        <v>16079</v>
      </c>
      <c r="L6803" s="417"/>
      <c r="M6803" s="417" t="s">
        <v>28840</v>
      </c>
    </row>
    <row r="6804" spans="1:13" x14ac:dyDescent="0.25">
      <c r="A6804" s="417" t="s">
        <v>3385</v>
      </c>
      <c r="B6804" s="417" t="s">
        <v>2627</v>
      </c>
      <c r="C6804" s="417" t="s">
        <v>16080</v>
      </c>
      <c r="D6804" s="417" t="s">
        <v>73</v>
      </c>
      <c r="E6804" s="423">
        <v>2.1233070561472198E-2</v>
      </c>
      <c r="F6804" s="423">
        <v>3.5086737424694511E-4</v>
      </c>
      <c r="G6804" s="422">
        <v>40.175925694177998</v>
      </c>
      <c r="H6804" s="417" t="s">
        <v>2616</v>
      </c>
      <c r="I6804" s="417" t="s">
        <v>1392</v>
      </c>
      <c r="J6804" s="417" t="s">
        <v>15692</v>
      </c>
      <c r="K6804" s="417" t="s">
        <v>16081</v>
      </c>
      <c r="L6804" s="417"/>
      <c r="M6804" s="417" t="s">
        <v>28840</v>
      </c>
    </row>
    <row r="6805" spans="1:13" x14ac:dyDescent="0.25">
      <c r="A6805" s="417" t="s">
        <v>3385</v>
      </c>
      <c r="B6805" s="417" t="s">
        <v>2627</v>
      </c>
      <c r="C6805" s="417" t="s">
        <v>16082</v>
      </c>
      <c r="D6805" s="417" t="s">
        <v>73</v>
      </c>
      <c r="E6805" s="423">
        <v>1.6774193057775149E-2</v>
      </c>
      <c r="F6805" s="423">
        <v>1.195234788860546E-4</v>
      </c>
      <c r="G6805" s="422">
        <v>32.653864232946603</v>
      </c>
      <c r="H6805" s="417" t="s">
        <v>2616</v>
      </c>
      <c r="I6805" s="417" t="s">
        <v>1392</v>
      </c>
      <c r="J6805" s="417" t="s">
        <v>15692</v>
      </c>
      <c r="K6805" s="417" t="s">
        <v>16083</v>
      </c>
      <c r="L6805" s="417"/>
      <c r="M6805" s="417" t="s">
        <v>28840</v>
      </c>
    </row>
    <row r="6806" spans="1:13" x14ac:dyDescent="0.25">
      <c r="A6806" s="417" t="s">
        <v>3385</v>
      </c>
      <c r="B6806" s="417" t="s">
        <v>2627</v>
      </c>
      <c r="C6806" s="417" t="s">
        <v>16084</v>
      </c>
      <c r="D6806" s="417" t="s">
        <v>73</v>
      </c>
      <c r="E6806" s="423">
        <v>8.7516431184087723E-3</v>
      </c>
      <c r="F6806" s="423">
        <v>5.1484496452232382E-5</v>
      </c>
      <c r="G6806" s="422">
        <v>21.914419287280861</v>
      </c>
      <c r="H6806" s="417" t="s">
        <v>2616</v>
      </c>
      <c r="I6806" s="417" t="s">
        <v>1392</v>
      </c>
      <c r="J6806" s="417" t="s">
        <v>15692</v>
      </c>
      <c r="K6806" s="417" t="s">
        <v>16085</v>
      </c>
      <c r="L6806" s="417"/>
      <c r="M6806" s="417" t="s">
        <v>28840</v>
      </c>
    </row>
    <row r="6807" spans="1:13" x14ac:dyDescent="0.25">
      <c r="A6807" s="417" t="s">
        <v>3385</v>
      </c>
      <c r="B6807" s="417" t="s">
        <v>2627</v>
      </c>
      <c r="C6807" s="417" t="s">
        <v>16086</v>
      </c>
      <c r="D6807" s="417" t="s">
        <v>73</v>
      </c>
      <c r="E6807" s="423">
        <v>1.7756657592432491E-2</v>
      </c>
      <c r="F6807" s="423">
        <v>1.7049755752230291E-4</v>
      </c>
      <c r="G6807" s="422">
        <v>34.311267606246048</v>
      </c>
      <c r="H6807" s="417" t="s">
        <v>2616</v>
      </c>
      <c r="I6807" s="417" t="s">
        <v>1392</v>
      </c>
      <c r="J6807" s="417" t="s">
        <v>15692</v>
      </c>
      <c r="K6807" s="417" t="s">
        <v>16087</v>
      </c>
      <c r="L6807" s="417"/>
      <c r="M6807" s="417" t="s">
        <v>28840</v>
      </c>
    </row>
    <row r="6808" spans="1:13" x14ac:dyDescent="0.25">
      <c r="A6808" s="417" t="s">
        <v>3385</v>
      </c>
      <c r="B6808" s="417" t="s">
        <v>2627</v>
      </c>
      <c r="C6808" s="417" t="s">
        <v>16088</v>
      </c>
      <c r="D6808" s="417" t="s">
        <v>73</v>
      </c>
      <c r="E6808" s="423">
        <v>2.62965416250205E-2</v>
      </c>
      <c r="F6808" s="423">
        <v>6.1357993338145844E-4</v>
      </c>
      <c r="G6808" s="422">
        <v>48.717927694147107</v>
      </c>
      <c r="H6808" s="417" t="s">
        <v>2616</v>
      </c>
      <c r="I6808" s="417" t="s">
        <v>1392</v>
      </c>
      <c r="J6808" s="417" t="s">
        <v>15692</v>
      </c>
      <c r="K6808" s="417" t="s">
        <v>16089</v>
      </c>
      <c r="L6808" s="417"/>
      <c r="M6808" s="417" t="s">
        <v>28840</v>
      </c>
    </row>
    <row r="6809" spans="1:13" x14ac:dyDescent="0.25">
      <c r="A6809" s="417" t="s">
        <v>3385</v>
      </c>
      <c r="B6809" s="417" t="s">
        <v>2627</v>
      </c>
      <c r="C6809" s="417" t="s">
        <v>16090</v>
      </c>
      <c r="D6809" s="417" t="s">
        <v>73</v>
      </c>
      <c r="E6809" s="423">
        <v>7.0017065954149204E-3</v>
      </c>
      <c r="F6809" s="423">
        <v>4.9794837030812261E-5</v>
      </c>
      <c r="G6809" s="422">
        <v>19.876031594657771</v>
      </c>
      <c r="H6809" s="417" t="s">
        <v>2616</v>
      </c>
      <c r="I6809" s="417" t="s">
        <v>1392</v>
      </c>
      <c r="J6809" s="417" t="s">
        <v>15692</v>
      </c>
      <c r="K6809" s="417" t="s">
        <v>16091</v>
      </c>
      <c r="L6809" s="417"/>
      <c r="M6809" s="417" t="s">
        <v>28840</v>
      </c>
    </row>
    <row r="6810" spans="1:13" x14ac:dyDescent="0.25">
      <c r="A6810" s="417" t="s">
        <v>3385</v>
      </c>
      <c r="B6810" s="417" t="s">
        <v>2627</v>
      </c>
      <c r="C6810" s="417" t="s">
        <v>16092</v>
      </c>
      <c r="D6810" s="417" t="s">
        <v>73</v>
      </c>
      <c r="E6810" s="423">
        <v>2.2440550593204999E-2</v>
      </c>
      <c r="F6810" s="423">
        <v>3.3091708330479391E-4</v>
      </c>
      <c r="G6810" s="422">
        <v>41.462052410171857</v>
      </c>
      <c r="H6810" s="417" t="s">
        <v>2616</v>
      </c>
      <c r="I6810" s="417" t="s">
        <v>1392</v>
      </c>
      <c r="J6810" s="417" t="s">
        <v>15692</v>
      </c>
      <c r="K6810" s="417" t="s">
        <v>16093</v>
      </c>
      <c r="L6810" s="417"/>
      <c r="M6810" s="417" t="s">
        <v>28840</v>
      </c>
    </row>
    <row r="6811" spans="1:13" x14ac:dyDescent="0.25">
      <c r="A6811" s="417" t="s">
        <v>3385</v>
      </c>
      <c r="B6811" s="417" t="s">
        <v>2627</v>
      </c>
      <c r="C6811" s="417" t="s">
        <v>16094</v>
      </c>
      <c r="D6811" s="417" t="s">
        <v>73</v>
      </c>
      <c r="E6811" s="423">
        <v>2.2440550593204999E-2</v>
      </c>
      <c r="F6811" s="423">
        <v>3.3091708330479391E-4</v>
      </c>
      <c r="G6811" s="422">
        <v>41.462052410171857</v>
      </c>
      <c r="H6811" s="417" t="s">
        <v>2616</v>
      </c>
      <c r="I6811" s="417" t="s">
        <v>1392</v>
      </c>
      <c r="J6811" s="417" t="s">
        <v>15692</v>
      </c>
      <c r="K6811" s="417" t="s">
        <v>16095</v>
      </c>
      <c r="L6811" s="417"/>
      <c r="M6811" s="417" t="s">
        <v>28840</v>
      </c>
    </row>
    <row r="6812" spans="1:13" x14ac:dyDescent="0.25">
      <c r="A6812" s="417" t="s">
        <v>3385</v>
      </c>
      <c r="B6812" s="417" t="s">
        <v>2627</v>
      </c>
      <c r="C6812" s="417" t="s">
        <v>16096</v>
      </c>
      <c r="D6812" s="417" t="s">
        <v>73</v>
      </c>
      <c r="E6812" s="423">
        <v>2.2440550593204999E-2</v>
      </c>
      <c r="F6812" s="423">
        <v>3.3091708330479391E-4</v>
      </c>
      <c r="G6812" s="422">
        <v>41.462052410171857</v>
      </c>
      <c r="H6812" s="417" t="s">
        <v>2616</v>
      </c>
      <c r="I6812" s="417" t="s">
        <v>1392</v>
      </c>
      <c r="J6812" s="417" t="s">
        <v>15692</v>
      </c>
      <c r="K6812" s="417" t="s">
        <v>16097</v>
      </c>
      <c r="L6812" s="417"/>
      <c r="M6812" s="417" t="s">
        <v>28840</v>
      </c>
    </row>
    <row r="6813" spans="1:13" x14ac:dyDescent="0.25">
      <c r="A6813" s="417" t="s">
        <v>3385</v>
      </c>
      <c r="B6813" s="417" t="s">
        <v>2627</v>
      </c>
      <c r="C6813" s="417" t="s">
        <v>16098</v>
      </c>
      <c r="D6813" s="417" t="s">
        <v>73</v>
      </c>
      <c r="E6813" s="423">
        <v>2.3424105428184019E-4</v>
      </c>
      <c r="F6813" s="423">
        <v>1.0989241749899321E-6</v>
      </c>
      <c r="G6813" s="422">
        <v>0.29380486594727101</v>
      </c>
      <c r="H6813" s="417" t="s">
        <v>2616</v>
      </c>
      <c r="I6813" s="417" t="s">
        <v>1392</v>
      </c>
      <c r="J6813" s="417" t="s">
        <v>15692</v>
      </c>
      <c r="K6813" s="417" t="s">
        <v>16099</v>
      </c>
      <c r="L6813" s="417"/>
      <c r="M6813" s="417" t="s">
        <v>28840</v>
      </c>
    </row>
    <row r="6814" spans="1:13" x14ac:dyDescent="0.25">
      <c r="A6814" s="417" t="s">
        <v>3385</v>
      </c>
      <c r="B6814" s="417" t="s">
        <v>2627</v>
      </c>
      <c r="C6814" s="417" t="s">
        <v>16100</v>
      </c>
      <c r="D6814" s="417" t="s">
        <v>73</v>
      </c>
      <c r="E6814" s="423">
        <v>2.3424105428184019E-4</v>
      </c>
      <c r="F6814" s="423">
        <v>1.0989241749899321E-6</v>
      </c>
      <c r="G6814" s="422">
        <v>0.29380486594727101</v>
      </c>
      <c r="H6814" s="417" t="s">
        <v>2616</v>
      </c>
      <c r="I6814" s="417" t="s">
        <v>1392</v>
      </c>
      <c r="J6814" s="417" t="s">
        <v>15692</v>
      </c>
      <c r="K6814" s="417" t="s">
        <v>16101</v>
      </c>
      <c r="L6814" s="417"/>
      <c r="M6814" s="417" t="s">
        <v>28840</v>
      </c>
    </row>
    <row r="6815" spans="1:13" x14ac:dyDescent="0.25">
      <c r="A6815" s="417" t="s">
        <v>3385</v>
      </c>
      <c r="B6815" s="417" t="s">
        <v>2627</v>
      </c>
      <c r="C6815" s="417" t="s">
        <v>16102</v>
      </c>
      <c r="D6815" s="417" t="s">
        <v>73</v>
      </c>
      <c r="E6815" s="423">
        <v>2.3424105428184019E-4</v>
      </c>
      <c r="F6815" s="423">
        <v>1.0989241749899321E-6</v>
      </c>
      <c r="G6815" s="422">
        <v>0.29380486594727101</v>
      </c>
      <c r="H6815" s="417" t="s">
        <v>2616</v>
      </c>
      <c r="I6815" s="417" t="s">
        <v>1392</v>
      </c>
      <c r="J6815" s="417" t="s">
        <v>15692</v>
      </c>
      <c r="K6815" s="417" t="s">
        <v>16103</v>
      </c>
      <c r="L6815" s="417"/>
      <c r="M6815" s="417" t="s">
        <v>28840</v>
      </c>
    </row>
    <row r="6816" spans="1:13" x14ac:dyDescent="0.25">
      <c r="A6816" s="417" t="s">
        <v>3385</v>
      </c>
      <c r="B6816" s="417" t="s">
        <v>2627</v>
      </c>
      <c r="C6816" s="417" t="s">
        <v>16104</v>
      </c>
      <c r="D6816" s="417" t="s">
        <v>73</v>
      </c>
      <c r="E6816" s="423">
        <v>1.7690422780953251E-2</v>
      </c>
      <c r="F6816" s="423">
        <v>3.1338370856387801E-4</v>
      </c>
      <c r="G6816" s="422">
        <v>35.389486836919637</v>
      </c>
      <c r="H6816" s="417" t="s">
        <v>2616</v>
      </c>
      <c r="I6816" s="417" t="s">
        <v>1392</v>
      </c>
      <c r="J6816" s="417" t="s">
        <v>15692</v>
      </c>
      <c r="K6816" s="417" t="s">
        <v>16105</v>
      </c>
      <c r="L6816" s="417"/>
      <c r="M6816" s="417" t="s">
        <v>28840</v>
      </c>
    </row>
    <row r="6817" spans="1:13" x14ac:dyDescent="0.25">
      <c r="A6817" s="417" t="s">
        <v>3385</v>
      </c>
      <c r="B6817" s="417" t="s">
        <v>2627</v>
      </c>
      <c r="C6817" s="417" t="s">
        <v>16106</v>
      </c>
      <c r="D6817" s="417" t="s">
        <v>73</v>
      </c>
      <c r="E6817" s="423">
        <v>1.7690422780953251E-2</v>
      </c>
      <c r="F6817" s="423">
        <v>3.1338370856387801E-4</v>
      </c>
      <c r="G6817" s="422">
        <v>35.389486836919637</v>
      </c>
      <c r="H6817" s="417" t="s">
        <v>2616</v>
      </c>
      <c r="I6817" s="417" t="s">
        <v>1392</v>
      </c>
      <c r="J6817" s="417" t="s">
        <v>15692</v>
      </c>
      <c r="K6817" s="417" t="s">
        <v>16107</v>
      </c>
      <c r="L6817" s="417"/>
      <c r="M6817" s="417" t="s">
        <v>28840</v>
      </c>
    </row>
    <row r="6818" spans="1:13" x14ac:dyDescent="0.25">
      <c r="A6818" s="417" t="s">
        <v>3385</v>
      </c>
      <c r="B6818" s="417" t="s">
        <v>2627</v>
      </c>
      <c r="C6818" s="417" t="s">
        <v>16108</v>
      </c>
      <c r="D6818" s="417" t="s">
        <v>73</v>
      </c>
      <c r="E6818" s="423">
        <v>1.7690422780953251E-2</v>
      </c>
      <c r="F6818" s="423">
        <v>3.1338370856387801E-4</v>
      </c>
      <c r="G6818" s="422">
        <v>35.389486836919637</v>
      </c>
      <c r="H6818" s="417" t="s">
        <v>2616</v>
      </c>
      <c r="I6818" s="417" t="s">
        <v>1392</v>
      </c>
      <c r="J6818" s="417" t="s">
        <v>15692</v>
      </c>
      <c r="K6818" s="417" t="s">
        <v>16109</v>
      </c>
      <c r="L6818" s="417"/>
      <c r="M6818" s="417" t="s">
        <v>28840</v>
      </c>
    </row>
    <row r="6819" spans="1:13" x14ac:dyDescent="0.25">
      <c r="A6819" s="417" t="s">
        <v>3385</v>
      </c>
      <c r="B6819" s="417" t="s">
        <v>2627</v>
      </c>
      <c r="C6819" s="417" t="s">
        <v>16110</v>
      </c>
      <c r="D6819" s="417" t="s">
        <v>73</v>
      </c>
      <c r="E6819" s="423">
        <v>1.7690422780953251E-2</v>
      </c>
      <c r="F6819" s="423">
        <v>3.1338370856387801E-4</v>
      </c>
      <c r="G6819" s="422">
        <v>35.389486836919637</v>
      </c>
      <c r="H6819" s="417" t="s">
        <v>2616</v>
      </c>
      <c r="I6819" s="417" t="s">
        <v>1392</v>
      </c>
      <c r="J6819" s="417" t="s">
        <v>15692</v>
      </c>
      <c r="K6819" s="417" t="s">
        <v>16111</v>
      </c>
      <c r="L6819" s="417"/>
      <c r="M6819" s="417" t="s">
        <v>28840</v>
      </c>
    </row>
    <row r="6820" spans="1:13" x14ac:dyDescent="0.25">
      <c r="A6820" s="417" t="s">
        <v>3385</v>
      </c>
      <c r="B6820" s="417" t="s">
        <v>2627</v>
      </c>
      <c r="C6820" s="417" t="s">
        <v>16112</v>
      </c>
      <c r="D6820" s="417" t="s">
        <v>73</v>
      </c>
      <c r="E6820" s="423">
        <v>1.7690422780953251E-2</v>
      </c>
      <c r="F6820" s="423">
        <v>3.1338370856387801E-4</v>
      </c>
      <c r="G6820" s="422">
        <v>35.389486836919637</v>
      </c>
      <c r="H6820" s="417" t="s">
        <v>2616</v>
      </c>
      <c r="I6820" s="417" t="s">
        <v>1392</v>
      </c>
      <c r="J6820" s="417" t="s">
        <v>15692</v>
      </c>
      <c r="K6820" s="417" t="s">
        <v>16113</v>
      </c>
      <c r="L6820" s="417"/>
      <c r="M6820" s="417" t="s">
        <v>28840</v>
      </c>
    </row>
    <row r="6821" spans="1:13" x14ac:dyDescent="0.25">
      <c r="A6821" s="417" t="s">
        <v>3385</v>
      </c>
      <c r="B6821" s="417" t="s">
        <v>2627</v>
      </c>
      <c r="C6821" s="417" t="s">
        <v>16114</v>
      </c>
      <c r="D6821" s="417" t="s">
        <v>73</v>
      </c>
      <c r="E6821" s="423">
        <v>1.7690422780953251E-2</v>
      </c>
      <c r="F6821" s="423">
        <v>3.1338370856387801E-4</v>
      </c>
      <c r="G6821" s="422">
        <v>35.389486836919637</v>
      </c>
      <c r="H6821" s="417" t="s">
        <v>2616</v>
      </c>
      <c r="I6821" s="417" t="s">
        <v>1392</v>
      </c>
      <c r="J6821" s="417" t="s">
        <v>15692</v>
      </c>
      <c r="K6821" s="417" t="s">
        <v>16115</v>
      </c>
      <c r="L6821" s="417"/>
      <c r="M6821" s="417" t="s">
        <v>28840</v>
      </c>
    </row>
    <row r="6822" spans="1:13" x14ac:dyDescent="0.25">
      <c r="A6822" s="417" t="s">
        <v>3385</v>
      </c>
      <c r="B6822" s="417" t="s">
        <v>2627</v>
      </c>
      <c r="C6822" s="417" t="s">
        <v>16116</v>
      </c>
      <c r="D6822" s="417" t="s">
        <v>73</v>
      </c>
      <c r="E6822" s="423">
        <v>1.7690422780953251E-2</v>
      </c>
      <c r="F6822" s="423">
        <v>3.1338370856387801E-4</v>
      </c>
      <c r="G6822" s="422">
        <v>35.389486836919637</v>
      </c>
      <c r="H6822" s="417" t="s">
        <v>2616</v>
      </c>
      <c r="I6822" s="417" t="s">
        <v>1392</v>
      </c>
      <c r="J6822" s="417" t="s">
        <v>15692</v>
      </c>
      <c r="K6822" s="417" t="s">
        <v>16117</v>
      </c>
      <c r="L6822" s="417"/>
      <c r="M6822" s="417" t="s">
        <v>28840</v>
      </c>
    </row>
    <row r="6823" spans="1:13" x14ac:dyDescent="0.25">
      <c r="A6823" s="417" t="s">
        <v>3385</v>
      </c>
      <c r="B6823" s="417" t="s">
        <v>2627</v>
      </c>
      <c r="C6823" s="417" t="s">
        <v>16118</v>
      </c>
      <c r="D6823" s="417" t="s">
        <v>73</v>
      </c>
      <c r="E6823" s="423">
        <v>1.7690422780953251E-2</v>
      </c>
      <c r="F6823" s="423">
        <v>3.1338370856387801E-4</v>
      </c>
      <c r="G6823" s="422">
        <v>35.389486836919637</v>
      </c>
      <c r="H6823" s="417" t="s">
        <v>2616</v>
      </c>
      <c r="I6823" s="417" t="s">
        <v>1392</v>
      </c>
      <c r="J6823" s="417" t="s">
        <v>15692</v>
      </c>
      <c r="K6823" s="417" t="s">
        <v>16119</v>
      </c>
      <c r="L6823" s="417"/>
      <c r="M6823" s="417" t="s">
        <v>28840</v>
      </c>
    </row>
    <row r="6824" spans="1:13" x14ac:dyDescent="0.25">
      <c r="A6824" s="417" t="s">
        <v>3385</v>
      </c>
      <c r="B6824" s="417" t="s">
        <v>2627</v>
      </c>
      <c r="C6824" s="417" t="s">
        <v>16120</v>
      </c>
      <c r="D6824" s="417" t="s">
        <v>73</v>
      </c>
      <c r="E6824" s="423">
        <v>9.195751830002102E-3</v>
      </c>
      <c r="F6824" s="423">
        <v>1.8047897063751091E-4</v>
      </c>
      <c r="G6824" s="422">
        <v>23.249303574174391</v>
      </c>
      <c r="H6824" s="417" t="s">
        <v>2616</v>
      </c>
      <c r="I6824" s="417" t="s">
        <v>1392</v>
      </c>
      <c r="J6824" s="417" t="s">
        <v>15692</v>
      </c>
      <c r="K6824" s="417" t="s">
        <v>16121</v>
      </c>
      <c r="L6824" s="417"/>
      <c r="M6824" s="417" t="s">
        <v>28840</v>
      </c>
    </row>
    <row r="6825" spans="1:13" x14ac:dyDescent="0.25">
      <c r="A6825" s="417" t="s">
        <v>3385</v>
      </c>
      <c r="B6825" s="417" t="s">
        <v>2627</v>
      </c>
      <c r="C6825" s="417" t="s">
        <v>16122</v>
      </c>
      <c r="D6825" s="417" t="s">
        <v>73</v>
      </c>
      <c r="E6825" s="423">
        <v>9.195751830002102E-3</v>
      </c>
      <c r="F6825" s="423">
        <v>1.8047897063751091E-4</v>
      </c>
      <c r="G6825" s="422">
        <v>23.249303574174391</v>
      </c>
      <c r="H6825" s="417" t="s">
        <v>2616</v>
      </c>
      <c r="I6825" s="417" t="s">
        <v>1392</v>
      </c>
      <c r="J6825" s="417" t="s">
        <v>15692</v>
      </c>
      <c r="K6825" s="417" t="s">
        <v>16123</v>
      </c>
      <c r="L6825" s="417"/>
      <c r="M6825" s="417" t="s">
        <v>28840</v>
      </c>
    </row>
    <row r="6826" spans="1:13" x14ac:dyDescent="0.25">
      <c r="A6826" s="417" t="s">
        <v>3385</v>
      </c>
      <c r="B6826" s="417" t="s">
        <v>2627</v>
      </c>
      <c r="C6826" s="417" t="s">
        <v>16124</v>
      </c>
      <c r="D6826" s="417" t="s">
        <v>73</v>
      </c>
      <c r="E6826" s="423">
        <v>4.0607351612888826E-3</v>
      </c>
      <c r="F6826" s="423">
        <v>8.5970633079767353E-5</v>
      </c>
      <c r="G6826" s="422">
        <v>15.827446056386989</v>
      </c>
      <c r="H6826" s="417" t="s">
        <v>2616</v>
      </c>
      <c r="I6826" s="417" t="s">
        <v>1392</v>
      </c>
      <c r="J6826" s="417" t="s">
        <v>15692</v>
      </c>
      <c r="K6826" s="417" t="s">
        <v>16125</v>
      </c>
      <c r="L6826" s="417"/>
      <c r="M6826" s="417" t="s">
        <v>28840</v>
      </c>
    </row>
    <row r="6827" spans="1:13" x14ac:dyDescent="0.25">
      <c r="A6827" s="417" t="s">
        <v>3385</v>
      </c>
      <c r="B6827" s="417" t="s">
        <v>2627</v>
      </c>
      <c r="C6827" s="417" t="s">
        <v>16126</v>
      </c>
      <c r="D6827" s="417" t="s">
        <v>73</v>
      </c>
      <c r="E6827" s="423">
        <v>9.195751830002102E-3</v>
      </c>
      <c r="F6827" s="423">
        <v>1.8047897063751091E-4</v>
      </c>
      <c r="G6827" s="422">
        <v>23.249303574174391</v>
      </c>
      <c r="H6827" s="417" t="s">
        <v>2616</v>
      </c>
      <c r="I6827" s="417" t="s">
        <v>1392</v>
      </c>
      <c r="J6827" s="417" t="s">
        <v>15692</v>
      </c>
      <c r="K6827" s="417" t="s">
        <v>16127</v>
      </c>
      <c r="L6827" s="417"/>
      <c r="M6827" s="417" t="s">
        <v>28840</v>
      </c>
    </row>
    <row r="6828" spans="1:13" x14ac:dyDescent="0.25">
      <c r="A6828" s="417" t="s">
        <v>3385</v>
      </c>
      <c r="B6828" s="417" t="s">
        <v>2627</v>
      </c>
      <c r="C6828" s="417" t="s">
        <v>16128</v>
      </c>
      <c r="D6828" s="417" t="s">
        <v>73</v>
      </c>
      <c r="E6828" s="423">
        <v>9.195751830002102E-3</v>
      </c>
      <c r="F6828" s="423">
        <v>1.8047897063751091E-4</v>
      </c>
      <c r="G6828" s="422">
        <v>23.249303574174391</v>
      </c>
      <c r="H6828" s="417" t="s">
        <v>2616</v>
      </c>
      <c r="I6828" s="417" t="s">
        <v>1392</v>
      </c>
      <c r="J6828" s="417" t="s">
        <v>15692</v>
      </c>
      <c r="K6828" s="417" t="s">
        <v>16129</v>
      </c>
      <c r="L6828" s="417"/>
      <c r="M6828" s="417" t="s">
        <v>28840</v>
      </c>
    </row>
    <row r="6829" spans="1:13" x14ac:dyDescent="0.25">
      <c r="A6829" s="417" t="s">
        <v>3385</v>
      </c>
      <c r="B6829" s="417" t="s">
        <v>2627</v>
      </c>
      <c r="C6829" s="417" t="s">
        <v>16130</v>
      </c>
      <c r="D6829" s="417" t="s">
        <v>73</v>
      </c>
      <c r="E6829" s="423">
        <v>9.195751830002102E-3</v>
      </c>
      <c r="F6829" s="423">
        <v>1.8047897063751091E-4</v>
      </c>
      <c r="G6829" s="422">
        <v>23.249303574174391</v>
      </c>
      <c r="H6829" s="417" t="s">
        <v>2616</v>
      </c>
      <c r="I6829" s="417" t="s">
        <v>1392</v>
      </c>
      <c r="J6829" s="417" t="s">
        <v>15692</v>
      </c>
      <c r="K6829" s="417" t="s">
        <v>16131</v>
      </c>
      <c r="L6829" s="417"/>
      <c r="M6829" s="417" t="s">
        <v>28840</v>
      </c>
    </row>
    <row r="6830" spans="1:13" x14ac:dyDescent="0.25">
      <c r="A6830" s="417" t="s">
        <v>3385</v>
      </c>
      <c r="B6830" s="417" t="s">
        <v>2627</v>
      </c>
      <c r="C6830" s="417" t="s">
        <v>16132</v>
      </c>
      <c r="D6830" s="417" t="s">
        <v>73</v>
      </c>
      <c r="E6830" s="423">
        <v>9.195751830002102E-3</v>
      </c>
      <c r="F6830" s="423">
        <v>1.8047897063751091E-4</v>
      </c>
      <c r="G6830" s="422">
        <v>23.249303574174391</v>
      </c>
      <c r="H6830" s="417" t="s">
        <v>2616</v>
      </c>
      <c r="I6830" s="417" t="s">
        <v>1392</v>
      </c>
      <c r="J6830" s="417" t="s">
        <v>15692</v>
      </c>
      <c r="K6830" s="417" t="s">
        <v>16133</v>
      </c>
      <c r="L6830" s="417"/>
      <c r="M6830" s="417" t="s">
        <v>28840</v>
      </c>
    </row>
    <row r="6831" spans="1:13" x14ac:dyDescent="0.25">
      <c r="A6831" s="417" t="s">
        <v>3385</v>
      </c>
      <c r="B6831" s="417" t="s">
        <v>2627</v>
      </c>
      <c r="C6831" s="417" t="s">
        <v>16134</v>
      </c>
      <c r="D6831" s="417" t="s">
        <v>73</v>
      </c>
      <c r="E6831" s="423">
        <v>9.195751830002102E-3</v>
      </c>
      <c r="F6831" s="423">
        <v>1.8047897063751091E-4</v>
      </c>
      <c r="G6831" s="422">
        <v>23.249303574174391</v>
      </c>
      <c r="H6831" s="417" t="s">
        <v>2616</v>
      </c>
      <c r="I6831" s="417" t="s">
        <v>1392</v>
      </c>
      <c r="J6831" s="417" t="s">
        <v>15692</v>
      </c>
      <c r="K6831" s="417" t="s">
        <v>16135</v>
      </c>
      <c r="L6831" s="417"/>
      <c r="M6831" s="417" t="s">
        <v>28840</v>
      </c>
    </row>
    <row r="6832" spans="1:13" x14ac:dyDescent="0.25">
      <c r="A6832" s="417" t="s">
        <v>3385</v>
      </c>
      <c r="B6832" s="417" t="s">
        <v>2627</v>
      </c>
      <c r="C6832" s="417" t="s">
        <v>16136</v>
      </c>
      <c r="D6832" s="417" t="s">
        <v>83</v>
      </c>
      <c r="E6832" s="423">
        <v>0.8617608307787068</v>
      </c>
      <c r="F6832" s="423">
        <v>1.6260527143092351E-2</v>
      </c>
      <c r="G6832" s="422">
        <v>1598.6582552905079</v>
      </c>
      <c r="H6832" s="417" t="s">
        <v>2616</v>
      </c>
      <c r="I6832" s="417" t="s">
        <v>1392</v>
      </c>
      <c r="J6832" s="417" t="s">
        <v>14271</v>
      </c>
      <c r="K6832" s="417" t="s">
        <v>16137</v>
      </c>
      <c r="L6832" s="417"/>
      <c r="M6832" s="417" t="s">
        <v>28840</v>
      </c>
    </row>
    <row r="6833" spans="1:13" x14ac:dyDescent="0.25">
      <c r="A6833" s="417" t="s">
        <v>3385</v>
      </c>
      <c r="B6833" s="417" t="s">
        <v>2627</v>
      </c>
      <c r="C6833" s="417" t="s">
        <v>16138</v>
      </c>
      <c r="D6833" s="417" t="s">
        <v>83</v>
      </c>
      <c r="E6833" s="423">
        <v>0.8289710448560762</v>
      </c>
      <c r="F6833" s="423">
        <v>1.456590424206556E-2</v>
      </c>
      <c r="G6833" s="422">
        <v>1543.3992110253901</v>
      </c>
      <c r="H6833" s="417" t="s">
        <v>2616</v>
      </c>
      <c r="I6833" s="417" t="s">
        <v>1392</v>
      </c>
      <c r="J6833" s="417" t="s">
        <v>14271</v>
      </c>
      <c r="K6833" s="417" t="s">
        <v>16139</v>
      </c>
      <c r="L6833" s="417"/>
      <c r="M6833" s="417" t="s">
        <v>28840</v>
      </c>
    </row>
    <row r="6834" spans="1:13" x14ac:dyDescent="0.25">
      <c r="A6834" s="417" t="s">
        <v>3385</v>
      </c>
      <c r="B6834" s="417" t="s">
        <v>2627</v>
      </c>
      <c r="C6834" s="417" t="s">
        <v>16140</v>
      </c>
      <c r="D6834" s="417" t="s">
        <v>83</v>
      </c>
      <c r="E6834" s="423">
        <v>0.87269075942638596</v>
      </c>
      <c r="F6834" s="423">
        <v>1.6825401443595261E-2</v>
      </c>
      <c r="G6834" s="422">
        <v>1617.0779368286121</v>
      </c>
      <c r="H6834" s="417" t="s">
        <v>2616</v>
      </c>
      <c r="I6834" s="417" t="s">
        <v>1392</v>
      </c>
      <c r="J6834" s="417" t="s">
        <v>14271</v>
      </c>
      <c r="K6834" s="417" t="s">
        <v>16141</v>
      </c>
      <c r="L6834" s="417"/>
      <c r="M6834" s="417" t="s">
        <v>28840</v>
      </c>
    </row>
    <row r="6835" spans="1:13" x14ac:dyDescent="0.25">
      <c r="A6835" s="417" t="s">
        <v>3385</v>
      </c>
      <c r="B6835" s="417" t="s">
        <v>2627</v>
      </c>
      <c r="C6835" s="417" t="s">
        <v>16142</v>
      </c>
      <c r="D6835" s="417" t="s">
        <v>83</v>
      </c>
      <c r="E6835" s="423">
        <v>0.8617608307787068</v>
      </c>
      <c r="F6835" s="423">
        <v>1.6260527143092351E-2</v>
      </c>
      <c r="G6835" s="422">
        <v>1598.6582552905079</v>
      </c>
      <c r="H6835" s="417" t="s">
        <v>2616</v>
      </c>
      <c r="I6835" s="417" t="s">
        <v>1392</v>
      </c>
      <c r="J6835" s="417" t="s">
        <v>14271</v>
      </c>
      <c r="K6835" s="417" t="s">
        <v>16143</v>
      </c>
      <c r="L6835" s="417"/>
      <c r="M6835" s="417" t="s">
        <v>28840</v>
      </c>
    </row>
    <row r="6836" spans="1:13" x14ac:dyDescent="0.25">
      <c r="A6836" s="417" t="s">
        <v>3385</v>
      </c>
      <c r="B6836" s="417" t="s">
        <v>2627</v>
      </c>
      <c r="C6836" s="417" t="s">
        <v>16144</v>
      </c>
      <c r="D6836" s="417" t="s">
        <v>83</v>
      </c>
      <c r="E6836" s="423">
        <v>0.9027480631793835</v>
      </c>
      <c r="F6836" s="423">
        <v>1.8378805769426951E-2</v>
      </c>
      <c r="G6836" s="422">
        <v>1667.7320607806851</v>
      </c>
      <c r="H6836" s="417" t="s">
        <v>2616</v>
      </c>
      <c r="I6836" s="417" t="s">
        <v>1392</v>
      </c>
      <c r="J6836" s="417" t="s">
        <v>14271</v>
      </c>
      <c r="K6836" s="417" t="s">
        <v>16145</v>
      </c>
      <c r="L6836" s="417"/>
      <c r="M6836" s="417" t="s">
        <v>28840</v>
      </c>
    </row>
    <row r="6837" spans="1:13" x14ac:dyDescent="0.25">
      <c r="A6837" s="417" t="s">
        <v>3385</v>
      </c>
      <c r="B6837" s="417" t="s">
        <v>2627</v>
      </c>
      <c r="C6837" s="417" t="s">
        <v>16146</v>
      </c>
      <c r="D6837" s="417" t="s">
        <v>83</v>
      </c>
      <c r="E6837" s="423">
        <v>0.90548054533995415</v>
      </c>
      <c r="F6837" s="423">
        <v>1.8520024344672661E-2</v>
      </c>
      <c r="G6837" s="422">
        <v>1672.3369812928679</v>
      </c>
      <c r="H6837" s="417" t="s">
        <v>2616</v>
      </c>
      <c r="I6837" s="417" t="s">
        <v>1392</v>
      </c>
      <c r="J6837" s="417" t="s">
        <v>14271</v>
      </c>
      <c r="K6837" s="417" t="s">
        <v>16147</v>
      </c>
      <c r="L6837" s="417"/>
      <c r="M6837" s="417" t="s">
        <v>28840</v>
      </c>
    </row>
    <row r="6838" spans="1:13" x14ac:dyDescent="0.25">
      <c r="A6838" s="417" t="s">
        <v>3385</v>
      </c>
      <c r="B6838" s="417" t="s">
        <v>2627</v>
      </c>
      <c r="C6838" s="417" t="s">
        <v>16148</v>
      </c>
      <c r="D6838" s="417" t="s">
        <v>83</v>
      </c>
      <c r="E6838" s="423">
        <v>0.63496481147039674</v>
      </c>
      <c r="F6838" s="423">
        <v>4.5393854101576326E-3</v>
      </c>
      <c r="G6838" s="422">
        <v>1216.449864469367</v>
      </c>
      <c r="H6838" s="417" t="s">
        <v>2616</v>
      </c>
      <c r="I6838" s="417" t="s">
        <v>1392</v>
      </c>
      <c r="J6838" s="417" t="s">
        <v>14271</v>
      </c>
      <c r="K6838" s="417" t="s">
        <v>16149</v>
      </c>
      <c r="L6838" s="417"/>
      <c r="M6838" s="417" t="s">
        <v>28840</v>
      </c>
    </row>
    <row r="6839" spans="1:13" x14ac:dyDescent="0.25">
      <c r="A6839" s="417" t="s">
        <v>3385</v>
      </c>
      <c r="B6839" s="417" t="s">
        <v>2627</v>
      </c>
      <c r="C6839" s="417" t="s">
        <v>16150</v>
      </c>
      <c r="D6839" s="417" t="s">
        <v>73</v>
      </c>
      <c r="E6839" s="423">
        <v>2.4143603230651879E-2</v>
      </c>
      <c r="F6839" s="423">
        <v>4.5186097182370251E-4</v>
      </c>
      <c r="G6839" s="422">
        <v>44.658114085504423</v>
      </c>
      <c r="H6839" s="417" t="s">
        <v>2616</v>
      </c>
      <c r="I6839" s="417" t="s">
        <v>1392</v>
      </c>
      <c r="J6839" s="417" t="s">
        <v>15692</v>
      </c>
      <c r="K6839" s="417" t="s">
        <v>16151</v>
      </c>
      <c r="L6839" s="417"/>
      <c r="M6839" s="417" t="s">
        <v>28840</v>
      </c>
    </row>
    <row r="6840" spans="1:13" x14ac:dyDescent="0.25">
      <c r="A6840" s="417" t="s">
        <v>3385</v>
      </c>
      <c r="B6840" s="417" t="s">
        <v>2627</v>
      </c>
      <c r="C6840" s="417" t="s">
        <v>16152</v>
      </c>
      <c r="D6840" s="417" t="s">
        <v>73</v>
      </c>
      <c r="E6840" s="423">
        <v>2.323267018784016E-2</v>
      </c>
      <c r="F6840" s="423">
        <v>4.0478265300753109E-4</v>
      </c>
      <c r="G6840" s="422">
        <v>43.122962560762844</v>
      </c>
      <c r="H6840" s="417" t="s">
        <v>2616</v>
      </c>
      <c r="I6840" s="417" t="s">
        <v>1392</v>
      </c>
      <c r="J6840" s="417" t="s">
        <v>15692</v>
      </c>
      <c r="K6840" s="417" t="s">
        <v>16153</v>
      </c>
      <c r="L6840" s="417"/>
      <c r="M6840" s="417" t="s">
        <v>28840</v>
      </c>
    </row>
    <row r="6841" spans="1:13" x14ac:dyDescent="0.25">
      <c r="A6841" s="417" t="s">
        <v>3385</v>
      </c>
      <c r="B6841" s="417" t="s">
        <v>2627</v>
      </c>
      <c r="C6841" s="417" t="s">
        <v>16154</v>
      </c>
      <c r="D6841" s="417" t="s">
        <v>73</v>
      </c>
      <c r="E6841" s="423">
        <v>1.736798013789129E-2</v>
      </c>
      <c r="F6841" s="423">
        <v>3.3106608825125199E-4</v>
      </c>
      <c r="G6841" s="422">
        <v>32.05209503216232</v>
      </c>
      <c r="H6841" s="417" t="s">
        <v>2616</v>
      </c>
      <c r="I6841" s="417" t="s">
        <v>1392</v>
      </c>
      <c r="J6841" s="417" t="s">
        <v>15692</v>
      </c>
      <c r="K6841" s="417" t="s">
        <v>16155</v>
      </c>
      <c r="L6841" s="417"/>
      <c r="M6841" s="417" t="s">
        <v>28840</v>
      </c>
    </row>
    <row r="6842" spans="1:13" x14ac:dyDescent="0.25">
      <c r="A6842" s="417" t="s">
        <v>3385</v>
      </c>
      <c r="B6842" s="417" t="s">
        <v>2627</v>
      </c>
      <c r="C6842" s="417" t="s">
        <v>16156</v>
      </c>
      <c r="D6842" s="417" t="s">
        <v>73</v>
      </c>
      <c r="E6842" s="423">
        <v>2.4143603230651879E-2</v>
      </c>
      <c r="F6842" s="423">
        <v>4.5186097182370251E-4</v>
      </c>
      <c r="G6842" s="422">
        <v>44.658114085504423</v>
      </c>
      <c r="H6842" s="417" t="s">
        <v>2616</v>
      </c>
      <c r="I6842" s="417" t="s">
        <v>1392</v>
      </c>
      <c r="J6842" s="417" t="s">
        <v>15692</v>
      </c>
      <c r="K6842" s="417" t="s">
        <v>16157</v>
      </c>
      <c r="L6842" s="417"/>
      <c r="M6842" s="417" t="s">
        <v>28840</v>
      </c>
    </row>
    <row r="6843" spans="1:13" x14ac:dyDescent="0.25">
      <c r="A6843" s="417" t="s">
        <v>3385</v>
      </c>
      <c r="B6843" s="417" t="s">
        <v>2627</v>
      </c>
      <c r="C6843" s="417" t="s">
        <v>16158</v>
      </c>
      <c r="D6843" s="417" t="s">
        <v>73</v>
      </c>
      <c r="E6843" s="423">
        <v>2.5282269534094931E-2</v>
      </c>
      <c r="F6843" s="423">
        <v>5.1070887034674044E-4</v>
      </c>
      <c r="G6843" s="422">
        <v>46.577053481152078</v>
      </c>
      <c r="H6843" s="417" t="s">
        <v>2616</v>
      </c>
      <c r="I6843" s="417" t="s">
        <v>1392</v>
      </c>
      <c r="J6843" s="417" t="s">
        <v>15692</v>
      </c>
      <c r="K6843" s="417" t="s">
        <v>16159</v>
      </c>
      <c r="L6843" s="417"/>
      <c r="M6843" s="417" t="s">
        <v>28840</v>
      </c>
    </row>
    <row r="6844" spans="1:13" x14ac:dyDescent="0.25">
      <c r="A6844" s="417" t="s">
        <v>3385</v>
      </c>
      <c r="B6844" s="417" t="s">
        <v>2627</v>
      </c>
      <c r="C6844" s="417" t="s">
        <v>16160</v>
      </c>
      <c r="D6844" s="417" t="s">
        <v>73</v>
      </c>
      <c r="E6844" s="423">
        <v>2.5358180621036789E-2</v>
      </c>
      <c r="F6844" s="423">
        <v>5.1463206357841586E-4</v>
      </c>
      <c r="G6844" s="422">
        <v>46.704982770807113</v>
      </c>
      <c r="H6844" s="417" t="s">
        <v>2616</v>
      </c>
      <c r="I6844" s="417" t="s">
        <v>1392</v>
      </c>
      <c r="J6844" s="417" t="s">
        <v>15692</v>
      </c>
      <c r="K6844" s="417" t="s">
        <v>16161</v>
      </c>
      <c r="L6844" s="417"/>
      <c r="M6844" s="417" t="s">
        <v>28840</v>
      </c>
    </row>
    <row r="6845" spans="1:13" x14ac:dyDescent="0.25">
      <c r="A6845" s="417" t="s">
        <v>3385</v>
      </c>
      <c r="B6845" s="417" t="s">
        <v>2627</v>
      </c>
      <c r="C6845" s="417" t="s">
        <v>16162</v>
      </c>
      <c r="D6845" s="417" t="s">
        <v>73</v>
      </c>
      <c r="E6845" s="423">
        <v>1.21016311929032E-2</v>
      </c>
      <c r="F6845" s="423">
        <v>8.5190810463434228E-5</v>
      </c>
      <c r="G6845" s="422">
        <v>23.040843099295461</v>
      </c>
      <c r="H6845" s="417" t="s">
        <v>2616</v>
      </c>
      <c r="I6845" s="417" t="s">
        <v>1392</v>
      </c>
      <c r="J6845" s="417" t="s">
        <v>15692</v>
      </c>
      <c r="K6845" s="417" t="s">
        <v>16163</v>
      </c>
      <c r="L6845" s="417"/>
      <c r="M6845" s="417" t="s">
        <v>28840</v>
      </c>
    </row>
    <row r="6846" spans="1:13" x14ac:dyDescent="0.25">
      <c r="A6846" s="417" t="s">
        <v>3385</v>
      </c>
      <c r="B6846" s="417" t="s">
        <v>2627</v>
      </c>
      <c r="C6846" s="417" t="s">
        <v>16164</v>
      </c>
      <c r="D6846" s="417" t="s">
        <v>73</v>
      </c>
      <c r="E6846" s="423">
        <v>2.2721750756482379E-4</v>
      </c>
      <c r="F6846" s="423">
        <v>6.6776523561817733E-7</v>
      </c>
      <c r="G6846" s="422">
        <v>0.28071696749193942</v>
      </c>
      <c r="H6846" s="417" t="s">
        <v>2616</v>
      </c>
      <c r="I6846" s="417" t="s">
        <v>1392</v>
      </c>
      <c r="J6846" s="417" t="s">
        <v>15692</v>
      </c>
      <c r="K6846" s="417" t="s">
        <v>16165</v>
      </c>
      <c r="L6846" s="417"/>
      <c r="M6846" s="417" t="s">
        <v>28840</v>
      </c>
    </row>
    <row r="6847" spans="1:13" x14ac:dyDescent="0.25">
      <c r="A6847" s="417" t="s">
        <v>3385</v>
      </c>
      <c r="B6847" s="417" t="s">
        <v>2627</v>
      </c>
      <c r="C6847" s="417" t="s">
        <v>16166</v>
      </c>
      <c r="D6847" s="417" t="s">
        <v>73</v>
      </c>
      <c r="E6847" s="423">
        <v>2.2721750756482379E-4</v>
      </c>
      <c r="F6847" s="423">
        <v>6.6776523561817733E-7</v>
      </c>
      <c r="G6847" s="422">
        <v>0.28071696749193942</v>
      </c>
      <c r="H6847" s="417" t="s">
        <v>2616</v>
      </c>
      <c r="I6847" s="417" t="s">
        <v>1392</v>
      </c>
      <c r="J6847" s="417" t="s">
        <v>15692</v>
      </c>
      <c r="K6847" s="417" t="s">
        <v>16167</v>
      </c>
      <c r="L6847" s="417"/>
      <c r="M6847" s="417" t="s">
        <v>28840</v>
      </c>
    </row>
    <row r="6848" spans="1:13" x14ac:dyDescent="0.25">
      <c r="A6848" s="417" t="s">
        <v>3385</v>
      </c>
      <c r="B6848" s="417" t="s">
        <v>2627</v>
      </c>
      <c r="C6848" s="417" t="s">
        <v>16168</v>
      </c>
      <c r="D6848" s="417" t="s">
        <v>73</v>
      </c>
      <c r="E6848" s="423">
        <v>2.2721750756482379E-4</v>
      </c>
      <c r="F6848" s="423">
        <v>6.6776523561817733E-7</v>
      </c>
      <c r="G6848" s="422">
        <v>0.28071696749193942</v>
      </c>
      <c r="H6848" s="417" t="s">
        <v>2616</v>
      </c>
      <c r="I6848" s="417" t="s">
        <v>1392</v>
      </c>
      <c r="J6848" s="417" t="s">
        <v>15692</v>
      </c>
      <c r="K6848" s="417" t="s">
        <v>16169</v>
      </c>
      <c r="L6848" s="417"/>
      <c r="M6848" s="417" t="s">
        <v>28840</v>
      </c>
    </row>
    <row r="6849" spans="1:13" x14ac:dyDescent="0.25">
      <c r="A6849" s="417" t="s">
        <v>3385</v>
      </c>
      <c r="B6849" s="417" t="s">
        <v>2627</v>
      </c>
      <c r="C6849" s="417" t="s">
        <v>16170</v>
      </c>
      <c r="D6849" s="417" t="s">
        <v>73</v>
      </c>
      <c r="E6849" s="423">
        <v>2.2721750756482379E-4</v>
      </c>
      <c r="F6849" s="423">
        <v>6.6776523561817733E-7</v>
      </c>
      <c r="G6849" s="422">
        <v>0.28071696749193942</v>
      </c>
      <c r="H6849" s="417" t="s">
        <v>2616</v>
      </c>
      <c r="I6849" s="417" t="s">
        <v>1392</v>
      </c>
      <c r="J6849" s="417" t="s">
        <v>15692</v>
      </c>
      <c r="K6849" s="417" t="s">
        <v>16171</v>
      </c>
      <c r="L6849" s="417"/>
      <c r="M6849" s="417" t="s">
        <v>28840</v>
      </c>
    </row>
    <row r="6850" spans="1:13" x14ac:dyDescent="0.25">
      <c r="A6850" s="417" t="s">
        <v>3385</v>
      </c>
      <c r="B6850" s="417" t="s">
        <v>2627</v>
      </c>
      <c r="C6850" s="417" t="s">
        <v>16172</v>
      </c>
      <c r="D6850" s="417" t="s">
        <v>73</v>
      </c>
      <c r="E6850" s="423">
        <v>2.396002927036584E-4</v>
      </c>
      <c r="F6850" s="423">
        <v>1.2940755373356009E-6</v>
      </c>
      <c r="G6850" s="422">
        <v>0.30292621440389578</v>
      </c>
      <c r="H6850" s="417" t="s">
        <v>2616</v>
      </c>
      <c r="I6850" s="417" t="s">
        <v>1392</v>
      </c>
      <c r="J6850" s="417" t="s">
        <v>15692</v>
      </c>
      <c r="K6850" s="417" t="s">
        <v>16173</v>
      </c>
      <c r="L6850" s="417"/>
      <c r="M6850" s="417" t="s">
        <v>28840</v>
      </c>
    </row>
    <row r="6851" spans="1:13" x14ac:dyDescent="0.25">
      <c r="A6851" s="417" t="s">
        <v>3385</v>
      </c>
      <c r="B6851" s="417" t="s">
        <v>2627</v>
      </c>
      <c r="C6851" s="417" t="s">
        <v>16174</v>
      </c>
      <c r="D6851" s="417" t="s">
        <v>73</v>
      </c>
      <c r="E6851" s="423">
        <v>2.396002927036584E-4</v>
      </c>
      <c r="F6851" s="423">
        <v>1.2940755373356009E-6</v>
      </c>
      <c r="G6851" s="422">
        <v>0.30292621440389578</v>
      </c>
      <c r="H6851" s="417" t="s">
        <v>2616</v>
      </c>
      <c r="I6851" s="417" t="s">
        <v>1392</v>
      </c>
      <c r="J6851" s="417" t="s">
        <v>15692</v>
      </c>
      <c r="K6851" s="417" t="s">
        <v>16175</v>
      </c>
      <c r="L6851" s="417"/>
      <c r="M6851" s="417" t="s">
        <v>28840</v>
      </c>
    </row>
    <row r="6852" spans="1:13" x14ac:dyDescent="0.25">
      <c r="A6852" s="417" t="s">
        <v>3385</v>
      </c>
      <c r="B6852" s="417" t="s">
        <v>2627</v>
      </c>
      <c r="C6852" s="417" t="s">
        <v>16176</v>
      </c>
      <c r="D6852" s="417" t="s">
        <v>73</v>
      </c>
      <c r="E6852" s="423">
        <v>2.396002927036584E-4</v>
      </c>
      <c r="F6852" s="423">
        <v>1.2940755373356009E-6</v>
      </c>
      <c r="G6852" s="422">
        <v>0.30292621440389578</v>
      </c>
      <c r="H6852" s="417" t="s">
        <v>2616</v>
      </c>
      <c r="I6852" s="417" t="s">
        <v>1392</v>
      </c>
      <c r="J6852" s="417" t="s">
        <v>15692</v>
      </c>
      <c r="K6852" s="417" t="s">
        <v>16177</v>
      </c>
      <c r="L6852" s="417"/>
      <c r="M6852" s="417" t="s">
        <v>28840</v>
      </c>
    </row>
    <row r="6853" spans="1:13" x14ac:dyDescent="0.25">
      <c r="A6853" s="417" t="s">
        <v>3385</v>
      </c>
      <c r="B6853" s="417" t="s">
        <v>2627</v>
      </c>
      <c r="C6853" s="417" t="s">
        <v>16178</v>
      </c>
      <c r="D6853" s="417" t="s">
        <v>73</v>
      </c>
      <c r="E6853" s="423">
        <v>2.396002927036584E-4</v>
      </c>
      <c r="F6853" s="423">
        <v>1.2940755373356009E-6</v>
      </c>
      <c r="G6853" s="422">
        <v>0.30292621440389578</v>
      </c>
      <c r="H6853" s="417" t="s">
        <v>2616</v>
      </c>
      <c r="I6853" s="417" t="s">
        <v>1392</v>
      </c>
      <c r="J6853" s="417" t="s">
        <v>15692</v>
      </c>
      <c r="K6853" s="417" t="s">
        <v>16179</v>
      </c>
      <c r="L6853" s="417"/>
      <c r="M6853" s="417" t="s">
        <v>28840</v>
      </c>
    </row>
    <row r="6854" spans="1:13" x14ac:dyDescent="0.25">
      <c r="A6854" s="417" t="s">
        <v>3385</v>
      </c>
      <c r="B6854" s="417" t="s">
        <v>2627</v>
      </c>
      <c r="C6854" s="417" t="s">
        <v>16180</v>
      </c>
      <c r="D6854" s="417" t="s">
        <v>73</v>
      </c>
      <c r="E6854" s="423">
        <v>2.396002927036584E-4</v>
      </c>
      <c r="F6854" s="423">
        <v>1.2940755373356009E-6</v>
      </c>
      <c r="G6854" s="422">
        <v>0.30292621440389578</v>
      </c>
      <c r="H6854" s="417" t="s">
        <v>2616</v>
      </c>
      <c r="I6854" s="417" t="s">
        <v>1392</v>
      </c>
      <c r="J6854" s="417" t="s">
        <v>15692</v>
      </c>
      <c r="K6854" s="417" t="s">
        <v>16181</v>
      </c>
      <c r="L6854" s="417"/>
      <c r="M6854" s="417" t="s">
        <v>28840</v>
      </c>
    </row>
    <row r="6855" spans="1:13" x14ac:dyDescent="0.25">
      <c r="A6855" s="417" t="s">
        <v>3385</v>
      </c>
      <c r="B6855" s="417" t="s">
        <v>2627</v>
      </c>
      <c r="C6855" s="417" t="s">
        <v>16182</v>
      </c>
      <c r="D6855" s="417" t="s">
        <v>73</v>
      </c>
      <c r="E6855" s="423">
        <v>2.2948384567011331E-4</v>
      </c>
      <c r="F6855" s="423">
        <v>2.7244518943064838E-7</v>
      </c>
      <c r="G6855" s="422">
        <v>0.27923636528811258</v>
      </c>
      <c r="H6855" s="417" t="s">
        <v>2616</v>
      </c>
      <c r="I6855" s="417" t="s">
        <v>1392</v>
      </c>
      <c r="J6855" s="417" t="s">
        <v>15692</v>
      </c>
      <c r="K6855" s="417" t="s">
        <v>16183</v>
      </c>
      <c r="L6855" s="417"/>
      <c r="M6855" s="417" t="s">
        <v>28840</v>
      </c>
    </row>
    <row r="6856" spans="1:13" x14ac:dyDescent="0.25">
      <c r="A6856" s="417" t="s">
        <v>3385</v>
      </c>
      <c r="B6856" s="417" t="s">
        <v>2627</v>
      </c>
      <c r="C6856" s="417" t="s">
        <v>16184</v>
      </c>
      <c r="D6856" s="417" t="s">
        <v>73</v>
      </c>
      <c r="E6856" s="423">
        <v>2.2948384567011331E-4</v>
      </c>
      <c r="F6856" s="423">
        <v>2.7244518943064838E-7</v>
      </c>
      <c r="G6856" s="422">
        <v>0.27923636528811258</v>
      </c>
      <c r="H6856" s="417" t="s">
        <v>2616</v>
      </c>
      <c r="I6856" s="417" t="s">
        <v>1392</v>
      </c>
      <c r="J6856" s="417" t="s">
        <v>15692</v>
      </c>
      <c r="K6856" s="417" t="s">
        <v>16185</v>
      </c>
      <c r="L6856" s="417"/>
      <c r="M6856" s="417" t="s">
        <v>28840</v>
      </c>
    </row>
    <row r="6857" spans="1:13" x14ac:dyDescent="0.25">
      <c r="A6857" s="417" t="s">
        <v>3385</v>
      </c>
      <c r="B6857" s="417" t="s">
        <v>2627</v>
      </c>
      <c r="C6857" s="417" t="s">
        <v>16186</v>
      </c>
      <c r="D6857" s="417" t="s">
        <v>73</v>
      </c>
      <c r="E6857" s="423">
        <v>2.2948384567011331E-4</v>
      </c>
      <c r="F6857" s="423">
        <v>2.7244518943064838E-7</v>
      </c>
      <c r="G6857" s="422">
        <v>0.27923636528811258</v>
      </c>
      <c r="H6857" s="417" t="s">
        <v>2616</v>
      </c>
      <c r="I6857" s="417" t="s">
        <v>1392</v>
      </c>
      <c r="J6857" s="417" t="s">
        <v>15692</v>
      </c>
      <c r="K6857" s="417" t="s">
        <v>16187</v>
      </c>
      <c r="L6857" s="417"/>
      <c r="M6857" s="417" t="s">
        <v>28840</v>
      </c>
    </row>
    <row r="6858" spans="1:13" x14ac:dyDescent="0.25">
      <c r="A6858" s="417" t="s">
        <v>3385</v>
      </c>
      <c r="B6858" s="417" t="s">
        <v>2627</v>
      </c>
      <c r="C6858" s="417" t="s">
        <v>16188</v>
      </c>
      <c r="D6858" s="417" t="s">
        <v>73</v>
      </c>
      <c r="E6858" s="423">
        <v>2.2948384567011331E-4</v>
      </c>
      <c r="F6858" s="423">
        <v>2.7244518943064838E-7</v>
      </c>
      <c r="G6858" s="422">
        <v>0.27923636528811258</v>
      </c>
      <c r="H6858" s="417" t="s">
        <v>2616</v>
      </c>
      <c r="I6858" s="417" t="s">
        <v>1392</v>
      </c>
      <c r="J6858" s="417" t="s">
        <v>15692</v>
      </c>
      <c r="K6858" s="417" t="s">
        <v>16189</v>
      </c>
      <c r="L6858" s="417"/>
      <c r="M6858" s="417" t="s">
        <v>28840</v>
      </c>
    </row>
    <row r="6859" spans="1:13" x14ac:dyDescent="0.25">
      <c r="A6859" s="417" t="s">
        <v>3385</v>
      </c>
      <c r="B6859" s="417" t="s">
        <v>2627</v>
      </c>
      <c r="C6859" s="417" t="s">
        <v>16190</v>
      </c>
      <c r="D6859" s="417" t="s">
        <v>83</v>
      </c>
      <c r="E6859" s="423">
        <v>0.79438769404913478</v>
      </c>
      <c r="F6859" s="423">
        <v>1.228300366922707E-2</v>
      </c>
      <c r="G6859" s="422">
        <v>1820.696507286352</v>
      </c>
      <c r="H6859" s="417" t="s">
        <v>2616</v>
      </c>
      <c r="I6859" s="417" t="s">
        <v>1392</v>
      </c>
      <c r="J6859" s="417" t="s">
        <v>14271</v>
      </c>
      <c r="K6859" s="417" t="s">
        <v>16191</v>
      </c>
      <c r="L6859" s="417"/>
      <c r="M6859" s="417" t="s">
        <v>28840</v>
      </c>
    </row>
    <row r="6860" spans="1:13" x14ac:dyDescent="0.25">
      <c r="A6860" s="417" t="s">
        <v>3385</v>
      </c>
      <c r="B6860" s="417" t="s">
        <v>2627</v>
      </c>
      <c r="C6860" s="417" t="s">
        <v>16192</v>
      </c>
      <c r="D6860" s="417" t="s">
        <v>83</v>
      </c>
      <c r="E6860" s="423">
        <v>0.98165188695165584</v>
      </c>
      <c r="F6860" s="423">
        <v>2.195086836783856E-2</v>
      </c>
      <c r="G6860" s="422">
        <v>2143.3627141709012</v>
      </c>
      <c r="H6860" s="417" t="s">
        <v>2616</v>
      </c>
      <c r="I6860" s="417" t="s">
        <v>1392</v>
      </c>
      <c r="J6860" s="417" t="s">
        <v>14271</v>
      </c>
      <c r="K6860" s="417" t="s">
        <v>16193</v>
      </c>
      <c r="L6860" s="417"/>
      <c r="M6860" s="417" t="s">
        <v>28840</v>
      </c>
    </row>
    <row r="6861" spans="1:13" x14ac:dyDescent="0.25">
      <c r="A6861" s="417" t="s">
        <v>3385</v>
      </c>
      <c r="B6861" s="417" t="s">
        <v>2627</v>
      </c>
      <c r="C6861" s="417" t="s">
        <v>16194</v>
      </c>
      <c r="D6861" s="417" t="s">
        <v>83</v>
      </c>
      <c r="E6861" s="423">
        <v>0.70350948278464676</v>
      </c>
      <c r="F6861" s="423">
        <v>7.5912458011714538E-3</v>
      </c>
      <c r="G6861" s="422">
        <v>1664.108495083331</v>
      </c>
      <c r="H6861" s="417" t="s">
        <v>2616</v>
      </c>
      <c r="I6861" s="417" t="s">
        <v>1392</v>
      </c>
      <c r="J6861" s="417" t="s">
        <v>14271</v>
      </c>
      <c r="K6861" s="417" t="s">
        <v>16195</v>
      </c>
      <c r="L6861" s="417"/>
      <c r="M6861" s="417" t="s">
        <v>28840</v>
      </c>
    </row>
    <row r="6862" spans="1:13" x14ac:dyDescent="0.25">
      <c r="A6862" s="417" t="s">
        <v>3385</v>
      </c>
      <c r="B6862" s="417" t="s">
        <v>2627</v>
      </c>
      <c r="C6862" s="417" t="s">
        <v>16196</v>
      </c>
      <c r="D6862" s="417" t="s">
        <v>83</v>
      </c>
      <c r="E6862" s="423">
        <v>1.0367295907263709</v>
      </c>
      <c r="F6862" s="423">
        <v>2.4794357983979259E-2</v>
      </c>
      <c r="G6862" s="422">
        <v>2238.2645398062691</v>
      </c>
      <c r="H6862" s="417" t="s">
        <v>2616</v>
      </c>
      <c r="I6862" s="417" t="s">
        <v>1392</v>
      </c>
      <c r="J6862" s="417" t="s">
        <v>14271</v>
      </c>
      <c r="K6862" s="417" t="s">
        <v>16197</v>
      </c>
      <c r="L6862" s="417"/>
      <c r="M6862" s="417" t="s">
        <v>28840</v>
      </c>
    </row>
    <row r="6863" spans="1:13" x14ac:dyDescent="0.25">
      <c r="A6863" s="417" t="s">
        <v>3385</v>
      </c>
      <c r="B6863" s="417" t="s">
        <v>2627</v>
      </c>
      <c r="C6863" s="417" t="s">
        <v>16198</v>
      </c>
      <c r="D6863" s="417" t="s">
        <v>83</v>
      </c>
      <c r="E6863" s="423">
        <v>0.8687425941636564</v>
      </c>
      <c r="F6863" s="423">
        <v>1.6121714652546981E-2</v>
      </c>
      <c r="G6863" s="422">
        <v>1948.813971587786</v>
      </c>
      <c r="H6863" s="417" t="s">
        <v>2616</v>
      </c>
      <c r="I6863" s="417" t="s">
        <v>1392</v>
      </c>
      <c r="J6863" s="417" t="s">
        <v>14271</v>
      </c>
      <c r="K6863" s="417" t="s">
        <v>16199</v>
      </c>
      <c r="L6863" s="417"/>
      <c r="M6863" s="417" t="s">
        <v>28840</v>
      </c>
    </row>
    <row r="6864" spans="1:13" x14ac:dyDescent="0.25">
      <c r="A6864" s="417" t="s">
        <v>3385</v>
      </c>
      <c r="B6864" s="417" t="s">
        <v>2627</v>
      </c>
      <c r="C6864" s="417" t="s">
        <v>16200</v>
      </c>
      <c r="D6864" s="417" t="s">
        <v>83</v>
      </c>
      <c r="E6864" s="423">
        <v>0.8797581349214425</v>
      </c>
      <c r="F6864" s="423">
        <v>1.669041257586305E-2</v>
      </c>
      <c r="G6864" s="422">
        <v>1967.794337021905</v>
      </c>
      <c r="H6864" s="417" t="s">
        <v>2616</v>
      </c>
      <c r="I6864" s="417" t="s">
        <v>1392</v>
      </c>
      <c r="J6864" s="417" t="s">
        <v>14271</v>
      </c>
      <c r="K6864" s="417" t="s">
        <v>16201</v>
      </c>
      <c r="L6864" s="417"/>
      <c r="M6864" s="417" t="s">
        <v>28840</v>
      </c>
    </row>
    <row r="6865" spans="1:13" x14ac:dyDescent="0.25">
      <c r="A6865" s="417" t="s">
        <v>3385</v>
      </c>
      <c r="B6865" s="417" t="s">
        <v>2627</v>
      </c>
      <c r="C6865" s="417" t="s">
        <v>16202</v>
      </c>
      <c r="D6865" s="417" t="s">
        <v>83</v>
      </c>
      <c r="E6865" s="423">
        <v>1.314871994896788</v>
      </c>
      <c r="F6865" s="423">
        <v>3.9153980550162247E-2</v>
      </c>
      <c r="G6865" s="422">
        <v>2717.5187584247192</v>
      </c>
      <c r="H6865" s="417" t="s">
        <v>2616</v>
      </c>
      <c r="I6865" s="417" t="s">
        <v>1392</v>
      </c>
      <c r="J6865" s="417" t="s">
        <v>14271</v>
      </c>
      <c r="K6865" s="417" t="s">
        <v>16203</v>
      </c>
      <c r="L6865" s="417"/>
      <c r="M6865" s="417" t="s">
        <v>28840</v>
      </c>
    </row>
    <row r="6866" spans="1:13" x14ac:dyDescent="0.25">
      <c r="A6866" s="417" t="s">
        <v>3385</v>
      </c>
      <c r="B6866" s="417" t="s">
        <v>2627</v>
      </c>
      <c r="C6866" s="417" t="s">
        <v>16204</v>
      </c>
      <c r="D6866" s="417" t="s">
        <v>83</v>
      </c>
      <c r="E6866" s="423">
        <v>0.70350948278464676</v>
      </c>
      <c r="F6866" s="423">
        <v>7.5912458011714538E-3</v>
      </c>
      <c r="G6866" s="422">
        <v>1664.108495083331</v>
      </c>
      <c r="H6866" s="417" t="s">
        <v>2616</v>
      </c>
      <c r="I6866" s="417" t="s">
        <v>1392</v>
      </c>
      <c r="J6866" s="417" t="s">
        <v>14271</v>
      </c>
      <c r="K6866" s="417" t="s">
        <v>16205</v>
      </c>
      <c r="L6866" s="417"/>
      <c r="M6866" s="417" t="s">
        <v>28840</v>
      </c>
    </row>
    <row r="6867" spans="1:13" x14ac:dyDescent="0.25">
      <c r="A6867" s="417" t="s">
        <v>3385</v>
      </c>
      <c r="B6867" s="417" t="s">
        <v>2627</v>
      </c>
      <c r="C6867" s="417" t="s">
        <v>16206</v>
      </c>
      <c r="D6867" s="417" t="s">
        <v>83</v>
      </c>
      <c r="E6867" s="423">
        <v>0.70350948278464676</v>
      </c>
      <c r="F6867" s="423">
        <v>7.5912458011714538E-3</v>
      </c>
      <c r="G6867" s="422">
        <v>1664.108495083331</v>
      </c>
      <c r="H6867" s="417" t="s">
        <v>2616</v>
      </c>
      <c r="I6867" s="417" t="s">
        <v>1392</v>
      </c>
      <c r="J6867" s="417" t="s">
        <v>14271</v>
      </c>
      <c r="K6867" s="417" t="s">
        <v>16207</v>
      </c>
      <c r="L6867" s="417"/>
      <c r="M6867" s="417" t="s">
        <v>28840</v>
      </c>
    </row>
    <row r="6868" spans="1:13" x14ac:dyDescent="0.25">
      <c r="A6868" s="417" t="s">
        <v>3385</v>
      </c>
      <c r="B6868" s="417" t="s">
        <v>2627</v>
      </c>
      <c r="C6868" s="417" t="s">
        <v>16208</v>
      </c>
      <c r="D6868" s="417" t="s">
        <v>83</v>
      </c>
      <c r="E6868" s="423">
        <v>0.77235661252414345</v>
      </c>
      <c r="F6868" s="423">
        <v>1.114560782257277E-2</v>
      </c>
      <c r="G6868" s="422">
        <v>1782.735777036062</v>
      </c>
      <c r="H6868" s="417" t="s">
        <v>2616</v>
      </c>
      <c r="I6868" s="417" t="s">
        <v>1392</v>
      </c>
      <c r="J6868" s="417" t="s">
        <v>14271</v>
      </c>
      <c r="K6868" s="417" t="s">
        <v>16209</v>
      </c>
      <c r="L6868" s="417"/>
      <c r="M6868" s="417" t="s">
        <v>28840</v>
      </c>
    </row>
    <row r="6869" spans="1:13" x14ac:dyDescent="0.25">
      <c r="A6869" s="417" t="s">
        <v>3385</v>
      </c>
      <c r="B6869" s="417" t="s">
        <v>2627</v>
      </c>
      <c r="C6869" s="417" t="s">
        <v>16210</v>
      </c>
      <c r="D6869" s="417" t="s">
        <v>83</v>
      </c>
      <c r="E6869" s="423">
        <v>0.8219265459422016</v>
      </c>
      <c r="F6869" s="423">
        <v>1.370474847818233E-2</v>
      </c>
      <c r="G6869" s="422">
        <v>1868.147420182326</v>
      </c>
      <c r="H6869" s="417" t="s">
        <v>2616</v>
      </c>
      <c r="I6869" s="417" t="s">
        <v>1392</v>
      </c>
      <c r="J6869" s="417" t="s">
        <v>14271</v>
      </c>
      <c r="K6869" s="417" t="s">
        <v>16211</v>
      </c>
      <c r="L6869" s="417"/>
      <c r="M6869" s="417" t="s">
        <v>28840</v>
      </c>
    </row>
    <row r="6870" spans="1:13" x14ac:dyDescent="0.25">
      <c r="A6870" s="417" t="s">
        <v>3385</v>
      </c>
      <c r="B6870" s="417" t="s">
        <v>2627</v>
      </c>
      <c r="C6870" s="417" t="s">
        <v>16212</v>
      </c>
      <c r="D6870" s="417" t="s">
        <v>73</v>
      </c>
      <c r="E6870" s="423">
        <v>2.2277964123858671E-2</v>
      </c>
      <c r="F6870" s="423">
        <v>3.4154553577533258E-4</v>
      </c>
      <c r="G6870" s="422">
        <v>50.854866937833528</v>
      </c>
      <c r="H6870" s="417" t="s">
        <v>2616</v>
      </c>
      <c r="I6870" s="417" t="s">
        <v>1392</v>
      </c>
      <c r="J6870" s="417" t="s">
        <v>15692</v>
      </c>
      <c r="K6870" s="417" t="s">
        <v>16213</v>
      </c>
      <c r="L6870" s="417"/>
      <c r="M6870" s="417" t="s">
        <v>28840</v>
      </c>
    </row>
    <row r="6871" spans="1:13" x14ac:dyDescent="0.25">
      <c r="A6871" s="417" t="s">
        <v>3385</v>
      </c>
      <c r="B6871" s="417" t="s">
        <v>2627</v>
      </c>
      <c r="C6871" s="417" t="s">
        <v>16214</v>
      </c>
      <c r="D6871" s="417" t="s">
        <v>73</v>
      </c>
      <c r="E6871" s="423">
        <v>2.7480350665800981E-2</v>
      </c>
      <c r="F6871" s="423">
        <v>6.1012848490412904E-4</v>
      </c>
      <c r="G6871" s="422">
        <v>59.818856830350917</v>
      </c>
      <c r="H6871" s="417" t="s">
        <v>2616</v>
      </c>
      <c r="I6871" s="417" t="s">
        <v>1392</v>
      </c>
      <c r="J6871" s="417" t="s">
        <v>15692</v>
      </c>
      <c r="K6871" s="417" t="s">
        <v>16215</v>
      </c>
      <c r="L6871" s="417"/>
      <c r="M6871" s="417" t="s">
        <v>28840</v>
      </c>
    </row>
    <row r="6872" spans="1:13" x14ac:dyDescent="0.25">
      <c r="A6872" s="417" t="s">
        <v>3385</v>
      </c>
      <c r="B6872" s="417" t="s">
        <v>2627</v>
      </c>
      <c r="C6872" s="417" t="s">
        <v>16216</v>
      </c>
      <c r="D6872" s="417" t="s">
        <v>73</v>
      </c>
      <c r="E6872" s="423">
        <v>1.445267807174948E-2</v>
      </c>
      <c r="F6872" s="423">
        <v>1.547699348611932E-4</v>
      </c>
      <c r="G6872" s="422">
        <v>38.685609871133607</v>
      </c>
      <c r="H6872" s="417" t="s">
        <v>2616</v>
      </c>
      <c r="I6872" s="417" t="s">
        <v>1392</v>
      </c>
      <c r="J6872" s="417" t="s">
        <v>15692</v>
      </c>
      <c r="K6872" s="417" t="s">
        <v>16217</v>
      </c>
      <c r="L6872" s="417"/>
      <c r="M6872" s="417" t="s">
        <v>28840</v>
      </c>
    </row>
    <row r="6873" spans="1:13" x14ac:dyDescent="0.25">
      <c r="A6873" s="417" t="s">
        <v>3385</v>
      </c>
      <c r="B6873" s="417" t="s">
        <v>2627</v>
      </c>
      <c r="C6873" s="417" t="s">
        <v>16218</v>
      </c>
      <c r="D6873" s="417" t="s">
        <v>73</v>
      </c>
      <c r="E6873" s="423">
        <v>2.901046435517099E-2</v>
      </c>
      <c r="F6873" s="423">
        <v>6.8912346996233493E-4</v>
      </c>
      <c r="G6873" s="422">
        <v>62.45532443577163</v>
      </c>
      <c r="H6873" s="417" t="s">
        <v>2616</v>
      </c>
      <c r="I6873" s="417" t="s">
        <v>1392</v>
      </c>
      <c r="J6873" s="417" t="s">
        <v>15692</v>
      </c>
      <c r="K6873" s="417" t="s">
        <v>16219</v>
      </c>
      <c r="L6873" s="417"/>
      <c r="M6873" s="417" t="s">
        <v>28840</v>
      </c>
    </row>
    <row r="6874" spans="1:13" x14ac:dyDescent="0.25">
      <c r="A6874" s="417" t="s">
        <v>3385</v>
      </c>
      <c r="B6874" s="417" t="s">
        <v>2627</v>
      </c>
      <c r="C6874" s="417" t="s">
        <v>16220</v>
      </c>
      <c r="D6874" s="417" t="s">
        <v>73</v>
      </c>
      <c r="E6874" s="423">
        <v>1.1363610235412019E-2</v>
      </c>
      <c r="F6874" s="423">
        <v>1.3335655093756901E-4</v>
      </c>
      <c r="G6874" s="422">
        <v>34.436955161093039</v>
      </c>
      <c r="H6874" s="417" t="s">
        <v>2616</v>
      </c>
      <c r="I6874" s="417" t="s">
        <v>1392</v>
      </c>
      <c r="J6874" s="417" t="s">
        <v>15692</v>
      </c>
      <c r="K6874" s="417" t="s">
        <v>16221</v>
      </c>
      <c r="L6874" s="417"/>
      <c r="M6874" s="417" t="s">
        <v>28840</v>
      </c>
    </row>
    <row r="6875" spans="1:13" x14ac:dyDescent="0.25">
      <c r="A6875" s="417" t="s">
        <v>3385</v>
      </c>
      <c r="B6875" s="417" t="s">
        <v>2627</v>
      </c>
      <c r="C6875" s="417" t="s">
        <v>16222</v>
      </c>
      <c r="D6875" s="417" t="s">
        <v>73</v>
      </c>
      <c r="E6875" s="423">
        <v>2.4343617603671569E-2</v>
      </c>
      <c r="F6875" s="423">
        <v>4.4818876556941513E-4</v>
      </c>
      <c r="G6875" s="422">
        <v>54.414098215947327</v>
      </c>
      <c r="H6875" s="417" t="s">
        <v>2616</v>
      </c>
      <c r="I6875" s="417" t="s">
        <v>1392</v>
      </c>
      <c r="J6875" s="417" t="s">
        <v>15692</v>
      </c>
      <c r="K6875" s="417" t="s">
        <v>16223</v>
      </c>
      <c r="L6875" s="417"/>
      <c r="M6875" s="417" t="s">
        <v>28840</v>
      </c>
    </row>
    <row r="6876" spans="1:13" x14ac:dyDescent="0.25">
      <c r="A6876" s="417" t="s">
        <v>3385</v>
      </c>
      <c r="B6876" s="417" t="s">
        <v>2627</v>
      </c>
      <c r="C6876" s="417" t="s">
        <v>16224</v>
      </c>
      <c r="D6876" s="417" t="s">
        <v>73</v>
      </c>
      <c r="E6876" s="423">
        <v>2.4649640341548169E-2</v>
      </c>
      <c r="F6876" s="423">
        <v>4.639877625777747E-4</v>
      </c>
      <c r="G6876" s="422">
        <v>54.941391740337572</v>
      </c>
      <c r="H6876" s="417" t="s">
        <v>2616</v>
      </c>
      <c r="I6876" s="417" t="s">
        <v>1392</v>
      </c>
      <c r="J6876" s="417" t="s">
        <v>15692</v>
      </c>
      <c r="K6876" s="417" t="s">
        <v>16225</v>
      </c>
      <c r="L6876" s="417"/>
      <c r="M6876" s="417" t="s">
        <v>28840</v>
      </c>
    </row>
    <row r="6877" spans="1:13" x14ac:dyDescent="0.25">
      <c r="A6877" s="417" t="s">
        <v>3385</v>
      </c>
      <c r="B6877" s="417" t="s">
        <v>2627</v>
      </c>
      <c r="C6877" s="417" t="s">
        <v>16226</v>
      </c>
      <c r="D6877" s="417" t="s">
        <v>73</v>
      </c>
      <c r="E6877" s="423">
        <v>3.6737538484898358E-2</v>
      </c>
      <c r="F6877" s="423">
        <v>1.0880481444643271E-3</v>
      </c>
      <c r="G6877" s="422">
        <v>75.769485926216532</v>
      </c>
      <c r="H6877" s="417" t="s">
        <v>2616</v>
      </c>
      <c r="I6877" s="417" t="s">
        <v>1392</v>
      </c>
      <c r="J6877" s="417" t="s">
        <v>15692</v>
      </c>
      <c r="K6877" s="417" t="s">
        <v>16227</v>
      </c>
      <c r="L6877" s="417"/>
      <c r="M6877" s="417" t="s">
        <v>28840</v>
      </c>
    </row>
    <row r="6878" spans="1:13" x14ac:dyDescent="0.25">
      <c r="A6878" s="417" t="s">
        <v>3385</v>
      </c>
      <c r="B6878" s="417" t="s">
        <v>2627</v>
      </c>
      <c r="C6878" s="417" t="s">
        <v>16228</v>
      </c>
      <c r="D6878" s="417" t="s">
        <v>73</v>
      </c>
      <c r="E6878" s="423">
        <v>1.1443249400303661E-2</v>
      </c>
      <c r="F6878" s="423">
        <v>1.3346651166121611E-4</v>
      </c>
      <c r="G6878" s="422">
        <v>34.514230427005778</v>
      </c>
      <c r="H6878" s="417" t="s">
        <v>2616</v>
      </c>
      <c r="I6878" s="417" t="s">
        <v>1392</v>
      </c>
      <c r="J6878" s="417" t="s">
        <v>15692</v>
      </c>
      <c r="K6878" s="417" t="s">
        <v>16229</v>
      </c>
      <c r="L6878" s="417"/>
      <c r="M6878" s="417" t="s">
        <v>28840</v>
      </c>
    </row>
    <row r="6879" spans="1:13" x14ac:dyDescent="0.25">
      <c r="A6879" s="417" t="s">
        <v>3385</v>
      </c>
      <c r="B6879" s="417" t="s">
        <v>2627</v>
      </c>
      <c r="C6879" s="417" t="s">
        <v>16230</v>
      </c>
      <c r="D6879" s="417" t="s">
        <v>73</v>
      </c>
      <c r="E6879" s="423">
        <v>1.975327653664901E-2</v>
      </c>
      <c r="F6879" s="423">
        <v>2.1120381042938951E-4</v>
      </c>
      <c r="G6879" s="422">
        <v>46.504695366863587</v>
      </c>
      <c r="H6879" s="417" t="s">
        <v>2616</v>
      </c>
      <c r="I6879" s="417" t="s">
        <v>1392</v>
      </c>
      <c r="J6879" s="417" t="s">
        <v>15692</v>
      </c>
      <c r="K6879" s="417" t="s">
        <v>16231</v>
      </c>
      <c r="L6879" s="417"/>
      <c r="M6879" s="417" t="s">
        <v>28840</v>
      </c>
    </row>
    <row r="6880" spans="1:13" x14ac:dyDescent="0.25">
      <c r="A6880" s="417" t="s">
        <v>3385</v>
      </c>
      <c r="B6880" s="417" t="s">
        <v>2627</v>
      </c>
      <c r="C6880" s="417" t="s">
        <v>16232</v>
      </c>
      <c r="D6880" s="417" t="s">
        <v>73</v>
      </c>
      <c r="E6880" s="423">
        <v>1.444368908657003E-2</v>
      </c>
      <c r="F6880" s="423">
        <v>1.5468758754413989E-4</v>
      </c>
      <c r="G6880" s="422">
        <v>38.672620403562703</v>
      </c>
      <c r="H6880" s="417" t="s">
        <v>2616</v>
      </c>
      <c r="I6880" s="417" t="s">
        <v>1392</v>
      </c>
      <c r="J6880" s="417" t="s">
        <v>15692</v>
      </c>
      <c r="K6880" s="417" t="s">
        <v>16233</v>
      </c>
      <c r="L6880" s="417"/>
      <c r="M6880" s="417" t="s">
        <v>28840</v>
      </c>
    </row>
    <row r="6881" spans="1:13" x14ac:dyDescent="0.25">
      <c r="A6881" s="417" t="s">
        <v>3385</v>
      </c>
      <c r="B6881" s="417" t="s">
        <v>2627</v>
      </c>
      <c r="C6881" s="417" t="s">
        <v>16234</v>
      </c>
      <c r="D6881" s="417" t="s">
        <v>73</v>
      </c>
      <c r="E6881" s="423">
        <v>2.1665918648176779E-2</v>
      </c>
      <c r="F6881" s="423">
        <v>3.0994754174478052E-4</v>
      </c>
      <c r="G6881" s="422">
        <v>49.800279889459453</v>
      </c>
      <c r="H6881" s="417" t="s">
        <v>2616</v>
      </c>
      <c r="I6881" s="417" t="s">
        <v>1392</v>
      </c>
      <c r="J6881" s="417" t="s">
        <v>15692</v>
      </c>
      <c r="K6881" s="417" t="s">
        <v>16235</v>
      </c>
      <c r="L6881" s="417"/>
      <c r="M6881" s="417" t="s">
        <v>28840</v>
      </c>
    </row>
    <row r="6882" spans="1:13" x14ac:dyDescent="0.25">
      <c r="A6882" s="417" t="s">
        <v>3385</v>
      </c>
      <c r="B6882" s="417" t="s">
        <v>2627</v>
      </c>
      <c r="C6882" s="417" t="s">
        <v>16236</v>
      </c>
      <c r="D6882" s="417" t="s">
        <v>73</v>
      </c>
      <c r="E6882" s="423">
        <v>2.304302096767713E-2</v>
      </c>
      <c r="F6882" s="423">
        <v>3.8104302825774669E-4</v>
      </c>
      <c r="G6882" s="422">
        <v>52.1731007421104</v>
      </c>
      <c r="H6882" s="417" t="s">
        <v>2616</v>
      </c>
      <c r="I6882" s="417" t="s">
        <v>1392</v>
      </c>
      <c r="J6882" s="417" t="s">
        <v>15692</v>
      </c>
      <c r="K6882" s="417" t="s">
        <v>16237</v>
      </c>
      <c r="L6882" s="417"/>
      <c r="M6882" s="417" t="s">
        <v>28840</v>
      </c>
    </row>
    <row r="6883" spans="1:13" x14ac:dyDescent="0.25">
      <c r="A6883" s="417" t="s">
        <v>3385</v>
      </c>
      <c r="B6883" s="417" t="s">
        <v>2627</v>
      </c>
      <c r="C6883" s="417" t="s">
        <v>16238</v>
      </c>
      <c r="D6883" s="417" t="s">
        <v>73</v>
      </c>
      <c r="E6883" s="423">
        <v>1.2980721485772329E-2</v>
      </c>
      <c r="F6883" s="423">
        <v>8.8898041509980852E-5</v>
      </c>
      <c r="G6883" s="422">
        <v>35.416842627131352</v>
      </c>
      <c r="H6883" s="417" t="s">
        <v>2616</v>
      </c>
      <c r="I6883" s="417" t="s">
        <v>1392</v>
      </c>
      <c r="J6883" s="417" t="s">
        <v>15692</v>
      </c>
      <c r="K6883" s="417" t="s">
        <v>16239</v>
      </c>
      <c r="L6883" s="417"/>
      <c r="M6883" s="417" t="s">
        <v>28840</v>
      </c>
    </row>
    <row r="6884" spans="1:13" x14ac:dyDescent="0.25">
      <c r="A6884" s="417" t="s">
        <v>3385</v>
      </c>
      <c r="B6884" s="417" t="s">
        <v>2627</v>
      </c>
      <c r="C6884" s="417" t="s">
        <v>16240</v>
      </c>
      <c r="D6884" s="417" t="s">
        <v>73</v>
      </c>
      <c r="E6884" s="423">
        <v>1.3145162741247071E-2</v>
      </c>
      <c r="F6884" s="423">
        <v>8.9408338197179498E-5</v>
      </c>
      <c r="G6884" s="422">
        <v>35.638276950202041</v>
      </c>
      <c r="H6884" s="417" t="s">
        <v>2616</v>
      </c>
      <c r="I6884" s="417" t="s">
        <v>1392</v>
      </c>
      <c r="J6884" s="417" t="s">
        <v>15692</v>
      </c>
      <c r="K6884" s="417" t="s">
        <v>16241</v>
      </c>
      <c r="L6884" s="417"/>
      <c r="M6884" s="417" t="s">
        <v>28840</v>
      </c>
    </row>
    <row r="6885" spans="1:13" x14ac:dyDescent="0.25">
      <c r="A6885" s="417" t="s">
        <v>3385</v>
      </c>
      <c r="B6885" s="417" t="s">
        <v>2627</v>
      </c>
      <c r="C6885" s="417" t="s">
        <v>16242</v>
      </c>
      <c r="D6885" s="417" t="s">
        <v>73</v>
      </c>
      <c r="E6885" s="423">
        <v>1.2980721485772329E-2</v>
      </c>
      <c r="F6885" s="423">
        <v>8.8898041509980852E-5</v>
      </c>
      <c r="G6885" s="422">
        <v>35.416842627131352</v>
      </c>
      <c r="H6885" s="417" t="s">
        <v>2616</v>
      </c>
      <c r="I6885" s="417" t="s">
        <v>1392</v>
      </c>
      <c r="J6885" s="417" t="s">
        <v>15692</v>
      </c>
      <c r="K6885" s="417" t="s">
        <v>16243</v>
      </c>
      <c r="L6885" s="417"/>
      <c r="M6885" s="417" t="s">
        <v>28840</v>
      </c>
    </row>
    <row r="6886" spans="1:13" x14ac:dyDescent="0.25">
      <c r="A6886" s="417" t="s">
        <v>3385</v>
      </c>
      <c r="B6886" s="417" t="s">
        <v>2627</v>
      </c>
      <c r="C6886" s="417" t="s">
        <v>16244</v>
      </c>
      <c r="D6886" s="417" t="s">
        <v>73</v>
      </c>
      <c r="E6886" s="423">
        <v>9.293656816017723E-3</v>
      </c>
      <c r="F6886" s="423">
        <v>5.1182765230209628E-5</v>
      </c>
      <c r="G6886" s="422">
        <v>23.348924145219531</v>
      </c>
      <c r="H6886" s="417" t="s">
        <v>2616</v>
      </c>
      <c r="I6886" s="417" t="s">
        <v>1392</v>
      </c>
      <c r="J6886" s="417" t="s">
        <v>15692</v>
      </c>
      <c r="K6886" s="417" t="s">
        <v>16245</v>
      </c>
      <c r="L6886" s="417"/>
      <c r="M6886" s="417" t="s">
        <v>28840</v>
      </c>
    </row>
    <row r="6887" spans="1:13" x14ac:dyDescent="0.25">
      <c r="A6887" s="417" t="s">
        <v>3385</v>
      </c>
      <c r="B6887" s="417" t="s">
        <v>2627</v>
      </c>
      <c r="C6887" s="417" t="s">
        <v>16246</v>
      </c>
      <c r="D6887" s="417" t="s">
        <v>73</v>
      </c>
      <c r="E6887" s="423">
        <v>9.4455380696125326E-3</v>
      </c>
      <c r="F6887" s="423">
        <v>5.1297123544643673E-5</v>
      </c>
      <c r="G6887" s="422">
        <v>23.542941200539449</v>
      </c>
      <c r="H6887" s="417" t="s">
        <v>2616</v>
      </c>
      <c r="I6887" s="417" t="s">
        <v>1392</v>
      </c>
      <c r="J6887" s="417" t="s">
        <v>15692</v>
      </c>
      <c r="K6887" s="417" t="s">
        <v>16247</v>
      </c>
      <c r="L6887" s="417"/>
      <c r="M6887" s="417" t="s">
        <v>28840</v>
      </c>
    </row>
    <row r="6888" spans="1:13" x14ac:dyDescent="0.25">
      <c r="A6888" s="417" t="s">
        <v>3385</v>
      </c>
      <c r="B6888" s="417" t="s">
        <v>2627</v>
      </c>
      <c r="C6888" s="417" t="s">
        <v>16248</v>
      </c>
      <c r="D6888" s="417" t="s">
        <v>73</v>
      </c>
      <c r="E6888" s="423">
        <v>9.293656816017723E-3</v>
      </c>
      <c r="F6888" s="423">
        <v>5.1182765230209628E-5</v>
      </c>
      <c r="G6888" s="422">
        <v>23.348924145219531</v>
      </c>
      <c r="H6888" s="417" t="s">
        <v>2616</v>
      </c>
      <c r="I6888" s="417" t="s">
        <v>1392</v>
      </c>
      <c r="J6888" s="417" t="s">
        <v>15692</v>
      </c>
      <c r="K6888" s="417" t="s">
        <v>16249</v>
      </c>
      <c r="L6888" s="417"/>
      <c r="M6888" s="417" t="s">
        <v>28840</v>
      </c>
    </row>
    <row r="6889" spans="1:13" x14ac:dyDescent="0.25">
      <c r="A6889" s="417" t="s">
        <v>3385</v>
      </c>
      <c r="B6889" s="417" t="s">
        <v>2627</v>
      </c>
      <c r="C6889" s="417" t="s">
        <v>16250</v>
      </c>
      <c r="D6889" s="417" t="s">
        <v>73</v>
      </c>
      <c r="E6889" s="423">
        <v>1.5099597609515489E-2</v>
      </c>
      <c r="F6889" s="423">
        <v>4.4142562320405827E-5</v>
      </c>
      <c r="G6889" s="422">
        <v>30.007411933488239</v>
      </c>
      <c r="H6889" s="417" t="s">
        <v>2616</v>
      </c>
      <c r="I6889" s="417" t="s">
        <v>1392</v>
      </c>
      <c r="J6889" s="417" t="s">
        <v>15692</v>
      </c>
      <c r="K6889" s="417" t="s">
        <v>16251</v>
      </c>
      <c r="L6889" s="417"/>
      <c r="M6889" s="417" t="s">
        <v>28840</v>
      </c>
    </row>
    <row r="6890" spans="1:13" x14ac:dyDescent="0.25">
      <c r="A6890" s="417" t="s">
        <v>3385</v>
      </c>
      <c r="B6890" s="417" t="s">
        <v>2627</v>
      </c>
      <c r="C6890" s="417" t="s">
        <v>16252</v>
      </c>
      <c r="D6890" s="417" t="s">
        <v>73</v>
      </c>
      <c r="E6890" s="423">
        <v>1.1455867758675711E-2</v>
      </c>
      <c r="F6890" s="423">
        <v>3.9724326422108298E-5</v>
      </c>
      <c r="G6890" s="422">
        <v>25.671429874306991</v>
      </c>
      <c r="H6890" s="417" t="s">
        <v>2616</v>
      </c>
      <c r="I6890" s="417" t="s">
        <v>1392</v>
      </c>
      <c r="J6890" s="417" t="s">
        <v>15692</v>
      </c>
      <c r="K6890" s="417" t="s">
        <v>16253</v>
      </c>
      <c r="L6890" s="417"/>
      <c r="M6890" s="417" t="s">
        <v>28840</v>
      </c>
    </row>
    <row r="6891" spans="1:13" x14ac:dyDescent="0.25">
      <c r="A6891" s="417" t="s">
        <v>3385</v>
      </c>
      <c r="B6891" s="417" t="s">
        <v>2627</v>
      </c>
      <c r="C6891" s="417" t="s">
        <v>16254</v>
      </c>
      <c r="D6891" s="417" t="s">
        <v>73</v>
      </c>
      <c r="E6891" s="423">
        <v>9.2990757994884377E-3</v>
      </c>
      <c r="F6891" s="423">
        <v>3.7022331767975538E-5</v>
      </c>
      <c r="G6891" s="422">
        <v>23.117875389813609</v>
      </c>
      <c r="H6891" s="417" t="s">
        <v>2616</v>
      </c>
      <c r="I6891" s="417" t="s">
        <v>1392</v>
      </c>
      <c r="J6891" s="417" t="s">
        <v>15692</v>
      </c>
      <c r="K6891" s="417" t="s">
        <v>16255</v>
      </c>
      <c r="L6891" s="417"/>
      <c r="M6891" s="417" t="s">
        <v>28840</v>
      </c>
    </row>
    <row r="6892" spans="1:13" x14ac:dyDescent="0.25">
      <c r="A6892" s="417" t="s">
        <v>3385</v>
      </c>
      <c r="B6892" s="417" t="s">
        <v>2627</v>
      </c>
      <c r="C6892" s="417" t="s">
        <v>16256</v>
      </c>
      <c r="D6892" s="417" t="s">
        <v>73</v>
      </c>
      <c r="E6892" s="423">
        <v>1.5099597609515489E-2</v>
      </c>
      <c r="F6892" s="423">
        <v>4.4142562320405827E-5</v>
      </c>
      <c r="G6892" s="422">
        <v>30.007411933488239</v>
      </c>
      <c r="H6892" s="417" t="s">
        <v>2616</v>
      </c>
      <c r="I6892" s="417" t="s">
        <v>1392</v>
      </c>
      <c r="J6892" s="417" t="s">
        <v>15692</v>
      </c>
      <c r="K6892" s="417" t="s">
        <v>16257</v>
      </c>
      <c r="L6892" s="417"/>
      <c r="M6892" s="417" t="s">
        <v>28840</v>
      </c>
    </row>
    <row r="6893" spans="1:13" x14ac:dyDescent="0.25">
      <c r="A6893" s="417" t="s">
        <v>3385</v>
      </c>
      <c r="B6893" s="417" t="s">
        <v>2627</v>
      </c>
      <c r="C6893" s="417" t="s">
        <v>16258</v>
      </c>
      <c r="D6893" s="417" t="s">
        <v>73</v>
      </c>
      <c r="E6893" s="423">
        <v>1.5099597609515489E-2</v>
      </c>
      <c r="F6893" s="423">
        <v>4.4142562320405827E-5</v>
      </c>
      <c r="G6893" s="422">
        <v>30.007411933488239</v>
      </c>
      <c r="H6893" s="417" t="s">
        <v>2616</v>
      </c>
      <c r="I6893" s="417" t="s">
        <v>1392</v>
      </c>
      <c r="J6893" s="417" t="s">
        <v>15692</v>
      </c>
      <c r="K6893" s="417" t="s">
        <v>16259</v>
      </c>
      <c r="L6893" s="417"/>
      <c r="M6893" s="417" t="s">
        <v>28840</v>
      </c>
    </row>
    <row r="6894" spans="1:13" x14ac:dyDescent="0.25">
      <c r="A6894" s="417" t="s">
        <v>3385</v>
      </c>
      <c r="B6894" s="417" t="s">
        <v>2627</v>
      </c>
      <c r="C6894" s="417" t="s">
        <v>16260</v>
      </c>
      <c r="D6894" s="417" t="s">
        <v>73</v>
      </c>
      <c r="E6894" s="423">
        <v>1.6824203016224719E-2</v>
      </c>
      <c r="F6894" s="423">
        <v>1.7370554833450109E-4</v>
      </c>
      <c r="G6894" s="422">
        <v>32.773791470321058</v>
      </c>
      <c r="H6894" s="417" t="s">
        <v>2616</v>
      </c>
      <c r="I6894" s="417" t="s">
        <v>1392</v>
      </c>
      <c r="J6894" s="417" t="s">
        <v>15692</v>
      </c>
      <c r="K6894" s="417" t="s">
        <v>16261</v>
      </c>
      <c r="L6894" s="417"/>
      <c r="M6894" s="417" t="s">
        <v>28840</v>
      </c>
    </row>
    <row r="6895" spans="1:13" x14ac:dyDescent="0.25">
      <c r="A6895" s="417" t="s">
        <v>3385</v>
      </c>
      <c r="B6895" s="417" t="s">
        <v>2627</v>
      </c>
      <c r="C6895" s="417" t="s">
        <v>16262</v>
      </c>
      <c r="D6895" s="417" t="s">
        <v>73</v>
      </c>
      <c r="E6895" s="423">
        <v>1.6824203016224719E-2</v>
      </c>
      <c r="F6895" s="423">
        <v>1.7370554833450109E-4</v>
      </c>
      <c r="G6895" s="422">
        <v>32.773791470321058</v>
      </c>
      <c r="H6895" s="417" t="s">
        <v>2616</v>
      </c>
      <c r="I6895" s="417" t="s">
        <v>1392</v>
      </c>
      <c r="J6895" s="417" t="s">
        <v>15692</v>
      </c>
      <c r="K6895" s="417" t="s">
        <v>16263</v>
      </c>
      <c r="L6895" s="417"/>
      <c r="M6895" s="417" t="s">
        <v>28840</v>
      </c>
    </row>
    <row r="6896" spans="1:13" x14ac:dyDescent="0.25">
      <c r="A6896" s="417" t="s">
        <v>3385</v>
      </c>
      <c r="B6896" s="417" t="s">
        <v>2627</v>
      </c>
      <c r="C6896" s="417" t="s">
        <v>16264</v>
      </c>
      <c r="D6896" s="417" t="s">
        <v>73</v>
      </c>
      <c r="E6896" s="423">
        <v>1.6824203016224719E-2</v>
      </c>
      <c r="F6896" s="423">
        <v>1.7370554833450109E-4</v>
      </c>
      <c r="G6896" s="422">
        <v>32.773791470321058</v>
      </c>
      <c r="H6896" s="417" t="s">
        <v>2616</v>
      </c>
      <c r="I6896" s="417" t="s">
        <v>1392</v>
      </c>
      <c r="J6896" s="417" t="s">
        <v>15692</v>
      </c>
      <c r="K6896" s="417" t="s">
        <v>16265</v>
      </c>
      <c r="L6896" s="417"/>
      <c r="M6896" s="417" t="s">
        <v>28840</v>
      </c>
    </row>
    <row r="6897" spans="1:13" x14ac:dyDescent="0.25">
      <c r="A6897" s="417" t="s">
        <v>3385</v>
      </c>
      <c r="B6897" s="417" t="s">
        <v>2627</v>
      </c>
      <c r="C6897" s="417" t="s">
        <v>16266</v>
      </c>
      <c r="D6897" s="417" t="s">
        <v>73</v>
      </c>
      <c r="E6897" s="423">
        <v>1.6824203016224719E-2</v>
      </c>
      <c r="F6897" s="423">
        <v>1.7370554833450109E-4</v>
      </c>
      <c r="G6897" s="422">
        <v>32.773791470321058</v>
      </c>
      <c r="H6897" s="417" t="s">
        <v>2616</v>
      </c>
      <c r="I6897" s="417" t="s">
        <v>1392</v>
      </c>
      <c r="J6897" s="417" t="s">
        <v>15692</v>
      </c>
      <c r="K6897" s="417" t="s">
        <v>16267</v>
      </c>
      <c r="L6897" s="417"/>
      <c r="M6897" s="417" t="s">
        <v>28840</v>
      </c>
    </row>
    <row r="6898" spans="1:13" x14ac:dyDescent="0.25">
      <c r="A6898" s="417" t="s">
        <v>3385</v>
      </c>
      <c r="B6898" s="417" t="s">
        <v>2627</v>
      </c>
      <c r="C6898" s="417" t="s">
        <v>16268</v>
      </c>
      <c r="D6898" s="417" t="s">
        <v>73</v>
      </c>
      <c r="E6898" s="423">
        <v>3.8125028953593901E-3</v>
      </c>
      <c r="F6898" s="423">
        <v>6.3897756370659357E-5</v>
      </c>
      <c r="G6898" s="422">
        <v>15.903393610362761</v>
      </c>
      <c r="H6898" s="417" t="s">
        <v>2616</v>
      </c>
      <c r="I6898" s="417" t="s">
        <v>1392</v>
      </c>
      <c r="J6898" s="417" t="s">
        <v>15692</v>
      </c>
      <c r="K6898" s="417" t="s">
        <v>16269</v>
      </c>
      <c r="L6898" s="417"/>
      <c r="M6898" s="417" t="s">
        <v>28840</v>
      </c>
    </row>
    <row r="6899" spans="1:13" x14ac:dyDescent="0.25">
      <c r="A6899" s="417" t="s">
        <v>3385</v>
      </c>
      <c r="B6899" s="417" t="s">
        <v>2627</v>
      </c>
      <c r="C6899" s="417" t="s">
        <v>16270</v>
      </c>
      <c r="D6899" s="417" t="s">
        <v>73</v>
      </c>
      <c r="E6899" s="423">
        <v>1.6824203016224719E-2</v>
      </c>
      <c r="F6899" s="423">
        <v>1.7370554833450109E-4</v>
      </c>
      <c r="G6899" s="422">
        <v>32.773791470321058</v>
      </c>
      <c r="H6899" s="417" t="s">
        <v>2616</v>
      </c>
      <c r="I6899" s="417" t="s">
        <v>1392</v>
      </c>
      <c r="J6899" s="417" t="s">
        <v>15692</v>
      </c>
      <c r="K6899" s="417" t="s">
        <v>16271</v>
      </c>
      <c r="L6899" s="417"/>
      <c r="M6899" s="417" t="s">
        <v>28840</v>
      </c>
    </row>
    <row r="6900" spans="1:13" x14ac:dyDescent="0.25">
      <c r="A6900" s="417" t="s">
        <v>3385</v>
      </c>
      <c r="B6900" s="417" t="s">
        <v>2627</v>
      </c>
      <c r="C6900" s="417" t="s">
        <v>16272</v>
      </c>
      <c r="D6900" s="417" t="s">
        <v>73</v>
      </c>
      <c r="E6900" s="423">
        <v>1.6824203016224719E-2</v>
      </c>
      <c r="F6900" s="423">
        <v>1.7370554833450109E-4</v>
      </c>
      <c r="G6900" s="422">
        <v>32.773791470321058</v>
      </c>
      <c r="H6900" s="417" t="s">
        <v>2616</v>
      </c>
      <c r="I6900" s="417" t="s">
        <v>1392</v>
      </c>
      <c r="J6900" s="417" t="s">
        <v>15692</v>
      </c>
      <c r="K6900" s="417" t="s">
        <v>16273</v>
      </c>
      <c r="L6900" s="417"/>
      <c r="M6900" s="417" t="s">
        <v>28840</v>
      </c>
    </row>
    <row r="6901" spans="1:13" x14ac:dyDescent="0.25">
      <c r="A6901" s="417" t="s">
        <v>3385</v>
      </c>
      <c r="B6901" s="417" t="s">
        <v>2627</v>
      </c>
      <c r="C6901" s="417" t="s">
        <v>16274</v>
      </c>
      <c r="D6901" s="417" t="s">
        <v>73</v>
      </c>
      <c r="E6901" s="423">
        <v>7.3536898633807732E-3</v>
      </c>
      <c r="F6901" s="423">
        <v>5.1359106785108873E-5</v>
      </c>
      <c r="G6901" s="422">
        <v>20.934348556213958</v>
      </c>
      <c r="H6901" s="417" t="s">
        <v>2616</v>
      </c>
      <c r="I6901" s="417" t="s">
        <v>1392</v>
      </c>
      <c r="J6901" s="417" t="s">
        <v>15692</v>
      </c>
      <c r="K6901" s="417" t="s">
        <v>16275</v>
      </c>
      <c r="L6901" s="417"/>
      <c r="M6901" s="417" t="s">
        <v>28840</v>
      </c>
    </row>
    <row r="6902" spans="1:13" x14ac:dyDescent="0.25">
      <c r="A6902" s="417" t="s">
        <v>3385</v>
      </c>
      <c r="B6902" s="417" t="s">
        <v>2627</v>
      </c>
      <c r="C6902" s="417" t="s">
        <v>16276</v>
      </c>
      <c r="D6902" s="417" t="s">
        <v>73</v>
      </c>
      <c r="E6902" s="423">
        <v>7.5089945745139717E-3</v>
      </c>
      <c r="F6902" s="423">
        <v>5.1734314844608599E-5</v>
      </c>
      <c r="G6902" s="422">
        <v>21.134839677711788</v>
      </c>
      <c r="H6902" s="417" t="s">
        <v>2616</v>
      </c>
      <c r="I6902" s="417" t="s">
        <v>1392</v>
      </c>
      <c r="J6902" s="417" t="s">
        <v>15692</v>
      </c>
      <c r="K6902" s="417" t="s">
        <v>16277</v>
      </c>
      <c r="L6902" s="417"/>
      <c r="M6902" s="417" t="s">
        <v>28840</v>
      </c>
    </row>
    <row r="6903" spans="1:13" x14ac:dyDescent="0.25">
      <c r="A6903" s="417" t="s">
        <v>3385</v>
      </c>
      <c r="B6903" s="417" t="s">
        <v>2627</v>
      </c>
      <c r="C6903" s="417" t="s">
        <v>16278</v>
      </c>
      <c r="D6903" s="417" t="s">
        <v>73</v>
      </c>
      <c r="E6903" s="423">
        <v>7.3536898633807732E-3</v>
      </c>
      <c r="F6903" s="423">
        <v>5.1359106785108873E-5</v>
      </c>
      <c r="G6903" s="422">
        <v>20.934348556213958</v>
      </c>
      <c r="H6903" s="417" t="s">
        <v>2616</v>
      </c>
      <c r="I6903" s="417" t="s">
        <v>1392</v>
      </c>
      <c r="J6903" s="417" t="s">
        <v>15692</v>
      </c>
      <c r="K6903" s="417" t="s">
        <v>16279</v>
      </c>
      <c r="L6903" s="417"/>
      <c r="M6903" s="417" t="s">
        <v>28840</v>
      </c>
    </row>
    <row r="6904" spans="1:13" x14ac:dyDescent="0.25">
      <c r="A6904" s="417" t="s">
        <v>3385</v>
      </c>
      <c r="B6904" s="417" t="s">
        <v>2627</v>
      </c>
      <c r="C6904" s="417" t="s">
        <v>16280</v>
      </c>
      <c r="D6904" s="417" t="s">
        <v>73</v>
      </c>
      <c r="E6904" s="423">
        <v>1.298140425586136E-2</v>
      </c>
      <c r="F6904" s="423">
        <v>7.9600472096591688E-5</v>
      </c>
      <c r="G6904" s="422">
        <v>27.338584113047599</v>
      </c>
      <c r="H6904" s="417" t="s">
        <v>2616</v>
      </c>
      <c r="I6904" s="417" t="s">
        <v>1392</v>
      </c>
      <c r="J6904" s="417" t="s">
        <v>15692</v>
      </c>
      <c r="K6904" s="417" t="s">
        <v>16281</v>
      </c>
      <c r="L6904" s="417"/>
      <c r="M6904" s="417" t="s">
        <v>28840</v>
      </c>
    </row>
    <row r="6905" spans="1:13" x14ac:dyDescent="0.25">
      <c r="A6905" s="417" t="s">
        <v>3385</v>
      </c>
      <c r="B6905" s="417" t="s">
        <v>2627</v>
      </c>
      <c r="C6905" s="417" t="s">
        <v>16282</v>
      </c>
      <c r="D6905" s="417" t="s">
        <v>73</v>
      </c>
      <c r="E6905" s="423">
        <v>1.298140425586136E-2</v>
      </c>
      <c r="F6905" s="423">
        <v>7.9600472096591688E-5</v>
      </c>
      <c r="G6905" s="422">
        <v>27.338584113047599</v>
      </c>
      <c r="H6905" s="417" t="s">
        <v>2616</v>
      </c>
      <c r="I6905" s="417" t="s">
        <v>1392</v>
      </c>
      <c r="J6905" s="417" t="s">
        <v>15692</v>
      </c>
      <c r="K6905" s="417" t="s">
        <v>16283</v>
      </c>
      <c r="L6905" s="417"/>
      <c r="M6905" s="417" t="s">
        <v>28840</v>
      </c>
    </row>
    <row r="6906" spans="1:13" x14ac:dyDescent="0.25">
      <c r="A6906" s="417" t="s">
        <v>3385</v>
      </c>
      <c r="B6906" s="417" t="s">
        <v>2627</v>
      </c>
      <c r="C6906" s="417" t="s">
        <v>16284</v>
      </c>
      <c r="D6906" s="417" t="s">
        <v>73</v>
      </c>
      <c r="E6906" s="423">
        <v>1.0517144936983219E-2</v>
      </c>
      <c r="F6906" s="423">
        <v>7.5852224608164944E-5</v>
      </c>
      <c r="G6906" s="422">
        <v>24.421627714828109</v>
      </c>
      <c r="H6906" s="417" t="s">
        <v>2616</v>
      </c>
      <c r="I6906" s="417" t="s">
        <v>1392</v>
      </c>
      <c r="J6906" s="417" t="s">
        <v>15692</v>
      </c>
      <c r="K6906" s="417" t="s">
        <v>16285</v>
      </c>
      <c r="L6906" s="417"/>
      <c r="M6906" s="417" t="s">
        <v>28840</v>
      </c>
    </row>
    <row r="6907" spans="1:13" x14ac:dyDescent="0.25">
      <c r="A6907" s="417" t="s">
        <v>3385</v>
      </c>
      <c r="B6907" s="417" t="s">
        <v>2627</v>
      </c>
      <c r="C6907" s="417" t="s">
        <v>16286</v>
      </c>
      <c r="D6907" s="417" t="s">
        <v>73</v>
      </c>
      <c r="E6907" s="423">
        <v>1.298140425586136E-2</v>
      </c>
      <c r="F6907" s="423">
        <v>7.9600472096591688E-5</v>
      </c>
      <c r="G6907" s="422">
        <v>27.338584113047599</v>
      </c>
      <c r="H6907" s="417" t="s">
        <v>2616</v>
      </c>
      <c r="I6907" s="417" t="s">
        <v>1392</v>
      </c>
      <c r="J6907" s="417" t="s">
        <v>15692</v>
      </c>
      <c r="K6907" s="417" t="s">
        <v>16287</v>
      </c>
      <c r="L6907" s="417"/>
      <c r="M6907" s="417" t="s">
        <v>28840</v>
      </c>
    </row>
    <row r="6908" spans="1:13" x14ac:dyDescent="0.25">
      <c r="A6908" s="417" t="s">
        <v>3385</v>
      </c>
      <c r="B6908" s="417" t="s">
        <v>2627</v>
      </c>
      <c r="C6908" s="417" t="s">
        <v>16288</v>
      </c>
      <c r="D6908" s="417" t="s">
        <v>73</v>
      </c>
      <c r="E6908" s="423">
        <v>1.270094729849936E-2</v>
      </c>
      <c r="F6908" s="423">
        <v>7.9179343569997249E-5</v>
      </c>
      <c r="G6908" s="422">
        <v>27.00514284032603</v>
      </c>
      <c r="H6908" s="417" t="s">
        <v>2616</v>
      </c>
      <c r="I6908" s="417" t="s">
        <v>1392</v>
      </c>
      <c r="J6908" s="417" t="s">
        <v>15692</v>
      </c>
      <c r="K6908" s="417" t="s">
        <v>16289</v>
      </c>
      <c r="L6908" s="417"/>
      <c r="M6908" s="417" t="s">
        <v>28840</v>
      </c>
    </row>
    <row r="6909" spans="1:13" x14ac:dyDescent="0.25">
      <c r="A6909" s="417" t="s">
        <v>3385</v>
      </c>
      <c r="B6909" s="417" t="s">
        <v>2627</v>
      </c>
      <c r="C6909" s="417" t="s">
        <v>16290</v>
      </c>
      <c r="D6909" s="417" t="s">
        <v>73</v>
      </c>
      <c r="E6909" s="423">
        <v>1.4125399555160911E-2</v>
      </c>
      <c r="F6909" s="423">
        <v>5.2482344687397382E-5</v>
      </c>
      <c r="G6909" s="422">
        <v>28.380202853839421</v>
      </c>
      <c r="H6909" s="417" t="s">
        <v>2616</v>
      </c>
      <c r="I6909" s="417" t="s">
        <v>1392</v>
      </c>
      <c r="J6909" s="417" t="s">
        <v>15692</v>
      </c>
      <c r="K6909" s="417" t="s">
        <v>16291</v>
      </c>
      <c r="L6909" s="417"/>
      <c r="M6909" s="417" t="s">
        <v>28840</v>
      </c>
    </row>
    <row r="6910" spans="1:13" x14ac:dyDescent="0.25">
      <c r="A6910" s="417" t="s">
        <v>3385</v>
      </c>
      <c r="B6910" s="417" t="s">
        <v>2627</v>
      </c>
      <c r="C6910" s="417" t="s">
        <v>16292</v>
      </c>
      <c r="D6910" s="417" t="s">
        <v>73</v>
      </c>
      <c r="E6910" s="423">
        <v>1.4125399555160911E-2</v>
      </c>
      <c r="F6910" s="423">
        <v>5.2482344687397382E-5</v>
      </c>
      <c r="G6910" s="422">
        <v>28.380202853839421</v>
      </c>
      <c r="H6910" s="417" t="s">
        <v>2616</v>
      </c>
      <c r="I6910" s="417" t="s">
        <v>1392</v>
      </c>
      <c r="J6910" s="417" t="s">
        <v>15692</v>
      </c>
      <c r="K6910" s="417" t="s">
        <v>16293</v>
      </c>
      <c r="L6910" s="417"/>
      <c r="M6910" s="417" t="s">
        <v>28840</v>
      </c>
    </row>
    <row r="6911" spans="1:13" x14ac:dyDescent="0.25">
      <c r="A6911" s="417" t="s">
        <v>3385</v>
      </c>
      <c r="B6911" s="417" t="s">
        <v>2627</v>
      </c>
      <c r="C6911" s="417" t="s">
        <v>16294</v>
      </c>
      <c r="D6911" s="417" t="s">
        <v>73</v>
      </c>
      <c r="E6911" s="423">
        <v>1.176617819521804E-2</v>
      </c>
      <c r="F6911" s="423">
        <v>4.947182341939975E-5</v>
      </c>
      <c r="G6911" s="422">
        <v>25.597079240349199</v>
      </c>
      <c r="H6911" s="417" t="s">
        <v>2616</v>
      </c>
      <c r="I6911" s="417" t="s">
        <v>1392</v>
      </c>
      <c r="J6911" s="417" t="s">
        <v>15692</v>
      </c>
      <c r="K6911" s="417" t="s">
        <v>16295</v>
      </c>
      <c r="L6911" s="417"/>
      <c r="M6911" s="417" t="s">
        <v>28840</v>
      </c>
    </row>
    <row r="6912" spans="1:13" x14ac:dyDescent="0.25">
      <c r="A6912" s="417" t="s">
        <v>3385</v>
      </c>
      <c r="B6912" s="417" t="s">
        <v>2627</v>
      </c>
      <c r="C6912" s="417" t="s">
        <v>16296</v>
      </c>
      <c r="D6912" s="417" t="s">
        <v>83</v>
      </c>
      <c r="E6912" s="423">
        <v>0.5100188221745513</v>
      </c>
      <c r="F6912" s="423">
        <v>1.891316552217913E-3</v>
      </c>
      <c r="G6912" s="422">
        <v>1023.48125863734</v>
      </c>
      <c r="H6912" s="417" t="s">
        <v>2616</v>
      </c>
      <c r="I6912" s="417" t="s">
        <v>1392</v>
      </c>
      <c r="J6912" s="417" t="s">
        <v>15692</v>
      </c>
      <c r="K6912" s="417" t="s">
        <v>16297</v>
      </c>
      <c r="L6912" s="417"/>
      <c r="M6912" s="417" t="s">
        <v>28840</v>
      </c>
    </row>
    <row r="6913" spans="1:13" x14ac:dyDescent="0.25">
      <c r="A6913" s="417" t="s">
        <v>3385</v>
      </c>
      <c r="B6913" s="417" t="s">
        <v>2627</v>
      </c>
      <c r="C6913" s="417" t="s">
        <v>16298</v>
      </c>
      <c r="D6913" s="417" t="s">
        <v>73</v>
      </c>
      <c r="E6913" s="423">
        <v>1.4125399555160911E-2</v>
      </c>
      <c r="F6913" s="423">
        <v>5.2482344687397382E-5</v>
      </c>
      <c r="G6913" s="422">
        <v>28.380202853839421</v>
      </c>
      <c r="H6913" s="417" t="s">
        <v>2616</v>
      </c>
      <c r="I6913" s="417" t="s">
        <v>1392</v>
      </c>
      <c r="J6913" s="417" t="s">
        <v>15692</v>
      </c>
      <c r="K6913" s="417" t="s">
        <v>16299</v>
      </c>
      <c r="L6913" s="417"/>
      <c r="M6913" s="417" t="s">
        <v>28840</v>
      </c>
    </row>
    <row r="6914" spans="1:13" x14ac:dyDescent="0.25">
      <c r="A6914" s="417" t="s">
        <v>3385</v>
      </c>
      <c r="B6914" s="417" t="s">
        <v>2627</v>
      </c>
      <c r="C6914" s="417" t="s">
        <v>16300</v>
      </c>
      <c r="D6914" s="417" t="s">
        <v>88</v>
      </c>
      <c r="E6914" s="423">
        <v>0.89710648819798866</v>
      </c>
      <c r="F6914" s="423">
        <v>1.9806650835995539E-2</v>
      </c>
      <c r="G6914" s="422">
        <v>1824.4288596407221</v>
      </c>
      <c r="H6914" s="417" t="s">
        <v>2616</v>
      </c>
      <c r="I6914" s="417" t="s">
        <v>1392</v>
      </c>
      <c r="J6914" s="417" t="s">
        <v>14268</v>
      </c>
      <c r="K6914" s="417" t="s">
        <v>16301</v>
      </c>
      <c r="L6914" s="417"/>
      <c r="M6914" s="417" t="s">
        <v>28840</v>
      </c>
    </row>
    <row r="6915" spans="1:13" x14ac:dyDescent="0.25">
      <c r="A6915" s="417" t="s">
        <v>3385</v>
      </c>
      <c r="B6915" s="417" t="s">
        <v>2627</v>
      </c>
      <c r="C6915" s="417" t="s">
        <v>16302</v>
      </c>
      <c r="D6915" s="417" t="s">
        <v>73</v>
      </c>
      <c r="E6915" s="423">
        <v>9.6173815516003257E-3</v>
      </c>
      <c r="F6915" s="423">
        <v>5.9311244418872493E-5</v>
      </c>
      <c r="G6915" s="422">
        <v>22.361637552851459</v>
      </c>
      <c r="H6915" s="417" t="s">
        <v>2616</v>
      </c>
      <c r="I6915" s="417" t="s">
        <v>1392</v>
      </c>
      <c r="J6915" s="417" t="s">
        <v>15692</v>
      </c>
      <c r="K6915" s="417" t="s">
        <v>16303</v>
      </c>
      <c r="L6915" s="417"/>
      <c r="M6915" s="417" t="s">
        <v>28840</v>
      </c>
    </row>
    <row r="6916" spans="1:13" x14ac:dyDescent="0.25">
      <c r="A6916" s="417" t="s">
        <v>3385</v>
      </c>
      <c r="B6916" s="417" t="s">
        <v>2627</v>
      </c>
      <c r="C6916" s="417" t="s">
        <v>16304</v>
      </c>
      <c r="D6916" s="417" t="s">
        <v>73</v>
      </c>
      <c r="E6916" s="423">
        <v>9.7685344343246723E-3</v>
      </c>
      <c r="F6916" s="423">
        <v>5.9551588750087311E-5</v>
      </c>
      <c r="G6916" s="422">
        <v>22.554559657697862</v>
      </c>
      <c r="H6916" s="417" t="s">
        <v>2616</v>
      </c>
      <c r="I6916" s="417" t="s">
        <v>1392</v>
      </c>
      <c r="J6916" s="417" t="s">
        <v>15692</v>
      </c>
      <c r="K6916" s="417" t="s">
        <v>16305</v>
      </c>
      <c r="L6916" s="417"/>
      <c r="M6916" s="417" t="s">
        <v>28840</v>
      </c>
    </row>
    <row r="6917" spans="1:13" x14ac:dyDescent="0.25">
      <c r="A6917" s="417" t="s">
        <v>3385</v>
      </c>
      <c r="B6917" s="417" t="s">
        <v>2627</v>
      </c>
      <c r="C6917" s="417" t="s">
        <v>16306</v>
      </c>
      <c r="D6917" s="417" t="s">
        <v>73</v>
      </c>
      <c r="E6917" s="423">
        <v>9.6173815516003257E-3</v>
      </c>
      <c r="F6917" s="423">
        <v>5.9311244418872493E-5</v>
      </c>
      <c r="G6917" s="422">
        <v>22.361637552851459</v>
      </c>
      <c r="H6917" s="417" t="s">
        <v>2616</v>
      </c>
      <c r="I6917" s="417" t="s">
        <v>1392</v>
      </c>
      <c r="J6917" s="417" t="s">
        <v>15692</v>
      </c>
      <c r="K6917" s="417" t="s">
        <v>16307</v>
      </c>
      <c r="L6917" s="417"/>
      <c r="M6917" s="417" t="s">
        <v>28840</v>
      </c>
    </row>
    <row r="6918" spans="1:13" x14ac:dyDescent="0.25">
      <c r="A6918" s="417" t="s">
        <v>3385</v>
      </c>
      <c r="B6918" s="417" t="s">
        <v>2627</v>
      </c>
      <c r="C6918" s="417" t="s">
        <v>16308</v>
      </c>
      <c r="D6918" s="417" t="s">
        <v>73</v>
      </c>
      <c r="E6918" s="423">
        <v>1.007024504336867E-2</v>
      </c>
      <c r="F6918" s="423">
        <v>6.1356317879971654E-5</v>
      </c>
      <c r="G6918" s="422">
        <v>22.946272786884151</v>
      </c>
      <c r="H6918" s="417" t="s">
        <v>2616</v>
      </c>
      <c r="I6918" s="417" t="s">
        <v>1392</v>
      </c>
      <c r="J6918" s="417" t="s">
        <v>15692</v>
      </c>
      <c r="K6918" s="417" t="s">
        <v>16309</v>
      </c>
      <c r="L6918" s="417"/>
      <c r="M6918" s="417" t="s">
        <v>28840</v>
      </c>
    </row>
    <row r="6919" spans="1:13" x14ac:dyDescent="0.25">
      <c r="A6919" s="417" t="s">
        <v>3385</v>
      </c>
      <c r="B6919" s="417" t="s">
        <v>2627</v>
      </c>
      <c r="C6919" s="417" t="s">
        <v>16310</v>
      </c>
      <c r="D6919" s="417" t="s">
        <v>83</v>
      </c>
      <c r="E6919" s="423">
        <v>0.69283330211713134</v>
      </c>
      <c r="F6919" s="423">
        <v>9.1450600019284123E-3</v>
      </c>
      <c r="G6919" s="422">
        <v>1350.4048247929941</v>
      </c>
      <c r="H6919" s="417" t="s">
        <v>2616</v>
      </c>
      <c r="I6919" s="417" t="s">
        <v>1392</v>
      </c>
      <c r="J6919" s="417" t="s">
        <v>14271</v>
      </c>
      <c r="K6919" s="417" t="s">
        <v>16311</v>
      </c>
      <c r="L6919" s="417"/>
      <c r="M6919" s="417" t="s">
        <v>28840</v>
      </c>
    </row>
    <row r="6920" spans="1:13" x14ac:dyDescent="0.25">
      <c r="A6920" s="417" t="s">
        <v>3385</v>
      </c>
      <c r="B6920" s="417" t="s">
        <v>2627</v>
      </c>
      <c r="C6920" s="417" t="s">
        <v>16312</v>
      </c>
      <c r="D6920" s="417" t="s">
        <v>83</v>
      </c>
      <c r="E6920" s="423">
        <v>0.72005682368389268</v>
      </c>
      <c r="F6920" s="423">
        <v>1.0557062556629649E-2</v>
      </c>
      <c r="G6920" s="422">
        <v>1396.3964924412969</v>
      </c>
      <c r="H6920" s="417" t="s">
        <v>2616</v>
      </c>
      <c r="I6920" s="417" t="s">
        <v>1392</v>
      </c>
      <c r="J6920" s="417" t="s">
        <v>14271</v>
      </c>
      <c r="K6920" s="417" t="s">
        <v>16313</v>
      </c>
      <c r="L6920" s="417"/>
      <c r="M6920" s="417" t="s">
        <v>28840</v>
      </c>
    </row>
    <row r="6921" spans="1:13" x14ac:dyDescent="0.25">
      <c r="A6921" s="417" t="s">
        <v>3385</v>
      </c>
      <c r="B6921" s="417" t="s">
        <v>2627</v>
      </c>
      <c r="C6921" s="417" t="s">
        <v>16314</v>
      </c>
      <c r="D6921" s="417" t="s">
        <v>83</v>
      </c>
      <c r="E6921" s="423">
        <v>0.80172738621900796</v>
      </c>
      <c r="F6921" s="423">
        <v>1.4793069915774551E-2</v>
      </c>
      <c r="G6921" s="422">
        <v>1534.3714909894641</v>
      </c>
      <c r="H6921" s="417" t="s">
        <v>2616</v>
      </c>
      <c r="I6921" s="417" t="s">
        <v>1392</v>
      </c>
      <c r="J6921" s="417" t="s">
        <v>14271</v>
      </c>
      <c r="K6921" s="417" t="s">
        <v>16315</v>
      </c>
      <c r="L6921" s="417"/>
      <c r="M6921" s="417" t="s">
        <v>28840</v>
      </c>
    </row>
    <row r="6922" spans="1:13" x14ac:dyDescent="0.25">
      <c r="A6922" s="417" t="s">
        <v>3385</v>
      </c>
      <c r="B6922" s="417" t="s">
        <v>2627</v>
      </c>
      <c r="C6922" s="417" t="s">
        <v>16316</v>
      </c>
      <c r="D6922" s="417" t="s">
        <v>83</v>
      </c>
      <c r="E6922" s="423">
        <v>0.7745038645387774</v>
      </c>
      <c r="F6922" s="423">
        <v>1.338106745357504E-2</v>
      </c>
      <c r="G6922" s="422">
        <v>1488.3798227092409</v>
      </c>
      <c r="H6922" s="417" t="s">
        <v>2616</v>
      </c>
      <c r="I6922" s="417" t="s">
        <v>1392</v>
      </c>
      <c r="J6922" s="417" t="s">
        <v>14271</v>
      </c>
      <c r="K6922" s="417" t="s">
        <v>16317</v>
      </c>
      <c r="L6922" s="417"/>
      <c r="M6922" s="417" t="s">
        <v>28840</v>
      </c>
    </row>
    <row r="6923" spans="1:13" x14ac:dyDescent="0.25">
      <c r="A6923" s="417" t="s">
        <v>3385</v>
      </c>
      <c r="B6923" s="417" t="s">
        <v>2627</v>
      </c>
      <c r="C6923" s="417" t="s">
        <v>16318</v>
      </c>
      <c r="D6923" s="417" t="s">
        <v>83</v>
      </c>
      <c r="E6923" s="423">
        <v>0.79083797679095691</v>
      </c>
      <c r="F6923" s="423">
        <v>1.422826881059891E-2</v>
      </c>
      <c r="G6923" s="422">
        <v>1515.9748222534661</v>
      </c>
      <c r="H6923" s="417" t="s">
        <v>2616</v>
      </c>
      <c r="I6923" s="417" t="s">
        <v>1392</v>
      </c>
      <c r="J6923" s="417" t="s">
        <v>14271</v>
      </c>
      <c r="K6923" s="417" t="s">
        <v>16319</v>
      </c>
      <c r="L6923" s="417"/>
      <c r="M6923" s="417" t="s">
        <v>28840</v>
      </c>
    </row>
    <row r="6924" spans="1:13" x14ac:dyDescent="0.25">
      <c r="A6924" s="417" t="s">
        <v>3385</v>
      </c>
      <c r="B6924" s="417" t="s">
        <v>2627</v>
      </c>
      <c r="C6924" s="417" t="s">
        <v>16320</v>
      </c>
      <c r="D6924" s="417" t="s">
        <v>83</v>
      </c>
      <c r="E6924" s="423">
        <v>0.73911328853630309</v>
      </c>
      <c r="F6924" s="423">
        <v>1.154546431556761E-2</v>
      </c>
      <c r="G6924" s="422">
        <v>1428.590660878225</v>
      </c>
      <c r="H6924" s="417" t="s">
        <v>2616</v>
      </c>
      <c r="I6924" s="417" t="s">
        <v>1392</v>
      </c>
      <c r="J6924" s="417" t="s">
        <v>14271</v>
      </c>
      <c r="K6924" s="417" t="s">
        <v>16321</v>
      </c>
      <c r="L6924" s="417"/>
      <c r="M6924" s="417" t="s">
        <v>28840</v>
      </c>
    </row>
    <row r="6925" spans="1:13" x14ac:dyDescent="0.25">
      <c r="A6925" s="417" t="s">
        <v>3385</v>
      </c>
      <c r="B6925" s="417" t="s">
        <v>2627</v>
      </c>
      <c r="C6925" s="417" t="s">
        <v>16322</v>
      </c>
      <c r="D6925" s="417" t="s">
        <v>83</v>
      </c>
      <c r="E6925" s="423">
        <v>0.65472037110961201</v>
      </c>
      <c r="F6925" s="423">
        <v>7.1682564655715306E-3</v>
      </c>
      <c r="G6925" s="422">
        <v>1286.0164875768251</v>
      </c>
      <c r="H6925" s="417" t="s">
        <v>2616</v>
      </c>
      <c r="I6925" s="417" t="s">
        <v>1392</v>
      </c>
      <c r="J6925" s="417" t="s">
        <v>14271</v>
      </c>
      <c r="K6925" s="417" t="s">
        <v>16323</v>
      </c>
      <c r="L6925" s="417"/>
      <c r="M6925" s="417" t="s">
        <v>28840</v>
      </c>
    </row>
    <row r="6926" spans="1:13" x14ac:dyDescent="0.25">
      <c r="A6926" s="417" t="s">
        <v>3385</v>
      </c>
      <c r="B6926" s="417" t="s">
        <v>2627</v>
      </c>
      <c r="C6926" s="417" t="s">
        <v>16324</v>
      </c>
      <c r="D6926" s="417" t="s">
        <v>83</v>
      </c>
      <c r="E6926" s="423">
        <v>0.72005682368389268</v>
      </c>
      <c r="F6926" s="423">
        <v>1.0557062556629649E-2</v>
      </c>
      <c r="G6926" s="422">
        <v>1396.3964924412969</v>
      </c>
      <c r="H6926" s="417" t="s">
        <v>2616</v>
      </c>
      <c r="I6926" s="417" t="s">
        <v>1392</v>
      </c>
      <c r="J6926" s="417" t="s">
        <v>14271</v>
      </c>
      <c r="K6926" s="417" t="s">
        <v>16325</v>
      </c>
      <c r="L6926" s="417"/>
      <c r="M6926" s="417" t="s">
        <v>28840</v>
      </c>
    </row>
    <row r="6927" spans="1:13" x14ac:dyDescent="0.25">
      <c r="A6927" s="417" t="s">
        <v>3385</v>
      </c>
      <c r="B6927" s="417" t="s">
        <v>2627</v>
      </c>
      <c r="C6927" s="417" t="s">
        <v>16326</v>
      </c>
      <c r="D6927" s="417" t="s">
        <v>73</v>
      </c>
      <c r="E6927" s="423">
        <v>1.9452057616960231E-2</v>
      </c>
      <c r="F6927" s="423">
        <v>2.5422409035855668E-4</v>
      </c>
      <c r="G6927" s="422">
        <v>37.765286465288654</v>
      </c>
      <c r="H6927" s="417" t="s">
        <v>2616</v>
      </c>
      <c r="I6927" s="417" t="s">
        <v>1392</v>
      </c>
      <c r="J6927" s="417" t="s">
        <v>15692</v>
      </c>
      <c r="K6927" s="417" t="s">
        <v>16327</v>
      </c>
      <c r="L6927" s="417"/>
      <c r="M6927" s="417" t="s">
        <v>28840</v>
      </c>
    </row>
    <row r="6928" spans="1:13" x14ac:dyDescent="0.25">
      <c r="A6928" s="417" t="s">
        <v>3385</v>
      </c>
      <c r="B6928" s="417" t="s">
        <v>2627</v>
      </c>
      <c r="C6928" s="417" t="s">
        <v>16328</v>
      </c>
      <c r="D6928" s="417" t="s">
        <v>73</v>
      </c>
      <c r="E6928" s="423">
        <v>1.3797334493119911E-2</v>
      </c>
      <c r="F6928" s="423">
        <v>1.6043982396195041E-4</v>
      </c>
      <c r="G6928" s="422">
        <v>29.781283749340709</v>
      </c>
      <c r="H6928" s="417" t="s">
        <v>2616</v>
      </c>
      <c r="I6928" s="417" t="s">
        <v>1392</v>
      </c>
      <c r="J6928" s="417" t="s">
        <v>15692</v>
      </c>
      <c r="K6928" s="417" t="s">
        <v>16329</v>
      </c>
      <c r="L6928" s="417"/>
      <c r="M6928" s="417" t="s">
        <v>28840</v>
      </c>
    </row>
    <row r="6929" spans="1:13" x14ac:dyDescent="0.25">
      <c r="A6929" s="417" t="s">
        <v>3385</v>
      </c>
      <c r="B6929" s="417" t="s">
        <v>2627</v>
      </c>
      <c r="C6929" s="417" t="s">
        <v>16330</v>
      </c>
      <c r="D6929" s="417" t="s">
        <v>73</v>
      </c>
      <c r="E6929" s="423">
        <v>2.2477244298155511E-2</v>
      </c>
      <c r="F6929" s="423">
        <v>4.1113146381785502E-4</v>
      </c>
      <c r="G6929" s="422">
        <v>42.876064706222827</v>
      </c>
      <c r="H6929" s="417" t="s">
        <v>2616</v>
      </c>
      <c r="I6929" s="417" t="s">
        <v>1392</v>
      </c>
      <c r="J6929" s="417" t="s">
        <v>15692</v>
      </c>
      <c r="K6929" s="417" t="s">
        <v>16331</v>
      </c>
      <c r="L6929" s="417"/>
      <c r="M6929" s="417" t="s">
        <v>28840</v>
      </c>
    </row>
    <row r="6930" spans="1:13" x14ac:dyDescent="0.25">
      <c r="A6930" s="417" t="s">
        <v>3385</v>
      </c>
      <c r="B6930" s="417" t="s">
        <v>2627</v>
      </c>
      <c r="C6930" s="417" t="s">
        <v>16332</v>
      </c>
      <c r="D6930" s="417" t="s">
        <v>73</v>
      </c>
      <c r="E6930" s="423">
        <v>2.1720947630965371E-2</v>
      </c>
      <c r="F6930" s="423">
        <v>3.7190462140297887E-4</v>
      </c>
      <c r="G6930" s="422">
        <v>41.598370148507357</v>
      </c>
      <c r="H6930" s="417" t="s">
        <v>2616</v>
      </c>
      <c r="I6930" s="417" t="s">
        <v>1392</v>
      </c>
      <c r="J6930" s="417" t="s">
        <v>15692</v>
      </c>
      <c r="K6930" s="417" t="s">
        <v>16333</v>
      </c>
      <c r="L6930" s="417"/>
      <c r="M6930" s="417" t="s">
        <v>28840</v>
      </c>
    </row>
    <row r="6931" spans="1:13" x14ac:dyDescent="0.25">
      <c r="A6931" s="417" t="s">
        <v>3385</v>
      </c>
      <c r="B6931" s="417" t="s">
        <v>2627</v>
      </c>
      <c r="C6931" s="417" t="s">
        <v>16334</v>
      </c>
      <c r="D6931" s="417" t="s">
        <v>73</v>
      </c>
      <c r="E6931" s="423">
        <v>2.2174725696981999E-2</v>
      </c>
      <c r="F6931" s="423">
        <v>3.9544073050742619E-4</v>
      </c>
      <c r="G6931" s="422">
        <v>42.364987018755663</v>
      </c>
      <c r="H6931" s="417" t="s">
        <v>2616</v>
      </c>
      <c r="I6931" s="417" t="s">
        <v>1392</v>
      </c>
      <c r="J6931" s="417" t="s">
        <v>15692</v>
      </c>
      <c r="K6931" s="417" t="s">
        <v>16335</v>
      </c>
      <c r="L6931" s="417"/>
      <c r="M6931" s="417" t="s">
        <v>28840</v>
      </c>
    </row>
    <row r="6932" spans="1:13" x14ac:dyDescent="0.25">
      <c r="A6932" s="417" t="s">
        <v>3385</v>
      </c>
      <c r="B6932" s="417" t="s">
        <v>2627</v>
      </c>
      <c r="C6932" s="417" t="s">
        <v>16336</v>
      </c>
      <c r="D6932" s="417" t="s">
        <v>73</v>
      </c>
      <c r="E6932" s="423">
        <v>8.7546978008463724E-3</v>
      </c>
      <c r="F6932" s="423">
        <v>5.287540741988722E-5</v>
      </c>
      <c r="G6932" s="422">
        <v>22.473059229523049</v>
      </c>
      <c r="H6932" s="417" t="s">
        <v>2616</v>
      </c>
      <c r="I6932" s="417" t="s">
        <v>1392</v>
      </c>
      <c r="J6932" s="417" t="s">
        <v>15692</v>
      </c>
      <c r="K6932" s="417" t="s">
        <v>16337</v>
      </c>
      <c r="L6932" s="417"/>
      <c r="M6932" s="417" t="s">
        <v>28840</v>
      </c>
    </row>
    <row r="6933" spans="1:13" x14ac:dyDescent="0.25">
      <c r="A6933" s="417" t="s">
        <v>3385</v>
      </c>
      <c r="B6933" s="417" t="s">
        <v>2627</v>
      </c>
      <c r="C6933" s="417" t="s">
        <v>16338</v>
      </c>
      <c r="D6933" s="417" t="s">
        <v>73</v>
      </c>
      <c r="E6933" s="423">
        <v>1.4034244467202859E-2</v>
      </c>
      <c r="F6933" s="423">
        <v>1.7272763439181099E-4</v>
      </c>
      <c r="G6933" s="422">
        <v>30.181521644764828</v>
      </c>
      <c r="H6933" s="417" t="s">
        <v>2616</v>
      </c>
      <c r="I6933" s="417" t="s">
        <v>1392</v>
      </c>
      <c r="J6933" s="417" t="s">
        <v>15692</v>
      </c>
      <c r="K6933" s="417" t="s">
        <v>16339</v>
      </c>
      <c r="L6933" s="417"/>
      <c r="M6933" s="417" t="s">
        <v>28840</v>
      </c>
    </row>
    <row r="6934" spans="1:13" x14ac:dyDescent="0.25">
      <c r="A6934" s="417" t="s">
        <v>3385</v>
      </c>
      <c r="B6934" s="417" t="s">
        <v>2627</v>
      </c>
      <c r="C6934" s="417" t="s">
        <v>16340</v>
      </c>
      <c r="D6934" s="417" t="s">
        <v>73</v>
      </c>
      <c r="E6934" s="423">
        <v>1.8393242348133571E-2</v>
      </c>
      <c r="F6934" s="423">
        <v>1.9930651353876509E-4</v>
      </c>
      <c r="G6934" s="422">
        <v>35.976514198441699</v>
      </c>
      <c r="H6934" s="417" t="s">
        <v>2616</v>
      </c>
      <c r="I6934" s="417" t="s">
        <v>1392</v>
      </c>
      <c r="J6934" s="417" t="s">
        <v>15692</v>
      </c>
      <c r="K6934" s="417" t="s">
        <v>16341</v>
      </c>
      <c r="L6934" s="417"/>
      <c r="M6934" s="417" t="s">
        <v>28840</v>
      </c>
    </row>
    <row r="6935" spans="1:13" x14ac:dyDescent="0.25">
      <c r="A6935" s="417" t="s">
        <v>3385</v>
      </c>
      <c r="B6935" s="417" t="s">
        <v>2627</v>
      </c>
      <c r="C6935" s="417" t="s">
        <v>16342</v>
      </c>
      <c r="D6935" s="417" t="s">
        <v>73</v>
      </c>
      <c r="E6935" s="423">
        <v>2.0208354306699809E-2</v>
      </c>
      <c r="F6935" s="423">
        <v>2.9345093375110839E-4</v>
      </c>
      <c r="G6935" s="422">
        <v>39.04298105695851</v>
      </c>
      <c r="H6935" s="417" t="s">
        <v>2616</v>
      </c>
      <c r="I6935" s="417" t="s">
        <v>1392</v>
      </c>
      <c r="J6935" s="417" t="s">
        <v>15692</v>
      </c>
      <c r="K6935" s="417" t="s">
        <v>16343</v>
      </c>
      <c r="L6935" s="417"/>
      <c r="M6935" s="417" t="s">
        <v>28840</v>
      </c>
    </row>
    <row r="6936" spans="1:13" x14ac:dyDescent="0.25">
      <c r="A6936" s="417" t="s">
        <v>3385</v>
      </c>
      <c r="B6936" s="417" t="s">
        <v>2627</v>
      </c>
      <c r="C6936" s="417" t="s">
        <v>16344</v>
      </c>
      <c r="D6936" s="417" t="s">
        <v>83</v>
      </c>
      <c r="E6936" s="423">
        <v>0.91692186781461427</v>
      </c>
      <c r="F6936" s="423">
        <v>1.5497035728608459E-2</v>
      </c>
      <c r="G6936" s="422">
        <v>1651.387905562797</v>
      </c>
      <c r="H6936" s="417" t="s">
        <v>2616</v>
      </c>
      <c r="I6936" s="417" t="s">
        <v>1392</v>
      </c>
      <c r="J6936" s="417" t="s">
        <v>14271</v>
      </c>
      <c r="K6936" s="417" t="s">
        <v>16345</v>
      </c>
      <c r="L6936" s="417"/>
      <c r="M6936" s="417" t="s">
        <v>28840</v>
      </c>
    </row>
    <row r="6937" spans="1:13" x14ac:dyDescent="0.25">
      <c r="A6937" s="417" t="s">
        <v>3385</v>
      </c>
      <c r="B6937" s="417" t="s">
        <v>2627</v>
      </c>
      <c r="C6937" s="417" t="s">
        <v>16346</v>
      </c>
      <c r="D6937" s="417" t="s">
        <v>83</v>
      </c>
      <c r="E6937" s="423">
        <v>1.18382548029649</v>
      </c>
      <c r="F6937" s="423">
        <v>2.918417278876656E-2</v>
      </c>
      <c r="G6937" s="422">
        <v>2099.998178441293</v>
      </c>
      <c r="H6937" s="417" t="s">
        <v>2616</v>
      </c>
      <c r="I6937" s="417" t="s">
        <v>1392</v>
      </c>
      <c r="J6937" s="417" t="s">
        <v>14271</v>
      </c>
      <c r="K6937" s="417" t="s">
        <v>16347</v>
      </c>
      <c r="L6937" s="417"/>
      <c r="M6937" s="417" t="s">
        <v>28840</v>
      </c>
    </row>
    <row r="6938" spans="1:13" x14ac:dyDescent="0.25">
      <c r="A6938" s="417" t="s">
        <v>3385</v>
      </c>
      <c r="B6938" s="417" t="s">
        <v>2627</v>
      </c>
      <c r="C6938" s="417" t="s">
        <v>16348</v>
      </c>
      <c r="D6938" s="417" t="s">
        <v>83</v>
      </c>
      <c r="E6938" s="423">
        <v>0.8756452185266631</v>
      </c>
      <c r="F6938" s="423">
        <v>1.3380319694299781E-2</v>
      </c>
      <c r="G6938" s="422">
        <v>1582.0103172858071</v>
      </c>
      <c r="H6938" s="417" t="s">
        <v>2616</v>
      </c>
      <c r="I6938" s="417" t="s">
        <v>1392</v>
      </c>
      <c r="J6938" s="417" t="s">
        <v>14271</v>
      </c>
      <c r="K6938" s="417" t="s">
        <v>16349</v>
      </c>
      <c r="L6938" s="417"/>
      <c r="M6938" s="417" t="s">
        <v>28840</v>
      </c>
    </row>
    <row r="6939" spans="1:13" x14ac:dyDescent="0.25">
      <c r="A6939" s="417" t="s">
        <v>3385</v>
      </c>
      <c r="B6939" s="417" t="s">
        <v>2627</v>
      </c>
      <c r="C6939" s="417" t="s">
        <v>16350</v>
      </c>
      <c r="D6939" s="417" t="s">
        <v>83</v>
      </c>
      <c r="E6939" s="423">
        <v>0.88940410162059647</v>
      </c>
      <c r="F6939" s="423">
        <v>1.408589170549835E-2</v>
      </c>
      <c r="G6939" s="422">
        <v>1605.1361798394189</v>
      </c>
      <c r="H6939" s="417" t="s">
        <v>2616</v>
      </c>
      <c r="I6939" s="417" t="s">
        <v>1392</v>
      </c>
      <c r="J6939" s="417" t="s">
        <v>14271</v>
      </c>
      <c r="K6939" s="417" t="s">
        <v>16351</v>
      </c>
      <c r="L6939" s="417"/>
      <c r="M6939" s="417" t="s">
        <v>28840</v>
      </c>
    </row>
    <row r="6940" spans="1:13" x14ac:dyDescent="0.25">
      <c r="A6940" s="417" t="s">
        <v>3385</v>
      </c>
      <c r="B6940" s="417" t="s">
        <v>2627</v>
      </c>
      <c r="C6940" s="417" t="s">
        <v>16352</v>
      </c>
      <c r="D6940" s="417" t="s">
        <v>83</v>
      </c>
      <c r="E6940" s="423">
        <v>0.89765943148128502</v>
      </c>
      <c r="F6940" s="423">
        <v>1.4509234912528189E-2</v>
      </c>
      <c r="G6940" s="422">
        <v>1619.0116978110309</v>
      </c>
      <c r="H6940" s="417" t="s">
        <v>2616</v>
      </c>
      <c r="I6940" s="417" t="s">
        <v>1392</v>
      </c>
      <c r="J6940" s="417" t="s">
        <v>14271</v>
      </c>
      <c r="K6940" s="417" t="s">
        <v>16353</v>
      </c>
      <c r="L6940" s="417"/>
      <c r="M6940" s="417" t="s">
        <v>28840</v>
      </c>
    </row>
    <row r="6941" spans="1:13" x14ac:dyDescent="0.25">
      <c r="A6941" s="417" t="s">
        <v>3385</v>
      </c>
      <c r="B6941" s="417" t="s">
        <v>2627</v>
      </c>
      <c r="C6941" s="417" t="s">
        <v>16354</v>
      </c>
      <c r="D6941" s="417" t="s">
        <v>83</v>
      </c>
      <c r="E6941" s="423">
        <v>0.69677973828350792</v>
      </c>
      <c r="F6941" s="423">
        <v>4.2078835451517891E-3</v>
      </c>
      <c r="G6941" s="422">
        <v>1281.374102002876</v>
      </c>
      <c r="H6941" s="417" t="s">
        <v>2616</v>
      </c>
      <c r="I6941" s="417" t="s">
        <v>1392</v>
      </c>
      <c r="J6941" s="417" t="s">
        <v>14271</v>
      </c>
      <c r="K6941" s="417" t="s">
        <v>16355</v>
      </c>
      <c r="L6941" s="417"/>
      <c r="M6941" s="417" t="s">
        <v>28840</v>
      </c>
    </row>
    <row r="6942" spans="1:13" x14ac:dyDescent="0.25">
      <c r="A6942" s="417" t="s">
        <v>3385</v>
      </c>
      <c r="B6942" s="417" t="s">
        <v>2627</v>
      </c>
      <c r="C6942" s="417" t="s">
        <v>16356</v>
      </c>
      <c r="D6942" s="417" t="s">
        <v>83</v>
      </c>
      <c r="E6942" s="423">
        <v>0.93068075091220914</v>
      </c>
      <c r="F6942" s="423">
        <v>1.620260773999781E-2</v>
      </c>
      <c r="G6942" s="422">
        <v>1674.513768257551</v>
      </c>
      <c r="H6942" s="417" t="s">
        <v>2616</v>
      </c>
      <c r="I6942" s="417" t="s">
        <v>1392</v>
      </c>
      <c r="J6942" s="417" t="s">
        <v>14271</v>
      </c>
      <c r="K6942" s="417" t="s">
        <v>16357</v>
      </c>
      <c r="L6942" s="417"/>
      <c r="M6942" s="417" t="s">
        <v>28840</v>
      </c>
    </row>
    <row r="6943" spans="1:13" x14ac:dyDescent="0.25">
      <c r="A6943" s="417" t="s">
        <v>3385</v>
      </c>
      <c r="B6943" s="417" t="s">
        <v>2627</v>
      </c>
      <c r="C6943" s="417" t="s">
        <v>16358</v>
      </c>
      <c r="D6943" s="417" t="s">
        <v>83</v>
      </c>
      <c r="E6943" s="423">
        <v>0.93618430414448928</v>
      </c>
      <c r="F6943" s="423">
        <v>1.648483654456016E-2</v>
      </c>
      <c r="G6943" s="422">
        <v>1683.7641131378989</v>
      </c>
      <c r="H6943" s="417" t="s">
        <v>2616</v>
      </c>
      <c r="I6943" s="417" t="s">
        <v>1392</v>
      </c>
      <c r="J6943" s="417" t="s">
        <v>14271</v>
      </c>
      <c r="K6943" s="417" t="s">
        <v>16359</v>
      </c>
      <c r="L6943" s="417"/>
      <c r="M6943" s="417" t="s">
        <v>28840</v>
      </c>
    </row>
    <row r="6944" spans="1:13" x14ac:dyDescent="0.25">
      <c r="A6944" s="417" t="s">
        <v>3385</v>
      </c>
      <c r="B6944" s="417" t="s">
        <v>2627</v>
      </c>
      <c r="C6944" s="417" t="s">
        <v>16360</v>
      </c>
      <c r="D6944" s="417" t="s">
        <v>83</v>
      </c>
      <c r="E6944" s="423">
        <v>1.0655178052463079</v>
      </c>
      <c r="F6944" s="423">
        <v>2.3117213452350339E-2</v>
      </c>
      <c r="G6944" s="422">
        <v>1901.147223050302</v>
      </c>
      <c r="H6944" s="417" t="s">
        <v>2616</v>
      </c>
      <c r="I6944" s="417" t="s">
        <v>1392</v>
      </c>
      <c r="J6944" s="417" t="s">
        <v>14271</v>
      </c>
      <c r="K6944" s="417" t="s">
        <v>16361</v>
      </c>
      <c r="L6944" s="417"/>
      <c r="M6944" s="417" t="s">
        <v>28840</v>
      </c>
    </row>
    <row r="6945" spans="1:13" x14ac:dyDescent="0.25">
      <c r="A6945" s="417" t="s">
        <v>3385</v>
      </c>
      <c r="B6945" s="417" t="s">
        <v>2627</v>
      </c>
      <c r="C6945" s="417" t="s">
        <v>16362</v>
      </c>
      <c r="D6945" s="417" t="s">
        <v>83</v>
      </c>
      <c r="E6945" s="423">
        <v>0.93893608077031199</v>
      </c>
      <c r="F6945" s="423">
        <v>1.6625950946891042E-2</v>
      </c>
      <c r="G6945" s="422">
        <v>1688.389285509382</v>
      </c>
      <c r="H6945" s="417" t="s">
        <v>2616</v>
      </c>
      <c r="I6945" s="417" t="s">
        <v>1392</v>
      </c>
      <c r="J6945" s="417" t="s">
        <v>14271</v>
      </c>
      <c r="K6945" s="417" t="s">
        <v>16363</v>
      </c>
      <c r="L6945" s="417"/>
      <c r="M6945" s="417" t="s">
        <v>28840</v>
      </c>
    </row>
    <row r="6946" spans="1:13" x14ac:dyDescent="0.25">
      <c r="A6946" s="417" t="s">
        <v>3385</v>
      </c>
      <c r="B6946" s="417" t="s">
        <v>2627</v>
      </c>
      <c r="C6946" s="417" t="s">
        <v>16364</v>
      </c>
      <c r="D6946" s="417" t="s">
        <v>83</v>
      </c>
      <c r="E6946" s="423">
        <v>1.2471350621160919</v>
      </c>
      <c r="F6946" s="423">
        <v>3.2430764003489009E-2</v>
      </c>
      <c r="G6946" s="422">
        <v>2206.4086107862549</v>
      </c>
      <c r="H6946" s="417" t="s">
        <v>2616</v>
      </c>
      <c r="I6946" s="417" t="s">
        <v>1392</v>
      </c>
      <c r="J6946" s="417" t="s">
        <v>14271</v>
      </c>
      <c r="K6946" s="417" t="s">
        <v>16365</v>
      </c>
      <c r="L6946" s="417"/>
      <c r="M6946" s="417" t="s">
        <v>28840</v>
      </c>
    </row>
    <row r="6947" spans="1:13" x14ac:dyDescent="0.25">
      <c r="A6947" s="417" t="s">
        <v>3385</v>
      </c>
      <c r="B6947" s="417" t="s">
        <v>2627</v>
      </c>
      <c r="C6947" s="417" t="s">
        <v>16366</v>
      </c>
      <c r="D6947" s="417" t="s">
        <v>83</v>
      </c>
      <c r="E6947" s="423">
        <v>1.236127955636678</v>
      </c>
      <c r="F6947" s="423">
        <v>3.1866306394339697E-2</v>
      </c>
      <c r="G6947" s="422">
        <v>2187.9079212837109</v>
      </c>
      <c r="H6947" s="417" t="s">
        <v>2616</v>
      </c>
      <c r="I6947" s="417" t="s">
        <v>1392</v>
      </c>
      <c r="J6947" s="417" t="s">
        <v>14271</v>
      </c>
      <c r="K6947" s="417" t="s">
        <v>16367</v>
      </c>
      <c r="L6947" s="417"/>
      <c r="M6947" s="417" t="s">
        <v>28840</v>
      </c>
    </row>
    <row r="6948" spans="1:13" x14ac:dyDescent="0.25">
      <c r="A6948" s="417" t="s">
        <v>3385</v>
      </c>
      <c r="B6948" s="417" t="s">
        <v>2627</v>
      </c>
      <c r="C6948" s="417" t="s">
        <v>16368</v>
      </c>
      <c r="D6948" s="417" t="s">
        <v>83</v>
      </c>
      <c r="E6948" s="423">
        <v>1.090265075251025</v>
      </c>
      <c r="F6948" s="423">
        <v>2.4386283110900891E-2</v>
      </c>
      <c r="G6948" s="422">
        <v>1942.742312270962</v>
      </c>
      <c r="H6948" s="417" t="s">
        <v>2616</v>
      </c>
      <c r="I6948" s="417" t="s">
        <v>1392</v>
      </c>
      <c r="J6948" s="417" t="s">
        <v>14271</v>
      </c>
      <c r="K6948" s="417" t="s">
        <v>16369</v>
      </c>
      <c r="L6948" s="417"/>
      <c r="M6948" s="417" t="s">
        <v>28840</v>
      </c>
    </row>
    <row r="6949" spans="1:13" x14ac:dyDescent="0.25">
      <c r="A6949" s="417" t="s">
        <v>3385</v>
      </c>
      <c r="B6949" s="417" t="s">
        <v>2627</v>
      </c>
      <c r="C6949" s="417" t="s">
        <v>16370</v>
      </c>
      <c r="D6949" s="417" t="s">
        <v>83</v>
      </c>
      <c r="E6949" s="423">
        <v>0.90866653796070307</v>
      </c>
      <c r="F6949" s="423">
        <v>1.5073692521645881E-2</v>
      </c>
      <c r="G6949" s="422">
        <v>1637.512388222792</v>
      </c>
      <c r="H6949" s="417" t="s">
        <v>2616</v>
      </c>
      <c r="I6949" s="417" t="s">
        <v>1392</v>
      </c>
      <c r="J6949" s="417" t="s">
        <v>14271</v>
      </c>
      <c r="K6949" s="417" t="s">
        <v>16371</v>
      </c>
      <c r="L6949" s="417"/>
      <c r="M6949" s="417" t="s">
        <v>28840</v>
      </c>
    </row>
    <row r="6950" spans="1:13" x14ac:dyDescent="0.25">
      <c r="A6950" s="417" t="s">
        <v>3385</v>
      </c>
      <c r="B6950" s="417" t="s">
        <v>2627</v>
      </c>
      <c r="C6950" s="417" t="s">
        <v>16372</v>
      </c>
      <c r="D6950" s="417" t="s">
        <v>83</v>
      </c>
      <c r="E6950" s="423">
        <v>0.69677973828350792</v>
      </c>
      <c r="F6950" s="423">
        <v>4.2078835451517891E-3</v>
      </c>
      <c r="G6950" s="422">
        <v>1281.374102002876</v>
      </c>
      <c r="H6950" s="417" t="s">
        <v>2616</v>
      </c>
      <c r="I6950" s="417" t="s">
        <v>1392</v>
      </c>
      <c r="J6950" s="417" t="s">
        <v>14271</v>
      </c>
      <c r="K6950" s="417" t="s">
        <v>16373</v>
      </c>
      <c r="L6950" s="417"/>
      <c r="M6950" s="417" t="s">
        <v>28840</v>
      </c>
    </row>
    <row r="6951" spans="1:13" x14ac:dyDescent="0.25">
      <c r="A6951" s="417" t="s">
        <v>3385</v>
      </c>
      <c r="B6951" s="417" t="s">
        <v>2627</v>
      </c>
      <c r="C6951" s="417" t="s">
        <v>16374</v>
      </c>
      <c r="D6951" s="417" t="s">
        <v>83</v>
      </c>
      <c r="E6951" s="423">
        <v>0.91641524777564287</v>
      </c>
      <c r="F6951" s="423">
        <v>1.5443690390213099E-2</v>
      </c>
      <c r="G6951" s="422">
        <v>1650.310800961375</v>
      </c>
      <c r="H6951" s="417" t="s">
        <v>2616</v>
      </c>
      <c r="I6951" s="417" t="s">
        <v>1392</v>
      </c>
      <c r="J6951" s="417" t="s">
        <v>15692</v>
      </c>
      <c r="K6951" s="417" t="s">
        <v>16375</v>
      </c>
      <c r="L6951" s="417"/>
      <c r="M6951" s="417" t="s">
        <v>28840</v>
      </c>
    </row>
    <row r="6952" spans="1:13" x14ac:dyDescent="0.25">
      <c r="A6952" s="417" t="s">
        <v>3385</v>
      </c>
      <c r="B6952" s="417" t="s">
        <v>2627</v>
      </c>
      <c r="C6952" s="417" t="s">
        <v>16376</v>
      </c>
      <c r="D6952" s="417" t="s">
        <v>83</v>
      </c>
      <c r="E6952" s="423">
        <v>0.95269496386266972</v>
      </c>
      <c r="F6952" s="423">
        <v>1.7331522958473761E-2</v>
      </c>
      <c r="G6952" s="422">
        <v>1711.5151486471359</v>
      </c>
      <c r="H6952" s="417" t="s">
        <v>2616</v>
      </c>
      <c r="I6952" s="417" t="s">
        <v>1392</v>
      </c>
      <c r="J6952" s="417" t="s">
        <v>14271</v>
      </c>
      <c r="K6952" s="417" t="s">
        <v>16377</v>
      </c>
      <c r="L6952" s="417"/>
      <c r="M6952" s="417" t="s">
        <v>28840</v>
      </c>
    </row>
    <row r="6953" spans="1:13" x14ac:dyDescent="0.25">
      <c r="A6953" s="417" t="s">
        <v>3385</v>
      </c>
      <c r="B6953" s="417" t="s">
        <v>2627</v>
      </c>
      <c r="C6953" s="417" t="s">
        <v>16378</v>
      </c>
      <c r="D6953" s="417" t="s">
        <v>83</v>
      </c>
      <c r="E6953" s="423">
        <v>0.69677973828350792</v>
      </c>
      <c r="F6953" s="423">
        <v>4.2078835451517891E-3</v>
      </c>
      <c r="G6953" s="422">
        <v>1281.374102002876</v>
      </c>
      <c r="H6953" s="417" t="s">
        <v>2616</v>
      </c>
      <c r="I6953" s="417" t="s">
        <v>1392</v>
      </c>
      <c r="J6953" s="417" t="s">
        <v>14271</v>
      </c>
      <c r="K6953" s="417" t="s">
        <v>16379</v>
      </c>
      <c r="L6953" s="417"/>
      <c r="M6953" s="417" t="s">
        <v>28840</v>
      </c>
    </row>
    <row r="6954" spans="1:13" x14ac:dyDescent="0.25">
      <c r="A6954" s="417" t="s">
        <v>3385</v>
      </c>
      <c r="B6954" s="417" t="s">
        <v>2627</v>
      </c>
      <c r="C6954" s="417" t="s">
        <v>16380</v>
      </c>
      <c r="D6954" s="417" t="s">
        <v>83</v>
      </c>
      <c r="E6954" s="423">
        <v>1.1508416000092481</v>
      </c>
      <c r="F6954" s="423">
        <v>2.749271988521718E-2</v>
      </c>
      <c r="G6954" s="422">
        <v>2044.5590358947779</v>
      </c>
      <c r="H6954" s="417" t="s">
        <v>2616</v>
      </c>
      <c r="I6954" s="417" t="s">
        <v>1392</v>
      </c>
      <c r="J6954" s="417" t="s">
        <v>14271</v>
      </c>
      <c r="K6954" s="417" t="s">
        <v>16381</v>
      </c>
      <c r="L6954" s="417"/>
      <c r="M6954" s="417" t="s">
        <v>28840</v>
      </c>
    </row>
    <row r="6955" spans="1:13" x14ac:dyDescent="0.25">
      <c r="A6955" s="417" t="s">
        <v>3385</v>
      </c>
      <c r="B6955" s="417" t="s">
        <v>2627</v>
      </c>
      <c r="C6955" s="417" t="s">
        <v>16382</v>
      </c>
      <c r="D6955" s="417" t="s">
        <v>83</v>
      </c>
      <c r="E6955" s="423">
        <v>0.94719141062067025</v>
      </c>
      <c r="F6955" s="423">
        <v>1.7049294153659019E-2</v>
      </c>
      <c r="G6955" s="422">
        <v>1702.264803386583</v>
      </c>
      <c r="H6955" s="417" t="s">
        <v>2616</v>
      </c>
      <c r="I6955" s="417" t="s">
        <v>1392</v>
      </c>
      <c r="J6955" s="417" t="s">
        <v>14271</v>
      </c>
      <c r="K6955" s="417" t="s">
        <v>16383</v>
      </c>
      <c r="L6955" s="417"/>
      <c r="M6955" s="417" t="s">
        <v>28840</v>
      </c>
    </row>
    <row r="6956" spans="1:13" x14ac:dyDescent="0.25">
      <c r="A6956" s="417" t="s">
        <v>3385</v>
      </c>
      <c r="B6956" s="417" t="s">
        <v>2627</v>
      </c>
      <c r="C6956" s="417" t="s">
        <v>16384</v>
      </c>
      <c r="D6956" s="417" t="s">
        <v>83</v>
      </c>
      <c r="E6956" s="423">
        <v>1.1893290335399711</v>
      </c>
      <c r="F6956" s="423">
        <v>2.946640159356485E-2</v>
      </c>
      <c r="G6956" s="422">
        <v>2109.2485240642318</v>
      </c>
      <c r="H6956" s="417" t="s">
        <v>2616</v>
      </c>
      <c r="I6956" s="417" t="s">
        <v>1392</v>
      </c>
      <c r="J6956" s="417" t="s">
        <v>14271</v>
      </c>
      <c r="K6956" s="417" t="s">
        <v>16385</v>
      </c>
      <c r="L6956" s="417"/>
      <c r="M6956" s="417" t="s">
        <v>28840</v>
      </c>
    </row>
    <row r="6957" spans="1:13" x14ac:dyDescent="0.25">
      <c r="A6957" s="417" t="s">
        <v>3385</v>
      </c>
      <c r="B6957" s="417" t="s">
        <v>2627</v>
      </c>
      <c r="C6957" s="417" t="s">
        <v>16386</v>
      </c>
      <c r="D6957" s="417" t="s">
        <v>73</v>
      </c>
      <c r="E6957" s="423">
        <v>2.568169940354352E-2</v>
      </c>
      <c r="F6957" s="423">
        <v>4.306401975739665E-4</v>
      </c>
      <c r="G6957" s="422">
        <v>46.129317864769547</v>
      </c>
      <c r="H6957" s="417" t="s">
        <v>2616</v>
      </c>
      <c r="I6957" s="417" t="s">
        <v>1392</v>
      </c>
      <c r="J6957" s="417" t="s">
        <v>15692</v>
      </c>
      <c r="K6957" s="417" t="s">
        <v>16387</v>
      </c>
      <c r="L6957" s="417"/>
      <c r="M6957" s="417" t="s">
        <v>28840</v>
      </c>
    </row>
    <row r="6958" spans="1:13" x14ac:dyDescent="0.25">
      <c r="A6958" s="417" t="s">
        <v>3385</v>
      </c>
      <c r="B6958" s="417" t="s">
        <v>2627</v>
      </c>
      <c r="C6958" s="417" t="s">
        <v>16388</v>
      </c>
      <c r="D6958" s="417" t="s">
        <v>73</v>
      </c>
      <c r="E6958" s="423">
        <v>3.3096548661912077E-2</v>
      </c>
      <c r="F6958" s="423">
        <v>8.1088255224838718E-4</v>
      </c>
      <c r="G6958" s="422">
        <v>58.592159865212523</v>
      </c>
      <c r="H6958" s="417" t="s">
        <v>2616</v>
      </c>
      <c r="I6958" s="417" t="s">
        <v>1392</v>
      </c>
      <c r="J6958" s="417" t="s">
        <v>15692</v>
      </c>
      <c r="K6958" s="417" t="s">
        <v>16389</v>
      </c>
      <c r="L6958" s="417"/>
      <c r="M6958" s="417" t="s">
        <v>28840</v>
      </c>
    </row>
    <row r="6959" spans="1:13" x14ac:dyDescent="0.25">
      <c r="A6959" s="417" t="s">
        <v>3385</v>
      </c>
      <c r="B6959" s="417" t="s">
        <v>2627</v>
      </c>
      <c r="C6959" s="417" t="s">
        <v>16390</v>
      </c>
      <c r="D6959" s="417" t="s">
        <v>73</v>
      </c>
      <c r="E6959" s="423">
        <v>2.453499280968249E-2</v>
      </c>
      <c r="F6959" s="423">
        <v>3.7183570942367068E-4</v>
      </c>
      <c r="G6959" s="422">
        <v>44.201939089095838</v>
      </c>
      <c r="H6959" s="417" t="s">
        <v>2616</v>
      </c>
      <c r="I6959" s="417" t="s">
        <v>1392</v>
      </c>
      <c r="J6959" s="417" t="s">
        <v>15692</v>
      </c>
      <c r="K6959" s="417" t="s">
        <v>16391</v>
      </c>
      <c r="L6959" s="417"/>
      <c r="M6959" s="417" t="s">
        <v>28840</v>
      </c>
    </row>
    <row r="6960" spans="1:13" x14ac:dyDescent="0.25">
      <c r="A6960" s="417" t="s">
        <v>3385</v>
      </c>
      <c r="B6960" s="417" t="s">
        <v>2627</v>
      </c>
      <c r="C6960" s="417" t="s">
        <v>16392</v>
      </c>
      <c r="D6960" s="417" t="s">
        <v>73</v>
      </c>
      <c r="E6960" s="423">
        <v>2.491722834098058E-2</v>
      </c>
      <c r="F6960" s="423">
        <v>3.9143720547344231E-4</v>
      </c>
      <c r="G6960" s="422">
        <v>44.844398676919553</v>
      </c>
      <c r="H6960" s="417" t="s">
        <v>2616</v>
      </c>
      <c r="I6960" s="417" t="s">
        <v>1392</v>
      </c>
      <c r="J6960" s="417" t="s">
        <v>15692</v>
      </c>
      <c r="K6960" s="417" t="s">
        <v>16393</v>
      </c>
      <c r="L6960" s="417"/>
      <c r="M6960" s="417" t="s">
        <v>28840</v>
      </c>
    </row>
    <row r="6961" spans="1:13" x14ac:dyDescent="0.25">
      <c r="A6961" s="417" t="s">
        <v>3385</v>
      </c>
      <c r="B6961" s="417" t="s">
        <v>2627</v>
      </c>
      <c r="C6961" s="417" t="s">
        <v>16394</v>
      </c>
      <c r="D6961" s="417" t="s">
        <v>73</v>
      </c>
      <c r="E6961" s="423">
        <v>2.514656965967655E-2</v>
      </c>
      <c r="F6961" s="423">
        <v>4.031981031070889E-4</v>
      </c>
      <c r="G6961" s="422">
        <v>45.229874429721818</v>
      </c>
      <c r="H6961" s="417" t="s">
        <v>2616</v>
      </c>
      <c r="I6961" s="417" t="s">
        <v>1392</v>
      </c>
      <c r="J6961" s="417" t="s">
        <v>15692</v>
      </c>
      <c r="K6961" s="417" t="s">
        <v>16395</v>
      </c>
      <c r="L6961" s="417"/>
      <c r="M6961" s="417" t="s">
        <v>28840</v>
      </c>
    </row>
    <row r="6962" spans="1:13" x14ac:dyDescent="0.25">
      <c r="A6962" s="417" t="s">
        <v>3385</v>
      </c>
      <c r="B6962" s="417" t="s">
        <v>2627</v>
      </c>
      <c r="C6962" s="417" t="s">
        <v>16396</v>
      </c>
      <c r="D6962" s="417" t="s">
        <v>73</v>
      </c>
      <c r="E6962" s="423">
        <v>1.446171769126752E-2</v>
      </c>
      <c r="F6962" s="423">
        <v>7.5077564009334597E-5</v>
      </c>
      <c r="G6962" s="422">
        <v>29.04470261844008</v>
      </c>
      <c r="H6962" s="417" t="s">
        <v>2616</v>
      </c>
      <c r="I6962" s="417" t="s">
        <v>1392</v>
      </c>
      <c r="J6962" s="417" t="s">
        <v>15692</v>
      </c>
      <c r="K6962" s="417" t="s">
        <v>16397</v>
      </c>
      <c r="L6962" s="417"/>
      <c r="M6962" s="417" t="s">
        <v>28840</v>
      </c>
    </row>
    <row r="6963" spans="1:13" x14ac:dyDescent="0.25">
      <c r="A6963" s="417" t="s">
        <v>3385</v>
      </c>
      <c r="B6963" s="417" t="s">
        <v>2627</v>
      </c>
      <c r="C6963" s="417" t="s">
        <v>16398</v>
      </c>
      <c r="D6963" s="417" t="s">
        <v>73</v>
      </c>
      <c r="E6963" s="423">
        <v>2.6063934934670609E-2</v>
      </c>
      <c r="F6963" s="423">
        <v>4.5024169362958339E-4</v>
      </c>
      <c r="G6963" s="422">
        <v>46.771777464579912</v>
      </c>
      <c r="H6963" s="417" t="s">
        <v>2616</v>
      </c>
      <c r="I6963" s="417" t="s">
        <v>1392</v>
      </c>
      <c r="J6963" s="417" t="s">
        <v>15692</v>
      </c>
      <c r="K6963" s="417" t="s">
        <v>16399</v>
      </c>
      <c r="L6963" s="417"/>
      <c r="M6963" s="417" t="s">
        <v>28840</v>
      </c>
    </row>
    <row r="6964" spans="1:13" x14ac:dyDescent="0.25">
      <c r="A6964" s="417" t="s">
        <v>3385</v>
      </c>
      <c r="B6964" s="417" t="s">
        <v>2627</v>
      </c>
      <c r="C6964" s="417" t="s">
        <v>16400</v>
      </c>
      <c r="D6964" s="417" t="s">
        <v>73</v>
      </c>
      <c r="E6964" s="423">
        <v>2.6216829147303011E-2</v>
      </c>
      <c r="F6964" s="423">
        <v>4.5808229204708412E-4</v>
      </c>
      <c r="G6964" s="422">
        <v>47.028761296846149</v>
      </c>
      <c r="H6964" s="417" t="s">
        <v>2616</v>
      </c>
      <c r="I6964" s="417" t="s">
        <v>1392</v>
      </c>
      <c r="J6964" s="417" t="s">
        <v>15692</v>
      </c>
      <c r="K6964" s="417" t="s">
        <v>16401</v>
      </c>
      <c r="L6964" s="417"/>
      <c r="M6964" s="417" t="s">
        <v>28840</v>
      </c>
    </row>
    <row r="6965" spans="1:13" x14ac:dyDescent="0.25">
      <c r="A6965" s="417" t="s">
        <v>3385</v>
      </c>
      <c r="B6965" s="417" t="s">
        <v>2627</v>
      </c>
      <c r="C6965" s="417" t="s">
        <v>16402</v>
      </c>
      <c r="D6965" s="417" t="s">
        <v>73</v>
      </c>
      <c r="E6965" s="423">
        <v>2.980984314143147E-2</v>
      </c>
      <c r="F6965" s="423">
        <v>6.4233635491760721E-4</v>
      </c>
      <c r="G6965" s="422">
        <v>53.067881459969193</v>
      </c>
      <c r="H6965" s="417" t="s">
        <v>2616</v>
      </c>
      <c r="I6965" s="417" t="s">
        <v>1392</v>
      </c>
      <c r="J6965" s="417" t="s">
        <v>15692</v>
      </c>
      <c r="K6965" s="417" t="s">
        <v>16403</v>
      </c>
      <c r="L6965" s="417"/>
      <c r="M6965" s="417" t="s">
        <v>28840</v>
      </c>
    </row>
    <row r="6966" spans="1:13" x14ac:dyDescent="0.25">
      <c r="A6966" s="417" t="s">
        <v>3385</v>
      </c>
      <c r="B6966" s="417" t="s">
        <v>2627</v>
      </c>
      <c r="C6966" s="417" t="s">
        <v>16404</v>
      </c>
      <c r="D6966" s="417" t="s">
        <v>73</v>
      </c>
      <c r="E6966" s="423">
        <v>2.6293276253514401E-2</v>
      </c>
      <c r="F6966" s="423">
        <v>4.6200259125571142E-4</v>
      </c>
      <c r="G6966" s="422">
        <v>47.157253213606751</v>
      </c>
      <c r="H6966" s="417" t="s">
        <v>2616</v>
      </c>
      <c r="I6966" s="417" t="s">
        <v>1392</v>
      </c>
      <c r="J6966" s="417" t="s">
        <v>15692</v>
      </c>
      <c r="K6966" s="417" t="s">
        <v>16405</v>
      </c>
      <c r="L6966" s="417"/>
      <c r="M6966" s="417" t="s">
        <v>28840</v>
      </c>
    </row>
    <row r="6967" spans="1:13" x14ac:dyDescent="0.25">
      <c r="A6967" s="417" t="s">
        <v>3385</v>
      </c>
      <c r="B6967" s="417" t="s">
        <v>2627</v>
      </c>
      <c r="C6967" s="417" t="s">
        <v>16406</v>
      </c>
      <c r="D6967" s="417" t="s">
        <v>73</v>
      </c>
      <c r="E6967" s="423">
        <v>3.4855352154321562E-2</v>
      </c>
      <c r="F6967" s="423">
        <v>9.0107610278168594E-4</v>
      </c>
      <c r="G6967" s="422">
        <v>61.548348080527752</v>
      </c>
      <c r="H6967" s="417" t="s">
        <v>2616</v>
      </c>
      <c r="I6967" s="417" t="s">
        <v>1392</v>
      </c>
      <c r="J6967" s="417" t="s">
        <v>15692</v>
      </c>
      <c r="K6967" s="417" t="s">
        <v>16407</v>
      </c>
      <c r="L6967" s="417"/>
      <c r="M6967" s="417" t="s">
        <v>28840</v>
      </c>
    </row>
    <row r="6968" spans="1:13" x14ac:dyDescent="0.25">
      <c r="A6968" s="417" t="s">
        <v>3385</v>
      </c>
      <c r="B6968" s="417" t="s">
        <v>2627</v>
      </c>
      <c r="C6968" s="417" t="s">
        <v>16408</v>
      </c>
      <c r="D6968" s="417" t="s">
        <v>73</v>
      </c>
      <c r="E6968" s="423">
        <v>3.4549563729168453E-2</v>
      </c>
      <c r="F6968" s="423">
        <v>8.8539490594194707E-4</v>
      </c>
      <c r="G6968" s="422">
        <v>61.034380425314929</v>
      </c>
      <c r="H6968" s="417" t="s">
        <v>2616</v>
      </c>
      <c r="I6968" s="417" t="s">
        <v>1392</v>
      </c>
      <c r="J6968" s="417" t="s">
        <v>15692</v>
      </c>
      <c r="K6968" s="417" t="s">
        <v>16409</v>
      </c>
      <c r="L6968" s="417"/>
      <c r="M6968" s="417" t="s">
        <v>28840</v>
      </c>
    </row>
    <row r="6969" spans="1:13" x14ac:dyDescent="0.25">
      <c r="A6969" s="417" t="s">
        <v>3385</v>
      </c>
      <c r="B6969" s="417" t="s">
        <v>2627</v>
      </c>
      <c r="C6969" s="417" t="s">
        <v>16410</v>
      </c>
      <c r="D6969" s="417" t="s">
        <v>73</v>
      </c>
      <c r="E6969" s="423">
        <v>3.0497347049297911E-2</v>
      </c>
      <c r="F6969" s="423">
        <v>6.7759237910371183E-4</v>
      </c>
      <c r="G6969" s="422">
        <v>54.22343463131832</v>
      </c>
      <c r="H6969" s="417" t="s">
        <v>2616</v>
      </c>
      <c r="I6969" s="417" t="s">
        <v>1392</v>
      </c>
      <c r="J6969" s="417" t="s">
        <v>15692</v>
      </c>
      <c r="K6969" s="417" t="s">
        <v>16411</v>
      </c>
      <c r="L6969" s="417"/>
      <c r="M6969" s="417" t="s">
        <v>28840</v>
      </c>
    </row>
    <row r="6970" spans="1:13" x14ac:dyDescent="0.25">
      <c r="A6970" s="417" t="s">
        <v>3385</v>
      </c>
      <c r="B6970" s="417" t="s">
        <v>2627</v>
      </c>
      <c r="C6970" s="417" t="s">
        <v>16412</v>
      </c>
      <c r="D6970" s="417" t="s">
        <v>73</v>
      </c>
      <c r="E6970" s="423">
        <v>1.1191967145960199E-2</v>
      </c>
      <c r="F6970" s="423">
        <v>4.7063416097389163E-5</v>
      </c>
      <c r="G6970" s="422">
        <v>24.675260112842711</v>
      </c>
      <c r="H6970" s="417" t="s">
        <v>2616</v>
      </c>
      <c r="I6970" s="417" t="s">
        <v>1392</v>
      </c>
      <c r="J6970" s="417" t="s">
        <v>15692</v>
      </c>
      <c r="K6970" s="417" t="s">
        <v>16413</v>
      </c>
      <c r="L6970" s="417"/>
      <c r="M6970" s="417" t="s">
        <v>28840</v>
      </c>
    </row>
    <row r="6971" spans="1:13" x14ac:dyDescent="0.25">
      <c r="A6971" s="417" t="s">
        <v>3385</v>
      </c>
      <c r="B6971" s="417" t="s">
        <v>2627</v>
      </c>
      <c r="C6971" s="417" t="s">
        <v>16414</v>
      </c>
      <c r="D6971" s="417" t="s">
        <v>73</v>
      </c>
      <c r="E6971" s="423">
        <v>2.5452358084689521E-2</v>
      </c>
      <c r="F6971" s="423">
        <v>4.1887929994650111E-4</v>
      </c>
      <c r="G6971" s="422">
        <v>45.743842105334338</v>
      </c>
      <c r="H6971" s="417" t="s">
        <v>2616</v>
      </c>
      <c r="I6971" s="417" t="s">
        <v>1392</v>
      </c>
      <c r="J6971" s="417" t="s">
        <v>15692</v>
      </c>
      <c r="K6971" s="417" t="s">
        <v>16415</v>
      </c>
      <c r="L6971" s="417"/>
      <c r="M6971" s="417" t="s">
        <v>28840</v>
      </c>
    </row>
    <row r="6972" spans="1:13" x14ac:dyDescent="0.25">
      <c r="A6972" s="417" t="s">
        <v>3385</v>
      </c>
      <c r="B6972" s="417" t="s">
        <v>2627</v>
      </c>
      <c r="C6972" s="417" t="s">
        <v>16416</v>
      </c>
      <c r="D6972" s="417" t="s">
        <v>73</v>
      </c>
      <c r="E6972" s="423">
        <v>1.9565930902952361E-2</v>
      </c>
      <c r="F6972" s="423">
        <v>1.1701626077373481E-4</v>
      </c>
      <c r="G6972" s="422">
        <v>35.849964389396099</v>
      </c>
      <c r="H6972" s="417" t="s">
        <v>2616</v>
      </c>
      <c r="I6972" s="417" t="s">
        <v>1392</v>
      </c>
      <c r="J6972" s="417" t="s">
        <v>15692</v>
      </c>
      <c r="K6972" s="417" t="s">
        <v>16417</v>
      </c>
      <c r="L6972" s="417"/>
      <c r="M6972" s="417" t="s">
        <v>28840</v>
      </c>
    </row>
    <row r="6973" spans="1:13" x14ac:dyDescent="0.25">
      <c r="A6973" s="417" t="s">
        <v>3385</v>
      </c>
      <c r="B6973" s="417" t="s">
        <v>2627</v>
      </c>
      <c r="C6973" s="417" t="s">
        <v>16418</v>
      </c>
      <c r="D6973" s="417" t="s">
        <v>83</v>
      </c>
      <c r="E6973" s="423">
        <v>0.92419689523976445</v>
      </c>
      <c r="F6973" s="423">
        <v>1.544958332654278E-2</v>
      </c>
      <c r="G6973" s="422">
        <v>1659.7756709183091</v>
      </c>
      <c r="H6973" s="417" t="s">
        <v>2616</v>
      </c>
      <c r="I6973" s="417" t="s">
        <v>1392</v>
      </c>
      <c r="J6973" s="417" t="s">
        <v>15692</v>
      </c>
      <c r="K6973" s="417" t="s">
        <v>16419</v>
      </c>
      <c r="L6973" s="417"/>
      <c r="M6973" s="417" t="s">
        <v>28840</v>
      </c>
    </row>
    <row r="6974" spans="1:13" x14ac:dyDescent="0.25">
      <c r="A6974" s="417" t="s">
        <v>3385</v>
      </c>
      <c r="B6974" s="417" t="s">
        <v>2627</v>
      </c>
      <c r="C6974" s="417" t="s">
        <v>16420</v>
      </c>
      <c r="D6974" s="417" t="s">
        <v>73</v>
      </c>
      <c r="E6974" s="423">
        <v>2.6675511784838811E-2</v>
      </c>
      <c r="F6974" s="423">
        <v>4.8160408730600201E-4</v>
      </c>
      <c r="G6974" s="422">
        <v>47.799712801160076</v>
      </c>
      <c r="H6974" s="417" t="s">
        <v>2616</v>
      </c>
      <c r="I6974" s="417" t="s">
        <v>1392</v>
      </c>
      <c r="J6974" s="417" t="s">
        <v>15692</v>
      </c>
      <c r="K6974" s="417" t="s">
        <v>16421</v>
      </c>
      <c r="L6974" s="417"/>
      <c r="M6974" s="417" t="s">
        <v>28840</v>
      </c>
    </row>
    <row r="6975" spans="1:13" x14ac:dyDescent="0.25">
      <c r="A6975" s="417" t="s">
        <v>3385</v>
      </c>
      <c r="B6975" s="417" t="s">
        <v>2627</v>
      </c>
      <c r="C6975" s="417" t="s">
        <v>16422</v>
      </c>
      <c r="D6975" s="417" t="s">
        <v>73</v>
      </c>
      <c r="E6975" s="423">
        <v>1.3076546710507611E-2</v>
      </c>
      <c r="F6975" s="423">
        <v>6.3695610662520556E-5</v>
      </c>
      <c r="G6975" s="422">
        <v>27.198070673554131</v>
      </c>
      <c r="H6975" s="417" t="s">
        <v>2616</v>
      </c>
      <c r="I6975" s="417" t="s">
        <v>1392</v>
      </c>
      <c r="J6975" s="417" t="s">
        <v>15692</v>
      </c>
      <c r="K6975" s="417" t="s">
        <v>16423</v>
      </c>
      <c r="L6975" s="417"/>
      <c r="M6975" s="417" t="s">
        <v>28840</v>
      </c>
    </row>
    <row r="6976" spans="1:13" x14ac:dyDescent="0.25">
      <c r="A6976" s="417" t="s">
        <v>3385</v>
      </c>
      <c r="B6976" s="417" t="s">
        <v>2627</v>
      </c>
      <c r="C6976" s="417" t="s">
        <v>16424</v>
      </c>
      <c r="D6976" s="417" t="s">
        <v>73</v>
      </c>
      <c r="E6976" s="423">
        <v>3.2180223483827278E-2</v>
      </c>
      <c r="F6976" s="423">
        <v>7.6389229913192502E-4</v>
      </c>
      <c r="G6976" s="422">
        <v>57.052005031505928</v>
      </c>
      <c r="H6976" s="417" t="s">
        <v>2616</v>
      </c>
      <c r="I6976" s="417" t="s">
        <v>1392</v>
      </c>
      <c r="J6976" s="417" t="s">
        <v>15692</v>
      </c>
      <c r="K6976" s="417" t="s">
        <v>16425</v>
      </c>
      <c r="L6976" s="417"/>
      <c r="M6976" s="417" t="s">
        <v>28840</v>
      </c>
    </row>
    <row r="6977" spans="1:13" x14ac:dyDescent="0.25">
      <c r="A6977" s="417" t="s">
        <v>3385</v>
      </c>
      <c r="B6977" s="417" t="s">
        <v>2627</v>
      </c>
      <c r="C6977" s="417" t="s">
        <v>16426</v>
      </c>
      <c r="D6977" s="417" t="s">
        <v>73</v>
      </c>
      <c r="E6977" s="423">
        <v>2.6522617572267961E-2</v>
      </c>
      <c r="F6977" s="423">
        <v>4.7376348888777931E-4</v>
      </c>
      <c r="G6977" s="422">
        <v>47.542728962963309</v>
      </c>
      <c r="H6977" s="417" t="s">
        <v>2616</v>
      </c>
      <c r="I6977" s="417" t="s">
        <v>1392</v>
      </c>
      <c r="J6977" s="417" t="s">
        <v>15692</v>
      </c>
      <c r="K6977" s="417" t="s">
        <v>16427</v>
      </c>
      <c r="L6977" s="417"/>
      <c r="M6977" s="417" t="s">
        <v>28840</v>
      </c>
    </row>
    <row r="6978" spans="1:13" x14ac:dyDescent="0.25">
      <c r="A6978" s="417" t="s">
        <v>3385</v>
      </c>
      <c r="B6978" s="417" t="s">
        <v>2627</v>
      </c>
      <c r="C6978" s="417" t="s">
        <v>16428</v>
      </c>
      <c r="D6978" s="417" t="s">
        <v>73</v>
      </c>
      <c r="E6978" s="423">
        <v>3.3249442874616911E-2</v>
      </c>
      <c r="F6978" s="423">
        <v>8.1872315067154158E-4</v>
      </c>
      <c r="G6978" s="422">
        <v>58.849143700561321</v>
      </c>
      <c r="H6978" s="417" t="s">
        <v>2616</v>
      </c>
      <c r="I6978" s="417" t="s">
        <v>1392</v>
      </c>
      <c r="J6978" s="417" t="s">
        <v>15692</v>
      </c>
      <c r="K6978" s="417" t="s">
        <v>16429</v>
      </c>
      <c r="L6978" s="417"/>
      <c r="M6978" s="417" t="s">
        <v>28840</v>
      </c>
    </row>
    <row r="6979" spans="1:13" x14ac:dyDescent="0.25">
      <c r="A6979" s="417" t="s">
        <v>3385</v>
      </c>
      <c r="B6979" s="417" t="s">
        <v>2627</v>
      </c>
      <c r="C6979" s="417" t="s">
        <v>16430</v>
      </c>
      <c r="D6979" s="417" t="s">
        <v>73</v>
      </c>
      <c r="E6979" s="423">
        <v>1.5458112841268209E-2</v>
      </c>
      <c r="F6979" s="423">
        <v>3.1022907036778557E-4</v>
      </c>
      <c r="G6979" s="422">
        <v>32.508683409987611</v>
      </c>
      <c r="H6979" s="417" t="s">
        <v>2616</v>
      </c>
      <c r="I6979" s="417" t="s">
        <v>1392</v>
      </c>
      <c r="J6979" s="417" t="s">
        <v>15692</v>
      </c>
      <c r="K6979" s="417" t="s">
        <v>16431</v>
      </c>
      <c r="L6979" s="417"/>
      <c r="M6979" s="417" t="s">
        <v>28840</v>
      </c>
    </row>
    <row r="6980" spans="1:13" x14ac:dyDescent="0.25">
      <c r="A6980" s="417" t="s">
        <v>3385</v>
      </c>
      <c r="B6980" s="417" t="s">
        <v>2627</v>
      </c>
      <c r="C6980" s="417" t="s">
        <v>16432</v>
      </c>
      <c r="D6980" s="417" t="s">
        <v>73</v>
      </c>
      <c r="E6980" s="423">
        <v>1.5458112841268209E-2</v>
      </c>
      <c r="F6980" s="423">
        <v>3.1022907036778557E-4</v>
      </c>
      <c r="G6980" s="422">
        <v>32.508683409987611</v>
      </c>
      <c r="H6980" s="417" t="s">
        <v>2616</v>
      </c>
      <c r="I6980" s="417" t="s">
        <v>1392</v>
      </c>
      <c r="J6980" s="417" t="s">
        <v>15692</v>
      </c>
      <c r="K6980" s="417" t="s">
        <v>16433</v>
      </c>
      <c r="L6980" s="417"/>
      <c r="M6980" s="417" t="s">
        <v>28840</v>
      </c>
    </row>
    <row r="6981" spans="1:13" x14ac:dyDescent="0.25">
      <c r="A6981" s="417" t="s">
        <v>3385</v>
      </c>
      <c r="B6981" s="417" t="s">
        <v>2627</v>
      </c>
      <c r="C6981" s="417" t="s">
        <v>16434</v>
      </c>
      <c r="D6981" s="417" t="s">
        <v>73</v>
      </c>
      <c r="E6981" s="423">
        <v>1.5458112841268209E-2</v>
      </c>
      <c r="F6981" s="423">
        <v>3.1022907036778557E-4</v>
      </c>
      <c r="G6981" s="422">
        <v>32.508683409987611</v>
      </c>
      <c r="H6981" s="417" t="s">
        <v>2616</v>
      </c>
      <c r="I6981" s="417" t="s">
        <v>1392</v>
      </c>
      <c r="J6981" s="417" t="s">
        <v>15692</v>
      </c>
      <c r="K6981" s="417" t="s">
        <v>16435</v>
      </c>
      <c r="L6981" s="417"/>
      <c r="M6981" s="417" t="s">
        <v>28840</v>
      </c>
    </row>
    <row r="6982" spans="1:13" x14ac:dyDescent="0.25">
      <c r="A6982" s="417" t="s">
        <v>3385</v>
      </c>
      <c r="B6982" s="417" t="s">
        <v>2627</v>
      </c>
      <c r="C6982" s="417" t="s">
        <v>16436</v>
      </c>
      <c r="D6982" s="417" t="s">
        <v>73</v>
      </c>
      <c r="E6982" s="423">
        <v>1.5458112841268209E-2</v>
      </c>
      <c r="F6982" s="423">
        <v>3.1022907036778557E-4</v>
      </c>
      <c r="G6982" s="422">
        <v>32.508683409987611</v>
      </c>
      <c r="H6982" s="417" t="s">
        <v>2616</v>
      </c>
      <c r="I6982" s="417" t="s">
        <v>1392</v>
      </c>
      <c r="J6982" s="417" t="s">
        <v>15692</v>
      </c>
      <c r="K6982" s="417" t="s">
        <v>16437</v>
      </c>
      <c r="L6982" s="417"/>
      <c r="M6982" s="417" t="s">
        <v>28840</v>
      </c>
    </row>
    <row r="6983" spans="1:13" x14ac:dyDescent="0.25">
      <c r="A6983" s="417" t="s">
        <v>3385</v>
      </c>
      <c r="B6983" s="417" t="s">
        <v>2627</v>
      </c>
      <c r="C6983" s="417" t="s">
        <v>16438</v>
      </c>
      <c r="D6983" s="417" t="s">
        <v>73</v>
      </c>
      <c r="E6983" s="423">
        <v>1.5458112841268209E-2</v>
      </c>
      <c r="F6983" s="423">
        <v>3.1022907036778557E-4</v>
      </c>
      <c r="G6983" s="422">
        <v>32.508683409987611</v>
      </c>
      <c r="H6983" s="417" t="s">
        <v>2616</v>
      </c>
      <c r="I6983" s="417" t="s">
        <v>1392</v>
      </c>
      <c r="J6983" s="417" t="s">
        <v>15692</v>
      </c>
      <c r="K6983" s="417" t="s">
        <v>16439</v>
      </c>
      <c r="L6983" s="417"/>
      <c r="M6983" s="417" t="s">
        <v>28840</v>
      </c>
    </row>
    <row r="6984" spans="1:13" x14ac:dyDescent="0.25">
      <c r="A6984" s="417" t="s">
        <v>3385</v>
      </c>
      <c r="B6984" s="417" t="s">
        <v>2627</v>
      </c>
      <c r="C6984" s="417" t="s">
        <v>16440</v>
      </c>
      <c r="D6984" s="417" t="s">
        <v>73</v>
      </c>
      <c r="E6984" s="423">
        <v>1.5458112841268209E-2</v>
      </c>
      <c r="F6984" s="423">
        <v>3.1022907036778557E-4</v>
      </c>
      <c r="G6984" s="422">
        <v>32.508683409987611</v>
      </c>
      <c r="H6984" s="417" t="s">
        <v>2616</v>
      </c>
      <c r="I6984" s="417" t="s">
        <v>1392</v>
      </c>
      <c r="J6984" s="417" t="s">
        <v>15692</v>
      </c>
      <c r="K6984" s="417" t="s">
        <v>16441</v>
      </c>
      <c r="L6984" s="417"/>
      <c r="M6984" s="417" t="s">
        <v>28840</v>
      </c>
    </row>
    <row r="6985" spans="1:13" x14ac:dyDescent="0.25">
      <c r="A6985" s="417" t="s">
        <v>3385</v>
      </c>
      <c r="B6985" s="417" t="s">
        <v>2627</v>
      </c>
      <c r="C6985" s="417" t="s">
        <v>16442</v>
      </c>
      <c r="D6985" s="417" t="s">
        <v>73</v>
      </c>
      <c r="E6985" s="423">
        <v>1.5458112841268209E-2</v>
      </c>
      <c r="F6985" s="423">
        <v>3.1022907036778557E-4</v>
      </c>
      <c r="G6985" s="422">
        <v>32.508683409987611</v>
      </c>
      <c r="H6985" s="417" t="s">
        <v>2616</v>
      </c>
      <c r="I6985" s="417" t="s">
        <v>1392</v>
      </c>
      <c r="J6985" s="417" t="s">
        <v>15692</v>
      </c>
      <c r="K6985" s="417" t="s">
        <v>16443</v>
      </c>
      <c r="L6985" s="417"/>
      <c r="M6985" s="417" t="s">
        <v>28840</v>
      </c>
    </row>
    <row r="6986" spans="1:13" x14ac:dyDescent="0.25">
      <c r="A6986" s="417" t="s">
        <v>3385</v>
      </c>
      <c r="B6986" s="417" t="s">
        <v>2627</v>
      </c>
      <c r="C6986" s="417" t="s">
        <v>16444</v>
      </c>
      <c r="D6986" s="417" t="s">
        <v>73</v>
      </c>
      <c r="E6986" s="423">
        <v>1.5458112841268209E-2</v>
      </c>
      <c r="F6986" s="423">
        <v>3.1022907036778557E-4</v>
      </c>
      <c r="G6986" s="422">
        <v>32.508683409987611</v>
      </c>
      <c r="H6986" s="417" t="s">
        <v>2616</v>
      </c>
      <c r="I6986" s="417" t="s">
        <v>1392</v>
      </c>
      <c r="J6986" s="417" t="s">
        <v>15692</v>
      </c>
      <c r="K6986" s="417" t="s">
        <v>16445</v>
      </c>
      <c r="L6986" s="417"/>
      <c r="M6986" s="417" t="s">
        <v>28840</v>
      </c>
    </row>
    <row r="6987" spans="1:13" x14ac:dyDescent="0.25">
      <c r="A6987" s="417" t="s">
        <v>3385</v>
      </c>
      <c r="B6987" s="417" t="s">
        <v>2627</v>
      </c>
      <c r="C6987" s="417" t="s">
        <v>16446</v>
      </c>
      <c r="D6987" s="417" t="s">
        <v>73</v>
      </c>
      <c r="E6987" s="423">
        <v>2.9807226879713E-3</v>
      </c>
      <c r="F6987" s="423">
        <v>6.5928804671255541E-5</v>
      </c>
      <c r="G6987" s="422">
        <v>14.493404389069751</v>
      </c>
      <c r="H6987" s="417" t="s">
        <v>2616</v>
      </c>
      <c r="I6987" s="417" t="s">
        <v>1392</v>
      </c>
      <c r="J6987" s="417" t="s">
        <v>15692</v>
      </c>
      <c r="K6987" s="417" t="s">
        <v>16447</v>
      </c>
      <c r="L6987" s="417"/>
      <c r="M6987" s="417" t="s">
        <v>28840</v>
      </c>
    </row>
    <row r="6988" spans="1:13" x14ac:dyDescent="0.25">
      <c r="A6988" s="417" t="s">
        <v>3385</v>
      </c>
      <c r="B6988" s="417" t="s">
        <v>2627</v>
      </c>
      <c r="C6988" s="417" t="s">
        <v>16448</v>
      </c>
      <c r="D6988" s="417" t="s">
        <v>73</v>
      </c>
      <c r="E6988" s="423">
        <v>1.5458112841268209E-2</v>
      </c>
      <c r="F6988" s="423">
        <v>3.1022907036778557E-4</v>
      </c>
      <c r="G6988" s="422">
        <v>32.508683409987611</v>
      </c>
      <c r="H6988" s="417" t="s">
        <v>2616</v>
      </c>
      <c r="I6988" s="417" t="s">
        <v>1392</v>
      </c>
      <c r="J6988" s="417" t="s">
        <v>15692</v>
      </c>
      <c r="K6988" s="417" t="s">
        <v>16449</v>
      </c>
      <c r="L6988" s="417"/>
      <c r="M6988" s="417" t="s">
        <v>28840</v>
      </c>
    </row>
    <row r="6989" spans="1:13" x14ac:dyDescent="0.25">
      <c r="A6989" s="417" t="s">
        <v>3385</v>
      </c>
      <c r="B6989" s="417" t="s">
        <v>2627</v>
      </c>
      <c r="C6989" s="417" t="s">
        <v>16450</v>
      </c>
      <c r="D6989" s="417" t="s">
        <v>73</v>
      </c>
      <c r="E6989" s="423">
        <v>1.5458112841268209E-2</v>
      </c>
      <c r="F6989" s="423">
        <v>3.1022907036778557E-4</v>
      </c>
      <c r="G6989" s="422">
        <v>32.508683409987611</v>
      </c>
      <c r="H6989" s="417" t="s">
        <v>2616</v>
      </c>
      <c r="I6989" s="417" t="s">
        <v>1392</v>
      </c>
      <c r="J6989" s="417" t="s">
        <v>15692</v>
      </c>
      <c r="K6989" s="417" t="s">
        <v>16451</v>
      </c>
      <c r="L6989" s="417"/>
      <c r="M6989" s="417" t="s">
        <v>28840</v>
      </c>
    </row>
    <row r="6990" spans="1:13" x14ac:dyDescent="0.25">
      <c r="A6990" s="417" t="s">
        <v>3385</v>
      </c>
      <c r="B6990" s="417" t="s">
        <v>2627</v>
      </c>
      <c r="C6990" s="417" t="s">
        <v>16452</v>
      </c>
      <c r="D6990" s="417" t="s">
        <v>83</v>
      </c>
      <c r="E6990" s="423">
        <v>0.43539148358478469</v>
      </c>
      <c r="F6990" s="423">
        <v>7.6322400871855784E-3</v>
      </c>
      <c r="G6990" s="422">
        <v>980.22912098710401</v>
      </c>
      <c r="H6990" s="417" t="s">
        <v>2616</v>
      </c>
      <c r="I6990" s="417" t="s">
        <v>1392</v>
      </c>
      <c r="J6990" s="417" t="s">
        <v>14271</v>
      </c>
      <c r="K6990" s="417" t="s">
        <v>16453</v>
      </c>
      <c r="L6990" s="417"/>
      <c r="M6990" s="417" t="s">
        <v>28840</v>
      </c>
    </row>
    <row r="6991" spans="1:13" x14ac:dyDescent="0.25">
      <c r="A6991" s="417" t="s">
        <v>3385</v>
      </c>
      <c r="B6991" s="417" t="s">
        <v>2627</v>
      </c>
      <c r="C6991" s="417" t="s">
        <v>16454</v>
      </c>
      <c r="D6991" s="417" t="s">
        <v>83</v>
      </c>
      <c r="E6991" s="423">
        <v>0.42744903947091523</v>
      </c>
      <c r="F6991" s="423">
        <v>7.2092564225495993E-3</v>
      </c>
      <c r="G6991" s="422">
        <v>966.75069182508696</v>
      </c>
      <c r="H6991" s="417" t="s">
        <v>2616</v>
      </c>
      <c r="I6991" s="417" t="s">
        <v>1392</v>
      </c>
      <c r="J6991" s="417" t="s">
        <v>14271</v>
      </c>
      <c r="K6991" s="417" t="s">
        <v>16455</v>
      </c>
      <c r="L6991" s="417"/>
      <c r="M6991" s="417" t="s">
        <v>28840</v>
      </c>
    </row>
    <row r="6992" spans="1:13" x14ac:dyDescent="0.25">
      <c r="A6992" s="417" t="s">
        <v>3385</v>
      </c>
      <c r="B6992" s="417" t="s">
        <v>2627</v>
      </c>
      <c r="C6992" s="417" t="s">
        <v>16456</v>
      </c>
      <c r="D6992" s="417" t="s">
        <v>83</v>
      </c>
      <c r="E6992" s="423">
        <v>0.51216844325696864</v>
      </c>
      <c r="F6992" s="423">
        <v>1.172108228323937E-2</v>
      </c>
      <c r="G6992" s="422">
        <v>1110.520605640829</v>
      </c>
      <c r="H6992" s="417" t="s">
        <v>2616</v>
      </c>
      <c r="I6992" s="417" t="s">
        <v>1392</v>
      </c>
      <c r="J6992" s="417" t="s">
        <v>14271</v>
      </c>
      <c r="K6992" s="417" t="s">
        <v>16457</v>
      </c>
      <c r="L6992" s="417"/>
      <c r="M6992" s="417" t="s">
        <v>28840</v>
      </c>
    </row>
    <row r="6993" spans="1:13" x14ac:dyDescent="0.25">
      <c r="A6993" s="417" t="s">
        <v>3385</v>
      </c>
      <c r="B6993" s="417" t="s">
        <v>2627</v>
      </c>
      <c r="C6993" s="417" t="s">
        <v>16458</v>
      </c>
      <c r="D6993" s="417" t="s">
        <v>83</v>
      </c>
      <c r="E6993" s="423">
        <v>0.45127637182158159</v>
      </c>
      <c r="F6993" s="423">
        <v>8.4782074361141359E-3</v>
      </c>
      <c r="G6993" s="422">
        <v>1007.185980008703</v>
      </c>
      <c r="H6993" s="417" t="s">
        <v>2616</v>
      </c>
      <c r="I6993" s="417" t="s">
        <v>1392</v>
      </c>
      <c r="J6993" s="417" t="s">
        <v>14271</v>
      </c>
      <c r="K6993" s="417" t="s">
        <v>16459</v>
      </c>
      <c r="L6993" s="417"/>
      <c r="M6993" s="417" t="s">
        <v>28840</v>
      </c>
    </row>
    <row r="6994" spans="1:13" x14ac:dyDescent="0.25">
      <c r="A6994" s="417" t="s">
        <v>3385</v>
      </c>
      <c r="B6994" s="417" t="s">
        <v>2627</v>
      </c>
      <c r="C6994" s="417" t="s">
        <v>16460</v>
      </c>
      <c r="D6994" s="417" t="s">
        <v>83</v>
      </c>
      <c r="E6994" s="423">
        <v>0.48834111094272492</v>
      </c>
      <c r="F6994" s="423">
        <v>1.045213125003632E-2</v>
      </c>
      <c r="G6994" s="422">
        <v>1070.0853172989921</v>
      </c>
      <c r="H6994" s="417" t="s">
        <v>2616</v>
      </c>
      <c r="I6994" s="417" t="s">
        <v>1392</v>
      </c>
      <c r="J6994" s="417" t="s">
        <v>14271</v>
      </c>
      <c r="K6994" s="417" t="s">
        <v>16461</v>
      </c>
      <c r="L6994" s="417"/>
      <c r="M6994" s="417" t="s">
        <v>28840</v>
      </c>
    </row>
    <row r="6995" spans="1:13" x14ac:dyDescent="0.25">
      <c r="A6995" s="417" t="s">
        <v>3385</v>
      </c>
      <c r="B6995" s="417" t="s">
        <v>2627</v>
      </c>
      <c r="C6995" s="417" t="s">
        <v>16462</v>
      </c>
      <c r="D6995" s="417" t="s">
        <v>83</v>
      </c>
      <c r="E6995" s="423">
        <v>0.39832674438840432</v>
      </c>
      <c r="F6995" s="423">
        <v>5.658316271656757E-3</v>
      </c>
      <c r="G6995" s="422">
        <v>917.32978366302859</v>
      </c>
      <c r="H6995" s="417" t="s">
        <v>2616</v>
      </c>
      <c r="I6995" s="417" t="s">
        <v>1392</v>
      </c>
      <c r="J6995" s="417" t="s">
        <v>14271</v>
      </c>
      <c r="K6995" s="417" t="s">
        <v>16463</v>
      </c>
      <c r="L6995" s="417"/>
      <c r="M6995" s="417" t="s">
        <v>28840</v>
      </c>
    </row>
    <row r="6996" spans="1:13" x14ac:dyDescent="0.25">
      <c r="A6996" s="417" t="s">
        <v>3385</v>
      </c>
      <c r="B6996" s="417" t="s">
        <v>2627</v>
      </c>
      <c r="C6996" s="417" t="s">
        <v>16464</v>
      </c>
      <c r="D6996" s="417" t="s">
        <v>83</v>
      </c>
      <c r="E6996" s="423">
        <v>0.47245622268672588</v>
      </c>
      <c r="F6996" s="423">
        <v>9.6061639127817313E-3</v>
      </c>
      <c r="G6996" s="422">
        <v>1043.128458453984</v>
      </c>
      <c r="H6996" s="417" t="s">
        <v>2616</v>
      </c>
      <c r="I6996" s="417" t="s">
        <v>1392</v>
      </c>
      <c r="J6996" s="417" t="s">
        <v>14271</v>
      </c>
      <c r="K6996" s="417" t="s">
        <v>16465</v>
      </c>
      <c r="L6996" s="417"/>
      <c r="M6996" s="417" t="s">
        <v>28840</v>
      </c>
    </row>
    <row r="6997" spans="1:13" x14ac:dyDescent="0.25">
      <c r="A6997" s="417" t="s">
        <v>3385</v>
      </c>
      <c r="B6997" s="417" t="s">
        <v>2627</v>
      </c>
      <c r="C6997" s="417" t="s">
        <v>16466</v>
      </c>
      <c r="D6997" s="417" t="s">
        <v>83</v>
      </c>
      <c r="E6997" s="423">
        <v>0.5651180705948019</v>
      </c>
      <c r="F6997" s="423">
        <v>1.454097344142909E-2</v>
      </c>
      <c r="G6997" s="422">
        <v>1200.37680186036</v>
      </c>
      <c r="H6997" s="417" t="s">
        <v>2616</v>
      </c>
      <c r="I6997" s="417" t="s">
        <v>1392</v>
      </c>
      <c r="J6997" s="417" t="s">
        <v>14271</v>
      </c>
      <c r="K6997" s="417" t="s">
        <v>16467</v>
      </c>
      <c r="L6997" s="417"/>
      <c r="M6997" s="417" t="s">
        <v>28840</v>
      </c>
    </row>
    <row r="6998" spans="1:13" x14ac:dyDescent="0.25">
      <c r="A6998" s="417" t="s">
        <v>3385</v>
      </c>
      <c r="B6998" s="417" t="s">
        <v>2627</v>
      </c>
      <c r="C6998" s="417" t="s">
        <v>16468</v>
      </c>
      <c r="D6998" s="417" t="s">
        <v>83</v>
      </c>
      <c r="E6998" s="423">
        <v>0.57306051469607477</v>
      </c>
      <c r="F6998" s="423">
        <v>1.496395711704719E-2</v>
      </c>
      <c r="G6998" s="422">
        <v>1213.855231075589</v>
      </c>
      <c r="H6998" s="417" t="s">
        <v>2616</v>
      </c>
      <c r="I6998" s="417" t="s">
        <v>1392</v>
      </c>
      <c r="J6998" s="417" t="s">
        <v>14271</v>
      </c>
      <c r="K6998" s="417" t="s">
        <v>16469</v>
      </c>
      <c r="L6998" s="417"/>
      <c r="M6998" s="417" t="s">
        <v>28840</v>
      </c>
    </row>
    <row r="6999" spans="1:13" x14ac:dyDescent="0.25">
      <c r="A6999" s="417" t="s">
        <v>3385</v>
      </c>
      <c r="B6999" s="417" t="s">
        <v>2627</v>
      </c>
      <c r="C6999" s="417" t="s">
        <v>16470</v>
      </c>
      <c r="D6999" s="417" t="s">
        <v>83</v>
      </c>
      <c r="E6999" s="423">
        <v>0.43009652086522382</v>
      </c>
      <c r="F6999" s="423">
        <v>7.3502509829126029E-3</v>
      </c>
      <c r="G6999" s="422">
        <v>971.24350161005725</v>
      </c>
      <c r="H6999" s="417" t="s">
        <v>2616</v>
      </c>
      <c r="I6999" s="417" t="s">
        <v>1392</v>
      </c>
      <c r="J6999" s="417" t="s">
        <v>14271</v>
      </c>
      <c r="K6999" s="417" t="s">
        <v>16471</v>
      </c>
      <c r="L6999" s="417"/>
      <c r="M6999" s="417" t="s">
        <v>28840</v>
      </c>
    </row>
    <row r="7000" spans="1:13" x14ac:dyDescent="0.25">
      <c r="A7000" s="417" t="s">
        <v>3385</v>
      </c>
      <c r="B7000" s="417" t="s">
        <v>2627</v>
      </c>
      <c r="C7000" s="417" t="s">
        <v>16472</v>
      </c>
      <c r="D7000" s="417" t="s">
        <v>83</v>
      </c>
      <c r="E7000" s="423">
        <v>0.39832674438840432</v>
      </c>
      <c r="F7000" s="423">
        <v>5.658316271656757E-3</v>
      </c>
      <c r="G7000" s="422">
        <v>917.32978366302859</v>
      </c>
      <c r="H7000" s="417" t="s">
        <v>2616</v>
      </c>
      <c r="I7000" s="417" t="s">
        <v>1392</v>
      </c>
      <c r="J7000" s="417" t="s">
        <v>14271</v>
      </c>
      <c r="K7000" s="417" t="s">
        <v>16473</v>
      </c>
      <c r="L7000" s="417"/>
      <c r="M7000" s="417" t="s">
        <v>28840</v>
      </c>
    </row>
    <row r="7001" spans="1:13" x14ac:dyDescent="0.25">
      <c r="A7001" s="417" t="s">
        <v>3385</v>
      </c>
      <c r="B7001" s="417" t="s">
        <v>2627</v>
      </c>
      <c r="C7001" s="417" t="s">
        <v>16474</v>
      </c>
      <c r="D7001" s="417" t="s">
        <v>83</v>
      </c>
      <c r="E7001" s="423">
        <v>0.43282206083379238</v>
      </c>
      <c r="F7001" s="423">
        <v>7.4704793688032461E-3</v>
      </c>
      <c r="G7001" s="422">
        <v>975.66325143819495</v>
      </c>
      <c r="H7001" s="417" t="s">
        <v>2616</v>
      </c>
      <c r="I7001" s="417" t="s">
        <v>1392</v>
      </c>
      <c r="J7001" s="417" t="s">
        <v>15692</v>
      </c>
      <c r="K7001" s="417" t="s">
        <v>16475</v>
      </c>
      <c r="L7001" s="417"/>
      <c r="M7001" s="417" t="s">
        <v>28840</v>
      </c>
    </row>
    <row r="7002" spans="1:13" x14ac:dyDescent="0.25">
      <c r="A7002" s="417" t="s">
        <v>3385</v>
      </c>
      <c r="B7002" s="417" t="s">
        <v>2627</v>
      </c>
      <c r="C7002" s="417" t="s">
        <v>16476</v>
      </c>
      <c r="D7002" s="417" t="s">
        <v>83</v>
      </c>
      <c r="E7002" s="423">
        <v>0.44068644620818193</v>
      </c>
      <c r="F7002" s="423">
        <v>7.9142291904963601E-3</v>
      </c>
      <c r="G7002" s="422">
        <v>989.21474047698939</v>
      </c>
      <c r="H7002" s="417" t="s">
        <v>2616</v>
      </c>
      <c r="I7002" s="417" t="s">
        <v>1392</v>
      </c>
      <c r="J7002" s="417" t="s">
        <v>14271</v>
      </c>
      <c r="K7002" s="417" t="s">
        <v>16477</v>
      </c>
      <c r="L7002" s="417"/>
      <c r="M7002" s="417" t="s">
        <v>28840</v>
      </c>
    </row>
    <row r="7003" spans="1:13" x14ac:dyDescent="0.25">
      <c r="A7003" s="417" t="s">
        <v>3385</v>
      </c>
      <c r="B7003" s="417" t="s">
        <v>2627</v>
      </c>
      <c r="C7003" s="417" t="s">
        <v>16478</v>
      </c>
      <c r="D7003" s="417" t="s">
        <v>83</v>
      </c>
      <c r="E7003" s="423">
        <v>0.44333392757678258</v>
      </c>
      <c r="F7003" s="423">
        <v>8.0552237344122292E-3</v>
      </c>
      <c r="G7003" s="422">
        <v>993.70755025156632</v>
      </c>
      <c r="H7003" s="417" t="s">
        <v>2616</v>
      </c>
      <c r="I7003" s="417" t="s">
        <v>1392</v>
      </c>
      <c r="J7003" s="417" t="s">
        <v>14271</v>
      </c>
      <c r="K7003" s="417" t="s">
        <v>16479</v>
      </c>
      <c r="L7003" s="417"/>
      <c r="M7003" s="417" t="s">
        <v>28840</v>
      </c>
    </row>
    <row r="7004" spans="1:13" x14ac:dyDescent="0.25">
      <c r="A7004" s="417" t="s">
        <v>3385</v>
      </c>
      <c r="B7004" s="417" t="s">
        <v>2627</v>
      </c>
      <c r="C7004" s="417" t="s">
        <v>16480</v>
      </c>
      <c r="D7004" s="417" t="s">
        <v>83</v>
      </c>
      <c r="E7004" s="423">
        <v>0.58100295880967945</v>
      </c>
      <c r="F7004" s="423">
        <v>1.538694079145487E-2</v>
      </c>
      <c r="G7004" s="422">
        <v>1227.333660685586</v>
      </c>
      <c r="H7004" s="417" t="s">
        <v>2616</v>
      </c>
      <c r="I7004" s="417" t="s">
        <v>1392</v>
      </c>
      <c r="J7004" s="417" t="s">
        <v>14271</v>
      </c>
      <c r="K7004" s="417" t="s">
        <v>16481</v>
      </c>
      <c r="L7004" s="417"/>
      <c r="M7004" s="417" t="s">
        <v>28840</v>
      </c>
    </row>
    <row r="7005" spans="1:13" x14ac:dyDescent="0.25">
      <c r="A7005" s="417" t="s">
        <v>3385</v>
      </c>
      <c r="B7005" s="417" t="s">
        <v>2627</v>
      </c>
      <c r="C7005" s="417" t="s">
        <v>16482</v>
      </c>
      <c r="D7005" s="417" t="s">
        <v>73</v>
      </c>
      <c r="E7005" s="423">
        <v>3.217675392051414E-3</v>
      </c>
      <c r="F7005" s="423">
        <v>4.1983332398630587E-5</v>
      </c>
      <c r="G7005" s="422">
        <v>14.581637938821739</v>
      </c>
      <c r="H7005" s="417" t="s">
        <v>2616</v>
      </c>
      <c r="I7005" s="417" t="s">
        <v>1392</v>
      </c>
      <c r="J7005" s="417" t="s">
        <v>15692</v>
      </c>
      <c r="K7005" s="417" t="s">
        <v>16483</v>
      </c>
      <c r="L7005" s="417"/>
      <c r="M7005" s="417" t="s">
        <v>28840</v>
      </c>
    </row>
    <row r="7006" spans="1:13" x14ac:dyDescent="0.25">
      <c r="A7006" s="417" t="s">
        <v>3385</v>
      </c>
      <c r="B7006" s="417" t="s">
        <v>2627</v>
      </c>
      <c r="C7006" s="417" t="s">
        <v>16484</v>
      </c>
      <c r="D7006" s="417" t="s">
        <v>73</v>
      </c>
      <c r="E7006" s="423">
        <v>3.474508003998877E-3</v>
      </c>
      <c r="F7006" s="423">
        <v>4.0761274418947382E-5</v>
      </c>
      <c r="G7006" s="422">
        <v>14.891197711853881</v>
      </c>
      <c r="H7006" s="417" t="s">
        <v>2616</v>
      </c>
      <c r="I7006" s="417" t="s">
        <v>1392</v>
      </c>
      <c r="J7006" s="417" t="s">
        <v>15692</v>
      </c>
      <c r="K7006" s="417" t="s">
        <v>16485</v>
      </c>
      <c r="L7006" s="417"/>
      <c r="M7006" s="417" t="s">
        <v>28840</v>
      </c>
    </row>
    <row r="7007" spans="1:13" x14ac:dyDescent="0.25">
      <c r="A7007" s="417" t="s">
        <v>3385</v>
      </c>
      <c r="B7007" s="417" t="s">
        <v>2627</v>
      </c>
      <c r="C7007" s="417" t="s">
        <v>16486</v>
      </c>
      <c r="D7007" s="417" t="s">
        <v>73</v>
      </c>
      <c r="E7007" s="423">
        <v>2.939355387436587E-3</v>
      </c>
      <c r="F7007" s="423">
        <v>3.9481609241150879E-5</v>
      </c>
      <c r="G7007" s="422">
        <v>14.21305307018527</v>
      </c>
      <c r="H7007" s="417" t="s">
        <v>2616</v>
      </c>
      <c r="I7007" s="417" t="s">
        <v>1392</v>
      </c>
      <c r="J7007" s="417" t="s">
        <v>15692</v>
      </c>
      <c r="K7007" s="417" t="s">
        <v>16487</v>
      </c>
      <c r="L7007" s="417"/>
      <c r="M7007" s="417" t="s">
        <v>28840</v>
      </c>
    </row>
    <row r="7008" spans="1:13" x14ac:dyDescent="0.25">
      <c r="A7008" s="417" t="s">
        <v>3385</v>
      </c>
      <c r="B7008" s="417" t="s">
        <v>2627</v>
      </c>
      <c r="C7008" s="417" t="s">
        <v>16488</v>
      </c>
      <c r="D7008" s="417" t="s">
        <v>73</v>
      </c>
      <c r="E7008" s="423">
        <v>2.9541265973795461E-3</v>
      </c>
      <c r="F7008" s="423">
        <v>3.8523465411202677E-5</v>
      </c>
      <c r="G7008" s="422">
        <v>14.22198913696255</v>
      </c>
      <c r="H7008" s="417" t="s">
        <v>2616</v>
      </c>
      <c r="I7008" s="417" t="s">
        <v>1392</v>
      </c>
      <c r="J7008" s="417" t="s">
        <v>15692</v>
      </c>
      <c r="K7008" s="417" t="s">
        <v>16489</v>
      </c>
      <c r="L7008" s="417"/>
      <c r="M7008" s="417" t="s">
        <v>28840</v>
      </c>
    </row>
    <row r="7009" spans="1:13" x14ac:dyDescent="0.25">
      <c r="A7009" s="417" t="s">
        <v>3385</v>
      </c>
      <c r="B7009" s="417" t="s">
        <v>2627</v>
      </c>
      <c r="C7009" s="417" t="s">
        <v>16490</v>
      </c>
      <c r="D7009" s="417" t="s">
        <v>73</v>
      </c>
      <c r="E7009" s="423">
        <v>1.125125144250148E-2</v>
      </c>
      <c r="F7009" s="423">
        <v>2.2447298434091759E-4</v>
      </c>
      <c r="G7009" s="422">
        <v>26.224322036831079</v>
      </c>
      <c r="H7009" s="417" t="s">
        <v>2616</v>
      </c>
      <c r="I7009" s="417" t="s">
        <v>1392</v>
      </c>
      <c r="J7009" s="417" t="s">
        <v>15692</v>
      </c>
      <c r="K7009" s="417" t="s">
        <v>16491</v>
      </c>
      <c r="L7009" s="417"/>
      <c r="M7009" s="417" t="s">
        <v>28840</v>
      </c>
    </row>
    <row r="7010" spans="1:13" x14ac:dyDescent="0.25">
      <c r="A7010" s="417" t="s">
        <v>3385</v>
      </c>
      <c r="B7010" s="417" t="s">
        <v>2627</v>
      </c>
      <c r="C7010" s="417" t="s">
        <v>16492</v>
      </c>
      <c r="D7010" s="417" t="s">
        <v>73</v>
      </c>
      <c r="E7010" s="423">
        <v>2.5674952560185101E-3</v>
      </c>
      <c r="F7010" s="423">
        <v>3.7212711611420671E-5</v>
      </c>
      <c r="G7010" s="422">
        <v>13.73054075823849</v>
      </c>
      <c r="H7010" s="417" t="s">
        <v>2616</v>
      </c>
      <c r="I7010" s="417" t="s">
        <v>1392</v>
      </c>
      <c r="J7010" s="417" t="s">
        <v>15692</v>
      </c>
      <c r="K7010" s="417" t="s">
        <v>16493</v>
      </c>
      <c r="L7010" s="417"/>
      <c r="M7010" s="417" t="s">
        <v>28840</v>
      </c>
    </row>
    <row r="7011" spans="1:13" x14ac:dyDescent="0.25">
      <c r="A7011" s="417" t="s">
        <v>3385</v>
      </c>
      <c r="B7011" s="417" t="s">
        <v>2627</v>
      </c>
      <c r="C7011" s="417" t="s">
        <v>16494</v>
      </c>
      <c r="D7011" s="417" t="s">
        <v>73</v>
      </c>
      <c r="E7011" s="423">
        <v>1.272647959999953E-2</v>
      </c>
      <c r="F7011" s="423">
        <v>2.3562815603057701E-4</v>
      </c>
      <c r="G7011" s="422">
        <v>28.208475790661272</v>
      </c>
      <c r="H7011" s="417" t="s">
        <v>2616</v>
      </c>
      <c r="I7011" s="417" t="s">
        <v>1392</v>
      </c>
      <c r="J7011" s="417" t="s">
        <v>15692</v>
      </c>
      <c r="K7011" s="417" t="s">
        <v>16495</v>
      </c>
      <c r="L7011" s="417"/>
      <c r="M7011" s="417" t="s">
        <v>28840</v>
      </c>
    </row>
    <row r="7012" spans="1:13" x14ac:dyDescent="0.25">
      <c r="A7012" s="417" t="s">
        <v>3385</v>
      </c>
      <c r="B7012" s="417" t="s">
        <v>2627</v>
      </c>
      <c r="C7012" s="417" t="s">
        <v>16496</v>
      </c>
      <c r="D7012" s="417" t="s">
        <v>73</v>
      </c>
      <c r="E7012" s="423">
        <v>3.949846109110834E-3</v>
      </c>
      <c r="F7012" s="423">
        <v>5.9032298429928373E-5</v>
      </c>
      <c r="G7012" s="422">
        <v>15.646913757504491</v>
      </c>
      <c r="H7012" s="417" t="s">
        <v>2616</v>
      </c>
      <c r="I7012" s="417" t="s">
        <v>1392</v>
      </c>
      <c r="J7012" s="417" t="s">
        <v>15692</v>
      </c>
      <c r="K7012" s="417" t="s">
        <v>16497</v>
      </c>
      <c r="L7012" s="417"/>
      <c r="M7012" s="417" t="s">
        <v>28840</v>
      </c>
    </row>
    <row r="7013" spans="1:13" x14ac:dyDescent="0.25">
      <c r="A7013" s="417" t="s">
        <v>3385</v>
      </c>
      <c r="B7013" s="417" t="s">
        <v>2627</v>
      </c>
      <c r="C7013" s="417" t="s">
        <v>16498</v>
      </c>
      <c r="D7013" s="417" t="s">
        <v>73</v>
      </c>
      <c r="E7013" s="423">
        <v>3.0053064700856732E-3</v>
      </c>
      <c r="F7013" s="423">
        <v>4.0147389312873572E-5</v>
      </c>
      <c r="G7013" s="422">
        <v>14.301970285247339</v>
      </c>
      <c r="H7013" s="417" t="s">
        <v>2616</v>
      </c>
      <c r="I7013" s="417" t="s">
        <v>1392</v>
      </c>
      <c r="J7013" s="417" t="s">
        <v>15692</v>
      </c>
      <c r="K7013" s="417" t="s">
        <v>16499</v>
      </c>
      <c r="L7013" s="417"/>
      <c r="M7013" s="417" t="s">
        <v>28840</v>
      </c>
    </row>
    <row r="7014" spans="1:13" x14ac:dyDescent="0.25">
      <c r="A7014" s="417" t="s">
        <v>3385</v>
      </c>
      <c r="B7014" s="417" t="s">
        <v>2627</v>
      </c>
      <c r="C7014" s="417" t="s">
        <v>16500</v>
      </c>
      <c r="D7014" s="417" t="s">
        <v>73</v>
      </c>
      <c r="E7014" s="423">
        <v>3.6828196505260449E-3</v>
      </c>
      <c r="F7014" s="423">
        <v>5.0190606022961962E-5</v>
      </c>
      <c r="G7014" s="422">
        <v>15.2353703509471</v>
      </c>
      <c r="H7014" s="417" t="s">
        <v>2616</v>
      </c>
      <c r="I7014" s="417" t="s">
        <v>1392</v>
      </c>
      <c r="J7014" s="417" t="s">
        <v>15692</v>
      </c>
      <c r="K7014" s="417" t="s">
        <v>16501</v>
      </c>
      <c r="L7014" s="417"/>
      <c r="M7014" s="417" t="s">
        <v>28840</v>
      </c>
    </row>
    <row r="7015" spans="1:13" x14ac:dyDescent="0.25">
      <c r="A7015" s="417" t="s">
        <v>3385</v>
      </c>
      <c r="B7015" s="417" t="s">
        <v>2627</v>
      </c>
      <c r="C7015" s="417" t="s">
        <v>16502</v>
      </c>
      <c r="D7015" s="417" t="s">
        <v>73</v>
      </c>
      <c r="E7015" s="423">
        <v>1.5889115834828951E-2</v>
      </c>
      <c r="F7015" s="423">
        <v>4.0405785801747601E-4</v>
      </c>
      <c r="G7015" s="422">
        <v>33.575510007493719</v>
      </c>
      <c r="H7015" s="417" t="s">
        <v>2616</v>
      </c>
      <c r="I7015" s="417" t="s">
        <v>1392</v>
      </c>
      <c r="J7015" s="417" t="s">
        <v>15692</v>
      </c>
      <c r="K7015" s="417" t="s">
        <v>16503</v>
      </c>
      <c r="L7015" s="417"/>
      <c r="M7015" s="417" t="s">
        <v>28840</v>
      </c>
    </row>
    <row r="7016" spans="1:13" x14ac:dyDescent="0.25">
      <c r="A7016" s="417" t="s">
        <v>3385</v>
      </c>
      <c r="B7016" s="417" t="s">
        <v>2627</v>
      </c>
      <c r="C7016" s="417" t="s">
        <v>16504</v>
      </c>
      <c r="D7016" s="417" t="s">
        <v>73</v>
      </c>
      <c r="E7016" s="423">
        <v>3.8837877846031308E-3</v>
      </c>
      <c r="F7016" s="423">
        <v>4.944610351981351E-5</v>
      </c>
      <c r="G7016" s="422">
        <v>15.47686951890838</v>
      </c>
      <c r="H7016" s="417" t="s">
        <v>2616</v>
      </c>
      <c r="I7016" s="417" t="s">
        <v>1392</v>
      </c>
      <c r="J7016" s="417" t="s">
        <v>15692</v>
      </c>
      <c r="K7016" s="417" t="s">
        <v>16505</v>
      </c>
      <c r="L7016" s="417"/>
      <c r="M7016" s="417" t="s">
        <v>28840</v>
      </c>
    </row>
    <row r="7017" spans="1:13" x14ac:dyDescent="0.25">
      <c r="A7017" s="417" t="s">
        <v>3385</v>
      </c>
      <c r="B7017" s="417" t="s">
        <v>2627</v>
      </c>
      <c r="C7017" s="417" t="s">
        <v>16506</v>
      </c>
      <c r="D7017" s="417" t="s">
        <v>73</v>
      </c>
      <c r="E7017" s="423">
        <v>4.282557109359428E-3</v>
      </c>
      <c r="F7017" s="423">
        <v>6.3283557560013171E-5</v>
      </c>
      <c r="G7017" s="422">
        <v>16.10828736502323</v>
      </c>
      <c r="H7017" s="417" t="s">
        <v>2616</v>
      </c>
      <c r="I7017" s="417" t="s">
        <v>1392</v>
      </c>
      <c r="J7017" s="417" t="s">
        <v>15692</v>
      </c>
      <c r="K7017" s="417" t="s">
        <v>16507</v>
      </c>
      <c r="L7017" s="417"/>
      <c r="M7017" s="417" t="s">
        <v>28840</v>
      </c>
    </row>
    <row r="7018" spans="1:13" x14ac:dyDescent="0.25">
      <c r="A7018" s="417" t="s">
        <v>3385</v>
      </c>
      <c r="B7018" s="417" t="s">
        <v>2627</v>
      </c>
      <c r="C7018" s="417" t="s">
        <v>16508</v>
      </c>
      <c r="D7018" s="417" t="s">
        <v>73</v>
      </c>
      <c r="E7018" s="423">
        <v>2.7020641067325808E-3</v>
      </c>
      <c r="F7018" s="423">
        <v>3.7307788346589473E-5</v>
      </c>
      <c r="G7018" s="422">
        <v>13.90059130211149</v>
      </c>
      <c r="H7018" s="417" t="s">
        <v>2616</v>
      </c>
      <c r="I7018" s="417" t="s">
        <v>1392</v>
      </c>
      <c r="J7018" s="417" t="s">
        <v>15692</v>
      </c>
      <c r="K7018" s="417" t="s">
        <v>16509</v>
      </c>
      <c r="L7018" s="417"/>
      <c r="M7018" s="417" t="s">
        <v>28840</v>
      </c>
    </row>
    <row r="7019" spans="1:13" x14ac:dyDescent="0.25">
      <c r="A7019" s="417" t="s">
        <v>3385</v>
      </c>
      <c r="B7019" s="417" t="s">
        <v>2627</v>
      </c>
      <c r="C7019" s="417" t="s">
        <v>16510</v>
      </c>
      <c r="D7019" s="417" t="s">
        <v>73</v>
      </c>
      <c r="E7019" s="423">
        <v>1.125548600402807E-2</v>
      </c>
      <c r="F7019" s="423">
        <v>1.5728875961399481E-4</v>
      </c>
      <c r="G7019" s="422">
        <v>25.71218080669037</v>
      </c>
      <c r="H7019" s="417" t="s">
        <v>2616</v>
      </c>
      <c r="I7019" s="417" t="s">
        <v>1392</v>
      </c>
      <c r="J7019" s="417" t="s">
        <v>15692</v>
      </c>
      <c r="K7019" s="417" t="s">
        <v>16511</v>
      </c>
      <c r="L7019" s="417"/>
      <c r="M7019" s="417" t="s">
        <v>28840</v>
      </c>
    </row>
    <row r="7020" spans="1:13" x14ac:dyDescent="0.25">
      <c r="A7020" s="417" t="s">
        <v>3385</v>
      </c>
      <c r="B7020" s="417" t="s">
        <v>2627</v>
      </c>
      <c r="C7020" s="417" t="s">
        <v>16512</v>
      </c>
      <c r="D7020" s="417" t="s">
        <v>73</v>
      </c>
      <c r="E7020" s="423">
        <v>2.5674952560185101E-3</v>
      </c>
      <c r="F7020" s="423">
        <v>3.7212711611420671E-5</v>
      </c>
      <c r="G7020" s="422">
        <v>13.73054075823849</v>
      </c>
      <c r="H7020" s="417" t="s">
        <v>2616</v>
      </c>
      <c r="I7020" s="417" t="s">
        <v>1392</v>
      </c>
      <c r="J7020" s="417" t="s">
        <v>15692</v>
      </c>
      <c r="K7020" s="417" t="s">
        <v>16513</v>
      </c>
      <c r="L7020" s="417"/>
      <c r="M7020" s="417" t="s">
        <v>28840</v>
      </c>
    </row>
    <row r="7021" spans="1:13" x14ac:dyDescent="0.25">
      <c r="A7021" s="417" t="s">
        <v>3385</v>
      </c>
      <c r="B7021" s="417" t="s">
        <v>2627</v>
      </c>
      <c r="C7021" s="417" t="s">
        <v>16514</v>
      </c>
      <c r="D7021" s="417" t="s">
        <v>73</v>
      </c>
      <c r="E7021" s="423">
        <v>1.210978293278527E-2</v>
      </c>
      <c r="F7021" s="423">
        <v>2.048685716435111E-4</v>
      </c>
      <c r="G7021" s="422">
        <v>27.165311933421862</v>
      </c>
      <c r="H7021" s="417" t="s">
        <v>2616</v>
      </c>
      <c r="I7021" s="417" t="s">
        <v>1392</v>
      </c>
      <c r="J7021" s="417" t="s">
        <v>15692</v>
      </c>
      <c r="K7021" s="417" t="s">
        <v>16515</v>
      </c>
      <c r="L7021" s="417"/>
      <c r="M7021" s="417" t="s">
        <v>28840</v>
      </c>
    </row>
    <row r="7022" spans="1:13" x14ac:dyDescent="0.25">
      <c r="A7022" s="417" t="s">
        <v>3385</v>
      </c>
      <c r="B7022" s="417" t="s">
        <v>2627</v>
      </c>
      <c r="C7022" s="417" t="s">
        <v>16516</v>
      </c>
      <c r="D7022" s="417" t="s">
        <v>73</v>
      </c>
      <c r="E7022" s="423">
        <v>1.250583056025777E-2</v>
      </c>
      <c r="F7022" s="423">
        <v>2.238772462814751E-4</v>
      </c>
      <c r="G7022" s="422">
        <v>27.834031539806411</v>
      </c>
      <c r="H7022" s="417" t="s">
        <v>2616</v>
      </c>
      <c r="I7022" s="417" t="s">
        <v>1392</v>
      </c>
      <c r="J7022" s="417" t="s">
        <v>15692</v>
      </c>
      <c r="K7022" s="417" t="s">
        <v>16517</v>
      </c>
      <c r="L7022" s="417"/>
      <c r="M7022" s="417" t="s">
        <v>28840</v>
      </c>
    </row>
    <row r="7023" spans="1:13" x14ac:dyDescent="0.25">
      <c r="A7023" s="417" t="s">
        <v>3385</v>
      </c>
      <c r="B7023" s="417" t="s">
        <v>2627</v>
      </c>
      <c r="C7023" s="417" t="s">
        <v>16518</v>
      </c>
      <c r="D7023" s="417" t="s">
        <v>73</v>
      </c>
      <c r="E7023" s="423">
        <v>1.6330413914157411E-2</v>
      </c>
      <c r="F7023" s="423">
        <v>4.2755967699213178E-4</v>
      </c>
      <c r="G7023" s="422">
        <v>34.324398506262312</v>
      </c>
      <c r="H7023" s="417" t="s">
        <v>2616</v>
      </c>
      <c r="I7023" s="417" t="s">
        <v>1392</v>
      </c>
      <c r="J7023" s="417" t="s">
        <v>15692</v>
      </c>
      <c r="K7023" s="417" t="s">
        <v>16519</v>
      </c>
      <c r="L7023" s="417"/>
      <c r="M7023" s="417" t="s">
        <v>28840</v>
      </c>
    </row>
    <row r="7024" spans="1:13" x14ac:dyDescent="0.25">
      <c r="A7024" s="417" t="s">
        <v>3385</v>
      </c>
      <c r="B7024" s="417" t="s">
        <v>2627</v>
      </c>
      <c r="C7024" s="417" t="s">
        <v>16520</v>
      </c>
      <c r="D7024" s="417" t="s">
        <v>83</v>
      </c>
      <c r="E7024" s="423">
        <v>0.76035794302656023</v>
      </c>
      <c r="F7024" s="423">
        <v>1.665634489927971E-2</v>
      </c>
      <c r="G7024" s="422">
        <v>1508.6139514119791</v>
      </c>
      <c r="H7024" s="417" t="s">
        <v>2616</v>
      </c>
      <c r="I7024" s="417" t="s">
        <v>1392</v>
      </c>
      <c r="J7024" s="417" t="s">
        <v>14271</v>
      </c>
      <c r="K7024" s="417" t="s">
        <v>16521</v>
      </c>
      <c r="L7024" s="417"/>
      <c r="M7024" s="417" t="s">
        <v>28840</v>
      </c>
    </row>
    <row r="7025" spans="1:13" x14ac:dyDescent="0.25">
      <c r="A7025" s="417" t="s">
        <v>3385</v>
      </c>
      <c r="B7025" s="417" t="s">
        <v>2627</v>
      </c>
      <c r="C7025" s="417" t="s">
        <v>16522</v>
      </c>
      <c r="D7025" s="417" t="s">
        <v>83</v>
      </c>
      <c r="E7025" s="423">
        <v>0.73877275605430648</v>
      </c>
      <c r="F7025" s="423">
        <v>1.5527011191175751E-2</v>
      </c>
      <c r="G7025" s="422">
        <v>1472.039947504903</v>
      </c>
      <c r="H7025" s="417" t="s">
        <v>2616</v>
      </c>
      <c r="I7025" s="417" t="s">
        <v>1392</v>
      </c>
      <c r="J7025" s="417" t="s">
        <v>14271</v>
      </c>
      <c r="K7025" s="417" t="s">
        <v>16523</v>
      </c>
      <c r="L7025" s="417"/>
      <c r="M7025" s="417" t="s">
        <v>28840</v>
      </c>
    </row>
    <row r="7026" spans="1:13" x14ac:dyDescent="0.25">
      <c r="A7026" s="417" t="s">
        <v>3385</v>
      </c>
      <c r="B7026" s="417" t="s">
        <v>2627</v>
      </c>
      <c r="C7026" s="417" t="s">
        <v>16524</v>
      </c>
      <c r="D7026" s="417" t="s">
        <v>83</v>
      </c>
      <c r="E7026" s="423">
        <v>0.73067831094155811</v>
      </c>
      <c r="F7026" s="423">
        <v>1.510351105048483E-2</v>
      </c>
      <c r="G7026" s="422">
        <v>1458.3246955174029</v>
      </c>
      <c r="H7026" s="417" t="s">
        <v>2616</v>
      </c>
      <c r="I7026" s="417" t="s">
        <v>1392</v>
      </c>
      <c r="J7026" s="417" t="s">
        <v>14271</v>
      </c>
      <c r="K7026" s="417" t="s">
        <v>16525</v>
      </c>
      <c r="L7026" s="417"/>
      <c r="M7026" s="417" t="s">
        <v>28840</v>
      </c>
    </row>
    <row r="7027" spans="1:13" x14ac:dyDescent="0.25">
      <c r="A7027" s="417" t="s">
        <v>3385</v>
      </c>
      <c r="B7027" s="417" t="s">
        <v>2627</v>
      </c>
      <c r="C7027" s="417" t="s">
        <v>16526</v>
      </c>
      <c r="D7027" s="417" t="s">
        <v>83</v>
      </c>
      <c r="E7027" s="423">
        <v>0.52561903478904026</v>
      </c>
      <c r="F7027" s="423">
        <v>4.3748408235275531E-3</v>
      </c>
      <c r="G7027" s="422">
        <v>1110.8716544552231</v>
      </c>
      <c r="H7027" s="417" t="s">
        <v>2616</v>
      </c>
      <c r="I7027" s="417" t="s">
        <v>1392</v>
      </c>
      <c r="J7027" s="417" t="s">
        <v>14271</v>
      </c>
      <c r="K7027" s="417" t="s">
        <v>16527</v>
      </c>
      <c r="L7027" s="417"/>
      <c r="M7027" s="417" t="s">
        <v>28840</v>
      </c>
    </row>
    <row r="7028" spans="1:13" x14ac:dyDescent="0.25">
      <c r="A7028" s="417" t="s">
        <v>3385</v>
      </c>
      <c r="B7028" s="417" t="s">
        <v>2627</v>
      </c>
      <c r="C7028" s="417" t="s">
        <v>16528</v>
      </c>
      <c r="D7028" s="417" t="s">
        <v>83</v>
      </c>
      <c r="E7028" s="423">
        <v>0.71718756909097092</v>
      </c>
      <c r="F7028" s="423">
        <v>1.4397677482863211E-2</v>
      </c>
      <c r="G7028" s="422">
        <v>1435.465942979572</v>
      </c>
      <c r="H7028" s="417" t="s">
        <v>2616</v>
      </c>
      <c r="I7028" s="417" t="s">
        <v>1392</v>
      </c>
      <c r="J7028" s="417" t="s">
        <v>14271</v>
      </c>
      <c r="K7028" s="417" t="s">
        <v>16529</v>
      </c>
      <c r="L7028" s="417"/>
      <c r="M7028" s="417" t="s">
        <v>28840</v>
      </c>
    </row>
    <row r="7029" spans="1:13" x14ac:dyDescent="0.25">
      <c r="A7029" s="417" t="s">
        <v>3385</v>
      </c>
      <c r="B7029" s="417" t="s">
        <v>2627</v>
      </c>
      <c r="C7029" s="417" t="s">
        <v>16530</v>
      </c>
      <c r="D7029" s="417" t="s">
        <v>83</v>
      </c>
      <c r="E7029" s="423">
        <v>0.5687894087184111</v>
      </c>
      <c r="F7029" s="423">
        <v>6.6335082396315817E-3</v>
      </c>
      <c r="G7029" s="422">
        <v>1184.0196631224651</v>
      </c>
      <c r="H7029" s="417" t="s">
        <v>2616</v>
      </c>
      <c r="I7029" s="417" t="s">
        <v>1392</v>
      </c>
      <c r="J7029" s="417" t="s">
        <v>14271</v>
      </c>
      <c r="K7029" s="417" t="s">
        <v>16531</v>
      </c>
      <c r="L7029" s="417"/>
      <c r="M7029" s="417" t="s">
        <v>28840</v>
      </c>
    </row>
    <row r="7030" spans="1:13" x14ac:dyDescent="0.25">
      <c r="A7030" s="417" t="s">
        <v>3385</v>
      </c>
      <c r="B7030" s="417" t="s">
        <v>2627</v>
      </c>
      <c r="C7030" s="417" t="s">
        <v>16532</v>
      </c>
      <c r="D7030" s="417" t="s">
        <v>83</v>
      </c>
      <c r="E7030" s="423">
        <v>0.82781165228047704</v>
      </c>
      <c r="F7030" s="423">
        <v>2.018551273701958E-2</v>
      </c>
      <c r="G7030" s="422">
        <v>1622.9077149894499</v>
      </c>
      <c r="H7030" s="417" t="s">
        <v>2616</v>
      </c>
      <c r="I7030" s="417" t="s">
        <v>1392</v>
      </c>
      <c r="J7030" s="417" t="s">
        <v>14271</v>
      </c>
      <c r="K7030" s="417" t="s">
        <v>16533</v>
      </c>
      <c r="L7030" s="417"/>
      <c r="M7030" s="417" t="s">
        <v>28840</v>
      </c>
    </row>
    <row r="7031" spans="1:13" x14ac:dyDescent="0.25">
      <c r="A7031" s="417" t="s">
        <v>3385</v>
      </c>
      <c r="B7031" s="417" t="s">
        <v>2627</v>
      </c>
      <c r="C7031" s="417" t="s">
        <v>16534</v>
      </c>
      <c r="D7031" s="417" t="s">
        <v>83</v>
      </c>
      <c r="E7031" s="423">
        <v>0.80892461369174329</v>
      </c>
      <c r="F7031" s="423">
        <v>1.9197345742492711E-2</v>
      </c>
      <c r="G7031" s="422">
        <v>1590.9054611775421</v>
      </c>
      <c r="H7031" s="417" t="s">
        <v>2616</v>
      </c>
      <c r="I7031" s="417" t="s">
        <v>1392</v>
      </c>
      <c r="J7031" s="417" t="s">
        <v>14271</v>
      </c>
      <c r="K7031" s="417" t="s">
        <v>16535</v>
      </c>
      <c r="L7031" s="417"/>
      <c r="M7031" s="417" t="s">
        <v>28840</v>
      </c>
    </row>
    <row r="7032" spans="1:13" x14ac:dyDescent="0.25">
      <c r="A7032" s="417" t="s">
        <v>3385</v>
      </c>
      <c r="B7032" s="417" t="s">
        <v>2627</v>
      </c>
      <c r="C7032" s="417" t="s">
        <v>16536</v>
      </c>
      <c r="D7032" s="417" t="s">
        <v>83</v>
      </c>
      <c r="E7032" s="423">
        <v>0.56069496360348614</v>
      </c>
      <c r="F7032" s="423">
        <v>6.2100080989089326E-3</v>
      </c>
      <c r="G7032" s="422">
        <v>1170.3044115489599</v>
      </c>
      <c r="H7032" s="417" t="s">
        <v>2616</v>
      </c>
      <c r="I7032" s="417" t="s">
        <v>1392</v>
      </c>
      <c r="J7032" s="417" t="s">
        <v>14271</v>
      </c>
      <c r="K7032" s="417" t="s">
        <v>16537</v>
      </c>
      <c r="L7032" s="417"/>
      <c r="M7032" s="417" t="s">
        <v>28840</v>
      </c>
    </row>
    <row r="7033" spans="1:13" x14ac:dyDescent="0.25">
      <c r="A7033" s="417" t="s">
        <v>3385</v>
      </c>
      <c r="B7033" s="417" t="s">
        <v>2627</v>
      </c>
      <c r="C7033" s="417" t="s">
        <v>16538</v>
      </c>
      <c r="D7033" s="417" t="s">
        <v>83</v>
      </c>
      <c r="E7033" s="423">
        <v>0.52561903478904026</v>
      </c>
      <c r="F7033" s="423">
        <v>4.3748408235275531E-3</v>
      </c>
      <c r="G7033" s="422">
        <v>1110.8716544552231</v>
      </c>
      <c r="H7033" s="417" t="s">
        <v>2616</v>
      </c>
      <c r="I7033" s="417" t="s">
        <v>1392</v>
      </c>
      <c r="J7033" s="417" t="s">
        <v>14271</v>
      </c>
      <c r="K7033" s="417" t="s">
        <v>16539</v>
      </c>
      <c r="L7033" s="417"/>
      <c r="M7033" s="417" t="s">
        <v>28840</v>
      </c>
    </row>
    <row r="7034" spans="1:13" x14ac:dyDescent="0.25">
      <c r="A7034" s="417" t="s">
        <v>3385</v>
      </c>
      <c r="B7034" s="417" t="s">
        <v>2627</v>
      </c>
      <c r="C7034" s="417" t="s">
        <v>16540</v>
      </c>
      <c r="D7034" s="417" t="s">
        <v>83</v>
      </c>
      <c r="E7034" s="423">
        <v>0.52561903478904026</v>
      </c>
      <c r="F7034" s="423">
        <v>4.3748408235275531E-3</v>
      </c>
      <c r="G7034" s="422">
        <v>1110.8716544552231</v>
      </c>
      <c r="H7034" s="417" t="s">
        <v>2616</v>
      </c>
      <c r="I7034" s="417" t="s">
        <v>1392</v>
      </c>
      <c r="J7034" s="417" t="s">
        <v>14271</v>
      </c>
      <c r="K7034" s="417" t="s">
        <v>16541</v>
      </c>
      <c r="L7034" s="417"/>
      <c r="M7034" s="417" t="s">
        <v>28840</v>
      </c>
    </row>
    <row r="7035" spans="1:13" x14ac:dyDescent="0.25">
      <c r="A7035" s="417" t="s">
        <v>3385</v>
      </c>
      <c r="B7035" s="417" t="s">
        <v>2627</v>
      </c>
      <c r="C7035" s="417" t="s">
        <v>16542</v>
      </c>
      <c r="D7035" s="417" t="s">
        <v>83</v>
      </c>
      <c r="E7035" s="423">
        <v>0.72258386583699252</v>
      </c>
      <c r="F7035" s="423">
        <v>1.4680010909998769E-2</v>
      </c>
      <c r="G7035" s="422">
        <v>1444.6094439436381</v>
      </c>
      <c r="H7035" s="417" t="s">
        <v>2616</v>
      </c>
      <c r="I7035" s="417" t="s">
        <v>1392</v>
      </c>
      <c r="J7035" s="417" t="s">
        <v>14271</v>
      </c>
      <c r="K7035" s="417" t="s">
        <v>16543</v>
      </c>
      <c r="L7035" s="417"/>
      <c r="M7035" s="417" t="s">
        <v>28840</v>
      </c>
    </row>
    <row r="7036" spans="1:13" x14ac:dyDescent="0.25">
      <c r="A7036" s="417" t="s">
        <v>3385</v>
      </c>
      <c r="B7036" s="417" t="s">
        <v>2627</v>
      </c>
      <c r="C7036" s="417" t="s">
        <v>16544</v>
      </c>
      <c r="D7036" s="417" t="s">
        <v>83</v>
      </c>
      <c r="E7036" s="423">
        <v>0.69560238212599834</v>
      </c>
      <c r="F7036" s="423">
        <v>1.326834377493457E-2</v>
      </c>
      <c r="G7036" s="422">
        <v>1398.8919382277179</v>
      </c>
      <c r="H7036" s="417" t="s">
        <v>2616</v>
      </c>
      <c r="I7036" s="417" t="s">
        <v>1392</v>
      </c>
      <c r="J7036" s="417" t="s">
        <v>14271</v>
      </c>
      <c r="K7036" s="417" t="s">
        <v>16545</v>
      </c>
      <c r="L7036" s="417"/>
      <c r="M7036" s="417" t="s">
        <v>28840</v>
      </c>
    </row>
    <row r="7037" spans="1:13" x14ac:dyDescent="0.25">
      <c r="A7037" s="417" t="s">
        <v>3385</v>
      </c>
      <c r="B7037" s="417" t="s">
        <v>2627</v>
      </c>
      <c r="C7037" s="417" t="s">
        <v>16546</v>
      </c>
      <c r="D7037" s="417" t="s">
        <v>83</v>
      </c>
      <c r="E7037" s="423">
        <v>0.76305609139506525</v>
      </c>
      <c r="F7037" s="423">
        <v>1.67975116128194E-2</v>
      </c>
      <c r="G7037" s="422">
        <v>1513.18570207532</v>
      </c>
      <c r="H7037" s="417" t="s">
        <v>2616</v>
      </c>
      <c r="I7037" s="417" t="s">
        <v>1392</v>
      </c>
      <c r="J7037" s="417" t="s">
        <v>14271</v>
      </c>
      <c r="K7037" s="417" t="s">
        <v>16547</v>
      </c>
      <c r="L7037" s="417"/>
      <c r="M7037" s="417" t="s">
        <v>28840</v>
      </c>
    </row>
    <row r="7038" spans="1:13" x14ac:dyDescent="0.25">
      <c r="A7038" s="417" t="s">
        <v>3385</v>
      </c>
      <c r="B7038" s="417" t="s">
        <v>2627</v>
      </c>
      <c r="C7038" s="417" t="s">
        <v>16548</v>
      </c>
      <c r="D7038" s="417" t="s">
        <v>73</v>
      </c>
      <c r="E7038" s="423">
        <v>2.1322364401139091E-2</v>
      </c>
      <c r="F7038" s="423">
        <v>4.6285655677826178E-4</v>
      </c>
      <c r="G7038" s="422">
        <v>42.153119851033289</v>
      </c>
      <c r="H7038" s="417" t="s">
        <v>2616</v>
      </c>
      <c r="I7038" s="417" t="s">
        <v>1392</v>
      </c>
      <c r="J7038" s="417" t="s">
        <v>15692</v>
      </c>
      <c r="K7038" s="417" t="s">
        <v>16549</v>
      </c>
      <c r="L7038" s="417"/>
      <c r="M7038" s="417" t="s">
        <v>28840</v>
      </c>
    </row>
    <row r="7039" spans="1:13" x14ac:dyDescent="0.25">
      <c r="A7039" s="417" t="s">
        <v>3385</v>
      </c>
      <c r="B7039" s="417" t="s">
        <v>2627</v>
      </c>
      <c r="C7039" s="417" t="s">
        <v>16550</v>
      </c>
      <c r="D7039" s="417" t="s">
        <v>73</v>
      </c>
      <c r="E7039" s="423">
        <v>2.07227063221498E-2</v>
      </c>
      <c r="F7039" s="423">
        <v>4.314825370347839E-4</v>
      </c>
      <c r="G7039" s="422">
        <v>41.137057446005151</v>
      </c>
      <c r="H7039" s="417" t="s">
        <v>2616</v>
      </c>
      <c r="I7039" s="417" t="s">
        <v>1392</v>
      </c>
      <c r="J7039" s="417" t="s">
        <v>15692</v>
      </c>
      <c r="K7039" s="417" t="s">
        <v>16551</v>
      </c>
      <c r="L7039" s="417"/>
      <c r="M7039" s="417" t="s">
        <v>28840</v>
      </c>
    </row>
    <row r="7040" spans="1:13" x14ac:dyDescent="0.25">
      <c r="A7040" s="417" t="s">
        <v>3385</v>
      </c>
      <c r="B7040" s="417" t="s">
        <v>2627</v>
      </c>
      <c r="C7040" s="417" t="s">
        <v>16552</v>
      </c>
      <c r="D7040" s="417" t="s">
        <v>73</v>
      </c>
      <c r="E7040" s="423">
        <v>2.049783454249782E-2</v>
      </c>
      <c r="F7040" s="423">
        <v>4.1971727963109959E-4</v>
      </c>
      <c r="G7040" s="422">
        <v>40.756034045734062</v>
      </c>
      <c r="H7040" s="417" t="s">
        <v>2616</v>
      </c>
      <c r="I7040" s="417" t="s">
        <v>1392</v>
      </c>
      <c r="J7040" s="417" t="s">
        <v>15692</v>
      </c>
      <c r="K7040" s="417" t="s">
        <v>16553</v>
      </c>
      <c r="L7040" s="417"/>
      <c r="M7040" s="417" t="s">
        <v>28840</v>
      </c>
    </row>
    <row r="7041" spans="1:13" x14ac:dyDescent="0.25">
      <c r="A7041" s="417" t="s">
        <v>3385</v>
      </c>
      <c r="B7041" s="417" t="s">
        <v>2627</v>
      </c>
      <c r="C7041" s="417" t="s">
        <v>16554</v>
      </c>
      <c r="D7041" s="417" t="s">
        <v>73</v>
      </c>
      <c r="E7041" s="423">
        <v>9.5631748670919284E-3</v>
      </c>
      <c r="F7041" s="423">
        <v>7.6198576764638875E-5</v>
      </c>
      <c r="G7041" s="422">
        <v>24.031107508263482</v>
      </c>
      <c r="H7041" s="417" t="s">
        <v>2616</v>
      </c>
      <c r="I7041" s="417" t="s">
        <v>1392</v>
      </c>
      <c r="J7041" s="417" t="s">
        <v>15692</v>
      </c>
      <c r="K7041" s="417" t="s">
        <v>16555</v>
      </c>
      <c r="L7041" s="417"/>
      <c r="M7041" s="417" t="s">
        <v>28840</v>
      </c>
    </row>
    <row r="7042" spans="1:13" x14ac:dyDescent="0.25">
      <c r="A7042" s="417" t="s">
        <v>3385</v>
      </c>
      <c r="B7042" s="417" t="s">
        <v>2627</v>
      </c>
      <c r="C7042" s="417" t="s">
        <v>16556</v>
      </c>
      <c r="D7042" s="417" t="s">
        <v>73</v>
      </c>
      <c r="E7042" s="423">
        <v>2.0123048243079929E-2</v>
      </c>
      <c r="F7042" s="423">
        <v>4.0010851729358003E-4</v>
      </c>
      <c r="G7042" s="422">
        <v>40.120995025408703</v>
      </c>
      <c r="H7042" s="417" t="s">
        <v>2616</v>
      </c>
      <c r="I7042" s="417" t="s">
        <v>1392</v>
      </c>
      <c r="J7042" s="417" t="s">
        <v>15692</v>
      </c>
      <c r="K7042" s="417" t="s">
        <v>16557</v>
      </c>
      <c r="L7042" s="417"/>
      <c r="M7042" s="417" t="s">
        <v>28840</v>
      </c>
    </row>
    <row r="7043" spans="1:13" x14ac:dyDescent="0.25">
      <c r="A7043" s="417" t="s">
        <v>3385</v>
      </c>
      <c r="B7043" s="417" t="s">
        <v>2627</v>
      </c>
      <c r="C7043" s="417" t="s">
        <v>16558</v>
      </c>
      <c r="D7043" s="417" t="s">
        <v>73</v>
      </c>
      <c r="E7043" s="423">
        <v>1.600039894967702E-2</v>
      </c>
      <c r="F7043" s="423">
        <v>1.8441213154197131E-4</v>
      </c>
      <c r="G7043" s="422">
        <v>33.135565929845477</v>
      </c>
      <c r="H7043" s="417" t="s">
        <v>2616</v>
      </c>
      <c r="I7043" s="417" t="s">
        <v>1392</v>
      </c>
      <c r="J7043" s="417" t="s">
        <v>15692</v>
      </c>
      <c r="K7043" s="417" t="s">
        <v>16559</v>
      </c>
      <c r="L7043" s="417"/>
      <c r="M7043" s="417" t="s">
        <v>28840</v>
      </c>
    </row>
    <row r="7044" spans="1:13" x14ac:dyDescent="0.25">
      <c r="A7044" s="417" t="s">
        <v>3385</v>
      </c>
      <c r="B7044" s="417" t="s">
        <v>2627</v>
      </c>
      <c r="C7044" s="417" t="s">
        <v>16560</v>
      </c>
      <c r="D7044" s="417" t="s">
        <v>73</v>
      </c>
      <c r="E7044" s="423">
        <v>2.319629589819712E-2</v>
      </c>
      <c r="F7044" s="423">
        <v>5.6090036848703746E-4</v>
      </c>
      <c r="G7044" s="422">
        <v>45.328314900123473</v>
      </c>
      <c r="H7044" s="417" t="s">
        <v>2616</v>
      </c>
      <c r="I7044" s="417" t="s">
        <v>1392</v>
      </c>
      <c r="J7044" s="417" t="s">
        <v>15692</v>
      </c>
      <c r="K7044" s="417" t="s">
        <v>16561</v>
      </c>
      <c r="L7044" s="417"/>
      <c r="M7044" s="417" t="s">
        <v>28840</v>
      </c>
    </row>
    <row r="7045" spans="1:13" x14ac:dyDescent="0.25">
      <c r="A7045" s="417" t="s">
        <v>3385</v>
      </c>
      <c r="B7045" s="417" t="s">
        <v>2627</v>
      </c>
      <c r="C7045" s="417" t="s">
        <v>16562</v>
      </c>
      <c r="D7045" s="417" t="s">
        <v>73</v>
      </c>
      <c r="E7045" s="423">
        <v>2.2671595079131919E-2</v>
      </c>
      <c r="F7045" s="423">
        <v>5.3344810120875444E-4</v>
      </c>
      <c r="G7045" s="422">
        <v>44.439260292625292</v>
      </c>
      <c r="H7045" s="417" t="s">
        <v>2616</v>
      </c>
      <c r="I7045" s="417" t="s">
        <v>1392</v>
      </c>
      <c r="J7045" s="417" t="s">
        <v>15692</v>
      </c>
      <c r="K7045" s="417" t="s">
        <v>16563</v>
      </c>
      <c r="L7045" s="417"/>
      <c r="M7045" s="417" t="s">
        <v>28840</v>
      </c>
    </row>
    <row r="7046" spans="1:13" x14ac:dyDescent="0.25">
      <c r="A7046" s="417" t="s">
        <v>3385</v>
      </c>
      <c r="B7046" s="417" t="s">
        <v>2627</v>
      </c>
      <c r="C7046" s="417" t="s">
        <v>16564</v>
      </c>
      <c r="D7046" s="417" t="s">
        <v>73</v>
      </c>
      <c r="E7046" s="423">
        <v>1.5775527170048331E-2</v>
      </c>
      <c r="F7046" s="423">
        <v>1.7264687413869449E-4</v>
      </c>
      <c r="G7046" s="422">
        <v>32.754542522981012</v>
      </c>
      <c r="H7046" s="417" t="s">
        <v>2616</v>
      </c>
      <c r="I7046" s="417" t="s">
        <v>1392</v>
      </c>
      <c r="J7046" s="417" t="s">
        <v>15692</v>
      </c>
      <c r="K7046" s="417" t="s">
        <v>16565</v>
      </c>
      <c r="L7046" s="417"/>
      <c r="M7046" s="417" t="s">
        <v>28840</v>
      </c>
    </row>
    <row r="7047" spans="1:13" x14ac:dyDescent="0.25">
      <c r="A7047" s="417" t="s">
        <v>3385</v>
      </c>
      <c r="B7047" s="417" t="s">
        <v>2627</v>
      </c>
      <c r="C7047" s="417" t="s">
        <v>16566</v>
      </c>
      <c r="D7047" s="417" t="s">
        <v>73</v>
      </c>
      <c r="E7047" s="423">
        <v>6.8264890958937979E-3</v>
      </c>
      <c r="F7047" s="423">
        <v>5.1321685190463841E-5</v>
      </c>
      <c r="G7047" s="422">
        <v>20.32657097363348</v>
      </c>
      <c r="H7047" s="417" t="s">
        <v>2616</v>
      </c>
      <c r="I7047" s="417" t="s">
        <v>1392</v>
      </c>
      <c r="J7047" s="417" t="s">
        <v>15692</v>
      </c>
      <c r="K7047" s="417" t="s">
        <v>16567</v>
      </c>
      <c r="L7047" s="417"/>
      <c r="M7047" s="417" t="s">
        <v>28840</v>
      </c>
    </row>
    <row r="7048" spans="1:13" x14ac:dyDescent="0.25">
      <c r="A7048" s="417" t="s">
        <v>3385</v>
      </c>
      <c r="B7048" s="417" t="s">
        <v>2627</v>
      </c>
      <c r="C7048" s="417" t="s">
        <v>16568</v>
      </c>
      <c r="D7048" s="417" t="s">
        <v>73</v>
      </c>
      <c r="E7048" s="423">
        <v>1.480108279171013E-2</v>
      </c>
      <c r="F7048" s="423">
        <v>1.216640920576336E-4</v>
      </c>
      <c r="G7048" s="422">
        <v>31.10344110016457</v>
      </c>
      <c r="H7048" s="417" t="s">
        <v>2616</v>
      </c>
      <c r="I7048" s="417" t="s">
        <v>1392</v>
      </c>
      <c r="J7048" s="417" t="s">
        <v>15692</v>
      </c>
      <c r="K7048" s="417" t="s">
        <v>16569</v>
      </c>
      <c r="L7048" s="417"/>
      <c r="M7048" s="417" t="s">
        <v>28840</v>
      </c>
    </row>
    <row r="7049" spans="1:13" x14ac:dyDescent="0.25">
      <c r="A7049" s="417" t="s">
        <v>3385</v>
      </c>
      <c r="B7049" s="417" t="s">
        <v>2627</v>
      </c>
      <c r="C7049" s="417" t="s">
        <v>16570</v>
      </c>
      <c r="D7049" s="417" t="s">
        <v>73</v>
      </c>
      <c r="E7049" s="423">
        <v>9.4696085833833668E-3</v>
      </c>
      <c r="F7049" s="423">
        <v>7.5386430035606015E-5</v>
      </c>
      <c r="G7049" s="422">
        <v>23.904735806325249</v>
      </c>
      <c r="H7049" s="417" t="s">
        <v>2616</v>
      </c>
      <c r="I7049" s="417" t="s">
        <v>1392</v>
      </c>
      <c r="J7049" s="417" t="s">
        <v>15692</v>
      </c>
      <c r="K7049" s="417" t="s">
        <v>16571</v>
      </c>
      <c r="L7049" s="417"/>
      <c r="M7049" s="417" t="s">
        <v>28840</v>
      </c>
    </row>
    <row r="7050" spans="1:13" x14ac:dyDescent="0.25">
      <c r="A7050" s="417" t="s">
        <v>3385</v>
      </c>
      <c r="B7050" s="417" t="s">
        <v>2627</v>
      </c>
      <c r="C7050" s="417" t="s">
        <v>16572</v>
      </c>
      <c r="D7050" s="417" t="s">
        <v>73</v>
      </c>
      <c r="E7050" s="423">
        <v>2.0272962762829E-2</v>
      </c>
      <c r="F7050" s="423">
        <v>4.0795202222716369E-4</v>
      </c>
      <c r="G7050" s="422">
        <v>40.375010614553148</v>
      </c>
      <c r="H7050" s="417" t="s">
        <v>2616</v>
      </c>
      <c r="I7050" s="417" t="s">
        <v>1392</v>
      </c>
      <c r="J7050" s="417" t="s">
        <v>15692</v>
      </c>
      <c r="K7050" s="417" t="s">
        <v>16573</v>
      </c>
      <c r="L7050" s="417"/>
      <c r="M7050" s="417" t="s">
        <v>28840</v>
      </c>
    </row>
    <row r="7051" spans="1:13" x14ac:dyDescent="0.25">
      <c r="A7051" s="417" t="s">
        <v>3385</v>
      </c>
      <c r="B7051" s="417" t="s">
        <v>2627</v>
      </c>
      <c r="C7051" s="417" t="s">
        <v>16574</v>
      </c>
      <c r="D7051" s="417" t="s">
        <v>73</v>
      </c>
      <c r="E7051" s="423">
        <v>1.95233901640091E-2</v>
      </c>
      <c r="F7051" s="423">
        <v>3.6873449754378271E-4</v>
      </c>
      <c r="G7051" s="422">
        <v>39.104932621979273</v>
      </c>
      <c r="H7051" s="417" t="s">
        <v>2616</v>
      </c>
      <c r="I7051" s="417" t="s">
        <v>1392</v>
      </c>
      <c r="J7051" s="417" t="s">
        <v>15692</v>
      </c>
      <c r="K7051" s="417" t="s">
        <v>16575</v>
      </c>
      <c r="L7051" s="417"/>
      <c r="M7051" s="417" t="s">
        <v>28840</v>
      </c>
    </row>
    <row r="7052" spans="1:13" x14ac:dyDescent="0.25">
      <c r="A7052" s="417" t="s">
        <v>3385</v>
      </c>
      <c r="B7052" s="417" t="s">
        <v>2627</v>
      </c>
      <c r="C7052" s="417" t="s">
        <v>16576</v>
      </c>
      <c r="D7052" s="417" t="s">
        <v>73</v>
      </c>
      <c r="E7052" s="423">
        <v>2.1397321661060589E-2</v>
      </c>
      <c r="F7052" s="423">
        <v>4.6677830925230339E-4</v>
      </c>
      <c r="G7052" s="422">
        <v>42.280127658276022</v>
      </c>
      <c r="H7052" s="417" t="s">
        <v>2616</v>
      </c>
      <c r="I7052" s="417" t="s">
        <v>1392</v>
      </c>
      <c r="J7052" s="417" t="s">
        <v>15692</v>
      </c>
      <c r="K7052" s="417" t="s">
        <v>16577</v>
      </c>
      <c r="L7052" s="417"/>
      <c r="M7052" s="417" t="s">
        <v>28840</v>
      </c>
    </row>
    <row r="7053" spans="1:13" x14ac:dyDescent="0.25">
      <c r="A7053" s="417" t="s">
        <v>3385</v>
      </c>
      <c r="B7053" s="417" t="s">
        <v>2627</v>
      </c>
      <c r="C7053" s="417" t="s">
        <v>16578</v>
      </c>
      <c r="D7053" s="417" t="s">
        <v>83</v>
      </c>
      <c r="E7053" s="423">
        <v>0.78243894367719902</v>
      </c>
      <c r="F7053" s="423">
        <v>1.5840537145385799E-2</v>
      </c>
      <c r="G7053" s="422">
        <v>1469.8093174631099</v>
      </c>
      <c r="H7053" s="417" t="s">
        <v>2616</v>
      </c>
      <c r="I7053" s="417" t="s">
        <v>1392</v>
      </c>
      <c r="J7053" s="417" t="s">
        <v>14271</v>
      </c>
      <c r="K7053" s="417" t="s">
        <v>16579</v>
      </c>
      <c r="L7053" s="417"/>
      <c r="M7053" s="417" t="s">
        <v>28840</v>
      </c>
    </row>
    <row r="7054" spans="1:13" x14ac:dyDescent="0.25">
      <c r="A7054" s="417" t="s">
        <v>3385</v>
      </c>
      <c r="B7054" s="417" t="s">
        <v>2627</v>
      </c>
      <c r="C7054" s="417" t="s">
        <v>16580</v>
      </c>
      <c r="D7054" s="417" t="s">
        <v>83</v>
      </c>
      <c r="E7054" s="423">
        <v>1.0614860108299391</v>
      </c>
      <c r="F7054" s="423">
        <v>3.0378220925866419E-2</v>
      </c>
      <c r="G7054" s="422">
        <v>1940.229253095097</v>
      </c>
      <c r="H7054" s="417" t="s">
        <v>2616</v>
      </c>
      <c r="I7054" s="417" t="s">
        <v>1392</v>
      </c>
      <c r="J7054" s="417" t="s">
        <v>14271</v>
      </c>
      <c r="K7054" s="417" t="s">
        <v>16581</v>
      </c>
      <c r="L7054" s="417"/>
      <c r="M7054" s="417" t="s">
        <v>28840</v>
      </c>
    </row>
    <row r="7055" spans="1:13" x14ac:dyDescent="0.25">
      <c r="A7055" s="417" t="s">
        <v>3385</v>
      </c>
      <c r="B7055" s="417" t="s">
        <v>2627</v>
      </c>
      <c r="C7055" s="417" t="s">
        <v>16582</v>
      </c>
      <c r="D7055" s="417" t="s">
        <v>83</v>
      </c>
      <c r="E7055" s="423">
        <v>0.86641851595072716</v>
      </c>
      <c r="F7055" s="423">
        <v>2.0215669894880339E-2</v>
      </c>
      <c r="G7055" s="422">
        <v>1611.3827946593019</v>
      </c>
      <c r="H7055" s="417" t="s">
        <v>2616</v>
      </c>
      <c r="I7055" s="417" t="s">
        <v>1392</v>
      </c>
      <c r="J7055" s="417" t="s">
        <v>14271</v>
      </c>
      <c r="K7055" s="417" t="s">
        <v>16583</v>
      </c>
      <c r="L7055" s="417"/>
      <c r="M7055" s="417" t="s">
        <v>28840</v>
      </c>
    </row>
    <row r="7056" spans="1:13" x14ac:dyDescent="0.25">
      <c r="A7056" s="417" t="s">
        <v>3385</v>
      </c>
      <c r="B7056" s="417" t="s">
        <v>2627</v>
      </c>
      <c r="C7056" s="417" t="s">
        <v>16584</v>
      </c>
      <c r="D7056" s="417" t="s">
        <v>83</v>
      </c>
      <c r="E7056" s="423">
        <v>0.87996362189530364</v>
      </c>
      <c r="F7056" s="423">
        <v>2.0921338850449049E-2</v>
      </c>
      <c r="G7056" s="422">
        <v>1634.2172587720941</v>
      </c>
      <c r="H7056" s="417" t="s">
        <v>2616</v>
      </c>
      <c r="I7056" s="417" t="s">
        <v>1392</v>
      </c>
      <c r="J7056" s="417" t="s">
        <v>14271</v>
      </c>
      <c r="K7056" s="417" t="s">
        <v>16585</v>
      </c>
      <c r="L7056" s="417"/>
      <c r="M7056" s="417" t="s">
        <v>28840</v>
      </c>
    </row>
    <row r="7057" spans="1:13" x14ac:dyDescent="0.25">
      <c r="A7057" s="417" t="s">
        <v>3385</v>
      </c>
      <c r="B7057" s="417" t="s">
        <v>2627</v>
      </c>
      <c r="C7057" s="417" t="s">
        <v>16586</v>
      </c>
      <c r="D7057" s="417" t="s">
        <v>83</v>
      </c>
      <c r="E7057" s="423">
        <v>0.86370940236395455</v>
      </c>
      <c r="F7057" s="423">
        <v>2.007453105091744E-2</v>
      </c>
      <c r="G7057" s="422">
        <v>1606.815761666342</v>
      </c>
      <c r="H7057" s="417" t="s">
        <v>2616</v>
      </c>
      <c r="I7057" s="417" t="s">
        <v>1392</v>
      </c>
      <c r="J7057" s="417" t="s">
        <v>14271</v>
      </c>
      <c r="K7057" s="417" t="s">
        <v>16587</v>
      </c>
      <c r="L7057" s="417"/>
      <c r="M7057" s="417" t="s">
        <v>28840</v>
      </c>
    </row>
    <row r="7058" spans="1:13" x14ac:dyDescent="0.25">
      <c r="A7058" s="417" t="s">
        <v>3385</v>
      </c>
      <c r="B7058" s="417" t="s">
        <v>2627</v>
      </c>
      <c r="C7058" s="417" t="s">
        <v>16588</v>
      </c>
      <c r="D7058" s="417" t="s">
        <v>83</v>
      </c>
      <c r="E7058" s="423">
        <v>0.90705354906701752</v>
      </c>
      <c r="F7058" s="423">
        <v>2.2332657654996452E-2</v>
      </c>
      <c r="G7058" s="422">
        <v>1679.88567994501</v>
      </c>
      <c r="H7058" s="417" t="s">
        <v>2616</v>
      </c>
      <c r="I7058" s="417" t="s">
        <v>1392</v>
      </c>
      <c r="J7058" s="417" t="s">
        <v>14271</v>
      </c>
      <c r="K7058" s="417" t="s">
        <v>16589</v>
      </c>
      <c r="L7058" s="417"/>
      <c r="M7058" s="417" t="s">
        <v>28840</v>
      </c>
    </row>
    <row r="7059" spans="1:13" x14ac:dyDescent="0.25">
      <c r="A7059" s="417" t="s">
        <v>3385</v>
      </c>
      <c r="B7059" s="417" t="s">
        <v>2627</v>
      </c>
      <c r="C7059" s="417" t="s">
        <v>16590</v>
      </c>
      <c r="D7059" s="417" t="s">
        <v>83</v>
      </c>
      <c r="E7059" s="423">
        <v>0.98290611925366245</v>
      </c>
      <c r="F7059" s="423">
        <v>2.628439405546967E-2</v>
      </c>
      <c r="G7059" s="422">
        <v>1807.758609175876</v>
      </c>
      <c r="H7059" s="417" t="s">
        <v>2616</v>
      </c>
      <c r="I7059" s="417" t="s">
        <v>1392</v>
      </c>
      <c r="J7059" s="417" t="s">
        <v>14271</v>
      </c>
      <c r="K7059" s="417" t="s">
        <v>16591</v>
      </c>
      <c r="L7059" s="417"/>
      <c r="M7059" s="417" t="s">
        <v>28840</v>
      </c>
    </row>
    <row r="7060" spans="1:13" x14ac:dyDescent="0.25">
      <c r="A7060" s="417" t="s">
        <v>3385</v>
      </c>
      <c r="B7060" s="417" t="s">
        <v>2627</v>
      </c>
      <c r="C7060" s="417" t="s">
        <v>16592</v>
      </c>
      <c r="D7060" s="417" t="s">
        <v>83</v>
      </c>
      <c r="E7060" s="423">
        <v>1.0235228720793881</v>
      </c>
      <c r="F7060" s="423">
        <v>2.8400431331263829E-2</v>
      </c>
      <c r="G7060" s="422">
        <v>1876.230681956006</v>
      </c>
      <c r="H7060" s="417" t="s">
        <v>2616</v>
      </c>
      <c r="I7060" s="417" t="s">
        <v>1392</v>
      </c>
      <c r="J7060" s="417" t="s">
        <v>14271</v>
      </c>
      <c r="K7060" s="417" t="s">
        <v>16593</v>
      </c>
      <c r="L7060" s="417"/>
      <c r="M7060" s="417" t="s">
        <v>28840</v>
      </c>
    </row>
    <row r="7061" spans="1:13" x14ac:dyDescent="0.25">
      <c r="A7061" s="417" t="s">
        <v>3385</v>
      </c>
      <c r="B7061" s="417" t="s">
        <v>2627</v>
      </c>
      <c r="C7061" s="417" t="s">
        <v>16594</v>
      </c>
      <c r="D7061" s="417" t="s">
        <v>83</v>
      </c>
      <c r="E7061" s="423">
        <v>0.70116849107222134</v>
      </c>
      <c r="F7061" s="423">
        <v>1.160654231756778E-2</v>
      </c>
      <c r="G7061" s="422">
        <v>1332.802941288079</v>
      </c>
      <c r="H7061" s="417" t="s">
        <v>2616</v>
      </c>
      <c r="I7061" s="417" t="s">
        <v>1392</v>
      </c>
      <c r="J7061" s="417" t="s">
        <v>14271</v>
      </c>
      <c r="K7061" s="417" t="s">
        <v>16595</v>
      </c>
      <c r="L7061" s="417"/>
      <c r="M7061" s="417" t="s">
        <v>28840</v>
      </c>
    </row>
    <row r="7062" spans="1:13" x14ac:dyDescent="0.25">
      <c r="A7062" s="417" t="s">
        <v>3385</v>
      </c>
      <c r="B7062" s="417" t="s">
        <v>2627</v>
      </c>
      <c r="C7062" s="417" t="s">
        <v>16596</v>
      </c>
      <c r="D7062" s="417" t="s">
        <v>83</v>
      </c>
      <c r="E7062" s="423">
        <v>0.86912736506172306</v>
      </c>
      <c r="F7062" s="423">
        <v>2.035679397499111E-2</v>
      </c>
      <c r="G7062" s="422">
        <v>1615.9493975423341</v>
      </c>
      <c r="H7062" s="417" t="s">
        <v>2616</v>
      </c>
      <c r="I7062" s="417" t="s">
        <v>1392</v>
      </c>
      <c r="J7062" s="417" t="s">
        <v>14271</v>
      </c>
      <c r="K7062" s="417" t="s">
        <v>16597</v>
      </c>
      <c r="L7062" s="417"/>
      <c r="M7062" s="417" t="s">
        <v>28840</v>
      </c>
    </row>
    <row r="7063" spans="1:13" x14ac:dyDescent="0.25">
      <c r="A7063" s="417" t="s">
        <v>3385</v>
      </c>
      <c r="B7063" s="417" t="s">
        <v>2627</v>
      </c>
      <c r="C7063" s="417" t="s">
        <v>16598</v>
      </c>
      <c r="D7063" s="417" t="s">
        <v>83</v>
      </c>
      <c r="E7063" s="423">
        <v>0.93414370919679235</v>
      </c>
      <c r="F7063" s="423">
        <v>2.3743992475866591E-2</v>
      </c>
      <c r="G7063" s="422">
        <v>1725.5545106953541</v>
      </c>
      <c r="H7063" s="417" t="s">
        <v>2616</v>
      </c>
      <c r="I7063" s="417" t="s">
        <v>1392</v>
      </c>
      <c r="J7063" s="417" t="s">
        <v>14271</v>
      </c>
      <c r="K7063" s="417" t="s">
        <v>16599</v>
      </c>
      <c r="L7063" s="417"/>
      <c r="M7063" s="417" t="s">
        <v>28840</v>
      </c>
    </row>
    <row r="7064" spans="1:13" x14ac:dyDescent="0.25">
      <c r="A7064" s="417" t="s">
        <v>3385</v>
      </c>
      <c r="B7064" s="417" t="s">
        <v>2627</v>
      </c>
      <c r="C7064" s="417" t="s">
        <v>16600</v>
      </c>
      <c r="D7064" s="417" t="s">
        <v>83</v>
      </c>
      <c r="E7064" s="423">
        <v>1.045194972946063</v>
      </c>
      <c r="F7064" s="423">
        <v>2.9529491087043249E-2</v>
      </c>
      <c r="G7064" s="422">
        <v>1912.7656534684511</v>
      </c>
      <c r="H7064" s="417" t="s">
        <v>2616</v>
      </c>
      <c r="I7064" s="417" t="s">
        <v>1392</v>
      </c>
      <c r="J7064" s="417" t="s">
        <v>14271</v>
      </c>
      <c r="K7064" s="417" t="s">
        <v>16601</v>
      </c>
      <c r="L7064" s="417"/>
      <c r="M7064" s="417" t="s">
        <v>28840</v>
      </c>
    </row>
    <row r="7065" spans="1:13" x14ac:dyDescent="0.25">
      <c r="A7065" s="417" t="s">
        <v>3385</v>
      </c>
      <c r="B7065" s="417" t="s">
        <v>2627</v>
      </c>
      <c r="C7065" s="417" t="s">
        <v>16602</v>
      </c>
      <c r="D7065" s="417" t="s">
        <v>73</v>
      </c>
      <c r="E7065" s="423">
        <v>2.1937788414992582E-2</v>
      </c>
      <c r="F7065" s="423">
        <v>4.4018637246837902E-4</v>
      </c>
      <c r="G7065" s="422">
        <v>41.07419497462682</v>
      </c>
      <c r="H7065" s="417" t="s">
        <v>2616</v>
      </c>
      <c r="I7065" s="417" t="s">
        <v>1392</v>
      </c>
      <c r="J7065" s="417" t="s">
        <v>15692</v>
      </c>
      <c r="K7065" s="417" t="s">
        <v>16603</v>
      </c>
      <c r="L7065" s="417"/>
      <c r="M7065" s="417" t="s">
        <v>28840</v>
      </c>
    </row>
    <row r="7066" spans="1:13" x14ac:dyDescent="0.25">
      <c r="A7066" s="417" t="s">
        <v>3385</v>
      </c>
      <c r="B7066" s="417" t="s">
        <v>2627</v>
      </c>
      <c r="C7066" s="417" t="s">
        <v>16604</v>
      </c>
      <c r="D7066" s="417" t="s">
        <v>73</v>
      </c>
      <c r="E7066" s="423">
        <v>2.9689996427839972E-2</v>
      </c>
      <c r="F7066" s="423">
        <v>8.4405783995193542E-4</v>
      </c>
      <c r="G7066" s="422">
        <v>54.142933248473277</v>
      </c>
      <c r="H7066" s="417" t="s">
        <v>2616</v>
      </c>
      <c r="I7066" s="417" t="s">
        <v>1392</v>
      </c>
      <c r="J7066" s="417" t="s">
        <v>15692</v>
      </c>
      <c r="K7066" s="417" t="s">
        <v>16605</v>
      </c>
      <c r="L7066" s="417"/>
      <c r="M7066" s="417" t="s">
        <v>28840</v>
      </c>
    </row>
    <row r="7067" spans="1:13" x14ac:dyDescent="0.25">
      <c r="A7067" s="417" t="s">
        <v>3385</v>
      </c>
      <c r="B7067" s="417" t="s">
        <v>2627</v>
      </c>
      <c r="C7067" s="417" t="s">
        <v>16606</v>
      </c>
      <c r="D7067" s="417" t="s">
        <v>73</v>
      </c>
      <c r="E7067" s="423">
        <v>2.4270822776964591E-2</v>
      </c>
      <c r="F7067" s="423">
        <v>5.6173193727087451E-4</v>
      </c>
      <c r="G7067" s="422">
        <v>45.007244272055942</v>
      </c>
      <c r="H7067" s="417" t="s">
        <v>2616</v>
      </c>
      <c r="I7067" s="417" t="s">
        <v>1392</v>
      </c>
      <c r="J7067" s="417" t="s">
        <v>15692</v>
      </c>
      <c r="K7067" s="417" t="s">
        <v>16607</v>
      </c>
      <c r="L7067" s="417"/>
      <c r="M7067" s="417" t="s">
        <v>28840</v>
      </c>
    </row>
    <row r="7068" spans="1:13" x14ac:dyDescent="0.25">
      <c r="A7068" s="417" t="s">
        <v>3385</v>
      </c>
      <c r="B7068" s="417" t="s">
        <v>2627</v>
      </c>
      <c r="C7068" s="417" t="s">
        <v>16608</v>
      </c>
      <c r="D7068" s="417" t="s">
        <v>73</v>
      </c>
      <c r="E7068" s="423">
        <v>2.4647118304078348E-2</v>
      </c>
      <c r="F7068" s="423">
        <v>5.8133591094973989E-4</v>
      </c>
      <c r="G7068" s="422">
        <v>45.64160380288898</v>
      </c>
      <c r="H7068" s="417" t="s">
        <v>2616</v>
      </c>
      <c r="I7068" s="417" t="s">
        <v>1392</v>
      </c>
      <c r="J7068" s="417" t="s">
        <v>15692</v>
      </c>
      <c r="K7068" s="417" t="s">
        <v>16609</v>
      </c>
      <c r="L7068" s="417"/>
      <c r="M7068" s="417" t="s">
        <v>28840</v>
      </c>
    </row>
    <row r="7069" spans="1:13" x14ac:dyDescent="0.25">
      <c r="A7069" s="417" t="s">
        <v>3385</v>
      </c>
      <c r="B7069" s="417" t="s">
        <v>2627</v>
      </c>
      <c r="C7069" s="417" t="s">
        <v>16610</v>
      </c>
      <c r="D7069" s="417" t="s">
        <v>73</v>
      </c>
      <c r="E7069" s="423">
        <v>2.4195564304256231E-2</v>
      </c>
      <c r="F7069" s="423">
        <v>5.5781108974870528E-4</v>
      </c>
      <c r="G7069" s="422">
        <v>44.880371664035543</v>
      </c>
      <c r="H7069" s="417" t="s">
        <v>2616</v>
      </c>
      <c r="I7069" s="417" t="s">
        <v>1392</v>
      </c>
      <c r="J7069" s="417" t="s">
        <v>15692</v>
      </c>
      <c r="K7069" s="417" t="s">
        <v>16611</v>
      </c>
      <c r="L7069" s="417"/>
      <c r="M7069" s="417" t="s">
        <v>28840</v>
      </c>
    </row>
    <row r="7070" spans="1:13" x14ac:dyDescent="0.25">
      <c r="A7070" s="417" t="s">
        <v>3385</v>
      </c>
      <c r="B7070" s="417" t="s">
        <v>2627</v>
      </c>
      <c r="C7070" s="417" t="s">
        <v>16612</v>
      </c>
      <c r="D7070" s="417" t="s">
        <v>73</v>
      </c>
      <c r="E7070" s="423">
        <v>1.372414011909669E-2</v>
      </c>
      <c r="F7070" s="423">
        <v>2.4603281966020237E-4</v>
      </c>
      <c r="G7070" s="422">
        <v>29.126950536641282</v>
      </c>
      <c r="H7070" s="417" t="s">
        <v>2616</v>
      </c>
      <c r="I7070" s="417" t="s">
        <v>1392</v>
      </c>
      <c r="J7070" s="417" t="s">
        <v>15692</v>
      </c>
      <c r="K7070" s="417" t="s">
        <v>16613</v>
      </c>
      <c r="L7070" s="417"/>
      <c r="M7070" s="417" t="s">
        <v>28840</v>
      </c>
    </row>
    <row r="7071" spans="1:13" x14ac:dyDescent="0.25">
      <c r="A7071" s="417" t="s">
        <v>3385</v>
      </c>
      <c r="B7071" s="417" t="s">
        <v>2627</v>
      </c>
      <c r="C7071" s="417" t="s">
        <v>16614</v>
      </c>
      <c r="D7071" s="417" t="s">
        <v>73</v>
      </c>
      <c r="E7071" s="423">
        <v>2.7506960680787049E-2</v>
      </c>
      <c r="F7071" s="423">
        <v>7.3032667406472927E-4</v>
      </c>
      <c r="G7071" s="422">
        <v>50.462750816989107</v>
      </c>
      <c r="H7071" s="417" t="s">
        <v>2616</v>
      </c>
      <c r="I7071" s="417" t="s">
        <v>1392</v>
      </c>
      <c r="J7071" s="417" t="s">
        <v>15692</v>
      </c>
      <c r="K7071" s="417" t="s">
        <v>16615</v>
      </c>
      <c r="L7071" s="417"/>
      <c r="M7071" s="417" t="s">
        <v>28840</v>
      </c>
    </row>
    <row r="7072" spans="1:13" x14ac:dyDescent="0.25">
      <c r="A7072" s="417" t="s">
        <v>3385</v>
      </c>
      <c r="B7072" s="417" t="s">
        <v>2627</v>
      </c>
      <c r="C7072" s="417" t="s">
        <v>16616</v>
      </c>
      <c r="D7072" s="417" t="s">
        <v>73</v>
      </c>
      <c r="E7072" s="423">
        <v>2.8635338345270631E-2</v>
      </c>
      <c r="F7072" s="423">
        <v>7.8911248852015989E-4</v>
      </c>
      <c r="G7072" s="422">
        <v>52.364979177873273</v>
      </c>
      <c r="H7072" s="417" t="s">
        <v>2616</v>
      </c>
      <c r="I7072" s="417" t="s">
        <v>1392</v>
      </c>
      <c r="J7072" s="417" t="s">
        <v>15692</v>
      </c>
      <c r="K7072" s="417" t="s">
        <v>16617</v>
      </c>
      <c r="L7072" s="417"/>
      <c r="M7072" s="417" t="s">
        <v>28840</v>
      </c>
    </row>
    <row r="7073" spans="1:13" x14ac:dyDescent="0.25">
      <c r="A7073" s="417" t="s">
        <v>3385</v>
      </c>
      <c r="B7073" s="417" t="s">
        <v>2627</v>
      </c>
      <c r="C7073" s="417" t="s">
        <v>16618</v>
      </c>
      <c r="D7073" s="417" t="s">
        <v>73</v>
      </c>
      <c r="E7073" s="423">
        <v>1.9680014614542121E-2</v>
      </c>
      <c r="F7073" s="423">
        <v>3.2256178911354352E-4</v>
      </c>
      <c r="G7073" s="422">
        <v>37.268020898158071</v>
      </c>
      <c r="H7073" s="417" t="s">
        <v>2616</v>
      </c>
      <c r="I7073" s="417" t="s">
        <v>1392</v>
      </c>
      <c r="J7073" s="417" t="s">
        <v>15692</v>
      </c>
      <c r="K7073" s="417" t="s">
        <v>16619</v>
      </c>
      <c r="L7073" s="417"/>
      <c r="M7073" s="417" t="s">
        <v>28840</v>
      </c>
    </row>
    <row r="7074" spans="1:13" x14ac:dyDescent="0.25">
      <c r="A7074" s="417" t="s">
        <v>3385</v>
      </c>
      <c r="B7074" s="417" t="s">
        <v>2627</v>
      </c>
      <c r="C7074" s="417" t="s">
        <v>16620</v>
      </c>
      <c r="D7074" s="417" t="s">
        <v>73</v>
      </c>
      <c r="E7074" s="423">
        <v>2.434608548221082E-2</v>
      </c>
      <c r="F7074" s="423">
        <v>5.6565285221336697E-4</v>
      </c>
      <c r="G7074" s="422">
        <v>45.134121509003243</v>
      </c>
      <c r="H7074" s="417" t="s">
        <v>2616</v>
      </c>
      <c r="I7074" s="417" t="s">
        <v>1392</v>
      </c>
      <c r="J7074" s="417" t="s">
        <v>15692</v>
      </c>
      <c r="K7074" s="417" t="s">
        <v>16621</v>
      </c>
      <c r="L7074" s="417"/>
      <c r="M7074" s="417" t="s">
        <v>28840</v>
      </c>
    </row>
    <row r="7075" spans="1:13" x14ac:dyDescent="0.25">
      <c r="A7075" s="417" t="s">
        <v>3385</v>
      </c>
      <c r="B7075" s="417" t="s">
        <v>2627</v>
      </c>
      <c r="C7075" s="417" t="s">
        <v>16622</v>
      </c>
      <c r="D7075" s="417" t="s">
        <v>73</v>
      </c>
      <c r="E7075" s="423">
        <v>7.711024653462714E-3</v>
      </c>
      <c r="F7075" s="423">
        <v>4.8586907428139647E-5</v>
      </c>
      <c r="G7075" s="422">
        <v>19.930054993239931</v>
      </c>
      <c r="H7075" s="417" t="s">
        <v>2616</v>
      </c>
      <c r="I7075" s="417" t="s">
        <v>1392</v>
      </c>
      <c r="J7075" s="417" t="s">
        <v>15692</v>
      </c>
      <c r="K7075" s="417" t="s">
        <v>16623</v>
      </c>
      <c r="L7075" s="417"/>
      <c r="M7075" s="417" t="s">
        <v>28840</v>
      </c>
    </row>
    <row r="7076" spans="1:13" x14ac:dyDescent="0.25">
      <c r="A7076" s="417" t="s">
        <v>3385</v>
      </c>
      <c r="B7076" s="417" t="s">
        <v>2627</v>
      </c>
      <c r="C7076" s="417" t="s">
        <v>16624</v>
      </c>
      <c r="D7076" s="417" t="s">
        <v>73</v>
      </c>
      <c r="E7076" s="423">
        <v>1.086889435380292E-2</v>
      </c>
      <c r="F7076" s="423">
        <v>1.5711858770189619E-4</v>
      </c>
      <c r="G7076" s="422">
        <v>24.800078832349019</v>
      </c>
      <c r="H7076" s="417" t="s">
        <v>2616</v>
      </c>
      <c r="I7076" s="417" t="s">
        <v>1392</v>
      </c>
      <c r="J7076" s="417" t="s">
        <v>15692</v>
      </c>
      <c r="K7076" s="417" t="s">
        <v>16625</v>
      </c>
      <c r="L7076" s="417"/>
      <c r="M7076" s="417" t="s">
        <v>28840</v>
      </c>
    </row>
    <row r="7077" spans="1:13" x14ac:dyDescent="0.25">
      <c r="A7077" s="417" t="s">
        <v>3385</v>
      </c>
      <c r="B7077" s="417" t="s">
        <v>2627</v>
      </c>
      <c r="C7077" s="417" t="s">
        <v>16626</v>
      </c>
      <c r="D7077" s="417" t="s">
        <v>73</v>
      </c>
      <c r="E7077" s="423">
        <v>2.9237411772573111E-2</v>
      </c>
      <c r="F7077" s="423">
        <v>8.2047930448162268E-4</v>
      </c>
      <c r="G7077" s="422">
        <v>53.379962059963617</v>
      </c>
      <c r="H7077" s="417" t="s">
        <v>2616</v>
      </c>
      <c r="I7077" s="417" t="s">
        <v>1392</v>
      </c>
      <c r="J7077" s="417" t="s">
        <v>15692</v>
      </c>
      <c r="K7077" s="417" t="s">
        <v>16627</v>
      </c>
      <c r="L7077" s="417"/>
      <c r="M7077" s="417" t="s">
        <v>28840</v>
      </c>
    </row>
    <row r="7078" spans="1:13" x14ac:dyDescent="0.25">
      <c r="A7078" s="417" t="s">
        <v>3385</v>
      </c>
      <c r="B7078" s="417" t="s">
        <v>2627</v>
      </c>
      <c r="C7078" s="417" t="s">
        <v>16628</v>
      </c>
      <c r="D7078" s="417" t="s">
        <v>73</v>
      </c>
      <c r="E7078" s="423">
        <v>7.1428492975005517E-3</v>
      </c>
      <c r="F7078" s="423">
        <v>6.5747377460711266E-5</v>
      </c>
      <c r="G7078" s="422">
        <v>19.926405384679061</v>
      </c>
      <c r="H7078" s="417" t="s">
        <v>2616</v>
      </c>
      <c r="I7078" s="417" t="s">
        <v>1392</v>
      </c>
      <c r="J7078" s="417" t="s">
        <v>15692</v>
      </c>
      <c r="K7078" s="417" t="s">
        <v>16629</v>
      </c>
      <c r="L7078" s="417"/>
      <c r="M7078" s="417" t="s">
        <v>28840</v>
      </c>
    </row>
    <row r="7079" spans="1:13" x14ac:dyDescent="0.25">
      <c r="A7079" s="417" t="s">
        <v>3385</v>
      </c>
      <c r="B7079" s="417" t="s">
        <v>2627</v>
      </c>
      <c r="C7079" s="417" t="s">
        <v>16630</v>
      </c>
      <c r="D7079" s="417" t="s">
        <v>73</v>
      </c>
      <c r="E7079" s="423">
        <v>7.1428492975005517E-3</v>
      </c>
      <c r="F7079" s="423">
        <v>6.5747377460711266E-5</v>
      </c>
      <c r="G7079" s="422">
        <v>19.926405384679061</v>
      </c>
      <c r="H7079" s="417" t="s">
        <v>2616</v>
      </c>
      <c r="I7079" s="417" t="s">
        <v>1392</v>
      </c>
      <c r="J7079" s="417" t="s">
        <v>15692</v>
      </c>
      <c r="K7079" s="417" t="s">
        <v>16631</v>
      </c>
      <c r="L7079" s="417"/>
      <c r="M7079" s="417" t="s">
        <v>28840</v>
      </c>
    </row>
    <row r="7080" spans="1:13" x14ac:dyDescent="0.25">
      <c r="A7080" s="417" t="s">
        <v>3385</v>
      </c>
      <c r="B7080" s="417" t="s">
        <v>2627</v>
      </c>
      <c r="C7080" s="417" t="s">
        <v>16632</v>
      </c>
      <c r="D7080" s="417" t="s">
        <v>73</v>
      </c>
      <c r="E7080" s="423">
        <v>7.2979310253235442E-3</v>
      </c>
      <c r="F7080" s="423">
        <v>6.6258952382286087E-5</v>
      </c>
      <c r="G7080" s="422">
        <v>20.126282141839329</v>
      </c>
      <c r="H7080" s="417" t="s">
        <v>2616</v>
      </c>
      <c r="I7080" s="417" t="s">
        <v>1392</v>
      </c>
      <c r="J7080" s="417" t="s">
        <v>15692</v>
      </c>
      <c r="K7080" s="417" t="s">
        <v>16633</v>
      </c>
      <c r="L7080" s="417"/>
      <c r="M7080" s="417" t="s">
        <v>28840</v>
      </c>
    </row>
    <row r="7081" spans="1:13" x14ac:dyDescent="0.25">
      <c r="A7081" s="417" t="s">
        <v>3385</v>
      </c>
      <c r="B7081" s="417" t="s">
        <v>2627</v>
      </c>
      <c r="C7081" s="417" t="s">
        <v>16634</v>
      </c>
      <c r="D7081" s="417" t="s">
        <v>73</v>
      </c>
      <c r="E7081" s="423">
        <v>7.1428492975005517E-3</v>
      </c>
      <c r="F7081" s="423">
        <v>6.5747377460711266E-5</v>
      </c>
      <c r="G7081" s="422">
        <v>19.926405384679061</v>
      </c>
      <c r="H7081" s="417" t="s">
        <v>2616</v>
      </c>
      <c r="I7081" s="417" t="s">
        <v>1392</v>
      </c>
      <c r="J7081" s="417" t="s">
        <v>15692</v>
      </c>
      <c r="K7081" s="417" t="s">
        <v>16635</v>
      </c>
      <c r="L7081" s="417"/>
      <c r="M7081" s="417" t="s">
        <v>28840</v>
      </c>
    </row>
    <row r="7082" spans="1:13" x14ac:dyDescent="0.25">
      <c r="A7082" s="417" t="s">
        <v>3385</v>
      </c>
      <c r="B7082" s="417" t="s">
        <v>2627</v>
      </c>
      <c r="C7082" s="417" t="s">
        <v>16636</v>
      </c>
      <c r="D7082" s="417" t="s">
        <v>73</v>
      </c>
      <c r="E7082" s="423">
        <v>7.1428492975005517E-3</v>
      </c>
      <c r="F7082" s="423">
        <v>6.5747377460711266E-5</v>
      </c>
      <c r="G7082" s="422">
        <v>19.926405384679061</v>
      </c>
      <c r="H7082" s="417" t="s">
        <v>2616</v>
      </c>
      <c r="I7082" s="417" t="s">
        <v>1392</v>
      </c>
      <c r="J7082" s="417" t="s">
        <v>15692</v>
      </c>
      <c r="K7082" s="417" t="s">
        <v>16637</v>
      </c>
      <c r="L7082" s="417"/>
      <c r="M7082" s="417" t="s">
        <v>28840</v>
      </c>
    </row>
    <row r="7083" spans="1:13" x14ac:dyDescent="0.25">
      <c r="A7083" s="417" t="s">
        <v>3385</v>
      </c>
      <c r="B7083" s="417" t="s">
        <v>2627</v>
      </c>
      <c r="C7083" s="417" t="s">
        <v>16638</v>
      </c>
      <c r="D7083" s="417" t="s">
        <v>83</v>
      </c>
      <c r="E7083" s="423">
        <v>0.4606639075147172</v>
      </c>
      <c r="F7083" s="423">
        <v>4.1442411173091172E-3</v>
      </c>
      <c r="G7083" s="422">
        <v>1003.365418291897</v>
      </c>
      <c r="H7083" s="417" t="s">
        <v>2616</v>
      </c>
      <c r="I7083" s="417" t="s">
        <v>1392</v>
      </c>
      <c r="J7083" s="417" t="s">
        <v>14271</v>
      </c>
      <c r="K7083" s="417" t="s">
        <v>16639</v>
      </c>
      <c r="L7083" s="417"/>
      <c r="M7083" s="417" t="s">
        <v>28840</v>
      </c>
    </row>
    <row r="7084" spans="1:13" x14ac:dyDescent="0.25">
      <c r="A7084" s="417" t="s">
        <v>3385</v>
      </c>
      <c r="B7084" s="417" t="s">
        <v>2627</v>
      </c>
      <c r="C7084" s="417" t="s">
        <v>16640</v>
      </c>
      <c r="D7084" s="417" t="s">
        <v>83</v>
      </c>
      <c r="E7084" s="423">
        <v>0.88375575918846072</v>
      </c>
      <c r="F7084" s="423">
        <v>2.643716599308028E-2</v>
      </c>
      <c r="G7084" s="422">
        <v>1720.379929845501</v>
      </c>
      <c r="H7084" s="417" t="s">
        <v>2616</v>
      </c>
      <c r="I7084" s="417" t="s">
        <v>1392</v>
      </c>
      <c r="J7084" s="417" t="s">
        <v>14271</v>
      </c>
      <c r="K7084" s="417" t="s">
        <v>16641</v>
      </c>
      <c r="L7084" s="417"/>
      <c r="M7084" s="417" t="s">
        <v>28840</v>
      </c>
    </row>
    <row r="7085" spans="1:13" x14ac:dyDescent="0.25">
      <c r="A7085" s="417" t="s">
        <v>3385</v>
      </c>
      <c r="B7085" s="417" t="s">
        <v>2627</v>
      </c>
      <c r="C7085" s="417" t="s">
        <v>16642</v>
      </c>
      <c r="D7085" s="417" t="s">
        <v>83</v>
      </c>
      <c r="E7085" s="423">
        <v>0.77396610270387578</v>
      </c>
      <c r="F7085" s="423">
        <v>2.0652293158691409E-2</v>
      </c>
      <c r="G7085" s="422">
        <v>1534.319205371002</v>
      </c>
      <c r="H7085" s="417" t="s">
        <v>2616</v>
      </c>
      <c r="I7085" s="417" t="s">
        <v>1392</v>
      </c>
      <c r="J7085" s="417" t="s">
        <v>14271</v>
      </c>
      <c r="K7085" s="417" t="s">
        <v>16643</v>
      </c>
      <c r="L7085" s="417"/>
      <c r="M7085" s="417" t="s">
        <v>28840</v>
      </c>
    </row>
    <row r="7086" spans="1:13" x14ac:dyDescent="0.25">
      <c r="A7086" s="417" t="s">
        <v>3385</v>
      </c>
      <c r="B7086" s="417" t="s">
        <v>2627</v>
      </c>
      <c r="C7086" s="417" t="s">
        <v>16644</v>
      </c>
      <c r="D7086" s="417" t="s">
        <v>83</v>
      </c>
      <c r="E7086" s="423">
        <v>0.71237678456682929</v>
      </c>
      <c r="F7086" s="423">
        <v>1.7407120692304712E-2</v>
      </c>
      <c r="G7086" s="422">
        <v>1429.943677044859</v>
      </c>
      <c r="H7086" s="417" t="s">
        <v>2616</v>
      </c>
      <c r="I7086" s="417" t="s">
        <v>1392</v>
      </c>
      <c r="J7086" s="417" t="s">
        <v>14271</v>
      </c>
      <c r="K7086" s="417" t="s">
        <v>16645</v>
      </c>
      <c r="L7086" s="417"/>
      <c r="M7086" s="417" t="s">
        <v>28840</v>
      </c>
    </row>
    <row r="7087" spans="1:13" x14ac:dyDescent="0.25">
      <c r="A7087" s="417" t="s">
        <v>3385</v>
      </c>
      <c r="B7087" s="417" t="s">
        <v>2627</v>
      </c>
      <c r="C7087" s="417" t="s">
        <v>16646</v>
      </c>
      <c r="D7087" s="417" t="s">
        <v>83</v>
      </c>
      <c r="E7087" s="423">
        <v>0.69363220434528206</v>
      </c>
      <c r="F7087" s="423">
        <v>1.641945923567233E-2</v>
      </c>
      <c r="G7087" s="422">
        <v>1398.177206583576</v>
      </c>
      <c r="H7087" s="417" t="s">
        <v>2616</v>
      </c>
      <c r="I7087" s="417" t="s">
        <v>1392</v>
      </c>
      <c r="J7087" s="417" t="s">
        <v>14271</v>
      </c>
      <c r="K7087" s="417" t="s">
        <v>16647</v>
      </c>
      <c r="L7087" s="417"/>
      <c r="M7087" s="417" t="s">
        <v>28840</v>
      </c>
    </row>
    <row r="7088" spans="1:13" x14ac:dyDescent="0.25">
      <c r="A7088" s="417" t="s">
        <v>3385</v>
      </c>
      <c r="B7088" s="417" t="s">
        <v>2627</v>
      </c>
      <c r="C7088" s="417" t="s">
        <v>16648</v>
      </c>
      <c r="D7088" s="417" t="s">
        <v>83</v>
      </c>
      <c r="E7088" s="423">
        <v>0.68559881443060866</v>
      </c>
      <c r="F7088" s="423">
        <v>1.5996175608097549E-2</v>
      </c>
      <c r="G7088" s="422">
        <v>1384.562999626718</v>
      </c>
      <c r="H7088" s="417" t="s">
        <v>2616</v>
      </c>
      <c r="I7088" s="417" t="s">
        <v>1392</v>
      </c>
      <c r="J7088" s="417" t="s">
        <v>14271</v>
      </c>
      <c r="K7088" s="417" t="s">
        <v>16649</v>
      </c>
      <c r="L7088" s="417"/>
      <c r="M7088" s="417" t="s">
        <v>28840</v>
      </c>
    </row>
    <row r="7089" spans="1:13" x14ac:dyDescent="0.25">
      <c r="A7089" s="417" t="s">
        <v>3385</v>
      </c>
      <c r="B7089" s="417" t="s">
        <v>2627</v>
      </c>
      <c r="C7089" s="417" t="s">
        <v>16650</v>
      </c>
      <c r="D7089" s="417" t="s">
        <v>83</v>
      </c>
      <c r="E7089" s="423">
        <v>0.76057712642426945</v>
      </c>
      <c r="F7089" s="423">
        <v>1.99468210562842E-2</v>
      </c>
      <c r="G7089" s="422">
        <v>1511.628882054948</v>
      </c>
      <c r="H7089" s="417" t="s">
        <v>2616</v>
      </c>
      <c r="I7089" s="417" t="s">
        <v>1392</v>
      </c>
      <c r="J7089" s="417" t="s">
        <v>14271</v>
      </c>
      <c r="K7089" s="417" t="s">
        <v>16651</v>
      </c>
      <c r="L7089" s="417"/>
      <c r="M7089" s="417" t="s">
        <v>28840</v>
      </c>
    </row>
    <row r="7090" spans="1:13" x14ac:dyDescent="0.25">
      <c r="A7090" s="417" t="s">
        <v>3385</v>
      </c>
      <c r="B7090" s="417" t="s">
        <v>2627</v>
      </c>
      <c r="C7090" s="417" t="s">
        <v>16652</v>
      </c>
      <c r="D7090" s="417" t="s">
        <v>83</v>
      </c>
      <c r="E7090" s="423">
        <v>0.4606639075147172</v>
      </c>
      <c r="F7090" s="423">
        <v>4.1442411173091172E-3</v>
      </c>
      <c r="G7090" s="422">
        <v>1003.365418291897</v>
      </c>
      <c r="H7090" s="417" t="s">
        <v>2616</v>
      </c>
      <c r="I7090" s="417" t="s">
        <v>1392</v>
      </c>
      <c r="J7090" s="417" t="s">
        <v>14271</v>
      </c>
      <c r="K7090" s="417" t="s">
        <v>16653</v>
      </c>
      <c r="L7090" s="417"/>
      <c r="M7090" s="417" t="s">
        <v>28840</v>
      </c>
    </row>
    <row r="7091" spans="1:13" x14ac:dyDescent="0.25">
      <c r="A7091" s="417" t="s">
        <v>3385</v>
      </c>
      <c r="B7091" s="417" t="s">
        <v>2627</v>
      </c>
      <c r="C7091" s="417" t="s">
        <v>16654</v>
      </c>
      <c r="D7091" s="417" t="s">
        <v>83</v>
      </c>
      <c r="E7091" s="423">
        <v>0.5222532281890957</v>
      </c>
      <c r="F7091" s="423">
        <v>7.389413759361284E-3</v>
      </c>
      <c r="G7091" s="422">
        <v>1107.7409496118689</v>
      </c>
      <c r="H7091" s="417" t="s">
        <v>2616</v>
      </c>
      <c r="I7091" s="417" t="s">
        <v>1392</v>
      </c>
      <c r="J7091" s="417" t="s">
        <v>14271</v>
      </c>
      <c r="K7091" s="417" t="s">
        <v>16655</v>
      </c>
      <c r="L7091" s="417"/>
      <c r="M7091" s="417" t="s">
        <v>28840</v>
      </c>
    </row>
    <row r="7092" spans="1:13" x14ac:dyDescent="0.25">
      <c r="A7092" s="417" t="s">
        <v>3385</v>
      </c>
      <c r="B7092" s="417" t="s">
        <v>2627</v>
      </c>
      <c r="C7092" s="417" t="s">
        <v>16656</v>
      </c>
      <c r="D7092" s="417" t="s">
        <v>83</v>
      </c>
      <c r="E7092" s="423">
        <v>0.67488763106087946</v>
      </c>
      <c r="F7092" s="423">
        <v>1.5431797955681279E-2</v>
      </c>
      <c r="G7092" s="422">
        <v>1366.410739759659</v>
      </c>
      <c r="H7092" s="417" t="s">
        <v>2616</v>
      </c>
      <c r="I7092" s="417" t="s">
        <v>1392</v>
      </c>
      <c r="J7092" s="417" t="s">
        <v>14271</v>
      </c>
      <c r="K7092" s="417" t="s">
        <v>16657</v>
      </c>
      <c r="L7092" s="417"/>
      <c r="M7092" s="417" t="s">
        <v>28840</v>
      </c>
    </row>
    <row r="7093" spans="1:13" x14ac:dyDescent="0.25">
      <c r="A7093" s="417" t="s">
        <v>3385</v>
      </c>
      <c r="B7093" s="417" t="s">
        <v>2627</v>
      </c>
      <c r="C7093" s="417" t="s">
        <v>16658</v>
      </c>
      <c r="D7093" s="417" t="s">
        <v>83</v>
      </c>
      <c r="E7093" s="423">
        <v>0.78199948961129273</v>
      </c>
      <c r="F7093" s="423">
        <v>2.107557608137859E-2</v>
      </c>
      <c r="G7093" s="422">
        <v>1547.9333957482761</v>
      </c>
      <c r="H7093" s="417" t="s">
        <v>2616</v>
      </c>
      <c r="I7093" s="417" t="s">
        <v>1392</v>
      </c>
      <c r="J7093" s="417" t="s">
        <v>14271</v>
      </c>
      <c r="K7093" s="417" t="s">
        <v>16659</v>
      </c>
      <c r="L7093" s="417"/>
      <c r="M7093" s="417" t="s">
        <v>28840</v>
      </c>
    </row>
    <row r="7094" spans="1:13" x14ac:dyDescent="0.25">
      <c r="A7094" s="417" t="s">
        <v>3385</v>
      </c>
      <c r="B7094" s="417" t="s">
        <v>2627</v>
      </c>
      <c r="C7094" s="417" t="s">
        <v>16660</v>
      </c>
      <c r="D7094" s="417" t="s">
        <v>83</v>
      </c>
      <c r="E7094" s="423">
        <v>0.7632549116554217</v>
      </c>
      <c r="F7094" s="423">
        <v>2.0087915029509129E-2</v>
      </c>
      <c r="G7094" s="422">
        <v>1516.1669305745129</v>
      </c>
      <c r="H7094" s="417" t="s">
        <v>2616</v>
      </c>
      <c r="I7094" s="417" t="s">
        <v>1392</v>
      </c>
      <c r="J7094" s="417" t="s">
        <v>14271</v>
      </c>
      <c r="K7094" s="417" t="s">
        <v>16661</v>
      </c>
      <c r="L7094" s="417"/>
      <c r="M7094" s="417" t="s">
        <v>28840</v>
      </c>
    </row>
    <row r="7095" spans="1:13" x14ac:dyDescent="0.25">
      <c r="A7095" s="417" t="s">
        <v>3385</v>
      </c>
      <c r="B7095" s="417" t="s">
        <v>2627</v>
      </c>
      <c r="C7095" s="417" t="s">
        <v>16662</v>
      </c>
      <c r="D7095" s="417" t="s">
        <v>83</v>
      </c>
      <c r="E7095" s="423">
        <v>0.47673068673374203</v>
      </c>
      <c r="F7095" s="423">
        <v>4.9908078873220811E-3</v>
      </c>
      <c r="G7095" s="422">
        <v>1030.593817552417</v>
      </c>
      <c r="H7095" s="417" t="s">
        <v>2616</v>
      </c>
      <c r="I7095" s="417" t="s">
        <v>1392</v>
      </c>
      <c r="J7095" s="417" t="s">
        <v>14271</v>
      </c>
      <c r="K7095" s="417" t="s">
        <v>16663</v>
      </c>
      <c r="L7095" s="417"/>
      <c r="M7095" s="417" t="s">
        <v>28840</v>
      </c>
    </row>
    <row r="7096" spans="1:13" x14ac:dyDescent="0.25">
      <c r="A7096" s="417" t="s">
        <v>3385</v>
      </c>
      <c r="B7096" s="417" t="s">
        <v>2627</v>
      </c>
      <c r="C7096" s="417" t="s">
        <v>16664</v>
      </c>
      <c r="D7096" s="417" t="s">
        <v>83</v>
      </c>
      <c r="E7096" s="423">
        <v>0.77396610234652918</v>
      </c>
      <c r="F7096" s="423">
        <v>2.0652293159098618E-2</v>
      </c>
      <c r="G7096" s="422">
        <v>1534.3192053521871</v>
      </c>
      <c r="H7096" s="417" t="s">
        <v>2616</v>
      </c>
      <c r="I7096" s="417" t="s">
        <v>1392</v>
      </c>
      <c r="J7096" s="417" t="s">
        <v>14271</v>
      </c>
      <c r="K7096" s="417" t="s">
        <v>16665</v>
      </c>
      <c r="L7096" s="417"/>
      <c r="M7096" s="417" t="s">
        <v>28840</v>
      </c>
    </row>
    <row r="7097" spans="1:13" x14ac:dyDescent="0.25">
      <c r="A7097" s="417" t="s">
        <v>3385</v>
      </c>
      <c r="B7097" s="417" t="s">
        <v>2627</v>
      </c>
      <c r="C7097" s="417" t="s">
        <v>16666</v>
      </c>
      <c r="D7097" s="417" t="s">
        <v>83</v>
      </c>
      <c r="E7097" s="423">
        <v>0.4606639075147172</v>
      </c>
      <c r="F7097" s="423">
        <v>4.1442411173091172E-3</v>
      </c>
      <c r="G7097" s="422">
        <v>1003.365418291897</v>
      </c>
      <c r="H7097" s="417" t="s">
        <v>2616</v>
      </c>
      <c r="I7097" s="417" t="s">
        <v>1392</v>
      </c>
      <c r="J7097" s="417" t="s">
        <v>14271</v>
      </c>
      <c r="K7097" s="417" t="s">
        <v>16667</v>
      </c>
      <c r="L7097" s="417"/>
      <c r="M7097" s="417" t="s">
        <v>28840</v>
      </c>
    </row>
    <row r="7098" spans="1:13" x14ac:dyDescent="0.25">
      <c r="A7098" s="417" t="s">
        <v>3385</v>
      </c>
      <c r="B7098" s="417" t="s">
        <v>2627</v>
      </c>
      <c r="C7098" s="417" t="s">
        <v>16668</v>
      </c>
      <c r="D7098" s="417" t="s">
        <v>83</v>
      </c>
      <c r="E7098" s="423">
        <v>0.81413305003884151</v>
      </c>
      <c r="F7098" s="423">
        <v>2.276870990053138E-2</v>
      </c>
      <c r="G7098" s="422">
        <v>1602.390197684289</v>
      </c>
      <c r="H7098" s="417" t="s">
        <v>2616</v>
      </c>
      <c r="I7098" s="417" t="s">
        <v>1392</v>
      </c>
      <c r="J7098" s="417" t="s">
        <v>14271</v>
      </c>
      <c r="K7098" s="417" t="s">
        <v>16669</v>
      </c>
      <c r="L7098" s="417"/>
      <c r="M7098" s="417" t="s">
        <v>28840</v>
      </c>
    </row>
    <row r="7099" spans="1:13" x14ac:dyDescent="0.25">
      <c r="A7099" s="417" t="s">
        <v>3385</v>
      </c>
      <c r="B7099" s="417" t="s">
        <v>2627</v>
      </c>
      <c r="C7099" s="417" t="s">
        <v>16670</v>
      </c>
      <c r="D7099" s="417" t="s">
        <v>83</v>
      </c>
      <c r="E7099" s="423">
        <v>0.78511651246145231</v>
      </c>
      <c r="F7099" s="423">
        <v>2.1214191269645119E-2</v>
      </c>
      <c r="G7099" s="422">
        <v>1553.007440781983</v>
      </c>
      <c r="H7099" s="417" t="s">
        <v>2616</v>
      </c>
      <c r="I7099" s="417" t="s">
        <v>1392</v>
      </c>
      <c r="J7099" s="417" t="s">
        <v>15692</v>
      </c>
      <c r="K7099" s="417" t="s">
        <v>16671</v>
      </c>
      <c r="L7099" s="417"/>
      <c r="M7099" s="417" t="s">
        <v>28840</v>
      </c>
    </row>
    <row r="7100" spans="1:13" x14ac:dyDescent="0.25">
      <c r="A7100" s="417" t="s">
        <v>3385</v>
      </c>
      <c r="B7100" s="417" t="s">
        <v>2627</v>
      </c>
      <c r="C7100" s="417" t="s">
        <v>16672</v>
      </c>
      <c r="D7100" s="417" t="s">
        <v>83</v>
      </c>
      <c r="E7100" s="423">
        <v>0.4606639075147172</v>
      </c>
      <c r="F7100" s="423">
        <v>4.1442411173091172E-3</v>
      </c>
      <c r="G7100" s="422">
        <v>1003.365418291897</v>
      </c>
      <c r="H7100" s="417" t="s">
        <v>2616</v>
      </c>
      <c r="I7100" s="417" t="s">
        <v>1392</v>
      </c>
      <c r="J7100" s="417" t="s">
        <v>14271</v>
      </c>
      <c r="K7100" s="417" t="s">
        <v>16673</v>
      </c>
      <c r="L7100" s="417"/>
      <c r="M7100" s="417" t="s">
        <v>28840</v>
      </c>
    </row>
    <row r="7101" spans="1:13" x14ac:dyDescent="0.25">
      <c r="A7101" s="417" t="s">
        <v>3385</v>
      </c>
      <c r="B7101" s="417" t="s">
        <v>2627</v>
      </c>
      <c r="C7101" s="417" t="s">
        <v>16674</v>
      </c>
      <c r="D7101" s="417" t="s">
        <v>83</v>
      </c>
      <c r="E7101" s="423">
        <v>0.67488763149258502</v>
      </c>
      <c r="F7101" s="423">
        <v>1.5431797952762149E-2</v>
      </c>
      <c r="G7101" s="422">
        <v>1366.4107400105111</v>
      </c>
      <c r="H7101" s="417" t="s">
        <v>2616</v>
      </c>
      <c r="I7101" s="417" t="s">
        <v>1392</v>
      </c>
      <c r="J7101" s="417" t="s">
        <v>14271</v>
      </c>
      <c r="K7101" s="417" t="s">
        <v>16675</v>
      </c>
      <c r="L7101" s="417"/>
      <c r="M7101" s="417" t="s">
        <v>28840</v>
      </c>
    </row>
    <row r="7102" spans="1:13" x14ac:dyDescent="0.25">
      <c r="A7102" s="417" t="s">
        <v>3385</v>
      </c>
      <c r="B7102" s="417" t="s">
        <v>2627</v>
      </c>
      <c r="C7102" s="417" t="s">
        <v>16676</v>
      </c>
      <c r="D7102" s="417" t="s">
        <v>83</v>
      </c>
      <c r="E7102" s="423">
        <v>0.7177323774262655</v>
      </c>
      <c r="F7102" s="423">
        <v>1.7689309554443349E-2</v>
      </c>
      <c r="G7102" s="422">
        <v>1439.019810655396</v>
      </c>
      <c r="H7102" s="417" t="s">
        <v>2616</v>
      </c>
      <c r="I7102" s="417" t="s">
        <v>1392</v>
      </c>
      <c r="J7102" s="417" t="s">
        <v>14271</v>
      </c>
      <c r="K7102" s="417" t="s">
        <v>16677</v>
      </c>
      <c r="L7102" s="417"/>
      <c r="M7102" s="417" t="s">
        <v>28840</v>
      </c>
    </row>
    <row r="7103" spans="1:13" x14ac:dyDescent="0.25">
      <c r="A7103" s="417" t="s">
        <v>3385</v>
      </c>
      <c r="B7103" s="417" t="s">
        <v>2627</v>
      </c>
      <c r="C7103" s="417" t="s">
        <v>16678</v>
      </c>
      <c r="D7103" s="417" t="s">
        <v>73</v>
      </c>
      <c r="E7103" s="423">
        <v>6.2703312270993303E-3</v>
      </c>
      <c r="F7103" s="423">
        <v>5.0128852700680903E-5</v>
      </c>
      <c r="G7103" s="422">
        <v>18.94357918544517</v>
      </c>
      <c r="H7103" s="417" t="s">
        <v>2616</v>
      </c>
      <c r="I7103" s="417" t="s">
        <v>1392</v>
      </c>
      <c r="J7103" s="417" t="s">
        <v>15692</v>
      </c>
      <c r="K7103" s="417" t="s">
        <v>16679</v>
      </c>
      <c r="L7103" s="417"/>
      <c r="M7103" s="417" t="s">
        <v>28840</v>
      </c>
    </row>
    <row r="7104" spans="1:13" x14ac:dyDescent="0.25">
      <c r="A7104" s="417" t="s">
        <v>3385</v>
      </c>
      <c r="B7104" s="417" t="s">
        <v>2627</v>
      </c>
      <c r="C7104" s="417" t="s">
        <v>16680</v>
      </c>
      <c r="D7104" s="417" t="s">
        <v>73</v>
      </c>
      <c r="E7104" s="423">
        <v>2.47467479347015E-2</v>
      </c>
      <c r="F7104" s="423">
        <v>7.3456431344891813E-4</v>
      </c>
      <c r="G7104" s="422">
        <v>48.030015037266537</v>
      </c>
      <c r="H7104" s="417" t="s">
        <v>2616</v>
      </c>
      <c r="I7104" s="417" t="s">
        <v>1392</v>
      </c>
      <c r="J7104" s="417" t="s">
        <v>15692</v>
      </c>
      <c r="K7104" s="417" t="s">
        <v>16681</v>
      </c>
      <c r="L7104" s="417"/>
      <c r="M7104" s="417" t="s">
        <v>28840</v>
      </c>
    </row>
    <row r="7105" spans="1:13" x14ac:dyDescent="0.25">
      <c r="A7105" s="417" t="s">
        <v>3385</v>
      </c>
      <c r="B7105" s="417" t="s">
        <v>2627</v>
      </c>
      <c r="C7105" s="417" t="s">
        <v>16682</v>
      </c>
      <c r="D7105" s="417" t="s">
        <v>73</v>
      </c>
      <c r="E7105" s="423">
        <v>2.1696681198941969E-2</v>
      </c>
      <c r="F7105" s="423">
        <v>5.7385474719415686E-4</v>
      </c>
      <c r="G7105" s="422">
        <v>42.861061570128022</v>
      </c>
      <c r="H7105" s="417" t="s">
        <v>2616</v>
      </c>
      <c r="I7105" s="417" t="s">
        <v>1392</v>
      </c>
      <c r="J7105" s="417" t="s">
        <v>15692</v>
      </c>
      <c r="K7105" s="417" t="s">
        <v>16683</v>
      </c>
      <c r="L7105" s="417"/>
      <c r="M7105" s="417" t="s">
        <v>28840</v>
      </c>
    </row>
    <row r="7106" spans="1:13" x14ac:dyDescent="0.25">
      <c r="A7106" s="417" t="s">
        <v>3385</v>
      </c>
      <c r="B7106" s="417" t="s">
        <v>2627</v>
      </c>
      <c r="C7106" s="417" t="s">
        <v>16684</v>
      </c>
      <c r="D7106" s="417" t="s">
        <v>73</v>
      </c>
      <c r="E7106" s="423">
        <v>1.9985668272330771E-2</v>
      </c>
      <c r="F7106" s="423">
        <v>4.8370060491978093E-4</v>
      </c>
      <c r="G7106" s="422">
        <v>39.961404964578158</v>
      </c>
      <c r="H7106" s="417" t="s">
        <v>2616</v>
      </c>
      <c r="I7106" s="417" t="s">
        <v>1392</v>
      </c>
      <c r="J7106" s="417" t="s">
        <v>15692</v>
      </c>
      <c r="K7106" s="417" t="s">
        <v>16685</v>
      </c>
      <c r="L7106" s="417"/>
      <c r="M7106" s="417" t="s">
        <v>28840</v>
      </c>
    </row>
    <row r="7107" spans="1:13" x14ac:dyDescent="0.25">
      <c r="A7107" s="417" t="s">
        <v>3385</v>
      </c>
      <c r="B7107" s="417" t="s">
        <v>2627</v>
      </c>
      <c r="C7107" s="417" t="s">
        <v>16686</v>
      </c>
      <c r="D7107" s="417" t="s">
        <v>73</v>
      </c>
      <c r="E7107" s="423">
        <v>1.9464925198441889E-2</v>
      </c>
      <c r="F7107" s="423">
        <v>4.5626238372840992E-4</v>
      </c>
      <c r="G7107" s="422">
        <v>39.078900674121222</v>
      </c>
      <c r="H7107" s="417" t="s">
        <v>2616</v>
      </c>
      <c r="I7107" s="417" t="s">
        <v>1392</v>
      </c>
      <c r="J7107" s="417" t="s">
        <v>15692</v>
      </c>
      <c r="K7107" s="417" t="s">
        <v>16687</v>
      </c>
      <c r="L7107" s="417"/>
      <c r="M7107" s="417" t="s">
        <v>28840</v>
      </c>
    </row>
    <row r="7108" spans="1:13" x14ac:dyDescent="0.25">
      <c r="A7108" s="417" t="s">
        <v>3385</v>
      </c>
      <c r="B7108" s="417" t="s">
        <v>2627</v>
      </c>
      <c r="C7108" s="417" t="s">
        <v>16688</v>
      </c>
      <c r="D7108" s="417" t="s">
        <v>73</v>
      </c>
      <c r="E7108" s="423">
        <v>1.9241749651066679E-2</v>
      </c>
      <c r="F7108" s="423">
        <v>4.4450315465055181E-4</v>
      </c>
      <c r="G7108" s="422">
        <v>38.700684716283988</v>
      </c>
      <c r="H7108" s="417" t="s">
        <v>2616</v>
      </c>
      <c r="I7108" s="417" t="s">
        <v>1392</v>
      </c>
      <c r="J7108" s="417" t="s">
        <v>15692</v>
      </c>
      <c r="K7108" s="417" t="s">
        <v>16689</v>
      </c>
      <c r="L7108" s="417"/>
      <c r="M7108" s="417" t="s">
        <v>28840</v>
      </c>
    </row>
    <row r="7109" spans="1:13" x14ac:dyDescent="0.25">
      <c r="A7109" s="417" t="s">
        <v>3385</v>
      </c>
      <c r="B7109" s="417" t="s">
        <v>2627</v>
      </c>
      <c r="C7109" s="417" t="s">
        <v>16690</v>
      </c>
      <c r="D7109" s="417" t="s">
        <v>73</v>
      </c>
      <c r="E7109" s="423">
        <v>2.1324721847958309E-2</v>
      </c>
      <c r="F7109" s="423">
        <v>5.5425602479639404E-4</v>
      </c>
      <c r="G7109" s="422">
        <v>42.23070141498021</v>
      </c>
      <c r="H7109" s="417" t="s">
        <v>2616</v>
      </c>
      <c r="I7109" s="417" t="s">
        <v>1392</v>
      </c>
      <c r="J7109" s="417" t="s">
        <v>15692</v>
      </c>
      <c r="K7109" s="417" t="s">
        <v>16691</v>
      </c>
      <c r="L7109" s="417"/>
      <c r="M7109" s="417" t="s">
        <v>28840</v>
      </c>
    </row>
    <row r="7110" spans="1:13" x14ac:dyDescent="0.25">
      <c r="A7110" s="417" t="s">
        <v>3385</v>
      </c>
      <c r="B7110" s="417" t="s">
        <v>2627</v>
      </c>
      <c r="C7110" s="417" t="s">
        <v>16692</v>
      </c>
      <c r="D7110" s="417" t="s">
        <v>73</v>
      </c>
      <c r="E7110" s="423">
        <v>1.059808624426418E-2</v>
      </c>
      <c r="F7110" s="423">
        <v>8.8127132374825164E-5</v>
      </c>
      <c r="G7110" s="422">
        <v>24.760914637171691</v>
      </c>
      <c r="H7110" s="417" t="s">
        <v>2616</v>
      </c>
      <c r="I7110" s="417" t="s">
        <v>1392</v>
      </c>
      <c r="J7110" s="417" t="s">
        <v>15692</v>
      </c>
      <c r="K7110" s="417" t="s">
        <v>16693</v>
      </c>
      <c r="L7110" s="417"/>
      <c r="M7110" s="417" t="s">
        <v>28840</v>
      </c>
    </row>
    <row r="7111" spans="1:13" x14ac:dyDescent="0.25">
      <c r="A7111" s="417" t="s">
        <v>3385</v>
      </c>
      <c r="B7111" s="417" t="s">
        <v>2627</v>
      </c>
      <c r="C7111" s="417" t="s">
        <v>16694</v>
      </c>
      <c r="D7111" s="417" t="s">
        <v>73</v>
      </c>
      <c r="E7111" s="423">
        <v>1.470384586132592E-2</v>
      </c>
      <c r="F7111" s="423">
        <v>2.0539869431750369E-4</v>
      </c>
      <c r="G7111" s="422">
        <v>31.0102910858432</v>
      </c>
      <c r="H7111" s="417" t="s">
        <v>2616</v>
      </c>
      <c r="I7111" s="417" t="s">
        <v>1392</v>
      </c>
      <c r="J7111" s="417" t="s">
        <v>15692</v>
      </c>
      <c r="K7111" s="417" t="s">
        <v>16695</v>
      </c>
      <c r="L7111" s="417"/>
      <c r="M7111" s="417" t="s">
        <v>28840</v>
      </c>
    </row>
    <row r="7112" spans="1:13" x14ac:dyDescent="0.25">
      <c r="A7112" s="417" t="s">
        <v>3385</v>
      </c>
      <c r="B7112" s="417" t="s">
        <v>2627</v>
      </c>
      <c r="C7112" s="417" t="s">
        <v>16696</v>
      </c>
      <c r="D7112" s="417" t="s">
        <v>73</v>
      </c>
      <c r="E7112" s="423">
        <v>1.894418224623309E-2</v>
      </c>
      <c r="F7112" s="423">
        <v>4.2882417469613631E-4</v>
      </c>
      <c r="G7112" s="422">
        <v>38.196396684948112</v>
      </c>
      <c r="H7112" s="417" t="s">
        <v>2616</v>
      </c>
      <c r="I7112" s="417" t="s">
        <v>1392</v>
      </c>
      <c r="J7112" s="417" t="s">
        <v>15692</v>
      </c>
      <c r="K7112" s="417" t="s">
        <v>16697</v>
      </c>
      <c r="L7112" s="417"/>
      <c r="M7112" s="417" t="s">
        <v>28840</v>
      </c>
    </row>
    <row r="7113" spans="1:13" x14ac:dyDescent="0.25">
      <c r="A7113" s="417" t="s">
        <v>3385</v>
      </c>
      <c r="B7113" s="417" t="s">
        <v>2627</v>
      </c>
      <c r="C7113" s="417" t="s">
        <v>16698</v>
      </c>
      <c r="D7113" s="417" t="s">
        <v>73</v>
      </c>
      <c r="E7113" s="423">
        <v>2.1919856665311301E-2</v>
      </c>
      <c r="F7113" s="423">
        <v>5.8561397547964554E-4</v>
      </c>
      <c r="G7113" s="422">
        <v>43.239277420836387</v>
      </c>
      <c r="H7113" s="417" t="s">
        <v>2616</v>
      </c>
      <c r="I7113" s="417" t="s">
        <v>1392</v>
      </c>
      <c r="J7113" s="417" t="s">
        <v>15692</v>
      </c>
      <c r="K7113" s="417" t="s">
        <v>16699</v>
      </c>
      <c r="L7113" s="417"/>
      <c r="M7113" s="417" t="s">
        <v>28840</v>
      </c>
    </row>
    <row r="7114" spans="1:13" x14ac:dyDescent="0.25">
      <c r="A7114" s="417" t="s">
        <v>3385</v>
      </c>
      <c r="B7114" s="417" t="s">
        <v>2627</v>
      </c>
      <c r="C7114" s="417" t="s">
        <v>16700</v>
      </c>
      <c r="D7114" s="417" t="s">
        <v>73</v>
      </c>
      <c r="E7114" s="423">
        <v>2.139911387167355E-2</v>
      </c>
      <c r="F7114" s="423">
        <v>5.5817577393020784E-4</v>
      </c>
      <c r="G7114" s="422">
        <v>42.356773680868727</v>
      </c>
      <c r="H7114" s="417" t="s">
        <v>2616</v>
      </c>
      <c r="I7114" s="417" t="s">
        <v>1392</v>
      </c>
      <c r="J7114" s="417" t="s">
        <v>15692</v>
      </c>
      <c r="K7114" s="417" t="s">
        <v>16701</v>
      </c>
      <c r="L7114" s="417"/>
      <c r="M7114" s="417" t="s">
        <v>28840</v>
      </c>
    </row>
    <row r="7115" spans="1:13" x14ac:dyDescent="0.25">
      <c r="A7115" s="417" t="s">
        <v>3385</v>
      </c>
      <c r="B7115" s="417" t="s">
        <v>2627</v>
      </c>
      <c r="C7115" s="417" t="s">
        <v>16702</v>
      </c>
      <c r="D7115" s="417" t="s">
        <v>73</v>
      </c>
      <c r="E7115" s="423">
        <v>1.343918413738803E-2</v>
      </c>
      <c r="F7115" s="423">
        <v>1.3876302525927579E-4</v>
      </c>
      <c r="G7115" s="422">
        <v>28.86706663156103</v>
      </c>
      <c r="H7115" s="417" t="s">
        <v>2616</v>
      </c>
      <c r="I7115" s="417" t="s">
        <v>1392</v>
      </c>
      <c r="J7115" s="417" t="s">
        <v>15692</v>
      </c>
      <c r="K7115" s="417" t="s">
        <v>16703</v>
      </c>
      <c r="L7115" s="417"/>
      <c r="M7115" s="417" t="s">
        <v>28840</v>
      </c>
    </row>
    <row r="7116" spans="1:13" x14ac:dyDescent="0.25">
      <c r="A7116" s="417" t="s">
        <v>3385</v>
      </c>
      <c r="B7116" s="417" t="s">
        <v>2627</v>
      </c>
      <c r="C7116" s="417" t="s">
        <v>16704</v>
      </c>
      <c r="D7116" s="417" t="s">
        <v>73</v>
      </c>
      <c r="E7116" s="423">
        <v>2.1696681210536729E-2</v>
      </c>
      <c r="F7116" s="423">
        <v>5.7385474715392418E-4</v>
      </c>
      <c r="G7116" s="422">
        <v>42.861061569297448</v>
      </c>
      <c r="H7116" s="417" t="s">
        <v>2616</v>
      </c>
      <c r="I7116" s="417" t="s">
        <v>1392</v>
      </c>
      <c r="J7116" s="417" t="s">
        <v>15692</v>
      </c>
      <c r="K7116" s="417" t="s">
        <v>16705</v>
      </c>
      <c r="L7116" s="417"/>
      <c r="M7116" s="417" t="s">
        <v>28840</v>
      </c>
    </row>
    <row r="7117" spans="1:13" x14ac:dyDescent="0.25">
      <c r="A7117" s="417" t="s">
        <v>3385</v>
      </c>
      <c r="B7117" s="417" t="s">
        <v>2627</v>
      </c>
      <c r="C7117" s="417" t="s">
        <v>16706</v>
      </c>
      <c r="D7117" s="417" t="s">
        <v>73</v>
      </c>
      <c r="E7117" s="423">
        <v>1.2992832946927791E-2</v>
      </c>
      <c r="F7117" s="423">
        <v>1.15244554441522E-4</v>
      </c>
      <c r="G7117" s="422">
        <v>28.110634482216771</v>
      </c>
      <c r="H7117" s="417" t="s">
        <v>2616</v>
      </c>
      <c r="I7117" s="417" t="s">
        <v>1392</v>
      </c>
      <c r="J7117" s="417" t="s">
        <v>15692</v>
      </c>
      <c r="K7117" s="417" t="s">
        <v>16707</v>
      </c>
      <c r="L7117" s="417"/>
      <c r="M7117" s="417" t="s">
        <v>28840</v>
      </c>
    </row>
    <row r="7118" spans="1:13" x14ac:dyDescent="0.25">
      <c r="A7118" s="417" t="s">
        <v>3385</v>
      </c>
      <c r="B7118" s="417" t="s">
        <v>2627</v>
      </c>
      <c r="C7118" s="417" t="s">
        <v>16708</v>
      </c>
      <c r="D7118" s="417" t="s">
        <v>73</v>
      </c>
      <c r="E7118" s="423">
        <v>2.281255922582294E-2</v>
      </c>
      <c r="F7118" s="423">
        <v>6.3265092248328107E-4</v>
      </c>
      <c r="G7118" s="422">
        <v>44.752141919380072</v>
      </c>
      <c r="H7118" s="417" t="s">
        <v>2616</v>
      </c>
      <c r="I7118" s="417" t="s">
        <v>1392</v>
      </c>
      <c r="J7118" s="417" t="s">
        <v>15692</v>
      </c>
      <c r="K7118" s="417" t="s">
        <v>16709</v>
      </c>
      <c r="L7118" s="417"/>
      <c r="M7118" s="417" t="s">
        <v>28840</v>
      </c>
    </row>
    <row r="7119" spans="1:13" x14ac:dyDescent="0.25">
      <c r="A7119" s="417" t="s">
        <v>3385</v>
      </c>
      <c r="B7119" s="417" t="s">
        <v>2627</v>
      </c>
      <c r="C7119" s="417" t="s">
        <v>16710</v>
      </c>
      <c r="D7119" s="417" t="s">
        <v>73</v>
      </c>
      <c r="E7119" s="423">
        <v>5.1697993501368458E-3</v>
      </c>
      <c r="F7119" s="423">
        <v>4.5440206934794318E-5</v>
      </c>
      <c r="G7119" s="422">
        <v>17.584609153202219</v>
      </c>
      <c r="H7119" s="417" t="s">
        <v>2616</v>
      </c>
      <c r="I7119" s="417" t="s">
        <v>1392</v>
      </c>
      <c r="J7119" s="417" t="s">
        <v>15692</v>
      </c>
      <c r="K7119" s="417" t="s">
        <v>16711</v>
      </c>
      <c r="L7119" s="417"/>
      <c r="M7119" s="417" t="s">
        <v>28840</v>
      </c>
    </row>
    <row r="7120" spans="1:13" x14ac:dyDescent="0.25">
      <c r="A7120" s="417" t="s">
        <v>3385</v>
      </c>
      <c r="B7120" s="417" t="s">
        <v>2627</v>
      </c>
      <c r="C7120" s="417" t="s">
        <v>16712</v>
      </c>
      <c r="D7120" s="417" t="s">
        <v>83</v>
      </c>
      <c r="E7120" s="423">
        <v>0.79238109755757913</v>
      </c>
      <c r="F7120" s="423">
        <v>2.1220525275748491E-2</v>
      </c>
      <c r="G7120" s="422">
        <v>1561.869237270696</v>
      </c>
      <c r="H7120" s="417" t="s">
        <v>2616</v>
      </c>
      <c r="I7120" s="417" t="s">
        <v>1392</v>
      </c>
      <c r="J7120" s="417" t="s">
        <v>15692</v>
      </c>
      <c r="K7120" s="417" t="s">
        <v>16713</v>
      </c>
      <c r="L7120" s="417"/>
      <c r="M7120" s="417" t="s">
        <v>28840</v>
      </c>
    </row>
    <row r="7121" spans="1:13" x14ac:dyDescent="0.25">
      <c r="A7121" s="417" t="s">
        <v>3385</v>
      </c>
      <c r="B7121" s="417" t="s">
        <v>2627</v>
      </c>
      <c r="C7121" s="417" t="s">
        <v>16714</v>
      </c>
      <c r="D7121" s="417" t="s">
        <v>73</v>
      </c>
      <c r="E7121" s="423">
        <v>1.018245745142894E-2</v>
      </c>
      <c r="F7121" s="423">
        <v>8.4477851653597387E-5</v>
      </c>
      <c r="G7121" s="422">
        <v>24.202211133633998</v>
      </c>
      <c r="H7121" s="417" t="s">
        <v>2616</v>
      </c>
      <c r="I7121" s="417" t="s">
        <v>1392</v>
      </c>
      <c r="J7121" s="417" t="s">
        <v>15692</v>
      </c>
      <c r="K7121" s="417" t="s">
        <v>16715</v>
      </c>
      <c r="L7121" s="417"/>
      <c r="M7121" s="417" t="s">
        <v>28840</v>
      </c>
    </row>
    <row r="7122" spans="1:13" x14ac:dyDescent="0.25">
      <c r="A7122" s="417" t="s">
        <v>3385</v>
      </c>
      <c r="B7122" s="417" t="s">
        <v>2627</v>
      </c>
      <c r="C7122" s="417" t="s">
        <v>16716</v>
      </c>
      <c r="D7122" s="417" t="s">
        <v>73</v>
      </c>
      <c r="E7122" s="423">
        <v>1.8944182248117641E-2</v>
      </c>
      <c r="F7122" s="423">
        <v>4.2882417470906228E-4</v>
      </c>
      <c r="G7122" s="422">
        <v>38.196396677216569</v>
      </c>
      <c r="H7122" s="417" t="s">
        <v>2616</v>
      </c>
      <c r="I7122" s="417" t="s">
        <v>1392</v>
      </c>
      <c r="J7122" s="417" t="s">
        <v>15692</v>
      </c>
      <c r="K7122" s="417" t="s">
        <v>16717</v>
      </c>
      <c r="L7122" s="417"/>
      <c r="M7122" s="417" t="s">
        <v>28840</v>
      </c>
    </row>
    <row r="7123" spans="1:13" x14ac:dyDescent="0.25">
      <c r="A7123" s="417" t="s">
        <v>3385</v>
      </c>
      <c r="B7123" s="417" t="s">
        <v>2627</v>
      </c>
      <c r="C7123" s="417" t="s">
        <v>16718</v>
      </c>
      <c r="D7123" s="417" t="s">
        <v>73</v>
      </c>
      <c r="E7123" s="423">
        <v>2.013445219413491E-2</v>
      </c>
      <c r="F7123" s="423">
        <v>4.9154010731326174E-4</v>
      </c>
      <c r="G7123" s="422">
        <v>40.213549310349691</v>
      </c>
      <c r="H7123" s="417" t="s">
        <v>2616</v>
      </c>
      <c r="I7123" s="417" t="s">
        <v>1392</v>
      </c>
      <c r="J7123" s="417" t="s">
        <v>15692</v>
      </c>
      <c r="K7123" s="417" t="s">
        <v>16719</v>
      </c>
      <c r="L7123" s="417"/>
      <c r="M7123" s="417" t="s">
        <v>28840</v>
      </c>
    </row>
    <row r="7124" spans="1:13" x14ac:dyDescent="0.25">
      <c r="A7124" s="417" t="s">
        <v>3385</v>
      </c>
      <c r="B7124" s="417" t="s">
        <v>2627</v>
      </c>
      <c r="C7124" s="417" t="s">
        <v>16720</v>
      </c>
      <c r="D7124" s="417" t="s">
        <v>73</v>
      </c>
      <c r="E7124" s="423">
        <v>1.2001126953585579E-2</v>
      </c>
      <c r="F7124" s="423">
        <v>4.3077686328373848E-5</v>
      </c>
      <c r="G7124" s="422">
        <v>25.889144302651729</v>
      </c>
      <c r="H7124" s="417" t="s">
        <v>2616</v>
      </c>
      <c r="I7124" s="417" t="s">
        <v>1392</v>
      </c>
      <c r="J7124" s="417" t="s">
        <v>15692</v>
      </c>
      <c r="K7124" s="417" t="s">
        <v>16721</v>
      </c>
      <c r="L7124" s="417"/>
      <c r="M7124" s="417" t="s">
        <v>28840</v>
      </c>
    </row>
    <row r="7125" spans="1:13" x14ac:dyDescent="0.25">
      <c r="A7125" s="417" t="s">
        <v>3385</v>
      </c>
      <c r="B7125" s="417" t="s">
        <v>2627</v>
      </c>
      <c r="C7125" s="417" t="s">
        <v>16722</v>
      </c>
      <c r="D7125" s="417" t="s">
        <v>73</v>
      </c>
      <c r="E7125" s="423">
        <v>1.2001126953585579E-2</v>
      </c>
      <c r="F7125" s="423">
        <v>4.3077686328373848E-5</v>
      </c>
      <c r="G7125" s="422">
        <v>25.889144302651729</v>
      </c>
      <c r="H7125" s="417" t="s">
        <v>2616</v>
      </c>
      <c r="I7125" s="417" t="s">
        <v>1392</v>
      </c>
      <c r="J7125" s="417" t="s">
        <v>15692</v>
      </c>
      <c r="K7125" s="417" t="s">
        <v>16723</v>
      </c>
      <c r="L7125" s="417"/>
      <c r="M7125" s="417" t="s">
        <v>28840</v>
      </c>
    </row>
    <row r="7126" spans="1:13" x14ac:dyDescent="0.25">
      <c r="A7126" s="417" t="s">
        <v>3385</v>
      </c>
      <c r="B7126" s="417" t="s">
        <v>2627</v>
      </c>
      <c r="C7126" s="417" t="s">
        <v>16724</v>
      </c>
      <c r="D7126" s="417" t="s">
        <v>73</v>
      </c>
      <c r="E7126" s="423">
        <v>1.2001126953585579E-2</v>
      </c>
      <c r="F7126" s="423">
        <v>4.3077686328373848E-5</v>
      </c>
      <c r="G7126" s="422">
        <v>25.889144302651729</v>
      </c>
      <c r="H7126" s="417" t="s">
        <v>2616</v>
      </c>
      <c r="I7126" s="417" t="s">
        <v>1392</v>
      </c>
      <c r="J7126" s="417" t="s">
        <v>15692</v>
      </c>
      <c r="K7126" s="417" t="s">
        <v>16725</v>
      </c>
      <c r="L7126" s="417"/>
      <c r="M7126" s="417" t="s">
        <v>28840</v>
      </c>
    </row>
    <row r="7127" spans="1:13" x14ac:dyDescent="0.25">
      <c r="A7127" s="417" t="s">
        <v>3385</v>
      </c>
      <c r="B7127" s="417" t="s">
        <v>2627</v>
      </c>
      <c r="C7127" s="417" t="s">
        <v>16726</v>
      </c>
      <c r="D7127" s="417" t="s">
        <v>73</v>
      </c>
      <c r="E7127" s="423">
        <v>1.2001126953585579E-2</v>
      </c>
      <c r="F7127" s="423">
        <v>4.3077686328373848E-5</v>
      </c>
      <c r="G7127" s="422">
        <v>25.889144302651729</v>
      </c>
      <c r="H7127" s="417" t="s">
        <v>2616</v>
      </c>
      <c r="I7127" s="417" t="s">
        <v>1392</v>
      </c>
      <c r="J7127" s="417" t="s">
        <v>15692</v>
      </c>
      <c r="K7127" s="417" t="s">
        <v>16727</v>
      </c>
      <c r="L7127" s="417"/>
      <c r="M7127" s="417" t="s">
        <v>28840</v>
      </c>
    </row>
    <row r="7128" spans="1:13" x14ac:dyDescent="0.25">
      <c r="A7128" s="417" t="s">
        <v>3385</v>
      </c>
      <c r="B7128" s="417" t="s">
        <v>2627</v>
      </c>
      <c r="C7128" s="417" t="s">
        <v>16728</v>
      </c>
      <c r="D7128" s="417" t="s">
        <v>73</v>
      </c>
      <c r="E7128" s="423">
        <v>1.2001126953585579E-2</v>
      </c>
      <c r="F7128" s="423">
        <v>4.3077686328373848E-5</v>
      </c>
      <c r="G7128" s="422">
        <v>25.889144302651729</v>
      </c>
      <c r="H7128" s="417" t="s">
        <v>2616</v>
      </c>
      <c r="I7128" s="417" t="s">
        <v>1392</v>
      </c>
      <c r="J7128" s="417" t="s">
        <v>15692</v>
      </c>
      <c r="K7128" s="417" t="s">
        <v>16729</v>
      </c>
      <c r="L7128" s="417"/>
      <c r="M7128" s="417" t="s">
        <v>28840</v>
      </c>
    </row>
    <row r="7129" spans="1:13" x14ac:dyDescent="0.25">
      <c r="A7129" s="417" t="s">
        <v>3385</v>
      </c>
      <c r="B7129" s="417" t="s">
        <v>2627</v>
      </c>
      <c r="C7129" s="417" t="s">
        <v>16730</v>
      </c>
      <c r="D7129" s="417" t="s">
        <v>73</v>
      </c>
      <c r="E7129" s="423">
        <v>1.215826919237886E-2</v>
      </c>
      <c r="F7129" s="423">
        <v>4.321384568306149E-5</v>
      </c>
      <c r="G7129" s="422">
        <v>26.088103340012719</v>
      </c>
      <c r="H7129" s="417" t="s">
        <v>2616</v>
      </c>
      <c r="I7129" s="417" t="s">
        <v>1392</v>
      </c>
      <c r="J7129" s="417" t="s">
        <v>15692</v>
      </c>
      <c r="K7129" s="417" t="s">
        <v>16731</v>
      </c>
      <c r="L7129" s="417"/>
      <c r="M7129" s="417" t="s">
        <v>28840</v>
      </c>
    </row>
    <row r="7130" spans="1:13" x14ac:dyDescent="0.25">
      <c r="A7130" s="417" t="s">
        <v>3385</v>
      </c>
      <c r="B7130" s="417" t="s">
        <v>2627</v>
      </c>
      <c r="C7130" s="417" t="s">
        <v>16732</v>
      </c>
      <c r="D7130" s="417" t="s">
        <v>73</v>
      </c>
      <c r="E7130" s="423">
        <v>1.2001126953585579E-2</v>
      </c>
      <c r="F7130" s="423">
        <v>4.3077686328373848E-5</v>
      </c>
      <c r="G7130" s="422">
        <v>25.889144302651729</v>
      </c>
      <c r="H7130" s="417" t="s">
        <v>2616</v>
      </c>
      <c r="I7130" s="417" t="s">
        <v>1392</v>
      </c>
      <c r="J7130" s="417" t="s">
        <v>15692</v>
      </c>
      <c r="K7130" s="417" t="s">
        <v>16733</v>
      </c>
      <c r="L7130" s="417"/>
      <c r="M7130" s="417" t="s">
        <v>28840</v>
      </c>
    </row>
    <row r="7131" spans="1:13" x14ac:dyDescent="0.25">
      <c r="A7131" s="417" t="s">
        <v>3385</v>
      </c>
      <c r="B7131" s="417" t="s">
        <v>2627</v>
      </c>
      <c r="C7131" s="417" t="s">
        <v>16734</v>
      </c>
      <c r="D7131" s="417" t="s">
        <v>73</v>
      </c>
      <c r="E7131" s="423">
        <v>2.3305191151893489E-4</v>
      </c>
      <c r="F7131" s="423">
        <v>9.1582191049922264E-7</v>
      </c>
      <c r="G7131" s="422">
        <v>0.29002286541582017</v>
      </c>
      <c r="H7131" s="417" t="s">
        <v>2616</v>
      </c>
      <c r="I7131" s="417" t="s">
        <v>1392</v>
      </c>
      <c r="J7131" s="417" t="s">
        <v>15692</v>
      </c>
      <c r="K7131" s="417" t="s">
        <v>16735</v>
      </c>
      <c r="L7131" s="417"/>
      <c r="M7131" s="417" t="s">
        <v>28840</v>
      </c>
    </row>
    <row r="7132" spans="1:13" x14ac:dyDescent="0.25">
      <c r="A7132" s="417" t="s">
        <v>3385</v>
      </c>
      <c r="B7132" s="417" t="s">
        <v>2627</v>
      </c>
      <c r="C7132" s="417" t="s">
        <v>16736</v>
      </c>
      <c r="D7132" s="417" t="s">
        <v>73</v>
      </c>
      <c r="E7132" s="423">
        <v>2.3305191151893489E-4</v>
      </c>
      <c r="F7132" s="423">
        <v>9.1582191049922264E-7</v>
      </c>
      <c r="G7132" s="422">
        <v>0.29002286541582017</v>
      </c>
      <c r="H7132" s="417" t="s">
        <v>2616</v>
      </c>
      <c r="I7132" s="417" t="s">
        <v>1392</v>
      </c>
      <c r="J7132" s="417" t="s">
        <v>15692</v>
      </c>
      <c r="K7132" s="417" t="s">
        <v>16737</v>
      </c>
      <c r="L7132" s="417"/>
      <c r="M7132" s="417" t="s">
        <v>28840</v>
      </c>
    </row>
    <row r="7133" spans="1:13" x14ac:dyDescent="0.25">
      <c r="A7133" s="417" t="s">
        <v>3385</v>
      </c>
      <c r="B7133" s="417" t="s">
        <v>2627</v>
      </c>
      <c r="C7133" s="417" t="s">
        <v>16738</v>
      </c>
      <c r="D7133" s="417" t="s">
        <v>73</v>
      </c>
      <c r="E7133" s="423">
        <v>2.3305191151893489E-4</v>
      </c>
      <c r="F7133" s="423">
        <v>9.1582191049922264E-7</v>
      </c>
      <c r="G7133" s="422">
        <v>0.29002286541582017</v>
      </c>
      <c r="H7133" s="417" t="s">
        <v>2616</v>
      </c>
      <c r="I7133" s="417" t="s">
        <v>1392</v>
      </c>
      <c r="J7133" s="417" t="s">
        <v>15692</v>
      </c>
      <c r="K7133" s="417" t="s">
        <v>16739</v>
      </c>
      <c r="L7133" s="417"/>
      <c r="M7133" s="417" t="s">
        <v>28840</v>
      </c>
    </row>
    <row r="7134" spans="1:13" x14ac:dyDescent="0.25">
      <c r="A7134" s="417" t="s">
        <v>3385</v>
      </c>
      <c r="B7134" s="417" t="s">
        <v>2627</v>
      </c>
      <c r="C7134" s="417" t="s">
        <v>16740</v>
      </c>
      <c r="D7134" s="417" t="s">
        <v>73</v>
      </c>
      <c r="E7134" s="423">
        <v>2.3305191151893489E-4</v>
      </c>
      <c r="F7134" s="423">
        <v>9.1582191049922264E-7</v>
      </c>
      <c r="G7134" s="422">
        <v>0.29002286541582017</v>
      </c>
      <c r="H7134" s="417" t="s">
        <v>2616</v>
      </c>
      <c r="I7134" s="417" t="s">
        <v>1392</v>
      </c>
      <c r="J7134" s="417" t="s">
        <v>15692</v>
      </c>
      <c r="K7134" s="417" t="s">
        <v>16741</v>
      </c>
      <c r="L7134" s="417"/>
      <c r="M7134" s="417" t="s">
        <v>28840</v>
      </c>
    </row>
    <row r="7135" spans="1:13" x14ac:dyDescent="0.25">
      <c r="A7135" s="417" t="s">
        <v>3385</v>
      </c>
      <c r="B7135" s="417" t="s">
        <v>2627</v>
      </c>
      <c r="C7135" s="417" t="s">
        <v>16742</v>
      </c>
      <c r="D7135" s="417" t="s">
        <v>73</v>
      </c>
      <c r="E7135" s="423">
        <v>2.3305191151893489E-4</v>
      </c>
      <c r="F7135" s="423">
        <v>9.1582191049922264E-7</v>
      </c>
      <c r="G7135" s="422">
        <v>0.29002286541582017</v>
      </c>
      <c r="H7135" s="417" t="s">
        <v>2616</v>
      </c>
      <c r="I7135" s="417" t="s">
        <v>1392</v>
      </c>
      <c r="J7135" s="417" t="s">
        <v>15692</v>
      </c>
      <c r="K7135" s="417" t="s">
        <v>16743</v>
      </c>
      <c r="L7135" s="417"/>
      <c r="M7135" s="417" t="s">
        <v>28840</v>
      </c>
    </row>
    <row r="7136" spans="1:13" x14ac:dyDescent="0.25">
      <c r="A7136" s="417" t="s">
        <v>3385</v>
      </c>
      <c r="B7136" s="417" t="s">
        <v>2627</v>
      </c>
      <c r="C7136" s="417" t="s">
        <v>16744</v>
      </c>
      <c r="D7136" s="417" t="s">
        <v>73</v>
      </c>
      <c r="E7136" s="423">
        <v>2.3305191151893489E-4</v>
      </c>
      <c r="F7136" s="423">
        <v>9.1582191049922264E-7</v>
      </c>
      <c r="G7136" s="422">
        <v>0.29002286541582017</v>
      </c>
      <c r="H7136" s="417" t="s">
        <v>2616</v>
      </c>
      <c r="I7136" s="417" t="s">
        <v>1392</v>
      </c>
      <c r="J7136" s="417" t="s">
        <v>15692</v>
      </c>
      <c r="K7136" s="417" t="s">
        <v>16745</v>
      </c>
      <c r="L7136" s="417"/>
      <c r="M7136" s="417" t="s">
        <v>28840</v>
      </c>
    </row>
    <row r="7137" spans="1:13" x14ac:dyDescent="0.25">
      <c r="A7137" s="417" t="s">
        <v>3385</v>
      </c>
      <c r="B7137" s="417" t="s">
        <v>2627</v>
      </c>
      <c r="C7137" s="417" t="s">
        <v>16746</v>
      </c>
      <c r="D7137" s="417" t="s">
        <v>83</v>
      </c>
      <c r="E7137" s="423">
        <v>0.73564629148466942</v>
      </c>
      <c r="F7137" s="423">
        <v>9.1425628395102512E-3</v>
      </c>
      <c r="G7137" s="422">
        <v>1395.083313090505</v>
      </c>
      <c r="H7137" s="417" t="s">
        <v>2616</v>
      </c>
      <c r="I7137" s="417" t="s">
        <v>1392</v>
      </c>
      <c r="J7137" s="417" t="s">
        <v>14271</v>
      </c>
      <c r="K7137" s="417" t="s">
        <v>16747</v>
      </c>
      <c r="L7137" s="417"/>
      <c r="M7137" s="417" t="s">
        <v>28840</v>
      </c>
    </row>
    <row r="7138" spans="1:13" x14ac:dyDescent="0.25">
      <c r="A7138" s="417" t="s">
        <v>3385</v>
      </c>
      <c r="B7138" s="417" t="s">
        <v>2627</v>
      </c>
      <c r="C7138" s="417" t="s">
        <v>16748</v>
      </c>
      <c r="D7138" s="417" t="s">
        <v>83</v>
      </c>
      <c r="E7138" s="423">
        <v>1.0043222334293329</v>
      </c>
      <c r="F7138" s="423">
        <v>2.301031140369561E-2</v>
      </c>
      <c r="G7138" s="422">
        <v>1848.1474708734361</v>
      </c>
      <c r="H7138" s="417" t="s">
        <v>2616</v>
      </c>
      <c r="I7138" s="417" t="s">
        <v>1392</v>
      </c>
      <c r="J7138" s="417" t="s">
        <v>14271</v>
      </c>
      <c r="K7138" s="417" t="s">
        <v>16749</v>
      </c>
      <c r="L7138" s="417"/>
      <c r="M7138" s="417" t="s">
        <v>28840</v>
      </c>
    </row>
    <row r="7139" spans="1:13" x14ac:dyDescent="0.25">
      <c r="A7139" s="417" t="s">
        <v>3385</v>
      </c>
      <c r="B7139" s="417" t="s">
        <v>2627</v>
      </c>
      <c r="C7139" s="417" t="s">
        <v>16750</v>
      </c>
      <c r="D7139" s="417" t="s">
        <v>83</v>
      </c>
      <c r="E7139" s="423">
        <v>1.278481401468001</v>
      </c>
      <c r="F7139" s="423">
        <v>3.7161114753166503E-2</v>
      </c>
      <c r="G7139" s="422">
        <v>2310.458022974954</v>
      </c>
      <c r="H7139" s="417" t="s">
        <v>2616</v>
      </c>
      <c r="I7139" s="417" t="s">
        <v>1392</v>
      </c>
      <c r="J7139" s="417" t="s">
        <v>14271</v>
      </c>
      <c r="K7139" s="417" t="s">
        <v>16751</v>
      </c>
      <c r="L7139" s="417"/>
      <c r="M7139" s="417" t="s">
        <v>28840</v>
      </c>
    </row>
    <row r="7140" spans="1:13" x14ac:dyDescent="0.25">
      <c r="A7140" s="417" t="s">
        <v>3385</v>
      </c>
      <c r="B7140" s="417" t="s">
        <v>2627</v>
      </c>
      <c r="C7140" s="417" t="s">
        <v>16752</v>
      </c>
      <c r="D7140" s="417" t="s">
        <v>83</v>
      </c>
      <c r="E7140" s="423">
        <v>0.81789400109499022</v>
      </c>
      <c r="F7140" s="423">
        <v>1.3387790580188861E-2</v>
      </c>
      <c r="G7140" s="422">
        <v>1533.7763660222679</v>
      </c>
      <c r="H7140" s="417" t="s">
        <v>2616</v>
      </c>
      <c r="I7140" s="417" t="s">
        <v>1392</v>
      </c>
      <c r="J7140" s="417" t="s">
        <v>14271</v>
      </c>
      <c r="K7140" s="417" t="s">
        <v>16753</v>
      </c>
      <c r="L7140" s="417"/>
      <c r="M7140" s="417" t="s">
        <v>28840</v>
      </c>
    </row>
    <row r="7141" spans="1:13" x14ac:dyDescent="0.25">
      <c r="A7141" s="417" t="s">
        <v>3385</v>
      </c>
      <c r="B7141" s="417" t="s">
        <v>2627</v>
      </c>
      <c r="C7141" s="417" t="s">
        <v>16754</v>
      </c>
      <c r="D7141" s="417" t="s">
        <v>83</v>
      </c>
      <c r="E7141" s="423">
        <v>0.79047810511458572</v>
      </c>
      <c r="F7141" s="423">
        <v>1.1972712551815571E-2</v>
      </c>
      <c r="G7141" s="422">
        <v>1487.545351354868</v>
      </c>
      <c r="H7141" s="417" t="s">
        <v>2616</v>
      </c>
      <c r="I7141" s="417" t="s">
        <v>1392</v>
      </c>
      <c r="J7141" s="417" t="s">
        <v>14271</v>
      </c>
      <c r="K7141" s="417" t="s">
        <v>16755</v>
      </c>
      <c r="L7141" s="417"/>
      <c r="M7141" s="417" t="s">
        <v>28840</v>
      </c>
    </row>
    <row r="7142" spans="1:13" x14ac:dyDescent="0.25">
      <c r="A7142" s="417" t="s">
        <v>3385</v>
      </c>
      <c r="B7142" s="417" t="s">
        <v>2627</v>
      </c>
      <c r="C7142" s="417" t="s">
        <v>16756</v>
      </c>
      <c r="D7142" s="417" t="s">
        <v>83</v>
      </c>
      <c r="E7142" s="423">
        <v>0.82886039676754697</v>
      </c>
      <c r="F7142" s="423">
        <v>1.395382431378916E-2</v>
      </c>
      <c r="G7142" s="422">
        <v>1552.268833664074</v>
      </c>
      <c r="H7142" s="417" t="s">
        <v>2616</v>
      </c>
      <c r="I7142" s="417" t="s">
        <v>1392</v>
      </c>
      <c r="J7142" s="417" t="s">
        <v>14271</v>
      </c>
      <c r="K7142" s="417" t="s">
        <v>16757</v>
      </c>
      <c r="L7142" s="417"/>
      <c r="M7142" s="417" t="s">
        <v>28840</v>
      </c>
    </row>
    <row r="7143" spans="1:13" x14ac:dyDescent="0.25">
      <c r="A7143" s="417" t="s">
        <v>3385</v>
      </c>
      <c r="B7143" s="417" t="s">
        <v>2627</v>
      </c>
      <c r="C7143" s="417" t="s">
        <v>16758</v>
      </c>
      <c r="D7143" s="417" t="s">
        <v>83</v>
      </c>
      <c r="E7143" s="423">
        <v>0.94400725003536112</v>
      </c>
      <c r="F7143" s="423">
        <v>1.9897160582878819E-2</v>
      </c>
      <c r="G7143" s="422">
        <v>1746.439288049789</v>
      </c>
      <c r="H7143" s="417" t="s">
        <v>2616</v>
      </c>
      <c r="I7143" s="417" t="s">
        <v>1392</v>
      </c>
      <c r="J7143" s="417" t="s">
        <v>14271</v>
      </c>
      <c r="K7143" s="417" t="s">
        <v>16759</v>
      </c>
      <c r="L7143" s="417"/>
      <c r="M7143" s="417" t="s">
        <v>28840</v>
      </c>
    </row>
    <row r="7144" spans="1:13" x14ac:dyDescent="0.25">
      <c r="A7144" s="417" t="s">
        <v>3385</v>
      </c>
      <c r="B7144" s="417" t="s">
        <v>2627</v>
      </c>
      <c r="C7144" s="417" t="s">
        <v>16760</v>
      </c>
      <c r="D7144" s="417" t="s">
        <v>83</v>
      </c>
      <c r="E7144" s="423">
        <v>0.90836655975032454</v>
      </c>
      <c r="F7144" s="423">
        <v>1.8057551761898639E-2</v>
      </c>
      <c r="G7144" s="422">
        <v>1686.338898252041</v>
      </c>
      <c r="H7144" s="417" t="s">
        <v>2616</v>
      </c>
      <c r="I7144" s="417" t="s">
        <v>1392</v>
      </c>
      <c r="J7144" s="417" t="s">
        <v>14271</v>
      </c>
      <c r="K7144" s="417" t="s">
        <v>16761</v>
      </c>
      <c r="L7144" s="417"/>
      <c r="M7144" s="417" t="s">
        <v>28840</v>
      </c>
    </row>
    <row r="7145" spans="1:13" x14ac:dyDescent="0.25">
      <c r="A7145" s="417" t="s">
        <v>3385</v>
      </c>
      <c r="B7145" s="417" t="s">
        <v>2627</v>
      </c>
      <c r="C7145" s="417" t="s">
        <v>16762</v>
      </c>
      <c r="D7145" s="417" t="s">
        <v>83</v>
      </c>
      <c r="E7145" s="423">
        <v>1.039981548206615</v>
      </c>
      <c r="F7145" s="423">
        <v>2.4850877682405619E-2</v>
      </c>
      <c r="G7145" s="422">
        <v>1908.2792006867769</v>
      </c>
      <c r="H7145" s="417" t="s">
        <v>2616</v>
      </c>
      <c r="I7145" s="417" t="s">
        <v>1392</v>
      </c>
      <c r="J7145" s="417" t="s">
        <v>14271</v>
      </c>
      <c r="K7145" s="417" t="s">
        <v>16763</v>
      </c>
      <c r="L7145" s="417"/>
      <c r="M7145" s="417" t="s">
        <v>28840</v>
      </c>
    </row>
    <row r="7146" spans="1:13" x14ac:dyDescent="0.25">
      <c r="A7146" s="417" t="s">
        <v>3385</v>
      </c>
      <c r="B7146" s="417" t="s">
        <v>2627</v>
      </c>
      <c r="C7146" s="417" t="s">
        <v>16764</v>
      </c>
      <c r="D7146" s="417" t="s">
        <v>83</v>
      </c>
      <c r="E7146" s="423">
        <v>0.88095058572129759</v>
      </c>
      <c r="F7146" s="423">
        <v>1.6642466047689479E-2</v>
      </c>
      <c r="G7146" s="422">
        <v>1640.107742134496</v>
      </c>
      <c r="H7146" s="417" t="s">
        <v>2616</v>
      </c>
      <c r="I7146" s="417" t="s">
        <v>1392</v>
      </c>
      <c r="J7146" s="417" t="s">
        <v>14271</v>
      </c>
      <c r="K7146" s="417" t="s">
        <v>16765</v>
      </c>
      <c r="L7146" s="417"/>
      <c r="M7146" s="417" t="s">
        <v>28840</v>
      </c>
    </row>
    <row r="7147" spans="1:13" x14ac:dyDescent="0.25">
      <c r="A7147" s="417" t="s">
        <v>3385</v>
      </c>
      <c r="B7147" s="417" t="s">
        <v>2627</v>
      </c>
      <c r="C7147" s="417" t="s">
        <v>16766</v>
      </c>
      <c r="D7147" s="417" t="s">
        <v>83</v>
      </c>
      <c r="E7147" s="423">
        <v>1.2812416223189871</v>
      </c>
      <c r="F7147" s="423">
        <v>3.7303584888246782E-2</v>
      </c>
      <c r="G7147" s="422">
        <v>2315.1125063784548</v>
      </c>
      <c r="H7147" s="417" t="s">
        <v>2616</v>
      </c>
      <c r="I7147" s="417" t="s">
        <v>1392</v>
      </c>
      <c r="J7147" s="417" t="s">
        <v>14271</v>
      </c>
      <c r="K7147" s="417" t="s">
        <v>16767</v>
      </c>
      <c r="L7147" s="417"/>
      <c r="M7147" s="417" t="s">
        <v>28840</v>
      </c>
    </row>
    <row r="7148" spans="1:13" x14ac:dyDescent="0.25">
      <c r="A7148" s="417" t="s">
        <v>3385</v>
      </c>
      <c r="B7148" s="417" t="s">
        <v>2627</v>
      </c>
      <c r="C7148" s="417" t="s">
        <v>16768</v>
      </c>
      <c r="D7148" s="417" t="s">
        <v>83</v>
      </c>
      <c r="E7148" s="423">
        <v>1.2784814087986469</v>
      </c>
      <c r="F7148" s="423">
        <v>3.7161114913700777E-2</v>
      </c>
      <c r="G7148" s="422">
        <v>2310.4580145509531</v>
      </c>
      <c r="H7148" s="417" t="s">
        <v>2616</v>
      </c>
      <c r="I7148" s="417" t="s">
        <v>1392</v>
      </c>
      <c r="J7148" s="417" t="s">
        <v>14271</v>
      </c>
      <c r="K7148" s="417" t="s">
        <v>16769</v>
      </c>
      <c r="L7148" s="417"/>
      <c r="M7148" s="417" t="s">
        <v>28840</v>
      </c>
    </row>
    <row r="7149" spans="1:13" x14ac:dyDescent="0.25">
      <c r="A7149" s="417" t="s">
        <v>3385</v>
      </c>
      <c r="B7149" s="417" t="s">
        <v>2627</v>
      </c>
      <c r="C7149" s="417" t="s">
        <v>16770</v>
      </c>
      <c r="D7149" s="417" t="s">
        <v>83</v>
      </c>
      <c r="E7149" s="423">
        <v>1.061914357193199</v>
      </c>
      <c r="F7149" s="423">
        <v>2.5982956143712509E-2</v>
      </c>
      <c r="G7149" s="422">
        <v>1945.2642330205881</v>
      </c>
      <c r="H7149" s="417" t="s">
        <v>2616</v>
      </c>
      <c r="I7149" s="417" t="s">
        <v>1392</v>
      </c>
      <c r="J7149" s="417" t="s">
        <v>14271</v>
      </c>
      <c r="K7149" s="417" t="s">
        <v>16771</v>
      </c>
      <c r="L7149" s="417"/>
      <c r="M7149" s="417" t="s">
        <v>28840</v>
      </c>
    </row>
    <row r="7150" spans="1:13" x14ac:dyDescent="0.25">
      <c r="A7150" s="417" t="s">
        <v>3385</v>
      </c>
      <c r="B7150" s="417" t="s">
        <v>2627</v>
      </c>
      <c r="C7150" s="417" t="s">
        <v>16772</v>
      </c>
      <c r="D7150" s="417" t="s">
        <v>83</v>
      </c>
      <c r="E7150" s="423">
        <v>0.73016310931504425</v>
      </c>
      <c r="F7150" s="423">
        <v>8.8595462934166255E-3</v>
      </c>
      <c r="G7150" s="422">
        <v>1385.837101278561</v>
      </c>
      <c r="H7150" s="417" t="s">
        <v>2616</v>
      </c>
      <c r="I7150" s="417" t="s">
        <v>1392</v>
      </c>
      <c r="J7150" s="417" t="s">
        <v>14271</v>
      </c>
      <c r="K7150" s="417" t="s">
        <v>16773</v>
      </c>
      <c r="L7150" s="417"/>
      <c r="M7150" s="417" t="s">
        <v>28840</v>
      </c>
    </row>
    <row r="7151" spans="1:13" x14ac:dyDescent="0.25">
      <c r="A7151" s="417" t="s">
        <v>3385</v>
      </c>
      <c r="B7151" s="417" t="s">
        <v>2627</v>
      </c>
      <c r="C7151" s="417" t="s">
        <v>16774</v>
      </c>
      <c r="D7151" s="417" t="s">
        <v>83</v>
      </c>
      <c r="E7151" s="423">
        <v>0.69178083339563035</v>
      </c>
      <c r="F7151" s="423">
        <v>6.8784386092985202E-3</v>
      </c>
      <c r="G7151" s="422">
        <v>1321.1136536188999</v>
      </c>
      <c r="H7151" s="417" t="s">
        <v>2616</v>
      </c>
      <c r="I7151" s="417" t="s">
        <v>1392</v>
      </c>
      <c r="J7151" s="417" t="s">
        <v>14271</v>
      </c>
      <c r="K7151" s="417" t="s">
        <v>16775</v>
      </c>
      <c r="L7151" s="417"/>
      <c r="M7151" s="417" t="s">
        <v>28840</v>
      </c>
    </row>
    <row r="7152" spans="1:13" x14ac:dyDescent="0.25">
      <c r="A7152" s="417" t="s">
        <v>3385</v>
      </c>
      <c r="B7152" s="417" t="s">
        <v>2627</v>
      </c>
      <c r="C7152" s="417" t="s">
        <v>16776</v>
      </c>
      <c r="D7152" s="417" t="s">
        <v>83</v>
      </c>
      <c r="E7152" s="423">
        <v>0.8038102817167091</v>
      </c>
      <c r="F7152" s="423">
        <v>1.263375132499325E-2</v>
      </c>
      <c r="G7152" s="422">
        <v>1509.80695380059</v>
      </c>
      <c r="H7152" s="417" t="s">
        <v>2616</v>
      </c>
      <c r="I7152" s="417" t="s">
        <v>1392</v>
      </c>
      <c r="J7152" s="417" t="s">
        <v>15692</v>
      </c>
      <c r="K7152" s="417" t="s">
        <v>16777</v>
      </c>
      <c r="L7152" s="417"/>
      <c r="M7152" s="417" t="s">
        <v>28840</v>
      </c>
    </row>
    <row r="7153" spans="1:13" x14ac:dyDescent="0.25">
      <c r="A7153" s="417" t="s">
        <v>3385</v>
      </c>
      <c r="B7153" s="417" t="s">
        <v>2627</v>
      </c>
      <c r="C7153" s="417" t="s">
        <v>16778</v>
      </c>
      <c r="D7153" s="417" t="s">
        <v>83</v>
      </c>
      <c r="E7153" s="423">
        <v>0.78225336015270996</v>
      </c>
      <c r="F7153" s="423">
        <v>1.154819742809654E-2</v>
      </c>
      <c r="G7153" s="422">
        <v>1473.676117959167</v>
      </c>
      <c r="H7153" s="417" t="s">
        <v>2616</v>
      </c>
      <c r="I7153" s="417" t="s">
        <v>1392</v>
      </c>
      <c r="J7153" s="417" t="s">
        <v>14271</v>
      </c>
      <c r="K7153" s="417" t="s">
        <v>16779</v>
      </c>
      <c r="L7153" s="417"/>
      <c r="M7153" s="417" t="s">
        <v>28840</v>
      </c>
    </row>
    <row r="7154" spans="1:13" x14ac:dyDescent="0.25">
      <c r="A7154" s="417" t="s">
        <v>3385</v>
      </c>
      <c r="B7154" s="417" t="s">
        <v>2627</v>
      </c>
      <c r="C7154" s="417" t="s">
        <v>16780</v>
      </c>
      <c r="D7154" s="417" t="s">
        <v>83</v>
      </c>
      <c r="E7154" s="423">
        <v>1.1331583548816371</v>
      </c>
      <c r="F7154" s="423">
        <v>2.9660219744528329E-2</v>
      </c>
      <c r="G7154" s="422">
        <v>2065.4018679854889</v>
      </c>
      <c r="H7154" s="417" t="s">
        <v>2616</v>
      </c>
      <c r="I7154" s="417" t="s">
        <v>1392</v>
      </c>
      <c r="J7154" s="417" t="s">
        <v>14271</v>
      </c>
      <c r="K7154" s="417" t="s">
        <v>16781</v>
      </c>
      <c r="L7154" s="417"/>
      <c r="M7154" s="417" t="s">
        <v>28840</v>
      </c>
    </row>
    <row r="7155" spans="1:13" x14ac:dyDescent="0.25">
      <c r="A7155" s="417" t="s">
        <v>3385</v>
      </c>
      <c r="B7155" s="417" t="s">
        <v>2627</v>
      </c>
      <c r="C7155" s="417" t="s">
        <v>16782</v>
      </c>
      <c r="D7155" s="417" t="s">
        <v>83</v>
      </c>
      <c r="E7155" s="423">
        <v>0.78225336015270996</v>
      </c>
      <c r="F7155" s="423">
        <v>1.154819742809654E-2</v>
      </c>
      <c r="G7155" s="422">
        <v>1473.676117959167</v>
      </c>
      <c r="H7155" s="417" t="s">
        <v>2616</v>
      </c>
      <c r="I7155" s="417" t="s">
        <v>1392</v>
      </c>
      <c r="J7155" s="417" t="s">
        <v>14271</v>
      </c>
      <c r="K7155" s="417" t="s">
        <v>16783</v>
      </c>
      <c r="L7155" s="417"/>
      <c r="M7155" s="417" t="s">
        <v>28840</v>
      </c>
    </row>
    <row r="7156" spans="1:13" x14ac:dyDescent="0.25">
      <c r="A7156" s="417" t="s">
        <v>3385</v>
      </c>
      <c r="B7156" s="417" t="s">
        <v>2627</v>
      </c>
      <c r="C7156" s="417" t="s">
        <v>16784</v>
      </c>
      <c r="D7156" s="417" t="s">
        <v>83</v>
      </c>
      <c r="E7156" s="423">
        <v>0.88917545176605961</v>
      </c>
      <c r="F7156" s="423">
        <v>1.70670006928542E-2</v>
      </c>
      <c r="G7156" s="422">
        <v>1653.9772324085191</v>
      </c>
      <c r="H7156" s="417" t="s">
        <v>2616</v>
      </c>
      <c r="I7156" s="417" t="s">
        <v>1392</v>
      </c>
      <c r="J7156" s="417" t="s">
        <v>14271</v>
      </c>
      <c r="K7156" s="417" t="s">
        <v>16785</v>
      </c>
      <c r="L7156" s="417"/>
      <c r="M7156" s="417" t="s">
        <v>28840</v>
      </c>
    </row>
    <row r="7157" spans="1:13" x14ac:dyDescent="0.25">
      <c r="A7157" s="417" t="s">
        <v>3385</v>
      </c>
      <c r="B7157" s="417" t="s">
        <v>2627</v>
      </c>
      <c r="C7157" s="417" t="s">
        <v>16786</v>
      </c>
      <c r="D7157" s="417" t="s">
        <v>83</v>
      </c>
      <c r="E7157" s="423">
        <v>1.2318556317173619</v>
      </c>
      <c r="F7157" s="423">
        <v>3.4754477821031332E-2</v>
      </c>
      <c r="G7157" s="422">
        <v>2231.8334927168662</v>
      </c>
      <c r="H7157" s="417" t="s">
        <v>2616</v>
      </c>
      <c r="I7157" s="417" t="s">
        <v>1392</v>
      </c>
      <c r="J7157" s="417" t="s">
        <v>14271</v>
      </c>
      <c r="K7157" s="417" t="s">
        <v>16787</v>
      </c>
      <c r="L7157" s="417"/>
      <c r="M7157" s="417" t="s">
        <v>28840</v>
      </c>
    </row>
    <row r="7158" spans="1:13" x14ac:dyDescent="0.25">
      <c r="A7158" s="417" t="s">
        <v>3385</v>
      </c>
      <c r="B7158" s="417" t="s">
        <v>2627</v>
      </c>
      <c r="C7158" s="417" t="s">
        <v>16788</v>
      </c>
      <c r="D7158" s="417" t="s">
        <v>73</v>
      </c>
      <c r="E7158" s="423">
        <v>2.0644661635419621E-2</v>
      </c>
      <c r="F7158" s="423">
        <v>2.5417890670728898E-4</v>
      </c>
      <c r="G7158" s="422">
        <v>39.009553626573457</v>
      </c>
      <c r="H7158" s="417" t="s">
        <v>2616</v>
      </c>
      <c r="I7158" s="417" t="s">
        <v>1392</v>
      </c>
      <c r="J7158" s="417" t="s">
        <v>15692</v>
      </c>
      <c r="K7158" s="417" t="s">
        <v>16789</v>
      </c>
      <c r="L7158" s="417"/>
      <c r="M7158" s="417" t="s">
        <v>28840</v>
      </c>
    </row>
    <row r="7159" spans="1:13" x14ac:dyDescent="0.25">
      <c r="A7159" s="417" t="s">
        <v>3385</v>
      </c>
      <c r="B7159" s="417" t="s">
        <v>2627</v>
      </c>
      <c r="C7159" s="417" t="s">
        <v>16790</v>
      </c>
      <c r="D7159" s="417" t="s">
        <v>73</v>
      </c>
      <c r="E7159" s="423">
        <v>2.810874912621758E-2</v>
      </c>
      <c r="F7159" s="423">
        <v>6.394392909848779E-4</v>
      </c>
      <c r="G7159" s="422">
        <v>51.596132361626772</v>
      </c>
      <c r="H7159" s="417" t="s">
        <v>2616</v>
      </c>
      <c r="I7159" s="417" t="s">
        <v>1392</v>
      </c>
      <c r="J7159" s="417" t="s">
        <v>15692</v>
      </c>
      <c r="K7159" s="417" t="s">
        <v>16791</v>
      </c>
      <c r="L7159" s="417"/>
      <c r="M7159" s="417" t="s">
        <v>28840</v>
      </c>
    </row>
    <row r="7160" spans="1:13" x14ac:dyDescent="0.25">
      <c r="A7160" s="417" t="s">
        <v>3385</v>
      </c>
      <c r="B7160" s="417" t="s">
        <v>2627</v>
      </c>
      <c r="C7160" s="417" t="s">
        <v>16792</v>
      </c>
      <c r="D7160" s="417" t="s">
        <v>73</v>
      </c>
      <c r="E7160" s="423">
        <v>2.814866589528436E-2</v>
      </c>
      <c r="F7160" s="423">
        <v>4.1831230762933011E-4</v>
      </c>
      <c r="G7160" s="422">
        <v>48.997637956221901</v>
      </c>
      <c r="H7160" s="417" t="s">
        <v>2616</v>
      </c>
      <c r="I7160" s="417" t="s">
        <v>1392</v>
      </c>
      <c r="J7160" s="417" t="s">
        <v>15692</v>
      </c>
      <c r="K7160" s="417" t="s">
        <v>16793</v>
      </c>
      <c r="L7160" s="417"/>
      <c r="M7160" s="417" t="s">
        <v>28840</v>
      </c>
    </row>
    <row r="7161" spans="1:13" x14ac:dyDescent="0.25">
      <c r="A7161" s="417" t="s">
        <v>3385</v>
      </c>
      <c r="B7161" s="417" t="s">
        <v>2627</v>
      </c>
      <c r="C7161" s="417" t="s">
        <v>16794</v>
      </c>
      <c r="D7161" s="417" t="s">
        <v>73</v>
      </c>
      <c r="E7161" s="423">
        <v>2.0671931145495821E-2</v>
      </c>
      <c r="F7161" s="423">
        <v>9.4936989487036985E-5</v>
      </c>
      <c r="G7161" s="422">
        <v>36.771324225681589</v>
      </c>
      <c r="H7161" s="417" t="s">
        <v>2616</v>
      </c>
      <c r="I7161" s="417" t="s">
        <v>1392</v>
      </c>
      <c r="J7161" s="417" t="s">
        <v>15692</v>
      </c>
      <c r="K7161" s="417" t="s">
        <v>16795</v>
      </c>
      <c r="L7161" s="417"/>
      <c r="M7161" s="417" t="s">
        <v>28840</v>
      </c>
    </row>
    <row r="7162" spans="1:13" x14ac:dyDescent="0.25">
      <c r="A7162" s="417" t="s">
        <v>3385</v>
      </c>
      <c r="B7162" s="417" t="s">
        <v>2627</v>
      </c>
      <c r="C7162" s="417" t="s">
        <v>16796</v>
      </c>
      <c r="D7162" s="417" t="s">
        <v>83</v>
      </c>
      <c r="E7162" s="423">
        <v>0.78835034323929443</v>
      </c>
      <c r="F7162" s="423">
        <v>3.480119717230939E-3</v>
      </c>
      <c r="G7162" s="422">
        <v>1376.2574434921939</v>
      </c>
      <c r="H7162" s="417" t="s">
        <v>2616</v>
      </c>
      <c r="I7162" s="417" t="s">
        <v>1392</v>
      </c>
      <c r="J7162" s="417" t="s">
        <v>15692</v>
      </c>
      <c r="K7162" s="417" t="s">
        <v>16797</v>
      </c>
      <c r="L7162" s="417"/>
      <c r="M7162" s="417" t="s">
        <v>28840</v>
      </c>
    </row>
    <row r="7163" spans="1:13" x14ac:dyDescent="0.25">
      <c r="A7163" s="417" t="s">
        <v>3385</v>
      </c>
      <c r="B7163" s="417" t="s">
        <v>2627</v>
      </c>
      <c r="C7163" s="417" t="s">
        <v>16798</v>
      </c>
      <c r="D7163" s="417" t="s">
        <v>73</v>
      </c>
      <c r="E7163" s="423">
        <v>2.292958545618674E-2</v>
      </c>
      <c r="F7163" s="423">
        <v>3.7211563447220412E-4</v>
      </c>
      <c r="G7163" s="422">
        <v>42.862585798115873</v>
      </c>
      <c r="H7163" s="417" t="s">
        <v>2616</v>
      </c>
      <c r="I7163" s="417" t="s">
        <v>1392</v>
      </c>
      <c r="J7163" s="417" t="s">
        <v>15692</v>
      </c>
      <c r="K7163" s="417" t="s">
        <v>16799</v>
      </c>
      <c r="L7163" s="417"/>
      <c r="M7163" s="417" t="s">
        <v>28840</v>
      </c>
    </row>
    <row r="7164" spans="1:13" x14ac:dyDescent="0.25">
      <c r="A7164" s="417" t="s">
        <v>3385</v>
      </c>
      <c r="B7164" s="417" t="s">
        <v>2627</v>
      </c>
      <c r="C7164" s="417" t="s">
        <v>16800</v>
      </c>
      <c r="D7164" s="417" t="s">
        <v>73</v>
      </c>
      <c r="E7164" s="423">
        <v>2.216794493878493E-2</v>
      </c>
      <c r="F7164" s="423">
        <v>3.3280349976087901E-4</v>
      </c>
      <c r="G7164" s="422">
        <v>41.578243393712583</v>
      </c>
      <c r="H7164" s="417" t="s">
        <v>2616</v>
      </c>
      <c r="I7164" s="417" t="s">
        <v>1392</v>
      </c>
      <c r="J7164" s="417" t="s">
        <v>15692</v>
      </c>
      <c r="K7164" s="417" t="s">
        <v>16801</v>
      </c>
      <c r="L7164" s="417"/>
      <c r="M7164" s="417" t="s">
        <v>28840</v>
      </c>
    </row>
    <row r="7165" spans="1:13" x14ac:dyDescent="0.25">
      <c r="A7165" s="417" t="s">
        <v>3385</v>
      </c>
      <c r="B7165" s="417" t="s">
        <v>2627</v>
      </c>
      <c r="C7165" s="417" t="s">
        <v>16802</v>
      </c>
      <c r="D7165" s="417" t="s">
        <v>73</v>
      </c>
      <c r="E7165" s="423">
        <v>2.3234242953084829E-2</v>
      </c>
      <c r="F7165" s="423">
        <v>3.8784067002195711E-4</v>
      </c>
      <c r="G7165" s="422">
        <v>43.376325652399899</v>
      </c>
      <c r="H7165" s="417" t="s">
        <v>2616</v>
      </c>
      <c r="I7165" s="417" t="s">
        <v>1392</v>
      </c>
      <c r="J7165" s="417" t="s">
        <v>15692</v>
      </c>
      <c r="K7165" s="417" t="s">
        <v>16803</v>
      </c>
      <c r="L7165" s="417"/>
      <c r="M7165" s="417" t="s">
        <v>28840</v>
      </c>
    </row>
    <row r="7166" spans="1:13" x14ac:dyDescent="0.25">
      <c r="A7166" s="417" t="s">
        <v>3385</v>
      </c>
      <c r="B7166" s="417" t="s">
        <v>2627</v>
      </c>
      <c r="C7166" s="417" t="s">
        <v>16804</v>
      </c>
      <c r="D7166" s="417" t="s">
        <v>73</v>
      </c>
      <c r="E7166" s="423">
        <v>2.0618755840449879E-2</v>
      </c>
      <c r="F7166" s="423">
        <v>1.2754300173245739E-4</v>
      </c>
      <c r="G7166" s="422">
        <v>37.081698065332333</v>
      </c>
      <c r="H7166" s="417" t="s">
        <v>2616</v>
      </c>
      <c r="I7166" s="417" t="s">
        <v>1392</v>
      </c>
      <c r="J7166" s="417" t="s">
        <v>15692</v>
      </c>
      <c r="K7166" s="417" t="s">
        <v>16805</v>
      </c>
      <c r="L7166" s="417"/>
      <c r="M7166" s="417" t="s">
        <v>28840</v>
      </c>
    </row>
    <row r="7167" spans="1:13" x14ac:dyDescent="0.25">
      <c r="A7167" s="417" t="s">
        <v>3385</v>
      </c>
      <c r="B7167" s="417" t="s">
        <v>2627</v>
      </c>
      <c r="C7167" s="417" t="s">
        <v>16806</v>
      </c>
      <c r="D7167" s="417" t="s">
        <v>73</v>
      </c>
      <c r="E7167" s="423">
        <v>1.83088876316474E-2</v>
      </c>
      <c r="F7167" s="423">
        <v>2.3809019848597399E-4</v>
      </c>
      <c r="G7167" s="422">
        <v>35.660239399341343</v>
      </c>
      <c r="H7167" s="417" t="s">
        <v>2616</v>
      </c>
      <c r="I7167" s="417" t="s">
        <v>1392</v>
      </c>
      <c r="J7167" s="417" t="s">
        <v>15692</v>
      </c>
      <c r="K7167" s="417" t="s">
        <v>16807</v>
      </c>
      <c r="L7167" s="417"/>
      <c r="M7167" s="417" t="s">
        <v>28840</v>
      </c>
    </row>
    <row r="7168" spans="1:13" x14ac:dyDescent="0.25">
      <c r="A7168" s="417" t="s">
        <v>3385</v>
      </c>
      <c r="B7168" s="417" t="s">
        <v>2627</v>
      </c>
      <c r="C7168" s="417" t="s">
        <v>16808</v>
      </c>
      <c r="D7168" s="417" t="s">
        <v>73</v>
      </c>
      <c r="E7168" s="423">
        <v>2.0671931145495821E-2</v>
      </c>
      <c r="F7168" s="423">
        <v>9.4936989487036985E-5</v>
      </c>
      <c r="G7168" s="422">
        <v>36.771324225681589</v>
      </c>
      <c r="H7168" s="417" t="s">
        <v>2616</v>
      </c>
      <c r="I7168" s="417" t="s">
        <v>1392</v>
      </c>
      <c r="J7168" s="417" t="s">
        <v>15692</v>
      </c>
      <c r="K7168" s="417" t="s">
        <v>16809</v>
      </c>
      <c r="L7168" s="417"/>
      <c r="M7168" s="417" t="s">
        <v>28840</v>
      </c>
    </row>
    <row r="7169" spans="1:13" x14ac:dyDescent="0.25">
      <c r="A7169" s="417" t="s">
        <v>3385</v>
      </c>
      <c r="B7169" s="417" t="s">
        <v>2627</v>
      </c>
      <c r="C7169" s="417" t="s">
        <v>16810</v>
      </c>
      <c r="D7169" s="417" t="s">
        <v>73</v>
      </c>
      <c r="E7169" s="423">
        <v>2.9099399125946761E-2</v>
      </c>
      <c r="F7169" s="423">
        <v>6.9057160702363531E-4</v>
      </c>
      <c r="G7169" s="422">
        <v>53.266648873938351</v>
      </c>
      <c r="H7169" s="417" t="s">
        <v>2616</v>
      </c>
      <c r="I7169" s="417" t="s">
        <v>1392</v>
      </c>
      <c r="J7169" s="417" t="s">
        <v>15692</v>
      </c>
      <c r="K7169" s="417" t="s">
        <v>16811</v>
      </c>
      <c r="L7169" s="417"/>
      <c r="M7169" s="417" t="s">
        <v>28840</v>
      </c>
    </row>
    <row r="7170" spans="1:13" x14ac:dyDescent="0.25">
      <c r="A7170" s="417" t="s">
        <v>3385</v>
      </c>
      <c r="B7170" s="417" t="s">
        <v>2627</v>
      </c>
      <c r="C7170" s="417" t="s">
        <v>16812</v>
      </c>
      <c r="D7170" s="417" t="s">
        <v>73</v>
      </c>
      <c r="E7170" s="423">
        <v>1.927012381197241E-2</v>
      </c>
      <c r="F7170" s="423">
        <v>1.037676575796297E-4</v>
      </c>
      <c r="G7170" s="422">
        <v>35.231289771864397</v>
      </c>
      <c r="H7170" s="417" t="s">
        <v>2616</v>
      </c>
      <c r="I7170" s="417" t="s">
        <v>1392</v>
      </c>
      <c r="J7170" s="417" t="s">
        <v>15692</v>
      </c>
      <c r="K7170" s="417" t="s">
        <v>16813</v>
      </c>
      <c r="L7170" s="417"/>
      <c r="M7170" s="417" t="s">
        <v>28840</v>
      </c>
    </row>
    <row r="7171" spans="1:13" x14ac:dyDescent="0.25">
      <c r="A7171" s="417" t="s">
        <v>3385</v>
      </c>
      <c r="B7171" s="417" t="s">
        <v>2627</v>
      </c>
      <c r="C7171" s="417" t="s">
        <v>16814</v>
      </c>
      <c r="D7171" s="417" t="s">
        <v>73</v>
      </c>
      <c r="E7171" s="423">
        <v>3.5801848196040847E-2</v>
      </c>
      <c r="F7171" s="423">
        <v>1.036519641346424E-3</v>
      </c>
      <c r="G7171" s="422">
        <v>64.568887195701578</v>
      </c>
      <c r="H7171" s="417" t="s">
        <v>2616</v>
      </c>
      <c r="I7171" s="417" t="s">
        <v>1392</v>
      </c>
      <c r="J7171" s="417" t="s">
        <v>15692</v>
      </c>
      <c r="K7171" s="417" t="s">
        <v>16815</v>
      </c>
      <c r="L7171" s="417"/>
      <c r="M7171" s="417" t="s">
        <v>28840</v>
      </c>
    </row>
    <row r="7172" spans="1:13" x14ac:dyDescent="0.25">
      <c r="A7172" s="417" t="s">
        <v>3385</v>
      </c>
      <c r="B7172" s="417" t="s">
        <v>2627</v>
      </c>
      <c r="C7172" s="417" t="s">
        <v>16816</v>
      </c>
      <c r="D7172" s="417" t="s">
        <v>73</v>
      </c>
      <c r="E7172" s="423">
        <v>3.5725162646774021E-2</v>
      </c>
      <c r="F7172" s="423">
        <v>1.0325616322703051E-3</v>
      </c>
      <c r="G7172" s="422">
        <v>64.439574229725579</v>
      </c>
      <c r="H7172" s="417" t="s">
        <v>2616</v>
      </c>
      <c r="I7172" s="417" t="s">
        <v>1392</v>
      </c>
      <c r="J7172" s="417" t="s">
        <v>15692</v>
      </c>
      <c r="K7172" s="417" t="s">
        <v>16817</v>
      </c>
      <c r="L7172" s="417"/>
      <c r="M7172" s="417" t="s">
        <v>28840</v>
      </c>
    </row>
    <row r="7173" spans="1:13" x14ac:dyDescent="0.25">
      <c r="A7173" s="417" t="s">
        <v>3385</v>
      </c>
      <c r="B7173" s="417" t="s">
        <v>2627</v>
      </c>
      <c r="C7173" s="417" t="s">
        <v>16818</v>
      </c>
      <c r="D7173" s="417" t="s">
        <v>73</v>
      </c>
      <c r="E7173" s="423">
        <v>2.970871461589393E-2</v>
      </c>
      <c r="F7173" s="423">
        <v>7.2202188470926764E-4</v>
      </c>
      <c r="G7173" s="422">
        <v>54.294129765443962</v>
      </c>
      <c r="H7173" s="417" t="s">
        <v>2616</v>
      </c>
      <c r="I7173" s="417" t="s">
        <v>1392</v>
      </c>
      <c r="J7173" s="417" t="s">
        <v>15692</v>
      </c>
      <c r="K7173" s="417" t="s">
        <v>16819</v>
      </c>
      <c r="L7173" s="417"/>
      <c r="M7173" s="417" t="s">
        <v>28840</v>
      </c>
    </row>
    <row r="7174" spans="1:13" x14ac:dyDescent="0.25">
      <c r="A7174" s="417" t="s">
        <v>3385</v>
      </c>
      <c r="B7174" s="417" t="s">
        <v>2627</v>
      </c>
      <c r="C7174" s="417" t="s">
        <v>16820</v>
      </c>
      <c r="D7174" s="417" t="s">
        <v>73</v>
      </c>
      <c r="E7174" s="423">
        <v>1.25111398099259E-2</v>
      </c>
      <c r="F7174" s="423">
        <v>8.2454079194866384E-5</v>
      </c>
      <c r="G7174" s="422">
        <v>27.052095899032999</v>
      </c>
      <c r="H7174" s="417" t="s">
        <v>2616</v>
      </c>
      <c r="I7174" s="417" t="s">
        <v>1392</v>
      </c>
      <c r="J7174" s="417" t="s">
        <v>15692</v>
      </c>
      <c r="K7174" s="417" t="s">
        <v>16821</v>
      </c>
      <c r="L7174" s="417"/>
      <c r="M7174" s="417" t="s">
        <v>28840</v>
      </c>
    </row>
    <row r="7175" spans="1:13" x14ac:dyDescent="0.25">
      <c r="A7175" s="417" t="s">
        <v>3385</v>
      </c>
      <c r="B7175" s="417" t="s">
        <v>2627</v>
      </c>
      <c r="C7175" s="417" t="s">
        <v>16822</v>
      </c>
      <c r="D7175" s="417" t="s">
        <v>73</v>
      </c>
      <c r="E7175" s="423">
        <v>2.049233350754431E-2</v>
      </c>
      <c r="F7175" s="423">
        <v>2.4631648284071511E-4</v>
      </c>
      <c r="G7175" s="422">
        <v>38.752685159413552</v>
      </c>
      <c r="H7175" s="417" t="s">
        <v>2616</v>
      </c>
      <c r="I7175" s="417" t="s">
        <v>1392</v>
      </c>
      <c r="J7175" s="417" t="s">
        <v>15692</v>
      </c>
      <c r="K7175" s="417" t="s">
        <v>16823</v>
      </c>
      <c r="L7175" s="417"/>
      <c r="M7175" s="417" t="s">
        <v>28840</v>
      </c>
    </row>
    <row r="7176" spans="1:13" x14ac:dyDescent="0.25">
      <c r="A7176" s="417" t="s">
        <v>3385</v>
      </c>
      <c r="B7176" s="417" t="s">
        <v>2627</v>
      </c>
      <c r="C7176" s="417" t="s">
        <v>16824</v>
      </c>
      <c r="D7176" s="417" t="s">
        <v>73</v>
      </c>
      <c r="E7176" s="423">
        <v>1.9426035285940741E-2</v>
      </c>
      <c r="F7176" s="423">
        <v>1.9127927459846599E-4</v>
      </c>
      <c r="G7176" s="422">
        <v>36.954602410460481</v>
      </c>
      <c r="H7176" s="417" t="s">
        <v>2616</v>
      </c>
      <c r="I7176" s="417" t="s">
        <v>1392</v>
      </c>
      <c r="J7176" s="417" t="s">
        <v>15692</v>
      </c>
      <c r="K7176" s="417" t="s">
        <v>16825</v>
      </c>
      <c r="L7176" s="417"/>
      <c r="M7176" s="417" t="s">
        <v>28840</v>
      </c>
    </row>
    <row r="7177" spans="1:13" x14ac:dyDescent="0.25">
      <c r="A7177" s="417" t="s">
        <v>3385</v>
      </c>
      <c r="B7177" s="417" t="s">
        <v>2627</v>
      </c>
      <c r="C7177" s="417" t="s">
        <v>16826</v>
      </c>
      <c r="D7177" s="417" t="s">
        <v>83</v>
      </c>
      <c r="E7177" s="423">
        <v>0.78423631654462644</v>
      </c>
      <c r="F7177" s="423">
        <v>4.3859568485361874E-3</v>
      </c>
      <c r="G7177" s="422">
        <v>1382.886698222919</v>
      </c>
      <c r="H7177" s="417" t="s">
        <v>2616</v>
      </c>
      <c r="I7177" s="417" t="s">
        <v>1392</v>
      </c>
      <c r="J7177" s="417" t="s">
        <v>15692</v>
      </c>
      <c r="K7177" s="417" t="s">
        <v>16827</v>
      </c>
      <c r="L7177" s="417"/>
      <c r="M7177" s="417" t="s">
        <v>28840</v>
      </c>
    </row>
    <row r="7178" spans="1:13" x14ac:dyDescent="0.25">
      <c r="A7178" s="417" t="s">
        <v>3385</v>
      </c>
      <c r="B7178" s="417" t="s">
        <v>2627</v>
      </c>
      <c r="C7178" s="417" t="s">
        <v>16828</v>
      </c>
      <c r="D7178" s="417" t="s">
        <v>73</v>
      </c>
      <c r="E7178" s="423">
        <v>2.6825895752467618E-2</v>
      </c>
      <c r="F7178" s="423">
        <v>2.0742331549787431E-4</v>
      </c>
      <c r="G7178" s="422">
        <v>45.439249819981157</v>
      </c>
      <c r="H7178" s="417" t="s">
        <v>2616</v>
      </c>
      <c r="I7178" s="417" t="s">
        <v>1392</v>
      </c>
      <c r="J7178" s="417" t="s">
        <v>15692</v>
      </c>
      <c r="K7178" s="417" t="s">
        <v>16829</v>
      </c>
      <c r="L7178" s="417"/>
      <c r="M7178" s="417" t="s">
        <v>28840</v>
      </c>
    </row>
    <row r="7179" spans="1:13" x14ac:dyDescent="0.25">
      <c r="A7179" s="417" t="s">
        <v>3385</v>
      </c>
      <c r="B7179" s="417" t="s">
        <v>2627</v>
      </c>
      <c r="C7179" s="417" t="s">
        <v>16830</v>
      </c>
      <c r="D7179" s="417" t="s">
        <v>73</v>
      </c>
      <c r="E7179" s="423">
        <v>2.035754169926763E-2</v>
      </c>
      <c r="F7179" s="423">
        <v>1.249804171408841E-4</v>
      </c>
      <c r="G7179" s="422">
        <v>36.72831773111826</v>
      </c>
      <c r="H7179" s="417" t="s">
        <v>2616</v>
      </c>
      <c r="I7179" s="417" t="s">
        <v>1392</v>
      </c>
      <c r="J7179" s="417" t="s">
        <v>15692</v>
      </c>
      <c r="K7179" s="417" t="s">
        <v>16831</v>
      </c>
      <c r="L7179" s="417"/>
      <c r="M7179" s="417" t="s">
        <v>28840</v>
      </c>
    </row>
    <row r="7180" spans="1:13" x14ac:dyDescent="0.25">
      <c r="A7180" s="417" t="s">
        <v>3385</v>
      </c>
      <c r="B7180" s="417" t="s">
        <v>2627</v>
      </c>
      <c r="C7180" s="417" t="s">
        <v>16832</v>
      </c>
      <c r="D7180" s="417" t="s">
        <v>73</v>
      </c>
      <c r="E7180" s="423">
        <v>1.3787223613805509E-2</v>
      </c>
      <c r="F7180" s="423">
        <v>8.4096118916711956E-5</v>
      </c>
      <c r="G7180" s="422">
        <v>28.565011736623251</v>
      </c>
      <c r="H7180" s="417" t="s">
        <v>2616</v>
      </c>
      <c r="I7180" s="417" t="s">
        <v>1392</v>
      </c>
      <c r="J7180" s="417" t="s">
        <v>15692</v>
      </c>
      <c r="K7180" s="417" t="s">
        <v>16833</v>
      </c>
      <c r="L7180" s="417"/>
      <c r="M7180" s="417" t="s">
        <v>28840</v>
      </c>
    </row>
    <row r="7181" spans="1:13" x14ac:dyDescent="0.25">
      <c r="A7181" s="417" t="s">
        <v>3385</v>
      </c>
      <c r="B7181" s="417" t="s">
        <v>2627</v>
      </c>
      <c r="C7181" s="417" t="s">
        <v>16834</v>
      </c>
      <c r="D7181" s="417" t="s">
        <v>73</v>
      </c>
      <c r="E7181" s="423">
        <v>1.0332105672305469E-2</v>
      </c>
      <c r="F7181" s="423">
        <v>7.9076766005363482E-5</v>
      </c>
      <c r="G7181" s="422">
        <v>24.470066510746339</v>
      </c>
      <c r="H7181" s="417" t="s">
        <v>2616</v>
      </c>
      <c r="I7181" s="417" t="s">
        <v>1392</v>
      </c>
      <c r="J7181" s="417" t="s">
        <v>15692</v>
      </c>
      <c r="K7181" s="417" t="s">
        <v>16835</v>
      </c>
      <c r="L7181" s="417"/>
      <c r="M7181" s="417" t="s">
        <v>28840</v>
      </c>
    </row>
    <row r="7182" spans="1:13" x14ac:dyDescent="0.25">
      <c r="A7182" s="417" t="s">
        <v>3385</v>
      </c>
      <c r="B7182" s="417" t="s">
        <v>2627</v>
      </c>
      <c r="C7182" s="417" t="s">
        <v>16836</v>
      </c>
      <c r="D7182" s="417" t="s">
        <v>73</v>
      </c>
      <c r="E7182" s="423">
        <v>2.193945232867343E-2</v>
      </c>
      <c r="F7182" s="423">
        <v>3.2100977155122469E-4</v>
      </c>
      <c r="G7182" s="422">
        <v>41.192939598272837</v>
      </c>
      <c r="H7182" s="417" t="s">
        <v>2616</v>
      </c>
      <c r="I7182" s="417" t="s">
        <v>1392</v>
      </c>
      <c r="J7182" s="417" t="s">
        <v>15692</v>
      </c>
      <c r="K7182" s="417" t="s">
        <v>16837</v>
      </c>
      <c r="L7182" s="417"/>
      <c r="M7182" s="417" t="s">
        <v>28840</v>
      </c>
    </row>
    <row r="7183" spans="1:13" x14ac:dyDescent="0.25">
      <c r="A7183" s="417" t="s">
        <v>3385</v>
      </c>
      <c r="B7183" s="417" t="s">
        <v>2627</v>
      </c>
      <c r="C7183" s="417" t="s">
        <v>16838</v>
      </c>
      <c r="D7183" s="417" t="s">
        <v>73</v>
      </c>
      <c r="E7183" s="423">
        <v>2.0671931145495821E-2</v>
      </c>
      <c r="F7183" s="423">
        <v>9.4936989487036985E-5</v>
      </c>
      <c r="G7183" s="422">
        <v>36.771324225681589</v>
      </c>
      <c r="H7183" s="417" t="s">
        <v>2616</v>
      </c>
      <c r="I7183" s="417" t="s">
        <v>1392</v>
      </c>
      <c r="J7183" s="417" t="s">
        <v>15692</v>
      </c>
      <c r="K7183" s="417" t="s">
        <v>16839</v>
      </c>
      <c r="L7183" s="417"/>
      <c r="M7183" s="417" t="s">
        <v>28840</v>
      </c>
    </row>
    <row r="7184" spans="1:13" x14ac:dyDescent="0.25">
      <c r="A7184" s="417" t="s">
        <v>3385</v>
      </c>
      <c r="B7184" s="417" t="s">
        <v>2627</v>
      </c>
      <c r="C7184" s="417" t="s">
        <v>16840</v>
      </c>
      <c r="D7184" s="417" t="s">
        <v>73</v>
      </c>
      <c r="E7184" s="423">
        <v>1.3519672952391331E-2</v>
      </c>
      <c r="F7184" s="423">
        <v>9.766487068671212E-5</v>
      </c>
      <c r="G7184" s="422">
        <v>28.412216594314991</v>
      </c>
      <c r="H7184" s="417" t="s">
        <v>2616</v>
      </c>
      <c r="I7184" s="417" t="s">
        <v>1392</v>
      </c>
      <c r="J7184" s="417" t="s">
        <v>15692</v>
      </c>
      <c r="K7184" s="417" t="s">
        <v>16841</v>
      </c>
      <c r="L7184" s="417"/>
      <c r="M7184" s="417" t="s">
        <v>28840</v>
      </c>
    </row>
    <row r="7185" spans="1:13" x14ac:dyDescent="0.25">
      <c r="A7185" s="417" t="s">
        <v>3385</v>
      </c>
      <c r="B7185" s="417" t="s">
        <v>2627</v>
      </c>
      <c r="C7185" s="417" t="s">
        <v>16842</v>
      </c>
      <c r="D7185" s="417" t="s">
        <v>73</v>
      </c>
      <c r="E7185" s="423">
        <v>3.4429853970041779E-2</v>
      </c>
      <c r="F7185" s="423">
        <v>9.6570425970845066E-4</v>
      </c>
      <c r="G7185" s="422">
        <v>62.25531431162792</v>
      </c>
      <c r="H7185" s="417" t="s">
        <v>2616</v>
      </c>
      <c r="I7185" s="417" t="s">
        <v>1392</v>
      </c>
      <c r="J7185" s="417" t="s">
        <v>15692</v>
      </c>
      <c r="K7185" s="417" t="s">
        <v>16843</v>
      </c>
      <c r="L7185" s="417"/>
      <c r="M7185" s="417" t="s">
        <v>28840</v>
      </c>
    </row>
    <row r="7186" spans="1:13" x14ac:dyDescent="0.25">
      <c r="A7186" s="417" t="s">
        <v>3385</v>
      </c>
      <c r="B7186" s="417" t="s">
        <v>2627</v>
      </c>
      <c r="C7186" s="417" t="s">
        <v>16844</v>
      </c>
      <c r="D7186" s="417" t="s">
        <v>73</v>
      </c>
      <c r="E7186" s="423">
        <v>1.2091439590817059E-2</v>
      </c>
      <c r="F7186" s="423">
        <v>8.1812083985875663E-5</v>
      </c>
      <c r="G7186" s="422">
        <v>26.552246857529209</v>
      </c>
      <c r="H7186" s="417" t="s">
        <v>2616</v>
      </c>
      <c r="I7186" s="417" t="s">
        <v>1392</v>
      </c>
      <c r="J7186" s="417" t="s">
        <v>15692</v>
      </c>
      <c r="K7186" s="417" t="s">
        <v>16845</v>
      </c>
      <c r="L7186" s="417"/>
      <c r="M7186" s="417" t="s">
        <v>28840</v>
      </c>
    </row>
    <row r="7187" spans="1:13" x14ac:dyDescent="0.25">
      <c r="A7187" s="417" t="s">
        <v>3385</v>
      </c>
      <c r="B7187" s="417" t="s">
        <v>2627</v>
      </c>
      <c r="C7187" s="417" t="s">
        <v>16846</v>
      </c>
      <c r="D7187" s="417" t="s">
        <v>73</v>
      </c>
      <c r="E7187" s="423">
        <v>4.2019215447144844E-3</v>
      </c>
      <c r="F7187" s="423">
        <v>3.4899802436368382E-5</v>
      </c>
      <c r="G7187" s="422">
        <v>16.734215728077899</v>
      </c>
      <c r="H7187" s="417" t="s">
        <v>2616</v>
      </c>
      <c r="I7187" s="417" t="s">
        <v>1392</v>
      </c>
      <c r="J7187" s="417" t="s">
        <v>15692</v>
      </c>
      <c r="K7187" s="417" t="s">
        <v>16847</v>
      </c>
      <c r="L7187" s="417"/>
      <c r="M7187" s="417" t="s">
        <v>28840</v>
      </c>
    </row>
    <row r="7188" spans="1:13" x14ac:dyDescent="0.25">
      <c r="A7188" s="417" t="s">
        <v>3385</v>
      </c>
      <c r="B7188" s="417" t="s">
        <v>2627</v>
      </c>
      <c r="C7188" s="417" t="s">
        <v>16848</v>
      </c>
      <c r="D7188" s="417" t="s">
        <v>73</v>
      </c>
      <c r="E7188" s="423">
        <v>4.2019215447144844E-3</v>
      </c>
      <c r="F7188" s="423">
        <v>3.4899802436368382E-5</v>
      </c>
      <c r="G7188" s="422">
        <v>16.734215728077899</v>
      </c>
      <c r="H7188" s="417" t="s">
        <v>2616</v>
      </c>
      <c r="I7188" s="417" t="s">
        <v>1392</v>
      </c>
      <c r="J7188" s="417" t="s">
        <v>15692</v>
      </c>
      <c r="K7188" s="417" t="s">
        <v>16849</v>
      </c>
      <c r="L7188" s="417"/>
      <c r="M7188" s="417" t="s">
        <v>28840</v>
      </c>
    </row>
    <row r="7189" spans="1:13" x14ac:dyDescent="0.25">
      <c r="A7189" s="417" t="s">
        <v>3385</v>
      </c>
      <c r="B7189" s="417" t="s">
        <v>2627</v>
      </c>
      <c r="C7189" s="417" t="s">
        <v>16850</v>
      </c>
      <c r="D7189" s="417" t="s">
        <v>73</v>
      </c>
      <c r="E7189" s="423">
        <v>4.3401800061964469E-3</v>
      </c>
      <c r="F7189" s="423">
        <v>3.4989656016889018E-5</v>
      </c>
      <c r="G7189" s="422">
        <v>16.911046865918031</v>
      </c>
      <c r="H7189" s="417" t="s">
        <v>2616</v>
      </c>
      <c r="I7189" s="417" t="s">
        <v>1392</v>
      </c>
      <c r="J7189" s="417" t="s">
        <v>15692</v>
      </c>
      <c r="K7189" s="417" t="s">
        <v>16851</v>
      </c>
      <c r="L7189" s="417"/>
      <c r="M7189" s="417" t="s">
        <v>28840</v>
      </c>
    </row>
    <row r="7190" spans="1:13" x14ac:dyDescent="0.25">
      <c r="A7190" s="417" t="s">
        <v>3385</v>
      </c>
      <c r="B7190" s="417" t="s">
        <v>2627</v>
      </c>
      <c r="C7190" s="417" t="s">
        <v>16852</v>
      </c>
      <c r="D7190" s="417" t="s">
        <v>73</v>
      </c>
      <c r="E7190" s="423">
        <v>2.018810101871895E-4</v>
      </c>
      <c r="F7190" s="423">
        <v>2.5697657483565388E-7</v>
      </c>
      <c r="G7190" s="422">
        <v>0.2448519531803951</v>
      </c>
      <c r="H7190" s="417" t="s">
        <v>2616</v>
      </c>
      <c r="I7190" s="417" t="s">
        <v>1392</v>
      </c>
      <c r="J7190" s="417" t="s">
        <v>15692</v>
      </c>
      <c r="K7190" s="417" t="s">
        <v>16853</v>
      </c>
      <c r="L7190" s="417"/>
      <c r="M7190" s="417" t="s">
        <v>28840</v>
      </c>
    </row>
    <row r="7191" spans="1:13" x14ac:dyDescent="0.25">
      <c r="A7191" s="417" t="s">
        <v>3385</v>
      </c>
      <c r="B7191" s="417" t="s">
        <v>2627</v>
      </c>
      <c r="C7191" s="417" t="s">
        <v>16854</v>
      </c>
      <c r="D7191" s="417" t="s">
        <v>73</v>
      </c>
      <c r="E7191" s="423">
        <v>2.018810101871895E-4</v>
      </c>
      <c r="F7191" s="423">
        <v>2.5697657483565388E-7</v>
      </c>
      <c r="G7191" s="422">
        <v>0.2448519531803951</v>
      </c>
      <c r="H7191" s="417" t="s">
        <v>2616</v>
      </c>
      <c r="I7191" s="417" t="s">
        <v>1392</v>
      </c>
      <c r="J7191" s="417" t="s">
        <v>15692</v>
      </c>
      <c r="K7191" s="417" t="s">
        <v>16855</v>
      </c>
      <c r="L7191" s="417"/>
      <c r="M7191" s="417" t="s">
        <v>28840</v>
      </c>
    </row>
    <row r="7192" spans="1:13" x14ac:dyDescent="0.25">
      <c r="A7192" s="417" t="s">
        <v>3385</v>
      </c>
      <c r="B7192" s="417" t="s">
        <v>2627</v>
      </c>
      <c r="C7192" s="417" t="s">
        <v>16856</v>
      </c>
      <c r="D7192" s="417" t="s">
        <v>73</v>
      </c>
      <c r="E7192" s="423">
        <v>2.3090847401241921E-4</v>
      </c>
      <c r="F7192" s="423">
        <v>2.259854384331048E-7</v>
      </c>
      <c r="G7192" s="422">
        <v>0.28044774541504502</v>
      </c>
      <c r="H7192" s="417" t="s">
        <v>2616</v>
      </c>
      <c r="I7192" s="417" t="s">
        <v>1392</v>
      </c>
      <c r="J7192" s="417" t="s">
        <v>15692</v>
      </c>
      <c r="K7192" s="417" t="s">
        <v>16857</v>
      </c>
      <c r="L7192" s="417"/>
      <c r="M7192" s="417" t="s">
        <v>28840</v>
      </c>
    </row>
    <row r="7193" spans="1:13" x14ac:dyDescent="0.25">
      <c r="A7193" s="417" t="s">
        <v>3385</v>
      </c>
      <c r="B7193" s="417" t="s">
        <v>2627</v>
      </c>
      <c r="C7193" s="417" t="s">
        <v>16858</v>
      </c>
      <c r="D7193" s="417" t="s">
        <v>73</v>
      </c>
      <c r="E7193" s="423">
        <v>2.3090847401241921E-4</v>
      </c>
      <c r="F7193" s="423">
        <v>2.259854384331048E-7</v>
      </c>
      <c r="G7193" s="422">
        <v>0.28044774541504502</v>
      </c>
      <c r="H7193" s="417" t="s">
        <v>2616</v>
      </c>
      <c r="I7193" s="417" t="s">
        <v>1392</v>
      </c>
      <c r="J7193" s="417" t="s">
        <v>15692</v>
      </c>
      <c r="K7193" s="417" t="s">
        <v>16859</v>
      </c>
      <c r="L7193" s="417"/>
      <c r="M7193" s="417" t="s">
        <v>28840</v>
      </c>
    </row>
    <row r="7194" spans="1:13" x14ac:dyDescent="0.25">
      <c r="A7194" s="417" t="s">
        <v>3385</v>
      </c>
      <c r="B7194" s="417" t="s">
        <v>2627</v>
      </c>
      <c r="C7194" s="417" t="s">
        <v>16860</v>
      </c>
      <c r="D7194" s="417" t="s">
        <v>73</v>
      </c>
      <c r="E7194" s="423">
        <v>2.3090847401241921E-4</v>
      </c>
      <c r="F7194" s="423">
        <v>2.259854384331048E-7</v>
      </c>
      <c r="G7194" s="422">
        <v>0.28044774541504502</v>
      </c>
      <c r="H7194" s="417" t="s">
        <v>2616</v>
      </c>
      <c r="I7194" s="417" t="s">
        <v>1392</v>
      </c>
      <c r="J7194" s="417" t="s">
        <v>15692</v>
      </c>
      <c r="K7194" s="417" t="s">
        <v>16861</v>
      </c>
      <c r="L7194" s="417"/>
      <c r="M7194" s="417" t="s">
        <v>28840</v>
      </c>
    </row>
    <row r="7195" spans="1:13" x14ac:dyDescent="0.25">
      <c r="A7195" s="417" t="s">
        <v>3385</v>
      </c>
      <c r="B7195" s="417" t="s">
        <v>2627</v>
      </c>
      <c r="C7195" s="417" t="s">
        <v>16862</v>
      </c>
      <c r="D7195" s="417" t="s">
        <v>73</v>
      </c>
      <c r="E7195" s="423">
        <v>2.3090847401241921E-4</v>
      </c>
      <c r="F7195" s="423">
        <v>2.259854384331048E-7</v>
      </c>
      <c r="G7195" s="422">
        <v>0.28044774541504502</v>
      </c>
      <c r="H7195" s="417" t="s">
        <v>2616</v>
      </c>
      <c r="I7195" s="417" t="s">
        <v>1392</v>
      </c>
      <c r="J7195" s="417" t="s">
        <v>15692</v>
      </c>
      <c r="K7195" s="417" t="s">
        <v>16863</v>
      </c>
      <c r="L7195" s="417"/>
      <c r="M7195" s="417" t="s">
        <v>28840</v>
      </c>
    </row>
    <row r="7196" spans="1:13" x14ac:dyDescent="0.25">
      <c r="A7196" s="417" t="s">
        <v>3385</v>
      </c>
      <c r="B7196" s="417" t="s">
        <v>2627</v>
      </c>
      <c r="C7196" s="417" t="s">
        <v>16864</v>
      </c>
      <c r="D7196" s="417" t="s">
        <v>73</v>
      </c>
      <c r="E7196" s="423">
        <v>2.3090847401241921E-4</v>
      </c>
      <c r="F7196" s="423">
        <v>2.259854384331048E-7</v>
      </c>
      <c r="G7196" s="422">
        <v>0.28044774541504502</v>
      </c>
      <c r="H7196" s="417" t="s">
        <v>2616</v>
      </c>
      <c r="I7196" s="417" t="s">
        <v>1392</v>
      </c>
      <c r="J7196" s="417" t="s">
        <v>15692</v>
      </c>
      <c r="K7196" s="417" t="s">
        <v>16865</v>
      </c>
      <c r="L7196" s="417"/>
      <c r="M7196" s="417" t="s">
        <v>28840</v>
      </c>
    </row>
    <row r="7197" spans="1:13" x14ac:dyDescent="0.25">
      <c r="A7197" s="417" t="s">
        <v>3385</v>
      </c>
      <c r="B7197" s="417" t="s">
        <v>2627</v>
      </c>
      <c r="C7197" s="417" t="s">
        <v>16866</v>
      </c>
      <c r="D7197" s="417" t="s">
        <v>73</v>
      </c>
      <c r="E7197" s="423">
        <v>8.936656979911738E-3</v>
      </c>
      <c r="F7197" s="423">
        <v>1.3960093079476999E-4</v>
      </c>
      <c r="G7197" s="422">
        <v>25.42817580714572</v>
      </c>
      <c r="H7197" s="417" t="s">
        <v>2616</v>
      </c>
      <c r="I7197" s="417" t="s">
        <v>1392</v>
      </c>
      <c r="J7197" s="417" t="s">
        <v>15692</v>
      </c>
      <c r="K7197" s="417" t="s">
        <v>16867</v>
      </c>
      <c r="L7197" s="417"/>
      <c r="M7197" s="417" t="s">
        <v>28840</v>
      </c>
    </row>
    <row r="7198" spans="1:13" x14ac:dyDescent="0.25">
      <c r="A7198" s="417" t="s">
        <v>3385</v>
      </c>
      <c r="B7198" s="417" t="s">
        <v>2627</v>
      </c>
      <c r="C7198" s="417" t="s">
        <v>16868</v>
      </c>
      <c r="D7198" s="417" t="s">
        <v>73</v>
      </c>
      <c r="E7198" s="423">
        <v>8.936656979911738E-3</v>
      </c>
      <c r="F7198" s="423">
        <v>1.3960093079476999E-4</v>
      </c>
      <c r="G7198" s="422">
        <v>25.42817580714572</v>
      </c>
      <c r="H7198" s="417" t="s">
        <v>2616</v>
      </c>
      <c r="I7198" s="417" t="s">
        <v>1392</v>
      </c>
      <c r="J7198" s="417" t="s">
        <v>15692</v>
      </c>
      <c r="K7198" s="417" t="s">
        <v>16869</v>
      </c>
      <c r="L7198" s="417"/>
      <c r="M7198" s="417" t="s">
        <v>28840</v>
      </c>
    </row>
    <row r="7199" spans="1:13" x14ac:dyDescent="0.25">
      <c r="A7199" s="417" t="s">
        <v>3385</v>
      </c>
      <c r="B7199" s="417" t="s">
        <v>2627</v>
      </c>
      <c r="C7199" s="417" t="s">
        <v>16870</v>
      </c>
      <c r="D7199" s="417" t="s">
        <v>73</v>
      </c>
      <c r="E7199" s="423">
        <v>9.0953752600944782E-3</v>
      </c>
      <c r="F7199" s="423">
        <v>1.40176359597766E-4</v>
      </c>
      <c r="G7199" s="422">
        <v>25.63847855944989</v>
      </c>
      <c r="H7199" s="417" t="s">
        <v>2616</v>
      </c>
      <c r="I7199" s="417" t="s">
        <v>1392</v>
      </c>
      <c r="J7199" s="417" t="s">
        <v>15692</v>
      </c>
      <c r="K7199" s="417" t="s">
        <v>16871</v>
      </c>
      <c r="L7199" s="417"/>
      <c r="M7199" s="417" t="s">
        <v>28840</v>
      </c>
    </row>
    <row r="7200" spans="1:13" x14ac:dyDescent="0.25">
      <c r="A7200" s="417" t="s">
        <v>3385</v>
      </c>
      <c r="B7200" s="417" t="s">
        <v>2627</v>
      </c>
      <c r="C7200" s="417" t="s">
        <v>16872</v>
      </c>
      <c r="D7200" s="417" t="s">
        <v>73</v>
      </c>
      <c r="E7200" s="423">
        <v>4.4136319796670057E-2</v>
      </c>
      <c r="F7200" s="423">
        <v>8.3739919940267944E-5</v>
      </c>
      <c r="G7200" s="422">
        <v>65.053648020651124</v>
      </c>
      <c r="H7200" s="417" t="s">
        <v>2616</v>
      </c>
      <c r="I7200" s="417" t="s">
        <v>1392</v>
      </c>
      <c r="J7200" s="417" t="s">
        <v>15692</v>
      </c>
      <c r="K7200" s="417" t="s">
        <v>16873</v>
      </c>
      <c r="L7200" s="417"/>
      <c r="M7200" s="417" t="s">
        <v>28840</v>
      </c>
    </row>
    <row r="7201" spans="1:13" x14ac:dyDescent="0.25">
      <c r="A7201" s="417" t="s">
        <v>3385</v>
      </c>
      <c r="B7201" s="417" t="s">
        <v>2627</v>
      </c>
      <c r="C7201" s="417" t="s">
        <v>16874</v>
      </c>
      <c r="D7201" s="417" t="s">
        <v>73</v>
      </c>
      <c r="E7201" s="423">
        <v>4.4136319796670057E-2</v>
      </c>
      <c r="F7201" s="423">
        <v>8.3739919940267944E-5</v>
      </c>
      <c r="G7201" s="422">
        <v>65.053648020651124</v>
      </c>
      <c r="H7201" s="417" t="s">
        <v>2616</v>
      </c>
      <c r="I7201" s="417" t="s">
        <v>1392</v>
      </c>
      <c r="J7201" s="417" t="s">
        <v>15692</v>
      </c>
      <c r="K7201" s="417" t="s">
        <v>16875</v>
      </c>
      <c r="L7201" s="417"/>
      <c r="M7201" s="417" t="s">
        <v>28840</v>
      </c>
    </row>
    <row r="7202" spans="1:13" x14ac:dyDescent="0.25">
      <c r="A7202" s="417" t="s">
        <v>3385</v>
      </c>
      <c r="B7202" s="417" t="s">
        <v>2627</v>
      </c>
      <c r="C7202" s="417" t="s">
        <v>16876</v>
      </c>
      <c r="D7202" s="417" t="s">
        <v>73</v>
      </c>
      <c r="E7202" s="423">
        <v>4.6332030950513733E-2</v>
      </c>
      <c r="F7202" s="423">
        <v>8.6462312461740943E-5</v>
      </c>
      <c r="G7202" s="422">
        <v>67.673239907251428</v>
      </c>
      <c r="H7202" s="417" t="s">
        <v>2616</v>
      </c>
      <c r="I7202" s="417" t="s">
        <v>1392</v>
      </c>
      <c r="J7202" s="417" t="s">
        <v>15692</v>
      </c>
      <c r="K7202" s="417" t="s">
        <v>16877</v>
      </c>
      <c r="L7202" s="417"/>
      <c r="M7202" s="417" t="s">
        <v>28840</v>
      </c>
    </row>
    <row r="7203" spans="1:13" x14ac:dyDescent="0.25">
      <c r="A7203" s="417" t="s">
        <v>3385</v>
      </c>
      <c r="B7203" s="417" t="s">
        <v>2627</v>
      </c>
      <c r="C7203" s="417" t="s">
        <v>16878</v>
      </c>
      <c r="D7203" s="417" t="s">
        <v>73</v>
      </c>
      <c r="E7203" s="423">
        <v>4.4136319796670057E-2</v>
      </c>
      <c r="F7203" s="423">
        <v>8.3739919940267944E-5</v>
      </c>
      <c r="G7203" s="422">
        <v>65.053648020651124</v>
      </c>
      <c r="H7203" s="417" t="s">
        <v>2616</v>
      </c>
      <c r="I7203" s="417" t="s">
        <v>1392</v>
      </c>
      <c r="J7203" s="417" t="s">
        <v>15692</v>
      </c>
      <c r="K7203" s="417" t="s">
        <v>16879</v>
      </c>
      <c r="L7203" s="417"/>
      <c r="M7203" s="417" t="s">
        <v>28840</v>
      </c>
    </row>
    <row r="7204" spans="1:13" x14ac:dyDescent="0.25">
      <c r="A7204" s="417" t="s">
        <v>3385</v>
      </c>
      <c r="B7204" s="417" t="s">
        <v>2627</v>
      </c>
      <c r="C7204" s="417" t="s">
        <v>16880</v>
      </c>
      <c r="D7204" s="417" t="s">
        <v>73</v>
      </c>
      <c r="E7204" s="423">
        <v>4.9183617931243137E-2</v>
      </c>
      <c r="F7204" s="423">
        <v>8.9997696677715584E-5</v>
      </c>
      <c r="G7204" s="422">
        <v>71.075321798046488</v>
      </c>
      <c r="H7204" s="417" t="s">
        <v>2616</v>
      </c>
      <c r="I7204" s="417" t="s">
        <v>1392</v>
      </c>
      <c r="J7204" s="417" t="s">
        <v>15692</v>
      </c>
      <c r="K7204" s="417" t="s">
        <v>16881</v>
      </c>
      <c r="L7204" s="417"/>
      <c r="M7204" s="417" t="s">
        <v>28840</v>
      </c>
    </row>
    <row r="7205" spans="1:13" x14ac:dyDescent="0.25">
      <c r="A7205" s="417" t="s">
        <v>3385</v>
      </c>
      <c r="B7205" s="417" t="s">
        <v>2627</v>
      </c>
      <c r="C7205" s="417" t="s">
        <v>16882</v>
      </c>
      <c r="D7205" s="417" t="s">
        <v>73</v>
      </c>
      <c r="E7205" s="423">
        <v>3.9134697205117967E-2</v>
      </c>
      <c r="F7205" s="423">
        <v>7.7455670459241846E-5</v>
      </c>
      <c r="G7205" s="422">
        <v>59.099875135449587</v>
      </c>
      <c r="H7205" s="417" t="s">
        <v>2616</v>
      </c>
      <c r="I7205" s="417" t="s">
        <v>1392</v>
      </c>
      <c r="J7205" s="417" t="s">
        <v>15692</v>
      </c>
      <c r="K7205" s="417" t="s">
        <v>16883</v>
      </c>
      <c r="L7205" s="417"/>
      <c r="M7205" s="417" t="s">
        <v>28840</v>
      </c>
    </row>
    <row r="7206" spans="1:13" x14ac:dyDescent="0.25">
      <c r="A7206" s="417" t="s">
        <v>3385</v>
      </c>
      <c r="B7206" s="417" t="s">
        <v>2627</v>
      </c>
      <c r="C7206" s="417" t="s">
        <v>16884</v>
      </c>
      <c r="D7206" s="417" t="s">
        <v>73</v>
      </c>
      <c r="E7206" s="423">
        <v>4.0429409223806528E-2</v>
      </c>
      <c r="F7206" s="423">
        <v>7.9143969087710887E-5</v>
      </c>
      <c r="G7206" s="422">
        <v>60.631122388020643</v>
      </c>
      <c r="H7206" s="417" t="s">
        <v>2616</v>
      </c>
      <c r="I7206" s="417" t="s">
        <v>1392</v>
      </c>
      <c r="J7206" s="417" t="s">
        <v>15692</v>
      </c>
      <c r="K7206" s="417" t="s">
        <v>16885</v>
      </c>
      <c r="L7206" s="417"/>
      <c r="M7206" s="417" t="s">
        <v>28840</v>
      </c>
    </row>
    <row r="7207" spans="1:13" x14ac:dyDescent="0.25">
      <c r="A7207" s="417" t="s">
        <v>3385</v>
      </c>
      <c r="B7207" s="417" t="s">
        <v>2627</v>
      </c>
      <c r="C7207" s="417" t="s">
        <v>16886</v>
      </c>
      <c r="D7207" s="417" t="s">
        <v>73</v>
      </c>
      <c r="E7207" s="423">
        <v>1.6094027245382989E-2</v>
      </c>
      <c r="F7207" s="423">
        <v>1.5783968728899669E-4</v>
      </c>
      <c r="G7207" s="422">
        <v>31.99546767962855</v>
      </c>
      <c r="H7207" s="417" t="s">
        <v>2616</v>
      </c>
      <c r="I7207" s="417" t="s">
        <v>1392</v>
      </c>
      <c r="J7207" s="417" t="s">
        <v>15692</v>
      </c>
      <c r="K7207" s="417" t="s">
        <v>16887</v>
      </c>
      <c r="L7207" s="417"/>
      <c r="M7207" s="417" t="s">
        <v>28840</v>
      </c>
    </row>
    <row r="7208" spans="1:13" x14ac:dyDescent="0.25">
      <c r="A7208" s="417" t="s">
        <v>3385</v>
      </c>
      <c r="B7208" s="417" t="s">
        <v>2627</v>
      </c>
      <c r="C7208" s="417" t="s">
        <v>16888</v>
      </c>
      <c r="D7208" s="417" t="s">
        <v>73</v>
      </c>
      <c r="E7208" s="423">
        <v>1.6094027245382989E-2</v>
      </c>
      <c r="F7208" s="423">
        <v>1.5783968728899669E-4</v>
      </c>
      <c r="G7208" s="422">
        <v>31.99546767962855</v>
      </c>
      <c r="H7208" s="417" t="s">
        <v>2616</v>
      </c>
      <c r="I7208" s="417" t="s">
        <v>1392</v>
      </c>
      <c r="J7208" s="417" t="s">
        <v>15692</v>
      </c>
      <c r="K7208" s="417" t="s">
        <v>16889</v>
      </c>
      <c r="L7208" s="417"/>
      <c r="M7208" s="417" t="s">
        <v>28840</v>
      </c>
    </row>
    <row r="7209" spans="1:13" x14ac:dyDescent="0.25">
      <c r="A7209" s="417" t="s">
        <v>3385</v>
      </c>
      <c r="B7209" s="417" t="s">
        <v>2627</v>
      </c>
      <c r="C7209" s="417" t="s">
        <v>16890</v>
      </c>
      <c r="D7209" s="417" t="s">
        <v>73</v>
      </c>
      <c r="E7209" s="423">
        <v>1.6094027245382989E-2</v>
      </c>
      <c r="F7209" s="423">
        <v>1.5783968728899669E-4</v>
      </c>
      <c r="G7209" s="422">
        <v>31.99546767962855</v>
      </c>
      <c r="H7209" s="417" t="s">
        <v>2616</v>
      </c>
      <c r="I7209" s="417" t="s">
        <v>1392</v>
      </c>
      <c r="J7209" s="417" t="s">
        <v>15692</v>
      </c>
      <c r="K7209" s="417" t="s">
        <v>16891</v>
      </c>
      <c r="L7209" s="417"/>
      <c r="M7209" s="417" t="s">
        <v>28840</v>
      </c>
    </row>
    <row r="7210" spans="1:13" x14ac:dyDescent="0.25">
      <c r="A7210" s="417" t="s">
        <v>3385</v>
      </c>
      <c r="B7210" s="417" t="s">
        <v>2627</v>
      </c>
      <c r="C7210" s="417" t="s">
        <v>16892</v>
      </c>
      <c r="D7210" s="417" t="s">
        <v>73</v>
      </c>
      <c r="E7210" s="423">
        <v>1.6094027245382989E-2</v>
      </c>
      <c r="F7210" s="423">
        <v>1.5783968728899669E-4</v>
      </c>
      <c r="G7210" s="422">
        <v>31.99546767962855</v>
      </c>
      <c r="H7210" s="417" t="s">
        <v>2616</v>
      </c>
      <c r="I7210" s="417" t="s">
        <v>1392</v>
      </c>
      <c r="J7210" s="417" t="s">
        <v>15692</v>
      </c>
      <c r="K7210" s="417" t="s">
        <v>16893</v>
      </c>
      <c r="L7210" s="417"/>
      <c r="M7210" s="417" t="s">
        <v>28840</v>
      </c>
    </row>
    <row r="7211" spans="1:13" x14ac:dyDescent="0.25">
      <c r="A7211" s="417" t="s">
        <v>3385</v>
      </c>
      <c r="B7211" s="417" t="s">
        <v>2627</v>
      </c>
      <c r="C7211" s="417" t="s">
        <v>16894</v>
      </c>
      <c r="D7211" s="417" t="s">
        <v>73</v>
      </c>
      <c r="E7211" s="423">
        <v>7.2359325326135076E-3</v>
      </c>
      <c r="F7211" s="423">
        <v>5.3647264837761201E-5</v>
      </c>
      <c r="G7211" s="422">
        <v>20.686628577228731</v>
      </c>
      <c r="H7211" s="417" t="s">
        <v>2616</v>
      </c>
      <c r="I7211" s="417" t="s">
        <v>1392</v>
      </c>
      <c r="J7211" s="417" t="s">
        <v>15692</v>
      </c>
      <c r="K7211" s="417" t="s">
        <v>16895</v>
      </c>
      <c r="L7211" s="417"/>
      <c r="M7211" s="417" t="s">
        <v>28840</v>
      </c>
    </row>
    <row r="7212" spans="1:13" x14ac:dyDescent="0.25">
      <c r="A7212" s="417" t="s">
        <v>3385</v>
      </c>
      <c r="B7212" s="417" t="s">
        <v>2627</v>
      </c>
      <c r="C7212" s="417" t="s">
        <v>16896</v>
      </c>
      <c r="D7212" s="417" t="s">
        <v>83</v>
      </c>
      <c r="E7212" s="423">
        <v>0.72553586710001361</v>
      </c>
      <c r="F7212" s="423">
        <v>1.5209890279745239E-2</v>
      </c>
      <c r="G7212" s="422">
        <v>1396.450455017917</v>
      </c>
      <c r="H7212" s="417" t="s">
        <v>2616</v>
      </c>
      <c r="I7212" s="417" t="s">
        <v>1392</v>
      </c>
      <c r="J7212" s="417" t="s">
        <v>14271</v>
      </c>
      <c r="K7212" s="417" t="s">
        <v>16897</v>
      </c>
      <c r="L7212" s="417"/>
      <c r="M7212" s="417" t="s">
        <v>28840</v>
      </c>
    </row>
    <row r="7213" spans="1:13" x14ac:dyDescent="0.25">
      <c r="A7213" s="417" t="s">
        <v>3385</v>
      </c>
      <c r="B7213" s="417" t="s">
        <v>2627</v>
      </c>
      <c r="C7213" s="417" t="s">
        <v>16898</v>
      </c>
      <c r="D7213" s="417" t="s">
        <v>83</v>
      </c>
      <c r="E7213" s="423">
        <v>0.68241706494873033</v>
      </c>
      <c r="F7213" s="423">
        <v>1.295208390285638E-2</v>
      </c>
      <c r="G7213" s="422">
        <v>1323.6499746431521</v>
      </c>
      <c r="H7213" s="417" t="s">
        <v>2616</v>
      </c>
      <c r="I7213" s="417" t="s">
        <v>1392</v>
      </c>
      <c r="J7213" s="417" t="s">
        <v>14271</v>
      </c>
      <c r="K7213" s="417" t="s">
        <v>16899</v>
      </c>
      <c r="L7213" s="417"/>
      <c r="M7213" s="417" t="s">
        <v>28840</v>
      </c>
    </row>
    <row r="7214" spans="1:13" x14ac:dyDescent="0.25">
      <c r="A7214" s="417" t="s">
        <v>3385</v>
      </c>
      <c r="B7214" s="417" t="s">
        <v>2627</v>
      </c>
      <c r="C7214" s="417" t="s">
        <v>16900</v>
      </c>
      <c r="D7214" s="417" t="s">
        <v>83</v>
      </c>
      <c r="E7214" s="423">
        <v>0.65277288847378123</v>
      </c>
      <c r="F7214" s="423">
        <v>1.1399842018943869E-2</v>
      </c>
      <c r="G7214" s="422">
        <v>1273.5996445845251</v>
      </c>
      <c r="H7214" s="417" t="s">
        <v>2616</v>
      </c>
      <c r="I7214" s="417" t="s">
        <v>1392</v>
      </c>
      <c r="J7214" s="417" t="s">
        <v>14271</v>
      </c>
      <c r="K7214" s="417" t="s">
        <v>16901</v>
      </c>
      <c r="L7214" s="417"/>
      <c r="M7214" s="417" t="s">
        <v>28840</v>
      </c>
    </row>
    <row r="7215" spans="1:13" x14ac:dyDescent="0.25">
      <c r="A7215" s="417" t="s">
        <v>3385</v>
      </c>
      <c r="B7215" s="417" t="s">
        <v>2627</v>
      </c>
      <c r="C7215" s="417" t="s">
        <v>16902</v>
      </c>
      <c r="D7215" s="417" t="s">
        <v>83</v>
      </c>
      <c r="E7215" s="423">
        <v>1.0381471826641731</v>
      </c>
      <c r="F7215" s="423">
        <v>3.1578986512133637E-2</v>
      </c>
      <c r="G7215" s="422">
        <v>1924.2539371325429</v>
      </c>
      <c r="H7215" s="417" t="s">
        <v>2616</v>
      </c>
      <c r="I7215" s="417" t="s">
        <v>1392</v>
      </c>
      <c r="J7215" s="417" t="s">
        <v>14271</v>
      </c>
      <c r="K7215" s="417" t="s">
        <v>16903</v>
      </c>
      <c r="L7215" s="417"/>
      <c r="M7215" s="417" t="s">
        <v>28840</v>
      </c>
    </row>
    <row r="7216" spans="1:13" x14ac:dyDescent="0.25">
      <c r="A7216" s="417" t="s">
        <v>3385</v>
      </c>
      <c r="B7216" s="417" t="s">
        <v>2627</v>
      </c>
      <c r="C7216" s="417" t="s">
        <v>16904</v>
      </c>
      <c r="D7216" s="417" t="s">
        <v>83</v>
      </c>
      <c r="E7216" s="423">
        <v>0.73362064249651493</v>
      </c>
      <c r="F7216" s="423">
        <v>1.563322897534844E-2</v>
      </c>
      <c r="G7216" s="422">
        <v>1410.1005450175489</v>
      </c>
      <c r="H7216" s="417" t="s">
        <v>2616</v>
      </c>
      <c r="I7216" s="417" t="s">
        <v>1392</v>
      </c>
      <c r="J7216" s="417" t="s">
        <v>14271</v>
      </c>
      <c r="K7216" s="417" t="s">
        <v>16905</v>
      </c>
      <c r="L7216" s="417"/>
      <c r="M7216" s="417" t="s">
        <v>28840</v>
      </c>
    </row>
    <row r="7217" spans="1:13" x14ac:dyDescent="0.25">
      <c r="A7217" s="417" t="s">
        <v>3385</v>
      </c>
      <c r="B7217" s="417" t="s">
        <v>2627</v>
      </c>
      <c r="C7217" s="417" t="s">
        <v>16906</v>
      </c>
      <c r="D7217" s="417" t="s">
        <v>83</v>
      </c>
      <c r="E7217" s="423">
        <v>0.70667139115778388</v>
      </c>
      <c r="F7217" s="423">
        <v>1.4222099989897589E-2</v>
      </c>
      <c r="G7217" s="422">
        <v>1364.600244943761</v>
      </c>
      <c r="H7217" s="417" t="s">
        <v>2616</v>
      </c>
      <c r="I7217" s="417" t="s">
        <v>1392</v>
      </c>
      <c r="J7217" s="417" t="s">
        <v>14271</v>
      </c>
      <c r="K7217" s="417" t="s">
        <v>16907</v>
      </c>
      <c r="L7217" s="417"/>
      <c r="M7217" s="417" t="s">
        <v>28840</v>
      </c>
    </row>
    <row r="7218" spans="1:13" x14ac:dyDescent="0.25">
      <c r="A7218" s="417" t="s">
        <v>3385</v>
      </c>
      <c r="B7218" s="417" t="s">
        <v>2627</v>
      </c>
      <c r="C7218" s="417" t="s">
        <v>16908</v>
      </c>
      <c r="D7218" s="417" t="s">
        <v>83</v>
      </c>
      <c r="E7218" s="423">
        <v>0.72014601682791568</v>
      </c>
      <c r="F7218" s="423">
        <v>1.492766448257222E-2</v>
      </c>
      <c r="G7218" s="422">
        <v>1387.3503951339601</v>
      </c>
      <c r="H7218" s="417" t="s">
        <v>2616</v>
      </c>
      <c r="I7218" s="417" t="s">
        <v>1392</v>
      </c>
      <c r="J7218" s="417" t="s">
        <v>14271</v>
      </c>
      <c r="K7218" s="417" t="s">
        <v>16909</v>
      </c>
      <c r="L7218" s="417"/>
      <c r="M7218" s="417" t="s">
        <v>28840</v>
      </c>
    </row>
    <row r="7219" spans="1:13" x14ac:dyDescent="0.25">
      <c r="A7219" s="417" t="s">
        <v>3385</v>
      </c>
      <c r="B7219" s="417" t="s">
        <v>2627</v>
      </c>
      <c r="C7219" s="417" t="s">
        <v>16910</v>
      </c>
      <c r="D7219" s="417" t="s">
        <v>83</v>
      </c>
      <c r="E7219" s="423">
        <v>0.71745109169445409</v>
      </c>
      <c r="F7219" s="423">
        <v>1.478655158408719E-2</v>
      </c>
      <c r="G7219" s="422">
        <v>1382.8003650845669</v>
      </c>
      <c r="H7219" s="417" t="s">
        <v>2616</v>
      </c>
      <c r="I7219" s="417" t="s">
        <v>1392</v>
      </c>
      <c r="J7219" s="417" t="s">
        <v>14271</v>
      </c>
      <c r="K7219" s="417" t="s">
        <v>16911</v>
      </c>
      <c r="L7219" s="417"/>
      <c r="M7219" s="417" t="s">
        <v>28840</v>
      </c>
    </row>
    <row r="7220" spans="1:13" x14ac:dyDescent="0.25">
      <c r="A7220" s="417" t="s">
        <v>3385</v>
      </c>
      <c r="B7220" s="417" t="s">
        <v>2627</v>
      </c>
      <c r="C7220" s="417" t="s">
        <v>16912</v>
      </c>
      <c r="D7220" s="417" t="s">
        <v>83</v>
      </c>
      <c r="E7220" s="423">
        <v>0.51533170662544048</v>
      </c>
      <c r="F7220" s="423">
        <v>4.2030841923156757E-3</v>
      </c>
      <c r="G7220" s="422">
        <v>1041.548113732018</v>
      </c>
      <c r="H7220" s="417" t="s">
        <v>2616</v>
      </c>
      <c r="I7220" s="417" t="s">
        <v>1392</v>
      </c>
      <c r="J7220" s="417" t="s">
        <v>14271</v>
      </c>
      <c r="K7220" s="417" t="s">
        <v>16913</v>
      </c>
      <c r="L7220" s="417"/>
      <c r="M7220" s="417" t="s">
        <v>28840</v>
      </c>
    </row>
    <row r="7221" spans="1:13" x14ac:dyDescent="0.25">
      <c r="A7221" s="417" t="s">
        <v>3385</v>
      </c>
      <c r="B7221" s="417" t="s">
        <v>2627</v>
      </c>
      <c r="C7221" s="417" t="s">
        <v>16914</v>
      </c>
      <c r="D7221" s="417" t="s">
        <v>83</v>
      </c>
      <c r="E7221" s="423">
        <v>0.76595974410572976</v>
      </c>
      <c r="F7221" s="423">
        <v>1.7326583757884439E-2</v>
      </c>
      <c r="G7221" s="422">
        <v>1464.700905235085</v>
      </c>
      <c r="H7221" s="417" t="s">
        <v>2616</v>
      </c>
      <c r="I7221" s="417" t="s">
        <v>1392</v>
      </c>
      <c r="J7221" s="417" t="s">
        <v>14271</v>
      </c>
      <c r="K7221" s="417" t="s">
        <v>16915</v>
      </c>
      <c r="L7221" s="417"/>
      <c r="M7221" s="417" t="s">
        <v>28840</v>
      </c>
    </row>
    <row r="7222" spans="1:13" x14ac:dyDescent="0.25">
      <c r="A7222" s="417" t="s">
        <v>3385</v>
      </c>
      <c r="B7222" s="417" t="s">
        <v>2627</v>
      </c>
      <c r="C7222" s="417" t="s">
        <v>16916</v>
      </c>
      <c r="D7222" s="417" t="s">
        <v>83</v>
      </c>
      <c r="E7222" s="423">
        <v>0.93302676960263142</v>
      </c>
      <c r="F7222" s="423">
        <v>2.607462351666311E-2</v>
      </c>
      <c r="G7222" s="422">
        <v>1746.7718138455141</v>
      </c>
      <c r="H7222" s="417" t="s">
        <v>2616</v>
      </c>
      <c r="I7222" s="417" t="s">
        <v>1392</v>
      </c>
      <c r="J7222" s="417" t="s">
        <v>14271</v>
      </c>
      <c r="K7222" s="417" t="s">
        <v>16917</v>
      </c>
      <c r="L7222" s="417"/>
      <c r="M7222" s="417" t="s">
        <v>28840</v>
      </c>
    </row>
    <row r="7223" spans="1:13" x14ac:dyDescent="0.25">
      <c r="A7223" s="417" t="s">
        <v>3385</v>
      </c>
      <c r="B7223" s="417" t="s">
        <v>2627</v>
      </c>
      <c r="C7223" s="417" t="s">
        <v>16918</v>
      </c>
      <c r="D7223" s="417" t="s">
        <v>83</v>
      </c>
      <c r="E7223" s="423">
        <v>0.95729942863051998</v>
      </c>
      <c r="F7223" s="423">
        <v>2.734559955524548E-2</v>
      </c>
      <c r="G7223" s="422">
        <v>1787.753036248401</v>
      </c>
      <c r="H7223" s="417" t="s">
        <v>2616</v>
      </c>
      <c r="I7223" s="417" t="s">
        <v>1392</v>
      </c>
      <c r="J7223" s="417" t="s">
        <v>14271</v>
      </c>
      <c r="K7223" s="417" t="s">
        <v>16919</v>
      </c>
      <c r="L7223" s="417"/>
      <c r="M7223" s="417" t="s">
        <v>28840</v>
      </c>
    </row>
    <row r="7224" spans="1:13" x14ac:dyDescent="0.25">
      <c r="A7224" s="417" t="s">
        <v>3385</v>
      </c>
      <c r="B7224" s="417" t="s">
        <v>2627</v>
      </c>
      <c r="C7224" s="417" t="s">
        <v>16920</v>
      </c>
      <c r="D7224" s="417" t="s">
        <v>83</v>
      </c>
      <c r="E7224" s="423">
        <v>0.99770497282675075</v>
      </c>
      <c r="F7224" s="423">
        <v>2.9461333081879471E-2</v>
      </c>
      <c r="G7224" s="422">
        <v>1855.9725341626161</v>
      </c>
      <c r="H7224" s="417" t="s">
        <v>2616</v>
      </c>
      <c r="I7224" s="417" t="s">
        <v>1392</v>
      </c>
      <c r="J7224" s="417" t="s">
        <v>14271</v>
      </c>
      <c r="K7224" s="417" t="s">
        <v>16921</v>
      </c>
      <c r="L7224" s="417"/>
      <c r="M7224" s="417" t="s">
        <v>28840</v>
      </c>
    </row>
    <row r="7225" spans="1:13" x14ac:dyDescent="0.25">
      <c r="A7225" s="417" t="s">
        <v>3385</v>
      </c>
      <c r="B7225" s="417" t="s">
        <v>2627</v>
      </c>
      <c r="C7225" s="417" t="s">
        <v>16922</v>
      </c>
      <c r="D7225" s="417" t="s">
        <v>83</v>
      </c>
      <c r="E7225" s="423">
        <v>0.94380647014064445</v>
      </c>
      <c r="F7225" s="423">
        <v>2.6639075110995211E-2</v>
      </c>
      <c r="G7225" s="422">
        <v>1764.971933832169</v>
      </c>
      <c r="H7225" s="417" t="s">
        <v>2616</v>
      </c>
      <c r="I7225" s="417" t="s">
        <v>1392</v>
      </c>
      <c r="J7225" s="417" t="s">
        <v>14271</v>
      </c>
      <c r="K7225" s="417" t="s">
        <v>16923</v>
      </c>
      <c r="L7225" s="417"/>
      <c r="M7225" s="417" t="s">
        <v>28840</v>
      </c>
    </row>
    <row r="7226" spans="1:13" x14ac:dyDescent="0.25">
      <c r="A7226" s="417" t="s">
        <v>3385</v>
      </c>
      <c r="B7226" s="417" t="s">
        <v>2627</v>
      </c>
      <c r="C7226" s="417" t="s">
        <v>16924</v>
      </c>
      <c r="D7226" s="417" t="s">
        <v>83</v>
      </c>
      <c r="E7226" s="423">
        <v>0.71745109169445409</v>
      </c>
      <c r="F7226" s="423">
        <v>1.478655158408719E-2</v>
      </c>
      <c r="G7226" s="422">
        <v>1382.8003650845669</v>
      </c>
      <c r="H7226" s="417" t="s">
        <v>2616</v>
      </c>
      <c r="I7226" s="417" t="s">
        <v>1392</v>
      </c>
      <c r="J7226" s="417" t="s">
        <v>14271</v>
      </c>
      <c r="K7226" s="417" t="s">
        <v>16925</v>
      </c>
      <c r="L7226" s="417"/>
      <c r="M7226" s="417" t="s">
        <v>28840</v>
      </c>
    </row>
    <row r="7227" spans="1:13" x14ac:dyDescent="0.25">
      <c r="A7227" s="417" t="s">
        <v>3385</v>
      </c>
      <c r="B7227" s="417" t="s">
        <v>2627</v>
      </c>
      <c r="C7227" s="417" t="s">
        <v>16926</v>
      </c>
      <c r="D7227" s="417" t="s">
        <v>83</v>
      </c>
      <c r="E7227" s="423">
        <v>0.51533170662544048</v>
      </c>
      <c r="F7227" s="423">
        <v>4.2030841923156757E-3</v>
      </c>
      <c r="G7227" s="422">
        <v>1041.548113732018</v>
      </c>
      <c r="H7227" s="417" t="s">
        <v>2616</v>
      </c>
      <c r="I7227" s="417" t="s">
        <v>1392</v>
      </c>
      <c r="J7227" s="417" t="s">
        <v>14271</v>
      </c>
      <c r="K7227" s="417" t="s">
        <v>16927</v>
      </c>
      <c r="L7227" s="417"/>
      <c r="M7227" s="417" t="s">
        <v>28840</v>
      </c>
    </row>
    <row r="7228" spans="1:13" x14ac:dyDescent="0.25">
      <c r="A7228" s="417" t="s">
        <v>3385</v>
      </c>
      <c r="B7228" s="417" t="s">
        <v>2627</v>
      </c>
      <c r="C7228" s="417" t="s">
        <v>16928</v>
      </c>
      <c r="D7228" s="417" t="s">
        <v>83</v>
      </c>
      <c r="E7228" s="423">
        <v>0.75248511843531884</v>
      </c>
      <c r="F7228" s="423">
        <v>1.6621019265318969E-2</v>
      </c>
      <c r="G7228" s="422">
        <v>1441.950755456055</v>
      </c>
      <c r="H7228" s="417" t="s">
        <v>2616</v>
      </c>
      <c r="I7228" s="417" t="s">
        <v>1392</v>
      </c>
      <c r="J7228" s="417" t="s">
        <v>14271</v>
      </c>
      <c r="K7228" s="417" t="s">
        <v>16929</v>
      </c>
      <c r="L7228" s="417"/>
      <c r="M7228" s="417" t="s">
        <v>28840</v>
      </c>
    </row>
    <row r="7229" spans="1:13" x14ac:dyDescent="0.25">
      <c r="A7229" s="417" t="s">
        <v>3385</v>
      </c>
      <c r="B7229" s="417" t="s">
        <v>2627</v>
      </c>
      <c r="C7229" s="417" t="s">
        <v>16930</v>
      </c>
      <c r="D7229" s="417" t="s">
        <v>83</v>
      </c>
      <c r="E7229" s="423">
        <v>0.75518004357291024</v>
      </c>
      <c r="F7229" s="423">
        <v>1.6762132163590269E-2</v>
      </c>
      <c r="G7229" s="422">
        <v>1446.5007853931261</v>
      </c>
      <c r="H7229" s="417" t="s">
        <v>2616</v>
      </c>
      <c r="I7229" s="417" t="s">
        <v>1392</v>
      </c>
      <c r="J7229" s="417" t="s">
        <v>14271</v>
      </c>
      <c r="K7229" s="417" t="s">
        <v>16931</v>
      </c>
      <c r="L7229" s="417"/>
      <c r="M7229" s="417" t="s">
        <v>28840</v>
      </c>
    </row>
    <row r="7230" spans="1:13" x14ac:dyDescent="0.25">
      <c r="A7230" s="417" t="s">
        <v>3385</v>
      </c>
      <c r="B7230" s="417" t="s">
        <v>2627</v>
      </c>
      <c r="C7230" s="417" t="s">
        <v>16932</v>
      </c>
      <c r="D7230" s="417" t="s">
        <v>83</v>
      </c>
      <c r="E7230" s="423">
        <v>0.51533170662544048</v>
      </c>
      <c r="F7230" s="423">
        <v>4.2030841923156757E-3</v>
      </c>
      <c r="G7230" s="422">
        <v>1041.548113732018</v>
      </c>
      <c r="H7230" s="417" t="s">
        <v>2616</v>
      </c>
      <c r="I7230" s="417" t="s">
        <v>1392</v>
      </c>
      <c r="J7230" s="417" t="s">
        <v>14271</v>
      </c>
      <c r="K7230" s="417" t="s">
        <v>16933</v>
      </c>
      <c r="L7230" s="417"/>
      <c r="M7230" s="417" t="s">
        <v>28840</v>
      </c>
    </row>
    <row r="7231" spans="1:13" x14ac:dyDescent="0.25">
      <c r="A7231" s="417" t="s">
        <v>3385</v>
      </c>
      <c r="B7231" s="417" t="s">
        <v>2627</v>
      </c>
      <c r="C7231" s="417" t="s">
        <v>16934</v>
      </c>
      <c r="D7231" s="417" t="s">
        <v>83</v>
      </c>
      <c r="E7231" s="423">
        <v>1.0704862842732319</v>
      </c>
      <c r="F7231" s="423">
        <v>3.3272341294667142E-2</v>
      </c>
      <c r="G7231" s="422">
        <v>1978.8542976241461</v>
      </c>
      <c r="H7231" s="417" t="s">
        <v>2616</v>
      </c>
      <c r="I7231" s="417" t="s">
        <v>1392</v>
      </c>
      <c r="J7231" s="417" t="s">
        <v>14271</v>
      </c>
      <c r="K7231" s="417" t="s">
        <v>16935</v>
      </c>
      <c r="L7231" s="417"/>
      <c r="M7231" s="417" t="s">
        <v>28840</v>
      </c>
    </row>
    <row r="7232" spans="1:13" x14ac:dyDescent="0.25">
      <c r="A7232" s="417" t="s">
        <v>3385</v>
      </c>
      <c r="B7232" s="417" t="s">
        <v>2627</v>
      </c>
      <c r="C7232" s="417" t="s">
        <v>16936</v>
      </c>
      <c r="D7232" s="417" t="s">
        <v>83</v>
      </c>
      <c r="E7232" s="423">
        <v>0.7767394446420417</v>
      </c>
      <c r="F7232" s="423">
        <v>1.789103535227721E-2</v>
      </c>
      <c r="G7232" s="422">
        <v>1482.9010254992349</v>
      </c>
      <c r="H7232" s="417" t="s">
        <v>2616</v>
      </c>
      <c r="I7232" s="417" t="s">
        <v>1392</v>
      </c>
      <c r="J7232" s="417" t="s">
        <v>14271</v>
      </c>
      <c r="K7232" s="417" t="s">
        <v>16937</v>
      </c>
      <c r="L7232" s="417"/>
      <c r="M7232" s="417" t="s">
        <v>28840</v>
      </c>
    </row>
    <row r="7233" spans="1:13" x14ac:dyDescent="0.25">
      <c r="A7233" s="417" t="s">
        <v>3385</v>
      </c>
      <c r="B7233" s="417" t="s">
        <v>2627</v>
      </c>
      <c r="C7233" s="417" t="s">
        <v>16938</v>
      </c>
      <c r="D7233" s="417" t="s">
        <v>83</v>
      </c>
      <c r="E7233" s="423">
        <v>0.62851856226197267</v>
      </c>
      <c r="F7233" s="423">
        <v>1.0129825931625119E-2</v>
      </c>
      <c r="G7233" s="422">
        <v>1232.6493745856519</v>
      </c>
      <c r="H7233" s="417" t="s">
        <v>2616</v>
      </c>
      <c r="I7233" s="417" t="s">
        <v>1392</v>
      </c>
      <c r="J7233" s="417" t="s">
        <v>14271</v>
      </c>
      <c r="K7233" s="417" t="s">
        <v>16939</v>
      </c>
      <c r="L7233" s="417"/>
      <c r="M7233" s="417" t="s">
        <v>28840</v>
      </c>
    </row>
    <row r="7234" spans="1:13" x14ac:dyDescent="0.25">
      <c r="A7234" s="417" t="s">
        <v>3385</v>
      </c>
      <c r="B7234" s="417" t="s">
        <v>2627</v>
      </c>
      <c r="C7234" s="417" t="s">
        <v>16940</v>
      </c>
      <c r="D7234" s="417" t="s">
        <v>73</v>
      </c>
      <c r="E7234" s="423">
        <v>2.0354381337565841E-2</v>
      </c>
      <c r="F7234" s="423">
        <v>4.2266273415332057E-4</v>
      </c>
      <c r="G7234" s="422">
        <v>39.033123361574809</v>
      </c>
      <c r="H7234" s="417" t="s">
        <v>2616</v>
      </c>
      <c r="I7234" s="417" t="s">
        <v>1392</v>
      </c>
      <c r="J7234" s="417" t="s">
        <v>15692</v>
      </c>
      <c r="K7234" s="417" t="s">
        <v>16941</v>
      </c>
      <c r="L7234" s="417"/>
      <c r="M7234" s="417" t="s">
        <v>28840</v>
      </c>
    </row>
    <row r="7235" spans="1:13" x14ac:dyDescent="0.25">
      <c r="A7235" s="417" t="s">
        <v>3385</v>
      </c>
      <c r="B7235" s="417" t="s">
        <v>2627</v>
      </c>
      <c r="C7235" s="417" t="s">
        <v>16942</v>
      </c>
      <c r="D7235" s="417" t="s">
        <v>73</v>
      </c>
      <c r="E7235" s="423">
        <v>1.9156497895030579E-2</v>
      </c>
      <c r="F7235" s="423">
        <v>3.59938615200746E-4</v>
      </c>
      <c r="G7235" s="422">
        <v>37.01065321048636</v>
      </c>
      <c r="H7235" s="417" t="s">
        <v>2616</v>
      </c>
      <c r="I7235" s="417" t="s">
        <v>1392</v>
      </c>
      <c r="J7235" s="417" t="s">
        <v>15692</v>
      </c>
      <c r="K7235" s="417" t="s">
        <v>16943</v>
      </c>
      <c r="L7235" s="417"/>
      <c r="M7235" s="417" t="s">
        <v>28840</v>
      </c>
    </row>
    <row r="7236" spans="1:13" x14ac:dyDescent="0.25">
      <c r="A7236" s="417" t="s">
        <v>3385</v>
      </c>
      <c r="B7236" s="417" t="s">
        <v>2627</v>
      </c>
      <c r="C7236" s="417" t="s">
        <v>16944</v>
      </c>
      <c r="D7236" s="417" t="s">
        <v>73</v>
      </c>
      <c r="E7236" s="423">
        <v>1.8332953028460761E-2</v>
      </c>
      <c r="F7236" s="423">
        <v>3.1681578341860459E-4</v>
      </c>
      <c r="G7236" s="422">
        <v>35.62020498732884</v>
      </c>
      <c r="H7236" s="417" t="s">
        <v>2616</v>
      </c>
      <c r="I7236" s="417" t="s">
        <v>1392</v>
      </c>
      <c r="J7236" s="417" t="s">
        <v>15692</v>
      </c>
      <c r="K7236" s="417" t="s">
        <v>16945</v>
      </c>
      <c r="L7236" s="417"/>
      <c r="M7236" s="417" t="s">
        <v>28840</v>
      </c>
    </row>
    <row r="7237" spans="1:13" x14ac:dyDescent="0.25">
      <c r="A7237" s="417" t="s">
        <v>3385</v>
      </c>
      <c r="B7237" s="417" t="s">
        <v>2627</v>
      </c>
      <c r="C7237" s="417" t="s">
        <v>16946</v>
      </c>
      <c r="D7237" s="417" t="s">
        <v>73</v>
      </c>
      <c r="E7237" s="423">
        <v>2.9039036295352101E-2</v>
      </c>
      <c r="F7237" s="423">
        <v>8.7741259658687294E-4</v>
      </c>
      <c r="G7237" s="422">
        <v>53.696031874258871</v>
      </c>
      <c r="H7237" s="417" t="s">
        <v>2616</v>
      </c>
      <c r="I7237" s="417" t="s">
        <v>1392</v>
      </c>
      <c r="J7237" s="417" t="s">
        <v>15692</v>
      </c>
      <c r="K7237" s="417" t="s">
        <v>16947</v>
      </c>
      <c r="L7237" s="417"/>
      <c r="M7237" s="417" t="s">
        <v>28840</v>
      </c>
    </row>
    <row r="7238" spans="1:13" x14ac:dyDescent="0.25">
      <c r="A7238" s="417" t="s">
        <v>3385</v>
      </c>
      <c r="B7238" s="417" t="s">
        <v>2627</v>
      </c>
      <c r="C7238" s="417" t="s">
        <v>16948</v>
      </c>
      <c r="D7238" s="417" t="s">
        <v>73</v>
      </c>
      <c r="E7238" s="423">
        <v>2.0578984482901359E-2</v>
      </c>
      <c r="F7238" s="423">
        <v>4.3442350645918869E-4</v>
      </c>
      <c r="G7238" s="422">
        <v>39.412336508303142</v>
      </c>
      <c r="H7238" s="417" t="s">
        <v>2616</v>
      </c>
      <c r="I7238" s="417" t="s">
        <v>1392</v>
      </c>
      <c r="J7238" s="417" t="s">
        <v>15692</v>
      </c>
      <c r="K7238" s="417" t="s">
        <v>16949</v>
      </c>
      <c r="L7238" s="417"/>
      <c r="M7238" s="417" t="s">
        <v>28840</v>
      </c>
    </row>
    <row r="7239" spans="1:13" x14ac:dyDescent="0.25">
      <c r="A7239" s="417" t="s">
        <v>3385</v>
      </c>
      <c r="B7239" s="417" t="s">
        <v>2627</v>
      </c>
      <c r="C7239" s="417" t="s">
        <v>16950</v>
      </c>
      <c r="D7239" s="417" t="s">
        <v>73</v>
      </c>
      <c r="E7239" s="423">
        <v>1.9830307331376369E-2</v>
      </c>
      <c r="F7239" s="423">
        <v>3.9522093211351788E-4</v>
      </c>
      <c r="G7239" s="422">
        <v>38.148292662964771</v>
      </c>
      <c r="H7239" s="417" t="s">
        <v>2616</v>
      </c>
      <c r="I7239" s="417" t="s">
        <v>1392</v>
      </c>
      <c r="J7239" s="417" t="s">
        <v>15692</v>
      </c>
      <c r="K7239" s="417" t="s">
        <v>16951</v>
      </c>
      <c r="L7239" s="417"/>
      <c r="M7239" s="417" t="s">
        <v>28840</v>
      </c>
    </row>
    <row r="7240" spans="1:13" x14ac:dyDescent="0.25">
      <c r="A7240" s="417" t="s">
        <v>3385</v>
      </c>
      <c r="B7240" s="417" t="s">
        <v>2627</v>
      </c>
      <c r="C7240" s="417" t="s">
        <v>16952</v>
      </c>
      <c r="D7240" s="417" t="s">
        <v>73</v>
      </c>
      <c r="E7240" s="423">
        <v>2.0204645907138281E-2</v>
      </c>
      <c r="F7240" s="423">
        <v>4.1482221928882421E-4</v>
      </c>
      <c r="G7240" s="422">
        <v>38.780314597121297</v>
      </c>
      <c r="H7240" s="417" t="s">
        <v>2616</v>
      </c>
      <c r="I7240" s="417" t="s">
        <v>1392</v>
      </c>
      <c r="J7240" s="417" t="s">
        <v>15692</v>
      </c>
      <c r="K7240" s="417" t="s">
        <v>16953</v>
      </c>
      <c r="L7240" s="417"/>
      <c r="M7240" s="417" t="s">
        <v>28840</v>
      </c>
    </row>
    <row r="7241" spans="1:13" x14ac:dyDescent="0.25">
      <c r="A7241" s="417" t="s">
        <v>3385</v>
      </c>
      <c r="B7241" s="417" t="s">
        <v>2627</v>
      </c>
      <c r="C7241" s="417" t="s">
        <v>16954</v>
      </c>
      <c r="D7241" s="417" t="s">
        <v>73</v>
      </c>
      <c r="E7241" s="423">
        <v>2.0129778191975759E-2</v>
      </c>
      <c r="F7241" s="423">
        <v>4.1090196185114791E-4</v>
      </c>
      <c r="G7241" s="422">
        <v>38.653910198385447</v>
      </c>
      <c r="H7241" s="417" t="s">
        <v>2616</v>
      </c>
      <c r="I7241" s="417" t="s">
        <v>1392</v>
      </c>
      <c r="J7241" s="417" t="s">
        <v>15692</v>
      </c>
      <c r="K7241" s="417" t="s">
        <v>16955</v>
      </c>
      <c r="L7241" s="417"/>
      <c r="M7241" s="417" t="s">
        <v>28840</v>
      </c>
    </row>
    <row r="7242" spans="1:13" x14ac:dyDescent="0.25">
      <c r="A7242" s="417" t="s">
        <v>3385</v>
      </c>
      <c r="B7242" s="417" t="s">
        <v>2627</v>
      </c>
      <c r="C7242" s="417" t="s">
        <v>16956</v>
      </c>
      <c r="D7242" s="417" t="s">
        <v>73</v>
      </c>
      <c r="E7242" s="423">
        <v>9.8174101319065E-3</v>
      </c>
      <c r="F7242" s="423">
        <v>7.6224343439433177E-5</v>
      </c>
      <c r="G7242" s="422">
        <v>22.90794114277611</v>
      </c>
      <c r="H7242" s="417" t="s">
        <v>2616</v>
      </c>
      <c r="I7242" s="417" t="s">
        <v>1392</v>
      </c>
      <c r="J7242" s="417" t="s">
        <v>15692</v>
      </c>
      <c r="K7242" s="417" t="s">
        <v>16957</v>
      </c>
      <c r="L7242" s="417"/>
      <c r="M7242" s="417" t="s">
        <v>28840</v>
      </c>
    </row>
    <row r="7243" spans="1:13" x14ac:dyDescent="0.25">
      <c r="A7243" s="417" t="s">
        <v>3385</v>
      </c>
      <c r="B7243" s="417" t="s">
        <v>2627</v>
      </c>
      <c r="C7243" s="417" t="s">
        <v>16958</v>
      </c>
      <c r="D7243" s="417" t="s">
        <v>73</v>
      </c>
      <c r="E7243" s="423">
        <v>2.1477397064939809E-2</v>
      </c>
      <c r="F7243" s="423">
        <v>4.8146659567804411E-4</v>
      </c>
      <c r="G7243" s="422">
        <v>40.929189121941363</v>
      </c>
      <c r="H7243" s="417" t="s">
        <v>2616</v>
      </c>
      <c r="I7243" s="417" t="s">
        <v>1392</v>
      </c>
      <c r="J7243" s="417" t="s">
        <v>15692</v>
      </c>
      <c r="K7243" s="417" t="s">
        <v>16959</v>
      </c>
      <c r="L7243" s="417"/>
      <c r="M7243" s="417" t="s">
        <v>28840</v>
      </c>
    </row>
    <row r="7244" spans="1:13" x14ac:dyDescent="0.25">
      <c r="A7244" s="417" t="s">
        <v>3385</v>
      </c>
      <c r="B7244" s="417" t="s">
        <v>2627</v>
      </c>
      <c r="C7244" s="417" t="s">
        <v>16960</v>
      </c>
      <c r="D7244" s="417" t="s">
        <v>73</v>
      </c>
      <c r="E7244" s="423">
        <v>2.611868610008718E-2</v>
      </c>
      <c r="F7244" s="423">
        <v>7.2449588821881959E-4</v>
      </c>
      <c r="G7244" s="422">
        <v>48.765401018533034</v>
      </c>
      <c r="H7244" s="417" t="s">
        <v>2616</v>
      </c>
      <c r="I7244" s="417" t="s">
        <v>1392</v>
      </c>
      <c r="J7244" s="417" t="s">
        <v>15692</v>
      </c>
      <c r="K7244" s="417" t="s">
        <v>16961</v>
      </c>
      <c r="L7244" s="417"/>
      <c r="M7244" s="417" t="s">
        <v>28840</v>
      </c>
    </row>
    <row r="7245" spans="1:13" x14ac:dyDescent="0.25">
      <c r="A7245" s="417" t="s">
        <v>3385</v>
      </c>
      <c r="B7245" s="417" t="s">
        <v>2627</v>
      </c>
      <c r="C7245" s="417" t="s">
        <v>16962</v>
      </c>
      <c r="D7245" s="417" t="s">
        <v>73</v>
      </c>
      <c r="E7245" s="423">
        <v>2.6793004840586599E-2</v>
      </c>
      <c r="F7245" s="423">
        <v>7.5980487354206116E-4</v>
      </c>
      <c r="G7245" s="422">
        <v>49.903900372893837</v>
      </c>
      <c r="H7245" s="417" t="s">
        <v>2616</v>
      </c>
      <c r="I7245" s="417" t="s">
        <v>1392</v>
      </c>
      <c r="J7245" s="417" t="s">
        <v>15692</v>
      </c>
      <c r="K7245" s="417" t="s">
        <v>16963</v>
      </c>
      <c r="L7245" s="417"/>
      <c r="M7245" s="417" t="s">
        <v>28840</v>
      </c>
    </row>
    <row r="7246" spans="1:13" x14ac:dyDescent="0.25">
      <c r="A7246" s="417" t="s">
        <v>3385</v>
      </c>
      <c r="B7246" s="417" t="s">
        <v>2627</v>
      </c>
      <c r="C7246" s="417" t="s">
        <v>16964</v>
      </c>
      <c r="D7246" s="417" t="s">
        <v>73</v>
      </c>
      <c r="E7246" s="423">
        <v>2.7915511263720869E-2</v>
      </c>
      <c r="F7246" s="423">
        <v>8.1858206664637938E-4</v>
      </c>
      <c r="G7246" s="422">
        <v>51.799106242683877</v>
      </c>
      <c r="H7246" s="417" t="s">
        <v>2616</v>
      </c>
      <c r="I7246" s="417" t="s">
        <v>1392</v>
      </c>
      <c r="J7246" s="417" t="s">
        <v>15692</v>
      </c>
      <c r="K7246" s="417" t="s">
        <v>16965</v>
      </c>
      <c r="L7246" s="417"/>
      <c r="M7246" s="417" t="s">
        <v>28840</v>
      </c>
    </row>
    <row r="7247" spans="1:13" x14ac:dyDescent="0.25">
      <c r="A7247" s="417" t="s">
        <v>3385</v>
      </c>
      <c r="B7247" s="417" t="s">
        <v>2627</v>
      </c>
      <c r="C7247" s="417" t="s">
        <v>16966</v>
      </c>
      <c r="D7247" s="417" t="s">
        <v>73</v>
      </c>
      <c r="E7247" s="423">
        <v>2.6418156960726889E-2</v>
      </c>
      <c r="F7247" s="423">
        <v>7.4017691795292217E-4</v>
      </c>
      <c r="G7247" s="422">
        <v>49.271018558516168</v>
      </c>
      <c r="H7247" s="417" t="s">
        <v>2616</v>
      </c>
      <c r="I7247" s="417" t="s">
        <v>1392</v>
      </c>
      <c r="J7247" s="417" t="s">
        <v>15692</v>
      </c>
      <c r="K7247" s="417" t="s">
        <v>16967</v>
      </c>
      <c r="L7247" s="417"/>
      <c r="M7247" s="417" t="s">
        <v>28840</v>
      </c>
    </row>
    <row r="7248" spans="1:13" x14ac:dyDescent="0.25">
      <c r="A7248" s="417" t="s">
        <v>3385</v>
      </c>
      <c r="B7248" s="417" t="s">
        <v>2627</v>
      </c>
      <c r="C7248" s="417" t="s">
        <v>16968</v>
      </c>
      <c r="D7248" s="417" t="s">
        <v>73</v>
      </c>
      <c r="E7248" s="423">
        <v>2.0129778191975759E-2</v>
      </c>
      <c r="F7248" s="423">
        <v>4.1090196185114791E-4</v>
      </c>
      <c r="G7248" s="422">
        <v>38.653910198385447</v>
      </c>
      <c r="H7248" s="417" t="s">
        <v>2616</v>
      </c>
      <c r="I7248" s="417" t="s">
        <v>1392</v>
      </c>
      <c r="J7248" s="417" t="s">
        <v>15692</v>
      </c>
      <c r="K7248" s="417" t="s">
        <v>16969</v>
      </c>
      <c r="L7248" s="417"/>
      <c r="M7248" s="417" t="s">
        <v>28840</v>
      </c>
    </row>
    <row r="7249" spans="1:13" x14ac:dyDescent="0.25">
      <c r="A7249" s="417" t="s">
        <v>3385</v>
      </c>
      <c r="B7249" s="417" t="s">
        <v>2627</v>
      </c>
      <c r="C7249" s="417" t="s">
        <v>16970</v>
      </c>
      <c r="D7249" s="417" t="s">
        <v>73</v>
      </c>
      <c r="E7249" s="423">
        <v>1.4514699555512319E-2</v>
      </c>
      <c r="F7249" s="423">
        <v>1.1688265424158439E-4</v>
      </c>
      <c r="G7249" s="422">
        <v>29.17358141200404</v>
      </c>
      <c r="H7249" s="417" t="s">
        <v>2616</v>
      </c>
      <c r="I7249" s="417" t="s">
        <v>1392</v>
      </c>
      <c r="J7249" s="417" t="s">
        <v>15692</v>
      </c>
      <c r="K7249" s="417" t="s">
        <v>16971</v>
      </c>
      <c r="L7249" s="417"/>
      <c r="M7249" s="417" t="s">
        <v>28840</v>
      </c>
    </row>
    <row r="7250" spans="1:13" x14ac:dyDescent="0.25">
      <c r="A7250" s="417" t="s">
        <v>3385</v>
      </c>
      <c r="B7250" s="417" t="s">
        <v>2627</v>
      </c>
      <c r="C7250" s="417" t="s">
        <v>16972</v>
      </c>
      <c r="D7250" s="417" t="s">
        <v>73</v>
      </c>
      <c r="E7250" s="423">
        <v>2.1103058489015201E-2</v>
      </c>
      <c r="F7250" s="423">
        <v>4.6186530849867371E-4</v>
      </c>
      <c r="G7250" s="422">
        <v>40.29716719248816</v>
      </c>
      <c r="H7250" s="417" t="s">
        <v>2616</v>
      </c>
      <c r="I7250" s="417" t="s">
        <v>1392</v>
      </c>
      <c r="J7250" s="417" t="s">
        <v>15692</v>
      </c>
      <c r="K7250" s="417" t="s">
        <v>16973</v>
      </c>
      <c r="L7250" s="417"/>
      <c r="M7250" s="417" t="s">
        <v>28840</v>
      </c>
    </row>
    <row r="7251" spans="1:13" x14ac:dyDescent="0.25">
      <c r="A7251" s="417" t="s">
        <v>3385</v>
      </c>
      <c r="B7251" s="417" t="s">
        <v>2627</v>
      </c>
      <c r="C7251" s="417" t="s">
        <v>16974</v>
      </c>
      <c r="D7251" s="417" t="s">
        <v>73</v>
      </c>
      <c r="E7251" s="423">
        <v>2.1177926204163582E-2</v>
      </c>
      <c r="F7251" s="423">
        <v>4.657855659345744E-4</v>
      </c>
      <c r="G7251" s="422">
        <v>40.423571586953898</v>
      </c>
      <c r="H7251" s="417" t="s">
        <v>2616</v>
      </c>
      <c r="I7251" s="417" t="s">
        <v>1392</v>
      </c>
      <c r="J7251" s="417" t="s">
        <v>15692</v>
      </c>
      <c r="K7251" s="417" t="s">
        <v>16975</v>
      </c>
      <c r="L7251" s="417"/>
      <c r="M7251" s="417" t="s">
        <v>28840</v>
      </c>
    </row>
    <row r="7252" spans="1:13" x14ac:dyDescent="0.25">
      <c r="A7252" s="417" t="s">
        <v>3385</v>
      </c>
      <c r="B7252" s="417" t="s">
        <v>2627</v>
      </c>
      <c r="C7252" s="417" t="s">
        <v>16976</v>
      </c>
      <c r="D7252" s="417" t="s">
        <v>73</v>
      </c>
      <c r="E7252" s="423">
        <v>8.8662199673234261E-3</v>
      </c>
      <c r="F7252" s="423">
        <v>6.7991052338404098E-5</v>
      </c>
      <c r="G7252" s="422">
        <v>21.639270728398461</v>
      </c>
      <c r="H7252" s="417" t="s">
        <v>2616</v>
      </c>
      <c r="I7252" s="417" t="s">
        <v>1392</v>
      </c>
      <c r="J7252" s="417" t="s">
        <v>15692</v>
      </c>
      <c r="K7252" s="417" t="s">
        <v>16977</v>
      </c>
      <c r="L7252" s="417"/>
      <c r="M7252" s="417" t="s">
        <v>28840</v>
      </c>
    </row>
    <row r="7253" spans="1:13" x14ac:dyDescent="0.25">
      <c r="A7253" s="417" t="s">
        <v>3385</v>
      </c>
      <c r="B7253" s="417" t="s">
        <v>2627</v>
      </c>
      <c r="C7253" s="417" t="s">
        <v>16978</v>
      </c>
      <c r="D7253" s="417" t="s">
        <v>73</v>
      </c>
      <c r="E7253" s="423">
        <v>2.9937448877309179E-2</v>
      </c>
      <c r="F7253" s="423">
        <v>9.2445568580483406E-4</v>
      </c>
      <c r="G7253" s="422">
        <v>55.212884527442782</v>
      </c>
      <c r="H7253" s="417" t="s">
        <v>2616</v>
      </c>
      <c r="I7253" s="417" t="s">
        <v>1392</v>
      </c>
      <c r="J7253" s="417" t="s">
        <v>15692</v>
      </c>
      <c r="K7253" s="417" t="s">
        <v>16979</v>
      </c>
      <c r="L7253" s="417"/>
      <c r="M7253" s="417" t="s">
        <v>28840</v>
      </c>
    </row>
    <row r="7254" spans="1:13" x14ac:dyDescent="0.25">
      <c r="A7254" s="417" t="s">
        <v>3385</v>
      </c>
      <c r="B7254" s="417" t="s">
        <v>2627</v>
      </c>
      <c r="C7254" s="417" t="s">
        <v>16980</v>
      </c>
      <c r="D7254" s="417" t="s">
        <v>73</v>
      </c>
      <c r="E7254" s="423">
        <v>2.1776867925250229E-2</v>
      </c>
      <c r="F7254" s="423">
        <v>4.9714762541014173E-4</v>
      </c>
      <c r="G7254" s="422">
        <v>41.434806651551924</v>
      </c>
      <c r="H7254" s="417" t="s">
        <v>2616</v>
      </c>
      <c r="I7254" s="417" t="s">
        <v>1392</v>
      </c>
      <c r="J7254" s="417" t="s">
        <v>15692</v>
      </c>
      <c r="K7254" s="417" t="s">
        <v>16981</v>
      </c>
      <c r="L7254" s="417"/>
      <c r="M7254" s="417" t="s">
        <v>28840</v>
      </c>
    </row>
    <row r="7255" spans="1:13" x14ac:dyDescent="0.25">
      <c r="A7255" s="417" t="s">
        <v>3385</v>
      </c>
      <c r="B7255" s="417" t="s">
        <v>2627</v>
      </c>
      <c r="C7255" s="417" t="s">
        <v>16982</v>
      </c>
      <c r="D7255" s="417" t="s">
        <v>73</v>
      </c>
      <c r="E7255" s="423">
        <v>6.5641093301522443E-3</v>
      </c>
      <c r="F7255" s="423">
        <v>4.6941007917614992E-5</v>
      </c>
      <c r="G7255" s="422">
        <v>18.558464222514001</v>
      </c>
      <c r="H7255" s="417" t="s">
        <v>2616</v>
      </c>
      <c r="I7255" s="417" t="s">
        <v>1392</v>
      </c>
      <c r="J7255" s="417" t="s">
        <v>15692</v>
      </c>
      <c r="K7255" s="417" t="s">
        <v>16983</v>
      </c>
      <c r="L7255" s="417"/>
      <c r="M7255" s="417" t="s">
        <v>28840</v>
      </c>
    </row>
    <row r="7256" spans="1:13" x14ac:dyDescent="0.25">
      <c r="A7256" s="417" t="s">
        <v>3385</v>
      </c>
      <c r="B7256" s="417" t="s">
        <v>2627</v>
      </c>
      <c r="C7256" s="417" t="s">
        <v>16984</v>
      </c>
      <c r="D7256" s="417" t="s">
        <v>73</v>
      </c>
      <c r="E7256" s="423">
        <v>1.7659143591937019E-2</v>
      </c>
      <c r="F7256" s="423">
        <v>2.8153346650386531E-4</v>
      </c>
      <c r="G7256" s="422">
        <v>34.482565536524703</v>
      </c>
      <c r="H7256" s="417" t="s">
        <v>2616</v>
      </c>
      <c r="I7256" s="417" t="s">
        <v>1392</v>
      </c>
      <c r="J7256" s="417" t="s">
        <v>15692</v>
      </c>
      <c r="K7256" s="417" t="s">
        <v>16985</v>
      </c>
      <c r="L7256" s="417"/>
      <c r="M7256" s="417" t="s">
        <v>28840</v>
      </c>
    </row>
    <row r="7257" spans="1:13" x14ac:dyDescent="0.25">
      <c r="A7257" s="417" t="s">
        <v>3385</v>
      </c>
      <c r="B7257" s="417" t="s">
        <v>2627</v>
      </c>
      <c r="C7257" s="417" t="s">
        <v>16986</v>
      </c>
      <c r="D7257" s="417" t="s">
        <v>73</v>
      </c>
      <c r="E7257" s="423">
        <v>9.9592133911424619E-3</v>
      </c>
      <c r="F7257" s="423">
        <v>4.5147149868966568E-5</v>
      </c>
      <c r="G7257" s="422">
        <v>23.523579744002269</v>
      </c>
      <c r="H7257" s="417" t="s">
        <v>2616</v>
      </c>
      <c r="I7257" s="417" t="s">
        <v>1392</v>
      </c>
      <c r="J7257" s="417" t="s">
        <v>15692</v>
      </c>
      <c r="K7257" s="417" t="s">
        <v>16987</v>
      </c>
      <c r="L7257" s="417"/>
      <c r="M7257" s="417" t="s">
        <v>28840</v>
      </c>
    </row>
    <row r="7258" spans="1:13" x14ac:dyDescent="0.25">
      <c r="A7258" s="417" t="s">
        <v>3385</v>
      </c>
      <c r="B7258" s="417" t="s">
        <v>2627</v>
      </c>
      <c r="C7258" s="417" t="s">
        <v>16988</v>
      </c>
      <c r="D7258" s="417" t="s">
        <v>73</v>
      </c>
      <c r="E7258" s="423">
        <v>9.9592133911424619E-3</v>
      </c>
      <c r="F7258" s="423">
        <v>4.5147149868966568E-5</v>
      </c>
      <c r="G7258" s="422">
        <v>23.523579744002269</v>
      </c>
      <c r="H7258" s="417" t="s">
        <v>2616</v>
      </c>
      <c r="I7258" s="417" t="s">
        <v>1392</v>
      </c>
      <c r="J7258" s="417" t="s">
        <v>15692</v>
      </c>
      <c r="K7258" s="417" t="s">
        <v>16989</v>
      </c>
      <c r="L7258" s="417"/>
      <c r="M7258" s="417" t="s">
        <v>28840</v>
      </c>
    </row>
    <row r="7259" spans="1:13" x14ac:dyDescent="0.25">
      <c r="A7259" s="417" t="s">
        <v>3385</v>
      </c>
      <c r="B7259" s="417" t="s">
        <v>2627</v>
      </c>
      <c r="C7259" s="417" t="s">
        <v>16990</v>
      </c>
      <c r="D7259" s="417" t="s">
        <v>73</v>
      </c>
      <c r="E7259" s="423">
        <v>9.9592133911424619E-3</v>
      </c>
      <c r="F7259" s="423">
        <v>4.5147149868966568E-5</v>
      </c>
      <c r="G7259" s="422">
        <v>23.523579744002269</v>
      </c>
      <c r="H7259" s="417" t="s">
        <v>2616</v>
      </c>
      <c r="I7259" s="417" t="s">
        <v>1392</v>
      </c>
      <c r="J7259" s="417" t="s">
        <v>15692</v>
      </c>
      <c r="K7259" s="417" t="s">
        <v>16991</v>
      </c>
      <c r="L7259" s="417"/>
      <c r="M7259" s="417" t="s">
        <v>28840</v>
      </c>
    </row>
    <row r="7260" spans="1:13" x14ac:dyDescent="0.25">
      <c r="A7260" s="417" t="s">
        <v>3385</v>
      </c>
      <c r="B7260" s="417" t="s">
        <v>2627</v>
      </c>
      <c r="C7260" s="417" t="s">
        <v>16992</v>
      </c>
      <c r="D7260" s="417" t="s">
        <v>73</v>
      </c>
      <c r="E7260" s="423">
        <v>9.9592133911424619E-3</v>
      </c>
      <c r="F7260" s="423">
        <v>4.5147149868966568E-5</v>
      </c>
      <c r="G7260" s="422">
        <v>23.523579744002269</v>
      </c>
      <c r="H7260" s="417" t="s">
        <v>2616</v>
      </c>
      <c r="I7260" s="417" t="s">
        <v>1392</v>
      </c>
      <c r="J7260" s="417" t="s">
        <v>15692</v>
      </c>
      <c r="K7260" s="417" t="s">
        <v>16993</v>
      </c>
      <c r="L7260" s="417"/>
      <c r="M7260" s="417" t="s">
        <v>28840</v>
      </c>
    </row>
    <row r="7261" spans="1:13" x14ac:dyDescent="0.25">
      <c r="A7261" s="417" t="s">
        <v>3385</v>
      </c>
      <c r="B7261" s="417" t="s">
        <v>2627</v>
      </c>
      <c r="C7261" s="417" t="s">
        <v>16994</v>
      </c>
      <c r="D7261" s="417" t="s">
        <v>83</v>
      </c>
      <c r="E7261" s="423">
        <v>0.94282915592737893</v>
      </c>
      <c r="F7261" s="423">
        <v>2.383467141877248E-2</v>
      </c>
      <c r="G7261" s="422">
        <v>1782.917025382781</v>
      </c>
      <c r="H7261" s="417" t="s">
        <v>2616</v>
      </c>
      <c r="I7261" s="417" t="s">
        <v>1392</v>
      </c>
      <c r="J7261" s="417" t="s">
        <v>14271</v>
      </c>
      <c r="K7261" s="417" t="s">
        <v>16995</v>
      </c>
      <c r="L7261" s="417"/>
      <c r="M7261" s="417" t="s">
        <v>28840</v>
      </c>
    </row>
    <row r="7262" spans="1:13" x14ac:dyDescent="0.25">
      <c r="A7262" s="417" t="s">
        <v>3385</v>
      </c>
      <c r="B7262" s="417" t="s">
        <v>2627</v>
      </c>
      <c r="C7262" s="417" t="s">
        <v>16996</v>
      </c>
      <c r="D7262" s="417" t="s">
        <v>83</v>
      </c>
      <c r="E7262" s="423">
        <v>0.874649663006691</v>
      </c>
      <c r="F7262" s="423">
        <v>2.0285404649664641E-2</v>
      </c>
      <c r="G7262" s="422">
        <v>1667.656736308031</v>
      </c>
      <c r="H7262" s="417" t="s">
        <v>2616</v>
      </c>
      <c r="I7262" s="417" t="s">
        <v>1392</v>
      </c>
      <c r="J7262" s="417" t="s">
        <v>14271</v>
      </c>
      <c r="K7262" s="417" t="s">
        <v>16997</v>
      </c>
      <c r="L7262" s="417"/>
      <c r="M7262" s="417" t="s">
        <v>28840</v>
      </c>
    </row>
    <row r="7263" spans="1:13" x14ac:dyDescent="0.25">
      <c r="A7263" s="417" t="s">
        <v>3385</v>
      </c>
      <c r="B7263" s="417" t="s">
        <v>2627</v>
      </c>
      <c r="C7263" s="417" t="s">
        <v>16998</v>
      </c>
      <c r="D7263" s="417" t="s">
        <v>83</v>
      </c>
      <c r="E7263" s="423">
        <v>0.94282915592737893</v>
      </c>
      <c r="F7263" s="423">
        <v>2.383467141877248E-2</v>
      </c>
      <c r="G7263" s="422">
        <v>1782.917025382781</v>
      </c>
      <c r="H7263" s="417" t="s">
        <v>2616</v>
      </c>
      <c r="I7263" s="417" t="s">
        <v>1392</v>
      </c>
      <c r="J7263" s="417" t="s">
        <v>14271</v>
      </c>
      <c r="K7263" s="417" t="s">
        <v>16999</v>
      </c>
      <c r="L7263" s="417"/>
      <c r="M7263" s="417" t="s">
        <v>28840</v>
      </c>
    </row>
    <row r="7264" spans="1:13" x14ac:dyDescent="0.25">
      <c r="A7264" s="417" t="s">
        <v>3385</v>
      </c>
      <c r="B7264" s="417" t="s">
        <v>2627</v>
      </c>
      <c r="C7264" s="417" t="s">
        <v>17000</v>
      </c>
      <c r="D7264" s="417" t="s">
        <v>83</v>
      </c>
      <c r="E7264" s="423">
        <v>0.8964671312710536</v>
      </c>
      <c r="F7264" s="423">
        <v>2.1421175051855181E-2</v>
      </c>
      <c r="G7264" s="422">
        <v>1704.5400873871231</v>
      </c>
      <c r="H7264" s="417" t="s">
        <v>2616</v>
      </c>
      <c r="I7264" s="417" t="s">
        <v>1392</v>
      </c>
      <c r="J7264" s="417" t="s">
        <v>14271</v>
      </c>
      <c r="K7264" s="417" t="s">
        <v>17001</v>
      </c>
      <c r="L7264" s="417"/>
      <c r="M7264" s="417" t="s">
        <v>28840</v>
      </c>
    </row>
    <row r="7265" spans="1:13" x14ac:dyDescent="0.25">
      <c r="A7265" s="417" t="s">
        <v>3385</v>
      </c>
      <c r="B7265" s="417" t="s">
        <v>2627</v>
      </c>
      <c r="C7265" s="417" t="s">
        <v>17002</v>
      </c>
      <c r="D7265" s="417" t="s">
        <v>83</v>
      </c>
      <c r="E7265" s="423">
        <v>0.78192557660458673</v>
      </c>
      <c r="F7265" s="423">
        <v>1.5458406795582391E-2</v>
      </c>
      <c r="G7265" s="422">
        <v>1510.9028418689561</v>
      </c>
      <c r="H7265" s="417" t="s">
        <v>2616</v>
      </c>
      <c r="I7265" s="417" t="s">
        <v>1392</v>
      </c>
      <c r="J7265" s="417" t="s">
        <v>14271</v>
      </c>
      <c r="K7265" s="417" t="s">
        <v>17003</v>
      </c>
      <c r="L7265" s="417"/>
      <c r="M7265" s="417" t="s">
        <v>28840</v>
      </c>
    </row>
    <row r="7266" spans="1:13" x14ac:dyDescent="0.25">
      <c r="A7266" s="417" t="s">
        <v>3385</v>
      </c>
      <c r="B7266" s="417" t="s">
        <v>2627</v>
      </c>
      <c r="C7266" s="417" t="s">
        <v>17004</v>
      </c>
      <c r="D7266" s="417" t="s">
        <v>83</v>
      </c>
      <c r="E7266" s="423">
        <v>1.158276421600837</v>
      </c>
      <c r="F7266" s="423">
        <v>3.505035471223511E-2</v>
      </c>
      <c r="G7266" s="422">
        <v>2147.139608144982</v>
      </c>
      <c r="H7266" s="417" t="s">
        <v>2616</v>
      </c>
      <c r="I7266" s="417" t="s">
        <v>1392</v>
      </c>
      <c r="J7266" s="417" t="s">
        <v>14271</v>
      </c>
      <c r="K7266" s="417" t="s">
        <v>17005</v>
      </c>
      <c r="L7266" s="417"/>
      <c r="M7266" s="417" t="s">
        <v>28840</v>
      </c>
    </row>
    <row r="7267" spans="1:13" x14ac:dyDescent="0.25">
      <c r="A7267" s="417" t="s">
        <v>3385</v>
      </c>
      <c r="B7267" s="417" t="s">
        <v>2627</v>
      </c>
      <c r="C7267" s="417" t="s">
        <v>17006</v>
      </c>
      <c r="D7267" s="417" t="s">
        <v>83</v>
      </c>
      <c r="E7267" s="423">
        <v>0.89919430795231436</v>
      </c>
      <c r="F7267" s="423">
        <v>2.156314448827026E-2</v>
      </c>
      <c r="G7267" s="422">
        <v>1709.1504886659679</v>
      </c>
      <c r="H7267" s="417" t="s">
        <v>2616</v>
      </c>
      <c r="I7267" s="417" t="s">
        <v>1392</v>
      </c>
      <c r="J7267" s="417" t="s">
        <v>14271</v>
      </c>
      <c r="K7267" s="417" t="s">
        <v>17007</v>
      </c>
      <c r="L7267" s="417"/>
      <c r="M7267" s="417" t="s">
        <v>28840</v>
      </c>
    </row>
    <row r="7268" spans="1:13" x14ac:dyDescent="0.25">
      <c r="A7268" s="417" t="s">
        <v>3385</v>
      </c>
      <c r="B7268" s="417" t="s">
        <v>2627</v>
      </c>
      <c r="C7268" s="417" t="s">
        <v>17008</v>
      </c>
      <c r="D7268" s="417" t="s">
        <v>83</v>
      </c>
      <c r="E7268" s="423">
        <v>0.88010412168620933</v>
      </c>
      <c r="F7268" s="423">
        <v>2.056935417365419E-2</v>
      </c>
      <c r="G7268" s="422">
        <v>1676.8777729773799</v>
      </c>
      <c r="H7268" s="417" t="s">
        <v>2616</v>
      </c>
      <c r="I7268" s="417" t="s">
        <v>1392</v>
      </c>
      <c r="J7268" s="417" t="s">
        <v>14271</v>
      </c>
      <c r="K7268" s="417" t="s">
        <v>17009</v>
      </c>
      <c r="L7268" s="417"/>
      <c r="M7268" s="417" t="s">
        <v>28840</v>
      </c>
    </row>
    <row r="7269" spans="1:13" x14ac:dyDescent="0.25">
      <c r="A7269" s="417" t="s">
        <v>3385</v>
      </c>
      <c r="B7269" s="417" t="s">
        <v>2627</v>
      </c>
      <c r="C7269" s="417" t="s">
        <v>17010</v>
      </c>
      <c r="D7269" s="417" t="s">
        <v>83</v>
      </c>
      <c r="E7269" s="423">
        <v>0.91283015965358283</v>
      </c>
      <c r="F7269" s="423">
        <v>2.2272993667975631E-2</v>
      </c>
      <c r="G7269" s="422">
        <v>1732.2024570415281</v>
      </c>
      <c r="H7269" s="417" t="s">
        <v>2616</v>
      </c>
      <c r="I7269" s="417" t="s">
        <v>1392</v>
      </c>
      <c r="J7269" s="417" t="s">
        <v>14271</v>
      </c>
      <c r="K7269" s="417" t="s">
        <v>17011</v>
      </c>
      <c r="L7269" s="417"/>
      <c r="M7269" s="417" t="s">
        <v>28840</v>
      </c>
    </row>
    <row r="7270" spans="1:13" x14ac:dyDescent="0.25">
      <c r="A7270" s="417" t="s">
        <v>3385</v>
      </c>
      <c r="B7270" s="417" t="s">
        <v>2627</v>
      </c>
      <c r="C7270" s="417" t="s">
        <v>17012</v>
      </c>
      <c r="D7270" s="417" t="s">
        <v>83</v>
      </c>
      <c r="E7270" s="423">
        <v>0.89374000286764532</v>
      </c>
      <c r="F7270" s="423">
        <v>2.1279205689853441E-2</v>
      </c>
      <c r="G7270" s="422">
        <v>1699.9298028808751</v>
      </c>
      <c r="H7270" s="417" t="s">
        <v>2616</v>
      </c>
      <c r="I7270" s="417" t="s">
        <v>1392</v>
      </c>
      <c r="J7270" s="417" t="s">
        <v>14271</v>
      </c>
      <c r="K7270" s="417" t="s">
        <v>17013</v>
      </c>
      <c r="L7270" s="417"/>
      <c r="M7270" s="417" t="s">
        <v>28840</v>
      </c>
    </row>
    <row r="7271" spans="1:13" x14ac:dyDescent="0.25">
      <c r="A7271" s="417" t="s">
        <v>3385</v>
      </c>
      <c r="B7271" s="417" t="s">
        <v>2627</v>
      </c>
      <c r="C7271" s="417" t="s">
        <v>17014</v>
      </c>
      <c r="D7271" s="417" t="s">
        <v>83</v>
      </c>
      <c r="E7271" s="423">
        <v>0.86919528280816405</v>
      </c>
      <c r="F7271" s="423">
        <v>2.000146342965663E-2</v>
      </c>
      <c r="G7271" s="422">
        <v>1658.4358725735731</v>
      </c>
      <c r="H7271" s="417" t="s">
        <v>2616</v>
      </c>
      <c r="I7271" s="417" t="s">
        <v>1392</v>
      </c>
      <c r="J7271" s="417" t="s">
        <v>14271</v>
      </c>
      <c r="K7271" s="417" t="s">
        <v>17015</v>
      </c>
      <c r="L7271" s="417"/>
      <c r="M7271" s="417" t="s">
        <v>28840</v>
      </c>
    </row>
    <row r="7272" spans="1:13" x14ac:dyDescent="0.25">
      <c r="A7272" s="417" t="s">
        <v>3385</v>
      </c>
      <c r="B7272" s="417" t="s">
        <v>2627</v>
      </c>
      <c r="C7272" s="417" t="s">
        <v>17016</v>
      </c>
      <c r="D7272" s="417" t="s">
        <v>83</v>
      </c>
      <c r="E7272" s="423">
        <v>0.61829477380788511</v>
      </c>
      <c r="F7272" s="423">
        <v>6.9401689713652296E-3</v>
      </c>
      <c r="G7272" s="422">
        <v>1234.278134556833</v>
      </c>
      <c r="H7272" s="417" t="s">
        <v>2616</v>
      </c>
      <c r="I7272" s="417" t="s">
        <v>1392</v>
      </c>
      <c r="J7272" s="417" t="s">
        <v>14271</v>
      </c>
      <c r="K7272" s="417" t="s">
        <v>17017</v>
      </c>
      <c r="L7272" s="417"/>
      <c r="M7272" s="417" t="s">
        <v>28840</v>
      </c>
    </row>
    <row r="7273" spans="1:13" x14ac:dyDescent="0.25">
      <c r="A7273" s="417" t="s">
        <v>3385</v>
      </c>
      <c r="B7273" s="417" t="s">
        <v>2627</v>
      </c>
      <c r="C7273" s="417" t="s">
        <v>17018</v>
      </c>
      <c r="D7273" s="417" t="s">
        <v>83</v>
      </c>
      <c r="E7273" s="423">
        <v>0.93464763540122975</v>
      </c>
      <c r="F7273" s="423">
        <v>2.3408761112736591E-2</v>
      </c>
      <c r="G7273" s="422">
        <v>1769.0858366126929</v>
      </c>
      <c r="H7273" s="417" t="s">
        <v>2616</v>
      </c>
      <c r="I7273" s="417" t="s">
        <v>1392</v>
      </c>
      <c r="J7273" s="417" t="s">
        <v>14271</v>
      </c>
      <c r="K7273" s="417" t="s">
        <v>17019</v>
      </c>
      <c r="L7273" s="417"/>
      <c r="M7273" s="417" t="s">
        <v>28840</v>
      </c>
    </row>
    <row r="7274" spans="1:13" x14ac:dyDescent="0.25">
      <c r="A7274" s="417" t="s">
        <v>3385</v>
      </c>
      <c r="B7274" s="417" t="s">
        <v>2627</v>
      </c>
      <c r="C7274" s="417" t="s">
        <v>17020</v>
      </c>
      <c r="D7274" s="417" t="s">
        <v>83</v>
      </c>
      <c r="E7274" s="423">
        <v>0.94010191530019671</v>
      </c>
      <c r="F7274" s="423">
        <v>2.3692697491141688E-2</v>
      </c>
      <c r="G7274" s="422">
        <v>1778.306480894204</v>
      </c>
      <c r="H7274" s="417" t="s">
        <v>2616</v>
      </c>
      <c r="I7274" s="417" t="s">
        <v>1392</v>
      </c>
      <c r="J7274" s="417" t="s">
        <v>14271</v>
      </c>
      <c r="K7274" s="417" t="s">
        <v>17021</v>
      </c>
      <c r="L7274" s="417"/>
      <c r="M7274" s="417" t="s">
        <v>28840</v>
      </c>
    </row>
    <row r="7275" spans="1:13" x14ac:dyDescent="0.25">
      <c r="A7275" s="417" t="s">
        <v>3385</v>
      </c>
      <c r="B7275" s="417" t="s">
        <v>2627</v>
      </c>
      <c r="C7275" s="417" t="s">
        <v>17022</v>
      </c>
      <c r="D7275" s="417" t="s">
        <v>83</v>
      </c>
      <c r="E7275" s="423">
        <v>1.1091870750670541</v>
      </c>
      <c r="F7275" s="423">
        <v>3.2494877126183479E-2</v>
      </c>
      <c r="G7275" s="422">
        <v>2064.1519608392618</v>
      </c>
      <c r="H7275" s="417" t="s">
        <v>2616</v>
      </c>
      <c r="I7275" s="417" t="s">
        <v>1392</v>
      </c>
      <c r="J7275" s="417" t="s">
        <v>14271</v>
      </c>
      <c r="K7275" s="417" t="s">
        <v>17023</v>
      </c>
      <c r="L7275" s="417"/>
      <c r="M7275" s="417" t="s">
        <v>28840</v>
      </c>
    </row>
    <row r="7276" spans="1:13" x14ac:dyDescent="0.25">
      <c r="A7276" s="417" t="s">
        <v>3385</v>
      </c>
      <c r="B7276" s="417" t="s">
        <v>2627</v>
      </c>
      <c r="C7276" s="417" t="s">
        <v>17024</v>
      </c>
      <c r="D7276" s="417" t="s">
        <v>83</v>
      </c>
      <c r="E7276" s="423">
        <v>0.94282915592737893</v>
      </c>
      <c r="F7276" s="423">
        <v>2.383467141877248E-2</v>
      </c>
      <c r="G7276" s="422">
        <v>1782.917025382781</v>
      </c>
      <c r="H7276" s="417" t="s">
        <v>2616</v>
      </c>
      <c r="I7276" s="417" t="s">
        <v>1392</v>
      </c>
      <c r="J7276" s="417" t="s">
        <v>14271</v>
      </c>
      <c r="K7276" s="417" t="s">
        <v>17025</v>
      </c>
      <c r="L7276" s="417"/>
      <c r="M7276" s="417" t="s">
        <v>28840</v>
      </c>
    </row>
    <row r="7277" spans="1:13" x14ac:dyDescent="0.25">
      <c r="A7277" s="417" t="s">
        <v>3385</v>
      </c>
      <c r="B7277" s="417" t="s">
        <v>2627</v>
      </c>
      <c r="C7277" s="417" t="s">
        <v>17026</v>
      </c>
      <c r="D7277" s="417" t="s">
        <v>83</v>
      </c>
      <c r="E7277" s="423">
        <v>1.090115400528552</v>
      </c>
      <c r="F7277" s="423">
        <v>3.1502050464931083E-2</v>
      </c>
      <c r="G7277" s="422">
        <v>2031.910517180474</v>
      </c>
      <c r="H7277" s="417" t="s">
        <v>2616</v>
      </c>
      <c r="I7277" s="417" t="s">
        <v>1392</v>
      </c>
      <c r="J7277" s="417" t="s">
        <v>14271</v>
      </c>
      <c r="K7277" s="417" t="s">
        <v>17027</v>
      </c>
      <c r="L7277" s="417"/>
      <c r="M7277" s="417" t="s">
        <v>28840</v>
      </c>
    </row>
    <row r="7278" spans="1:13" x14ac:dyDescent="0.25">
      <c r="A7278" s="417" t="s">
        <v>3385</v>
      </c>
      <c r="B7278" s="417" t="s">
        <v>2627</v>
      </c>
      <c r="C7278" s="417" t="s">
        <v>17028</v>
      </c>
      <c r="D7278" s="417" t="s">
        <v>83</v>
      </c>
      <c r="E7278" s="423">
        <v>1.1255501801846</v>
      </c>
      <c r="F7278" s="423">
        <v>3.334670460460272E-2</v>
      </c>
      <c r="G7278" s="422">
        <v>2091.814517203306</v>
      </c>
      <c r="H7278" s="417" t="s">
        <v>2616</v>
      </c>
      <c r="I7278" s="417" t="s">
        <v>1392</v>
      </c>
      <c r="J7278" s="417" t="s">
        <v>14271</v>
      </c>
      <c r="K7278" s="417" t="s">
        <v>17029</v>
      </c>
      <c r="L7278" s="417"/>
      <c r="M7278" s="417" t="s">
        <v>28840</v>
      </c>
    </row>
    <row r="7279" spans="1:13" x14ac:dyDescent="0.25">
      <c r="A7279" s="417" t="s">
        <v>3385</v>
      </c>
      <c r="B7279" s="417" t="s">
        <v>2627</v>
      </c>
      <c r="C7279" s="417" t="s">
        <v>17030</v>
      </c>
      <c r="D7279" s="417" t="s">
        <v>83</v>
      </c>
      <c r="E7279" s="423">
        <v>1.1228414835195559</v>
      </c>
      <c r="F7279" s="423">
        <v>3.3205689553536137E-2</v>
      </c>
      <c r="G7279" s="422">
        <v>2087.2352697816</v>
      </c>
      <c r="H7279" s="417" t="s">
        <v>2616</v>
      </c>
      <c r="I7279" s="417" t="s">
        <v>1392</v>
      </c>
      <c r="J7279" s="417" t="s">
        <v>14271</v>
      </c>
      <c r="K7279" s="417" t="s">
        <v>17031</v>
      </c>
      <c r="L7279" s="417"/>
      <c r="M7279" s="417" t="s">
        <v>28840</v>
      </c>
    </row>
    <row r="7280" spans="1:13" x14ac:dyDescent="0.25">
      <c r="A7280" s="417" t="s">
        <v>3385</v>
      </c>
      <c r="B7280" s="417" t="s">
        <v>2627</v>
      </c>
      <c r="C7280" s="417" t="s">
        <v>17032</v>
      </c>
      <c r="D7280" s="417" t="s">
        <v>83</v>
      </c>
      <c r="E7280" s="423">
        <v>0.6537481103031052</v>
      </c>
      <c r="F7280" s="423">
        <v>8.7857868189503141E-3</v>
      </c>
      <c r="G7280" s="422">
        <v>1294.2134730049461</v>
      </c>
      <c r="H7280" s="417" t="s">
        <v>2616</v>
      </c>
      <c r="I7280" s="417" t="s">
        <v>1392</v>
      </c>
      <c r="J7280" s="417" t="s">
        <v>14271</v>
      </c>
      <c r="K7280" s="417" t="s">
        <v>17033</v>
      </c>
      <c r="L7280" s="417"/>
      <c r="M7280" s="417" t="s">
        <v>28840</v>
      </c>
    </row>
    <row r="7281" spans="1:13" x14ac:dyDescent="0.25">
      <c r="A7281" s="417" t="s">
        <v>3385</v>
      </c>
      <c r="B7281" s="417" t="s">
        <v>2627</v>
      </c>
      <c r="C7281" s="417" t="s">
        <v>17034</v>
      </c>
      <c r="D7281" s="417" t="s">
        <v>83</v>
      </c>
      <c r="E7281" s="423">
        <v>0.88283121574058876</v>
      </c>
      <c r="F7281" s="423">
        <v>2.0711318483182421E-2</v>
      </c>
      <c r="G7281" s="422">
        <v>1681.4880099810989</v>
      </c>
      <c r="H7281" s="417" t="s">
        <v>2616</v>
      </c>
      <c r="I7281" s="417" t="s">
        <v>1392</v>
      </c>
      <c r="J7281" s="417" t="s">
        <v>14271</v>
      </c>
      <c r="K7281" s="417" t="s">
        <v>17035</v>
      </c>
      <c r="L7281" s="417"/>
      <c r="M7281" s="417" t="s">
        <v>28840</v>
      </c>
    </row>
    <row r="7282" spans="1:13" x14ac:dyDescent="0.25">
      <c r="A7282" s="417" t="s">
        <v>3385</v>
      </c>
      <c r="B7282" s="417" t="s">
        <v>2627</v>
      </c>
      <c r="C7282" s="417" t="s">
        <v>17036</v>
      </c>
      <c r="D7282" s="417" t="s">
        <v>83</v>
      </c>
      <c r="E7282" s="423">
        <v>0.61829477380788511</v>
      </c>
      <c r="F7282" s="423">
        <v>6.9401689713652296E-3</v>
      </c>
      <c r="G7282" s="422">
        <v>1234.278134556833</v>
      </c>
      <c r="H7282" s="417" t="s">
        <v>2616</v>
      </c>
      <c r="I7282" s="417" t="s">
        <v>1392</v>
      </c>
      <c r="J7282" s="417" t="s">
        <v>14271</v>
      </c>
      <c r="K7282" s="417" t="s">
        <v>17037</v>
      </c>
      <c r="L7282" s="417"/>
      <c r="M7282" s="417" t="s">
        <v>28840</v>
      </c>
    </row>
    <row r="7283" spans="1:13" x14ac:dyDescent="0.25">
      <c r="A7283" s="417" t="s">
        <v>3385</v>
      </c>
      <c r="B7283" s="417" t="s">
        <v>2627</v>
      </c>
      <c r="C7283" s="417" t="s">
        <v>17038</v>
      </c>
      <c r="D7283" s="417" t="s">
        <v>83</v>
      </c>
      <c r="E7283" s="423">
        <v>0.89919430795231436</v>
      </c>
      <c r="F7283" s="423">
        <v>2.156314448827026E-2</v>
      </c>
      <c r="G7283" s="422">
        <v>1709.1504886659679</v>
      </c>
      <c r="H7283" s="417" t="s">
        <v>2616</v>
      </c>
      <c r="I7283" s="417" t="s">
        <v>1392</v>
      </c>
      <c r="J7283" s="417" t="s">
        <v>14271</v>
      </c>
      <c r="K7283" s="417" t="s">
        <v>17039</v>
      </c>
      <c r="L7283" s="417"/>
      <c r="M7283" s="417" t="s">
        <v>28840</v>
      </c>
    </row>
    <row r="7284" spans="1:13" x14ac:dyDescent="0.25">
      <c r="A7284" s="417" t="s">
        <v>3385</v>
      </c>
      <c r="B7284" s="417" t="s">
        <v>2627</v>
      </c>
      <c r="C7284" s="417" t="s">
        <v>17040</v>
      </c>
      <c r="D7284" s="417" t="s">
        <v>83</v>
      </c>
      <c r="E7284" s="423">
        <v>0.89235547658627934</v>
      </c>
      <c r="F7284" s="423">
        <v>2.1180683036082799E-2</v>
      </c>
      <c r="G7284" s="422">
        <v>1697.3751912502651</v>
      </c>
      <c r="H7284" s="417" t="s">
        <v>2616</v>
      </c>
      <c r="I7284" s="417" t="s">
        <v>1392</v>
      </c>
      <c r="J7284" s="417" t="s">
        <v>15692</v>
      </c>
      <c r="K7284" s="417" t="s">
        <v>17041</v>
      </c>
      <c r="L7284" s="417"/>
      <c r="M7284" s="417" t="s">
        <v>28840</v>
      </c>
    </row>
    <row r="7285" spans="1:13" x14ac:dyDescent="0.25">
      <c r="A7285" s="417" t="s">
        <v>3385</v>
      </c>
      <c r="B7285" s="417" t="s">
        <v>2627</v>
      </c>
      <c r="C7285" s="417" t="s">
        <v>17042</v>
      </c>
      <c r="D7285" s="417" t="s">
        <v>83</v>
      </c>
      <c r="E7285" s="423">
        <v>0.90192143154082749</v>
      </c>
      <c r="F7285" s="423">
        <v>2.1705109611596229E-2</v>
      </c>
      <c r="G7285" s="422">
        <v>1713.7607771819939</v>
      </c>
      <c r="H7285" s="417" t="s">
        <v>2616</v>
      </c>
      <c r="I7285" s="417" t="s">
        <v>1392</v>
      </c>
      <c r="J7285" s="417" t="s">
        <v>14271</v>
      </c>
      <c r="K7285" s="417" t="s">
        <v>17043</v>
      </c>
      <c r="L7285" s="417"/>
      <c r="M7285" s="417" t="s">
        <v>28840</v>
      </c>
    </row>
    <row r="7286" spans="1:13" x14ac:dyDescent="0.25">
      <c r="A7286" s="417" t="s">
        <v>3385</v>
      </c>
      <c r="B7286" s="417" t="s">
        <v>2627</v>
      </c>
      <c r="C7286" s="417" t="s">
        <v>17044</v>
      </c>
      <c r="D7286" s="417" t="s">
        <v>83</v>
      </c>
      <c r="E7286" s="423">
        <v>0.61829477380788511</v>
      </c>
      <c r="F7286" s="423">
        <v>6.9401689713652296E-3</v>
      </c>
      <c r="G7286" s="422">
        <v>1234.278134556833</v>
      </c>
      <c r="H7286" s="417" t="s">
        <v>2616</v>
      </c>
      <c r="I7286" s="417" t="s">
        <v>1392</v>
      </c>
      <c r="J7286" s="417" t="s">
        <v>14271</v>
      </c>
      <c r="K7286" s="417" t="s">
        <v>17045</v>
      </c>
      <c r="L7286" s="417"/>
      <c r="M7286" s="417" t="s">
        <v>28840</v>
      </c>
    </row>
    <row r="7287" spans="1:13" x14ac:dyDescent="0.25">
      <c r="A7287" s="417" t="s">
        <v>3385</v>
      </c>
      <c r="B7287" s="417" t="s">
        <v>2627</v>
      </c>
      <c r="C7287" s="417" t="s">
        <v>17046</v>
      </c>
      <c r="D7287" s="417" t="s">
        <v>83</v>
      </c>
      <c r="E7287" s="423">
        <v>1.229183154554633</v>
      </c>
      <c r="F7287" s="423">
        <v>3.874159037209314E-2</v>
      </c>
      <c r="G7287" s="422">
        <v>2267.0104027278599</v>
      </c>
      <c r="H7287" s="417" t="s">
        <v>2616</v>
      </c>
      <c r="I7287" s="417" t="s">
        <v>1392</v>
      </c>
      <c r="J7287" s="417" t="s">
        <v>14271</v>
      </c>
      <c r="K7287" s="417" t="s">
        <v>17047</v>
      </c>
      <c r="L7287" s="417"/>
      <c r="M7287" s="417" t="s">
        <v>28840</v>
      </c>
    </row>
    <row r="7288" spans="1:13" x14ac:dyDescent="0.25">
      <c r="A7288" s="417" t="s">
        <v>3385</v>
      </c>
      <c r="B7288" s="417" t="s">
        <v>2627</v>
      </c>
      <c r="C7288" s="417" t="s">
        <v>17048</v>
      </c>
      <c r="D7288" s="417" t="s">
        <v>83</v>
      </c>
      <c r="E7288" s="423">
        <v>0.95101074011126652</v>
      </c>
      <c r="F7288" s="423">
        <v>2.4260584586600159E-2</v>
      </c>
      <c r="G7288" s="422">
        <v>1796.7483477876519</v>
      </c>
      <c r="H7288" s="417" t="s">
        <v>2616</v>
      </c>
      <c r="I7288" s="417" t="s">
        <v>1392</v>
      </c>
      <c r="J7288" s="417" t="s">
        <v>14271</v>
      </c>
      <c r="K7288" s="417" t="s">
        <v>17049</v>
      </c>
      <c r="L7288" s="417"/>
      <c r="M7288" s="417" t="s">
        <v>28840</v>
      </c>
    </row>
    <row r="7289" spans="1:13" x14ac:dyDescent="0.25">
      <c r="A7289" s="417" t="s">
        <v>3385</v>
      </c>
      <c r="B7289" s="417" t="s">
        <v>2627</v>
      </c>
      <c r="C7289" s="417" t="s">
        <v>17050</v>
      </c>
      <c r="D7289" s="417" t="s">
        <v>83</v>
      </c>
      <c r="E7289" s="423">
        <v>1.1500762167719549</v>
      </c>
      <c r="F7289" s="423">
        <v>3.4623466833588558E-2</v>
      </c>
      <c r="G7289" s="422">
        <v>2133.2767404449592</v>
      </c>
      <c r="H7289" s="417" t="s">
        <v>2616</v>
      </c>
      <c r="I7289" s="417" t="s">
        <v>1392</v>
      </c>
      <c r="J7289" s="417" t="s">
        <v>14271</v>
      </c>
      <c r="K7289" s="417" t="s">
        <v>17051</v>
      </c>
      <c r="L7289" s="417"/>
      <c r="M7289" s="417" t="s">
        <v>28840</v>
      </c>
    </row>
    <row r="7290" spans="1:13" x14ac:dyDescent="0.25">
      <c r="A7290" s="417" t="s">
        <v>3385</v>
      </c>
      <c r="B7290" s="417" t="s">
        <v>2627</v>
      </c>
      <c r="C7290" s="417" t="s">
        <v>17052</v>
      </c>
      <c r="D7290" s="417" t="s">
        <v>73</v>
      </c>
      <c r="E7290" s="423">
        <v>2.6397106197099129E-2</v>
      </c>
      <c r="F7290" s="423">
        <v>6.6242271688519115E-4</v>
      </c>
      <c r="G7290" s="422">
        <v>49.780816149019969</v>
      </c>
      <c r="H7290" s="417" t="s">
        <v>2616</v>
      </c>
      <c r="I7290" s="417" t="s">
        <v>1392</v>
      </c>
      <c r="J7290" s="417" t="s">
        <v>15692</v>
      </c>
      <c r="K7290" s="417" t="s">
        <v>17053</v>
      </c>
      <c r="L7290" s="417"/>
      <c r="M7290" s="417" t="s">
        <v>28840</v>
      </c>
    </row>
    <row r="7291" spans="1:13" x14ac:dyDescent="0.25">
      <c r="A7291" s="417" t="s">
        <v>3385</v>
      </c>
      <c r="B7291" s="417" t="s">
        <v>2627</v>
      </c>
      <c r="C7291" s="417" t="s">
        <v>17054</v>
      </c>
      <c r="D7291" s="417" t="s">
        <v>73</v>
      </c>
      <c r="E7291" s="423">
        <v>2.4503010705085738E-2</v>
      </c>
      <c r="F7291" s="423">
        <v>5.6382048380355595E-4</v>
      </c>
      <c r="G7291" s="422">
        <v>46.578768274187922</v>
      </c>
      <c r="H7291" s="417" t="s">
        <v>2616</v>
      </c>
      <c r="I7291" s="417" t="s">
        <v>1392</v>
      </c>
      <c r="J7291" s="417" t="s">
        <v>15692</v>
      </c>
      <c r="K7291" s="417" t="s">
        <v>17055</v>
      </c>
      <c r="L7291" s="417"/>
      <c r="M7291" s="417" t="s">
        <v>28840</v>
      </c>
    </row>
    <row r="7292" spans="1:13" x14ac:dyDescent="0.25">
      <c r="A7292" s="417" t="s">
        <v>3385</v>
      </c>
      <c r="B7292" s="417" t="s">
        <v>2627</v>
      </c>
      <c r="C7292" s="417" t="s">
        <v>17056</v>
      </c>
      <c r="D7292" s="417" t="s">
        <v>73</v>
      </c>
      <c r="E7292" s="423">
        <v>2.6397106197099129E-2</v>
      </c>
      <c r="F7292" s="423">
        <v>6.6242271688519115E-4</v>
      </c>
      <c r="G7292" s="422">
        <v>49.780816149019969</v>
      </c>
      <c r="H7292" s="417" t="s">
        <v>2616</v>
      </c>
      <c r="I7292" s="417" t="s">
        <v>1392</v>
      </c>
      <c r="J7292" s="417" t="s">
        <v>15692</v>
      </c>
      <c r="K7292" s="417" t="s">
        <v>17057</v>
      </c>
      <c r="L7292" s="417"/>
      <c r="M7292" s="417" t="s">
        <v>28840</v>
      </c>
    </row>
    <row r="7293" spans="1:13" x14ac:dyDescent="0.25">
      <c r="A7293" s="417" t="s">
        <v>3385</v>
      </c>
      <c r="B7293" s="417" t="s">
        <v>2627</v>
      </c>
      <c r="C7293" s="417" t="s">
        <v>17058</v>
      </c>
      <c r="D7293" s="417" t="s">
        <v>73</v>
      </c>
      <c r="E7293" s="423">
        <v>2.5109119959417669E-2</v>
      </c>
      <c r="F7293" s="423">
        <v>5.9537315038087719E-4</v>
      </c>
      <c r="G7293" s="422">
        <v>47.603421055140409</v>
      </c>
      <c r="H7293" s="417" t="s">
        <v>2616</v>
      </c>
      <c r="I7293" s="417" t="s">
        <v>1392</v>
      </c>
      <c r="J7293" s="417" t="s">
        <v>15692</v>
      </c>
      <c r="K7293" s="417" t="s">
        <v>17059</v>
      </c>
      <c r="L7293" s="417"/>
      <c r="M7293" s="417" t="s">
        <v>28840</v>
      </c>
    </row>
    <row r="7294" spans="1:13" x14ac:dyDescent="0.25">
      <c r="A7294" s="417" t="s">
        <v>3385</v>
      </c>
      <c r="B7294" s="417" t="s">
        <v>2627</v>
      </c>
      <c r="C7294" s="417" t="s">
        <v>17060</v>
      </c>
      <c r="D7294" s="417" t="s">
        <v>73</v>
      </c>
      <c r="E7294" s="423">
        <v>1.120286987104167E-2</v>
      </c>
      <c r="F7294" s="423">
        <v>1.263510864803084E-4</v>
      </c>
      <c r="G7294" s="422">
        <v>26.08585313118855</v>
      </c>
      <c r="H7294" s="417" t="s">
        <v>2616</v>
      </c>
      <c r="I7294" s="417" t="s">
        <v>1392</v>
      </c>
      <c r="J7294" s="417" t="s">
        <v>15692</v>
      </c>
      <c r="K7294" s="417" t="s">
        <v>17061</v>
      </c>
      <c r="L7294" s="417"/>
      <c r="M7294" s="417" t="s">
        <v>28840</v>
      </c>
    </row>
    <row r="7295" spans="1:13" x14ac:dyDescent="0.25">
      <c r="A7295" s="417" t="s">
        <v>3385</v>
      </c>
      <c r="B7295" s="417" t="s">
        <v>2627</v>
      </c>
      <c r="C7295" s="417" t="s">
        <v>17062</v>
      </c>
      <c r="D7295" s="417" t="s">
        <v>73</v>
      </c>
      <c r="E7295" s="423">
        <v>3.2382439478256302E-2</v>
      </c>
      <c r="F7295" s="423">
        <v>9.740051007742029E-4</v>
      </c>
      <c r="G7295" s="422">
        <v>59.899268649682917</v>
      </c>
      <c r="H7295" s="417" t="s">
        <v>2616</v>
      </c>
      <c r="I7295" s="417" t="s">
        <v>1392</v>
      </c>
      <c r="J7295" s="417" t="s">
        <v>15692</v>
      </c>
      <c r="K7295" s="417" t="s">
        <v>17063</v>
      </c>
      <c r="L7295" s="417"/>
      <c r="M7295" s="417" t="s">
        <v>28840</v>
      </c>
    </row>
    <row r="7296" spans="1:13" x14ac:dyDescent="0.25">
      <c r="A7296" s="417" t="s">
        <v>3385</v>
      </c>
      <c r="B7296" s="417" t="s">
        <v>2627</v>
      </c>
      <c r="C7296" s="417" t="s">
        <v>17064</v>
      </c>
      <c r="D7296" s="417" t="s">
        <v>73</v>
      </c>
      <c r="E7296" s="423">
        <v>2.5184883556797339E-2</v>
      </c>
      <c r="F7296" s="423">
        <v>5.9931718967254116E-4</v>
      </c>
      <c r="G7296" s="422">
        <v>47.731502064775498</v>
      </c>
      <c r="H7296" s="417" t="s">
        <v>2616</v>
      </c>
      <c r="I7296" s="417" t="s">
        <v>1392</v>
      </c>
      <c r="J7296" s="417" t="s">
        <v>15692</v>
      </c>
      <c r="K7296" s="417" t="s">
        <v>17065</v>
      </c>
      <c r="L7296" s="417"/>
      <c r="M7296" s="417" t="s">
        <v>28840</v>
      </c>
    </row>
    <row r="7297" spans="1:13" x14ac:dyDescent="0.25">
      <c r="A7297" s="417" t="s">
        <v>3385</v>
      </c>
      <c r="B7297" s="417" t="s">
        <v>2627</v>
      </c>
      <c r="C7297" s="417" t="s">
        <v>17066</v>
      </c>
      <c r="D7297" s="417" t="s">
        <v>73</v>
      </c>
      <c r="E7297" s="423">
        <v>2.465453692361767E-2</v>
      </c>
      <c r="F7297" s="423">
        <v>5.7170857604209421E-4</v>
      </c>
      <c r="G7297" s="422">
        <v>46.834929424422278</v>
      </c>
      <c r="H7297" s="417" t="s">
        <v>2616</v>
      </c>
      <c r="I7297" s="417" t="s">
        <v>1392</v>
      </c>
      <c r="J7297" s="417" t="s">
        <v>15692</v>
      </c>
      <c r="K7297" s="417" t="s">
        <v>17067</v>
      </c>
      <c r="L7297" s="417"/>
      <c r="M7297" s="417" t="s">
        <v>28840</v>
      </c>
    </row>
    <row r="7298" spans="1:13" x14ac:dyDescent="0.25">
      <c r="A7298" s="417" t="s">
        <v>3385</v>
      </c>
      <c r="B7298" s="417" t="s">
        <v>2627</v>
      </c>
      <c r="C7298" s="417" t="s">
        <v>17068</v>
      </c>
      <c r="D7298" s="417" t="s">
        <v>73</v>
      </c>
      <c r="E7298" s="423">
        <v>2.5563702211145789E-2</v>
      </c>
      <c r="F7298" s="423">
        <v>6.1903768521207525E-4</v>
      </c>
      <c r="G7298" s="422">
        <v>48.371911292501402</v>
      </c>
      <c r="H7298" s="417" t="s">
        <v>2616</v>
      </c>
      <c r="I7298" s="417" t="s">
        <v>1392</v>
      </c>
      <c r="J7298" s="417" t="s">
        <v>15692</v>
      </c>
      <c r="K7298" s="417" t="s">
        <v>17069</v>
      </c>
      <c r="L7298" s="417"/>
      <c r="M7298" s="417" t="s">
        <v>28840</v>
      </c>
    </row>
    <row r="7299" spans="1:13" x14ac:dyDescent="0.25">
      <c r="A7299" s="417" t="s">
        <v>3385</v>
      </c>
      <c r="B7299" s="417" t="s">
        <v>2627</v>
      </c>
      <c r="C7299" s="417" t="s">
        <v>17070</v>
      </c>
      <c r="D7299" s="417" t="s">
        <v>73</v>
      </c>
      <c r="E7299" s="423">
        <v>2.5033355804721571E-2</v>
      </c>
      <c r="F7299" s="423">
        <v>5.9142903984968809E-4</v>
      </c>
      <c r="G7299" s="422">
        <v>47.475338237494377</v>
      </c>
      <c r="H7299" s="417" t="s">
        <v>2616</v>
      </c>
      <c r="I7299" s="417" t="s">
        <v>1392</v>
      </c>
      <c r="J7299" s="417" t="s">
        <v>15692</v>
      </c>
      <c r="K7299" s="417" t="s">
        <v>17071</v>
      </c>
      <c r="L7299" s="417"/>
      <c r="M7299" s="417" t="s">
        <v>28840</v>
      </c>
    </row>
    <row r="7300" spans="1:13" x14ac:dyDescent="0.25">
      <c r="A7300" s="417" t="s">
        <v>3385</v>
      </c>
      <c r="B7300" s="417" t="s">
        <v>2627</v>
      </c>
      <c r="C7300" s="417" t="s">
        <v>17072</v>
      </c>
      <c r="D7300" s="417" t="s">
        <v>73</v>
      </c>
      <c r="E7300" s="423">
        <v>2.4351481572390251E-2</v>
      </c>
      <c r="F7300" s="423">
        <v>5.5593233692837352E-4</v>
      </c>
      <c r="G7300" s="422">
        <v>46.322601687893048</v>
      </c>
      <c r="H7300" s="417" t="s">
        <v>2616</v>
      </c>
      <c r="I7300" s="417" t="s">
        <v>1392</v>
      </c>
      <c r="J7300" s="417" t="s">
        <v>15692</v>
      </c>
      <c r="K7300" s="417" t="s">
        <v>17073</v>
      </c>
      <c r="L7300" s="417"/>
      <c r="M7300" s="417" t="s">
        <v>28840</v>
      </c>
    </row>
    <row r="7301" spans="1:13" x14ac:dyDescent="0.25">
      <c r="A7301" s="417" t="s">
        <v>3385</v>
      </c>
      <c r="B7301" s="417" t="s">
        <v>2627</v>
      </c>
      <c r="C7301" s="417" t="s">
        <v>17074</v>
      </c>
      <c r="D7301" s="417" t="s">
        <v>73</v>
      </c>
      <c r="E7301" s="423">
        <v>1.040224319591952E-2</v>
      </c>
      <c r="F7301" s="423">
        <v>1.270335270189787E-4</v>
      </c>
      <c r="G7301" s="422">
        <v>25.097558476887979</v>
      </c>
      <c r="H7301" s="417" t="s">
        <v>2616</v>
      </c>
      <c r="I7301" s="417" t="s">
        <v>1392</v>
      </c>
      <c r="J7301" s="417" t="s">
        <v>15692</v>
      </c>
      <c r="K7301" s="417" t="s">
        <v>17075</v>
      </c>
      <c r="L7301" s="417"/>
      <c r="M7301" s="417" t="s">
        <v>28840</v>
      </c>
    </row>
    <row r="7302" spans="1:13" x14ac:dyDescent="0.25">
      <c r="A7302" s="417" t="s">
        <v>3385</v>
      </c>
      <c r="B7302" s="417" t="s">
        <v>2627</v>
      </c>
      <c r="C7302" s="417" t="s">
        <v>17076</v>
      </c>
      <c r="D7302" s="417" t="s">
        <v>73</v>
      </c>
      <c r="E7302" s="423">
        <v>2.6169811441256491E-2</v>
      </c>
      <c r="F7302" s="423">
        <v>6.5059028489042987E-4</v>
      </c>
      <c r="G7302" s="422">
        <v>49.396563159935511</v>
      </c>
      <c r="H7302" s="417" t="s">
        <v>2616</v>
      </c>
      <c r="I7302" s="417" t="s">
        <v>1392</v>
      </c>
      <c r="J7302" s="417" t="s">
        <v>15692</v>
      </c>
      <c r="K7302" s="417" t="s">
        <v>17077</v>
      </c>
      <c r="L7302" s="417"/>
      <c r="M7302" s="417" t="s">
        <v>28840</v>
      </c>
    </row>
    <row r="7303" spans="1:13" x14ac:dyDescent="0.25">
      <c r="A7303" s="417" t="s">
        <v>3385</v>
      </c>
      <c r="B7303" s="417" t="s">
        <v>2627</v>
      </c>
      <c r="C7303" s="417" t="s">
        <v>17078</v>
      </c>
      <c r="D7303" s="417" t="s">
        <v>73</v>
      </c>
      <c r="E7303" s="423">
        <v>2.6321338986061839E-2</v>
      </c>
      <c r="F7303" s="423">
        <v>6.5847842040801297E-4</v>
      </c>
      <c r="G7303" s="422">
        <v>49.652726906706917</v>
      </c>
      <c r="H7303" s="417" t="s">
        <v>2616</v>
      </c>
      <c r="I7303" s="417" t="s">
        <v>1392</v>
      </c>
      <c r="J7303" s="417" t="s">
        <v>15692</v>
      </c>
      <c r="K7303" s="417" t="s">
        <v>17079</v>
      </c>
      <c r="L7303" s="417"/>
      <c r="M7303" s="417" t="s">
        <v>28840</v>
      </c>
    </row>
    <row r="7304" spans="1:13" x14ac:dyDescent="0.25">
      <c r="A7304" s="417" t="s">
        <v>3385</v>
      </c>
      <c r="B7304" s="417" t="s">
        <v>2627</v>
      </c>
      <c r="C7304" s="417" t="s">
        <v>17080</v>
      </c>
      <c r="D7304" s="417" t="s">
        <v>73</v>
      </c>
      <c r="E7304" s="423">
        <v>3.1018695727621871E-2</v>
      </c>
      <c r="F7304" s="423">
        <v>9.0301195228753345E-4</v>
      </c>
      <c r="G7304" s="422">
        <v>57.593805465055922</v>
      </c>
      <c r="H7304" s="417" t="s">
        <v>2616</v>
      </c>
      <c r="I7304" s="417" t="s">
        <v>1392</v>
      </c>
      <c r="J7304" s="417" t="s">
        <v>15692</v>
      </c>
      <c r="K7304" s="417" t="s">
        <v>17081</v>
      </c>
      <c r="L7304" s="417"/>
      <c r="M7304" s="417" t="s">
        <v>28840</v>
      </c>
    </row>
    <row r="7305" spans="1:13" x14ac:dyDescent="0.25">
      <c r="A7305" s="417" t="s">
        <v>3385</v>
      </c>
      <c r="B7305" s="417" t="s">
        <v>2627</v>
      </c>
      <c r="C7305" s="417" t="s">
        <v>17082</v>
      </c>
      <c r="D7305" s="417" t="s">
        <v>73</v>
      </c>
      <c r="E7305" s="423">
        <v>2.6397106197099129E-2</v>
      </c>
      <c r="F7305" s="423">
        <v>6.6242271688519115E-4</v>
      </c>
      <c r="G7305" s="422">
        <v>49.780816149019969</v>
      </c>
      <c r="H7305" s="417" t="s">
        <v>2616</v>
      </c>
      <c r="I7305" s="417" t="s">
        <v>1392</v>
      </c>
      <c r="J7305" s="417" t="s">
        <v>15692</v>
      </c>
      <c r="K7305" s="417" t="s">
        <v>17083</v>
      </c>
      <c r="L7305" s="417"/>
      <c r="M7305" s="417" t="s">
        <v>28840</v>
      </c>
    </row>
    <row r="7306" spans="1:13" x14ac:dyDescent="0.25">
      <c r="A7306" s="417" t="s">
        <v>3385</v>
      </c>
      <c r="B7306" s="417" t="s">
        <v>2627</v>
      </c>
      <c r="C7306" s="417" t="s">
        <v>17084</v>
      </c>
      <c r="D7306" s="417" t="s">
        <v>73</v>
      </c>
      <c r="E7306" s="423">
        <v>3.0488862168170341E-2</v>
      </c>
      <c r="F7306" s="423">
        <v>8.7543008080942291E-4</v>
      </c>
      <c r="G7306" s="422">
        <v>56.69809935164686</v>
      </c>
      <c r="H7306" s="417" t="s">
        <v>2616</v>
      </c>
      <c r="I7306" s="417" t="s">
        <v>1392</v>
      </c>
      <c r="J7306" s="417" t="s">
        <v>15692</v>
      </c>
      <c r="K7306" s="417" t="s">
        <v>17085</v>
      </c>
      <c r="L7306" s="417"/>
      <c r="M7306" s="417" t="s">
        <v>28840</v>
      </c>
    </row>
    <row r="7307" spans="1:13" x14ac:dyDescent="0.25">
      <c r="A7307" s="417" t="s">
        <v>3385</v>
      </c>
      <c r="B7307" s="417" t="s">
        <v>2627</v>
      </c>
      <c r="C7307" s="417" t="s">
        <v>17086</v>
      </c>
      <c r="D7307" s="417" t="s">
        <v>73</v>
      </c>
      <c r="E7307" s="423">
        <v>3.1473274041601343E-2</v>
      </c>
      <c r="F7307" s="423">
        <v>9.2667618247224822E-4</v>
      </c>
      <c r="G7307" s="422">
        <v>58.362286440447818</v>
      </c>
      <c r="H7307" s="417" t="s">
        <v>2616</v>
      </c>
      <c r="I7307" s="417" t="s">
        <v>1392</v>
      </c>
      <c r="J7307" s="417" t="s">
        <v>15692</v>
      </c>
      <c r="K7307" s="417" t="s">
        <v>17087</v>
      </c>
      <c r="L7307" s="417"/>
      <c r="M7307" s="417" t="s">
        <v>28840</v>
      </c>
    </row>
    <row r="7308" spans="1:13" x14ac:dyDescent="0.25">
      <c r="A7308" s="417" t="s">
        <v>3385</v>
      </c>
      <c r="B7308" s="417" t="s">
        <v>2627</v>
      </c>
      <c r="C7308" s="417" t="s">
        <v>17088</v>
      </c>
      <c r="D7308" s="417" t="s">
        <v>73</v>
      </c>
      <c r="E7308" s="423">
        <v>3.1398030153439838E-2</v>
      </c>
      <c r="F7308" s="423">
        <v>9.2275927101249239E-4</v>
      </c>
      <c r="G7308" s="422">
        <v>58.235086802103901</v>
      </c>
      <c r="H7308" s="417" t="s">
        <v>2616</v>
      </c>
      <c r="I7308" s="417" t="s">
        <v>1392</v>
      </c>
      <c r="J7308" s="417" t="s">
        <v>15692</v>
      </c>
      <c r="K7308" s="417" t="s">
        <v>17089</v>
      </c>
      <c r="L7308" s="417"/>
      <c r="M7308" s="417" t="s">
        <v>28840</v>
      </c>
    </row>
    <row r="7309" spans="1:13" x14ac:dyDescent="0.25">
      <c r="A7309" s="417" t="s">
        <v>3385</v>
      </c>
      <c r="B7309" s="417" t="s">
        <v>2627</v>
      </c>
      <c r="C7309" s="417" t="s">
        <v>17090</v>
      </c>
      <c r="D7309" s="417" t="s">
        <v>73</v>
      </c>
      <c r="E7309" s="423">
        <v>9.5379854384205296E-3</v>
      </c>
      <c r="F7309" s="423">
        <v>1.193758143139334E-4</v>
      </c>
      <c r="G7309" s="422">
        <v>23.933483662982951</v>
      </c>
      <c r="H7309" s="417" t="s">
        <v>2616</v>
      </c>
      <c r="I7309" s="417" t="s">
        <v>1392</v>
      </c>
      <c r="J7309" s="417" t="s">
        <v>15692</v>
      </c>
      <c r="K7309" s="417" t="s">
        <v>17091</v>
      </c>
      <c r="L7309" s="417"/>
      <c r="M7309" s="417" t="s">
        <v>28840</v>
      </c>
    </row>
    <row r="7310" spans="1:13" x14ac:dyDescent="0.25">
      <c r="A7310" s="417" t="s">
        <v>3385</v>
      </c>
      <c r="B7310" s="417" t="s">
        <v>2627</v>
      </c>
      <c r="C7310" s="417" t="s">
        <v>17092</v>
      </c>
      <c r="D7310" s="417" t="s">
        <v>73</v>
      </c>
      <c r="E7310" s="423">
        <v>2.473030049423635E-2</v>
      </c>
      <c r="F7310" s="423">
        <v>5.7565272099214973E-4</v>
      </c>
      <c r="G7310" s="422">
        <v>46.963010428223022</v>
      </c>
      <c r="H7310" s="417" t="s">
        <v>2616</v>
      </c>
      <c r="I7310" s="417" t="s">
        <v>1392</v>
      </c>
      <c r="J7310" s="417" t="s">
        <v>15692</v>
      </c>
      <c r="K7310" s="417" t="s">
        <v>17093</v>
      </c>
      <c r="L7310" s="417"/>
      <c r="M7310" s="417" t="s">
        <v>28840</v>
      </c>
    </row>
    <row r="7311" spans="1:13" x14ac:dyDescent="0.25">
      <c r="A7311" s="417" t="s">
        <v>3385</v>
      </c>
      <c r="B7311" s="417" t="s">
        <v>2627</v>
      </c>
      <c r="C7311" s="417" t="s">
        <v>17094</v>
      </c>
      <c r="D7311" s="417" t="s">
        <v>73</v>
      </c>
      <c r="E7311" s="423">
        <v>1.7381214107351162E-2</v>
      </c>
      <c r="F7311" s="423">
        <v>1.9307641300851869E-4</v>
      </c>
      <c r="G7311" s="422">
        <v>34.539074497676367</v>
      </c>
      <c r="H7311" s="417" t="s">
        <v>2616</v>
      </c>
      <c r="I7311" s="417" t="s">
        <v>1392</v>
      </c>
      <c r="J7311" s="417" t="s">
        <v>15692</v>
      </c>
      <c r="K7311" s="417" t="s">
        <v>17095</v>
      </c>
      <c r="L7311" s="417"/>
      <c r="M7311" s="417" t="s">
        <v>28840</v>
      </c>
    </row>
    <row r="7312" spans="1:13" x14ac:dyDescent="0.25">
      <c r="A7312" s="417" t="s">
        <v>3385</v>
      </c>
      <c r="B7312" s="417" t="s">
        <v>2627</v>
      </c>
      <c r="C7312" s="417" t="s">
        <v>17096</v>
      </c>
      <c r="D7312" s="417" t="s">
        <v>73</v>
      </c>
      <c r="E7312" s="423">
        <v>2.5184883556797329E-2</v>
      </c>
      <c r="F7312" s="423">
        <v>5.9931718967254116E-4</v>
      </c>
      <c r="G7312" s="422">
        <v>47.731502064775512</v>
      </c>
      <c r="H7312" s="417" t="s">
        <v>2616</v>
      </c>
      <c r="I7312" s="417" t="s">
        <v>1392</v>
      </c>
      <c r="J7312" s="417" t="s">
        <v>15692</v>
      </c>
      <c r="K7312" s="417" t="s">
        <v>17097</v>
      </c>
      <c r="L7312" s="417"/>
      <c r="M7312" s="417" t="s">
        <v>28840</v>
      </c>
    </row>
    <row r="7313" spans="1:13" x14ac:dyDescent="0.25">
      <c r="A7313" s="417" t="s">
        <v>3385</v>
      </c>
      <c r="B7313" s="417" t="s">
        <v>2627</v>
      </c>
      <c r="C7313" s="417" t="s">
        <v>17098</v>
      </c>
      <c r="D7313" s="417" t="s">
        <v>83</v>
      </c>
      <c r="E7313" s="423">
        <v>0.89997399757259766</v>
      </c>
      <c r="F7313" s="423">
        <v>2.1192890545338901E-2</v>
      </c>
      <c r="G7313" s="422">
        <v>1706.751264771691</v>
      </c>
      <c r="H7313" s="417" t="s">
        <v>2616</v>
      </c>
      <c r="I7313" s="417" t="s">
        <v>1392</v>
      </c>
      <c r="J7313" s="417" t="s">
        <v>15692</v>
      </c>
      <c r="K7313" s="417" t="s">
        <v>17099</v>
      </c>
      <c r="L7313" s="417"/>
      <c r="M7313" s="417" t="s">
        <v>28840</v>
      </c>
    </row>
    <row r="7314" spans="1:13" x14ac:dyDescent="0.25">
      <c r="A7314" s="417" t="s">
        <v>3385</v>
      </c>
      <c r="B7314" s="417" t="s">
        <v>2627</v>
      </c>
      <c r="C7314" s="417" t="s">
        <v>17100</v>
      </c>
      <c r="D7314" s="417" t="s">
        <v>73</v>
      </c>
      <c r="E7314" s="423">
        <v>2.526064675928056E-2</v>
      </c>
      <c r="F7314" s="423">
        <v>6.0326136865390787E-4</v>
      </c>
      <c r="G7314" s="422">
        <v>47.859583271415943</v>
      </c>
      <c r="H7314" s="417" t="s">
        <v>2616</v>
      </c>
      <c r="I7314" s="417" t="s">
        <v>1392</v>
      </c>
      <c r="J7314" s="417" t="s">
        <v>15692</v>
      </c>
      <c r="K7314" s="417" t="s">
        <v>17101</v>
      </c>
      <c r="L7314" s="417"/>
      <c r="M7314" s="417" t="s">
        <v>28840</v>
      </c>
    </row>
    <row r="7315" spans="1:13" x14ac:dyDescent="0.25">
      <c r="A7315" s="417" t="s">
        <v>3385</v>
      </c>
      <c r="B7315" s="417" t="s">
        <v>2627</v>
      </c>
      <c r="C7315" s="417" t="s">
        <v>17102</v>
      </c>
      <c r="D7315" s="417" t="s">
        <v>73</v>
      </c>
      <c r="E7315" s="423">
        <v>9.8122899850395049E-3</v>
      </c>
      <c r="F7315" s="423">
        <v>1.21627271284648E-4</v>
      </c>
      <c r="G7315" s="422">
        <v>24.301594426129999</v>
      </c>
      <c r="H7315" s="417" t="s">
        <v>2616</v>
      </c>
      <c r="I7315" s="417" t="s">
        <v>1392</v>
      </c>
      <c r="J7315" s="417" t="s">
        <v>15692</v>
      </c>
      <c r="K7315" s="417" t="s">
        <v>17103</v>
      </c>
      <c r="L7315" s="417"/>
      <c r="M7315" s="417" t="s">
        <v>28840</v>
      </c>
    </row>
    <row r="7316" spans="1:13" x14ac:dyDescent="0.25">
      <c r="A7316" s="417" t="s">
        <v>3385</v>
      </c>
      <c r="B7316" s="417" t="s">
        <v>2627</v>
      </c>
      <c r="C7316" s="417" t="s">
        <v>17104</v>
      </c>
      <c r="D7316" s="417" t="s">
        <v>73</v>
      </c>
      <c r="E7316" s="423">
        <v>3.4352301482902969E-2</v>
      </c>
      <c r="F7316" s="423">
        <v>1.076551741734672E-3</v>
      </c>
      <c r="G7316" s="422">
        <v>63.229403599284822</v>
      </c>
      <c r="H7316" s="417" t="s">
        <v>2616</v>
      </c>
      <c r="I7316" s="417" t="s">
        <v>1392</v>
      </c>
      <c r="J7316" s="417" t="s">
        <v>15692</v>
      </c>
      <c r="K7316" s="417" t="s">
        <v>17105</v>
      </c>
      <c r="L7316" s="417"/>
      <c r="M7316" s="417" t="s">
        <v>28840</v>
      </c>
    </row>
    <row r="7317" spans="1:13" x14ac:dyDescent="0.25">
      <c r="A7317" s="417" t="s">
        <v>3385</v>
      </c>
      <c r="B7317" s="417" t="s">
        <v>2627</v>
      </c>
      <c r="C7317" s="417" t="s">
        <v>17106</v>
      </c>
      <c r="D7317" s="417" t="s">
        <v>73</v>
      </c>
      <c r="E7317" s="423">
        <v>2.6624394967835901E-2</v>
      </c>
      <c r="F7317" s="423">
        <v>6.7425490443885454E-4</v>
      </c>
      <c r="G7317" s="422">
        <v>50.165056591836077</v>
      </c>
      <c r="H7317" s="417" t="s">
        <v>2616</v>
      </c>
      <c r="I7317" s="417" t="s">
        <v>1392</v>
      </c>
      <c r="J7317" s="417" t="s">
        <v>15692</v>
      </c>
      <c r="K7317" s="417" t="s">
        <v>17107</v>
      </c>
      <c r="L7317" s="417"/>
      <c r="M7317" s="417" t="s">
        <v>28840</v>
      </c>
    </row>
    <row r="7318" spans="1:13" x14ac:dyDescent="0.25">
      <c r="A7318" s="417" t="s">
        <v>3385</v>
      </c>
      <c r="B7318" s="417" t="s">
        <v>2627</v>
      </c>
      <c r="C7318" s="417" t="s">
        <v>17108</v>
      </c>
      <c r="D7318" s="417" t="s">
        <v>73</v>
      </c>
      <c r="E7318" s="423">
        <v>3.215463256649078E-2</v>
      </c>
      <c r="F7318" s="423">
        <v>9.6214605620861295E-4</v>
      </c>
      <c r="G7318" s="422">
        <v>59.514151211001497</v>
      </c>
      <c r="H7318" s="417" t="s">
        <v>2616</v>
      </c>
      <c r="I7318" s="417" t="s">
        <v>1392</v>
      </c>
      <c r="J7318" s="417" t="s">
        <v>15692</v>
      </c>
      <c r="K7318" s="417" t="s">
        <v>17109</v>
      </c>
      <c r="L7318" s="417"/>
      <c r="M7318" s="417" t="s">
        <v>28840</v>
      </c>
    </row>
    <row r="7319" spans="1:13" x14ac:dyDescent="0.25">
      <c r="A7319" s="417" t="s">
        <v>3385</v>
      </c>
      <c r="B7319" s="417" t="s">
        <v>2627</v>
      </c>
      <c r="C7319" s="417" t="s">
        <v>17110</v>
      </c>
      <c r="D7319" s="417" t="s">
        <v>73</v>
      </c>
      <c r="E7319" s="423">
        <v>9.1830031014421814E-3</v>
      </c>
      <c r="F7319" s="423">
        <v>1.16846419214641E-4</v>
      </c>
      <c r="G7319" s="422">
        <v>23.466641042846241</v>
      </c>
      <c r="H7319" s="417" t="s">
        <v>2616</v>
      </c>
      <c r="I7319" s="417" t="s">
        <v>1392</v>
      </c>
      <c r="J7319" s="417" t="s">
        <v>15692</v>
      </c>
      <c r="K7319" s="417" t="s">
        <v>17111</v>
      </c>
      <c r="L7319" s="417"/>
      <c r="M7319" s="417" t="s">
        <v>28840</v>
      </c>
    </row>
    <row r="7320" spans="1:13" x14ac:dyDescent="0.25">
      <c r="A7320" s="417" t="s">
        <v>3385</v>
      </c>
      <c r="B7320" s="417" t="s">
        <v>2627</v>
      </c>
      <c r="C7320" s="417" t="s">
        <v>17112</v>
      </c>
      <c r="D7320" s="417" t="s">
        <v>73</v>
      </c>
      <c r="E7320" s="423">
        <v>1.884912431695588E-2</v>
      </c>
      <c r="F7320" s="423">
        <v>9.4182669305689919E-5</v>
      </c>
      <c r="G7320" s="422">
        <v>34.72367296558626</v>
      </c>
      <c r="H7320" s="417" t="s">
        <v>2616</v>
      </c>
      <c r="I7320" s="417" t="s">
        <v>1392</v>
      </c>
      <c r="J7320" s="417" t="s">
        <v>15692</v>
      </c>
      <c r="K7320" s="417" t="s">
        <v>17113</v>
      </c>
      <c r="L7320" s="417"/>
      <c r="M7320" s="417" t="s">
        <v>28840</v>
      </c>
    </row>
    <row r="7321" spans="1:13" x14ac:dyDescent="0.25">
      <c r="A7321" s="417" t="s">
        <v>3385</v>
      </c>
      <c r="B7321" s="417" t="s">
        <v>2627</v>
      </c>
      <c r="C7321" s="417" t="s">
        <v>17114</v>
      </c>
      <c r="D7321" s="417" t="s">
        <v>73</v>
      </c>
      <c r="E7321" s="423">
        <v>1.884912431695588E-2</v>
      </c>
      <c r="F7321" s="423">
        <v>9.4182669305689919E-5</v>
      </c>
      <c r="G7321" s="422">
        <v>34.72367296558626</v>
      </c>
      <c r="H7321" s="417" t="s">
        <v>2616</v>
      </c>
      <c r="I7321" s="417" t="s">
        <v>1392</v>
      </c>
      <c r="J7321" s="417" t="s">
        <v>15692</v>
      </c>
      <c r="K7321" s="417" t="s">
        <v>17115</v>
      </c>
      <c r="L7321" s="417"/>
      <c r="M7321" s="417" t="s">
        <v>28840</v>
      </c>
    </row>
    <row r="7322" spans="1:13" x14ac:dyDescent="0.25">
      <c r="A7322" s="417" t="s">
        <v>3385</v>
      </c>
      <c r="B7322" s="417" t="s">
        <v>2627</v>
      </c>
      <c r="C7322" s="417" t="s">
        <v>17116</v>
      </c>
      <c r="D7322" s="417" t="s">
        <v>73</v>
      </c>
      <c r="E7322" s="423">
        <v>1.884912431695588E-2</v>
      </c>
      <c r="F7322" s="423">
        <v>9.4182669305689919E-5</v>
      </c>
      <c r="G7322" s="422">
        <v>34.72367296558626</v>
      </c>
      <c r="H7322" s="417" t="s">
        <v>2616</v>
      </c>
      <c r="I7322" s="417" t="s">
        <v>1392</v>
      </c>
      <c r="J7322" s="417" t="s">
        <v>15692</v>
      </c>
      <c r="K7322" s="417" t="s">
        <v>17117</v>
      </c>
      <c r="L7322" s="417"/>
      <c r="M7322" s="417" t="s">
        <v>28840</v>
      </c>
    </row>
    <row r="7323" spans="1:13" x14ac:dyDescent="0.25">
      <c r="A7323" s="417" t="s">
        <v>3385</v>
      </c>
      <c r="B7323" s="417" t="s">
        <v>2627</v>
      </c>
      <c r="C7323" s="417" t="s">
        <v>17118</v>
      </c>
      <c r="D7323" s="417" t="s">
        <v>73</v>
      </c>
      <c r="E7323" s="423">
        <v>1.502478676616969E-2</v>
      </c>
      <c r="F7323" s="423">
        <v>8.8242767495703913E-5</v>
      </c>
      <c r="G7323" s="422">
        <v>30.178871899192728</v>
      </c>
      <c r="H7323" s="417" t="s">
        <v>2616</v>
      </c>
      <c r="I7323" s="417" t="s">
        <v>1392</v>
      </c>
      <c r="J7323" s="417" t="s">
        <v>15692</v>
      </c>
      <c r="K7323" s="417" t="s">
        <v>17119</v>
      </c>
      <c r="L7323" s="417"/>
      <c r="M7323" s="417" t="s">
        <v>28840</v>
      </c>
    </row>
    <row r="7324" spans="1:13" x14ac:dyDescent="0.25">
      <c r="A7324" s="417" t="s">
        <v>3385</v>
      </c>
      <c r="B7324" s="417" t="s">
        <v>2627</v>
      </c>
      <c r="C7324" s="417" t="s">
        <v>17120</v>
      </c>
      <c r="D7324" s="417" t="s">
        <v>73</v>
      </c>
      <c r="E7324" s="423">
        <v>1.56451266311892E-2</v>
      </c>
      <c r="F7324" s="423">
        <v>4.6824235629430692E-5</v>
      </c>
      <c r="G7324" s="422">
        <v>29.642844108228608</v>
      </c>
      <c r="H7324" s="417" t="s">
        <v>2616</v>
      </c>
      <c r="I7324" s="417" t="s">
        <v>1392</v>
      </c>
      <c r="J7324" s="417" t="s">
        <v>15692</v>
      </c>
      <c r="K7324" s="417" t="s">
        <v>17121</v>
      </c>
      <c r="L7324" s="417"/>
      <c r="M7324" s="417" t="s">
        <v>28840</v>
      </c>
    </row>
    <row r="7325" spans="1:13" x14ac:dyDescent="0.25">
      <c r="A7325" s="417" t="s">
        <v>3385</v>
      </c>
      <c r="B7325" s="417" t="s">
        <v>2627</v>
      </c>
      <c r="C7325" s="417" t="s">
        <v>17122</v>
      </c>
      <c r="D7325" s="417" t="s">
        <v>73</v>
      </c>
      <c r="E7325" s="423">
        <v>1.56451266311892E-2</v>
      </c>
      <c r="F7325" s="423">
        <v>4.6824235629430692E-5</v>
      </c>
      <c r="G7325" s="422">
        <v>29.642844108228608</v>
      </c>
      <c r="H7325" s="417" t="s">
        <v>2616</v>
      </c>
      <c r="I7325" s="417" t="s">
        <v>1392</v>
      </c>
      <c r="J7325" s="417" t="s">
        <v>15692</v>
      </c>
      <c r="K7325" s="417" t="s">
        <v>17123</v>
      </c>
      <c r="L7325" s="417"/>
      <c r="M7325" s="417" t="s">
        <v>28840</v>
      </c>
    </row>
    <row r="7326" spans="1:13" x14ac:dyDescent="0.25">
      <c r="A7326" s="417" t="s">
        <v>3385</v>
      </c>
      <c r="B7326" s="417" t="s">
        <v>2627</v>
      </c>
      <c r="C7326" s="417" t="s">
        <v>17124</v>
      </c>
      <c r="D7326" s="417" t="s">
        <v>73</v>
      </c>
      <c r="E7326" s="423">
        <v>1.5809217440028851E-2</v>
      </c>
      <c r="F7326" s="423">
        <v>4.6941007917889783E-5</v>
      </c>
      <c r="G7326" s="422">
        <v>29.84881569884919</v>
      </c>
      <c r="H7326" s="417" t="s">
        <v>2616</v>
      </c>
      <c r="I7326" s="417" t="s">
        <v>1392</v>
      </c>
      <c r="J7326" s="417" t="s">
        <v>15692</v>
      </c>
      <c r="K7326" s="417" t="s">
        <v>17125</v>
      </c>
      <c r="L7326" s="417"/>
      <c r="M7326" s="417" t="s">
        <v>28840</v>
      </c>
    </row>
    <row r="7327" spans="1:13" x14ac:dyDescent="0.25">
      <c r="A7327" s="417" t="s">
        <v>3385</v>
      </c>
      <c r="B7327" s="417" t="s">
        <v>2627</v>
      </c>
      <c r="C7327" s="417" t="s">
        <v>17126</v>
      </c>
      <c r="D7327" s="417" t="s">
        <v>83</v>
      </c>
      <c r="E7327" s="423">
        <v>2.45506</v>
      </c>
      <c r="F7327" s="423">
        <v>0</v>
      </c>
      <c r="G7327" s="422">
        <v>3007.3574131999999</v>
      </c>
      <c r="H7327" s="417" t="s">
        <v>2616</v>
      </c>
      <c r="I7327" s="417" t="s">
        <v>1392</v>
      </c>
      <c r="J7327" s="417" t="s">
        <v>7702</v>
      </c>
      <c r="K7327" s="417" t="s">
        <v>17127</v>
      </c>
      <c r="L7327" s="417"/>
      <c r="M7327" s="417" t="s">
        <v>28840</v>
      </c>
    </row>
    <row r="7328" spans="1:13" x14ac:dyDescent="0.25">
      <c r="A7328" s="417" t="s">
        <v>3385</v>
      </c>
      <c r="B7328" s="417" t="s">
        <v>2627</v>
      </c>
      <c r="C7328" s="417" t="s">
        <v>17128</v>
      </c>
      <c r="D7328" s="417" t="s">
        <v>83</v>
      </c>
      <c r="E7328" s="423">
        <v>0.28265795989259729</v>
      </c>
      <c r="F7328" s="423">
        <v>3.6312931170702332E-4</v>
      </c>
      <c r="G7328" s="422">
        <v>709.34968856071237</v>
      </c>
      <c r="H7328" s="417" t="s">
        <v>2616</v>
      </c>
      <c r="I7328" s="417" t="s">
        <v>1392</v>
      </c>
      <c r="J7328" s="417" t="s">
        <v>14271</v>
      </c>
      <c r="K7328" s="417" t="s">
        <v>17129</v>
      </c>
      <c r="L7328" s="417"/>
      <c r="M7328" s="417" t="s">
        <v>28840</v>
      </c>
    </row>
    <row r="7329" spans="1:13" x14ac:dyDescent="0.25">
      <c r="A7329" s="417" t="s">
        <v>3385</v>
      </c>
      <c r="B7329" s="417" t="s">
        <v>2627</v>
      </c>
      <c r="C7329" s="417" t="s">
        <v>17130</v>
      </c>
      <c r="D7329" s="417" t="s">
        <v>83</v>
      </c>
      <c r="E7329" s="423">
        <v>17.446999999999999</v>
      </c>
      <c r="F7329" s="423">
        <v>0</v>
      </c>
      <c r="G7329" s="422">
        <v>21146.800001299998</v>
      </c>
      <c r="H7329" s="417" t="s">
        <v>2616</v>
      </c>
      <c r="I7329" s="417" t="s">
        <v>1392</v>
      </c>
      <c r="J7329" s="417" t="s">
        <v>5230</v>
      </c>
      <c r="K7329" s="417" t="s">
        <v>17131</v>
      </c>
      <c r="L7329" s="417"/>
      <c r="M7329" s="417" t="s">
        <v>28840</v>
      </c>
    </row>
    <row r="7330" spans="1:13" x14ac:dyDescent="0.25">
      <c r="A7330" s="417" t="s">
        <v>3385</v>
      </c>
      <c r="B7330" s="417" t="s">
        <v>2627</v>
      </c>
      <c r="C7330" s="417" t="s">
        <v>17132</v>
      </c>
      <c r="D7330" s="417" t="s">
        <v>88</v>
      </c>
      <c r="E7330" s="423">
        <v>2.197684855741064</v>
      </c>
      <c r="F7330" s="423">
        <v>5.1803015911005099E-2</v>
      </c>
      <c r="G7330" s="422">
        <v>6651.4761470056492</v>
      </c>
      <c r="H7330" s="417" t="s">
        <v>2616</v>
      </c>
      <c r="I7330" s="417" t="s">
        <v>1392</v>
      </c>
      <c r="J7330" s="417" t="s">
        <v>4276</v>
      </c>
      <c r="K7330" s="417" t="s">
        <v>17133</v>
      </c>
      <c r="L7330" s="417"/>
      <c r="M7330" s="417" t="s">
        <v>28840</v>
      </c>
    </row>
    <row r="7331" spans="1:13" x14ac:dyDescent="0.25">
      <c r="A7331" s="417" t="s">
        <v>3385</v>
      </c>
      <c r="B7331" s="417" t="s">
        <v>2627</v>
      </c>
      <c r="C7331" s="417" t="s">
        <v>17134</v>
      </c>
      <c r="D7331" s="417" t="s">
        <v>88</v>
      </c>
      <c r="E7331" s="423">
        <v>0.21423461221986931</v>
      </c>
      <c r="F7331" s="423">
        <v>1.8617382176551799E-2</v>
      </c>
      <c r="G7331" s="422">
        <v>542.7777529279449</v>
      </c>
      <c r="H7331" s="417" t="s">
        <v>2616</v>
      </c>
      <c r="I7331" s="417" t="s">
        <v>1392</v>
      </c>
      <c r="J7331" s="417" t="s">
        <v>4369</v>
      </c>
      <c r="K7331" s="417" t="s">
        <v>17135</v>
      </c>
      <c r="L7331" s="417"/>
      <c r="M7331" s="417" t="s">
        <v>28840</v>
      </c>
    </row>
    <row r="7332" spans="1:13" x14ac:dyDescent="0.25">
      <c r="A7332" s="417" t="s">
        <v>3385</v>
      </c>
      <c r="B7332" s="417" t="s">
        <v>2627</v>
      </c>
      <c r="C7332" s="417" t="s">
        <v>17136</v>
      </c>
      <c r="D7332" s="417" t="s">
        <v>88</v>
      </c>
      <c r="E7332" s="423">
        <v>0.31971724787116568</v>
      </c>
      <c r="F7332" s="423">
        <v>2.6222276396320781E-2</v>
      </c>
      <c r="G7332" s="422">
        <v>757.99181541931512</v>
      </c>
      <c r="H7332" s="417" t="s">
        <v>2616</v>
      </c>
      <c r="I7332" s="417" t="s">
        <v>1392</v>
      </c>
      <c r="J7332" s="417" t="s">
        <v>3627</v>
      </c>
      <c r="K7332" s="417" t="s">
        <v>17137</v>
      </c>
      <c r="L7332" s="417"/>
      <c r="M7332" s="417" t="s">
        <v>28840</v>
      </c>
    </row>
    <row r="7333" spans="1:13" x14ac:dyDescent="0.25">
      <c r="A7333" s="417" t="s">
        <v>3385</v>
      </c>
      <c r="B7333" s="417" t="s">
        <v>2627</v>
      </c>
      <c r="C7333" s="417" t="s">
        <v>17138</v>
      </c>
      <c r="D7333" s="417" t="s">
        <v>88</v>
      </c>
      <c r="E7333" s="423">
        <v>0.29028481701934572</v>
      </c>
      <c r="F7333" s="423">
        <v>2.6268759560063689E-2</v>
      </c>
      <c r="G7333" s="422">
        <v>775.39168999015169</v>
      </c>
      <c r="H7333" s="417" t="s">
        <v>2616</v>
      </c>
      <c r="I7333" s="417" t="s">
        <v>1392</v>
      </c>
      <c r="J7333" s="417" t="s">
        <v>4369</v>
      </c>
      <c r="K7333" s="417" t="s">
        <v>17139</v>
      </c>
      <c r="L7333" s="417"/>
      <c r="M7333" s="417" t="s">
        <v>28840</v>
      </c>
    </row>
    <row r="7334" spans="1:13" x14ac:dyDescent="0.25">
      <c r="A7334" s="417" t="s">
        <v>3385</v>
      </c>
      <c r="B7334" s="417" t="s">
        <v>2627</v>
      </c>
      <c r="C7334" s="417" t="s">
        <v>17140</v>
      </c>
      <c r="D7334" s="417" t="s">
        <v>88</v>
      </c>
      <c r="E7334" s="423">
        <v>0.39576745272512198</v>
      </c>
      <c r="F7334" s="423">
        <v>3.3873653789144462E-2</v>
      </c>
      <c r="G7334" s="422">
        <v>990.60576066663225</v>
      </c>
      <c r="H7334" s="417" t="s">
        <v>2616</v>
      </c>
      <c r="I7334" s="417" t="s">
        <v>1392</v>
      </c>
      <c r="J7334" s="417" t="s">
        <v>3627</v>
      </c>
      <c r="K7334" s="417" t="s">
        <v>17141</v>
      </c>
      <c r="L7334" s="417"/>
      <c r="M7334" s="417" t="s">
        <v>28840</v>
      </c>
    </row>
    <row r="7335" spans="1:13" x14ac:dyDescent="0.25">
      <c r="A7335" s="417" t="s">
        <v>3385</v>
      </c>
      <c r="B7335" s="417" t="s">
        <v>2627</v>
      </c>
      <c r="C7335" s="417" t="s">
        <v>17142</v>
      </c>
      <c r="D7335" s="417" t="s">
        <v>88</v>
      </c>
      <c r="E7335" s="423">
        <v>0.41640364986616701</v>
      </c>
      <c r="F7335" s="423">
        <v>3.3384937182032413E-2</v>
      </c>
      <c r="G7335" s="422">
        <v>1044.5616540152701</v>
      </c>
      <c r="H7335" s="417" t="s">
        <v>2616</v>
      </c>
      <c r="I7335" s="417" t="s">
        <v>1392</v>
      </c>
      <c r="J7335" s="417" t="s">
        <v>3627</v>
      </c>
      <c r="K7335" s="417" t="s">
        <v>17143</v>
      </c>
      <c r="L7335" s="417"/>
      <c r="M7335" s="417" t="s">
        <v>28840</v>
      </c>
    </row>
    <row r="7336" spans="1:13" x14ac:dyDescent="0.25">
      <c r="A7336" s="417" t="s">
        <v>3385</v>
      </c>
      <c r="B7336" s="417" t="s">
        <v>2627</v>
      </c>
      <c r="C7336" s="417" t="s">
        <v>17144</v>
      </c>
      <c r="D7336" s="417" t="s">
        <v>88</v>
      </c>
      <c r="E7336" s="423">
        <v>0.4045122403575297</v>
      </c>
      <c r="F7336" s="423">
        <v>3.7348323482955997E-2</v>
      </c>
      <c r="G7336" s="422">
        <v>991.39204761718372</v>
      </c>
      <c r="H7336" s="417" t="s">
        <v>2616</v>
      </c>
      <c r="I7336" s="417" t="s">
        <v>1392</v>
      </c>
      <c r="J7336" s="417" t="s">
        <v>3627</v>
      </c>
      <c r="K7336" s="417" t="s">
        <v>17145</v>
      </c>
      <c r="L7336" s="417"/>
      <c r="M7336" s="417" t="s">
        <v>28840</v>
      </c>
    </row>
    <row r="7337" spans="1:13" x14ac:dyDescent="0.25">
      <c r="A7337" s="417" t="s">
        <v>3385</v>
      </c>
      <c r="B7337" s="417" t="s">
        <v>2627</v>
      </c>
      <c r="C7337" s="417" t="s">
        <v>17146</v>
      </c>
      <c r="D7337" s="417" t="s">
        <v>88</v>
      </c>
      <c r="E7337" s="423">
        <v>0.35143144574262131</v>
      </c>
      <c r="F7337" s="423">
        <v>3.2633015816621272E-2</v>
      </c>
      <c r="G7337" s="422">
        <v>1452.4726657422009</v>
      </c>
      <c r="H7337" s="417" t="s">
        <v>2616</v>
      </c>
      <c r="I7337" s="417" t="s">
        <v>1392</v>
      </c>
      <c r="J7337" s="417" t="s">
        <v>4369</v>
      </c>
      <c r="K7337" s="417" t="s">
        <v>17147</v>
      </c>
      <c r="L7337" s="417"/>
      <c r="M7337" s="417" t="s">
        <v>28840</v>
      </c>
    </row>
    <row r="7338" spans="1:13" x14ac:dyDescent="0.25">
      <c r="A7338" s="417" t="s">
        <v>3385</v>
      </c>
      <c r="B7338" s="417" t="s">
        <v>2627</v>
      </c>
      <c r="C7338" s="417" t="s">
        <v>931</v>
      </c>
      <c r="D7338" s="417" t="s">
        <v>88</v>
      </c>
      <c r="E7338" s="423">
        <v>0.45691408153557089</v>
      </c>
      <c r="F7338" s="423">
        <v>4.0237910040357518E-2</v>
      </c>
      <c r="G7338" s="422">
        <v>1667.6867283905569</v>
      </c>
      <c r="H7338" s="417" t="s">
        <v>2616</v>
      </c>
      <c r="I7338" s="417" t="s">
        <v>28841</v>
      </c>
      <c r="J7338" s="417" t="s">
        <v>3627</v>
      </c>
      <c r="K7338" s="417" t="s">
        <v>17148</v>
      </c>
      <c r="L7338" s="417"/>
      <c r="M7338" s="417" t="s">
        <v>28840</v>
      </c>
    </row>
    <row r="7339" spans="1:13" x14ac:dyDescent="0.25">
      <c r="A7339" s="417" t="s">
        <v>3385</v>
      </c>
      <c r="B7339" s="417" t="s">
        <v>2437</v>
      </c>
      <c r="C7339" s="417" t="s">
        <v>17149</v>
      </c>
      <c r="D7339" s="417" t="s">
        <v>88</v>
      </c>
      <c r="E7339" s="423">
        <v>14.62814962579956</v>
      </c>
      <c r="F7339" s="423">
        <v>0.5283902345696333</v>
      </c>
      <c r="G7339" s="422">
        <v>80753.205765592051</v>
      </c>
      <c r="H7339" s="417" t="s">
        <v>2616</v>
      </c>
      <c r="I7339" s="417" t="s">
        <v>1392</v>
      </c>
      <c r="J7339" s="417" t="s">
        <v>3871</v>
      </c>
      <c r="K7339" s="417" t="s">
        <v>17150</v>
      </c>
      <c r="L7339" s="417"/>
      <c r="M7339" s="417" t="s">
        <v>28840</v>
      </c>
    </row>
    <row r="7340" spans="1:13" x14ac:dyDescent="0.25">
      <c r="A7340" s="417" t="s">
        <v>3385</v>
      </c>
      <c r="B7340" s="417" t="s">
        <v>2437</v>
      </c>
      <c r="C7340" s="417" t="s">
        <v>17151</v>
      </c>
      <c r="D7340" s="417" t="s">
        <v>88</v>
      </c>
      <c r="E7340" s="423">
        <v>3.2874513667450298</v>
      </c>
      <c r="F7340" s="423">
        <v>0.19980962165941929</v>
      </c>
      <c r="G7340" s="422">
        <v>74378.455852582789</v>
      </c>
      <c r="H7340" s="417" t="s">
        <v>2616</v>
      </c>
      <c r="I7340" s="417" t="s">
        <v>1392</v>
      </c>
      <c r="J7340" s="417" t="s">
        <v>3871</v>
      </c>
      <c r="K7340" s="417" t="s">
        <v>17152</v>
      </c>
      <c r="L7340" s="417"/>
      <c r="M7340" s="417" t="s">
        <v>28840</v>
      </c>
    </row>
    <row r="7341" spans="1:13" x14ac:dyDescent="0.25">
      <c r="A7341" s="417" t="s">
        <v>3385</v>
      </c>
      <c r="B7341" s="417" t="s">
        <v>2437</v>
      </c>
      <c r="C7341" s="417" t="s">
        <v>17153</v>
      </c>
      <c r="D7341" s="417" t="s">
        <v>88</v>
      </c>
      <c r="E7341" s="423">
        <v>5.858731575709311</v>
      </c>
      <c r="F7341" s="423">
        <v>0.20476531723003849</v>
      </c>
      <c r="G7341" s="422">
        <v>30323.519875915499</v>
      </c>
      <c r="H7341" s="417" t="s">
        <v>2616</v>
      </c>
      <c r="I7341" s="417" t="s">
        <v>1392</v>
      </c>
      <c r="J7341" s="417" t="s">
        <v>3871</v>
      </c>
      <c r="K7341" s="417" t="s">
        <v>17154</v>
      </c>
      <c r="L7341" s="417"/>
      <c r="M7341" s="417" t="s">
        <v>28840</v>
      </c>
    </row>
    <row r="7342" spans="1:13" x14ac:dyDescent="0.25">
      <c r="A7342" s="417" t="s">
        <v>3385</v>
      </c>
      <c r="B7342" s="417" t="s">
        <v>2627</v>
      </c>
      <c r="C7342" s="417" t="s">
        <v>17155</v>
      </c>
      <c r="D7342" s="417" t="s">
        <v>88</v>
      </c>
      <c r="E7342" s="423">
        <v>38.228198163545649</v>
      </c>
      <c r="F7342" s="423">
        <v>0.9134181474689852</v>
      </c>
      <c r="G7342" s="422">
        <v>61194.466775282322</v>
      </c>
      <c r="H7342" s="417" t="s">
        <v>2616</v>
      </c>
      <c r="I7342" s="417" t="s">
        <v>1392</v>
      </c>
      <c r="J7342" s="417" t="s">
        <v>3742</v>
      </c>
      <c r="K7342" s="417" t="s">
        <v>17156</v>
      </c>
      <c r="L7342" s="417"/>
      <c r="M7342" s="417" t="s">
        <v>28840</v>
      </c>
    </row>
    <row r="7343" spans="1:13" x14ac:dyDescent="0.25">
      <c r="A7343" s="417" t="s">
        <v>3385</v>
      </c>
      <c r="B7343" s="417" t="s">
        <v>2627</v>
      </c>
      <c r="C7343" s="417" t="s">
        <v>17157</v>
      </c>
      <c r="D7343" s="417" t="s">
        <v>989</v>
      </c>
      <c r="E7343" s="423">
        <v>5.0900107768270644</v>
      </c>
      <c r="F7343" s="423">
        <v>0.1975909033861411</v>
      </c>
      <c r="G7343" s="422">
        <v>17392.57932285485</v>
      </c>
      <c r="H7343" s="417" t="s">
        <v>2616</v>
      </c>
      <c r="I7343" s="417" t="s">
        <v>1392</v>
      </c>
      <c r="J7343" s="417" t="s">
        <v>3699</v>
      </c>
      <c r="K7343" s="417" t="s">
        <v>17158</v>
      </c>
      <c r="L7343" s="417"/>
      <c r="M7343" s="417" t="s">
        <v>28840</v>
      </c>
    </row>
    <row r="7344" spans="1:13" x14ac:dyDescent="0.25">
      <c r="A7344" s="417" t="s">
        <v>3385</v>
      </c>
      <c r="B7344" s="417" t="s">
        <v>2627</v>
      </c>
      <c r="C7344" s="417" t="s">
        <v>17159</v>
      </c>
      <c r="D7344" s="417" t="s">
        <v>989</v>
      </c>
      <c r="E7344" s="423">
        <v>61.740397300388381</v>
      </c>
      <c r="F7344" s="423">
        <v>2.3159567574257411</v>
      </c>
      <c r="G7344" s="422">
        <v>253004.10863931349</v>
      </c>
      <c r="H7344" s="417" t="s">
        <v>2616</v>
      </c>
      <c r="I7344" s="417" t="s">
        <v>1392</v>
      </c>
      <c r="J7344" s="417" t="s">
        <v>3699</v>
      </c>
      <c r="K7344" s="417" t="s">
        <v>17160</v>
      </c>
      <c r="L7344" s="417"/>
      <c r="M7344" s="417" t="s">
        <v>28840</v>
      </c>
    </row>
    <row r="7345" spans="1:13" x14ac:dyDescent="0.25">
      <c r="A7345" s="417" t="s">
        <v>3385</v>
      </c>
      <c r="B7345" s="417" t="s">
        <v>2627</v>
      </c>
      <c r="C7345" s="417" t="s">
        <v>17161</v>
      </c>
      <c r="D7345" s="417" t="s">
        <v>989</v>
      </c>
      <c r="E7345" s="423">
        <v>139.40012301557269</v>
      </c>
      <c r="F7345" s="423">
        <v>5.1030077569263197</v>
      </c>
      <c r="G7345" s="422">
        <v>661179.7064982244</v>
      </c>
      <c r="H7345" s="417" t="s">
        <v>2616</v>
      </c>
      <c r="I7345" s="417" t="s">
        <v>1392</v>
      </c>
      <c r="J7345" s="417" t="s">
        <v>4294</v>
      </c>
      <c r="K7345" s="417" t="s">
        <v>17162</v>
      </c>
      <c r="L7345" s="417"/>
      <c r="M7345" s="417" t="s">
        <v>28840</v>
      </c>
    </row>
    <row r="7346" spans="1:13" x14ac:dyDescent="0.25">
      <c r="A7346" s="417" t="s">
        <v>3385</v>
      </c>
      <c r="B7346" s="417" t="s">
        <v>2437</v>
      </c>
      <c r="C7346" s="417" t="s">
        <v>17163</v>
      </c>
      <c r="D7346" s="417" t="s">
        <v>88</v>
      </c>
      <c r="E7346" s="423">
        <v>8.6479891473759523</v>
      </c>
      <c r="F7346" s="423">
        <v>0.51656298769274966</v>
      </c>
      <c r="G7346" s="422">
        <v>32624.036539985558</v>
      </c>
      <c r="H7346" s="417" t="s">
        <v>2616</v>
      </c>
      <c r="I7346" s="417" t="s">
        <v>1392</v>
      </c>
      <c r="J7346" s="417" t="s">
        <v>3871</v>
      </c>
      <c r="K7346" s="417" t="s">
        <v>17164</v>
      </c>
      <c r="L7346" s="417"/>
      <c r="M7346" s="417" t="s">
        <v>28840</v>
      </c>
    </row>
    <row r="7347" spans="1:13" x14ac:dyDescent="0.25">
      <c r="A7347" s="417" t="s">
        <v>3385</v>
      </c>
      <c r="B7347" s="417" t="s">
        <v>2437</v>
      </c>
      <c r="C7347" s="417" t="s">
        <v>17165</v>
      </c>
      <c r="D7347" s="417" t="s">
        <v>88</v>
      </c>
      <c r="E7347" s="423">
        <v>6.2942584335896106</v>
      </c>
      <c r="F7347" s="423">
        <v>0.34405270823414957</v>
      </c>
      <c r="G7347" s="422">
        <v>23366.58655524077</v>
      </c>
      <c r="H7347" s="417" t="s">
        <v>2616</v>
      </c>
      <c r="I7347" s="417" t="s">
        <v>1392</v>
      </c>
      <c r="J7347" s="417" t="s">
        <v>3871</v>
      </c>
      <c r="K7347" s="417" t="s">
        <v>17166</v>
      </c>
      <c r="L7347" s="417"/>
      <c r="M7347" s="417" t="s">
        <v>28840</v>
      </c>
    </row>
    <row r="7348" spans="1:13" x14ac:dyDescent="0.25">
      <c r="A7348" s="417" t="s">
        <v>3385</v>
      </c>
      <c r="B7348" s="417" t="s">
        <v>2627</v>
      </c>
      <c r="C7348" s="417" t="s">
        <v>1105</v>
      </c>
      <c r="D7348" s="417" t="s">
        <v>88</v>
      </c>
      <c r="E7348" s="423">
        <v>9.8241688389597552</v>
      </c>
      <c r="F7348" s="423">
        <v>0.49468841477627529</v>
      </c>
      <c r="G7348" s="422">
        <v>42207.616138732548</v>
      </c>
      <c r="H7348" s="417" t="s">
        <v>2616</v>
      </c>
      <c r="I7348" s="417" t="s">
        <v>28841</v>
      </c>
      <c r="J7348" s="417" t="s">
        <v>3915</v>
      </c>
      <c r="K7348" s="417" t="s">
        <v>17167</v>
      </c>
      <c r="L7348" s="417"/>
      <c r="M7348" s="417" t="s">
        <v>28840</v>
      </c>
    </row>
    <row r="7349" spans="1:13" x14ac:dyDescent="0.25">
      <c r="A7349" s="417" t="s">
        <v>3385</v>
      </c>
      <c r="B7349" s="417" t="s">
        <v>2627</v>
      </c>
      <c r="C7349" s="417" t="s">
        <v>950</v>
      </c>
      <c r="D7349" s="417" t="s">
        <v>88</v>
      </c>
      <c r="E7349" s="423">
        <v>3.0009904933057632</v>
      </c>
      <c r="F7349" s="423">
        <v>1.207311835470368E-2</v>
      </c>
      <c r="G7349" s="422">
        <v>3587.517632458982</v>
      </c>
      <c r="H7349" s="417" t="s">
        <v>2616</v>
      </c>
      <c r="I7349" s="417" t="s">
        <v>28841</v>
      </c>
      <c r="J7349" s="417" t="s">
        <v>4333</v>
      </c>
      <c r="K7349" s="417" t="s">
        <v>17168</v>
      </c>
      <c r="L7349" s="417"/>
      <c r="M7349" s="417" t="s">
        <v>28840</v>
      </c>
    </row>
    <row r="7350" spans="1:13" x14ac:dyDescent="0.25">
      <c r="A7350" s="417" t="s">
        <v>3385</v>
      </c>
      <c r="B7350" s="417" t="s">
        <v>2627</v>
      </c>
      <c r="C7350" s="417" t="s">
        <v>17169</v>
      </c>
      <c r="D7350" s="417" t="s">
        <v>88</v>
      </c>
      <c r="E7350" s="423">
        <v>9.7689157737945411</v>
      </c>
      <c r="F7350" s="423">
        <v>0.33138175340662718</v>
      </c>
      <c r="G7350" s="422">
        <v>24047.70653241672</v>
      </c>
      <c r="H7350" s="417" t="s">
        <v>2616</v>
      </c>
      <c r="I7350" s="417" t="s">
        <v>1392</v>
      </c>
      <c r="J7350" s="417" t="s">
        <v>3387</v>
      </c>
      <c r="K7350" s="417" t="s">
        <v>17170</v>
      </c>
      <c r="L7350" s="417"/>
      <c r="M7350" s="417" t="s">
        <v>28840</v>
      </c>
    </row>
    <row r="7351" spans="1:13" x14ac:dyDescent="0.25">
      <c r="A7351" s="417" t="s">
        <v>3385</v>
      </c>
      <c r="B7351" s="417" t="s">
        <v>2627</v>
      </c>
      <c r="C7351" s="417" t="s">
        <v>17171</v>
      </c>
      <c r="D7351" s="417" t="s">
        <v>88</v>
      </c>
      <c r="E7351" s="423">
        <v>10.09321828504288</v>
      </c>
      <c r="F7351" s="423">
        <v>0.35303988123508251</v>
      </c>
      <c r="G7351" s="422">
        <v>24285.817667637599</v>
      </c>
      <c r="H7351" s="417" t="s">
        <v>2616</v>
      </c>
      <c r="I7351" s="417" t="s">
        <v>1392</v>
      </c>
      <c r="J7351" s="417" t="s">
        <v>3387</v>
      </c>
      <c r="K7351" s="417" t="s">
        <v>17172</v>
      </c>
      <c r="L7351" s="417"/>
      <c r="M7351" s="417" t="s">
        <v>28840</v>
      </c>
    </row>
    <row r="7352" spans="1:13" x14ac:dyDescent="0.25">
      <c r="A7352" s="417" t="s">
        <v>3385</v>
      </c>
      <c r="B7352" s="417" t="s">
        <v>2627</v>
      </c>
      <c r="C7352" s="417" t="s">
        <v>17173</v>
      </c>
      <c r="D7352" s="417" t="s">
        <v>88</v>
      </c>
      <c r="E7352" s="423">
        <v>8.7282844401298956</v>
      </c>
      <c r="F7352" s="423">
        <v>0.35497189138070318</v>
      </c>
      <c r="G7352" s="422">
        <v>20815.006732069221</v>
      </c>
      <c r="H7352" s="417" t="s">
        <v>2616</v>
      </c>
      <c r="I7352" s="417" t="s">
        <v>1392</v>
      </c>
      <c r="J7352" s="417" t="s">
        <v>3387</v>
      </c>
      <c r="K7352" s="417" t="s">
        <v>17174</v>
      </c>
      <c r="L7352" s="417"/>
      <c r="M7352" s="417" t="s">
        <v>28840</v>
      </c>
    </row>
    <row r="7353" spans="1:13" x14ac:dyDescent="0.25">
      <c r="A7353" s="417" t="s">
        <v>3385</v>
      </c>
      <c r="B7353" s="417" t="s">
        <v>2627</v>
      </c>
      <c r="C7353" s="417" t="s">
        <v>17175</v>
      </c>
      <c r="D7353" s="417" t="s">
        <v>88</v>
      </c>
      <c r="E7353" s="423">
        <v>3.1638875846803032</v>
      </c>
      <c r="F7353" s="423">
        <v>3.8268439863200249E-2</v>
      </c>
      <c r="G7353" s="422">
        <v>4491.5722568440669</v>
      </c>
      <c r="H7353" s="417" t="s">
        <v>2616</v>
      </c>
      <c r="I7353" s="417" t="s">
        <v>1392</v>
      </c>
      <c r="J7353" s="417" t="s">
        <v>3396</v>
      </c>
      <c r="K7353" s="417" t="s">
        <v>17176</v>
      </c>
      <c r="L7353" s="417"/>
      <c r="M7353" s="417" t="s">
        <v>28840</v>
      </c>
    </row>
    <row r="7354" spans="1:13" x14ac:dyDescent="0.25">
      <c r="A7354" s="417" t="s">
        <v>3385</v>
      </c>
      <c r="B7354" s="417" t="s">
        <v>2627</v>
      </c>
      <c r="C7354" s="417" t="s">
        <v>17177</v>
      </c>
      <c r="D7354" s="417" t="s">
        <v>88</v>
      </c>
      <c r="E7354" s="423">
        <v>232.54802342891969</v>
      </c>
      <c r="F7354" s="423">
        <v>2.695911717167967</v>
      </c>
      <c r="G7354" s="422">
        <v>242099.88504061321</v>
      </c>
      <c r="H7354" s="417" t="s">
        <v>2616</v>
      </c>
      <c r="I7354" s="417" t="s">
        <v>1392</v>
      </c>
      <c r="J7354" s="417" t="s">
        <v>3749</v>
      </c>
      <c r="K7354" s="417" t="s">
        <v>17178</v>
      </c>
      <c r="L7354" s="417"/>
      <c r="M7354" s="417" t="s">
        <v>28840</v>
      </c>
    </row>
    <row r="7355" spans="1:13" x14ac:dyDescent="0.25">
      <c r="A7355" s="417" t="s">
        <v>3385</v>
      </c>
      <c r="B7355" s="417" t="s">
        <v>2627</v>
      </c>
      <c r="C7355" s="417" t="s">
        <v>959</v>
      </c>
      <c r="D7355" s="417" t="s">
        <v>88</v>
      </c>
      <c r="E7355" s="423">
        <v>0.22367444673491491</v>
      </c>
      <c r="F7355" s="423">
        <v>2.7779755631576381E-2</v>
      </c>
      <c r="G7355" s="422">
        <v>468.66632103962849</v>
      </c>
      <c r="H7355" s="417" t="s">
        <v>2616</v>
      </c>
      <c r="I7355" s="417" t="s">
        <v>28841</v>
      </c>
      <c r="J7355" s="417" t="s">
        <v>3932</v>
      </c>
      <c r="K7355" s="417" t="s">
        <v>17179</v>
      </c>
      <c r="L7355" s="417"/>
      <c r="M7355" s="417" t="s">
        <v>28840</v>
      </c>
    </row>
    <row r="7356" spans="1:13" x14ac:dyDescent="0.25">
      <c r="A7356" s="417" t="s">
        <v>3385</v>
      </c>
      <c r="B7356" s="417" t="s">
        <v>2437</v>
      </c>
      <c r="C7356" s="417" t="s">
        <v>17180</v>
      </c>
      <c r="D7356" s="417" t="s">
        <v>4476</v>
      </c>
      <c r="E7356" s="423">
        <v>6.6129654854119204</v>
      </c>
      <c r="F7356" s="423">
        <v>0.33005490756982347</v>
      </c>
      <c r="G7356" s="422">
        <v>11120.44291796423</v>
      </c>
      <c r="H7356" s="417" t="s">
        <v>2616</v>
      </c>
      <c r="I7356" s="417" t="s">
        <v>1392</v>
      </c>
      <c r="J7356" s="417" t="s">
        <v>5056</v>
      </c>
      <c r="K7356" s="417" t="s">
        <v>17181</v>
      </c>
      <c r="L7356" s="417"/>
      <c r="M7356" s="417" t="s">
        <v>28840</v>
      </c>
    </row>
    <row r="7357" spans="1:13" x14ac:dyDescent="0.25">
      <c r="A7357" s="417" t="s">
        <v>3385</v>
      </c>
      <c r="B7357" s="417" t="s">
        <v>2627</v>
      </c>
      <c r="C7357" s="417" t="s">
        <v>17182</v>
      </c>
      <c r="D7357" s="417" t="s">
        <v>989</v>
      </c>
      <c r="E7357" s="423">
        <v>59229742.836047754</v>
      </c>
      <c r="F7357" s="423">
        <v>17410322.130051069</v>
      </c>
      <c r="G7357" s="422">
        <v>163077195834.58829</v>
      </c>
      <c r="H7357" s="417" t="s">
        <v>2616</v>
      </c>
      <c r="I7357" s="417" t="s">
        <v>1392</v>
      </c>
      <c r="J7357" s="417" t="s">
        <v>14041</v>
      </c>
      <c r="K7357" s="417" t="s">
        <v>17183</v>
      </c>
      <c r="L7357" s="417"/>
      <c r="M7357" s="417" t="s">
        <v>28840</v>
      </c>
    </row>
    <row r="7358" spans="1:13" x14ac:dyDescent="0.25">
      <c r="A7358" s="417" t="s">
        <v>3385</v>
      </c>
      <c r="B7358" s="417" t="s">
        <v>2627</v>
      </c>
      <c r="C7358" s="417" t="s">
        <v>17184</v>
      </c>
      <c r="D7358" s="417" t="s">
        <v>989</v>
      </c>
      <c r="E7358" s="423">
        <v>51789802.84745539</v>
      </c>
      <c r="F7358" s="423">
        <v>17035165.341165479</v>
      </c>
      <c r="G7358" s="422">
        <v>150530269186.25839</v>
      </c>
      <c r="H7358" s="417" t="s">
        <v>2616</v>
      </c>
      <c r="I7358" s="417" t="s">
        <v>1392</v>
      </c>
      <c r="J7358" s="417" t="s">
        <v>14041</v>
      </c>
      <c r="K7358" s="417" t="s">
        <v>17185</v>
      </c>
      <c r="L7358" s="417"/>
      <c r="M7358" s="417" t="s">
        <v>28840</v>
      </c>
    </row>
    <row r="7359" spans="1:13" x14ac:dyDescent="0.25">
      <c r="A7359" s="417" t="s">
        <v>3385</v>
      </c>
      <c r="B7359" s="417" t="s">
        <v>2627</v>
      </c>
      <c r="C7359" s="417" t="s">
        <v>17186</v>
      </c>
      <c r="D7359" s="417" t="s">
        <v>989</v>
      </c>
      <c r="E7359" s="423">
        <v>711125725.52544451</v>
      </c>
      <c r="F7359" s="423">
        <v>125066310.21287251</v>
      </c>
      <c r="G7359" s="422">
        <v>2004700572064.072</v>
      </c>
      <c r="H7359" s="417" t="s">
        <v>2616</v>
      </c>
      <c r="I7359" s="417" t="s">
        <v>1392</v>
      </c>
      <c r="J7359" s="417" t="s">
        <v>3711</v>
      </c>
      <c r="K7359" s="417" t="s">
        <v>17187</v>
      </c>
      <c r="L7359" s="417"/>
      <c r="M7359" s="417" t="s">
        <v>28840</v>
      </c>
    </row>
    <row r="7360" spans="1:13" x14ac:dyDescent="0.25">
      <c r="A7360" s="417" t="s">
        <v>3385</v>
      </c>
      <c r="B7360" s="417" t="s">
        <v>3655</v>
      </c>
      <c r="C7360" s="417" t="s">
        <v>17188</v>
      </c>
      <c r="D7360" s="417" t="s">
        <v>88</v>
      </c>
      <c r="E7360" s="423">
        <v>0.80144110429413662</v>
      </c>
      <c r="F7360" s="423">
        <v>7.6959365607531249E-3</v>
      </c>
      <c r="G7360" s="422">
        <v>4905.3640009591772</v>
      </c>
      <c r="H7360" s="417" t="s">
        <v>2616</v>
      </c>
      <c r="I7360" s="417" t="s">
        <v>1392</v>
      </c>
      <c r="J7360" s="417" t="s">
        <v>17189</v>
      </c>
      <c r="K7360" s="417" t="s">
        <v>17190</v>
      </c>
      <c r="L7360" s="417"/>
      <c r="M7360" s="417" t="s">
        <v>28840</v>
      </c>
    </row>
    <row r="7361" spans="1:13" x14ac:dyDescent="0.25">
      <c r="A7361" s="417" t="s">
        <v>3385</v>
      </c>
      <c r="B7361" s="417" t="s">
        <v>2627</v>
      </c>
      <c r="C7361" s="417" t="s">
        <v>17191</v>
      </c>
      <c r="D7361" s="417" t="s">
        <v>989</v>
      </c>
      <c r="E7361" s="423">
        <v>78368524.750250295</v>
      </c>
      <c r="F7361" s="423">
        <v>3255648.8633594969</v>
      </c>
      <c r="G7361" s="422">
        <v>143909684842.62369</v>
      </c>
      <c r="H7361" s="417" t="s">
        <v>2616</v>
      </c>
      <c r="I7361" s="417" t="s">
        <v>1392</v>
      </c>
      <c r="J7361" s="417" t="s">
        <v>17192</v>
      </c>
      <c r="K7361" s="417" t="s">
        <v>17193</v>
      </c>
      <c r="L7361" s="417"/>
      <c r="M7361" s="417" t="s">
        <v>28840</v>
      </c>
    </row>
    <row r="7362" spans="1:13" x14ac:dyDescent="0.25">
      <c r="A7362" s="417" t="s">
        <v>3385</v>
      </c>
      <c r="B7362" s="417" t="s">
        <v>2627</v>
      </c>
      <c r="C7362" s="417" t="s">
        <v>17194</v>
      </c>
      <c r="D7362" s="417" t="s">
        <v>989</v>
      </c>
      <c r="E7362" s="423">
        <v>78157493.408974349</v>
      </c>
      <c r="F7362" s="423">
        <v>3314373.5901357001</v>
      </c>
      <c r="G7362" s="422">
        <v>143718408794.922</v>
      </c>
      <c r="H7362" s="417" t="s">
        <v>2616</v>
      </c>
      <c r="I7362" s="417" t="s">
        <v>1392</v>
      </c>
      <c r="J7362" s="417" t="s">
        <v>17192</v>
      </c>
      <c r="K7362" s="417" t="s">
        <v>17195</v>
      </c>
      <c r="L7362" s="417"/>
      <c r="M7362" s="417" t="s">
        <v>28840</v>
      </c>
    </row>
    <row r="7363" spans="1:13" x14ac:dyDescent="0.25">
      <c r="A7363" s="417" t="s">
        <v>3385</v>
      </c>
      <c r="B7363" s="417" t="s">
        <v>3405</v>
      </c>
      <c r="C7363" s="417" t="s">
        <v>17196</v>
      </c>
      <c r="D7363" s="417" t="s">
        <v>989</v>
      </c>
      <c r="E7363" s="423">
        <v>316823814.70177019</v>
      </c>
      <c r="F7363" s="423">
        <v>33511793.176730841</v>
      </c>
      <c r="G7363" s="422">
        <v>825126323527.0011</v>
      </c>
      <c r="H7363" s="417" t="s">
        <v>2616</v>
      </c>
      <c r="I7363" s="417" t="s">
        <v>1392</v>
      </c>
      <c r="J7363" s="417" t="s">
        <v>17197</v>
      </c>
      <c r="K7363" s="417" t="s">
        <v>17198</v>
      </c>
      <c r="L7363" s="417"/>
      <c r="M7363" s="417" t="s">
        <v>28840</v>
      </c>
    </row>
    <row r="7364" spans="1:13" x14ac:dyDescent="0.25">
      <c r="A7364" s="417" t="s">
        <v>3385</v>
      </c>
      <c r="B7364" s="417" t="s">
        <v>3405</v>
      </c>
      <c r="C7364" s="417" t="s">
        <v>17199</v>
      </c>
      <c r="D7364" s="417" t="s">
        <v>989</v>
      </c>
      <c r="E7364" s="423">
        <v>497419321.01291341</v>
      </c>
      <c r="F7364" s="423">
        <v>52554072.298870437</v>
      </c>
      <c r="G7364" s="422">
        <v>960907894541.34998</v>
      </c>
      <c r="H7364" s="417" t="s">
        <v>2616</v>
      </c>
      <c r="I7364" s="417" t="s">
        <v>1392</v>
      </c>
      <c r="J7364" s="417" t="s">
        <v>17197</v>
      </c>
      <c r="K7364" s="417" t="s">
        <v>17200</v>
      </c>
      <c r="L7364" s="417"/>
      <c r="M7364" s="417" t="s">
        <v>28840</v>
      </c>
    </row>
    <row r="7365" spans="1:13" x14ac:dyDescent="0.25">
      <c r="A7365" s="417" t="s">
        <v>3385</v>
      </c>
      <c r="B7365" s="417" t="s">
        <v>3405</v>
      </c>
      <c r="C7365" s="417" t="s">
        <v>17201</v>
      </c>
      <c r="D7365" s="417" t="s">
        <v>989</v>
      </c>
      <c r="E7365" s="423">
        <v>414284890.01496732</v>
      </c>
      <c r="F7365" s="423">
        <v>39997342.084129266</v>
      </c>
      <c r="G7365" s="422">
        <v>896125498551.39209</v>
      </c>
      <c r="H7365" s="417" t="s">
        <v>2616</v>
      </c>
      <c r="I7365" s="417" t="s">
        <v>1392</v>
      </c>
      <c r="J7365" s="417" t="s">
        <v>17197</v>
      </c>
      <c r="K7365" s="417" t="s">
        <v>17202</v>
      </c>
      <c r="L7365" s="417"/>
      <c r="M7365" s="417" t="s">
        <v>28840</v>
      </c>
    </row>
    <row r="7366" spans="1:13" x14ac:dyDescent="0.25">
      <c r="A7366" s="417" t="s">
        <v>3385</v>
      </c>
      <c r="B7366" s="417" t="s">
        <v>3405</v>
      </c>
      <c r="C7366" s="417" t="s">
        <v>17203</v>
      </c>
      <c r="D7366" s="417" t="s">
        <v>989</v>
      </c>
      <c r="E7366" s="423">
        <v>297771437.55594838</v>
      </c>
      <c r="F7366" s="423">
        <v>26536517.857290938</v>
      </c>
      <c r="G7366" s="422">
        <v>790907519379.48242</v>
      </c>
      <c r="H7366" s="417" t="s">
        <v>2616</v>
      </c>
      <c r="I7366" s="417" t="s">
        <v>1392</v>
      </c>
      <c r="J7366" s="417" t="s">
        <v>17204</v>
      </c>
      <c r="K7366" s="417" t="s">
        <v>17205</v>
      </c>
      <c r="L7366" s="417"/>
      <c r="M7366" s="417" t="s">
        <v>28840</v>
      </c>
    </row>
    <row r="7367" spans="1:13" x14ac:dyDescent="0.25">
      <c r="A7367" s="417" t="s">
        <v>3385</v>
      </c>
      <c r="B7367" s="417" t="s">
        <v>3405</v>
      </c>
      <c r="C7367" s="417" t="s">
        <v>17206</v>
      </c>
      <c r="D7367" s="417" t="s">
        <v>989</v>
      </c>
      <c r="E7367" s="423">
        <v>634000979.58863568</v>
      </c>
      <c r="F7367" s="423">
        <v>23685119.692521479</v>
      </c>
      <c r="G7367" s="422">
        <v>1084689285420.457</v>
      </c>
      <c r="H7367" s="417" t="s">
        <v>2616</v>
      </c>
      <c r="I7367" s="417" t="s">
        <v>1392</v>
      </c>
      <c r="J7367" s="417" t="s">
        <v>17204</v>
      </c>
      <c r="K7367" s="417" t="s">
        <v>17207</v>
      </c>
      <c r="L7367" s="417"/>
      <c r="M7367" s="417" t="s">
        <v>28840</v>
      </c>
    </row>
    <row r="7368" spans="1:13" x14ac:dyDescent="0.25">
      <c r="A7368" s="417" t="s">
        <v>3385</v>
      </c>
      <c r="B7368" s="417" t="s">
        <v>3405</v>
      </c>
      <c r="C7368" s="417" t="s">
        <v>17208</v>
      </c>
      <c r="D7368" s="417" t="s">
        <v>989</v>
      </c>
      <c r="E7368" s="423">
        <v>478804411.73012859</v>
      </c>
      <c r="F7368" s="423">
        <v>45604754.414794967</v>
      </c>
      <c r="G7368" s="422">
        <v>927340211005.81055</v>
      </c>
      <c r="H7368" s="417" t="s">
        <v>2616</v>
      </c>
      <c r="I7368" s="417" t="s">
        <v>1392</v>
      </c>
      <c r="J7368" s="417" t="s">
        <v>17204</v>
      </c>
      <c r="K7368" s="417" t="s">
        <v>17209</v>
      </c>
      <c r="L7368" s="417"/>
      <c r="M7368" s="417" t="s">
        <v>28840</v>
      </c>
    </row>
    <row r="7369" spans="1:13" x14ac:dyDescent="0.25">
      <c r="A7369" s="417" t="s">
        <v>3385</v>
      </c>
      <c r="B7369" s="417" t="s">
        <v>3405</v>
      </c>
      <c r="C7369" s="417" t="s">
        <v>17210</v>
      </c>
      <c r="D7369" s="417" t="s">
        <v>989</v>
      </c>
      <c r="E7369" s="423">
        <v>288975567.86937988</v>
      </c>
      <c r="F7369" s="423">
        <v>22560651.98322551</v>
      </c>
      <c r="G7369" s="422">
        <v>911182680250.70422</v>
      </c>
      <c r="H7369" s="417" t="s">
        <v>2616</v>
      </c>
      <c r="I7369" s="417" t="s">
        <v>1392</v>
      </c>
      <c r="J7369" s="417" t="s">
        <v>17204</v>
      </c>
      <c r="K7369" s="417" t="s">
        <v>17211</v>
      </c>
      <c r="L7369" s="417"/>
      <c r="M7369" s="417" t="s">
        <v>28840</v>
      </c>
    </row>
    <row r="7370" spans="1:13" x14ac:dyDescent="0.25">
      <c r="A7370" s="417" t="s">
        <v>3385</v>
      </c>
      <c r="B7370" s="417" t="s">
        <v>3405</v>
      </c>
      <c r="C7370" s="417" t="s">
        <v>17212</v>
      </c>
      <c r="D7370" s="417" t="s">
        <v>989</v>
      </c>
      <c r="E7370" s="423">
        <v>395633144.710437</v>
      </c>
      <c r="F7370" s="423">
        <v>33036198.453177389</v>
      </c>
      <c r="G7370" s="422">
        <v>862563827377.66846</v>
      </c>
      <c r="H7370" s="417" t="s">
        <v>2616</v>
      </c>
      <c r="I7370" s="417" t="s">
        <v>1392</v>
      </c>
      <c r="J7370" s="417" t="s">
        <v>17204</v>
      </c>
      <c r="K7370" s="417" t="s">
        <v>17213</v>
      </c>
      <c r="L7370" s="417"/>
      <c r="M7370" s="417" t="s">
        <v>28840</v>
      </c>
    </row>
    <row r="7371" spans="1:13" x14ac:dyDescent="0.25">
      <c r="A7371" s="417" t="s">
        <v>3385</v>
      </c>
      <c r="B7371" s="417" t="s">
        <v>3655</v>
      </c>
      <c r="C7371" s="417" t="s">
        <v>17214</v>
      </c>
      <c r="D7371" s="417" t="s">
        <v>989</v>
      </c>
      <c r="E7371" s="423">
        <v>21753928.228878699</v>
      </c>
      <c r="F7371" s="423">
        <v>7508945.2873407528</v>
      </c>
      <c r="G7371" s="422">
        <v>62702647539.295517</v>
      </c>
      <c r="H7371" s="417" t="s">
        <v>2616</v>
      </c>
      <c r="I7371" s="417" t="s">
        <v>1392</v>
      </c>
      <c r="J7371" s="417" t="s">
        <v>11063</v>
      </c>
      <c r="K7371" s="417" t="s">
        <v>17215</v>
      </c>
      <c r="L7371" s="417"/>
      <c r="M7371" s="417" t="s">
        <v>28840</v>
      </c>
    </row>
    <row r="7372" spans="1:13" x14ac:dyDescent="0.25">
      <c r="A7372" s="417" t="s">
        <v>3385</v>
      </c>
      <c r="B7372" s="417" t="s">
        <v>3655</v>
      </c>
      <c r="C7372" s="417" t="s">
        <v>17216</v>
      </c>
      <c r="D7372" s="417" t="s">
        <v>989</v>
      </c>
      <c r="E7372" s="423">
        <v>21756377.905256249</v>
      </c>
      <c r="F7372" s="423">
        <v>7509304.3527281722</v>
      </c>
      <c r="G7372" s="422">
        <v>62707123924.325333</v>
      </c>
      <c r="H7372" s="417" t="s">
        <v>2616</v>
      </c>
      <c r="I7372" s="417" t="s">
        <v>1392</v>
      </c>
      <c r="J7372" s="417" t="s">
        <v>11063</v>
      </c>
      <c r="K7372" s="417" t="s">
        <v>17217</v>
      </c>
      <c r="L7372" s="417"/>
      <c r="M7372" s="417" t="s">
        <v>28840</v>
      </c>
    </row>
    <row r="7373" spans="1:13" x14ac:dyDescent="0.25">
      <c r="A7373" s="417" t="s">
        <v>3385</v>
      </c>
      <c r="B7373" s="417" t="s">
        <v>3655</v>
      </c>
      <c r="C7373" s="417" t="s">
        <v>17218</v>
      </c>
      <c r="D7373" s="417" t="s">
        <v>989</v>
      </c>
      <c r="E7373" s="423">
        <v>966831281.16244173</v>
      </c>
      <c r="F7373" s="423">
        <v>34242856.339052737</v>
      </c>
      <c r="G7373" s="422">
        <v>2289378505732.0049</v>
      </c>
      <c r="H7373" s="417" t="s">
        <v>2616</v>
      </c>
      <c r="I7373" s="417" t="s">
        <v>1392</v>
      </c>
      <c r="J7373" s="417" t="s">
        <v>11063</v>
      </c>
      <c r="K7373" s="417" t="s">
        <v>17219</v>
      </c>
      <c r="L7373" s="417"/>
      <c r="M7373" s="417" t="s">
        <v>28840</v>
      </c>
    </row>
    <row r="7374" spans="1:13" x14ac:dyDescent="0.25">
      <c r="A7374" s="417" t="s">
        <v>3385</v>
      </c>
      <c r="B7374" s="417" t="s">
        <v>2623</v>
      </c>
      <c r="C7374" s="417" t="s">
        <v>17220</v>
      </c>
      <c r="D7374" s="417" t="s">
        <v>88</v>
      </c>
      <c r="E7374" s="423">
        <v>115.533829469144</v>
      </c>
      <c r="F7374" s="423">
        <v>9.3807322322677802</v>
      </c>
      <c r="G7374" s="422">
        <v>113125389.23042449</v>
      </c>
      <c r="H7374" s="417" t="s">
        <v>2616</v>
      </c>
      <c r="I7374" s="417" t="s">
        <v>1392</v>
      </c>
      <c r="J7374" s="417" t="s">
        <v>7337</v>
      </c>
      <c r="K7374" s="417" t="s">
        <v>17221</v>
      </c>
      <c r="L7374" s="417"/>
      <c r="M7374" s="417" t="s">
        <v>28840</v>
      </c>
    </row>
    <row r="7375" spans="1:13" x14ac:dyDescent="0.25">
      <c r="A7375" s="417" t="s">
        <v>3385</v>
      </c>
      <c r="B7375" s="417" t="s">
        <v>2623</v>
      </c>
      <c r="C7375" s="417" t="s">
        <v>17222</v>
      </c>
      <c r="D7375" s="417" t="s">
        <v>88</v>
      </c>
      <c r="E7375" s="423">
        <v>115.24827594783621</v>
      </c>
      <c r="F7375" s="423">
        <v>9.2806179576874506</v>
      </c>
      <c r="G7375" s="422">
        <v>108423166.10444281</v>
      </c>
      <c r="H7375" s="417" t="s">
        <v>2616</v>
      </c>
      <c r="I7375" s="417" t="s">
        <v>1392</v>
      </c>
      <c r="J7375" s="417" t="s">
        <v>7337</v>
      </c>
      <c r="K7375" s="417" t="s">
        <v>17223</v>
      </c>
      <c r="L7375" s="417"/>
      <c r="M7375" s="417" t="s">
        <v>28840</v>
      </c>
    </row>
    <row r="7376" spans="1:13" x14ac:dyDescent="0.25">
      <c r="A7376" s="417" t="s">
        <v>3385</v>
      </c>
      <c r="B7376" s="417" t="s">
        <v>2623</v>
      </c>
      <c r="C7376" s="417" t="s">
        <v>17224</v>
      </c>
      <c r="D7376" s="417" t="s">
        <v>88</v>
      </c>
      <c r="E7376" s="423">
        <v>292.28150514029443</v>
      </c>
      <c r="F7376" s="423">
        <v>20.37763072567666</v>
      </c>
      <c r="G7376" s="422">
        <v>224769804.04370329</v>
      </c>
      <c r="H7376" s="417" t="s">
        <v>2616</v>
      </c>
      <c r="I7376" s="417" t="s">
        <v>1392</v>
      </c>
      <c r="J7376" s="417" t="s">
        <v>7337</v>
      </c>
      <c r="K7376" s="417" t="s">
        <v>17225</v>
      </c>
      <c r="L7376" s="417"/>
      <c r="M7376" s="417" t="s">
        <v>28840</v>
      </c>
    </row>
    <row r="7377" spans="1:13" x14ac:dyDescent="0.25">
      <c r="A7377" s="417" t="s">
        <v>3385</v>
      </c>
      <c r="B7377" s="417" t="s">
        <v>2627</v>
      </c>
      <c r="C7377" s="417" t="s">
        <v>1020</v>
      </c>
      <c r="D7377" s="417" t="s">
        <v>88</v>
      </c>
      <c r="E7377" s="423">
        <v>9.2763190920288867</v>
      </c>
      <c r="F7377" s="423">
        <v>1.4324900477823669E-2</v>
      </c>
      <c r="G7377" s="422">
        <v>11868.878146482049</v>
      </c>
      <c r="H7377" s="417" t="s">
        <v>2616</v>
      </c>
      <c r="I7377" s="417" t="s">
        <v>28841</v>
      </c>
      <c r="J7377" s="417" t="s">
        <v>10852</v>
      </c>
      <c r="K7377" s="417" t="s">
        <v>17226</v>
      </c>
      <c r="L7377" s="417"/>
      <c r="M7377" s="417" t="s">
        <v>28840</v>
      </c>
    </row>
    <row r="7378" spans="1:13" x14ac:dyDescent="0.25">
      <c r="A7378" s="417" t="s">
        <v>3385</v>
      </c>
      <c r="B7378" s="417" t="s">
        <v>2627</v>
      </c>
      <c r="C7378" s="417" t="s">
        <v>17227</v>
      </c>
      <c r="D7378" s="417" t="s">
        <v>88</v>
      </c>
      <c r="E7378" s="423">
        <v>8.2236420681139908</v>
      </c>
      <c r="F7378" s="423">
        <v>2.7578843119748689E-2</v>
      </c>
      <c r="G7378" s="422">
        <v>11230.32023180885</v>
      </c>
      <c r="H7378" s="417" t="s">
        <v>2616</v>
      </c>
      <c r="I7378" s="417" t="s">
        <v>1392</v>
      </c>
      <c r="J7378" s="417" t="s">
        <v>10852</v>
      </c>
      <c r="K7378" s="417" t="s">
        <v>17228</v>
      </c>
      <c r="L7378" s="417"/>
      <c r="M7378" s="417" t="s">
        <v>28840</v>
      </c>
    </row>
    <row r="7379" spans="1:13" x14ac:dyDescent="0.25">
      <c r="A7379" s="417" t="s">
        <v>3385</v>
      </c>
      <c r="B7379" s="417" t="s">
        <v>2627</v>
      </c>
      <c r="C7379" s="417" t="s">
        <v>17229</v>
      </c>
      <c r="D7379" s="417" t="s">
        <v>88</v>
      </c>
      <c r="E7379" s="423">
        <v>7.1618048887208179</v>
      </c>
      <c r="F7379" s="423">
        <v>3.10707774235566E-2</v>
      </c>
      <c r="G7379" s="422">
        <v>9489.8069297529692</v>
      </c>
      <c r="H7379" s="417" t="s">
        <v>2616</v>
      </c>
      <c r="I7379" s="417" t="s">
        <v>1392</v>
      </c>
      <c r="J7379" s="417" t="s">
        <v>10852</v>
      </c>
      <c r="K7379" s="417" t="s">
        <v>17230</v>
      </c>
      <c r="L7379" s="417"/>
      <c r="M7379" s="417" t="s">
        <v>28840</v>
      </c>
    </row>
    <row r="7380" spans="1:13" x14ac:dyDescent="0.25">
      <c r="A7380" s="417" t="s">
        <v>3385</v>
      </c>
      <c r="B7380" s="417" t="s">
        <v>2627</v>
      </c>
      <c r="C7380" s="417" t="s">
        <v>17231</v>
      </c>
      <c r="D7380" s="417" t="s">
        <v>88</v>
      </c>
      <c r="E7380" s="423">
        <v>1.7620545131703</v>
      </c>
      <c r="F7380" s="423">
        <v>6.0974282911170533E-2</v>
      </c>
      <c r="G7380" s="422">
        <v>9450.1785365302312</v>
      </c>
      <c r="H7380" s="417" t="s">
        <v>2616</v>
      </c>
      <c r="I7380" s="417" t="s">
        <v>1392</v>
      </c>
      <c r="J7380" s="417" t="s">
        <v>3396</v>
      </c>
      <c r="K7380" s="417" t="s">
        <v>17232</v>
      </c>
      <c r="L7380" s="417"/>
      <c r="M7380" s="417" t="s">
        <v>28840</v>
      </c>
    </row>
    <row r="7381" spans="1:13" x14ac:dyDescent="0.25">
      <c r="A7381" s="417" t="s">
        <v>3385</v>
      </c>
      <c r="B7381" s="417" t="s">
        <v>2627</v>
      </c>
      <c r="C7381" s="417" t="s">
        <v>17233</v>
      </c>
      <c r="D7381" s="417" t="s">
        <v>563</v>
      </c>
      <c r="E7381" s="423">
        <v>8.0787186163252489</v>
      </c>
      <c r="F7381" s="423">
        <v>0.29849398491043411</v>
      </c>
      <c r="G7381" s="422">
        <v>16918.017555931161</v>
      </c>
      <c r="H7381" s="417" t="s">
        <v>2616</v>
      </c>
      <c r="I7381" s="417" t="s">
        <v>1392</v>
      </c>
      <c r="J7381" s="417" t="s">
        <v>3627</v>
      </c>
      <c r="K7381" s="417" t="s">
        <v>17234</v>
      </c>
      <c r="L7381" s="417"/>
      <c r="M7381" s="417" t="s">
        <v>28840</v>
      </c>
    </row>
    <row r="7382" spans="1:13" x14ac:dyDescent="0.25">
      <c r="A7382" s="417" t="s">
        <v>3385</v>
      </c>
      <c r="B7382" s="417" t="s">
        <v>2627</v>
      </c>
      <c r="C7382" s="417" t="s">
        <v>17235</v>
      </c>
      <c r="D7382" s="417" t="s">
        <v>563</v>
      </c>
      <c r="E7382" s="423">
        <v>3.7642732556720331</v>
      </c>
      <c r="F7382" s="423">
        <v>3.1205001999653741E-3</v>
      </c>
      <c r="G7382" s="422">
        <v>3951.0045514243689</v>
      </c>
      <c r="H7382" s="417" t="s">
        <v>2616</v>
      </c>
      <c r="I7382" s="417" t="s">
        <v>1392</v>
      </c>
      <c r="J7382" s="417" t="s">
        <v>3627</v>
      </c>
      <c r="K7382" s="417" t="s">
        <v>17236</v>
      </c>
      <c r="L7382" s="417"/>
      <c r="M7382" s="417" t="s">
        <v>28840</v>
      </c>
    </row>
    <row r="7383" spans="1:13" x14ac:dyDescent="0.25">
      <c r="A7383" s="417" t="s">
        <v>3385</v>
      </c>
      <c r="B7383" s="417" t="s">
        <v>2627</v>
      </c>
      <c r="C7383" s="417" t="s">
        <v>17237</v>
      </c>
      <c r="D7383" s="417" t="s">
        <v>563</v>
      </c>
      <c r="E7383" s="423">
        <v>3.4267122680203062</v>
      </c>
      <c r="F7383" s="423">
        <v>0.12876746556031121</v>
      </c>
      <c r="G7383" s="422">
        <v>7288.6218422253241</v>
      </c>
      <c r="H7383" s="417" t="s">
        <v>2616</v>
      </c>
      <c r="I7383" s="417" t="s">
        <v>1392</v>
      </c>
      <c r="J7383" s="417" t="s">
        <v>3627</v>
      </c>
      <c r="K7383" s="417" t="s">
        <v>17238</v>
      </c>
      <c r="L7383" s="417"/>
      <c r="M7383" s="417" t="s">
        <v>28840</v>
      </c>
    </row>
    <row r="7384" spans="1:13" x14ac:dyDescent="0.25">
      <c r="A7384" s="417" t="s">
        <v>3385</v>
      </c>
      <c r="B7384" s="417" t="s">
        <v>2627</v>
      </c>
      <c r="C7384" s="417" t="s">
        <v>17239</v>
      </c>
      <c r="D7384" s="417" t="s">
        <v>563</v>
      </c>
      <c r="E7384" s="423">
        <v>1.147281091380842</v>
      </c>
      <c r="F7384" s="423">
        <v>8.4680908859692593E-4</v>
      </c>
      <c r="G7384" s="422">
        <v>1202.5220945625281</v>
      </c>
      <c r="H7384" s="417" t="s">
        <v>2616</v>
      </c>
      <c r="I7384" s="417" t="s">
        <v>1392</v>
      </c>
      <c r="J7384" s="417" t="s">
        <v>3627</v>
      </c>
      <c r="K7384" s="417" t="s">
        <v>17240</v>
      </c>
      <c r="L7384" s="417"/>
      <c r="M7384" s="417" t="s">
        <v>28840</v>
      </c>
    </row>
    <row r="7385" spans="1:13" x14ac:dyDescent="0.25">
      <c r="A7385" s="417" t="s">
        <v>3385</v>
      </c>
      <c r="B7385" s="417" t="s">
        <v>3405</v>
      </c>
      <c r="C7385" s="417" t="s">
        <v>573</v>
      </c>
      <c r="D7385" s="417" t="s">
        <v>989</v>
      </c>
      <c r="E7385" s="423">
        <v>1669.165833759414</v>
      </c>
      <c r="F7385" s="423">
        <v>64.967614970084426</v>
      </c>
      <c r="G7385" s="422">
        <v>3940636.8783760131</v>
      </c>
      <c r="H7385" s="417" t="s">
        <v>2616</v>
      </c>
      <c r="I7385" s="417" t="s">
        <v>28985</v>
      </c>
      <c r="J7385" s="417" t="s">
        <v>4694</v>
      </c>
      <c r="K7385" s="417" t="s">
        <v>17241</v>
      </c>
      <c r="L7385" s="417"/>
      <c r="M7385" s="417" t="s">
        <v>28840</v>
      </c>
    </row>
    <row r="7386" spans="1:13" x14ac:dyDescent="0.25">
      <c r="A7386" s="417" t="s">
        <v>3385</v>
      </c>
      <c r="B7386" s="417" t="s">
        <v>3405</v>
      </c>
      <c r="C7386" s="417" t="s">
        <v>570</v>
      </c>
      <c r="D7386" s="417" t="s">
        <v>989</v>
      </c>
      <c r="E7386" s="423">
        <v>447.74573691100761</v>
      </c>
      <c r="F7386" s="423">
        <v>22.266348592641918</v>
      </c>
      <c r="G7386" s="422">
        <v>1033173.405036305</v>
      </c>
      <c r="H7386" s="417" t="s">
        <v>2616</v>
      </c>
      <c r="I7386" s="417" t="s">
        <v>28985</v>
      </c>
      <c r="J7386" s="417" t="s">
        <v>4694</v>
      </c>
      <c r="K7386" s="417" t="s">
        <v>17242</v>
      </c>
      <c r="L7386" s="417"/>
      <c r="M7386" s="417" t="s">
        <v>28840</v>
      </c>
    </row>
    <row r="7387" spans="1:13" x14ac:dyDescent="0.25">
      <c r="A7387" s="417" t="s">
        <v>3385</v>
      </c>
      <c r="B7387" s="417" t="s">
        <v>2627</v>
      </c>
      <c r="C7387" s="417" t="s">
        <v>17243</v>
      </c>
      <c r="D7387" s="417" t="s">
        <v>989</v>
      </c>
      <c r="E7387" s="423">
        <v>3764671.729407086</v>
      </c>
      <c r="F7387" s="423">
        <v>412664.57406779687</v>
      </c>
      <c r="G7387" s="422">
        <v>8532576422.4611835</v>
      </c>
      <c r="H7387" s="417" t="s">
        <v>2616</v>
      </c>
      <c r="I7387" s="417" t="s">
        <v>1392</v>
      </c>
      <c r="J7387" s="417" t="s">
        <v>17244</v>
      </c>
      <c r="K7387" s="417" t="s">
        <v>17245</v>
      </c>
      <c r="L7387" s="417"/>
      <c r="M7387" s="417" t="s">
        <v>28840</v>
      </c>
    </row>
    <row r="7388" spans="1:13" x14ac:dyDescent="0.25">
      <c r="A7388" s="417" t="s">
        <v>3385</v>
      </c>
      <c r="B7388" s="417" t="s">
        <v>3405</v>
      </c>
      <c r="C7388" s="417" t="s">
        <v>17246</v>
      </c>
      <c r="D7388" s="417" t="s">
        <v>989</v>
      </c>
      <c r="E7388" s="423">
        <v>134400736.50408861</v>
      </c>
      <c r="F7388" s="423">
        <v>3800565.9178267419</v>
      </c>
      <c r="G7388" s="422">
        <v>251440409306.8439</v>
      </c>
      <c r="H7388" s="417" t="s">
        <v>2616</v>
      </c>
      <c r="I7388" s="417" t="s">
        <v>1392</v>
      </c>
      <c r="J7388" s="417" t="s">
        <v>17247</v>
      </c>
      <c r="K7388" s="417" t="s">
        <v>17248</v>
      </c>
      <c r="L7388" s="417"/>
      <c r="M7388" s="417" t="s">
        <v>28840</v>
      </c>
    </row>
    <row r="7389" spans="1:13" x14ac:dyDescent="0.25">
      <c r="A7389" s="417" t="s">
        <v>3385</v>
      </c>
      <c r="B7389" s="417" t="s">
        <v>3405</v>
      </c>
      <c r="C7389" s="417" t="s">
        <v>17249</v>
      </c>
      <c r="D7389" s="417" t="s">
        <v>989</v>
      </c>
      <c r="E7389" s="423">
        <v>1126.8724206371569</v>
      </c>
      <c r="F7389" s="423">
        <v>30.135188858991089</v>
      </c>
      <c r="G7389" s="422">
        <v>2703316.8845469048</v>
      </c>
      <c r="H7389" s="417" t="s">
        <v>2616</v>
      </c>
      <c r="I7389" s="417" t="s">
        <v>1392</v>
      </c>
      <c r="J7389" s="417" t="s">
        <v>4694</v>
      </c>
      <c r="K7389" s="417" t="s">
        <v>17250</v>
      </c>
      <c r="L7389" s="417"/>
      <c r="M7389" s="417" t="s">
        <v>28840</v>
      </c>
    </row>
    <row r="7390" spans="1:13" x14ac:dyDescent="0.25">
      <c r="A7390" s="417" t="s">
        <v>3385</v>
      </c>
      <c r="B7390" s="417" t="s">
        <v>2627</v>
      </c>
      <c r="C7390" s="417" t="s">
        <v>17251</v>
      </c>
      <c r="D7390" s="417" t="s">
        <v>88</v>
      </c>
      <c r="E7390" s="423">
        <v>72.42779329233575</v>
      </c>
      <c r="F7390" s="423">
        <v>2.7232408352061408</v>
      </c>
      <c r="G7390" s="422">
        <v>184089.88418569471</v>
      </c>
      <c r="H7390" s="417" t="s">
        <v>2616</v>
      </c>
      <c r="I7390" s="417" t="s">
        <v>1392</v>
      </c>
      <c r="J7390" s="417" t="s">
        <v>3699</v>
      </c>
      <c r="K7390" s="417" t="s">
        <v>17252</v>
      </c>
      <c r="L7390" s="417"/>
      <c r="M7390" s="417" t="s">
        <v>28840</v>
      </c>
    </row>
    <row r="7391" spans="1:13" x14ac:dyDescent="0.25">
      <c r="A7391" s="417" t="s">
        <v>3385</v>
      </c>
      <c r="B7391" s="417" t="s">
        <v>2627</v>
      </c>
      <c r="C7391" s="417" t="s">
        <v>994</v>
      </c>
      <c r="D7391" s="417" t="s">
        <v>989</v>
      </c>
      <c r="E7391" s="423">
        <v>380.67475710061382</v>
      </c>
      <c r="F7391" s="423">
        <v>15.73046938527242</v>
      </c>
      <c r="G7391" s="422">
        <v>1051104.854719213</v>
      </c>
      <c r="H7391" s="417" t="s">
        <v>2616</v>
      </c>
      <c r="I7391" s="417" t="s">
        <v>28841</v>
      </c>
      <c r="J7391" s="417" t="s">
        <v>3699</v>
      </c>
      <c r="K7391" s="417" t="s">
        <v>17253</v>
      </c>
      <c r="L7391" s="417"/>
      <c r="M7391" s="417" t="s">
        <v>28840</v>
      </c>
    </row>
    <row r="7392" spans="1:13" x14ac:dyDescent="0.25">
      <c r="A7392" s="417" t="s">
        <v>3385</v>
      </c>
      <c r="B7392" s="417" t="s">
        <v>3405</v>
      </c>
      <c r="C7392" s="417" t="s">
        <v>17254</v>
      </c>
      <c r="D7392" s="417" t="s">
        <v>73</v>
      </c>
      <c r="E7392" s="423">
        <v>1.379759160754692E-2</v>
      </c>
      <c r="F7392" s="423">
        <v>0.12631770101938539</v>
      </c>
      <c r="G7392" s="422">
        <v>59.232603949458507</v>
      </c>
      <c r="H7392" s="417" t="s">
        <v>2616</v>
      </c>
      <c r="I7392" s="417" t="s">
        <v>1392</v>
      </c>
      <c r="J7392" s="417" t="s">
        <v>4245</v>
      </c>
      <c r="K7392" s="417" t="s">
        <v>17255</v>
      </c>
      <c r="L7392" s="417"/>
      <c r="M7392" s="417" t="s">
        <v>28840</v>
      </c>
    </row>
    <row r="7393" spans="1:13" x14ac:dyDescent="0.25">
      <c r="A7393" s="417" t="s">
        <v>3385</v>
      </c>
      <c r="B7393" s="417" t="s">
        <v>3405</v>
      </c>
      <c r="C7393" s="417" t="s">
        <v>17256</v>
      </c>
      <c r="D7393" s="417" t="s">
        <v>73</v>
      </c>
      <c r="E7393" s="423">
        <v>1.3657253954832971E-2</v>
      </c>
      <c r="F7393" s="423">
        <v>0.1251076323690615</v>
      </c>
      <c r="G7393" s="422">
        <v>59.131567607373043</v>
      </c>
      <c r="H7393" s="417" t="s">
        <v>2616</v>
      </c>
      <c r="I7393" s="417" t="s">
        <v>1392</v>
      </c>
      <c r="J7393" s="417" t="s">
        <v>4245</v>
      </c>
      <c r="K7393" s="417" t="s">
        <v>17257</v>
      </c>
      <c r="L7393" s="417"/>
      <c r="M7393" s="417" t="s">
        <v>28840</v>
      </c>
    </row>
    <row r="7394" spans="1:13" x14ac:dyDescent="0.25">
      <c r="A7394" s="417" t="s">
        <v>3385</v>
      </c>
      <c r="B7394" s="417" t="s">
        <v>3405</v>
      </c>
      <c r="C7394" s="417" t="s">
        <v>17258</v>
      </c>
      <c r="D7394" s="417" t="s">
        <v>73</v>
      </c>
      <c r="E7394" s="423">
        <v>1.3937929256393641E-2</v>
      </c>
      <c r="F7394" s="423">
        <v>0.12752776966805091</v>
      </c>
      <c r="G7394" s="422">
        <v>59.333640273414773</v>
      </c>
      <c r="H7394" s="417" t="s">
        <v>2616</v>
      </c>
      <c r="I7394" s="417" t="s">
        <v>1392</v>
      </c>
      <c r="J7394" s="417" t="s">
        <v>4245</v>
      </c>
      <c r="K7394" s="417" t="s">
        <v>17259</v>
      </c>
      <c r="L7394" s="417"/>
      <c r="M7394" s="417" t="s">
        <v>28840</v>
      </c>
    </row>
    <row r="7395" spans="1:13" x14ac:dyDescent="0.25">
      <c r="A7395" s="417" t="s">
        <v>3385</v>
      </c>
      <c r="B7395" s="417" t="s">
        <v>3405</v>
      </c>
      <c r="C7395" s="417" t="s">
        <v>17260</v>
      </c>
      <c r="D7395" s="417" t="s">
        <v>73</v>
      </c>
      <c r="E7395" s="423">
        <v>1.404590913451389E-2</v>
      </c>
      <c r="F7395" s="423">
        <v>0.1251954255241105</v>
      </c>
      <c r="G7395" s="422">
        <v>60.805982463975504</v>
      </c>
      <c r="H7395" s="417" t="s">
        <v>2616</v>
      </c>
      <c r="I7395" s="417" t="s">
        <v>1392</v>
      </c>
      <c r="J7395" s="417" t="s">
        <v>4245</v>
      </c>
      <c r="K7395" s="417" t="s">
        <v>17261</v>
      </c>
      <c r="L7395" s="417"/>
      <c r="M7395" s="417" t="s">
        <v>28840</v>
      </c>
    </row>
    <row r="7396" spans="1:13" x14ac:dyDescent="0.25">
      <c r="A7396" s="417" t="s">
        <v>3385</v>
      </c>
      <c r="B7396" s="417" t="s">
        <v>2627</v>
      </c>
      <c r="C7396" s="417" t="s">
        <v>17262</v>
      </c>
      <c r="D7396" s="417" t="s">
        <v>88</v>
      </c>
      <c r="E7396" s="423">
        <v>4.4179369535791678E-2</v>
      </c>
      <c r="F7396" s="423">
        <v>0.40446452911868302</v>
      </c>
      <c r="G7396" s="422">
        <v>189.6605706865117</v>
      </c>
      <c r="H7396" s="417" t="s">
        <v>2616</v>
      </c>
      <c r="I7396" s="417" t="s">
        <v>1392</v>
      </c>
      <c r="J7396" s="417" t="s">
        <v>4823</v>
      </c>
      <c r="K7396" s="417" t="s">
        <v>17263</v>
      </c>
      <c r="L7396" s="417"/>
      <c r="M7396" s="417" t="s">
        <v>28840</v>
      </c>
    </row>
    <row r="7397" spans="1:13" x14ac:dyDescent="0.25">
      <c r="A7397" s="417" t="s">
        <v>3385</v>
      </c>
      <c r="B7397" s="417" t="s">
        <v>2627</v>
      </c>
      <c r="C7397" s="417" t="s">
        <v>17264</v>
      </c>
      <c r="D7397" s="417" t="s">
        <v>88</v>
      </c>
      <c r="E7397" s="423">
        <v>1.0961187537315689E-2</v>
      </c>
      <c r="F7397" s="423">
        <v>1.910782790421872E-3</v>
      </c>
      <c r="G7397" s="422">
        <v>42.028783073141383</v>
      </c>
      <c r="H7397" s="417" t="s">
        <v>2616</v>
      </c>
      <c r="I7397" s="417" t="s">
        <v>1392</v>
      </c>
      <c r="J7397" s="417" t="s">
        <v>4190</v>
      </c>
      <c r="K7397" s="417" t="s">
        <v>17265</v>
      </c>
      <c r="L7397" s="417"/>
      <c r="M7397" s="417" t="s">
        <v>28840</v>
      </c>
    </row>
    <row r="7398" spans="1:13" x14ac:dyDescent="0.25">
      <c r="A7398" s="417" t="s">
        <v>3385</v>
      </c>
      <c r="B7398" s="417" t="s">
        <v>2627</v>
      </c>
      <c r="C7398" s="417" t="s">
        <v>17266</v>
      </c>
      <c r="D7398" s="417" t="s">
        <v>989</v>
      </c>
      <c r="E7398" s="423">
        <v>127253923.44140761</v>
      </c>
      <c r="F7398" s="423">
        <v>3640726.505399826</v>
      </c>
      <c r="G7398" s="422">
        <v>758486091199.3551</v>
      </c>
      <c r="H7398" s="417" t="s">
        <v>2616</v>
      </c>
      <c r="I7398" s="417" t="s">
        <v>1392</v>
      </c>
      <c r="J7398" s="417" t="s">
        <v>17267</v>
      </c>
      <c r="K7398" s="417" t="s">
        <v>17268</v>
      </c>
      <c r="L7398" s="417"/>
      <c r="M7398" s="417" t="s">
        <v>28840</v>
      </c>
    </row>
    <row r="7399" spans="1:13" x14ac:dyDescent="0.25">
      <c r="A7399" s="417" t="s">
        <v>3385</v>
      </c>
      <c r="B7399" s="417" t="s">
        <v>2627</v>
      </c>
      <c r="C7399" s="417" t="s">
        <v>17269</v>
      </c>
      <c r="D7399" s="417" t="s">
        <v>989</v>
      </c>
      <c r="E7399" s="423">
        <v>57111829.084611557</v>
      </c>
      <c r="F7399" s="423">
        <v>5883497.7288319049</v>
      </c>
      <c r="G7399" s="422">
        <v>118482584921.7653</v>
      </c>
      <c r="H7399" s="417" t="s">
        <v>2616</v>
      </c>
      <c r="I7399" s="417" t="s">
        <v>1392</v>
      </c>
      <c r="J7399" s="417" t="s">
        <v>13525</v>
      </c>
      <c r="K7399" s="417" t="s">
        <v>17270</v>
      </c>
      <c r="L7399" s="417"/>
      <c r="M7399" s="417" t="s">
        <v>28840</v>
      </c>
    </row>
    <row r="7400" spans="1:13" x14ac:dyDescent="0.25">
      <c r="A7400" s="417" t="s">
        <v>3385</v>
      </c>
      <c r="B7400" s="417" t="s">
        <v>2627</v>
      </c>
      <c r="C7400" s="417" t="s">
        <v>17271</v>
      </c>
      <c r="D7400" s="417" t="s">
        <v>989</v>
      </c>
      <c r="E7400" s="423">
        <v>57111829.084927186</v>
      </c>
      <c r="F7400" s="423">
        <v>5883497.7288320903</v>
      </c>
      <c r="G7400" s="422">
        <v>118482584921.5862</v>
      </c>
      <c r="H7400" s="417" t="s">
        <v>2616</v>
      </c>
      <c r="I7400" s="417" t="s">
        <v>1392</v>
      </c>
      <c r="J7400" s="417" t="s">
        <v>13525</v>
      </c>
      <c r="K7400" s="417" t="s">
        <v>17272</v>
      </c>
      <c r="L7400" s="417"/>
      <c r="M7400" s="417" t="s">
        <v>28840</v>
      </c>
    </row>
    <row r="7401" spans="1:13" x14ac:dyDescent="0.25">
      <c r="A7401" s="417" t="s">
        <v>3385</v>
      </c>
      <c r="B7401" s="417" t="s">
        <v>2627</v>
      </c>
      <c r="C7401" s="417" t="s">
        <v>17273</v>
      </c>
      <c r="D7401" s="417" t="s">
        <v>563</v>
      </c>
      <c r="E7401" s="423">
        <v>39.001170468269507</v>
      </c>
      <c r="F7401" s="423">
        <v>1.233664734785509</v>
      </c>
      <c r="G7401" s="422">
        <v>165742.51582426819</v>
      </c>
      <c r="H7401" s="417" t="s">
        <v>2616</v>
      </c>
      <c r="I7401" s="417" t="s">
        <v>1392</v>
      </c>
      <c r="J7401" s="417" t="s">
        <v>3433</v>
      </c>
      <c r="K7401" s="417" t="s">
        <v>17274</v>
      </c>
      <c r="L7401" s="417"/>
      <c r="M7401" s="417" t="s">
        <v>28840</v>
      </c>
    </row>
    <row r="7402" spans="1:13" x14ac:dyDescent="0.25">
      <c r="A7402" s="417" t="s">
        <v>3385</v>
      </c>
      <c r="B7402" s="417" t="s">
        <v>2627</v>
      </c>
      <c r="C7402" s="417" t="s">
        <v>17275</v>
      </c>
      <c r="D7402" s="417" t="s">
        <v>563</v>
      </c>
      <c r="E7402" s="423">
        <v>85.444660513287076</v>
      </c>
      <c r="F7402" s="423">
        <v>3.7796078106521449</v>
      </c>
      <c r="G7402" s="422">
        <v>305722.01545051852</v>
      </c>
      <c r="H7402" s="417" t="s">
        <v>2616</v>
      </c>
      <c r="I7402" s="417" t="s">
        <v>1392</v>
      </c>
      <c r="J7402" s="417" t="s">
        <v>3433</v>
      </c>
      <c r="K7402" s="417" t="s">
        <v>17276</v>
      </c>
      <c r="L7402" s="417"/>
      <c r="M7402" s="417" t="s">
        <v>28840</v>
      </c>
    </row>
    <row r="7403" spans="1:13" x14ac:dyDescent="0.25">
      <c r="A7403" s="417" t="s">
        <v>3385</v>
      </c>
      <c r="B7403" s="417" t="s">
        <v>3405</v>
      </c>
      <c r="C7403" s="417" t="s">
        <v>17277</v>
      </c>
      <c r="D7403" s="417" t="s">
        <v>989</v>
      </c>
      <c r="E7403" s="423">
        <v>45.832778896116473</v>
      </c>
      <c r="F7403" s="423">
        <v>3.9737369801477689</v>
      </c>
      <c r="G7403" s="422">
        <v>84057.072560134489</v>
      </c>
      <c r="H7403" s="417" t="s">
        <v>2616</v>
      </c>
      <c r="I7403" s="417" t="s">
        <v>1392</v>
      </c>
      <c r="J7403" s="417" t="s">
        <v>3588</v>
      </c>
      <c r="K7403" s="417" t="s">
        <v>17278</v>
      </c>
      <c r="L7403" s="417"/>
      <c r="M7403" s="417" t="s">
        <v>28840</v>
      </c>
    </row>
    <row r="7404" spans="1:13" x14ac:dyDescent="0.25">
      <c r="A7404" s="417" t="s">
        <v>3385</v>
      </c>
      <c r="B7404" s="417" t="s">
        <v>2437</v>
      </c>
      <c r="C7404" s="417" t="s">
        <v>17279</v>
      </c>
      <c r="D7404" s="417" t="s">
        <v>17280</v>
      </c>
      <c r="E7404" s="423">
        <v>2.3295680173257751E-2</v>
      </c>
      <c r="F7404" s="423">
        <v>3.748247683922346E-3</v>
      </c>
      <c r="G7404" s="422">
        <v>68.437178346951313</v>
      </c>
      <c r="H7404" s="417" t="s">
        <v>2616</v>
      </c>
      <c r="I7404" s="417" t="s">
        <v>1392</v>
      </c>
      <c r="J7404" s="417" t="s">
        <v>17281</v>
      </c>
      <c r="K7404" s="417" t="s">
        <v>17282</v>
      </c>
      <c r="L7404" s="417"/>
      <c r="M7404" s="417" t="s">
        <v>28840</v>
      </c>
    </row>
    <row r="7405" spans="1:13" x14ac:dyDescent="0.25">
      <c r="A7405" s="417" t="s">
        <v>3385</v>
      </c>
      <c r="B7405" s="417" t="s">
        <v>3405</v>
      </c>
      <c r="C7405" s="417" t="s">
        <v>17283</v>
      </c>
      <c r="D7405" s="417" t="s">
        <v>73</v>
      </c>
      <c r="E7405" s="423">
        <v>9.5241906064433574E-3</v>
      </c>
      <c r="F7405" s="423">
        <v>8.0922434148879244E-2</v>
      </c>
      <c r="G7405" s="422">
        <v>15.13130059183168</v>
      </c>
      <c r="H7405" s="417" t="s">
        <v>2616</v>
      </c>
      <c r="I7405" s="417" t="s">
        <v>1392</v>
      </c>
      <c r="J7405" s="417" t="s">
        <v>17284</v>
      </c>
      <c r="K7405" s="417" t="s">
        <v>17285</v>
      </c>
      <c r="L7405" s="417"/>
      <c r="M7405" s="417" t="s">
        <v>28840</v>
      </c>
    </row>
    <row r="7406" spans="1:13" x14ac:dyDescent="0.25">
      <c r="A7406" s="417" t="s">
        <v>3385</v>
      </c>
      <c r="B7406" s="417" t="s">
        <v>3405</v>
      </c>
      <c r="C7406" s="417" t="s">
        <v>17286</v>
      </c>
      <c r="D7406" s="417" t="s">
        <v>73</v>
      </c>
      <c r="E7406" s="423">
        <v>3.027990606442404E-3</v>
      </c>
      <c r="F7406" s="423">
        <v>8.0922434148879202E-2</v>
      </c>
      <c r="G7406" s="422">
        <v>9.2043283918339984</v>
      </c>
      <c r="H7406" s="417" t="s">
        <v>2616</v>
      </c>
      <c r="I7406" s="417" t="s">
        <v>1392</v>
      </c>
      <c r="J7406" s="417" t="s">
        <v>17284</v>
      </c>
      <c r="K7406" s="417" t="s">
        <v>17287</v>
      </c>
      <c r="L7406" s="417"/>
      <c r="M7406" s="417" t="s">
        <v>28840</v>
      </c>
    </row>
    <row r="7407" spans="1:13" x14ac:dyDescent="0.25">
      <c r="A7407" s="417" t="s">
        <v>3385</v>
      </c>
      <c r="B7407" s="417" t="s">
        <v>3405</v>
      </c>
      <c r="C7407" s="417" t="s">
        <v>17288</v>
      </c>
      <c r="D7407" s="417" t="s">
        <v>73</v>
      </c>
      <c r="E7407" s="423">
        <v>5.6021706064433548E-3</v>
      </c>
      <c r="F7407" s="423">
        <v>8.0922434148879244E-2</v>
      </c>
      <c r="G7407" s="422">
        <v>20.483701391831669</v>
      </c>
      <c r="H7407" s="417" t="s">
        <v>2616</v>
      </c>
      <c r="I7407" s="417" t="s">
        <v>1392</v>
      </c>
      <c r="J7407" s="417" t="s">
        <v>17284</v>
      </c>
      <c r="K7407" s="417" t="s">
        <v>17289</v>
      </c>
      <c r="L7407" s="417"/>
      <c r="M7407" s="417" t="s">
        <v>28840</v>
      </c>
    </row>
    <row r="7408" spans="1:13" x14ac:dyDescent="0.25">
      <c r="A7408" s="417" t="s">
        <v>3385</v>
      </c>
      <c r="B7408" s="417" t="s">
        <v>3405</v>
      </c>
      <c r="C7408" s="417" t="s">
        <v>17290</v>
      </c>
      <c r="D7408" s="417" t="s">
        <v>73</v>
      </c>
      <c r="E7408" s="423">
        <v>4.2105411183424838E-4</v>
      </c>
      <c r="F7408" s="423">
        <v>8.0912173943436042E-2</v>
      </c>
      <c r="G7408" s="422">
        <v>1.8639341765145689</v>
      </c>
      <c r="H7408" s="417" t="s">
        <v>2616</v>
      </c>
      <c r="I7408" s="417" t="s">
        <v>1392</v>
      </c>
      <c r="J7408" s="417" t="s">
        <v>17284</v>
      </c>
      <c r="K7408" s="417" t="s">
        <v>17291</v>
      </c>
      <c r="L7408" s="417"/>
      <c r="M7408" s="417" t="s">
        <v>28840</v>
      </c>
    </row>
    <row r="7409" spans="1:13" x14ac:dyDescent="0.25">
      <c r="A7409" s="417" t="s">
        <v>3385</v>
      </c>
      <c r="B7409" s="417" t="s">
        <v>2437</v>
      </c>
      <c r="C7409" s="417" t="s">
        <v>17292</v>
      </c>
      <c r="D7409" s="417" t="s">
        <v>397</v>
      </c>
      <c r="E7409" s="423">
        <v>2.6518633349110431E-2</v>
      </c>
      <c r="F7409" s="423">
        <v>1.650302152589721E-3</v>
      </c>
      <c r="G7409" s="422">
        <v>57.488502127410953</v>
      </c>
      <c r="H7409" s="417" t="s">
        <v>2616</v>
      </c>
      <c r="I7409" s="417" t="s">
        <v>1392</v>
      </c>
      <c r="J7409" s="417" t="s">
        <v>17281</v>
      </c>
      <c r="K7409" s="417" t="s">
        <v>17293</v>
      </c>
      <c r="L7409" s="417"/>
      <c r="M7409" s="417" t="s">
        <v>28840</v>
      </c>
    </row>
    <row r="7410" spans="1:13" x14ac:dyDescent="0.25">
      <c r="A7410" s="417" t="s">
        <v>3385</v>
      </c>
      <c r="B7410" s="417" t="s">
        <v>2437</v>
      </c>
      <c r="C7410" s="417" t="s">
        <v>17294</v>
      </c>
      <c r="D7410" s="417" t="s">
        <v>397</v>
      </c>
      <c r="E7410" s="423">
        <v>2.3962153173837621E-2</v>
      </c>
      <c r="F7410" s="423">
        <v>6.4017977965048929E-4</v>
      </c>
      <c r="G7410" s="422">
        <v>39.153636860548318</v>
      </c>
      <c r="H7410" s="417" t="s">
        <v>2616</v>
      </c>
      <c r="I7410" s="417" t="s">
        <v>1392</v>
      </c>
      <c r="J7410" s="417" t="s">
        <v>17281</v>
      </c>
      <c r="K7410" s="417" t="s">
        <v>17295</v>
      </c>
      <c r="L7410" s="417"/>
      <c r="M7410" s="417" t="s">
        <v>28840</v>
      </c>
    </row>
    <row r="7411" spans="1:13" x14ac:dyDescent="0.25">
      <c r="A7411" s="417" t="s">
        <v>3385</v>
      </c>
      <c r="B7411" s="417" t="s">
        <v>2437</v>
      </c>
      <c r="C7411" s="417" t="s">
        <v>17296</v>
      </c>
      <c r="D7411" s="417" t="s">
        <v>397</v>
      </c>
      <c r="E7411" s="423">
        <v>0.1179921702332019</v>
      </c>
      <c r="F7411" s="423">
        <v>7.6318450844389433E-5</v>
      </c>
      <c r="G7411" s="422">
        <v>398.22676266271418</v>
      </c>
      <c r="H7411" s="417" t="s">
        <v>2616</v>
      </c>
      <c r="I7411" s="417" t="s">
        <v>1392</v>
      </c>
      <c r="J7411" s="417" t="s">
        <v>17281</v>
      </c>
      <c r="K7411" s="417" t="s">
        <v>17297</v>
      </c>
      <c r="L7411" s="417"/>
      <c r="M7411" s="417" t="s">
        <v>28840</v>
      </c>
    </row>
    <row r="7412" spans="1:13" x14ac:dyDescent="0.25">
      <c r="A7412" s="417" t="s">
        <v>3385</v>
      </c>
      <c r="B7412" s="417" t="s">
        <v>2437</v>
      </c>
      <c r="C7412" s="417" t="s">
        <v>17298</v>
      </c>
      <c r="D7412" s="417" t="s">
        <v>3936</v>
      </c>
      <c r="E7412" s="423">
        <v>9.7009490864626111E-4</v>
      </c>
      <c r="F7412" s="423">
        <v>2.3136618151543961E-4</v>
      </c>
      <c r="G7412" s="422">
        <v>4.7581253121815941</v>
      </c>
      <c r="H7412" s="417" t="s">
        <v>2616</v>
      </c>
      <c r="I7412" s="417" t="s">
        <v>1392</v>
      </c>
      <c r="J7412" s="417" t="s">
        <v>17299</v>
      </c>
      <c r="K7412" s="417" t="s">
        <v>17300</v>
      </c>
      <c r="L7412" s="417"/>
      <c r="M7412" s="417" t="s">
        <v>28840</v>
      </c>
    </row>
    <row r="7413" spans="1:13" x14ac:dyDescent="0.25">
      <c r="A7413" s="417" t="s">
        <v>3385</v>
      </c>
      <c r="B7413" s="417" t="s">
        <v>2437</v>
      </c>
      <c r="C7413" s="417" t="s">
        <v>17301</v>
      </c>
      <c r="D7413" s="417" t="s">
        <v>3936</v>
      </c>
      <c r="E7413" s="423">
        <v>1.456300848672481E-4</v>
      </c>
      <c r="F7413" s="423">
        <v>8.6212560297720161E-5</v>
      </c>
      <c r="G7413" s="422">
        <v>0.81061832916609322</v>
      </c>
      <c r="H7413" s="417" t="s">
        <v>2616</v>
      </c>
      <c r="I7413" s="417" t="s">
        <v>1392</v>
      </c>
      <c r="J7413" s="417" t="s">
        <v>17299</v>
      </c>
      <c r="K7413" s="417" t="s">
        <v>17302</v>
      </c>
      <c r="L7413" s="417"/>
      <c r="M7413" s="417" t="s">
        <v>28840</v>
      </c>
    </row>
    <row r="7414" spans="1:13" x14ac:dyDescent="0.25">
      <c r="A7414" s="417" t="s">
        <v>3385</v>
      </c>
      <c r="B7414" s="417" t="s">
        <v>2437</v>
      </c>
      <c r="C7414" s="417" t="s">
        <v>17303</v>
      </c>
      <c r="D7414" s="417" t="s">
        <v>397</v>
      </c>
      <c r="E7414" s="423">
        <v>2.674436658567042E-2</v>
      </c>
      <c r="F7414" s="423">
        <v>3.135275586707223E-3</v>
      </c>
      <c r="G7414" s="422">
        <v>65.144130928886511</v>
      </c>
      <c r="H7414" s="417" t="s">
        <v>2616</v>
      </c>
      <c r="I7414" s="417" t="s">
        <v>1392</v>
      </c>
      <c r="J7414" s="417" t="s">
        <v>17281</v>
      </c>
      <c r="K7414" s="417" t="s">
        <v>17304</v>
      </c>
      <c r="L7414" s="417"/>
      <c r="M7414" s="417" t="s">
        <v>28840</v>
      </c>
    </row>
    <row r="7415" spans="1:13" x14ac:dyDescent="0.25">
      <c r="A7415" s="417" t="s">
        <v>3385</v>
      </c>
      <c r="B7415" s="417" t="s">
        <v>2437</v>
      </c>
      <c r="C7415" s="417" t="s">
        <v>17305</v>
      </c>
      <c r="D7415" s="417" t="s">
        <v>397</v>
      </c>
      <c r="E7415" s="423">
        <v>4.2626894083103543E-2</v>
      </c>
      <c r="F7415" s="423">
        <v>2.651386341198964E-3</v>
      </c>
      <c r="G7415" s="422">
        <v>83.84535162334015</v>
      </c>
      <c r="H7415" s="417" t="s">
        <v>2616</v>
      </c>
      <c r="I7415" s="417" t="s">
        <v>1392</v>
      </c>
      <c r="J7415" s="417" t="s">
        <v>17281</v>
      </c>
      <c r="K7415" s="417" t="s">
        <v>17306</v>
      </c>
      <c r="L7415" s="417"/>
      <c r="M7415" s="417" t="s">
        <v>28840</v>
      </c>
    </row>
    <row r="7416" spans="1:13" x14ac:dyDescent="0.25">
      <c r="A7416" s="417" t="s">
        <v>3385</v>
      </c>
      <c r="B7416" s="417" t="s">
        <v>2437</v>
      </c>
      <c r="C7416" s="417" t="s">
        <v>17307</v>
      </c>
      <c r="D7416" s="417" t="s">
        <v>3936</v>
      </c>
      <c r="E7416" s="423">
        <v>0.65265782210049195</v>
      </c>
      <c r="F7416" s="423">
        <v>1.506930377276398</v>
      </c>
      <c r="G7416" s="422">
        <v>4871.1450149038628</v>
      </c>
      <c r="H7416" s="417" t="s">
        <v>2616</v>
      </c>
      <c r="I7416" s="417" t="s">
        <v>1392</v>
      </c>
      <c r="J7416" s="417" t="s">
        <v>17299</v>
      </c>
      <c r="K7416" s="417" t="s">
        <v>17308</v>
      </c>
      <c r="L7416" s="417"/>
      <c r="M7416" s="417" t="s">
        <v>28840</v>
      </c>
    </row>
    <row r="7417" spans="1:13" x14ac:dyDescent="0.25">
      <c r="A7417" s="417" t="s">
        <v>3385</v>
      </c>
      <c r="B7417" s="417" t="s">
        <v>2437</v>
      </c>
      <c r="C7417" s="417" t="s">
        <v>17309</v>
      </c>
      <c r="D7417" s="417" t="s">
        <v>989</v>
      </c>
      <c r="E7417" s="423">
        <v>122376480.2704863</v>
      </c>
      <c r="F7417" s="423">
        <v>7409807.5796729727</v>
      </c>
      <c r="G7417" s="422">
        <v>214105971438.44641</v>
      </c>
      <c r="H7417" s="417" t="s">
        <v>2616</v>
      </c>
      <c r="I7417" s="417" t="s">
        <v>1392</v>
      </c>
      <c r="J7417" s="417" t="s">
        <v>17310</v>
      </c>
      <c r="K7417" s="417" t="s">
        <v>17311</v>
      </c>
      <c r="L7417" s="417"/>
      <c r="M7417" s="417" t="s">
        <v>28840</v>
      </c>
    </row>
    <row r="7418" spans="1:13" x14ac:dyDescent="0.25">
      <c r="A7418" s="417" t="s">
        <v>3385</v>
      </c>
      <c r="B7418" s="417" t="s">
        <v>2437</v>
      </c>
      <c r="C7418" s="417" t="s">
        <v>17312</v>
      </c>
      <c r="D7418" s="417" t="s">
        <v>989</v>
      </c>
      <c r="E7418" s="423">
        <v>621976539.52596295</v>
      </c>
      <c r="F7418" s="423">
        <v>77325364.899268866</v>
      </c>
      <c r="G7418" s="422">
        <v>1319915314149.95</v>
      </c>
      <c r="H7418" s="417" t="s">
        <v>2616</v>
      </c>
      <c r="I7418" s="417" t="s">
        <v>1392</v>
      </c>
      <c r="J7418" s="417" t="s">
        <v>4009</v>
      </c>
      <c r="K7418" s="417" t="s">
        <v>17313</v>
      </c>
      <c r="L7418" s="417"/>
      <c r="M7418" s="417" t="s">
        <v>28840</v>
      </c>
    </row>
    <row r="7419" spans="1:13" x14ac:dyDescent="0.25">
      <c r="A7419" s="417" t="s">
        <v>3385</v>
      </c>
      <c r="B7419" s="417" t="s">
        <v>2437</v>
      </c>
      <c r="C7419" s="417" t="s">
        <v>17314</v>
      </c>
      <c r="D7419" s="417" t="s">
        <v>4476</v>
      </c>
      <c r="E7419" s="423">
        <v>5.3068860479479012</v>
      </c>
      <c r="F7419" s="423">
        <v>1.2880369987930449</v>
      </c>
      <c r="G7419" s="422">
        <v>39742.924036170341</v>
      </c>
      <c r="H7419" s="417" t="s">
        <v>2616</v>
      </c>
      <c r="I7419" s="417" t="s">
        <v>1392</v>
      </c>
      <c r="J7419" s="417" t="s">
        <v>5056</v>
      </c>
      <c r="K7419" s="417" t="s">
        <v>17315</v>
      </c>
      <c r="L7419" s="417"/>
      <c r="M7419" s="417" t="s">
        <v>28840</v>
      </c>
    </row>
    <row r="7420" spans="1:13" x14ac:dyDescent="0.25">
      <c r="A7420" s="417" t="s">
        <v>3385</v>
      </c>
      <c r="B7420" s="417" t="s">
        <v>2437</v>
      </c>
      <c r="C7420" s="417" t="s">
        <v>17316</v>
      </c>
      <c r="D7420" s="417" t="s">
        <v>4476</v>
      </c>
      <c r="E7420" s="423">
        <v>3.023126170684693</v>
      </c>
      <c r="F7420" s="423">
        <v>0.39192409463505162</v>
      </c>
      <c r="G7420" s="422">
        <v>19692.6600118141</v>
      </c>
      <c r="H7420" s="417" t="s">
        <v>2616</v>
      </c>
      <c r="I7420" s="417" t="s">
        <v>1392</v>
      </c>
      <c r="J7420" s="417" t="s">
        <v>5056</v>
      </c>
      <c r="K7420" s="417" t="s">
        <v>17317</v>
      </c>
      <c r="L7420" s="417"/>
      <c r="M7420" s="417" t="s">
        <v>28840</v>
      </c>
    </row>
    <row r="7421" spans="1:13" x14ac:dyDescent="0.25">
      <c r="A7421" s="417" t="s">
        <v>3385</v>
      </c>
      <c r="B7421" s="417" t="s">
        <v>2437</v>
      </c>
      <c r="C7421" s="417" t="s">
        <v>17318</v>
      </c>
      <c r="D7421" s="417" t="s">
        <v>4476</v>
      </c>
      <c r="E7421" s="423">
        <v>5.0560242394005641</v>
      </c>
      <c r="F7421" s="423">
        <v>1.113961615565203</v>
      </c>
      <c r="G7421" s="422">
        <v>27944.205898937769</v>
      </c>
      <c r="H7421" s="417" t="s">
        <v>2616</v>
      </c>
      <c r="I7421" s="417" t="s">
        <v>1392</v>
      </c>
      <c r="J7421" s="417" t="s">
        <v>2638</v>
      </c>
      <c r="K7421" s="417" t="s">
        <v>17319</v>
      </c>
      <c r="L7421" s="417"/>
      <c r="M7421" s="417" t="s">
        <v>28840</v>
      </c>
    </row>
    <row r="7422" spans="1:13" x14ac:dyDescent="0.25">
      <c r="A7422" s="417" t="s">
        <v>3385</v>
      </c>
      <c r="B7422" s="417" t="s">
        <v>3405</v>
      </c>
      <c r="C7422" s="417" t="s">
        <v>17320</v>
      </c>
      <c r="D7422" s="417" t="s">
        <v>73</v>
      </c>
      <c r="E7422" s="423">
        <v>7.5547293540000005E-2</v>
      </c>
      <c r="F7422" s="423">
        <v>0</v>
      </c>
      <c r="G7422" s="422">
        <v>79.216093679999986</v>
      </c>
      <c r="H7422" s="417" t="s">
        <v>2616</v>
      </c>
      <c r="I7422" s="417" t="s">
        <v>1392</v>
      </c>
      <c r="J7422" s="417" t="s">
        <v>17284</v>
      </c>
      <c r="K7422" s="417" t="s">
        <v>17321</v>
      </c>
      <c r="L7422" s="417"/>
      <c r="M7422" s="417" t="s">
        <v>28840</v>
      </c>
    </row>
    <row r="7423" spans="1:13" x14ac:dyDescent="0.25">
      <c r="A7423" s="417" t="s">
        <v>3385</v>
      </c>
      <c r="B7423" s="417" t="s">
        <v>2437</v>
      </c>
      <c r="C7423" s="417" t="s">
        <v>17322</v>
      </c>
      <c r="D7423" s="417" t="s">
        <v>3936</v>
      </c>
      <c r="E7423" s="423">
        <v>1.9401898364219749E-2</v>
      </c>
      <c r="F7423" s="423">
        <v>4.6273236710737877E-3</v>
      </c>
      <c r="G7423" s="422">
        <v>112.710752699449</v>
      </c>
      <c r="H7423" s="417" t="s">
        <v>2616</v>
      </c>
      <c r="I7423" s="417" t="s">
        <v>1392</v>
      </c>
      <c r="J7423" s="417" t="s">
        <v>17299</v>
      </c>
      <c r="K7423" s="417" t="s">
        <v>17323</v>
      </c>
      <c r="L7423" s="417"/>
      <c r="M7423" s="417" t="s">
        <v>28840</v>
      </c>
    </row>
    <row r="7424" spans="1:13" x14ac:dyDescent="0.25">
      <c r="A7424" s="417" t="s">
        <v>3385</v>
      </c>
      <c r="B7424" s="417" t="s">
        <v>2437</v>
      </c>
      <c r="C7424" s="417" t="s">
        <v>17324</v>
      </c>
      <c r="D7424" s="417" t="s">
        <v>3936</v>
      </c>
      <c r="E7424" s="423">
        <v>1.9401898364219749E-2</v>
      </c>
      <c r="F7424" s="423">
        <v>4.6273236710737877E-3</v>
      </c>
      <c r="G7424" s="422">
        <v>112.710752699449</v>
      </c>
      <c r="H7424" s="417" t="s">
        <v>2616</v>
      </c>
      <c r="I7424" s="417" t="s">
        <v>1392</v>
      </c>
      <c r="J7424" s="417" t="s">
        <v>17299</v>
      </c>
      <c r="K7424" s="417" t="s">
        <v>17325</v>
      </c>
      <c r="L7424" s="417"/>
      <c r="M7424" s="417" t="s">
        <v>28840</v>
      </c>
    </row>
    <row r="7425" spans="1:13" x14ac:dyDescent="0.25">
      <c r="A7425" s="417" t="s">
        <v>3385</v>
      </c>
      <c r="B7425" s="417" t="s">
        <v>2437</v>
      </c>
      <c r="C7425" s="417" t="s">
        <v>17326</v>
      </c>
      <c r="D7425" s="417" t="s">
        <v>3936</v>
      </c>
      <c r="E7425" s="423">
        <v>2.9126016979370579E-3</v>
      </c>
      <c r="F7425" s="423">
        <v>1.7242512059234361E-3</v>
      </c>
      <c r="G7425" s="422">
        <v>33.760613602909842</v>
      </c>
      <c r="H7425" s="417" t="s">
        <v>2616</v>
      </c>
      <c r="I7425" s="417" t="s">
        <v>1392</v>
      </c>
      <c r="J7425" s="417" t="s">
        <v>17299</v>
      </c>
      <c r="K7425" s="417" t="s">
        <v>17327</v>
      </c>
      <c r="L7425" s="417"/>
      <c r="M7425" s="417" t="s">
        <v>28840</v>
      </c>
    </row>
    <row r="7426" spans="1:13" x14ac:dyDescent="0.25">
      <c r="A7426" s="417" t="s">
        <v>3385</v>
      </c>
      <c r="B7426" s="417" t="s">
        <v>2437</v>
      </c>
      <c r="C7426" s="417" t="s">
        <v>17328</v>
      </c>
      <c r="D7426" s="417" t="s">
        <v>3936</v>
      </c>
      <c r="E7426" s="423">
        <v>1.2085632030903961E-2</v>
      </c>
      <c r="F7426" s="423">
        <v>2.7543674302852811E-3</v>
      </c>
      <c r="G7426" s="422">
        <v>72.194177607413579</v>
      </c>
      <c r="H7426" s="417" t="s">
        <v>2616</v>
      </c>
      <c r="I7426" s="417" t="s">
        <v>1392</v>
      </c>
      <c r="J7426" s="417" t="s">
        <v>17299</v>
      </c>
      <c r="K7426" s="417" t="s">
        <v>17329</v>
      </c>
      <c r="L7426" s="417"/>
      <c r="M7426" s="417" t="s">
        <v>28840</v>
      </c>
    </row>
    <row r="7427" spans="1:13" x14ac:dyDescent="0.25">
      <c r="A7427" s="417" t="s">
        <v>3385</v>
      </c>
      <c r="B7427" s="417" t="s">
        <v>2437</v>
      </c>
      <c r="C7427" s="417" t="s">
        <v>17330</v>
      </c>
      <c r="D7427" s="417" t="s">
        <v>3936</v>
      </c>
      <c r="E7427" s="423">
        <v>2.274500640682266E-3</v>
      </c>
      <c r="F7427" s="423">
        <v>1.027039328157102E-3</v>
      </c>
      <c r="G7427" s="422">
        <v>25.218844105961342</v>
      </c>
      <c r="H7427" s="417" t="s">
        <v>2616</v>
      </c>
      <c r="I7427" s="417" t="s">
        <v>1392</v>
      </c>
      <c r="J7427" s="417" t="s">
        <v>17299</v>
      </c>
      <c r="K7427" s="417" t="s">
        <v>17331</v>
      </c>
      <c r="L7427" s="417"/>
      <c r="M7427" s="417" t="s">
        <v>28840</v>
      </c>
    </row>
    <row r="7428" spans="1:13" x14ac:dyDescent="0.25">
      <c r="A7428" s="417" t="s">
        <v>3385</v>
      </c>
      <c r="B7428" s="417" t="s">
        <v>2437</v>
      </c>
      <c r="C7428" s="417" t="s">
        <v>17332</v>
      </c>
      <c r="D7428" s="417" t="s">
        <v>3936</v>
      </c>
      <c r="E7428" s="423">
        <v>0.2493348645262182</v>
      </c>
      <c r="F7428" s="423">
        <v>2.584074296113676E-2</v>
      </c>
      <c r="G7428" s="422">
        <v>423.09298701285968</v>
      </c>
      <c r="H7428" s="417" t="s">
        <v>2616</v>
      </c>
      <c r="I7428" s="417" t="s">
        <v>1392</v>
      </c>
      <c r="J7428" s="417" t="s">
        <v>17299</v>
      </c>
      <c r="K7428" s="417" t="s">
        <v>17333</v>
      </c>
      <c r="L7428" s="417"/>
      <c r="M7428" s="417" t="s">
        <v>28840</v>
      </c>
    </row>
    <row r="7429" spans="1:13" x14ac:dyDescent="0.25">
      <c r="A7429" s="417" t="s">
        <v>3385</v>
      </c>
      <c r="B7429" s="417" t="s">
        <v>2437</v>
      </c>
      <c r="C7429" s="417" t="s">
        <v>17334</v>
      </c>
      <c r="D7429" s="417" t="s">
        <v>3936</v>
      </c>
      <c r="E7429" s="423">
        <v>0.1067719525663991</v>
      </c>
      <c r="F7429" s="423">
        <v>0.23236377850135981</v>
      </c>
      <c r="G7429" s="422">
        <v>180.88592465714001</v>
      </c>
      <c r="H7429" s="417" t="s">
        <v>2616</v>
      </c>
      <c r="I7429" s="417" t="s">
        <v>1392</v>
      </c>
      <c r="J7429" s="417" t="s">
        <v>17299</v>
      </c>
      <c r="K7429" s="417" t="s">
        <v>17335</v>
      </c>
      <c r="L7429" s="417"/>
      <c r="M7429" s="417" t="s">
        <v>28840</v>
      </c>
    </row>
    <row r="7430" spans="1:13" x14ac:dyDescent="0.25">
      <c r="A7430" s="417" t="s">
        <v>3385</v>
      </c>
      <c r="B7430" s="417" t="s">
        <v>2437</v>
      </c>
      <c r="C7430" s="417" t="s">
        <v>17336</v>
      </c>
      <c r="D7430" s="417" t="s">
        <v>3936</v>
      </c>
      <c r="E7430" s="423">
        <v>4.0977933736204772E-2</v>
      </c>
      <c r="F7430" s="423">
        <v>0.86083675987341768</v>
      </c>
      <c r="G7430" s="422">
        <v>170.44246429191409</v>
      </c>
      <c r="H7430" s="417" t="s">
        <v>2616</v>
      </c>
      <c r="I7430" s="417" t="s">
        <v>1392</v>
      </c>
      <c r="J7430" s="417" t="s">
        <v>17299</v>
      </c>
      <c r="K7430" s="417" t="s">
        <v>17337</v>
      </c>
      <c r="L7430" s="417"/>
      <c r="M7430" s="417" t="s">
        <v>28840</v>
      </c>
    </row>
    <row r="7431" spans="1:13" x14ac:dyDescent="0.25">
      <c r="A7431" s="417" t="s">
        <v>3385</v>
      </c>
      <c r="B7431" s="417" t="s">
        <v>2437</v>
      </c>
      <c r="C7431" s="417" t="s">
        <v>17338</v>
      </c>
      <c r="D7431" s="417" t="s">
        <v>3936</v>
      </c>
      <c r="E7431" s="423">
        <v>0.23061571655772159</v>
      </c>
      <c r="F7431" s="423">
        <v>1.26940834570725E-3</v>
      </c>
      <c r="G7431" s="422">
        <v>327.97698606132531</v>
      </c>
      <c r="H7431" s="417" t="s">
        <v>2616</v>
      </c>
      <c r="I7431" s="417" t="s">
        <v>1392</v>
      </c>
      <c r="J7431" s="417" t="s">
        <v>17299</v>
      </c>
      <c r="K7431" s="417" t="s">
        <v>17339</v>
      </c>
      <c r="L7431" s="417"/>
      <c r="M7431" s="417" t="s">
        <v>28840</v>
      </c>
    </row>
    <row r="7432" spans="1:13" x14ac:dyDescent="0.25">
      <c r="A7432" s="417" t="s">
        <v>3385</v>
      </c>
      <c r="B7432" s="417" t="s">
        <v>2437</v>
      </c>
      <c r="C7432" s="417" t="s">
        <v>17340</v>
      </c>
      <c r="D7432" s="417" t="s">
        <v>3936</v>
      </c>
      <c r="E7432" s="423">
        <v>0.2415989781431222</v>
      </c>
      <c r="F7432" s="423">
        <v>1.8183003658950151E-2</v>
      </c>
      <c r="G7432" s="422">
        <v>364.16564572159848</v>
      </c>
      <c r="H7432" s="417" t="s">
        <v>2616</v>
      </c>
      <c r="I7432" s="417" t="s">
        <v>1392</v>
      </c>
      <c r="J7432" s="417" t="s">
        <v>17299</v>
      </c>
      <c r="K7432" s="417" t="s">
        <v>17341</v>
      </c>
      <c r="L7432" s="417"/>
      <c r="M7432" s="417" t="s">
        <v>28840</v>
      </c>
    </row>
    <row r="7433" spans="1:13" x14ac:dyDescent="0.25">
      <c r="A7433" s="417" t="s">
        <v>3385</v>
      </c>
      <c r="B7433" s="417" t="s">
        <v>2437</v>
      </c>
      <c r="C7433" s="417" t="s">
        <v>17342</v>
      </c>
      <c r="D7433" s="417" t="s">
        <v>3936</v>
      </c>
      <c r="E7433" s="423">
        <v>0.24378947391088091</v>
      </c>
      <c r="F7433" s="423">
        <v>5.3050114567718644E-3</v>
      </c>
      <c r="G7433" s="422">
        <v>341.06452349750992</v>
      </c>
      <c r="H7433" s="417" t="s">
        <v>2616</v>
      </c>
      <c r="I7433" s="417" t="s">
        <v>1392</v>
      </c>
      <c r="J7433" s="417" t="s">
        <v>17299</v>
      </c>
      <c r="K7433" s="417" t="s">
        <v>17343</v>
      </c>
      <c r="L7433" s="417"/>
      <c r="M7433" s="417" t="s">
        <v>28840</v>
      </c>
    </row>
    <row r="7434" spans="1:13" x14ac:dyDescent="0.25">
      <c r="A7434" s="417" t="s">
        <v>3385</v>
      </c>
      <c r="B7434" s="417" t="s">
        <v>2437</v>
      </c>
      <c r="C7434" s="417" t="s">
        <v>17344</v>
      </c>
      <c r="D7434" s="417" t="s">
        <v>3936</v>
      </c>
      <c r="E7434" s="423">
        <v>0.2172683333786444</v>
      </c>
      <c r="F7434" s="423">
        <v>2.1422490774376909E-2</v>
      </c>
      <c r="G7434" s="422">
        <v>361.45282380567249</v>
      </c>
      <c r="H7434" s="417" t="s">
        <v>2616</v>
      </c>
      <c r="I7434" s="417" t="s">
        <v>1392</v>
      </c>
      <c r="J7434" s="417" t="s">
        <v>17299</v>
      </c>
      <c r="K7434" s="417" t="s">
        <v>17345</v>
      </c>
      <c r="L7434" s="417"/>
      <c r="M7434" s="417" t="s">
        <v>28840</v>
      </c>
    </row>
    <row r="7435" spans="1:13" x14ac:dyDescent="0.25">
      <c r="A7435" s="417" t="s">
        <v>3385</v>
      </c>
      <c r="B7435" s="417" t="s">
        <v>2437</v>
      </c>
      <c r="C7435" s="417" t="s">
        <v>17346</v>
      </c>
      <c r="D7435" s="417" t="s">
        <v>3936</v>
      </c>
      <c r="E7435" s="423">
        <v>0.1100318480619269</v>
      </c>
      <c r="F7435" s="423">
        <v>1.9370582282104941E-3</v>
      </c>
      <c r="G7435" s="422">
        <v>254.79991728851289</v>
      </c>
      <c r="H7435" s="417" t="s">
        <v>2616</v>
      </c>
      <c r="I7435" s="417" t="s">
        <v>1392</v>
      </c>
      <c r="J7435" s="417" t="s">
        <v>17299</v>
      </c>
      <c r="K7435" s="417" t="s">
        <v>17347</v>
      </c>
      <c r="L7435" s="417"/>
      <c r="M7435" s="417" t="s">
        <v>28840</v>
      </c>
    </row>
    <row r="7436" spans="1:13" x14ac:dyDescent="0.25">
      <c r="A7436" s="417" t="s">
        <v>3385</v>
      </c>
      <c r="B7436" s="417" t="s">
        <v>2437</v>
      </c>
      <c r="C7436" s="417" t="s">
        <v>17348</v>
      </c>
      <c r="D7436" s="417" t="s">
        <v>4476</v>
      </c>
      <c r="E7436" s="423">
        <v>7.1173218850226148</v>
      </c>
      <c r="F7436" s="423">
        <v>1.7286705552946431</v>
      </c>
      <c r="G7436" s="422">
        <v>38938.99372968806</v>
      </c>
      <c r="H7436" s="417" t="s">
        <v>2616</v>
      </c>
      <c r="I7436" s="417" t="s">
        <v>1392</v>
      </c>
      <c r="J7436" s="417" t="s">
        <v>2638</v>
      </c>
      <c r="K7436" s="417" t="s">
        <v>17349</v>
      </c>
      <c r="L7436" s="417"/>
      <c r="M7436" s="417" t="s">
        <v>28840</v>
      </c>
    </row>
    <row r="7437" spans="1:13" x14ac:dyDescent="0.25">
      <c r="A7437" s="417" t="s">
        <v>3385</v>
      </c>
      <c r="B7437" s="417" t="s">
        <v>2627</v>
      </c>
      <c r="C7437" s="417" t="s">
        <v>17350</v>
      </c>
      <c r="D7437" s="417" t="s">
        <v>88</v>
      </c>
      <c r="E7437" s="423">
        <v>16.681908072269341</v>
      </c>
      <c r="F7437" s="423">
        <v>6.6132801931491694E-2</v>
      </c>
      <c r="G7437" s="422">
        <v>26880.715881429151</v>
      </c>
      <c r="H7437" s="417" t="s">
        <v>2616</v>
      </c>
      <c r="I7437" s="417" t="s">
        <v>1392</v>
      </c>
      <c r="J7437" s="417" t="s">
        <v>3633</v>
      </c>
      <c r="K7437" s="417" t="s">
        <v>17351</v>
      </c>
      <c r="L7437" s="417"/>
      <c r="M7437" s="417" t="s">
        <v>28840</v>
      </c>
    </row>
    <row r="7438" spans="1:13" x14ac:dyDescent="0.25">
      <c r="A7438" s="417" t="s">
        <v>3385</v>
      </c>
      <c r="B7438" s="417" t="s">
        <v>2627</v>
      </c>
      <c r="C7438" s="417" t="s">
        <v>17352</v>
      </c>
      <c r="D7438" s="417" t="s">
        <v>88</v>
      </c>
      <c r="E7438" s="423">
        <v>6.0688206263898907</v>
      </c>
      <c r="F7438" s="423">
        <v>0.31815449503096338</v>
      </c>
      <c r="G7438" s="422">
        <v>24522.252168932089</v>
      </c>
      <c r="H7438" s="417" t="s">
        <v>2616</v>
      </c>
      <c r="I7438" s="417" t="s">
        <v>1392</v>
      </c>
      <c r="J7438" s="417" t="s">
        <v>3387</v>
      </c>
      <c r="K7438" s="417" t="s">
        <v>17353</v>
      </c>
      <c r="L7438" s="417"/>
      <c r="M7438" s="417" t="s">
        <v>28840</v>
      </c>
    </row>
    <row r="7439" spans="1:13" x14ac:dyDescent="0.25">
      <c r="A7439" s="417" t="s">
        <v>3385</v>
      </c>
      <c r="B7439" s="417" t="s">
        <v>2627</v>
      </c>
      <c r="C7439" s="417" t="s">
        <v>17354</v>
      </c>
      <c r="D7439" s="417" t="s">
        <v>88</v>
      </c>
      <c r="E7439" s="423">
        <v>6.3285577854329791</v>
      </c>
      <c r="F7439" s="423">
        <v>0.33550070823486122</v>
      </c>
      <c r="G7439" s="422">
        <v>24712.957775490799</v>
      </c>
      <c r="H7439" s="417" t="s">
        <v>2616</v>
      </c>
      <c r="I7439" s="417" t="s">
        <v>1392</v>
      </c>
      <c r="J7439" s="417" t="s">
        <v>3387</v>
      </c>
      <c r="K7439" s="417" t="s">
        <v>17355</v>
      </c>
      <c r="L7439" s="417"/>
      <c r="M7439" s="417" t="s">
        <v>28840</v>
      </c>
    </row>
    <row r="7440" spans="1:13" x14ac:dyDescent="0.25">
      <c r="A7440" s="417" t="s">
        <v>3385</v>
      </c>
      <c r="B7440" s="417" t="s">
        <v>2627</v>
      </c>
      <c r="C7440" s="417" t="s">
        <v>17356</v>
      </c>
      <c r="D7440" s="417" t="s">
        <v>83</v>
      </c>
      <c r="E7440" s="423">
        <v>221.18595743025799</v>
      </c>
      <c r="F7440" s="423">
        <v>374.51765677326551</v>
      </c>
      <c r="G7440" s="422">
        <v>458126.6308904452</v>
      </c>
      <c r="H7440" s="417" t="s">
        <v>2616</v>
      </c>
      <c r="I7440" s="417" t="s">
        <v>1392</v>
      </c>
      <c r="J7440" s="417" t="s">
        <v>4016</v>
      </c>
      <c r="K7440" s="417" t="s">
        <v>17357</v>
      </c>
      <c r="L7440" s="417"/>
      <c r="M7440" s="417" t="s">
        <v>28840</v>
      </c>
    </row>
    <row r="7441" spans="1:13" x14ac:dyDescent="0.25">
      <c r="A7441" s="417" t="s">
        <v>3385</v>
      </c>
      <c r="B7441" s="417" t="s">
        <v>2627</v>
      </c>
      <c r="C7441" s="417" t="s">
        <v>17358</v>
      </c>
      <c r="D7441" s="417" t="s">
        <v>88</v>
      </c>
      <c r="E7441" s="423">
        <v>0.47829045203044401</v>
      </c>
      <c r="F7441" s="423">
        <v>0.62904179068931165</v>
      </c>
      <c r="G7441" s="422">
        <v>970.01965556396863</v>
      </c>
      <c r="H7441" s="417" t="s">
        <v>2616</v>
      </c>
      <c r="I7441" s="417" t="s">
        <v>1392</v>
      </c>
      <c r="J7441" s="417" t="s">
        <v>11052</v>
      </c>
      <c r="K7441" s="417" t="s">
        <v>17359</v>
      </c>
      <c r="L7441" s="417"/>
      <c r="M7441" s="417" t="s">
        <v>28840</v>
      </c>
    </row>
    <row r="7442" spans="1:13" x14ac:dyDescent="0.25">
      <c r="A7442" s="417" t="s">
        <v>3385</v>
      </c>
      <c r="B7442" s="417" t="s">
        <v>2627</v>
      </c>
      <c r="C7442" s="417" t="s">
        <v>17360</v>
      </c>
      <c r="D7442" s="417" t="s">
        <v>88</v>
      </c>
      <c r="E7442" s="423">
        <v>0.47829045203044401</v>
      </c>
      <c r="F7442" s="423">
        <v>0.62904179068931165</v>
      </c>
      <c r="G7442" s="422">
        <v>948.72565556396864</v>
      </c>
      <c r="H7442" s="417" t="s">
        <v>2616</v>
      </c>
      <c r="I7442" s="417" t="s">
        <v>1392</v>
      </c>
      <c r="J7442" s="417" t="s">
        <v>11052</v>
      </c>
      <c r="K7442" s="417" t="s">
        <v>17361</v>
      </c>
      <c r="L7442" s="417"/>
      <c r="M7442" s="417" t="s">
        <v>28840</v>
      </c>
    </row>
    <row r="7443" spans="1:13" x14ac:dyDescent="0.25">
      <c r="A7443" s="417" t="s">
        <v>3385</v>
      </c>
      <c r="B7443" s="417" t="s">
        <v>2437</v>
      </c>
      <c r="C7443" s="417" t="s">
        <v>17362</v>
      </c>
      <c r="D7443" s="417" t="s">
        <v>88</v>
      </c>
      <c r="E7443" s="423">
        <v>3.5097393434588069</v>
      </c>
      <c r="F7443" s="423">
        <v>0.17229068232514189</v>
      </c>
      <c r="G7443" s="422">
        <v>10205.008776156141</v>
      </c>
      <c r="H7443" s="417" t="s">
        <v>2616</v>
      </c>
      <c r="I7443" s="417" t="s">
        <v>1392</v>
      </c>
      <c r="J7443" s="417" t="s">
        <v>4414</v>
      </c>
      <c r="K7443" s="417" t="s">
        <v>17363</v>
      </c>
      <c r="L7443" s="417"/>
      <c r="M7443" s="417" t="s">
        <v>28840</v>
      </c>
    </row>
    <row r="7444" spans="1:13" x14ac:dyDescent="0.25">
      <c r="A7444" s="417" t="s">
        <v>3385</v>
      </c>
      <c r="B7444" s="417" t="s">
        <v>2437</v>
      </c>
      <c r="C7444" s="417" t="s">
        <v>17364</v>
      </c>
      <c r="D7444" s="417" t="s">
        <v>88</v>
      </c>
      <c r="E7444" s="423">
        <v>3.3982435030165039</v>
      </c>
      <c r="F7444" s="423">
        <v>0.18171915747472139</v>
      </c>
      <c r="G7444" s="422">
        <v>9684.2707137040579</v>
      </c>
      <c r="H7444" s="417" t="s">
        <v>2616</v>
      </c>
      <c r="I7444" s="417" t="s">
        <v>1392</v>
      </c>
      <c r="J7444" s="417" t="s">
        <v>4414</v>
      </c>
      <c r="K7444" s="417" t="s">
        <v>17365</v>
      </c>
      <c r="L7444" s="417"/>
      <c r="M7444" s="417" t="s">
        <v>28840</v>
      </c>
    </row>
    <row r="7445" spans="1:13" x14ac:dyDescent="0.25">
      <c r="A7445" s="417" t="s">
        <v>3385</v>
      </c>
      <c r="B7445" s="417" t="s">
        <v>2437</v>
      </c>
      <c r="C7445" s="417" t="s">
        <v>17366</v>
      </c>
      <c r="D7445" s="417" t="s">
        <v>88</v>
      </c>
      <c r="E7445" s="423">
        <v>2.88617682543194</v>
      </c>
      <c r="F7445" s="423">
        <v>6.4250729726644737E-2</v>
      </c>
      <c r="G7445" s="422">
        <v>4645.4187909889197</v>
      </c>
      <c r="H7445" s="417" t="s">
        <v>2616</v>
      </c>
      <c r="I7445" s="417" t="s">
        <v>1392</v>
      </c>
      <c r="J7445" s="417" t="s">
        <v>3871</v>
      </c>
      <c r="K7445" s="417" t="s">
        <v>17367</v>
      </c>
      <c r="L7445" s="417"/>
      <c r="M7445" s="417" t="s">
        <v>28840</v>
      </c>
    </row>
    <row r="7446" spans="1:13" x14ac:dyDescent="0.25">
      <c r="A7446" s="417" t="s">
        <v>3385</v>
      </c>
      <c r="B7446" s="417" t="s">
        <v>2627</v>
      </c>
      <c r="C7446" s="417" t="s">
        <v>17368</v>
      </c>
      <c r="D7446" s="417" t="s">
        <v>989</v>
      </c>
      <c r="E7446" s="423">
        <v>185.89556130424879</v>
      </c>
      <c r="F7446" s="423">
        <v>6.0532947907194954</v>
      </c>
      <c r="G7446" s="422">
        <v>437823.44712785032</v>
      </c>
      <c r="H7446" s="417" t="s">
        <v>2616</v>
      </c>
      <c r="I7446" s="417" t="s">
        <v>1392</v>
      </c>
      <c r="J7446" s="417" t="s">
        <v>3667</v>
      </c>
      <c r="K7446" s="417" t="s">
        <v>17369</v>
      </c>
      <c r="L7446" s="417"/>
      <c r="M7446" s="417" t="s">
        <v>28840</v>
      </c>
    </row>
    <row r="7447" spans="1:13" x14ac:dyDescent="0.25">
      <c r="A7447" s="417" t="s">
        <v>3385</v>
      </c>
      <c r="B7447" s="417" t="s">
        <v>2627</v>
      </c>
      <c r="C7447" s="417" t="s">
        <v>17370</v>
      </c>
      <c r="D7447" s="417" t="s">
        <v>989</v>
      </c>
      <c r="E7447" s="423">
        <v>4.7875003030430392</v>
      </c>
      <c r="F7447" s="423">
        <v>0.1874484477501768</v>
      </c>
      <c r="G7447" s="422">
        <v>12664.42255845754</v>
      </c>
      <c r="H7447" s="417" t="s">
        <v>2616</v>
      </c>
      <c r="I7447" s="417" t="s">
        <v>1392</v>
      </c>
      <c r="J7447" s="417" t="s">
        <v>7714</v>
      </c>
      <c r="K7447" s="417" t="s">
        <v>17371</v>
      </c>
      <c r="L7447" s="417"/>
      <c r="M7447" s="417" t="s">
        <v>28840</v>
      </c>
    </row>
    <row r="7448" spans="1:13" x14ac:dyDescent="0.25">
      <c r="A7448" s="417" t="s">
        <v>3385</v>
      </c>
      <c r="B7448" s="417" t="s">
        <v>2437</v>
      </c>
      <c r="C7448" s="417" t="s">
        <v>17372</v>
      </c>
      <c r="D7448" s="417" t="s">
        <v>989</v>
      </c>
      <c r="E7448" s="423">
        <v>14585.09662378543</v>
      </c>
      <c r="F7448" s="423">
        <v>1258.668170738905</v>
      </c>
      <c r="G7448" s="422">
        <v>138683764.88914159</v>
      </c>
      <c r="H7448" s="417" t="s">
        <v>2616</v>
      </c>
      <c r="I7448" s="417" t="s">
        <v>1392</v>
      </c>
      <c r="J7448" s="417" t="s">
        <v>4167</v>
      </c>
      <c r="K7448" s="417" t="s">
        <v>17373</v>
      </c>
      <c r="L7448" s="417"/>
      <c r="M7448" s="417" t="s">
        <v>28840</v>
      </c>
    </row>
    <row r="7449" spans="1:13" x14ac:dyDescent="0.25">
      <c r="A7449" s="417" t="s">
        <v>3385</v>
      </c>
      <c r="B7449" s="417" t="s">
        <v>2627</v>
      </c>
      <c r="C7449" s="417" t="s">
        <v>17374</v>
      </c>
      <c r="D7449" s="417" t="s">
        <v>88</v>
      </c>
      <c r="E7449" s="423">
        <v>18.487930177565019</v>
      </c>
      <c r="F7449" s="423">
        <v>0.89934719924325601</v>
      </c>
      <c r="G7449" s="422">
        <v>49576.288440396027</v>
      </c>
      <c r="H7449" s="417" t="s">
        <v>2616</v>
      </c>
      <c r="I7449" s="417" t="s">
        <v>1392</v>
      </c>
      <c r="J7449" s="417" t="s">
        <v>3714</v>
      </c>
      <c r="K7449" s="417" t="s">
        <v>17375</v>
      </c>
      <c r="L7449" s="417"/>
      <c r="M7449" s="417" t="s">
        <v>28840</v>
      </c>
    </row>
    <row r="7450" spans="1:13" x14ac:dyDescent="0.25">
      <c r="A7450" s="417" t="s">
        <v>3385</v>
      </c>
      <c r="B7450" s="417" t="s">
        <v>2627</v>
      </c>
      <c r="C7450" s="417" t="s">
        <v>956</v>
      </c>
      <c r="D7450" s="417" t="s">
        <v>88</v>
      </c>
      <c r="E7450" s="423">
        <v>0.21104723923741869</v>
      </c>
      <c r="F7450" s="423">
        <v>2.621149115986518E-2</v>
      </c>
      <c r="G7450" s="422">
        <v>442.20845797577232</v>
      </c>
      <c r="H7450" s="417" t="s">
        <v>2616</v>
      </c>
      <c r="I7450" s="417" t="s">
        <v>28841</v>
      </c>
      <c r="J7450" s="417" t="s">
        <v>3932</v>
      </c>
      <c r="K7450" s="417" t="s">
        <v>17376</v>
      </c>
      <c r="L7450" s="417"/>
      <c r="M7450" s="417" t="s">
        <v>28840</v>
      </c>
    </row>
    <row r="7451" spans="1:13" x14ac:dyDescent="0.25">
      <c r="A7451" s="417" t="s">
        <v>3385</v>
      </c>
      <c r="B7451" s="417" t="s">
        <v>2627</v>
      </c>
      <c r="C7451" s="417" t="s">
        <v>955</v>
      </c>
      <c r="D7451" s="417" t="s">
        <v>88</v>
      </c>
      <c r="E7451" s="423">
        <v>4.1486232828126424</v>
      </c>
      <c r="F7451" s="423">
        <v>0.51633231017227477</v>
      </c>
      <c r="G7451" s="422">
        <v>8711.0499105687304</v>
      </c>
      <c r="H7451" s="417" t="s">
        <v>2616</v>
      </c>
      <c r="I7451" s="417" t="s">
        <v>28841</v>
      </c>
      <c r="J7451" s="417" t="s">
        <v>3932</v>
      </c>
      <c r="K7451" s="417" t="s">
        <v>17377</v>
      </c>
      <c r="L7451" s="417"/>
      <c r="M7451" s="417" t="s">
        <v>28840</v>
      </c>
    </row>
    <row r="7452" spans="1:13" x14ac:dyDescent="0.25">
      <c r="A7452" s="417" t="s">
        <v>3385</v>
      </c>
      <c r="B7452" s="417" t="s">
        <v>2627</v>
      </c>
      <c r="C7452" s="417" t="s">
        <v>17378</v>
      </c>
      <c r="D7452" s="417" t="s">
        <v>88</v>
      </c>
      <c r="E7452" s="423">
        <v>1.761964450710193</v>
      </c>
      <c r="F7452" s="423">
        <v>6.0970724754078748E-2</v>
      </c>
      <c r="G7452" s="422">
        <v>9449.7467217986577</v>
      </c>
      <c r="H7452" s="417" t="s">
        <v>2616</v>
      </c>
      <c r="I7452" s="417" t="s">
        <v>1392</v>
      </c>
      <c r="J7452" s="417" t="s">
        <v>3396</v>
      </c>
      <c r="K7452" s="417" t="s">
        <v>17379</v>
      </c>
      <c r="L7452" s="417"/>
      <c r="M7452" s="417" t="s">
        <v>28840</v>
      </c>
    </row>
    <row r="7453" spans="1:13" x14ac:dyDescent="0.25">
      <c r="A7453" s="417" t="s">
        <v>3385</v>
      </c>
      <c r="B7453" s="417" t="s">
        <v>2627</v>
      </c>
      <c r="C7453" s="417" t="s">
        <v>17380</v>
      </c>
      <c r="D7453" s="417" t="s">
        <v>989</v>
      </c>
      <c r="E7453" s="423">
        <v>5290334.7315100282</v>
      </c>
      <c r="F7453" s="423">
        <v>358576.16801805381</v>
      </c>
      <c r="G7453" s="422">
        <v>12854905304.308189</v>
      </c>
      <c r="H7453" s="417" t="s">
        <v>2616</v>
      </c>
      <c r="I7453" s="417" t="s">
        <v>1392</v>
      </c>
      <c r="J7453" s="417" t="s">
        <v>17381</v>
      </c>
      <c r="K7453" s="417" t="s">
        <v>17382</v>
      </c>
      <c r="L7453" s="417"/>
      <c r="M7453" s="417" t="s">
        <v>28840</v>
      </c>
    </row>
    <row r="7454" spans="1:13" x14ac:dyDescent="0.25">
      <c r="A7454" s="417" t="s">
        <v>3385</v>
      </c>
      <c r="B7454" s="417" t="s">
        <v>2627</v>
      </c>
      <c r="C7454" s="417" t="s">
        <v>1021</v>
      </c>
      <c r="D7454" s="417" t="s">
        <v>88</v>
      </c>
      <c r="E7454" s="423">
        <v>2.7859268039889789</v>
      </c>
      <c r="F7454" s="423">
        <v>0.14944418954456809</v>
      </c>
      <c r="G7454" s="422">
        <v>5149.9247112180092</v>
      </c>
      <c r="H7454" s="417" t="s">
        <v>2616</v>
      </c>
      <c r="I7454" s="417" t="s">
        <v>28841</v>
      </c>
      <c r="J7454" s="417" t="s">
        <v>10852</v>
      </c>
      <c r="K7454" s="417" t="s">
        <v>17383</v>
      </c>
      <c r="L7454" s="417"/>
      <c r="M7454" s="417" t="s">
        <v>28840</v>
      </c>
    </row>
    <row r="7455" spans="1:13" x14ac:dyDescent="0.25">
      <c r="A7455" s="417" t="s">
        <v>3385</v>
      </c>
      <c r="B7455" s="417" t="s">
        <v>2627</v>
      </c>
      <c r="C7455" s="417" t="s">
        <v>17384</v>
      </c>
      <c r="D7455" s="417" t="s">
        <v>88</v>
      </c>
      <c r="E7455" s="423">
        <v>1.2179942698135009</v>
      </c>
      <c r="F7455" s="423">
        <v>0.80533265374498997</v>
      </c>
      <c r="G7455" s="422">
        <v>2429.6544614120162</v>
      </c>
      <c r="H7455" s="417" t="s">
        <v>2616</v>
      </c>
      <c r="I7455" s="417" t="s">
        <v>1392</v>
      </c>
      <c r="J7455" s="417" t="s">
        <v>17385</v>
      </c>
      <c r="K7455" s="417" t="s">
        <v>17386</v>
      </c>
      <c r="L7455" s="417"/>
      <c r="M7455" s="417" t="s">
        <v>28840</v>
      </c>
    </row>
    <row r="7456" spans="1:13" x14ac:dyDescent="0.25">
      <c r="A7456" s="417" t="s">
        <v>3385</v>
      </c>
      <c r="B7456" s="417" t="s">
        <v>2627</v>
      </c>
      <c r="C7456" s="417" t="s">
        <v>1123</v>
      </c>
      <c r="D7456" s="417" t="s">
        <v>88</v>
      </c>
      <c r="E7456" s="423">
        <v>1.107377614430171</v>
      </c>
      <c r="F7456" s="423">
        <v>0.70620963050404062</v>
      </c>
      <c r="G7456" s="422">
        <v>2277.0436278258612</v>
      </c>
      <c r="H7456" s="417" t="s">
        <v>2616</v>
      </c>
      <c r="I7456" s="417" t="s">
        <v>28841</v>
      </c>
      <c r="J7456" s="417" t="s">
        <v>17385</v>
      </c>
      <c r="K7456" s="417" t="s">
        <v>17387</v>
      </c>
      <c r="L7456" s="417"/>
      <c r="M7456" s="417" t="s">
        <v>28840</v>
      </c>
    </row>
    <row r="7457" spans="1:13" x14ac:dyDescent="0.25">
      <c r="A7457" s="417" t="s">
        <v>3385</v>
      </c>
      <c r="B7457" s="417" t="s">
        <v>3655</v>
      </c>
      <c r="C7457" s="417" t="s">
        <v>17388</v>
      </c>
      <c r="D7457" s="417" t="s">
        <v>88</v>
      </c>
      <c r="E7457" s="423">
        <v>2.5909615572993301E-3</v>
      </c>
      <c r="F7457" s="423">
        <v>1.2706582420036701E-2</v>
      </c>
      <c r="G7457" s="422">
        <v>5.503994675364611</v>
      </c>
      <c r="H7457" s="417" t="s">
        <v>2616</v>
      </c>
      <c r="I7457" s="417" t="s">
        <v>1392</v>
      </c>
      <c r="J7457" s="417" t="s">
        <v>4310</v>
      </c>
      <c r="K7457" s="417" t="s">
        <v>17389</v>
      </c>
      <c r="L7457" s="417"/>
      <c r="M7457" s="417" t="s">
        <v>28840</v>
      </c>
    </row>
    <row r="7458" spans="1:13" x14ac:dyDescent="0.25">
      <c r="A7458" s="417" t="s">
        <v>3385</v>
      </c>
      <c r="B7458" s="417" t="s">
        <v>3655</v>
      </c>
      <c r="C7458" s="417" t="s">
        <v>17390</v>
      </c>
      <c r="D7458" s="417" t="s">
        <v>88</v>
      </c>
      <c r="E7458" s="423">
        <v>5.2536991574832258E-3</v>
      </c>
      <c r="F7458" s="423">
        <v>3.020341197488589E-3</v>
      </c>
      <c r="G7458" s="422">
        <v>10.97764518719128</v>
      </c>
      <c r="H7458" s="417" t="s">
        <v>2616</v>
      </c>
      <c r="I7458" s="417" t="s">
        <v>1392</v>
      </c>
      <c r="J7458" s="417" t="s">
        <v>4310</v>
      </c>
      <c r="K7458" s="417" t="s">
        <v>17391</v>
      </c>
      <c r="L7458" s="417"/>
      <c r="M7458" s="417" t="s">
        <v>28840</v>
      </c>
    </row>
    <row r="7459" spans="1:13" x14ac:dyDescent="0.25">
      <c r="A7459" s="417" t="s">
        <v>3385</v>
      </c>
      <c r="B7459" s="417" t="s">
        <v>3655</v>
      </c>
      <c r="C7459" s="417" t="s">
        <v>17392</v>
      </c>
      <c r="D7459" s="417" t="s">
        <v>88</v>
      </c>
      <c r="E7459" s="423">
        <v>1.0451483701216751E-2</v>
      </c>
      <c r="F7459" s="423">
        <v>3.2773049728740893E-2</v>
      </c>
      <c r="G7459" s="422">
        <v>24.498050872137838</v>
      </c>
      <c r="H7459" s="417" t="s">
        <v>2616</v>
      </c>
      <c r="I7459" s="417" t="s">
        <v>1392</v>
      </c>
      <c r="J7459" s="417" t="s">
        <v>4310</v>
      </c>
      <c r="K7459" s="417" t="s">
        <v>17393</v>
      </c>
      <c r="L7459" s="417"/>
      <c r="M7459" s="417" t="s">
        <v>28840</v>
      </c>
    </row>
    <row r="7460" spans="1:13" x14ac:dyDescent="0.25">
      <c r="A7460" s="417" t="s">
        <v>3385</v>
      </c>
      <c r="B7460" s="417" t="s">
        <v>3655</v>
      </c>
      <c r="C7460" s="417" t="s">
        <v>17394</v>
      </c>
      <c r="D7460" s="417" t="s">
        <v>88</v>
      </c>
      <c r="E7460" s="423">
        <v>5.2704830019174266E-3</v>
      </c>
      <c r="F7460" s="423">
        <v>2.6214207213976229E-2</v>
      </c>
      <c r="G7460" s="422">
        <v>12.44803804730326</v>
      </c>
      <c r="H7460" s="417" t="s">
        <v>2616</v>
      </c>
      <c r="I7460" s="417" t="s">
        <v>1392</v>
      </c>
      <c r="J7460" s="417" t="s">
        <v>4310</v>
      </c>
      <c r="K7460" s="417" t="s">
        <v>17395</v>
      </c>
      <c r="L7460" s="417"/>
      <c r="M7460" s="417" t="s">
        <v>28840</v>
      </c>
    </row>
    <row r="7461" spans="1:13" x14ac:dyDescent="0.25">
      <c r="A7461" s="417" t="s">
        <v>3385</v>
      </c>
      <c r="B7461" s="417" t="s">
        <v>2627</v>
      </c>
      <c r="C7461" s="417" t="s">
        <v>1106</v>
      </c>
      <c r="D7461" s="417" t="s">
        <v>88</v>
      </c>
      <c r="E7461" s="423">
        <v>7398.7343795698762</v>
      </c>
      <c r="F7461" s="423">
        <v>438.59858625593267</v>
      </c>
      <c r="G7461" s="422">
        <v>238408014.95795679</v>
      </c>
      <c r="H7461" s="417" t="s">
        <v>2616</v>
      </c>
      <c r="I7461" s="417" t="s">
        <v>28841</v>
      </c>
      <c r="J7461" s="417" t="s">
        <v>3915</v>
      </c>
      <c r="K7461" s="417" t="s">
        <v>17396</v>
      </c>
      <c r="L7461" s="417"/>
      <c r="M7461" s="417" t="s">
        <v>28840</v>
      </c>
    </row>
    <row r="7462" spans="1:13" x14ac:dyDescent="0.25">
      <c r="A7462" s="417" t="s">
        <v>3385</v>
      </c>
      <c r="B7462" s="417" t="s">
        <v>2627</v>
      </c>
      <c r="C7462" s="417" t="s">
        <v>17397</v>
      </c>
      <c r="D7462" s="417" t="s">
        <v>88</v>
      </c>
      <c r="E7462" s="423">
        <v>7782.5292742998718</v>
      </c>
      <c r="F7462" s="423">
        <v>385.44383768020822</v>
      </c>
      <c r="G7462" s="422">
        <v>273426618.06362408</v>
      </c>
      <c r="H7462" s="417" t="s">
        <v>2616</v>
      </c>
      <c r="I7462" s="417" t="s">
        <v>1392</v>
      </c>
      <c r="J7462" s="417" t="s">
        <v>3915</v>
      </c>
      <c r="K7462" s="417" t="s">
        <v>17398</v>
      </c>
      <c r="L7462" s="417"/>
      <c r="M7462" s="417" t="s">
        <v>28840</v>
      </c>
    </row>
    <row r="7463" spans="1:13" x14ac:dyDescent="0.25">
      <c r="A7463" s="417" t="s">
        <v>3385</v>
      </c>
      <c r="B7463" s="417" t="s">
        <v>2627</v>
      </c>
      <c r="C7463" s="417" t="s">
        <v>17399</v>
      </c>
      <c r="D7463" s="417" t="s">
        <v>88</v>
      </c>
      <c r="E7463" s="423">
        <v>7139.3543825528923</v>
      </c>
      <c r="F7463" s="423">
        <v>608.05889403682886</v>
      </c>
      <c r="G7463" s="422">
        <v>179166181.12497991</v>
      </c>
      <c r="H7463" s="417" t="s">
        <v>2616</v>
      </c>
      <c r="I7463" s="417" t="s">
        <v>1392</v>
      </c>
      <c r="J7463" s="417" t="s">
        <v>3915</v>
      </c>
      <c r="K7463" s="417" t="s">
        <v>17400</v>
      </c>
      <c r="L7463" s="417"/>
      <c r="M7463" s="417" t="s">
        <v>28840</v>
      </c>
    </row>
    <row r="7464" spans="1:13" x14ac:dyDescent="0.25">
      <c r="A7464" s="417" t="s">
        <v>3385</v>
      </c>
      <c r="B7464" s="417" t="s">
        <v>2627</v>
      </c>
      <c r="C7464" s="417" t="s">
        <v>17401</v>
      </c>
      <c r="D7464" s="417" t="s">
        <v>88</v>
      </c>
      <c r="E7464" s="423">
        <v>508.68498098396338</v>
      </c>
      <c r="F7464" s="423">
        <v>41.664756911698753</v>
      </c>
      <c r="G7464" s="422">
        <v>939666.51440771343</v>
      </c>
      <c r="H7464" s="417" t="s">
        <v>2616</v>
      </c>
      <c r="I7464" s="417" t="s">
        <v>1392</v>
      </c>
      <c r="J7464" s="417" t="s">
        <v>3915</v>
      </c>
      <c r="K7464" s="417" t="s">
        <v>17402</v>
      </c>
      <c r="L7464" s="417"/>
      <c r="M7464" s="417" t="s">
        <v>28840</v>
      </c>
    </row>
    <row r="7465" spans="1:13" x14ac:dyDescent="0.25">
      <c r="A7465" s="417" t="s">
        <v>3385</v>
      </c>
      <c r="B7465" s="417" t="s">
        <v>2627</v>
      </c>
      <c r="C7465" s="417" t="s">
        <v>17403</v>
      </c>
      <c r="D7465" s="417" t="s">
        <v>88</v>
      </c>
      <c r="E7465" s="423">
        <v>0.39766777348402671</v>
      </c>
      <c r="F7465" s="423">
        <v>3.7556862395227279E-3</v>
      </c>
      <c r="G7465" s="422">
        <v>1704.370556348121</v>
      </c>
      <c r="H7465" s="417" t="s">
        <v>2616</v>
      </c>
      <c r="I7465" s="417" t="s">
        <v>1392</v>
      </c>
      <c r="J7465" s="417" t="s">
        <v>4047</v>
      </c>
      <c r="K7465" s="417" t="s">
        <v>17404</v>
      </c>
      <c r="L7465" s="417"/>
      <c r="M7465" s="417" t="s">
        <v>28840</v>
      </c>
    </row>
    <row r="7466" spans="1:13" x14ac:dyDescent="0.25">
      <c r="A7466" s="417" t="s">
        <v>3385</v>
      </c>
      <c r="B7466" s="417" t="s">
        <v>2627</v>
      </c>
      <c r="C7466" s="417" t="s">
        <v>17405</v>
      </c>
      <c r="D7466" s="417" t="s">
        <v>88</v>
      </c>
      <c r="E7466" s="423">
        <v>2.8960436075922331</v>
      </c>
      <c r="F7466" s="423">
        <v>4.809468614203757</v>
      </c>
      <c r="G7466" s="422">
        <v>12016.47109197365</v>
      </c>
      <c r="H7466" s="417" t="s">
        <v>2616</v>
      </c>
      <c r="I7466" s="417" t="s">
        <v>1392</v>
      </c>
      <c r="J7466" s="417" t="s">
        <v>5227</v>
      </c>
      <c r="K7466" s="417" t="s">
        <v>17406</v>
      </c>
      <c r="L7466" s="417"/>
      <c r="M7466" s="417" t="s">
        <v>28840</v>
      </c>
    </row>
    <row r="7467" spans="1:13" x14ac:dyDescent="0.25">
      <c r="A7467" s="417" t="s">
        <v>3385</v>
      </c>
      <c r="B7467" s="417" t="s">
        <v>2627</v>
      </c>
      <c r="C7467" s="417" t="s">
        <v>17407</v>
      </c>
      <c r="D7467" s="417" t="s">
        <v>88</v>
      </c>
      <c r="E7467" s="423">
        <v>1.7024155702481649</v>
      </c>
      <c r="F7467" s="423">
        <v>1.5113576951459291</v>
      </c>
      <c r="G7467" s="422">
        <v>6564.1570167083146</v>
      </c>
      <c r="H7467" s="417" t="s">
        <v>2616</v>
      </c>
      <c r="I7467" s="417" t="s">
        <v>1392</v>
      </c>
      <c r="J7467" s="417" t="s">
        <v>4823</v>
      </c>
      <c r="K7467" s="417" t="s">
        <v>17408</v>
      </c>
      <c r="L7467" s="417"/>
      <c r="M7467" s="417" t="s">
        <v>28840</v>
      </c>
    </row>
    <row r="7468" spans="1:13" x14ac:dyDescent="0.25">
      <c r="A7468" s="417" t="s">
        <v>3385</v>
      </c>
      <c r="B7468" s="417" t="s">
        <v>2627</v>
      </c>
      <c r="C7468" s="417" t="s">
        <v>1066</v>
      </c>
      <c r="D7468" s="417" t="s">
        <v>88</v>
      </c>
      <c r="E7468" s="423">
        <v>1.6823370872480059</v>
      </c>
      <c r="F7468" s="423">
        <v>1.59203927070247</v>
      </c>
      <c r="G7468" s="422">
        <v>6980.4724298172914</v>
      </c>
      <c r="H7468" s="417" t="s">
        <v>2616</v>
      </c>
      <c r="I7468" s="417" t="s">
        <v>28841</v>
      </c>
      <c r="J7468" s="417" t="s">
        <v>5227</v>
      </c>
      <c r="K7468" s="417" t="s">
        <v>17409</v>
      </c>
      <c r="L7468" s="417"/>
      <c r="M7468" s="417" t="s">
        <v>28840</v>
      </c>
    </row>
    <row r="7469" spans="1:13" x14ac:dyDescent="0.25">
      <c r="A7469" s="417" t="s">
        <v>3385</v>
      </c>
      <c r="B7469" s="417" t="s">
        <v>2627</v>
      </c>
      <c r="C7469" s="417" t="s">
        <v>17410</v>
      </c>
      <c r="D7469" s="417" t="s">
        <v>88</v>
      </c>
      <c r="E7469" s="423">
        <v>134.58946350879799</v>
      </c>
      <c r="F7469" s="423">
        <v>4.4296928298053633</v>
      </c>
      <c r="G7469" s="422">
        <v>195794.18298941129</v>
      </c>
      <c r="H7469" s="417" t="s">
        <v>2616</v>
      </c>
      <c r="I7469" s="417" t="s">
        <v>1392</v>
      </c>
      <c r="J7469" s="417" t="s">
        <v>3896</v>
      </c>
      <c r="K7469" s="417" t="s">
        <v>17411</v>
      </c>
      <c r="L7469" s="417"/>
      <c r="M7469" s="417" t="s">
        <v>28840</v>
      </c>
    </row>
    <row r="7470" spans="1:13" x14ac:dyDescent="0.25">
      <c r="A7470" s="417" t="s">
        <v>3385</v>
      </c>
      <c r="B7470" s="417" t="s">
        <v>2627</v>
      </c>
      <c r="C7470" s="417" t="s">
        <v>17412</v>
      </c>
      <c r="D7470" s="417" t="s">
        <v>88</v>
      </c>
      <c r="E7470" s="423">
        <v>1.1571281082069309</v>
      </c>
      <c r="F7470" s="423">
        <v>3.7512771232926213E-2</v>
      </c>
      <c r="G7470" s="422">
        <v>2858.5728750718631</v>
      </c>
      <c r="H7470" s="417" t="s">
        <v>2616</v>
      </c>
      <c r="I7470" s="417" t="s">
        <v>1392</v>
      </c>
      <c r="J7470" s="417" t="s">
        <v>3896</v>
      </c>
      <c r="K7470" s="417" t="s">
        <v>17413</v>
      </c>
      <c r="L7470" s="417"/>
      <c r="M7470" s="417" t="s">
        <v>28840</v>
      </c>
    </row>
    <row r="7471" spans="1:13" x14ac:dyDescent="0.25">
      <c r="A7471" s="417" t="s">
        <v>3385</v>
      </c>
      <c r="B7471" s="417" t="s">
        <v>2627</v>
      </c>
      <c r="C7471" s="417" t="s">
        <v>17414</v>
      </c>
      <c r="D7471" s="417" t="s">
        <v>563</v>
      </c>
      <c r="E7471" s="423">
        <v>49.329841923872458</v>
      </c>
      <c r="F7471" s="423">
        <v>1.0727858334659399</v>
      </c>
      <c r="G7471" s="422">
        <v>99824.183146629308</v>
      </c>
      <c r="H7471" s="417" t="s">
        <v>2616</v>
      </c>
      <c r="I7471" s="417" t="s">
        <v>1392</v>
      </c>
      <c r="J7471" s="417" t="s">
        <v>7620</v>
      </c>
      <c r="K7471" s="417" t="s">
        <v>17415</v>
      </c>
      <c r="L7471" s="417"/>
      <c r="M7471" s="417" t="s">
        <v>28840</v>
      </c>
    </row>
    <row r="7472" spans="1:13" x14ac:dyDescent="0.25">
      <c r="A7472" s="417" t="s">
        <v>3385</v>
      </c>
      <c r="B7472" s="417" t="s">
        <v>2627</v>
      </c>
      <c r="C7472" s="417" t="s">
        <v>17416</v>
      </c>
      <c r="D7472" s="417" t="s">
        <v>563</v>
      </c>
      <c r="E7472" s="423">
        <v>188.1329727513604</v>
      </c>
      <c r="F7472" s="423">
        <v>5.0790252852012543</v>
      </c>
      <c r="G7472" s="422">
        <v>380232.75727466762</v>
      </c>
      <c r="H7472" s="417" t="s">
        <v>2616</v>
      </c>
      <c r="I7472" s="417" t="s">
        <v>1392</v>
      </c>
      <c r="J7472" s="417" t="s">
        <v>6259</v>
      </c>
      <c r="K7472" s="417" t="s">
        <v>17417</v>
      </c>
      <c r="L7472" s="417"/>
      <c r="M7472" s="417" t="s">
        <v>28840</v>
      </c>
    </row>
    <row r="7473" spans="1:13" x14ac:dyDescent="0.25">
      <c r="A7473" s="417" t="s">
        <v>3385</v>
      </c>
      <c r="B7473" s="417" t="s">
        <v>2627</v>
      </c>
      <c r="C7473" s="417" t="s">
        <v>17418</v>
      </c>
      <c r="D7473" s="417" t="s">
        <v>563</v>
      </c>
      <c r="E7473" s="423">
        <v>30.392096201927149</v>
      </c>
      <c r="F7473" s="423">
        <v>0.82049635968291368</v>
      </c>
      <c r="G7473" s="422">
        <v>61425.015570016352</v>
      </c>
      <c r="H7473" s="417" t="s">
        <v>2616</v>
      </c>
      <c r="I7473" s="417" t="s">
        <v>1392</v>
      </c>
      <c r="J7473" s="417" t="s">
        <v>6259</v>
      </c>
      <c r="K7473" s="417" t="s">
        <v>17419</v>
      </c>
      <c r="L7473" s="417"/>
      <c r="M7473" s="417" t="s">
        <v>28840</v>
      </c>
    </row>
    <row r="7474" spans="1:13" x14ac:dyDescent="0.25">
      <c r="A7474" s="417" t="s">
        <v>3385</v>
      </c>
      <c r="B7474" s="417" t="s">
        <v>2627</v>
      </c>
      <c r="C7474" s="417" t="s">
        <v>17420</v>
      </c>
      <c r="D7474" s="417" t="s">
        <v>563</v>
      </c>
      <c r="E7474" s="423">
        <v>102.9663920633274</v>
      </c>
      <c r="F7474" s="423">
        <v>2.595934439373893</v>
      </c>
      <c r="G7474" s="422">
        <v>207865.55926116329</v>
      </c>
      <c r="H7474" s="417" t="s">
        <v>2616</v>
      </c>
      <c r="I7474" s="417" t="s">
        <v>1392</v>
      </c>
      <c r="J7474" s="417" t="s">
        <v>6259</v>
      </c>
      <c r="K7474" s="417" t="s">
        <v>17421</v>
      </c>
      <c r="L7474" s="417"/>
      <c r="M7474" s="417" t="s">
        <v>28840</v>
      </c>
    </row>
    <row r="7475" spans="1:13" x14ac:dyDescent="0.25">
      <c r="A7475" s="417" t="s">
        <v>3385</v>
      </c>
      <c r="B7475" s="417" t="s">
        <v>2627</v>
      </c>
      <c r="C7475" s="417" t="s">
        <v>17422</v>
      </c>
      <c r="D7475" s="417" t="s">
        <v>563</v>
      </c>
      <c r="E7475" s="423">
        <v>16.633240409638649</v>
      </c>
      <c r="F7475" s="423">
        <v>0.41934997250732398</v>
      </c>
      <c r="G7475" s="422">
        <v>33578.691167268327</v>
      </c>
      <c r="H7475" s="417" t="s">
        <v>2616</v>
      </c>
      <c r="I7475" s="417" t="s">
        <v>1392</v>
      </c>
      <c r="J7475" s="417" t="s">
        <v>6259</v>
      </c>
      <c r="K7475" s="417" t="s">
        <v>17423</v>
      </c>
      <c r="L7475" s="417"/>
      <c r="M7475" s="417" t="s">
        <v>28840</v>
      </c>
    </row>
    <row r="7476" spans="1:13" x14ac:dyDescent="0.25">
      <c r="A7476" s="417" t="s">
        <v>3385</v>
      </c>
      <c r="B7476" s="417" t="s">
        <v>2627</v>
      </c>
      <c r="C7476" s="417" t="s">
        <v>17424</v>
      </c>
      <c r="D7476" s="417" t="s">
        <v>563</v>
      </c>
      <c r="E7476" s="423">
        <v>104.290552603485</v>
      </c>
      <c r="F7476" s="423">
        <v>2.7369987044485611</v>
      </c>
      <c r="G7476" s="422">
        <v>210678.28644535391</v>
      </c>
      <c r="H7476" s="417" t="s">
        <v>2616</v>
      </c>
      <c r="I7476" s="417" t="s">
        <v>1392</v>
      </c>
      <c r="J7476" s="417" t="s">
        <v>6259</v>
      </c>
      <c r="K7476" s="417" t="s">
        <v>17425</v>
      </c>
      <c r="L7476" s="417"/>
      <c r="M7476" s="417" t="s">
        <v>28840</v>
      </c>
    </row>
    <row r="7477" spans="1:13" x14ac:dyDescent="0.25">
      <c r="A7477" s="417" t="s">
        <v>3385</v>
      </c>
      <c r="B7477" s="417" t="s">
        <v>2627</v>
      </c>
      <c r="C7477" s="417" t="s">
        <v>17426</v>
      </c>
      <c r="D7477" s="417" t="s">
        <v>563</v>
      </c>
      <c r="E7477" s="423">
        <v>16.847677498776239</v>
      </c>
      <c r="F7477" s="423">
        <v>0.44215075212016169</v>
      </c>
      <c r="G7477" s="422">
        <v>34034.147975849519</v>
      </c>
      <c r="H7477" s="417" t="s">
        <v>2616</v>
      </c>
      <c r="I7477" s="417" t="s">
        <v>1392</v>
      </c>
      <c r="J7477" s="417" t="s">
        <v>6259</v>
      </c>
      <c r="K7477" s="417" t="s">
        <v>17427</v>
      </c>
      <c r="L7477" s="417"/>
      <c r="M7477" s="417" t="s">
        <v>28840</v>
      </c>
    </row>
    <row r="7478" spans="1:13" x14ac:dyDescent="0.25">
      <c r="A7478" s="417" t="s">
        <v>3385</v>
      </c>
      <c r="B7478" s="417" t="s">
        <v>2627</v>
      </c>
      <c r="C7478" s="417" t="s">
        <v>17428</v>
      </c>
      <c r="D7478" s="417" t="s">
        <v>989</v>
      </c>
      <c r="E7478" s="423">
        <v>26943367.083875012</v>
      </c>
      <c r="F7478" s="423">
        <v>926274.5220380039</v>
      </c>
      <c r="G7478" s="422">
        <v>62332573633.596672</v>
      </c>
      <c r="H7478" s="417" t="s">
        <v>2616</v>
      </c>
      <c r="I7478" s="417" t="s">
        <v>1392</v>
      </c>
      <c r="J7478" s="417" t="s">
        <v>17429</v>
      </c>
      <c r="K7478" s="417" t="s">
        <v>17430</v>
      </c>
      <c r="L7478" s="417"/>
      <c r="M7478" s="417" t="s">
        <v>28840</v>
      </c>
    </row>
    <row r="7479" spans="1:13" x14ac:dyDescent="0.25">
      <c r="A7479" s="417" t="s">
        <v>3385</v>
      </c>
      <c r="B7479" s="417" t="s">
        <v>2627</v>
      </c>
      <c r="C7479" s="417" t="s">
        <v>17431</v>
      </c>
      <c r="D7479" s="417" t="s">
        <v>989</v>
      </c>
      <c r="E7479" s="423">
        <v>149494590.2590349</v>
      </c>
      <c r="F7479" s="423">
        <v>16330573.79804175</v>
      </c>
      <c r="G7479" s="422">
        <v>373922694117.97968</v>
      </c>
      <c r="H7479" s="417" t="s">
        <v>2616</v>
      </c>
      <c r="I7479" s="417" t="s">
        <v>1392</v>
      </c>
      <c r="J7479" s="417" t="s">
        <v>17429</v>
      </c>
      <c r="K7479" s="417" t="s">
        <v>17432</v>
      </c>
      <c r="L7479" s="417"/>
      <c r="M7479" s="417" t="s">
        <v>28840</v>
      </c>
    </row>
    <row r="7480" spans="1:13" x14ac:dyDescent="0.25">
      <c r="A7480" s="417" t="s">
        <v>3385</v>
      </c>
      <c r="B7480" s="417" t="s">
        <v>2627</v>
      </c>
      <c r="C7480" s="417" t="s">
        <v>17433</v>
      </c>
      <c r="D7480" s="417" t="s">
        <v>989</v>
      </c>
      <c r="E7480" s="423">
        <v>107179582.4858681</v>
      </c>
      <c r="F7480" s="423">
        <v>12065974.41215439</v>
      </c>
      <c r="G7480" s="422">
        <v>263391059563.32291</v>
      </c>
      <c r="H7480" s="417" t="s">
        <v>2616</v>
      </c>
      <c r="I7480" s="417" t="s">
        <v>1392</v>
      </c>
      <c r="J7480" s="417" t="s">
        <v>17429</v>
      </c>
      <c r="K7480" s="417" t="s">
        <v>17434</v>
      </c>
      <c r="L7480" s="417"/>
      <c r="M7480" s="417" t="s">
        <v>28840</v>
      </c>
    </row>
    <row r="7481" spans="1:13" x14ac:dyDescent="0.25">
      <c r="A7481" s="417" t="s">
        <v>3385</v>
      </c>
      <c r="B7481" s="417" t="s">
        <v>2627</v>
      </c>
      <c r="C7481" s="417" t="s">
        <v>17435</v>
      </c>
      <c r="D7481" s="417" t="s">
        <v>88</v>
      </c>
      <c r="E7481" s="423">
        <v>3.4434267880236331</v>
      </c>
      <c r="F7481" s="423">
        <v>1.110430098967067</v>
      </c>
      <c r="G7481" s="422">
        <v>5712.5557413410779</v>
      </c>
      <c r="H7481" s="417" t="s">
        <v>2616</v>
      </c>
      <c r="I7481" s="417" t="s">
        <v>1392</v>
      </c>
      <c r="J7481" s="417" t="s">
        <v>4016</v>
      </c>
      <c r="K7481" s="417" t="s">
        <v>17436</v>
      </c>
      <c r="L7481" s="417"/>
      <c r="M7481" s="417" t="s">
        <v>28840</v>
      </c>
    </row>
    <row r="7482" spans="1:13" x14ac:dyDescent="0.25">
      <c r="A7482" s="417" t="s">
        <v>3385</v>
      </c>
      <c r="B7482" s="417" t="s">
        <v>2627</v>
      </c>
      <c r="C7482" s="417" t="s">
        <v>17437</v>
      </c>
      <c r="D7482" s="417" t="s">
        <v>88</v>
      </c>
      <c r="E7482" s="423">
        <v>0.73420982959999825</v>
      </c>
      <c r="F7482" s="423">
        <v>0.650067504120729</v>
      </c>
      <c r="G7482" s="422">
        <v>1899.716168661048</v>
      </c>
      <c r="H7482" s="417" t="s">
        <v>2616</v>
      </c>
      <c r="I7482" s="417" t="s">
        <v>1392</v>
      </c>
      <c r="J7482" s="417" t="s">
        <v>17438</v>
      </c>
      <c r="K7482" s="417" t="s">
        <v>17439</v>
      </c>
      <c r="L7482" s="417"/>
      <c r="M7482" s="417" t="s">
        <v>28840</v>
      </c>
    </row>
    <row r="7483" spans="1:13" x14ac:dyDescent="0.25">
      <c r="A7483" s="417" t="s">
        <v>3385</v>
      </c>
      <c r="B7483" s="417" t="s">
        <v>2627</v>
      </c>
      <c r="C7483" s="417" t="s">
        <v>17440</v>
      </c>
      <c r="D7483" s="417" t="s">
        <v>88</v>
      </c>
      <c r="E7483" s="423">
        <v>0.82992926054254346</v>
      </c>
      <c r="F7483" s="423">
        <v>0.24713673499023259</v>
      </c>
      <c r="G7483" s="422">
        <v>1788.5050493527981</v>
      </c>
      <c r="H7483" s="417" t="s">
        <v>2616</v>
      </c>
      <c r="I7483" s="417" t="s">
        <v>1392</v>
      </c>
      <c r="J7483" s="417" t="s">
        <v>17438</v>
      </c>
      <c r="K7483" s="417" t="s">
        <v>17441</v>
      </c>
      <c r="L7483" s="417"/>
      <c r="M7483" s="417" t="s">
        <v>28840</v>
      </c>
    </row>
    <row r="7484" spans="1:13" x14ac:dyDescent="0.25">
      <c r="A7484" s="417" t="s">
        <v>3385</v>
      </c>
      <c r="B7484" s="417" t="s">
        <v>2627</v>
      </c>
      <c r="C7484" s="417" t="s">
        <v>17442</v>
      </c>
      <c r="D7484" s="417" t="s">
        <v>88</v>
      </c>
      <c r="E7484" s="423">
        <v>0.75511520200395821</v>
      </c>
      <c r="F7484" s="423">
        <v>0.38502841799072712</v>
      </c>
      <c r="G7484" s="422">
        <v>1611.3740270951021</v>
      </c>
      <c r="H7484" s="417" t="s">
        <v>2616</v>
      </c>
      <c r="I7484" s="417" t="s">
        <v>1392</v>
      </c>
      <c r="J7484" s="417" t="s">
        <v>17438</v>
      </c>
      <c r="K7484" s="417" t="s">
        <v>17443</v>
      </c>
      <c r="L7484" s="417"/>
      <c r="M7484" s="417" t="s">
        <v>28840</v>
      </c>
    </row>
    <row r="7485" spans="1:13" x14ac:dyDescent="0.25">
      <c r="A7485" s="417" t="s">
        <v>3385</v>
      </c>
      <c r="B7485" s="417" t="s">
        <v>2627</v>
      </c>
      <c r="C7485" s="417" t="s">
        <v>1127</v>
      </c>
      <c r="D7485" s="417" t="s">
        <v>88</v>
      </c>
      <c r="E7485" s="423">
        <v>0.70792563222448024</v>
      </c>
      <c r="F7485" s="423">
        <v>0.81369834453898215</v>
      </c>
      <c r="G7485" s="422">
        <v>1643.879487210962</v>
      </c>
      <c r="H7485" s="417" t="s">
        <v>2616</v>
      </c>
      <c r="I7485" s="417" t="s">
        <v>28841</v>
      </c>
      <c r="J7485" s="417" t="s">
        <v>17438</v>
      </c>
      <c r="K7485" s="417" t="s">
        <v>17444</v>
      </c>
      <c r="L7485" s="417"/>
      <c r="M7485" s="417" t="s">
        <v>28840</v>
      </c>
    </row>
    <row r="7486" spans="1:13" x14ac:dyDescent="0.25">
      <c r="A7486" s="417" t="s">
        <v>3385</v>
      </c>
      <c r="B7486" s="417" t="s">
        <v>2627</v>
      </c>
      <c r="C7486" s="417" t="s">
        <v>17445</v>
      </c>
      <c r="D7486" s="417" t="s">
        <v>88</v>
      </c>
      <c r="E7486" s="423">
        <v>0.89885743015674024</v>
      </c>
      <c r="F7486" s="423">
        <v>4.5216075521927183E-2</v>
      </c>
      <c r="G7486" s="422">
        <v>1458.129246010466</v>
      </c>
      <c r="H7486" s="417" t="s">
        <v>2616</v>
      </c>
      <c r="I7486" s="417" t="s">
        <v>1392</v>
      </c>
      <c r="J7486" s="417" t="s">
        <v>17438</v>
      </c>
      <c r="K7486" s="417" t="s">
        <v>17446</v>
      </c>
      <c r="L7486" s="417"/>
      <c r="M7486" s="417" t="s">
        <v>28840</v>
      </c>
    </row>
    <row r="7487" spans="1:13" x14ac:dyDescent="0.25">
      <c r="A7487" s="417" t="s">
        <v>3385</v>
      </c>
      <c r="B7487" s="417" t="s">
        <v>2627</v>
      </c>
      <c r="C7487" s="417" t="s">
        <v>17447</v>
      </c>
      <c r="D7487" s="417" t="s">
        <v>88</v>
      </c>
      <c r="E7487" s="423">
        <v>1.3994553117207671</v>
      </c>
      <c r="F7487" s="423">
        <v>0.18141900616607171</v>
      </c>
      <c r="G7487" s="422">
        <v>2696.2671380250508</v>
      </c>
      <c r="H7487" s="417" t="s">
        <v>2616</v>
      </c>
      <c r="I7487" s="417" t="s">
        <v>1392</v>
      </c>
      <c r="J7487" s="417" t="s">
        <v>17438</v>
      </c>
      <c r="K7487" s="417" t="s">
        <v>17448</v>
      </c>
      <c r="L7487" s="417"/>
      <c r="M7487" s="417" t="s">
        <v>28840</v>
      </c>
    </row>
    <row r="7488" spans="1:13" x14ac:dyDescent="0.25">
      <c r="A7488" s="417" t="s">
        <v>3385</v>
      </c>
      <c r="B7488" s="417" t="s">
        <v>2627</v>
      </c>
      <c r="C7488" s="417" t="s">
        <v>17449</v>
      </c>
      <c r="D7488" s="417" t="s">
        <v>88</v>
      </c>
      <c r="E7488" s="423">
        <v>1.149806237654236</v>
      </c>
      <c r="F7488" s="423">
        <v>0.84687850832386313</v>
      </c>
      <c r="G7488" s="422">
        <v>2494.4055669353629</v>
      </c>
      <c r="H7488" s="417" t="s">
        <v>2616</v>
      </c>
      <c r="I7488" s="417" t="s">
        <v>1392</v>
      </c>
      <c r="J7488" s="417" t="s">
        <v>17438</v>
      </c>
      <c r="K7488" s="417" t="s">
        <v>17450</v>
      </c>
      <c r="L7488" s="417"/>
      <c r="M7488" s="417" t="s">
        <v>28840</v>
      </c>
    </row>
    <row r="7489" spans="1:13" x14ac:dyDescent="0.25">
      <c r="A7489" s="417" t="s">
        <v>3385</v>
      </c>
      <c r="B7489" s="417" t="s">
        <v>2627</v>
      </c>
      <c r="C7489" s="417" t="s">
        <v>17451</v>
      </c>
      <c r="D7489" s="417" t="s">
        <v>88</v>
      </c>
      <c r="E7489" s="423">
        <v>1.191580719554457</v>
      </c>
      <c r="F7489" s="423">
        <v>0.85100815998247503</v>
      </c>
      <c r="G7489" s="422">
        <v>2576.3434052936541</v>
      </c>
      <c r="H7489" s="417" t="s">
        <v>2616</v>
      </c>
      <c r="I7489" s="417" t="s">
        <v>1392</v>
      </c>
      <c r="J7489" s="417" t="s">
        <v>17438</v>
      </c>
      <c r="K7489" s="417" t="s">
        <v>17452</v>
      </c>
      <c r="L7489" s="417"/>
      <c r="M7489" s="417" t="s">
        <v>28840</v>
      </c>
    </row>
    <row r="7490" spans="1:13" x14ac:dyDescent="0.25">
      <c r="A7490" s="417" t="s">
        <v>3385</v>
      </c>
      <c r="B7490" s="417" t="s">
        <v>2627</v>
      </c>
      <c r="C7490" s="417" t="s">
        <v>17453</v>
      </c>
      <c r="D7490" s="417" t="s">
        <v>88</v>
      </c>
      <c r="E7490" s="423">
        <v>1.0733147489736321</v>
      </c>
      <c r="F7490" s="423">
        <v>0.83947125395381983</v>
      </c>
      <c r="G7490" s="422">
        <v>2341.3937932338349</v>
      </c>
      <c r="H7490" s="417" t="s">
        <v>2616</v>
      </c>
      <c r="I7490" s="417" t="s">
        <v>1392</v>
      </c>
      <c r="J7490" s="417" t="s">
        <v>17438</v>
      </c>
      <c r="K7490" s="417" t="s">
        <v>17454</v>
      </c>
      <c r="L7490" s="417"/>
      <c r="M7490" s="417" t="s">
        <v>28840</v>
      </c>
    </row>
    <row r="7491" spans="1:13" x14ac:dyDescent="0.25">
      <c r="A7491" s="417" t="s">
        <v>3385</v>
      </c>
      <c r="B7491" s="417" t="s">
        <v>2627</v>
      </c>
      <c r="C7491" s="417" t="s">
        <v>17455</v>
      </c>
      <c r="D7491" s="417" t="s">
        <v>88</v>
      </c>
      <c r="E7491" s="423">
        <v>0.78186762783063113</v>
      </c>
      <c r="F7491" s="423">
        <v>0.74761304674999163</v>
      </c>
      <c r="G7491" s="422">
        <v>1855.890172048764</v>
      </c>
      <c r="H7491" s="417" t="s">
        <v>2616</v>
      </c>
      <c r="I7491" s="417" t="s">
        <v>1392</v>
      </c>
      <c r="J7491" s="417" t="s">
        <v>17438</v>
      </c>
      <c r="K7491" s="417" t="s">
        <v>17456</v>
      </c>
      <c r="L7491" s="417"/>
      <c r="M7491" s="417" t="s">
        <v>28840</v>
      </c>
    </row>
    <row r="7492" spans="1:13" x14ac:dyDescent="0.25">
      <c r="A7492" s="417" t="s">
        <v>3385</v>
      </c>
      <c r="B7492" s="417" t="s">
        <v>2627</v>
      </c>
      <c r="C7492" s="417" t="s">
        <v>17457</v>
      </c>
      <c r="D7492" s="417" t="s">
        <v>88</v>
      </c>
      <c r="E7492" s="423">
        <v>1.0315159076835101</v>
      </c>
      <c r="F7492" s="423">
        <v>1.562369817069766</v>
      </c>
      <c r="G7492" s="422">
        <v>2346.9639481475801</v>
      </c>
      <c r="H7492" s="417" t="s">
        <v>2616</v>
      </c>
      <c r="I7492" s="417" t="s">
        <v>1392</v>
      </c>
      <c r="J7492" s="417" t="s">
        <v>17438</v>
      </c>
      <c r="K7492" s="417" t="s">
        <v>17458</v>
      </c>
      <c r="L7492" s="417"/>
      <c r="M7492" s="417" t="s">
        <v>28840</v>
      </c>
    </row>
    <row r="7493" spans="1:13" x14ac:dyDescent="0.25">
      <c r="A7493" s="417" t="s">
        <v>3385</v>
      </c>
      <c r="B7493" s="417" t="s">
        <v>2627</v>
      </c>
      <c r="C7493" s="417" t="s">
        <v>17459</v>
      </c>
      <c r="D7493" s="417" t="s">
        <v>88</v>
      </c>
      <c r="E7493" s="423">
        <v>1.039540108718108</v>
      </c>
      <c r="F7493" s="423">
        <v>1.2146510253971781</v>
      </c>
      <c r="G7493" s="422">
        <v>2470.0119304688051</v>
      </c>
      <c r="H7493" s="417" t="s">
        <v>2616</v>
      </c>
      <c r="I7493" s="417" t="s">
        <v>1392</v>
      </c>
      <c r="J7493" s="417" t="s">
        <v>17438</v>
      </c>
      <c r="K7493" s="417" t="s">
        <v>17460</v>
      </c>
      <c r="L7493" s="417"/>
      <c r="M7493" s="417" t="s">
        <v>28840</v>
      </c>
    </row>
    <row r="7494" spans="1:13" x14ac:dyDescent="0.25">
      <c r="A7494" s="417" t="s">
        <v>3385</v>
      </c>
      <c r="B7494" s="417" t="s">
        <v>2627</v>
      </c>
      <c r="C7494" s="417" t="s">
        <v>17461</v>
      </c>
      <c r="D7494" s="417" t="s">
        <v>88</v>
      </c>
      <c r="E7494" s="423">
        <v>1.156038722988133</v>
      </c>
      <c r="F7494" s="423">
        <v>1.4002656803129949</v>
      </c>
      <c r="G7494" s="422">
        <v>2648.65327472836</v>
      </c>
      <c r="H7494" s="417" t="s">
        <v>2616</v>
      </c>
      <c r="I7494" s="417" t="s">
        <v>1392</v>
      </c>
      <c r="J7494" s="417" t="s">
        <v>17438</v>
      </c>
      <c r="K7494" s="417" t="s">
        <v>17462</v>
      </c>
      <c r="L7494" s="417"/>
      <c r="M7494" s="417" t="s">
        <v>28840</v>
      </c>
    </row>
    <row r="7495" spans="1:13" x14ac:dyDescent="0.25">
      <c r="A7495" s="417" t="s">
        <v>3385</v>
      </c>
      <c r="B7495" s="417" t="s">
        <v>2627</v>
      </c>
      <c r="C7495" s="417" t="s">
        <v>17463</v>
      </c>
      <c r="D7495" s="417" t="s">
        <v>88</v>
      </c>
      <c r="E7495" s="423">
        <v>0.73583770264810189</v>
      </c>
      <c r="F7495" s="423">
        <v>1.6251238084811139</v>
      </c>
      <c r="G7495" s="422">
        <v>2127.9437672545091</v>
      </c>
      <c r="H7495" s="417" t="s">
        <v>2616</v>
      </c>
      <c r="I7495" s="417" t="s">
        <v>1392</v>
      </c>
      <c r="J7495" s="417" t="s">
        <v>17438</v>
      </c>
      <c r="K7495" s="417" t="s">
        <v>17464</v>
      </c>
      <c r="L7495" s="417"/>
      <c r="M7495" s="417" t="s">
        <v>28840</v>
      </c>
    </row>
    <row r="7496" spans="1:13" x14ac:dyDescent="0.25">
      <c r="A7496" s="417" t="s">
        <v>3385</v>
      </c>
      <c r="B7496" s="417" t="s">
        <v>2627</v>
      </c>
      <c r="C7496" s="417" t="s">
        <v>17465</v>
      </c>
      <c r="D7496" s="417" t="s">
        <v>88</v>
      </c>
      <c r="E7496" s="423">
        <v>1.323976967315029</v>
      </c>
      <c r="F7496" s="423">
        <v>1.6937910309045781</v>
      </c>
      <c r="G7496" s="422">
        <v>3061.0291907930691</v>
      </c>
      <c r="H7496" s="417" t="s">
        <v>2616</v>
      </c>
      <c r="I7496" s="417" t="s">
        <v>1392</v>
      </c>
      <c r="J7496" s="417" t="s">
        <v>17438</v>
      </c>
      <c r="K7496" s="417" t="s">
        <v>17466</v>
      </c>
      <c r="L7496" s="417"/>
      <c r="M7496" s="417" t="s">
        <v>28840</v>
      </c>
    </row>
    <row r="7497" spans="1:13" x14ac:dyDescent="0.25">
      <c r="A7497" s="417" t="s">
        <v>3385</v>
      </c>
      <c r="B7497" s="417" t="s">
        <v>2627</v>
      </c>
      <c r="C7497" s="417" t="s">
        <v>1126</v>
      </c>
      <c r="D7497" s="417" t="s">
        <v>88</v>
      </c>
      <c r="E7497" s="423">
        <v>1.1988524369168401</v>
      </c>
      <c r="F7497" s="423">
        <v>1.675845502728704</v>
      </c>
      <c r="G7497" s="422">
        <v>2929.4124821009818</v>
      </c>
      <c r="H7497" s="417" t="s">
        <v>2616</v>
      </c>
      <c r="I7497" s="417" t="s">
        <v>28841</v>
      </c>
      <c r="J7497" s="417" t="s">
        <v>17438</v>
      </c>
      <c r="K7497" s="417" t="s">
        <v>17467</v>
      </c>
      <c r="L7497" s="417"/>
      <c r="M7497" s="417" t="s">
        <v>28840</v>
      </c>
    </row>
    <row r="7498" spans="1:13" x14ac:dyDescent="0.25">
      <c r="A7498" s="417" t="s">
        <v>3385</v>
      </c>
      <c r="B7498" s="417" t="s">
        <v>2627</v>
      </c>
      <c r="C7498" s="417" t="s">
        <v>17468</v>
      </c>
      <c r="D7498" s="417" t="s">
        <v>88</v>
      </c>
      <c r="E7498" s="423">
        <v>0.87174198462418595</v>
      </c>
      <c r="F7498" s="423">
        <v>1.9158638362858769E-2</v>
      </c>
      <c r="G7498" s="422">
        <v>1655.0732762481159</v>
      </c>
      <c r="H7498" s="417" t="s">
        <v>2616</v>
      </c>
      <c r="I7498" s="417" t="s">
        <v>1392</v>
      </c>
      <c r="J7498" s="417" t="s">
        <v>3396</v>
      </c>
      <c r="K7498" s="417" t="s">
        <v>17469</v>
      </c>
      <c r="L7498" s="417"/>
      <c r="M7498" s="417" t="s">
        <v>28840</v>
      </c>
    </row>
    <row r="7499" spans="1:13" x14ac:dyDescent="0.25">
      <c r="A7499" s="417" t="s">
        <v>3385</v>
      </c>
      <c r="B7499" s="417" t="s">
        <v>2627</v>
      </c>
      <c r="C7499" s="417" t="s">
        <v>17470</v>
      </c>
      <c r="D7499" s="417" t="s">
        <v>83</v>
      </c>
      <c r="E7499" s="423">
        <v>0</v>
      </c>
      <c r="F7499" s="423">
        <v>0</v>
      </c>
      <c r="G7499" s="422">
        <v>36750</v>
      </c>
      <c r="H7499" s="417" t="s">
        <v>2616</v>
      </c>
      <c r="I7499" s="417" t="s">
        <v>1392</v>
      </c>
      <c r="J7499" s="417" t="s">
        <v>3998</v>
      </c>
      <c r="K7499" s="417" t="s">
        <v>17471</v>
      </c>
      <c r="L7499" s="417"/>
      <c r="M7499" s="417" t="s">
        <v>28840</v>
      </c>
    </row>
    <row r="7500" spans="1:13" x14ac:dyDescent="0.25">
      <c r="A7500" s="417" t="s">
        <v>3385</v>
      </c>
      <c r="B7500" s="417" t="s">
        <v>2627</v>
      </c>
      <c r="C7500" s="417" t="s">
        <v>17472</v>
      </c>
      <c r="D7500" s="417" t="s">
        <v>83</v>
      </c>
      <c r="E7500" s="423">
        <v>0</v>
      </c>
      <c r="F7500" s="423">
        <v>0</v>
      </c>
      <c r="G7500" s="422">
        <v>36750</v>
      </c>
      <c r="H7500" s="417" t="s">
        <v>2616</v>
      </c>
      <c r="I7500" s="417" t="s">
        <v>1392</v>
      </c>
      <c r="J7500" s="417" t="s">
        <v>3998</v>
      </c>
      <c r="K7500" s="417" t="s">
        <v>17473</v>
      </c>
      <c r="L7500" s="417"/>
      <c r="M7500" s="417" t="s">
        <v>28840</v>
      </c>
    </row>
    <row r="7501" spans="1:13" x14ac:dyDescent="0.25">
      <c r="A7501" s="417" t="s">
        <v>3385</v>
      </c>
      <c r="B7501" s="417" t="s">
        <v>2627</v>
      </c>
      <c r="C7501" s="417" t="s">
        <v>17474</v>
      </c>
      <c r="D7501" s="417" t="s">
        <v>83</v>
      </c>
      <c r="E7501" s="423">
        <v>0</v>
      </c>
      <c r="F7501" s="423">
        <v>0</v>
      </c>
      <c r="G7501" s="422">
        <v>42280</v>
      </c>
      <c r="H7501" s="417" t="s">
        <v>2616</v>
      </c>
      <c r="I7501" s="417" t="s">
        <v>1392</v>
      </c>
      <c r="J7501" s="417" t="s">
        <v>3995</v>
      </c>
      <c r="K7501" s="417" t="s">
        <v>17475</v>
      </c>
      <c r="L7501" s="417"/>
      <c r="M7501" s="417" t="s">
        <v>28840</v>
      </c>
    </row>
    <row r="7502" spans="1:13" x14ac:dyDescent="0.25">
      <c r="A7502" s="417" t="s">
        <v>3385</v>
      </c>
      <c r="B7502" s="417" t="s">
        <v>2627</v>
      </c>
      <c r="C7502" s="417" t="s">
        <v>17476</v>
      </c>
      <c r="D7502" s="417" t="s">
        <v>88</v>
      </c>
      <c r="E7502" s="423">
        <v>6.3285577857392257</v>
      </c>
      <c r="F7502" s="423">
        <v>0.33550070823339401</v>
      </c>
      <c r="G7502" s="422">
        <v>24712.957776347121</v>
      </c>
      <c r="H7502" s="417" t="s">
        <v>2616</v>
      </c>
      <c r="I7502" s="417" t="s">
        <v>1392</v>
      </c>
      <c r="J7502" s="417" t="s">
        <v>3387</v>
      </c>
      <c r="K7502" s="417" t="s">
        <v>17477</v>
      </c>
      <c r="L7502" s="417"/>
      <c r="M7502" s="417" t="s">
        <v>28840</v>
      </c>
    </row>
    <row r="7503" spans="1:13" x14ac:dyDescent="0.25">
      <c r="A7503" s="417" t="s">
        <v>3385</v>
      </c>
      <c r="B7503" s="417" t="s">
        <v>2627</v>
      </c>
      <c r="C7503" s="417" t="s">
        <v>17478</v>
      </c>
      <c r="D7503" s="417" t="s">
        <v>88</v>
      </c>
      <c r="E7503" s="423">
        <v>8.2563161372553928</v>
      </c>
      <c r="F7503" s="423">
        <v>0.34470913137866083</v>
      </c>
      <c r="G7503" s="422">
        <v>295957.9538781828</v>
      </c>
      <c r="H7503" s="417" t="s">
        <v>2616</v>
      </c>
      <c r="I7503" s="417" t="s">
        <v>1392</v>
      </c>
      <c r="J7503" s="417" t="s">
        <v>3772</v>
      </c>
      <c r="K7503" s="417" t="s">
        <v>17479</v>
      </c>
      <c r="L7503" s="417"/>
      <c r="M7503" s="417" t="s">
        <v>28840</v>
      </c>
    </row>
    <row r="7504" spans="1:13" x14ac:dyDescent="0.25">
      <c r="A7504" s="417" t="s">
        <v>3385</v>
      </c>
      <c r="B7504" s="417" t="s">
        <v>2627</v>
      </c>
      <c r="C7504" s="417" t="s">
        <v>17480</v>
      </c>
      <c r="D7504" s="417" t="s">
        <v>83</v>
      </c>
      <c r="E7504" s="423">
        <v>750.11188947820676</v>
      </c>
      <c r="F7504" s="423">
        <v>12.46829</v>
      </c>
      <c r="G7504" s="422">
        <v>984152.00415952457</v>
      </c>
      <c r="H7504" s="417" t="s">
        <v>2616</v>
      </c>
      <c r="I7504" s="417" t="s">
        <v>1392</v>
      </c>
      <c r="J7504" s="417" t="s">
        <v>17481</v>
      </c>
      <c r="K7504" s="417" t="s">
        <v>17482</v>
      </c>
      <c r="L7504" s="417"/>
      <c r="M7504" s="417" t="s">
        <v>28840</v>
      </c>
    </row>
    <row r="7505" spans="1:13" x14ac:dyDescent="0.25">
      <c r="A7505" s="417" t="s">
        <v>3385</v>
      </c>
      <c r="B7505" s="417" t="s">
        <v>2627</v>
      </c>
      <c r="C7505" s="417" t="s">
        <v>17483</v>
      </c>
      <c r="D7505" s="417" t="s">
        <v>83</v>
      </c>
      <c r="E7505" s="423">
        <v>750.11188947820676</v>
      </c>
      <c r="F7505" s="423">
        <v>12.46829</v>
      </c>
      <c r="G7505" s="422">
        <v>980382.08415952441</v>
      </c>
      <c r="H7505" s="417" t="s">
        <v>2616</v>
      </c>
      <c r="I7505" s="417" t="s">
        <v>1392</v>
      </c>
      <c r="J7505" s="417" t="s">
        <v>3627</v>
      </c>
      <c r="K7505" s="417" t="s">
        <v>17484</v>
      </c>
      <c r="L7505" s="417"/>
      <c r="M7505" s="417" t="s">
        <v>28840</v>
      </c>
    </row>
    <row r="7506" spans="1:13" x14ac:dyDescent="0.25">
      <c r="A7506" s="417" t="s">
        <v>3385</v>
      </c>
      <c r="B7506" s="417" t="s">
        <v>2627</v>
      </c>
      <c r="C7506" s="417" t="s">
        <v>17485</v>
      </c>
      <c r="D7506" s="417" t="s">
        <v>563</v>
      </c>
      <c r="E7506" s="423">
        <v>7.347333431790152</v>
      </c>
      <c r="F7506" s="423">
        <v>3.5005328939108602</v>
      </c>
      <c r="G7506" s="422">
        <v>13077.22941257399</v>
      </c>
      <c r="H7506" s="417" t="s">
        <v>2616</v>
      </c>
      <c r="I7506" s="417" t="s">
        <v>1392</v>
      </c>
      <c r="J7506" s="417" t="s">
        <v>3798</v>
      </c>
      <c r="K7506" s="417" t="s">
        <v>17486</v>
      </c>
      <c r="L7506" s="417"/>
      <c r="M7506" s="417" t="s">
        <v>28840</v>
      </c>
    </row>
    <row r="7507" spans="1:13" x14ac:dyDescent="0.25">
      <c r="A7507" s="417" t="s">
        <v>3385</v>
      </c>
      <c r="B7507" s="417" t="s">
        <v>2627</v>
      </c>
      <c r="C7507" s="417" t="s">
        <v>17487</v>
      </c>
      <c r="D7507" s="417" t="s">
        <v>563</v>
      </c>
      <c r="E7507" s="423">
        <v>5.3575331172996181</v>
      </c>
      <c r="F7507" s="423">
        <v>2.9296733475871242</v>
      </c>
      <c r="G7507" s="422">
        <v>9732.9369948201966</v>
      </c>
      <c r="H7507" s="417" t="s">
        <v>2616</v>
      </c>
      <c r="I7507" s="417" t="s">
        <v>1392</v>
      </c>
      <c r="J7507" s="417" t="s">
        <v>3798</v>
      </c>
      <c r="K7507" s="417" t="s">
        <v>17488</v>
      </c>
      <c r="L7507" s="417"/>
      <c r="M7507" s="417" t="s">
        <v>28840</v>
      </c>
    </row>
    <row r="7508" spans="1:13" x14ac:dyDescent="0.25">
      <c r="A7508" s="417" t="s">
        <v>3385</v>
      </c>
      <c r="B7508" s="417" t="s">
        <v>2627</v>
      </c>
      <c r="C7508" s="417" t="s">
        <v>17489</v>
      </c>
      <c r="D7508" s="417" t="s">
        <v>88</v>
      </c>
      <c r="E7508" s="423">
        <v>0.45922102769843692</v>
      </c>
      <c r="F7508" s="423">
        <v>0.26710909435558378</v>
      </c>
      <c r="G7508" s="422">
        <v>829.65587007657928</v>
      </c>
      <c r="H7508" s="417" t="s">
        <v>2616</v>
      </c>
      <c r="I7508" s="417" t="s">
        <v>1392</v>
      </c>
      <c r="J7508" s="417" t="s">
        <v>3627</v>
      </c>
      <c r="K7508" s="417" t="s">
        <v>17490</v>
      </c>
      <c r="L7508" s="417"/>
      <c r="M7508" s="417" t="s">
        <v>28840</v>
      </c>
    </row>
    <row r="7509" spans="1:13" x14ac:dyDescent="0.25">
      <c r="A7509" s="417" t="s">
        <v>3385</v>
      </c>
      <c r="B7509" s="417" t="s">
        <v>2627</v>
      </c>
      <c r="C7509" s="417" t="s">
        <v>17491</v>
      </c>
      <c r="D7509" s="417" t="s">
        <v>88</v>
      </c>
      <c r="E7509" s="423">
        <v>0.45922102769843692</v>
      </c>
      <c r="F7509" s="423">
        <v>0.26710909435558378</v>
      </c>
      <c r="G7509" s="422">
        <v>803.9468300765792</v>
      </c>
      <c r="H7509" s="417" t="s">
        <v>2616</v>
      </c>
      <c r="I7509" s="417" t="s">
        <v>1392</v>
      </c>
      <c r="J7509" s="417" t="s">
        <v>3627</v>
      </c>
      <c r="K7509" s="417" t="s">
        <v>17492</v>
      </c>
      <c r="L7509" s="417"/>
      <c r="M7509" s="417" t="s">
        <v>28840</v>
      </c>
    </row>
    <row r="7510" spans="1:13" x14ac:dyDescent="0.25">
      <c r="A7510" s="417" t="s">
        <v>3385</v>
      </c>
      <c r="B7510" s="417" t="s">
        <v>2627</v>
      </c>
      <c r="C7510" s="417" t="s">
        <v>17493</v>
      </c>
      <c r="D7510" s="417" t="s">
        <v>563</v>
      </c>
      <c r="E7510" s="423">
        <v>5.998883389556724</v>
      </c>
      <c r="F7510" s="423">
        <v>3.6708785178836112</v>
      </c>
      <c r="G7510" s="422">
        <v>11203.86996186036</v>
      </c>
      <c r="H7510" s="417" t="s">
        <v>2616</v>
      </c>
      <c r="I7510" s="417" t="s">
        <v>1392</v>
      </c>
      <c r="J7510" s="417" t="s">
        <v>3798</v>
      </c>
      <c r="K7510" s="417" t="s">
        <v>17494</v>
      </c>
      <c r="L7510" s="417"/>
      <c r="M7510" s="417" t="s">
        <v>28840</v>
      </c>
    </row>
    <row r="7511" spans="1:13" x14ac:dyDescent="0.25">
      <c r="A7511" s="417" t="s">
        <v>3385</v>
      </c>
      <c r="B7511" s="417" t="s">
        <v>2627</v>
      </c>
      <c r="C7511" s="417" t="s">
        <v>17495</v>
      </c>
      <c r="D7511" s="417" t="s">
        <v>88</v>
      </c>
      <c r="E7511" s="423">
        <v>0.62015214164276666</v>
      </c>
      <c r="F7511" s="423">
        <v>0.34131637101956791</v>
      </c>
      <c r="G7511" s="422">
        <v>1113.6570722517449</v>
      </c>
      <c r="H7511" s="417" t="s">
        <v>2616</v>
      </c>
      <c r="I7511" s="417" t="s">
        <v>1392</v>
      </c>
      <c r="J7511" s="417" t="s">
        <v>11052</v>
      </c>
      <c r="K7511" s="417" t="s">
        <v>17496</v>
      </c>
      <c r="L7511" s="417"/>
      <c r="M7511" s="417" t="s">
        <v>28840</v>
      </c>
    </row>
    <row r="7512" spans="1:13" x14ac:dyDescent="0.25">
      <c r="A7512" s="417" t="s">
        <v>3385</v>
      </c>
      <c r="B7512" s="417" t="s">
        <v>2627</v>
      </c>
      <c r="C7512" s="417" t="s">
        <v>17497</v>
      </c>
      <c r="D7512" s="417" t="s">
        <v>88</v>
      </c>
      <c r="E7512" s="423">
        <v>0.62015214164276666</v>
      </c>
      <c r="F7512" s="423">
        <v>0.34131637101956791</v>
      </c>
      <c r="G7512" s="422">
        <v>1092.9090722517451</v>
      </c>
      <c r="H7512" s="417" t="s">
        <v>2616</v>
      </c>
      <c r="I7512" s="417" t="s">
        <v>1392</v>
      </c>
      <c r="J7512" s="417" t="s">
        <v>11052</v>
      </c>
      <c r="K7512" s="417" t="s">
        <v>17498</v>
      </c>
      <c r="L7512" s="417"/>
      <c r="M7512" s="417" t="s">
        <v>28840</v>
      </c>
    </row>
    <row r="7513" spans="1:13" x14ac:dyDescent="0.25">
      <c r="A7513" s="417" t="s">
        <v>3385</v>
      </c>
      <c r="B7513" s="417" t="s">
        <v>2627</v>
      </c>
      <c r="C7513" s="417" t="s">
        <v>17499</v>
      </c>
      <c r="D7513" s="417" t="s">
        <v>83</v>
      </c>
      <c r="E7513" s="423">
        <v>248.71159363957821</v>
      </c>
      <c r="F7513" s="423">
        <v>178.05031482208099</v>
      </c>
      <c r="G7513" s="422">
        <v>459730.68458383478</v>
      </c>
      <c r="H7513" s="417" t="s">
        <v>2616</v>
      </c>
      <c r="I7513" s="417" t="s">
        <v>1392</v>
      </c>
      <c r="J7513" s="417" t="s">
        <v>4016</v>
      </c>
      <c r="K7513" s="417" t="s">
        <v>17500</v>
      </c>
      <c r="L7513" s="417"/>
      <c r="M7513" s="417" t="s">
        <v>28840</v>
      </c>
    </row>
    <row r="7514" spans="1:13" x14ac:dyDescent="0.25">
      <c r="A7514" s="417" t="s">
        <v>3385</v>
      </c>
      <c r="B7514" s="417" t="s">
        <v>2627</v>
      </c>
      <c r="C7514" s="417" t="s">
        <v>17501</v>
      </c>
      <c r="D7514" s="417" t="s">
        <v>88</v>
      </c>
      <c r="E7514" s="423">
        <v>0.43200130942178311</v>
      </c>
      <c r="F7514" s="423">
        <v>0.28206419793383802</v>
      </c>
      <c r="G7514" s="422">
        <v>800.32619540140183</v>
      </c>
      <c r="H7514" s="417" t="s">
        <v>2616</v>
      </c>
      <c r="I7514" s="417" t="s">
        <v>1392</v>
      </c>
      <c r="J7514" s="417" t="s">
        <v>11052</v>
      </c>
      <c r="K7514" s="417" t="s">
        <v>17502</v>
      </c>
      <c r="L7514" s="417"/>
      <c r="M7514" s="417" t="s">
        <v>28840</v>
      </c>
    </row>
    <row r="7515" spans="1:13" x14ac:dyDescent="0.25">
      <c r="A7515" s="417" t="s">
        <v>3385</v>
      </c>
      <c r="B7515" s="417" t="s">
        <v>2627</v>
      </c>
      <c r="C7515" s="417" t="s">
        <v>17503</v>
      </c>
      <c r="D7515" s="417" t="s">
        <v>88</v>
      </c>
      <c r="E7515" s="423">
        <v>0.43200130942178311</v>
      </c>
      <c r="F7515" s="423">
        <v>0.28206419793383802</v>
      </c>
      <c r="G7515" s="422">
        <v>779.57836340140182</v>
      </c>
      <c r="H7515" s="417" t="s">
        <v>2616</v>
      </c>
      <c r="I7515" s="417" t="s">
        <v>1392</v>
      </c>
      <c r="J7515" s="417" t="s">
        <v>11052</v>
      </c>
      <c r="K7515" s="417" t="s">
        <v>17504</v>
      </c>
      <c r="L7515" s="417"/>
      <c r="M7515" s="417" t="s">
        <v>28840</v>
      </c>
    </row>
    <row r="7516" spans="1:13" x14ac:dyDescent="0.25">
      <c r="A7516" s="417" t="s">
        <v>3385</v>
      </c>
      <c r="B7516" s="417" t="s">
        <v>2437</v>
      </c>
      <c r="C7516" s="417" t="s">
        <v>17505</v>
      </c>
      <c r="D7516" s="417" t="s">
        <v>989</v>
      </c>
      <c r="E7516" s="423">
        <v>94685.3635665849</v>
      </c>
      <c r="F7516" s="423">
        <v>5678.493494391274</v>
      </c>
      <c r="G7516" s="422">
        <v>239396643.21216089</v>
      </c>
      <c r="H7516" s="417" t="s">
        <v>2616</v>
      </c>
      <c r="I7516" s="417" t="s">
        <v>1392</v>
      </c>
      <c r="J7516" s="417" t="s">
        <v>4167</v>
      </c>
      <c r="K7516" s="417" t="s">
        <v>17506</v>
      </c>
      <c r="L7516" s="417"/>
      <c r="M7516" s="417" t="s">
        <v>28840</v>
      </c>
    </row>
    <row r="7517" spans="1:13" x14ac:dyDescent="0.25">
      <c r="A7517" s="417" t="s">
        <v>3385</v>
      </c>
      <c r="B7517" s="417" t="s">
        <v>2437</v>
      </c>
      <c r="C7517" s="417" t="s">
        <v>17507</v>
      </c>
      <c r="D7517" s="417" t="s">
        <v>989</v>
      </c>
      <c r="E7517" s="423">
        <v>127618.6996570334</v>
      </c>
      <c r="F7517" s="423">
        <v>7760.47472435501</v>
      </c>
      <c r="G7517" s="422">
        <v>323458330.08943093</v>
      </c>
      <c r="H7517" s="417" t="s">
        <v>2616</v>
      </c>
      <c r="I7517" s="417" t="s">
        <v>1392</v>
      </c>
      <c r="J7517" s="417" t="s">
        <v>4167</v>
      </c>
      <c r="K7517" s="417" t="s">
        <v>17508</v>
      </c>
      <c r="L7517" s="417"/>
      <c r="M7517" s="417" t="s">
        <v>28840</v>
      </c>
    </row>
    <row r="7518" spans="1:13" x14ac:dyDescent="0.25">
      <c r="A7518" s="417" t="s">
        <v>3385</v>
      </c>
      <c r="B7518" s="417" t="s">
        <v>2437</v>
      </c>
      <c r="C7518" s="417" t="s">
        <v>17509</v>
      </c>
      <c r="D7518" s="417" t="s">
        <v>989</v>
      </c>
      <c r="E7518" s="423">
        <v>140130.67980571551</v>
      </c>
      <c r="F7518" s="423">
        <v>8228.464778483165</v>
      </c>
      <c r="G7518" s="422">
        <v>356066364.83290583</v>
      </c>
      <c r="H7518" s="417" t="s">
        <v>2616</v>
      </c>
      <c r="I7518" s="417" t="s">
        <v>1392</v>
      </c>
      <c r="J7518" s="417" t="s">
        <v>4167</v>
      </c>
      <c r="K7518" s="417" t="s">
        <v>17510</v>
      </c>
      <c r="L7518" s="417"/>
      <c r="M7518" s="417" t="s">
        <v>28840</v>
      </c>
    </row>
    <row r="7519" spans="1:13" x14ac:dyDescent="0.25">
      <c r="A7519" s="417" t="s">
        <v>3385</v>
      </c>
      <c r="B7519" s="417" t="s">
        <v>2437</v>
      </c>
      <c r="C7519" s="417" t="s">
        <v>17511</v>
      </c>
      <c r="D7519" s="417" t="s">
        <v>989</v>
      </c>
      <c r="E7519" s="423">
        <v>102476.4765206805</v>
      </c>
      <c r="F7519" s="423">
        <v>5963.0924289040586</v>
      </c>
      <c r="G7519" s="422">
        <v>263584110.31796721</v>
      </c>
      <c r="H7519" s="417" t="s">
        <v>2616</v>
      </c>
      <c r="I7519" s="417" t="s">
        <v>1392</v>
      </c>
      <c r="J7519" s="417" t="s">
        <v>4167</v>
      </c>
      <c r="K7519" s="417" t="s">
        <v>17512</v>
      </c>
      <c r="L7519" s="417"/>
      <c r="M7519" s="417" t="s">
        <v>28840</v>
      </c>
    </row>
    <row r="7520" spans="1:13" x14ac:dyDescent="0.25">
      <c r="A7520" s="417" t="s">
        <v>3385</v>
      </c>
      <c r="B7520" s="417" t="s">
        <v>2437</v>
      </c>
      <c r="C7520" s="417" t="s">
        <v>17513</v>
      </c>
      <c r="D7520" s="417" t="s">
        <v>989</v>
      </c>
      <c r="E7520" s="423">
        <v>136925.80571461501</v>
      </c>
      <c r="F7520" s="423">
        <v>8103.1856568465664</v>
      </c>
      <c r="G7520" s="422">
        <v>352276776.22532117</v>
      </c>
      <c r="H7520" s="417" t="s">
        <v>2616</v>
      </c>
      <c r="I7520" s="417" t="s">
        <v>1392</v>
      </c>
      <c r="J7520" s="417" t="s">
        <v>4167</v>
      </c>
      <c r="K7520" s="417" t="s">
        <v>17514</v>
      </c>
      <c r="L7520" s="417"/>
      <c r="M7520" s="417" t="s">
        <v>28840</v>
      </c>
    </row>
    <row r="7521" spans="1:13" x14ac:dyDescent="0.25">
      <c r="A7521" s="417" t="s">
        <v>3385</v>
      </c>
      <c r="B7521" s="417" t="s">
        <v>2437</v>
      </c>
      <c r="C7521" s="417" t="s">
        <v>17515</v>
      </c>
      <c r="D7521" s="417" t="s">
        <v>989</v>
      </c>
      <c r="E7521" s="423">
        <v>66417.886189339872</v>
      </c>
      <c r="F7521" s="423">
        <v>3841.3630691646049</v>
      </c>
      <c r="G7521" s="422">
        <v>171905578.65382791</v>
      </c>
      <c r="H7521" s="417" t="s">
        <v>2616</v>
      </c>
      <c r="I7521" s="417" t="s">
        <v>1392</v>
      </c>
      <c r="J7521" s="417" t="s">
        <v>4167</v>
      </c>
      <c r="K7521" s="417" t="s">
        <v>17516</v>
      </c>
      <c r="L7521" s="417"/>
      <c r="M7521" s="417" t="s">
        <v>28840</v>
      </c>
    </row>
    <row r="7522" spans="1:13" x14ac:dyDescent="0.25">
      <c r="A7522" s="417" t="s">
        <v>3385</v>
      </c>
      <c r="B7522" s="417" t="s">
        <v>2437</v>
      </c>
      <c r="C7522" s="417" t="s">
        <v>17517</v>
      </c>
      <c r="D7522" s="417" t="s">
        <v>989</v>
      </c>
      <c r="E7522" s="423">
        <v>172678.7907187994</v>
      </c>
      <c r="F7522" s="423">
        <v>9488.6046666636466</v>
      </c>
      <c r="G7522" s="422">
        <v>466429089.85591739</v>
      </c>
      <c r="H7522" s="417" t="s">
        <v>2616</v>
      </c>
      <c r="I7522" s="417" t="s">
        <v>1392</v>
      </c>
      <c r="J7522" s="417" t="s">
        <v>4167</v>
      </c>
      <c r="K7522" s="417" t="s">
        <v>17518</v>
      </c>
      <c r="L7522" s="417"/>
      <c r="M7522" s="417" t="s">
        <v>28840</v>
      </c>
    </row>
    <row r="7523" spans="1:13" x14ac:dyDescent="0.25">
      <c r="A7523" s="417" t="s">
        <v>3385</v>
      </c>
      <c r="B7523" s="417" t="s">
        <v>2437</v>
      </c>
      <c r="C7523" s="417" t="s">
        <v>17519</v>
      </c>
      <c r="D7523" s="417" t="s">
        <v>989</v>
      </c>
      <c r="E7523" s="423">
        <v>126436.3674073912</v>
      </c>
      <c r="F7523" s="423">
        <v>6891.8669915967939</v>
      </c>
      <c r="G7523" s="422">
        <v>344863088.0150001</v>
      </c>
      <c r="H7523" s="417" t="s">
        <v>2616</v>
      </c>
      <c r="I7523" s="417" t="s">
        <v>1392</v>
      </c>
      <c r="J7523" s="417" t="s">
        <v>4167</v>
      </c>
      <c r="K7523" s="417" t="s">
        <v>17520</v>
      </c>
      <c r="L7523" s="417"/>
      <c r="M7523" s="417" t="s">
        <v>28840</v>
      </c>
    </row>
    <row r="7524" spans="1:13" x14ac:dyDescent="0.25">
      <c r="A7524" s="417" t="s">
        <v>3385</v>
      </c>
      <c r="B7524" s="417" t="s">
        <v>2437</v>
      </c>
      <c r="C7524" s="417" t="s">
        <v>17521</v>
      </c>
      <c r="D7524" s="417" t="s">
        <v>989</v>
      </c>
      <c r="E7524" s="423">
        <v>171494.39598465691</v>
      </c>
      <c r="F7524" s="423">
        <v>9428.1899033254358</v>
      </c>
      <c r="G7524" s="422">
        <v>468399650.98785818</v>
      </c>
      <c r="H7524" s="417" t="s">
        <v>2616</v>
      </c>
      <c r="I7524" s="417" t="s">
        <v>1392</v>
      </c>
      <c r="J7524" s="417" t="s">
        <v>4167</v>
      </c>
      <c r="K7524" s="417" t="s">
        <v>17522</v>
      </c>
      <c r="L7524" s="417"/>
      <c r="M7524" s="417" t="s">
        <v>28840</v>
      </c>
    </row>
    <row r="7525" spans="1:13" x14ac:dyDescent="0.25">
      <c r="A7525" s="417" t="s">
        <v>3385</v>
      </c>
      <c r="B7525" s="417" t="s">
        <v>2437</v>
      </c>
      <c r="C7525" s="417" t="s">
        <v>17523</v>
      </c>
      <c r="D7525" s="417" t="s">
        <v>989</v>
      </c>
      <c r="E7525" s="423">
        <v>82210.267871980861</v>
      </c>
      <c r="F7525" s="423">
        <v>4452.2918552651172</v>
      </c>
      <c r="G7525" s="422">
        <v>225346225.18912521</v>
      </c>
      <c r="H7525" s="417" t="s">
        <v>2616</v>
      </c>
      <c r="I7525" s="417" t="s">
        <v>1392</v>
      </c>
      <c r="J7525" s="417" t="s">
        <v>4167</v>
      </c>
      <c r="K7525" s="417" t="s">
        <v>17524</v>
      </c>
      <c r="L7525" s="417"/>
      <c r="M7525" s="417" t="s">
        <v>28840</v>
      </c>
    </row>
    <row r="7526" spans="1:13" x14ac:dyDescent="0.25">
      <c r="A7526" s="417" t="s">
        <v>3385</v>
      </c>
      <c r="B7526" s="417" t="s">
        <v>2437</v>
      </c>
      <c r="C7526" s="417" t="s">
        <v>17525</v>
      </c>
      <c r="D7526" s="417" t="s">
        <v>989</v>
      </c>
      <c r="E7526" s="423">
        <v>157303.53021351481</v>
      </c>
      <c r="F7526" s="423">
        <v>9097.8776171559475</v>
      </c>
      <c r="G7526" s="422">
        <v>444846826.15873271</v>
      </c>
      <c r="H7526" s="417" t="s">
        <v>2616</v>
      </c>
      <c r="I7526" s="417" t="s">
        <v>1392</v>
      </c>
      <c r="J7526" s="417" t="s">
        <v>4167</v>
      </c>
      <c r="K7526" s="417" t="s">
        <v>17526</v>
      </c>
      <c r="L7526" s="417"/>
      <c r="M7526" s="417" t="s">
        <v>28840</v>
      </c>
    </row>
    <row r="7527" spans="1:13" x14ac:dyDescent="0.25">
      <c r="A7527" s="417" t="s">
        <v>3385</v>
      </c>
      <c r="B7527" s="417" t="s">
        <v>2437</v>
      </c>
      <c r="C7527" s="417" t="s">
        <v>17527</v>
      </c>
      <c r="D7527" s="417" t="s">
        <v>989</v>
      </c>
      <c r="E7527" s="423">
        <v>115190.3487103603</v>
      </c>
      <c r="F7527" s="423">
        <v>6608.2392087314374</v>
      </c>
      <c r="G7527" s="422">
        <v>329655919.49436438</v>
      </c>
      <c r="H7527" s="417" t="s">
        <v>2616</v>
      </c>
      <c r="I7527" s="417" t="s">
        <v>1392</v>
      </c>
      <c r="J7527" s="417" t="s">
        <v>4167</v>
      </c>
      <c r="K7527" s="417" t="s">
        <v>17528</v>
      </c>
      <c r="L7527" s="417"/>
      <c r="M7527" s="417" t="s">
        <v>28840</v>
      </c>
    </row>
    <row r="7528" spans="1:13" x14ac:dyDescent="0.25">
      <c r="A7528" s="417" t="s">
        <v>3385</v>
      </c>
      <c r="B7528" s="417" t="s">
        <v>2437</v>
      </c>
      <c r="C7528" s="417" t="s">
        <v>17529</v>
      </c>
      <c r="D7528" s="417" t="s">
        <v>989</v>
      </c>
      <c r="E7528" s="423">
        <v>155836.16885461941</v>
      </c>
      <c r="F7528" s="423">
        <v>9028.4344685292454</v>
      </c>
      <c r="G7528" s="422">
        <v>446115191.57320148</v>
      </c>
      <c r="H7528" s="417" t="s">
        <v>2616</v>
      </c>
      <c r="I7528" s="417" t="s">
        <v>1392</v>
      </c>
      <c r="J7528" s="417" t="s">
        <v>4167</v>
      </c>
      <c r="K7528" s="417" t="s">
        <v>17530</v>
      </c>
      <c r="L7528" s="417"/>
      <c r="M7528" s="417" t="s">
        <v>28840</v>
      </c>
    </row>
    <row r="7529" spans="1:13" x14ac:dyDescent="0.25">
      <c r="A7529" s="417" t="s">
        <v>3385</v>
      </c>
      <c r="B7529" s="417" t="s">
        <v>2437</v>
      </c>
      <c r="C7529" s="417" t="s">
        <v>17531</v>
      </c>
      <c r="D7529" s="417" t="s">
        <v>989</v>
      </c>
      <c r="E7529" s="423">
        <v>74967.08562727028</v>
      </c>
      <c r="F7529" s="423">
        <v>4269.6994148722142</v>
      </c>
      <c r="G7529" s="422">
        <v>215496906.04718119</v>
      </c>
      <c r="H7529" s="417" t="s">
        <v>2616</v>
      </c>
      <c r="I7529" s="417" t="s">
        <v>1392</v>
      </c>
      <c r="J7529" s="417" t="s">
        <v>4167</v>
      </c>
      <c r="K7529" s="417" t="s">
        <v>17532</v>
      </c>
      <c r="L7529" s="417"/>
      <c r="M7529" s="417" t="s">
        <v>28840</v>
      </c>
    </row>
    <row r="7530" spans="1:13" x14ac:dyDescent="0.25">
      <c r="A7530" s="417" t="s">
        <v>3385</v>
      </c>
      <c r="B7530" s="417" t="s">
        <v>2437</v>
      </c>
      <c r="C7530" s="417" t="s">
        <v>17533</v>
      </c>
      <c r="D7530" s="417" t="s">
        <v>989</v>
      </c>
      <c r="E7530" s="423">
        <v>166848.65920430649</v>
      </c>
      <c r="F7530" s="423">
        <v>9664.811557375564</v>
      </c>
      <c r="G7530" s="422">
        <v>466419728.33554882</v>
      </c>
      <c r="H7530" s="417" t="s">
        <v>2616</v>
      </c>
      <c r="I7530" s="417" t="s">
        <v>1392</v>
      </c>
      <c r="J7530" s="417" t="s">
        <v>4167</v>
      </c>
      <c r="K7530" s="417" t="s">
        <v>17534</v>
      </c>
      <c r="L7530" s="417"/>
      <c r="M7530" s="417" t="s">
        <v>28840</v>
      </c>
    </row>
    <row r="7531" spans="1:13" x14ac:dyDescent="0.25">
      <c r="A7531" s="417" t="s">
        <v>3385</v>
      </c>
      <c r="B7531" s="417" t="s">
        <v>2437</v>
      </c>
      <c r="C7531" s="417" t="s">
        <v>17535</v>
      </c>
      <c r="D7531" s="417" t="s">
        <v>989</v>
      </c>
      <c r="E7531" s="423">
        <v>122173.83471824481</v>
      </c>
      <c r="F7531" s="423">
        <v>7026.8685710204154</v>
      </c>
      <c r="G7531" s="422">
        <v>345205693.05125648</v>
      </c>
      <c r="H7531" s="417" t="s">
        <v>2616</v>
      </c>
      <c r="I7531" s="417" t="s">
        <v>1392</v>
      </c>
      <c r="J7531" s="417" t="s">
        <v>4167</v>
      </c>
      <c r="K7531" s="417" t="s">
        <v>17536</v>
      </c>
      <c r="L7531" s="417"/>
      <c r="M7531" s="417" t="s">
        <v>28840</v>
      </c>
    </row>
    <row r="7532" spans="1:13" x14ac:dyDescent="0.25">
      <c r="A7532" s="417" t="s">
        <v>3385</v>
      </c>
      <c r="B7532" s="417" t="s">
        <v>2437</v>
      </c>
      <c r="C7532" s="417" t="s">
        <v>17537</v>
      </c>
      <c r="D7532" s="417" t="s">
        <v>989</v>
      </c>
      <c r="E7532" s="423">
        <v>165460.11990880291</v>
      </c>
      <c r="F7532" s="423">
        <v>9597.9513472917224</v>
      </c>
      <c r="G7532" s="422">
        <v>467856733.21755952</v>
      </c>
      <c r="H7532" s="417" t="s">
        <v>2616</v>
      </c>
      <c r="I7532" s="417" t="s">
        <v>1392</v>
      </c>
      <c r="J7532" s="417" t="s">
        <v>4167</v>
      </c>
      <c r="K7532" s="417" t="s">
        <v>17538</v>
      </c>
      <c r="L7532" s="417"/>
      <c r="M7532" s="417" t="s">
        <v>28840</v>
      </c>
    </row>
    <row r="7533" spans="1:13" x14ac:dyDescent="0.25">
      <c r="A7533" s="417" t="s">
        <v>3385</v>
      </c>
      <c r="B7533" s="417" t="s">
        <v>2437</v>
      </c>
      <c r="C7533" s="417" t="s">
        <v>17539</v>
      </c>
      <c r="D7533" s="417" t="s">
        <v>989</v>
      </c>
      <c r="E7533" s="423">
        <v>79538.494412302418</v>
      </c>
      <c r="F7533" s="423">
        <v>4541.6274635897398</v>
      </c>
      <c r="G7533" s="422">
        <v>225807626.25920531</v>
      </c>
      <c r="H7533" s="417" t="s">
        <v>2616</v>
      </c>
      <c r="I7533" s="417" t="s">
        <v>1392</v>
      </c>
      <c r="J7533" s="417" t="s">
        <v>4167</v>
      </c>
      <c r="K7533" s="417" t="s">
        <v>17540</v>
      </c>
      <c r="L7533" s="417"/>
      <c r="M7533" s="417" t="s">
        <v>28840</v>
      </c>
    </row>
    <row r="7534" spans="1:13" x14ac:dyDescent="0.25">
      <c r="A7534" s="417" t="s">
        <v>3385</v>
      </c>
      <c r="B7534" s="417" t="s">
        <v>2437</v>
      </c>
      <c r="C7534" s="417" t="s">
        <v>17541</v>
      </c>
      <c r="D7534" s="417" t="s">
        <v>989</v>
      </c>
      <c r="E7534" s="423">
        <v>101021.1564017285</v>
      </c>
      <c r="F7534" s="423">
        <v>6744.6490738156899</v>
      </c>
      <c r="G7534" s="422">
        <v>223306052.1552268</v>
      </c>
      <c r="H7534" s="417" t="s">
        <v>2616</v>
      </c>
      <c r="I7534" s="417" t="s">
        <v>1392</v>
      </c>
      <c r="J7534" s="417" t="s">
        <v>4167</v>
      </c>
      <c r="K7534" s="417" t="s">
        <v>17542</v>
      </c>
      <c r="L7534" s="417"/>
      <c r="M7534" s="417" t="s">
        <v>28840</v>
      </c>
    </row>
    <row r="7535" spans="1:13" x14ac:dyDescent="0.25">
      <c r="A7535" s="417" t="s">
        <v>3385</v>
      </c>
      <c r="B7535" s="417" t="s">
        <v>2437</v>
      </c>
      <c r="C7535" s="417" t="s">
        <v>17543</v>
      </c>
      <c r="D7535" s="417" t="s">
        <v>989</v>
      </c>
      <c r="E7535" s="423">
        <v>100699.0381503463</v>
      </c>
      <c r="F7535" s="423">
        <v>6736.4068607704139</v>
      </c>
      <c r="G7535" s="422">
        <v>223007270.75290111</v>
      </c>
      <c r="H7535" s="417" t="s">
        <v>2616</v>
      </c>
      <c r="I7535" s="417" t="s">
        <v>1392</v>
      </c>
      <c r="J7535" s="417" t="s">
        <v>4167</v>
      </c>
      <c r="K7535" s="417" t="s">
        <v>17544</v>
      </c>
      <c r="L7535" s="417"/>
      <c r="M7535" s="417" t="s">
        <v>28840</v>
      </c>
    </row>
    <row r="7536" spans="1:13" x14ac:dyDescent="0.25">
      <c r="A7536" s="417" t="s">
        <v>3385</v>
      </c>
      <c r="B7536" s="417" t="s">
        <v>2437</v>
      </c>
      <c r="C7536" s="417" t="s">
        <v>17545</v>
      </c>
      <c r="D7536" s="417" t="s">
        <v>989</v>
      </c>
      <c r="E7536" s="423">
        <v>99258.010344259354</v>
      </c>
      <c r="F7536" s="423">
        <v>6731.1587638671626</v>
      </c>
      <c r="G7536" s="422">
        <v>216483787.078289</v>
      </c>
      <c r="H7536" s="417" t="s">
        <v>2616</v>
      </c>
      <c r="I7536" s="417" t="s">
        <v>1392</v>
      </c>
      <c r="J7536" s="417" t="s">
        <v>4167</v>
      </c>
      <c r="K7536" s="417" t="s">
        <v>17546</v>
      </c>
      <c r="L7536" s="417"/>
      <c r="M7536" s="417" t="s">
        <v>28840</v>
      </c>
    </row>
    <row r="7537" spans="1:13" x14ac:dyDescent="0.25">
      <c r="A7537" s="417" t="s">
        <v>3385</v>
      </c>
      <c r="B7537" s="417" t="s">
        <v>2437</v>
      </c>
      <c r="C7537" s="417" t="s">
        <v>17547</v>
      </c>
      <c r="D7537" s="417" t="s">
        <v>989</v>
      </c>
      <c r="E7537" s="423">
        <v>99039.740820343941</v>
      </c>
      <c r="F7537" s="423">
        <v>6726.1963801215315</v>
      </c>
      <c r="G7537" s="422">
        <v>216398668.852613</v>
      </c>
      <c r="H7537" s="417" t="s">
        <v>2616</v>
      </c>
      <c r="I7537" s="417" t="s">
        <v>1392</v>
      </c>
      <c r="J7537" s="417" t="s">
        <v>4167</v>
      </c>
      <c r="K7537" s="417" t="s">
        <v>17548</v>
      </c>
      <c r="L7537" s="417"/>
      <c r="M7537" s="417" t="s">
        <v>28840</v>
      </c>
    </row>
    <row r="7538" spans="1:13" x14ac:dyDescent="0.25">
      <c r="A7538" s="417" t="s">
        <v>3385</v>
      </c>
      <c r="B7538" s="417" t="s">
        <v>2437</v>
      </c>
      <c r="C7538" s="417" t="s">
        <v>17549</v>
      </c>
      <c r="D7538" s="417" t="s">
        <v>989</v>
      </c>
      <c r="E7538" s="423">
        <v>77883.732890761981</v>
      </c>
      <c r="F7538" s="423">
        <v>5105.7374666419419</v>
      </c>
      <c r="G7538" s="422">
        <v>170715470.8415412</v>
      </c>
      <c r="H7538" s="417" t="s">
        <v>2616</v>
      </c>
      <c r="I7538" s="417" t="s">
        <v>1392</v>
      </c>
      <c r="J7538" s="417" t="s">
        <v>4167</v>
      </c>
      <c r="K7538" s="417" t="s">
        <v>17550</v>
      </c>
      <c r="L7538" s="417"/>
      <c r="M7538" s="417" t="s">
        <v>28840</v>
      </c>
    </row>
    <row r="7539" spans="1:13" x14ac:dyDescent="0.25">
      <c r="A7539" s="417" t="s">
        <v>3385</v>
      </c>
      <c r="B7539" s="417" t="s">
        <v>2437</v>
      </c>
      <c r="C7539" s="417" t="s">
        <v>17551</v>
      </c>
      <c r="D7539" s="417" t="s">
        <v>989</v>
      </c>
      <c r="E7539" s="423">
        <v>77583.80247784454</v>
      </c>
      <c r="F7539" s="423">
        <v>5097.895358988254</v>
      </c>
      <c r="G7539" s="422">
        <v>170394113.82721299</v>
      </c>
      <c r="H7539" s="417" t="s">
        <v>2616</v>
      </c>
      <c r="I7539" s="417" t="s">
        <v>1392</v>
      </c>
      <c r="J7539" s="417" t="s">
        <v>4167</v>
      </c>
      <c r="K7539" s="417" t="s">
        <v>17552</v>
      </c>
      <c r="L7539" s="417"/>
      <c r="M7539" s="417" t="s">
        <v>28840</v>
      </c>
    </row>
    <row r="7540" spans="1:13" x14ac:dyDescent="0.25">
      <c r="A7540" s="417" t="s">
        <v>3385</v>
      </c>
      <c r="B7540" s="417" t="s">
        <v>2437</v>
      </c>
      <c r="C7540" s="417" t="s">
        <v>17553</v>
      </c>
      <c r="D7540" s="417" t="s">
        <v>989</v>
      </c>
      <c r="E7540" s="423">
        <v>71309.309251482322</v>
      </c>
      <c r="F7540" s="423">
        <v>4826.6274859577006</v>
      </c>
      <c r="G7540" s="422">
        <v>156925257.37577429</v>
      </c>
      <c r="H7540" s="417" t="s">
        <v>2616</v>
      </c>
      <c r="I7540" s="417" t="s">
        <v>1392</v>
      </c>
      <c r="J7540" s="417" t="s">
        <v>4167</v>
      </c>
      <c r="K7540" s="417" t="s">
        <v>17554</v>
      </c>
      <c r="L7540" s="417"/>
      <c r="M7540" s="417" t="s">
        <v>28840</v>
      </c>
    </row>
    <row r="7541" spans="1:13" x14ac:dyDescent="0.25">
      <c r="A7541" s="417" t="s">
        <v>3385</v>
      </c>
      <c r="B7541" s="417" t="s">
        <v>2437</v>
      </c>
      <c r="C7541" s="417" t="s">
        <v>17555</v>
      </c>
      <c r="D7541" s="417" t="s">
        <v>989</v>
      </c>
      <c r="E7541" s="423">
        <v>71168.098830880001</v>
      </c>
      <c r="F7541" s="423">
        <v>4823.3901243616829</v>
      </c>
      <c r="G7541" s="422">
        <v>156875837.8954708</v>
      </c>
      <c r="H7541" s="417" t="s">
        <v>2616</v>
      </c>
      <c r="I7541" s="417" t="s">
        <v>1392</v>
      </c>
      <c r="J7541" s="417" t="s">
        <v>4167</v>
      </c>
      <c r="K7541" s="417" t="s">
        <v>17556</v>
      </c>
      <c r="L7541" s="417"/>
      <c r="M7541" s="417" t="s">
        <v>28840</v>
      </c>
    </row>
    <row r="7542" spans="1:13" x14ac:dyDescent="0.25">
      <c r="A7542" s="417" t="s">
        <v>3385</v>
      </c>
      <c r="B7542" s="417" t="s">
        <v>2437</v>
      </c>
      <c r="C7542" s="417" t="s">
        <v>17557</v>
      </c>
      <c r="D7542" s="417" t="s">
        <v>989</v>
      </c>
      <c r="E7542" s="423">
        <v>96533.512477810262</v>
      </c>
      <c r="F7542" s="423">
        <v>6638.6198824383118</v>
      </c>
      <c r="G7542" s="422">
        <v>215338395.44089201</v>
      </c>
      <c r="H7542" s="417" t="s">
        <v>2616</v>
      </c>
      <c r="I7542" s="417" t="s">
        <v>1392</v>
      </c>
      <c r="J7542" s="417" t="s">
        <v>4167</v>
      </c>
      <c r="K7542" s="417" t="s">
        <v>17558</v>
      </c>
      <c r="L7542" s="417"/>
      <c r="M7542" s="417" t="s">
        <v>28840</v>
      </c>
    </row>
    <row r="7543" spans="1:13" x14ac:dyDescent="0.25">
      <c r="A7543" s="417" t="s">
        <v>3385</v>
      </c>
      <c r="B7543" s="417" t="s">
        <v>2437</v>
      </c>
      <c r="C7543" s="417" t="s">
        <v>17559</v>
      </c>
      <c r="D7543" s="417" t="s">
        <v>989</v>
      </c>
      <c r="E7543" s="423">
        <v>96320.039756672268</v>
      </c>
      <c r="F7543" s="423">
        <v>6633.4563581116354</v>
      </c>
      <c r="G7543" s="422">
        <v>215210052.22898009</v>
      </c>
      <c r="H7543" s="417" t="s">
        <v>2616</v>
      </c>
      <c r="I7543" s="417" t="s">
        <v>1392</v>
      </c>
      <c r="J7543" s="417" t="s">
        <v>4167</v>
      </c>
      <c r="K7543" s="417" t="s">
        <v>17560</v>
      </c>
      <c r="L7543" s="417"/>
      <c r="M7543" s="417" t="s">
        <v>28840</v>
      </c>
    </row>
    <row r="7544" spans="1:13" x14ac:dyDescent="0.25">
      <c r="A7544" s="417" t="s">
        <v>3385</v>
      </c>
      <c r="B7544" s="417" t="s">
        <v>2437</v>
      </c>
      <c r="C7544" s="417" t="s">
        <v>17561</v>
      </c>
      <c r="D7544" s="417" t="s">
        <v>989</v>
      </c>
      <c r="E7544" s="423">
        <v>47014.270479618797</v>
      </c>
      <c r="F7544" s="423">
        <v>3136.7409120985999</v>
      </c>
      <c r="G7544" s="422">
        <v>103274013.9093076</v>
      </c>
      <c r="H7544" s="417" t="s">
        <v>2616</v>
      </c>
      <c r="I7544" s="417" t="s">
        <v>1392</v>
      </c>
      <c r="J7544" s="417" t="s">
        <v>4167</v>
      </c>
      <c r="K7544" s="417" t="s">
        <v>17562</v>
      </c>
      <c r="L7544" s="417"/>
      <c r="M7544" s="417" t="s">
        <v>28840</v>
      </c>
    </row>
    <row r="7545" spans="1:13" x14ac:dyDescent="0.25">
      <c r="A7545" s="417" t="s">
        <v>3385</v>
      </c>
      <c r="B7545" s="417" t="s">
        <v>2437</v>
      </c>
      <c r="C7545" s="417" t="s">
        <v>17563</v>
      </c>
      <c r="D7545" s="417" t="s">
        <v>989</v>
      </c>
      <c r="E7545" s="423">
        <v>46911.188403176158</v>
      </c>
      <c r="F7545" s="423">
        <v>3134.315861580521</v>
      </c>
      <c r="G7545" s="422">
        <v>103221789.4170258</v>
      </c>
      <c r="H7545" s="417" t="s">
        <v>2616</v>
      </c>
      <c r="I7545" s="417" t="s">
        <v>1392</v>
      </c>
      <c r="J7545" s="417" t="s">
        <v>4167</v>
      </c>
      <c r="K7545" s="417" t="s">
        <v>17564</v>
      </c>
      <c r="L7545" s="417"/>
      <c r="M7545" s="417" t="s">
        <v>28840</v>
      </c>
    </row>
    <row r="7546" spans="1:13" x14ac:dyDescent="0.25">
      <c r="A7546" s="417" t="s">
        <v>3385</v>
      </c>
      <c r="B7546" s="417" t="s">
        <v>2437</v>
      </c>
      <c r="C7546" s="417" t="s">
        <v>17565</v>
      </c>
      <c r="D7546" s="417" t="s">
        <v>989</v>
      </c>
      <c r="E7546" s="423">
        <v>98088.464573562611</v>
      </c>
      <c r="F7546" s="423">
        <v>6655.9518695539819</v>
      </c>
      <c r="G7546" s="422">
        <v>223201465.0651868</v>
      </c>
      <c r="H7546" s="417" t="s">
        <v>2616</v>
      </c>
      <c r="I7546" s="417" t="s">
        <v>1392</v>
      </c>
      <c r="J7546" s="417" t="s">
        <v>4167</v>
      </c>
      <c r="K7546" s="417" t="s">
        <v>17566</v>
      </c>
      <c r="L7546" s="417"/>
      <c r="M7546" s="417" t="s">
        <v>28840</v>
      </c>
    </row>
    <row r="7547" spans="1:13" x14ac:dyDescent="0.25">
      <c r="A7547" s="417" t="s">
        <v>3385</v>
      </c>
      <c r="B7547" s="417" t="s">
        <v>2437</v>
      </c>
      <c r="C7547" s="417" t="s">
        <v>17567</v>
      </c>
      <c r="D7547" s="417" t="s">
        <v>989</v>
      </c>
      <c r="E7547" s="423">
        <v>96773.209946586692</v>
      </c>
      <c r="F7547" s="423">
        <v>6654.7400392400423</v>
      </c>
      <c r="G7547" s="422">
        <v>216895045.41219109</v>
      </c>
      <c r="H7547" s="417" t="s">
        <v>2616</v>
      </c>
      <c r="I7547" s="417" t="s">
        <v>1392</v>
      </c>
      <c r="J7547" s="417" t="s">
        <v>4167</v>
      </c>
      <c r="K7547" s="417" t="s">
        <v>17568</v>
      </c>
      <c r="L7547" s="417"/>
      <c r="M7547" s="417" t="s">
        <v>28840</v>
      </c>
    </row>
    <row r="7548" spans="1:13" x14ac:dyDescent="0.25">
      <c r="A7548" s="417" t="s">
        <v>3385</v>
      </c>
      <c r="B7548" s="417" t="s">
        <v>2437</v>
      </c>
      <c r="C7548" s="417" t="s">
        <v>17569</v>
      </c>
      <c r="D7548" s="417" t="s">
        <v>989</v>
      </c>
      <c r="E7548" s="423">
        <v>75069.615531399482</v>
      </c>
      <c r="F7548" s="423">
        <v>5019.0793471043917</v>
      </c>
      <c r="G7548" s="422">
        <v>170538008.74535009</v>
      </c>
      <c r="H7548" s="417" t="s">
        <v>2616</v>
      </c>
      <c r="I7548" s="417" t="s">
        <v>1392</v>
      </c>
      <c r="J7548" s="417" t="s">
        <v>4167</v>
      </c>
      <c r="K7548" s="417" t="s">
        <v>17570</v>
      </c>
      <c r="L7548" s="417"/>
      <c r="M7548" s="417" t="s">
        <v>28840</v>
      </c>
    </row>
    <row r="7549" spans="1:13" x14ac:dyDescent="0.25">
      <c r="A7549" s="417" t="s">
        <v>3385</v>
      </c>
      <c r="B7549" s="417" t="s">
        <v>2437</v>
      </c>
      <c r="C7549" s="417" t="s">
        <v>17571</v>
      </c>
      <c r="D7549" s="417" t="s">
        <v>989</v>
      </c>
      <c r="E7549" s="423">
        <v>70235.325986676296</v>
      </c>
      <c r="F7549" s="423">
        <v>4796.2515013075772</v>
      </c>
      <c r="G7549" s="422">
        <v>159687556.4336516</v>
      </c>
      <c r="H7549" s="417" t="s">
        <v>2616</v>
      </c>
      <c r="I7549" s="417" t="s">
        <v>1392</v>
      </c>
      <c r="J7549" s="417" t="s">
        <v>4167</v>
      </c>
      <c r="K7549" s="417" t="s">
        <v>17572</v>
      </c>
      <c r="L7549" s="417"/>
      <c r="M7549" s="417" t="s">
        <v>28840</v>
      </c>
    </row>
    <row r="7550" spans="1:13" x14ac:dyDescent="0.25">
      <c r="A7550" s="417" t="s">
        <v>3385</v>
      </c>
      <c r="B7550" s="417" t="s">
        <v>2437</v>
      </c>
      <c r="C7550" s="417" t="s">
        <v>17573</v>
      </c>
      <c r="D7550" s="417" t="s">
        <v>989</v>
      </c>
      <c r="E7550" s="423">
        <v>94129.925498375975</v>
      </c>
      <c r="F7550" s="423">
        <v>6563.8777095677096</v>
      </c>
      <c r="G7550" s="422">
        <v>215750905.49294201</v>
      </c>
      <c r="H7550" s="417" t="s">
        <v>2616</v>
      </c>
      <c r="I7550" s="417" t="s">
        <v>1392</v>
      </c>
      <c r="J7550" s="417" t="s">
        <v>4167</v>
      </c>
      <c r="K7550" s="417" t="s">
        <v>17574</v>
      </c>
      <c r="L7550" s="417"/>
      <c r="M7550" s="417" t="s">
        <v>28840</v>
      </c>
    </row>
    <row r="7551" spans="1:13" x14ac:dyDescent="0.25">
      <c r="A7551" s="417" t="s">
        <v>3385</v>
      </c>
      <c r="B7551" s="417" t="s">
        <v>2437</v>
      </c>
      <c r="C7551" s="417" t="s">
        <v>17575</v>
      </c>
      <c r="D7551" s="417" t="s">
        <v>989</v>
      </c>
      <c r="E7551" s="423">
        <v>45821.532579370527</v>
      </c>
      <c r="F7551" s="423">
        <v>3100.089173640949</v>
      </c>
      <c r="G7551" s="422">
        <v>105242642.47344971</v>
      </c>
      <c r="H7551" s="417" t="s">
        <v>2616</v>
      </c>
      <c r="I7551" s="417" t="s">
        <v>1392</v>
      </c>
      <c r="J7551" s="417" t="s">
        <v>4167</v>
      </c>
      <c r="K7551" s="417" t="s">
        <v>17576</v>
      </c>
      <c r="L7551" s="417"/>
      <c r="M7551" s="417" t="s">
        <v>28840</v>
      </c>
    </row>
    <row r="7552" spans="1:13" x14ac:dyDescent="0.25">
      <c r="A7552" s="417" t="s">
        <v>3385</v>
      </c>
      <c r="B7552" s="417" t="s">
        <v>2437</v>
      </c>
      <c r="C7552" s="417" t="s">
        <v>17577</v>
      </c>
      <c r="D7552" s="417" t="s">
        <v>989</v>
      </c>
      <c r="E7552" s="423">
        <v>99135.891475123659</v>
      </c>
      <c r="F7552" s="423">
        <v>6675.8718878003838</v>
      </c>
      <c r="G7552" s="422">
        <v>219376282.94150501</v>
      </c>
      <c r="H7552" s="417" t="s">
        <v>2616</v>
      </c>
      <c r="I7552" s="417" t="s">
        <v>1392</v>
      </c>
      <c r="J7552" s="417" t="s">
        <v>4167</v>
      </c>
      <c r="K7552" s="417" t="s">
        <v>17578</v>
      </c>
      <c r="L7552" s="417"/>
      <c r="M7552" s="417" t="s">
        <v>28840</v>
      </c>
    </row>
    <row r="7553" spans="1:13" x14ac:dyDescent="0.25">
      <c r="A7553" s="417" t="s">
        <v>3385</v>
      </c>
      <c r="B7553" s="417" t="s">
        <v>2437</v>
      </c>
      <c r="C7553" s="417" t="s">
        <v>17579</v>
      </c>
      <c r="D7553" s="417" t="s">
        <v>989</v>
      </c>
      <c r="E7553" s="423">
        <v>98881.472063034511</v>
      </c>
      <c r="F7553" s="423">
        <v>6668.5588211218937</v>
      </c>
      <c r="G7553" s="422">
        <v>218927922.92051551</v>
      </c>
      <c r="H7553" s="417" t="s">
        <v>2616</v>
      </c>
      <c r="I7553" s="417" t="s">
        <v>1392</v>
      </c>
      <c r="J7553" s="417" t="s">
        <v>4167</v>
      </c>
      <c r="K7553" s="417" t="s">
        <v>17580</v>
      </c>
      <c r="L7553" s="417"/>
      <c r="M7553" s="417" t="s">
        <v>28840</v>
      </c>
    </row>
    <row r="7554" spans="1:13" x14ac:dyDescent="0.25">
      <c r="A7554" s="417" t="s">
        <v>3385</v>
      </c>
      <c r="B7554" s="417" t="s">
        <v>2437</v>
      </c>
      <c r="C7554" s="417" t="s">
        <v>17581</v>
      </c>
      <c r="D7554" s="417" t="s">
        <v>989</v>
      </c>
      <c r="E7554" s="423">
        <v>98710.807040720814</v>
      </c>
      <c r="F7554" s="423">
        <v>6663.6372584684414</v>
      </c>
      <c r="G7554" s="422">
        <v>218627374.22878551</v>
      </c>
      <c r="H7554" s="417" t="s">
        <v>2616</v>
      </c>
      <c r="I7554" s="417" t="s">
        <v>1392</v>
      </c>
      <c r="J7554" s="417" t="s">
        <v>4167</v>
      </c>
      <c r="K7554" s="417" t="s">
        <v>17582</v>
      </c>
      <c r="L7554" s="417"/>
      <c r="M7554" s="417" t="s">
        <v>28840</v>
      </c>
    </row>
    <row r="7555" spans="1:13" x14ac:dyDescent="0.25">
      <c r="A7555" s="417" t="s">
        <v>3385</v>
      </c>
      <c r="B7555" s="417" t="s">
        <v>2437</v>
      </c>
      <c r="C7555" s="417" t="s">
        <v>17583</v>
      </c>
      <c r="D7555" s="417" t="s">
        <v>989</v>
      </c>
      <c r="E7555" s="423">
        <v>98445.853551740744</v>
      </c>
      <c r="F7555" s="423">
        <v>6657.0199697812004</v>
      </c>
      <c r="G7555" s="422">
        <v>218427615.88063091</v>
      </c>
      <c r="H7555" s="417" t="s">
        <v>2616</v>
      </c>
      <c r="I7555" s="417" t="s">
        <v>1392</v>
      </c>
      <c r="J7555" s="417" t="s">
        <v>4167</v>
      </c>
      <c r="K7555" s="417" t="s">
        <v>17584</v>
      </c>
      <c r="L7555" s="417"/>
      <c r="M7555" s="417" t="s">
        <v>28840</v>
      </c>
    </row>
    <row r="7556" spans="1:13" x14ac:dyDescent="0.25">
      <c r="A7556" s="417" t="s">
        <v>3385</v>
      </c>
      <c r="B7556" s="417" t="s">
        <v>2437</v>
      </c>
      <c r="C7556" s="417" t="s">
        <v>17585</v>
      </c>
      <c r="D7556" s="417" t="s">
        <v>989</v>
      </c>
      <c r="E7556" s="423">
        <v>97322.546966789465</v>
      </c>
      <c r="F7556" s="423">
        <v>6660.9792753166639</v>
      </c>
      <c r="G7556" s="422">
        <v>212461089.06621251</v>
      </c>
      <c r="H7556" s="417" t="s">
        <v>2616</v>
      </c>
      <c r="I7556" s="417" t="s">
        <v>1392</v>
      </c>
      <c r="J7556" s="417" t="s">
        <v>4167</v>
      </c>
      <c r="K7556" s="417" t="s">
        <v>17586</v>
      </c>
      <c r="L7556" s="417"/>
      <c r="M7556" s="417" t="s">
        <v>28840</v>
      </c>
    </row>
    <row r="7557" spans="1:13" x14ac:dyDescent="0.25">
      <c r="A7557" s="417" t="s">
        <v>3385</v>
      </c>
      <c r="B7557" s="417" t="s">
        <v>2437</v>
      </c>
      <c r="C7557" s="417" t="s">
        <v>17587</v>
      </c>
      <c r="D7557" s="417" t="s">
        <v>989</v>
      </c>
      <c r="E7557" s="423">
        <v>97177.481701396828</v>
      </c>
      <c r="F7557" s="423">
        <v>6656.7959470529986</v>
      </c>
      <c r="G7557" s="422">
        <v>212205623.2377573</v>
      </c>
      <c r="H7557" s="417" t="s">
        <v>2616</v>
      </c>
      <c r="I7557" s="417" t="s">
        <v>1392</v>
      </c>
      <c r="J7557" s="417" t="s">
        <v>4167</v>
      </c>
      <c r="K7557" s="417" t="s">
        <v>17588</v>
      </c>
      <c r="L7557" s="417"/>
      <c r="M7557" s="417" t="s">
        <v>28840</v>
      </c>
    </row>
    <row r="7558" spans="1:13" x14ac:dyDescent="0.25">
      <c r="A7558" s="417" t="s">
        <v>3385</v>
      </c>
      <c r="B7558" s="417" t="s">
        <v>2437</v>
      </c>
      <c r="C7558" s="417" t="s">
        <v>17589</v>
      </c>
      <c r="D7558" s="417" t="s">
        <v>989</v>
      </c>
      <c r="E7558" s="423">
        <v>97032.416453570622</v>
      </c>
      <c r="F7558" s="423">
        <v>6652.6126188536691</v>
      </c>
      <c r="G7558" s="422">
        <v>211950157.74235129</v>
      </c>
      <c r="H7558" s="417" t="s">
        <v>2616</v>
      </c>
      <c r="I7558" s="417" t="s">
        <v>1392</v>
      </c>
      <c r="J7558" s="417" t="s">
        <v>4167</v>
      </c>
      <c r="K7558" s="417" t="s">
        <v>17590</v>
      </c>
      <c r="L7558" s="417"/>
      <c r="M7558" s="417" t="s">
        <v>28840</v>
      </c>
    </row>
    <row r="7559" spans="1:13" x14ac:dyDescent="0.25">
      <c r="A7559" s="417" t="s">
        <v>3385</v>
      </c>
      <c r="B7559" s="417" t="s">
        <v>2437</v>
      </c>
      <c r="C7559" s="417" t="s">
        <v>17591</v>
      </c>
      <c r="D7559" s="417" t="s">
        <v>989</v>
      </c>
      <c r="E7559" s="423">
        <v>96877.740808035684</v>
      </c>
      <c r="F7559" s="423">
        <v>6649.4288680110903</v>
      </c>
      <c r="G7559" s="422">
        <v>211975807.3116138</v>
      </c>
      <c r="H7559" s="417" t="s">
        <v>2616</v>
      </c>
      <c r="I7559" s="417" t="s">
        <v>1392</v>
      </c>
      <c r="J7559" s="417" t="s">
        <v>4167</v>
      </c>
      <c r="K7559" s="417" t="s">
        <v>17592</v>
      </c>
      <c r="L7559" s="417"/>
      <c r="M7559" s="417" t="s">
        <v>28840</v>
      </c>
    </row>
    <row r="7560" spans="1:13" x14ac:dyDescent="0.25">
      <c r="A7560" s="417" t="s">
        <v>3385</v>
      </c>
      <c r="B7560" s="417" t="s">
        <v>2437</v>
      </c>
      <c r="C7560" s="417" t="s">
        <v>17593</v>
      </c>
      <c r="D7560" s="417" t="s">
        <v>989</v>
      </c>
      <c r="E7560" s="423">
        <v>75883.178894733384</v>
      </c>
      <c r="F7560" s="423">
        <v>5033.118781067451</v>
      </c>
      <c r="G7560" s="422">
        <v>166564730.05951011</v>
      </c>
      <c r="H7560" s="417" t="s">
        <v>2616</v>
      </c>
      <c r="I7560" s="417" t="s">
        <v>1392</v>
      </c>
      <c r="J7560" s="417" t="s">
        <v>4167</v>
      </c>
      <c r="K7560" s="417" t="s">
        <v>17594</v>
      </c>
      <c r="L7560" s="417"/>
      <c r="M7560" s="417" t="s">
        <v>28840</v>
      </c>
    </row>
    <row r="7561" spans="1:13" x14ac:dyDescent="0.25">
      <c r="A7561" s="417" t="s">
        <v>3385</v>
      </c>
      <c r="B7561" s="417" t="s">
        <v>2437</v>
      </c>
      <c r="C7561" s="417" t="s">
        <v>17595</v>
      </c>
      <c r="D7561" s="417" t="s">
        <v>989</v>
      </c>
      <c r="E7561" s="423">
        <v>75729.405048389686</v>
      </c>
      <c r="F7561" s="423">
        <v>5028.6816773425953</v>
      </c>
      <c r="G7561" s="422">
        <v>166293962.68777049</v>
      </c>
      <c r="H7561" s="417" t="s">
        <v>2616</v>
      </c>
      <c r="I7561" s="417" t="s">
        <v>1392</v>
      </c>
      <c r="J7561" s="417" t="s">
        <v>4167</v>
      </c>
      <c r="K7561" s="417" t="s">
        <v>17596</v>
      </c>
      <c r="L7561" s="417"/>
      <c r="M7561" s="417" t="s">
        <v>28840</v>
      </c>
    </row>
    <row r="7562" spans="1:13" x14ac:dyDescent="0.25">
      <c r="A7562" s="417" t="s">
        <v>3385</v>
      </c>
      <c r="B7562" s="417" t="s">
        <v>2437</v>
      </c>
      <c r="C7562" s="417" t="s">
        <v>17597</v>
      </c>
      <c r="D7562" s="417" t="s">
        <v>989</v>
      </c>
      <c r="E7562" s="423">
        <v>75567.448639784605</v>
      </c>
      <c r="F7562" s="423">
        <v>5024.0138903457218</v>
      </c>
      <c r="G7562" s="422">
        <v>166008715.98874521</v>
      </c>
      <c r="H7562" s="417" t="s">
        <v>2616</v>
      </c>
      <c r="I7562" s="417" t="s">
        <v>1392</v>
      </c>
      <c r="J7562" s="417" t="s">
        <v>4167</v>
      </c>
      <c r="K7562" s="417" t="s">
        <v>17598</v>
      </c>
      <c r="L7562" s="417"/>
      <c r="M7562" s="417" t="s">
        <v>28840</v>
      </c>
    </row>
    <row r="7563" spans="1:13" x14ac:dyDescent="0.25">
      <c r="A7563" s="417" t="s">
        <v>3385</v>
      </c>
      <c r="B7563" s="417" t="s">
        <v>2437</v>
      </c>
      <c r="C7563" s="417" t="s">
        <v>17599</v>
      </c>
      <c r="D7563" s="417" t="s">
        <v>989</v>
      </c>
      <c r="E7563" s="423">
        <v>75265.826966780878</v>
      </c>
      <c r="F7563" s="423">
        <v>5016.1126475638785</v>
      </c>
      <c r="G7563" s="422">
        <v>165682557.1676012</v>
      </c>
      <c r="H7563" s="417" t="s">
        <v>2616</v>
      </c>
      <c r="I7563" s="417" t="s">
        <v>1392</v>
      </c>
      <c r="J7563" s="417" t="s">
        <v>4167</v>
      </c>
      <c r="K7563" s="417" t="s">
        <v>17600</v>
      </c>
      <c r="L7563" s="417"/>
      <c r="M7563" s="417" t="s">
        <v>28840</v>
      </c>
    </row>
    <row r="7564" spans="1:13" x14ac:dyDescent="0.25">
      <c r="A7564" s="417" t="s">
        <v>3385</v>
      </c>
      <c r="B7564" s="417" t="s">
        <v>2437</v>
      </c>
      <c r="C7564" s="417" t="s">
        <v>17601</v>
      </c>
      <c r="D7564" s="417" t="s">
        <v>989</v>
      </c>
      <c r="E7564" s="423">
        <v>70837.420253353441</v>
      </c>
      <c r="F7564" s="423">
        <v>4805.4509433476696</v>
      </c>
      <c r="G7564" s="422">
        <v>155749928.73864231</v>
      </c>
      <c r="H7564" s="417" t="s">
        <v>2616</v>
      </c>
      <c r="I7564" s="417" t="s">
        <v>1392</v>
      </c>
      <c r="J7564" s="417" t="s">
        <v>4167</v>
      </c>
      <c r="K7564" s="417" t="s">
        <v>17602</v>
      </c>
      <c r="L7564" s="417"/>
      <c r="M7564" s="417" t="s">
        <v>28840</v>
      </c>
    </row>
    <row r="7565" spans="1:13" x14ac:dyDescent="0.25">
      <c r="A7565" s="417" t="s">
        <v>3385</v>
      </c>
      <c r="B7565" s="417" t="s">
        <v>2437</v>
      </c>
      <c r="C7565" s="417" t="s">
        <v>17603</v>
      </c>
      <c r="D7565" s="417" t="s">
        <v>989</v>
      </c>
      <c r="E7565" s="423">
        <v>70709.421489267406</v>
      </c>
      <c r="F7565" s="423">
        <v>4801.7597712884844</v>
      </c>
      <c r="G7565" s="422">
        <v>155524517.63083071</v>
      </c>
      <c r="H7565" s="417" t="s">
        <v>2616</v>
      </c>
      <c r="I7565" s="417" t="s">
        <v>1392</v>
      </c>
      <c r="J7565" s="417" t="s">
        <v>4167</v>
      </c>
      <c r="K7565" s="417" t="s">
        <v>17604</v>
      </c>
      <c r="L7565" s="417"/>
      <c r="M7565" s="417" t="s">
        <v>28840</v>
      </c>
    </row>
    <row r="7566" spans="1:13" x14ac:dyDescent="0.25">
      <c r="A7566" s="417" t="s">
        <v>3385</v>
      </c>
      <c r="B7566" s="417" t="s">
        <v>2437</v>
      </c>
      <c r="C7566" s="417" t="s">
        <v>17605</v>
      </c>
      <c r="D7566" s="417" t="s">
        <v>989</v>
      </c>
      <c r="E7566" s="423">
        <v>70588.690864733726</v>
      </c>
      <c r="F7566" s="423">
        <v>4798.2641759209046</v>
      </c>
      <c r="G7566" s="422">
        <v>155311439.43978789</v>
      </c>
      <c r="H7566" s="417" t="s">
        <v>2616</v>
      </c>
      <c r="I7566" s="417" t="s">
        <v>1392</v>
      </c>
      <c r="J7566" s="417" t="s">
        <v>4167</v>
      </c>
      <c r="K7566" s="417" t="s">
        <v>17606</v>
      </c>
      <c r="L7566" s="417"/>
      <c r="M7566" s="417" t="s">
        <v>28840</v>
      </c>
    </row>
    <row r="7567" spans="1:13" x14ac:dyDescent="0.25">
      <c r="A7567" s="417" t="s">
        <v>3385</v>
      </c>
      <c r="B7567" s="417" t="s">
        <v>2437</v>
      </c>
      <c r="C7567" s="417" t="s">
        <v>640</v>
      </c>
      <c r="D7567" s="417" t="s">
        <v>989</v>
      </c>
      <c r="E7567" s="423">
        <v>70394.101363114678</v>
      </c>
      <c r="F7567" s="423">
        <v>4793.4647374976912</v>
      </c>
      <c r="G7567" s="422">
        <v>155167013.6150679</v>
      </c>
      <c r="H7567" s="417" t="s">
        <v>2616</v>
      </c>
      <c r="I7567" s="417" t="s">
        <v>28985</v>
      </c>
      <c r="J7567" s="417" t="s">
        <v>4167</v>
      </c>
      <c r="K7567" s="417" t="s">
        <v>17607</v>
      </c>
      <c r="L7567" s="417"/>
      <c r="M7567" s="417" t="s">
        <v>28840</v>
      </c>
    </row>
    <row r="7568" spans="1:13" x14ac:dyDescent="0.25">
      <c r="A7568" s="417" t="s">
        <v>3385</v>
      </c>
      <c r="B7568" s="417" t="s">
        <v>2437</v>
      </c>
      <c r="C7568" s="417" t="s">
        <v>17608</v>
      </c>
      <c r="D7568" s="417" t="s">
        <v>989</v>
      </c>
      <c r="E7568" s="423">
        <v>94626.420185619019</v>
      </c>
      <c r="F7568" s="423">
        <v>6569.1919101243302</v>
      </c>
      <c r="G7568" s="422">
        <v>211363935.3806625</v>
      </c>
      <c r="H7568" s="417" t="s">
        <v>2616</v>
      </c>
      <c r="I7568" s="417" t="s">
        <v>1392</v>
      </c>
      <c r="J7568" s="417" t="s">
        <v>4167</v>
      </c>
      <c r="K7568" s="417" t="s">
        <v>17609</v>
      </c>
      <c r="L7568" s="417"/>
      <c r="M7568" s="417" t="s">
        <v>28840</v>
      </c>
    </row>
    <row r="7569" spans="1:13" x14ac:dyDescent="0.25">
      <c r="A7569" s="417" t="s">
        <v>3385</v>
      </c>
      <c r="B7569" s="417" t="s">
        <v>2437</v>
      </c>
      <c r="C7569" s="417" t="s">
        <v>17610</v>
      </c>
      <c r="D7569" s="417" t="s">
        <v>989</v>
      </c>
      <c r="E7569" s="423">
        <v>94489.888161422292</v>
      </c>
      <c r="F7569" s="423">
        <v>6565.2546600004007</v>
      </c>
      <c r="G7569" s="422">
        <v>211123496.66396731</v>
      </c>
      <c r="H7569" s="417" t="s">
        <v>2616</v>
      </c>
      <c r="I7569" s="417" t="s">
        <v>1392</v>
      </c>
      <c r="J7569" s="417" t="s">
        <v>4167</v>
      </c>
      <c r="K7569" s="417" t="s">
        <v>17611</v>
      </c>
      <c r="L7569" s="417"/>
      <c r="M7569" s="417" t="s">
        <v>28840</v>
      </c>
    </row>
    <row r="7570" spans="1:13" x14ac:dyDescent="0.25">
      <c r="A7570" s="417" t="s">
        <v>3385</v>
      </c>
      <c r="B7570" s="417" t="s">
        <v>2437</v>
      </c>
      <c r="C7570" s="417" t="s">
        <v>17612</v>
      </c>
      <c r="D7570" s="417" t="s">
        <v>989</v>
      </c>
      <c r="E7570" s="423">
        <v>94353.180817203116</v>
      </c>
      <c r="F7570" s="423">
        <v>6561.3097124590204</v>
      </c>
      <c r="G7570" s="422">
        <v>210882784.5135701</v>
      </c>
      <c r="H7570" s="417" t="s">
        <v>2616</v>
      </c>
      <c r="I7570" s="417" t="s">
        <v>1392</v>
      </c>
      <c r="J7570" s="417" t="s">
        <v>4167</v>
      </c>
      <c r="K7570" s="417" t="s">
        <v>17613</v>
      </c>
      <c r="L7570" s="417"/>
      <c r="M7570" s="417" t="s">
        <v>28840</v>
      </c>
    </row>
    <row r="7571" spans="1:13" x14ac:dyDescent="0.25">
      <c r="A7571" s="417" t="s">
        <v>3385</v>
      </c>
      <c r="B7571" s="417" t="s">
        <v>2437</v>
      </c>
      <c r="C7571" s="417" t="s">
        <v>17614</v>
      </c>
      <c r="D7571" s="417" t="s">
        <v>989</v>
      </c>
      <c r="E7571" s="423">
        <v>94161.512453140283</v>
      </c>
      <c r="F7571" s="423">
        <v>6556.7329179086528</v>
      </c>
      <c r="G7571" s="422">
        <v>210791439.95962271</v>
      </c>
      <c r="H7571" s="417" t="s">
        <v>2616</v>
      </c>
      <c r="I7571" s="417" t="s">
        <v>1392</v>
      </c>
      <c r="J7571" s="417" t="s">
        <v>4167</v>
      </c>
      <c r="K7571" s="417" t="s">
        <v>17615</v>
      </c>
      <c r="L7571" s="417"/>
      <c r="M7571" s="417" t="s">
        <v>28840</v>
      </c>
    </row>
    <row r="7572" spans="1:13" x14ac:dyDescent="0.25">
      <c r="A7572" s="417" t="s">
        <v>3385</v>
      </c>
      <c r="B7572" s="417" t="s">
        <v>2437</v>
      </c>
      <c r="C7572" s="417" t="s">
        <v>17616</v>
      </c>
      <c r="D7572" s="417" t="s">
        <v>989</v>
      </c>
      <c r="E7572" s="423">
        <v>45473.303127777042</v>
      </c>
      <c r="F7572" s="423">
        <v>3083.6622664752399</v>
      </c>
      <c r="G7572" s="422">
        <v>100181278.8064822</v>
      </c>
      <c r="H7572" s="417" t="s">
        <v>2616</v>
      </c>
      <c r="I7572" s="417" t="s">
        <v>1392</v>
      </c>
      <c r="J7572" s="417" t="s">
        <v>4167</v>
      </c>
      <c r="K7572" s="417" t="s">
        <v>17617</v>
      </c>
      <c r="L7572" s="417"/>
      <c r="M7572" s="417" t="s">
        <v>28840</v>
      </c>
    </row>
    <row r="7573" spans="1:13" x14ac:dyDescent="0.25">
      <c r="A7573" s="417" t="s">
        <v>3385</v>
      </c>
      <c r="B7573" s="417" t="s">
        <v>2437</v>
      </c>
      <c r="C7573" s="417" t="s">
        <v>17618</v>
      </c>
      <c r="D7573" s="417" t="s">
        <v>989</v>
      </c>
      <c r="E7573" s="423">
        <v>45404.335733829757</v>
      </c>
      <c r="F7573" s="423">
        <v>3081.6628515082439</v>
      </c>
      <c r="G7573" s="422">
        <v>100059965.3702271</v>
      </c>
      <c r="H7573" s="417" t="s">
        <v>2616</v>
      </c>
      <c r="I7573" s="417" t="s">
        <v>1392</v>
      </c>
      <c r="J7573" s="417" t="s">
        <v>4167</v>
      </c>
      <c r="K7573" s="417" t="s">
        <v>17619</v>
      </c>
      <c r="L7573" s="417"/>
      <c r="M7573" s="417" t="s">
        <v>28840</v>
      </c>
    </row>
    <row r="7574" spans="1:13" x14ac:dyDescent="0.25">
      <c r="A7574" s="417" t="s">
        <v>3385</v>
      </c>
      <c r="B7574" s="417" t="s">
        <v>2437</v>
      </c>
      <c r="C7574" s="417" t="s">
        <v>17620</v>
      </c>
      <c r="D7574" s="417" t="s">
        <v>989</v>
      </c>
      <c r="E7574" s="423">
        <v>45335.36835909223</v>
      </c>
      <c r="F7574" s="423">
        <v>3079.6634366735648</v>
      </c>
      <c r="G7574" s="422">
        <v>99938652.003398165</v>
      </c>
      <c r="H7574" s="417" t="s">
        <v>2616</v>
      </c>
      <c r="I7574" s="417" t="s">
        <v>1392</v>
      </c>
      <c r="J7574" s="417" t="s">
        <v>4167</v>
      </c>
      <c r="K7574" s="417" t="s">
        <v>17621</v>
      </c>
      <c r="L7574" s="417"/>
      <c r="M7574" s="417" t="s">
        <v>28840</v>
      </c>
    </row>
    <row r="7575" spans="1:13" x14ac:dyDescent="0.25">
      <c r="A7575" s="417" t="s">
        <v>3385</v>
      </c>
      <c r="B7575" s="417" t="s">
        <v>2437</v>
      </c>
      <c r="C7575" s="417" t="s">
        <v>637</v>
      </c>
      <c r="D7575" s="417" t="s">
        <v>989</v>
      </c>
      <c r="E7575" s="423">
        <v>45245.382036709649</v>
      </c>
      <c r="F7575" s="423">
        <v>3077.5713402920428</v>
      </c>
      <c r="G7575" s="422">
        <v>99908125.212671682</v>
      </c>
      <c r="H7575" s="417" t="s">
        <v>2616</v>
      </c>
      <c r="I7575" s="417" t="s">
        <v>28985</v>
      </c>
      <c r="J7575" s="417" t="s">
        <v>4167</v>
      </c>
      <c r="K7575" s="417" t="s">
        <v>17622</v>
      </c>
      <c r="L7575" s="417"/>
      <c r="M7575" s="417" t="s">
        <v>28840</v>
      </c>
    </row>
    <row r="7576" spans="1:13" x14ac:dyDescent="0.25">
      <c r="A7576" s="417" t="s">
        <v>3385</v>
      </c>
      <c r="B7576" s="417" t="s">
        <v>2437</v>
      </c>
      <c r="C7576" s="417" t="s">
        <v>17623</v>
      </c>
      <c r="D7576" s="417" t="s">
        <v>989</v>
      </c>
      <c r="E7576" s="423">
        <v>106069.8001856725</v>
      </c>
      <c r="F7576" s="423">
        <v>6968.8766224810124</v>
      </c>
      <c r="G7576" s="422">
        <v>253276333.50940949</v>
      </c>
      <c r="H7576" s="417" t="s">
        <v>2616</v>
      </c>
      <c r="I7576" s="417" t="s">
        <v>1392</v>
      </c>
      <c r="J7576" s="417" t="s">
        <v>4167</v>
      </c>
      <c r="K7576" s="417" t="s">
        <v>17624</v>
      </c>
      <c r="L7576" s="417"/>
      <c r="M7576" s="417" t="s">
        <v>28840</v>
      </c>
    </row>
    <row r="7577" spans="1:13" x14ac:dyDescent="0.25">
      <c r="A7577" s="417" t="s">
        <v>3385</v>
      </c>
      <c r="B7577" s="417" t="s">
        <v>2437</v>
      </c>
      <c r="C7577" s="417" t="s">
        <v>17625</v>
      </c>
      <c r="D7577" s="417" t="s">
        <v>989</v>
      </c>
      <c r="E7577" s="423">
        <v>107832.84012431141</v>
      </c>
      <c r="F7577" s="423">
        <v>7096.6928519785943</v>
      </c>
      <c r="G7577" s="422">
        <v>258214340.71255189</v>
      </c>
      <c r="H7577" s="417" t="s">
        <v>2616</v>
      </c>
      <c r="I7577" s="417" t="s">
        <v>1392</v>
      </c>
      <c r="J7577" s="417" t="s">
        <v>4167</v>
      </c>
      <c r="K7577" s="417" t="s">
        <v>17626</v>
      </c>
      <c r="L7577" s="417"/>
      <c r="M7577" s="417" t="s">
        <v>28840</v>
      </c>
    </row>
    <row r="7578" spans="1:13" x14ac:dyDescent="0.25">
      <c r="A7578" s="417" t="s">
        <v>3385</v>
      </c>
      <c r="B7578" s="417" t="s">
        <v>2437</v>
      </c>
      <c r="C7578" s="417" t="s">
        <v>17627</v>
      </c>
      <c r="D7578" s="417" t="s">
        <v>989</v>
      </c>
      <c r="E7578" s="423">
        <v>80902.919435321688</v>
      </c>
      <c r="F7578" s="423">
        <v>5250.1697142778439</v>
      </c>
      <c r="G7578" s="422">
        <v>193474012.53249729</v>
      </c>
      <c r="H7578" s="417" t="s">
        <v>2616</v>
      </c>
      <c r="I7578" s="417" t="s">
        <v>1392</v>
      </c>
      <c r="J7578" s="417" t="s">
        <v>4167</v>
      </c>
      <c r="K7578" s="417" t="s">
        <v>17628</v>
      </c>
      <c r="L7578" s="417"/>
      <c r="M7578" s="417" t="s">
        <v>28840</v>
      </c>
    </row>
    <row r="7579" spans="1:13" x14ac:dyDescent="0.25">
      <c r="A7579" s="417" t="s">
        <v>3385</v>
      </c>
      <c r="B7579" s="417" t="s">
        <v>2437</v>
      </c>
      <c r="C7579" s="417" t="s">
        <v>17629</v>
      </c>
      <c r="D7579" s="417" t="s">
        <v>989</v>
      </c>
      <c r="E7579" s="423">
        <v>78774.365467909229</v>
      </c>
      <c r="F7579" s="423">
        <v>5125.0700508933478</v>
      </c>
      <c r="G7579" s="422">
        <v>191463047.65334061</v>
      </c>
      <c r="H7579" s="417" t="s">
        <v>2616</v>
      </c>
      <c r="I7579" s="417" t="s">
        <v>1392</v>
      </c>
      <c r="J7579" s="417" t="s">
        <v>4167</v>
      </c>
      <c r="K7579" s="417" t="s">
        <v>17630</v>
      </c>
      <c r="L7579" s="417"/>
      <c r="M7579" s="417" t="s">
        <v>28840</v>
      </c>
    </row>
    <row r="7580" spans="1:13" x14ac:dyDescent="0.25">
      <c r="A7580" s="417" t="s">
        <v>3385</v>
      </c>
      <c r="B7580" s="417" t="s">
        <v>2437</v>
      </c>
      <c r="C7580" s="417" t="s">
        <v>17631</v>
      </c>
      <c r="D7580" s="417" t="s">
        <v>989</v>
      </c>
      <c r="E7580" s="423">
        <v>105153.9945814075</v>
      </c>
      <c r="F7580" s="423">
        <v>6988.1648921861597</v>
      </c>
      <c r="G7580" s="422">
        <v>255929315.0530915</v>
      </c>
      <c r="H7580" s="417" t="s">
        <v>2616</v>
      </c>
      <c r="I7580" s="417" t="s">
        <v>1392</v>
      </c>
      <c r="J7580" s="417" t="s">
        <v>4167</v>
      </c>
      <c r="K7580" s="417" t="s">
        <v>17632</v>
      </c>
      <c r="L7580" s="417"/>
      <c r="M7580" s="417" t="s">
        <v>28840</v>
      </c>
    </row>
    <row r="7581" spans="1:13" x14ac:dyDescent="0.25">
      <c r="A7581" s="417" t="s">
        <v>3385</v>
      </c>
      <c r="B7581" s="417" t="s">
        <v>2437</v>
      </c>
      <c r="C7581" s="417" t="s">
        <v>17633</v>
      </c>
      <c r="D7581" s="417" t="s">
        <v>989</v>
      </c>
      <c r="E7581" s="423">
        <v>50720.199634934863</v>
      </c>
      <c r="F7581" s="423">
        <v>3320.9664027138479</v>
      </c>
      <c r="G7581" s="422">
        <v>124821869.25448661</v>
      </c>
      <c r="H7581" s="417" t="s">
        <v>2616</v>
      </c>
      <c r="I7581" s="417" t="s">
        <v>1392</v>
      </c>
      <c r="J7581" s="417" t="s">
        <v>4167</v>
      </c>
      <c r="K7581" s="417" t="s">
        <v>17634</v>
      </c>
      <c r="L7581" s="417"/>
      <c r="M7581" s="417" t="s">
        <v>28840</v>
      </c>
    </row>
    <row r="7582" spans="1:13" x14ac:dyDescent="0.25">
      <c r="A7582" s="417" t="s">
        <v>3385</v>
      </c>
      <c r="B7582" s="417" t="s">
        <v>2437</v>
      </c>
      <c r="C7582" s="417" t="s">
        <v>17635</v>
      </c>
      <c r="D7582" s="417" t="s">
        <v>989</v>
      </c>
      <c r="E7582" s="423">
        <v>3561.3350937536839</v>
      </c>
      <c r="F7582" s="423">
        <v>168.92666825799591</v>
      </c>
      <c r="G7582" s="422">
        <v>7720199.8478520242</v>
      </c>
      <c r="H7582" s="417" t="s">
        <v>2616</v>
      </c>
      <c r="I7582" s="417" t="s">
        <v>1392</v>
      </c>
      <c r="J7582" s="417" t="s">
        <v>2638</v>
      </c>
      <c r="K7582" s="417" t="s">
        <v>17636</v>
      </c>
      <c r="L7582" s="417"/>
      <c r="M7582" s="417" t="s">
        <v>28840</v>
      </c>
    </row>
    <row r="7583" spans="1:13" x14ac:dyDescent="0.25">
      <c r="A7583" s="417" t="s">
        <v>3385</v>
      </c>
      <c r="B7583" s="417" t="s">
        <v>2437</v>
      </c>
      <c r="C7583" s="417" t="s">
        <v>17637</v>
      </c>
      <c r="D7583" s="417" t="s">
        <v>989</v>
      </c>
      <c r="E7583" s="423">
        <v>8949.7774966659817</v>
      </c>
      <c r="F7583" s="423">
        <v>349.25024025887751</v>
      </c>
      <c r="G7583" s="422">
        <v>22116205.757487159</v>
      </c>
      <c r="H7583" s="417" t="s">
        <v>2616</v>
      </c>
      <c r="I7583" s="417" t="s">
        <v>1392</v>
      </c>
      <c r="J7583" s="417" t="s">
        <v>4167</v>
      </c>
      <c r="K7583" s="417" t="s">
        <v>17638</v>
      </c>
      <c r="L7583" s="417"/>
      <c r="M7583" s="417" t="s">
        <v>28840</v>
      </c>
    </row>
    <row r="7584" spans="1:13" x14ac:dyDescent="0.25">
      <c r="A7584" s="417" t="s">
        <v>3385</v>
      </c>
      <c r="B7584" s="417" t="s">
        <v>2437</v>
      </c>
      <c r="C7584" s="417" t="s">
        <v>17639</v>
      </c>
      <c r="D7584" s="417" t="s">
        <v>989</v>
      </c>
      <c r="E7584" s="423">
        <v>17768.153944142919</v>
      </c>
      <c r="F7584" s="423">
        <v>706.44099399318418</v>
      </c>
      <c r="G7584" s="422">
        <v>44437735.93201495</v>
      </c>
      <c r="H7584" s="417" t="s">
        <v>2616</v>
      </c>
      <c r="I7584" s="417" t="s">
        <v>1392</v>
      </c>
      <c r="J7584" s="417" t="s">
        <v>4167</v>
      </c>
      <c r="K7584" s="417" t="s">
        <v>17640</v>
      </c>
      <c r="L7584" s="417"/>
      <c r="M7584" s="417" t="s">
        <v>28840</v>
      </c>
    </row>
    <row r="7585" spans="1:13" x14ac:dyDescent="0.25">
      <c r="A7585" s="417" t="s">
        <v>3385</v>
      </c>
      <c r="B7585" s="417" t="s">
        <v>2437</v>
      </c>
      <c r="C7585" s="417" t="s">
        <v>17641</v>
      </c>
      <c r="D7585" s="417" t="s">
        <v>989</v>
      </c>
      <c r="E7585" s="423">
        <v>15088.255021020281</v>
      </c>
      <c r="F7585" s="423">
        <v>594.46207476770678</v>
      </c>
      <c r="G7585" s="422">
        <v>38104518.840295941</v>
      </c>
      <c r="H7585" s="417" t="s">
        <v>2616</v>
      </c>
      <c r="I7585" s="417" t="s">
        <v>1392</v>
      </c>
      <c r="J7585" s="417" t="s">
        <v>4167</v>
      </c>
      <c r="K7585" s="417" t="s">
        <v>17642</v>
      </c>
      <c r="L7585" s="417"/>
      <c r="M7585" s="417" t="s">
        <v>28840</v>
      </c>
    </row>
    <row r="7586" spans="1:13" x14ac:dyDescent="0.25">
      <c r="A7586" s="417" t="s">
        <v>3385</v>
      </c>
      <c r="B7586" s="417" t="s">
        <v>2437</v>
      </c>
      <c r="C7586" s="417" t="s">
        <v>597</v>
      </c>
      <c r="D7586" s="417" t="s">
        <v>989</v>
      </c>
      <c r="E7586" s="423">
        <v>10731.786305589711</v>
      </c>
      <c r="F7586" s="423">
        <v>419.00442353109162</v>
      </c>
      <c r="G7586" s="422">
        <v>26620582.654502679</v>
      </c>
      <c r="H7586" s="417" t="s">
        <v>2616</v>
      </c>
      <c r="I7586" s="417" t="s">
        <v>28985</v>
      </c>
      <c r="J7586" s="417" t="s">
        <v>4167</v>
      </c>
      <c r="K7586" s="417" t="s">
        <v>17643</v>
      </c>
      <c r="L7586" s="417"/>
      <c r="M7586" s="417" t="s">
        <v>28840</v>
      </c>
    </row>
    <row r="7587" spans="1:13" x14ac:dyDescent="0.25">
      <c r="A7587" s="417" t="s">
        <v>3385</v>
      </c>
      <c r="B7587" s="417" t="s">
        <v>2437</v>
      </c>
      <c r="C7587" s="417" t="s">
        <v>17644</v>
      </c>
      <c r="D7587" s="417" t="s">
        <v>989</v>
      </c>
      <c r="E7587" s="423">
        <v>3818.6414363466029</v>
      </c>
      <c r="F7587" s="423">
        <v>142.5948685991296</v>
      </c>
      <c r="G7587" s="422">
        <v>10121300.4541199</v>
      </c>
      <c r="H7587" s="417" t="s">
        <v>2616</v>
      </c>
      <c r="I7587" s="417" t="s">
        <v>1392</v>
      </c>
      <c r="J7587" s="417" t="s">
        <v>4167</v>
      </c>
      <c r="K7587" s="417" t="s">
        <v>17645</v>
      </c>
      <c r="L7587" s="417"/>
      <c r="M7587" s="417" t="s">
        <v>28840</v>
      </c>
    </row>
    <row r="7588" spans="1:13" x14ac:dyDescent="0.25">
      <c r="A7588" s="417" t="s">
        <v>3385</v>
      </c>
      <c r="B7588" s="417" t="s">
        <v>2437</v>
      </c>
      <c r="C7588" s="417" t="s">
        <v>17646</v>
      </c>
      <c r="D7588" s="417" t="s">
        <v>989</v>
      </c>
      <c r="E7588" s="423">
        <v>9198.2573713641159</v>
      </c>
      <c r="F7588" s="423">
        <v>369.05381046443432</v>
      </c>
      <c r="G7588" s="422">
        <v>23718641.725062929</v>
      </c>
      <c r="H7588" s="417" t="s">
        <v>2616</v>
      </c>
      <c r="I7588" s="417" t="s">
        <v>1392</v>
      </c>
      <c r="J7588" s="417" t="s">
        <v>4167</v>
      </c>
      <c r="K7588" s="417" t="s">
        <v>17647</v>
      </c>
      <c r="L7588" s="417"/>
      <c r="M7588" s="417" t="s">
        <v>28840</v>
      </c>
    </row>
    <row r="7589" spans="1:13" x14ac:dyDescent="0.25">
      <c r="A7589" s="417" t="s">
        <v>3385</v>
      </c>
      <c r="B7589" s="417" t="s">
        <v>2437</v>
      </c>
      <c r="C7589" s="417" t="s">
        <v>17648</v>
      </c>
      <c r="D7589" s="417" t="s">
        <v>989</v>
      </c>
      <c r="E7589" s="423">
        <v>18361.30236993419</v>
      </c>
      <c r="F7589" s="423">
        <v>753.65173039128331</v>
      </c>
      <c r="G7589" s="422">
        <v>48282753.281527981</v>
      </c>
      <c r="H7589" s="417" t="s">
        <v>2616</v>
      </c>
      <c r="I7589" s="417" t="s">
        <v>1392</v>
      </c>
      <c r="J7589" s="417" t="s">
        <v>4167</v>
      </c>
      <c r="K7589" s="417" t="s">
        <v>17649</v>
      </c>
      <c r="L7589" s="417"/>
      <c r="M7589" s="417" t="s">
        <v>28840</v>
      </c>
    </row>
    <row r="7590" spans="1:13" x14ac:dyDescent="0.25">
      <c r="A7590" s="417" t="s">
        <v>3385</v>
      </c>
      <c r="B7590" s="417" t="s">
        <v>2437</v>
      </c>
      <c r="C7590" s="417" t="s">
        <v>17650</v>
      </c>
      <c r="D7590" s="417" t="s">
        <v>989</v>
      </c>
      <c r="E7590" s="423">
        <v>15606.01334991906</v>
      </c>
      <c r="F7590" s="423">
        <v>635.9353361358493</v>
      </c>
      <c r="G7590" s="422">
        <v>41459345.007022172</v>
      </c>
      <c r="H7590" s="417" t="s">
        <v>2616</v>
      </c>
      <c r="I7590" s="417" t="s">
        <v>1392</v>
      </c>
      <c r="J7590" s="417" t="s">
        <v>4167</v>
      </c>
      <c r="K7590" s="417" t="s">
        <v>17651</v>
      </c>
      <c r="L7590" s="417"/>
      <c r="M7590" s="417" t="s">
        <v>28840</v>
      </c>
    </row>
    <row r="7591" spans="1:13" x14ac:dyDescent="0.25">
      <c r="A7591" s="417" t="s">
        <v>3385</v>
      </c>
      <c r="B7591" s="417" t="s">
        <v>2437</v>
      </c>
      <c r="C7591" s="417" t="s">
        <v>17652</v>
      </c>
      <c r="D7591" s="417" t="s">
        <v>989</v>
      </c>
      <c r="E7591" s="423">
        <v>11053.022801614879</v>
      </c>
      <c r="F7591" s="423">
        <v>444.71544247591601</v>
      </c>
      <c r="G7591" s="422">
        <v>28707596.444760829</v>
      </c>
      <c r="H7591" s="417" t="s">
        <v>2616</v>
      </c>
      <c r="I7591" s="417" t="s">
        <v>1392</v>
      </c>
      <c r="J7591" s="417" t="s">
        <v>4167</v>
      </c>
      <c r="K7591" s="417" t="s">
        <v>17653</v>
      </c>
      <c r="L7591" s="417"/>
      <c r="M7591" s="417" t="s">
        <v>28840</v>
      </c>
    </row>
    <row r="7592" spans="1:13" x14ac:dyDescent="0.25">
      <c r="A7592" s="417" t="s">
        <v>3385</v>
      </c>
      <c r="B7592" s="417" t="s">
        <v>2437</v>
      </c>
      <c r="C7592" s="417" t="s">
        <v>17654</v>
      </c>
      <c r="D7592" s="417" t="s">
        <v>989</v>
      </c>
      <c r="E7592" s="423">
        <v>3926.1518795654538</v>
      </c>
      <c r="F7592" s="423">
        <v>151.17869006470619</v>
      </c>
      <c r="G7592" s="422">
        <v>10818074.18709027</v>
      </c>
      <c r="H7592" s="417" t="s">
        <v>2616</v>
      </c>
      <c r="I7592" s="417" t="s">
        <v>1392</v>
      </c>
      <c r="J7592" s="417" t="s">
        <v>4167</v>
      </c>
      <c r="K7592" s="417" t="s">
        <v>17655</v>
      </c>
      <c r="L7592" s="417"/>
      <c r="M7592" s="417" t="s">
        <v>28840</v>
      </c>
    </row>
    <row r="7593" spans="1:13" x14ac:dyDescent="0.25">
      <c r="A7593" s="417" t="s">
        <v>3385</v>
      </c>
      <c r="B7593" s="417" t="s">
        <v>2437</v>
      </c>
      <c r="C7593" s="417" t="s">
        <v>17656</v>
      </c>
      <c r="D7593" s="417" t="s">
        <v>989</v>
      </c>
      <c r="E7593" s="423">
        <v>9136.9992363238998</v>
      </c>
      <c r="F7593" s="423">
        <v>372.32473284264671</v>
      </c>
      <c r="G7593" s="422">
        <v>23085792.652275339</v>
      </c>
      <c r="H7593" s="417" t="s">
        <v>2616</v>
      </c>
      <c r="I7593" s="417" t="s">
        <v>1392</v>
      </c>
      <c r="J7593" s="417" t="s">
        <v>4167</v>
      </c>
      <c r="K7593" s="417" t="s">
        <v>17657</v>
      </c>
      <c r="L7593" s="417"/>
      <c r="M7593" s="417" t="s">
        <v>28840</v>
      </c>
    </row>
    <row r="7594" spans="1:13" x14ac:dyDescent="0.25">
      <c r="A7594" s="417" t="s">
        <v>3385</v>
      </c>
      <c r="B7594" s="417" t="s">
        <v>2437</v>
      </c>
      <c r="C7594" s="417" t="s">
        <v>17658</v>
      </c>
      <c r="D7594" s="417" t="s">
        <v>989</v>
      </c>
      <c r="E7594" s="423">
        <v>18214.430455859889</v>
      </c>
      <c r="F7594" s="423">
        <v>761.49406236361517</v>
      </c>
      <c r="G7594" s="422">
        <v>46765440.440031707</v>
      </c>
      <c r="H7594" s="417" t="s">
        <v>2616</v>
      </c>
      <c r="I7594" s="417" t="s">
        <v>1392</v>
      </c>
      <c r="J7594" s="417" t="s">
        <v>4167</v>
      </c>
      <c r="K7594" s="417" t="s">
        <v>17659</v>
      </c>
      <c r="L7594" s="417"/>
      <c r="M7594" s="417" t="s">
        <v>28840</v>
      </c>
    </row>
    <row r="7595" spans="1:13" x14ac:dyDescent="0.25">
      <c r="A7595" s="417" t="s">
        <v>3385</v>
      </c>
      <c r="B7595" s="417" t="s">
        <v>2437</v>
      </c>
      <c r="C7595" s="417" t="s">
        <v>17660</v>
      </c>
      <c r="D7595" s="417" t="s">
        <v>989</v>
      </c>
      <c r="E7595" s="423">
        <v>15477.22365647162</v>
      </c>
      <c r="F7595" s="423">
        <v>642.81215487545262</v>
      </c>
      <c r="G7595" s="422">
        <v>40128837.013393611</v>
      </c>
      <c r="H7595" s="417" t="s">
        <v>2616</v>
      </c>
      <c r="I7595" s="417" t="s">
        <v>1392</v>
      </c>
      <c r="J7595" s="417" t="s">
        <v>4167</v>
      </c>
      <c r="K7595" s="417" t="s">
        <v>17661</v>
      </c>
      <c r="L7595" s="417"/>
      <c r="M7595" s="417" t="s">
        <v>28840</v>
      </c>
    </row>
    <row r="7596" spans="1:13" x14ac:dyDescent="0.25">
      <c r="A7596" s="417" t="s">
        <v>3385</v>
      </c>
      <c r="B7596" s="417" t="s">
        <v>2437</v>
      </c>
      <c r="C7596" s="417" t="s">
        <v>17662</v>
      </c>
      <c r="D7596" s="417" t="s">
        <v>989</v>
      </c>
      <c r="E7596" s="423">
        <v>10972.944396072</v>
      </c>
      <c r="F7596" s="423">
        <v>448.99128679275401</v>
      </c>
      <c r="G7596" s="422">
        <v>27880317.8347775</v>
      </c>
      <c r="H7596" s="417" t="s">
        <v>2616</v>
      </c>
      <c r="I7596" s="417" t="s">
        <v>1392</v>
      </c>
      <c r="J7596" s="417" t="s">
        <v>4167</v>
      </c>
      <c r="K7596" s="417" t="s">
        <v>17663</v>
      </c>
      <c r="L7596" s="417"/>
      <c r="M7596" s="417" t="s">
        <v>28840</v>
      </c>
    </row>
    <row r="7597" spans="1:13" x14ac:dyDescent="0.25">
      <c r="A7597" s="417" t="s">
        <v>3385</v>
      </c>
      <c r="B7597" s="417" t="s">
        <v>2437</v>
      </c>
      <c r="C7597" s="417" t="s">
        <v>17664</v>
      </c>
      <c r="D7597" s="417" t="s">
        <v>989</v>
      </c>
      <c r="E7597" s="423">
        <v>3899.4713785871081</v>
      </c>
      <c r="F7597" s="423">
        <v>152.60331469283179</v>
      </c>
      <c r="G7597" s="422">
        <v>10542441.728918239</v>
      </c>
      <c r="H7597" s="417" t="s">
        <v>2616</v>
      </c>
      <c r="I7597" s="417" t="s">
        <v>1392</v>
      </c>
      <c r="J7597" s="417" t="s">
        <v>4167</v>
      </c>
      <c r="K7597" s="417" t="s">
        <v>17665</v>
      </c>
      <c r="L7597" s="417"/>
      <c r="M7597" s="417" t="s">
        <v>28840</v>
      </c>
    </row>
    <row r="7598" spans="1:13" x14ac:dyDescent="0.25">
      <c r="A7598" s="417" t="s">
        <v>3385</v>
      </c>
      <c r="B7598" s="417" t="s">
        <v>2437</v>
      </c>
      <c r="C7598" s="417" t="s">
        <v>17666</v>
      </c>
      <c r="D7598" s="417" t="s">
        <v>989</v>
      </c>
      <c r="E7598" s="423">
        <v>6937.1156750735236</v>
      </c>
      <c r="F7598" s="423">
        <v>266.26653086776048</v>
      </c>
      <c r="G7598" s="422">
        <v>14408690.982875319</v>
      </c>
      <c r="H7598" s="417" t="s">
        <v>2616</v>
      </c>
      <c r="I7598" s="417" t="s">
        <v>1392</v>
      </c>
      <c r="J7598" s="417" t="s">
        <v>4167</v>
      </c>
      <c r="K7598" s="417" t="s">
        <v>17667</v>
      </c>
      <c r="L7598" s="417"/>
      <c r="M7598" s="417" t="s">
        <v>28840</v>
      </c>
    </row>
    <row r="7599" spans="1:13" x14ac:dyDescent="0.25">
      <c r="A7599" s="417" t="s">
        <v>3385</v>
      </c>
      <c r="B7599" s="417" t="s">
        <v>2437</v>
      </c>
      <c r="C7599" s="417" t="s">
        <v>17668</v>
      </c>
      <c r="D7599" s="417" t="s">
        <v>989</v>
      </c>
      <c r="E7599" s="423">
        <v>7035.8116458113582</v>
      </c>
      <c r="F7599" s="423">
        <v>269.87066332934688</v>
      </c>
      <c r="G7599" s="422">
        <v>14630436.288723489</v>
      </c>
      <c r="H7599" s="417" t="s">
        <v>2616</v>
      </c>
      <c r="I7599" s="417" t="s">
        <v>1392</v>
      </c>
      <c r="J7599" s="417" t="s">
        <v>4167</v>
      </c>
      <c r="K7599" s="417" t="s">
        <v>17669</v>
      </c>
      <c r="L7599" s="417"/>
      <c r="M7599" s="417" t="s">
        <v>28840</v>
      </c>
    </row>
    <row r="7600" spans="1:13" x14ac:dyDescent="0.25">
      <c r="A7600" s="417" t="s">
        <v>3385</v>
      </c>
      <c r="B7600" s="417" t="s">
        <v>2437</v>
      </c>
      <c r="C7600" s="417" t="s">
        <v>17670</v>
      </c>
      <c r="D7600" s="417" t="s">
        <v>989</v>
      </c>
      <c r="E7600" s="423">
        <v>6904.2702053862849</v>
      </c>
      <c r="F7600" s="423">
        <v>264.84345549286638</v>
      </c>
      <c r="G7600" s="422">
        <v>14354441.339245729</v>
      </c>
      <c r="H7600" s="417" t="s">
        <v>2616</v>
      </c>
      <c r="I7600" s="417" t="s">
        <v>1392</v>
      </c>
      <c r="J7600" s="417" t="s">
        <v>4167</v>
      </c>
      <c r="K7600" s="417" t="s">
        <v>17671</v>
      </c>
      <c r="L7600" s="417"/>
      <c r="M7600" s="417" t="s">
        <v>28840</v>
      </c>
    </row>
    <row r="7601" spans="1:13" x14ac:dyDescent="0.25">
      <c r="A7601" s="417" t="s">
        <v>3385</v>
      </c>
      <c r="B7601" s="417" t="s">
        <v>2437</v>
      </c>
      <c r="C7601" s="417" t="s">
        <v>17672</v>
      </c>
      <c r="D7601" s="417" t="s">
        <v>989</v>
      </c>
      <c r="E7601" s="423">
        <v>6733.4710315357306</v>
      </c>
      <c r="F7601" s="423">
        <v>258.43458964635539</v>
      </c>
      <c r="G7601" s="422">
        <v>13988504.574367041</v>
      </c>
      <c r="H7601" s="417" t="s">
        <v>2616</v>
      </c>
      <c r="I7601" s="417" t="s">
        <v>1392</v>
      </c>
      <c r="J7601" s="417" t="s">
        <v>4167</v>
      </c>
      <c r="K7601" s="417" t="s">
        <v>17673</v>
      </c>
      <c r="L7601" s="417"/>
      <c r="M7601" s="417" t="s">
        <v>28840</v>
      </c>
    </row>
    <row r="7602" spans="1:13" x14ac:dyDescent="0.25">
      <c r="A7602" s="417" t="s">
        <v>3385</v>
      </c>
      <c r="B7602" s="417" t="s">
        <v>2437</v>
      </c>
      <c r="C7602" s="417" t="s">
        <v>17674</v>
      </c>
      <c r="D7602" s="417" t="s">
        <v>989</v>
      </c>
      <c r="E7602" s="423">
        <v>6729.3126811902739</v>
      </c>
      <c r="F7602" s="423">
        <v>258.48620812651058</v>
      </c>
      <c r="G7602" s="422">
        <v>13966331.083047129</v>
      </c>
      <c r="H7602" s="417" t="s">
        <v>2616</v>
      </c>
      <c r="I7602" s="417" t="s">
        <v>1392</v>
      </c>
      <c r="J7602" s="417" t="s">
        <v>4167</v>
      </c>
      <c r="K7602" s="417" t="s">
        <v>17675</v>
      </c>
      <c r="L7602" s="417"/>
      <c r="M7602" s="417" t="s">
        <v>28840</v>
      </c>
    </row>
    <row r="7603" spans="1:13" x14ac:dyDescent="0.25">
      <c r="A7603" s="417" t="s">
        <v>3385</v>
      </c>
      <c r="B7603" s="417" t="s">
        <v>2437</v>
      </c>
      <c r="C7603" s="417" t="s">
        <v>17676</v>
      </c>
      <c r="D7603" s="417" t="s">
        <v>989</v>
      </c>
      <c r="E7603" s="423">
        <v>6721.5467236626628</v>
      </c>
      <c r="F7603" s="423">
        <v>258.4060731697366</v>
      </c>
      <c r="G7603" s="422">
        <v>13940666.37987726</v>
      </c>
      <c r="H7603" s="417" t="s">
        <v>2616</v>
      </c>
      <c r="I7603" s="417" t="s">
        <v>1392</v>
      </c>
      <c r="J7603" s="417" t="s">
        <v>4167</v>
      </c>
      <c r="K7603" s="417" t="s">
        <v>17677</v>
      </c>
      <c r="L7603" s="417"/>
      <c r="M7603" s="417" t="s">
        <v>28840</v>
      </c>
    </row>
    <row r="7604" spans="1:13" x14ac:dyDescent="0.25">
      <c r="A7604" s="417" t="s">
        <v>3385</v>
      </c>
      <c r="B7604" s="417" t="s">
        <v>2437</v>
      </c>
      <c r="C7604" s="417" t="s">
        <v>17678</v>
      </c>
      <c r="D7604" s="417" t="s">
        <v>989</v>
      </c>
      <c r="E7604" s="423">
        <v>6708.9375614556611</v>
      </c>
      <c r="F7604" s="423">
        <v>258.18338713338881</v>
      </c>
      <c r="G7604" s="422">
        <v>13906427.39490761</v>
      </c>
      <c r="H7604" s="417" t="s">
        <v>2616</v>
      </c>
      <c r="I7604" s="417" t="s">
        <v>1392</v>
      </c>
      <c r="J7604" s="417" t="s">
        <v>4167</v>
      </c>
      <c r="K7604" s="417" t="s">
        <v>17679</v>
      </c>
      <c r="L7604" s="417"/>
      <c r="M7604" s="417" t="s">
        <v>28840</v>
      </c>
    </row>
    <row r="7605" spans="1:13" x14ac:dyDescent="0.25">
      <c r="A7605" s="417" t="s">
        <v>3385</v>
      </c>
      <c r="B7605" s="417" t="s">
        <v>2437</v>
      </c>
      <c r="C7605" s="417" t="s">
        <v>17680</v>
      </c>
      <c r="D7605" s="417" t="s">
        <v>989</v>
      </c>
      <c r="E7605" s="423">
        <v>13481.102545477101</v>
      </c>
      <c r="F7605" s="423">
        <v>529.45544774972859</v>
      </c>
      <c r="G7605" s="422">
        <v>27600556.84226067</v>
      </c>
      <c r="H7605" s="417" t="s">
        <v>2616</v>
      </c>
      <c r="I7605" s="417" t="s">
        <v>1392</v>
      </c>
      <c r="J7605" s="417" t="s">
        <v>4167</v>
      </c>
      <c r="K7605" s="417" t="s">
        <v>17681</v>
      </c>
      <c r="L7605" s="417"/>
      <c r="M7605" s="417" t="s">
        <v>28840</v>
      </c>
    </row>
    <row r="7606" spans="1:13" x14ac:dyDescent="0.25">
      <c r="A7606" s="417" t="s">
        <v>3385</v>
      </c>
      <c r="B7606" s="417" t="s">
        <v>2437</v>
      </c>
      <c r="C7606" s="417" t="s">
        <v>17682</v>
      </c>
      <c r="D7606" s="417" t="s">
        <v>989</v>
      </c>
      <c r="E7606" s="423">
        <v>13428.51331896318</v>
      </c>
      <c r="F7606" s="423">
        <v>527.62776687036444</v>
      </c>
      <c r="G7606" s="422">
        <v>27485746.503776439</v>
      </c>
      <c r="H7606" s="417" t="s">
        <v>2616</v>
      </c>
      <c r="I7606" s="417" t="s">
        <v>1392</v>
      </c>
      <c r="J7606" s="417" t="s">
        <v>4167</v>
      </c>
      <c r="K7606" s="417" t="s">
        <v>17683</v>
      </c>
      <c r="L7606" s="417"/>
      <c r="M7606" s="417" t="s">
        <v>28840</v>
      </c>
    </row>
    <row r="7607" spans="1:13" x14ac:dyDescent="0.25">
      <c r="A7607" s="417" t="s">
        <v>3385</v>
      </c>
      <c r="B7607" s="417" t="s">
        <v>2437</v>
      </c>
      <c r="C7607" s="417" t="s">
        <v>17684</v>
      </c>
      <c r="D7607" s="417" t="s">
        <v>989</v>
      </c>
      <c r="E7607" s="423">
        <v>13004.260829072289</v>
      </c>
      <c r="F7607" s="423">
        <v>510.93235052503888</v>
      </c>
      <c r="G7607" s="422">
        <v>26625688.22637685</v>
      </c>
      <c r="H7607" s="417" t="s">
        <v>2616</v>
      </c>
      <c r="I7607" s="417" t="s">
        <v>1392</v>
      </c>
      <c r="J7607" s="417" t="s">
        <v>4167</v>
      </c>
      <c r="K7607" s="417" t="s">
        <v>17685</v>
      </c>
      <c r="L7607" s="417"/>
      <c r="M7607" s="417" t="s">
        <v>28840</v>
      </c>
    </row>
    <row r="7608" spans="1:13" x14ac:dyDescent="0.25">
      <c r="A7608" s="417" t="s">
        <v>3385</v>
      </c>
      <c r="B7608" s="417" t="s">
        <v>2437</v>
      </c>
      <c r="C7608" s="417" t="s">
        <v>17686</v>
      </c>
      <c r="D7608" s="417" t="s">
        <v>989</v>
      </c>
      <c r="E7608" s="423">
        <v>12599.32259841948</v>
      </c>
      <c r="F7608" s="423">
        <v>494.76588861830407</v>
      </c>
      <c r="G7608" s="422">
        <v>25800363.31119572</v>
      </c>
      <c r="H7608" s="417" t="s">
        <v>2616</v>
      </c>
      <c r="I7608" s="417" t="s">
        <v>1392</v>
      </c>
      <c r="J7608" s="417" t="s">
        <v>4167</v>
      </c>
      <c r="K7608" s="417" t="s">
        <v>17687</v>
      </c>
      <c r="L7608" s="417"/>
      <c r="M7608" s="417" t="s">
        <v>28840</v>
      </c>
    </row>
    <row r="7609" spans="1:13" x14ac:dyDescent="0.25">
      <c r="A7609" s="417" t="s">
        <v>3385</v>
      </c>
      <c r="B7609" s="417" t="s">
        <v>2437</v>
      </c>
      <c r="C7609" s="417" t="s">
        <v>17688</v>
      </c>
      <c r="D7609" s="417" t="s">
        <v>989</v>
      </c>
      <c r="E7609" s="423">
        <v>12560.31140241303</v>
      </c>
      <c r="F7609" s="423">
        <v>493.29557151932352</v>
      </c>
      <c r="G7609" s="422">
        <v>25706752.86391696</v>
      </c>
      <c r="H7609" s="417" t="s">
        <v>2616</v>
      </c>
      <c r="I7609" s="417" t="s">
        <v>1392</v>
      </c>
      <c r="J7609" s="417" t="s">
        <v>4167</v>
      </c>
      <c r="K7609" s="417" t="s">
        <v>17689</v>
      </c>
      <c r="L7609" s="417"/>
      <c r="M7609" s="417" t="s">
        <v>28840</v>
      </c>
    </row>
    <row r="7610" spans="1:13" x14ac:dyDescent="0.25">
      <c r="A7610" s="417" t="s">
        <v>3385</v>
      </c>
      <c r="B7610" s="417" t="s">
        <v>2437</v>
      </c>
      <c r="C7610" s="417" t="s">
        <v>17690</v>
      </c>
      <c r="D7610" s="417" t="s">
        <v>989</v>
      </c>
      <c r="E7610" s="423">
        <v>12534.762445776971</v>
      </c>
      <c r="F7610" s="423">
        <v>492.63590417540343</v>
      </c>
      <c r="G7610" s="422">
        <v>25656160.44853482</v>
      </c>
      <c r="H7610" s="417" t="s">
        <v>2616</v>
      </c>
      <c r="I7610" s="417" t="s">
        <v>1392</v>
      </c>
      <c r="J7610" s="417" t="s">
        <v>4167</v>
      </c>
      <c r="K7610" s="417" t="s">
        <v>17691</v>
      </c>
      <c r="L7610" s="417"/>
      <c r="M7610" s="417" t="s">
        <v>28840</v>
      </c>
    </row>
    <row r="7611" spans="1:13" x14ac:dyDescent="0.25">
      <c r="A7611" s="417" t="s">
        <v>3385</v>
      </c>
      <c r="B7611" s="417" t="s">
        <v>2437</v>
      </c>
      <c r="C7611" s="417" t="s">
        <v>17692</v>
      </c>
      <c r="D7611" s="417" t="s">
        <v>989</v>
      </c>
      <c r="E7611" s="423">
        <v>12502.780179988529</v>
      </c>
      <c r="F7611" s="423">
        <v>491.75803271979561</v>
      </c>
      <c r="G7611" s="422">
        <v>25589800.168980811</v>
      </c>
      <c r="H7611" s="417" t="s">
        <v>2616</v>
      </c>
      <c r="I7611" s="417" t="s">
        <v>1392</v>
      </c>
      <c r="J7611" s="417" t="s">
        <v>4167</v>
      </c>
      <c r="K7611" s="417" t="s">
        <v>17693</v>
      </c>
      <c r="L7611" s="417"/>
      <c r="M7611" s="417" t="s">
        <v>28840</v>
      </c>
    </row>
    <row r="7612" spans="1:13" x14ac:dyDescent="0.25">
      <c r="A7612" s="417" t="s">
        <v>3385</v>
      </c>
      <c r="B7612" s="417" t="s">
        <v>2437</v>
      </c>
      <c r="C7612" s="417" t="s">
        <v>17694</v>
      </c>
      <c r="D7612" s="417" t="s">
        <v>989</v>
      </c>
      <c r="E7612" s="423">
        <v>11357.963573616111</v>
      </c>
      <c r="F7612" s="423">
        <v>441.28549387920691</v>
      </c>
      <c r="G7612" s="422">
        <v>23401297.899098132</v>
      </c>
      <c r="H7612" s="417" t="s">
        <v>2616</v>
      </c>
      <c r="I7612" s="417" t="s">
        <v>1392</v>
      </c>
      <c r="J7612" s="417" t="s">
        <v>4167</v>
      </c>
      <c r="K7612" s="417" t="s">
        <v>17695</v>
      </c>
      <c r="L7612" s="417"/>
      <c r="M7612" s="417" t="s">
        <v>28840</v>
      </c>
    </row>
    <row r="7613" spans="1:13" x14ac:dyDescent="0.25">
      <c r="A7613" s="417" t="s">
        <v>3385</v>
      </c>
      <c r="B7613" s="417" t="s">
        <v>2437</v>
      </c>
      <c r="C7613" s="417" t="s">
        <v>17696</v>
      </c>
      <c r="D7613" s="417" t="s">
        <v>989</v>
      </c>
      <c r="E7613" s="423">
        <v>11305.37434722754</v>
      </c>
      <c r="F7613" s="423">
        <v>439.45781300051061</v>
      </c>
      <c r="G7613" s="422">
        <v>23286487.561039381</v>
      </c>
      <c r="H7613" s="417" t="s">
        <v>2616</v>
      </c>
      <c r="I7613" s="417" t="s">
        <v>1392</v>
      </c>
      <c r="J7613" s="417" t="s">
        <v>4167</v>
      </c>
      <c r="K7613" s="417" t="s">
        <v>17697</v>
      </c>
      <c r="L7613" s="417"/>
      <c r="M7613" s="417" t="s">
        <v>28840</v>
      </c>
    </row>
    <row r="7614" spans="1:13" x14ac:dyDescent="0.25">
      <c r="A7614" s="417" t="s">
        <v>3385</v>
      </c>
      <c r="B7614" s="417" t="s">
        <v>2437</v>
      </c>
      <c r="C7614" s="417" t="s">
        <v>17698</v>
      </c>
      <c r="D7614" s="417" t="s">
        <v>989</v>
      </c>
      <c r="E7614" s="423">
        <v>10997.265979136449</v>
      </c>
      <c r="F7614" s="423">
        <v>427.56372072942958</v>
      </c>
      <c r="G7614" s="422">
        <v>22655141.433431379</v>
      </c>
      <c r="H7614" s="417" t="s">
        <v>2616</v>
      </c>
      <c r="I7614" s="417" t="s">
        <v>1392</v>
      </c>
      <c r="J7614" s="417" t="s">
        <v>4167</v>
      </c>
      <c r="K7614" s="417" t="s">
        <v>17699</v>
      </c>
      <c r="L7614" s="417"/>
      <c r="M7614" s="417" t="s">
        <v>28840</v>
      </c>
    </row>
    <row r="7615" spans="1:13" x14ac:dyDescent="0.25">
      <c r="A7615" s="417" t="s">
        <v>3385</v>
      </c>
      <c r="B7615" s="417" t="s">
        <v>2437</v>
      </c>
      <c r="C7615" s="417" t="s">
        <v>17700</v>
      </c>
      <c r="D7615" s="417" t="s">
        <v>989</v>
      </c>
      <c r="E7615" s="423">
        <v>10657.53765086302</v>
      </c>
      <c r="F7615" s="423">
        <v>414.03143714843128</v>
      </c>
      <c r="G7615" s="422">
        <v>21961751.128281072</v>
      </c>
      <c r="H7615" s="417" t="s">
        <v>2616</v>
      </c>
      <c r="I7615" s="417" t="s">
        <v>1392</v>
      </c>
      <c r="J7615" s="417" t="s">
        <v>4167</v>
      </c>
      <c r="K7615" s="417" t="s">
        <v>17701</v>
      </c>
      <c r="L7615" s="417"/>
      <c r="M7615" s="417" t="s">
        <v>28840</v>
      </c>
    </row>
    <row r="7616" spans="1:13" x14ac:dyDescent="0.25">
      <c r="A7616" s="417" t="s">
        <v>3385</v>
      </c>
      <c r="B7616" s="417" t="s">
        <v>2437</v>
      </c>
      <c r="C7616" s="417" t="s">
        <v>17702</v>
      </c>
      <c r="D7616" s="417" t="s">
        <v>989</v>
      </c>
      <c r="E7616" s="423">
        <v>10614.795698295849</v>
      </c>
      <c r="F7616" s="423">
        <v>412.74568270927898</v>
      </c>
      <c r="G7616" s="422">
        <v>21869677.777260151</v>
      </c>
      <c r="H7616" s="417" t="s">
        <v>2616</v>
      </c>
      <c r="I7616" s="417" t="s">
        <v>1392</v>
      </c>
      <c r="J7616" s="417" t="s">
        <v>4167</v>
      </c>
      <c r="K7616" s="417" t="s">
        <v>17703</v>
      </c>
      <c r="L7616" s="417"/>
      <c r="M7616" s="417" t="s">
        <v>28840</v>
      </c>
    </row>
    <row r="7617" spans="1:13" x14ac:dyDescent="0.25">
      <c r="A7617" s="417" t="s">
        <v>3385</v>
      </c>
      <c r="B7617" s="417" t="s">
        <v>2437</v>
      </c>
      <c r="C7617" s="417" t="s">
        <v>17704</v>
      </c>
      <c r="D7617" s="417" t="s">
        <v>989</v>
      </c>
      <c r="E7617" s="423">
        <v>10597.602702175751</v>
      </c>
      <c r="F7617" s="423">
        <v>412.11959560980517</v>
      </c>
      <c r="G7617" s="422">
        <v>21828196.847629569</v>
      </c>
      <c r="H7617" s="417" t="s">
        <v>2616</v>
      </c>
      <c r="I7617" s="417" t="s">
        <v>1392</v>
      </c>
      <c r="J7617" s="417" t="s">
        <v>4167</v>
      </c>
      <c r="K7617" s="417" t="s">
        <v>17705</v>
      </c>
      <c r="L7617" s="417"/>
      <c r="M7617" s="417" t="s">
        <v>28840</v>
      </c>
    </row>
    <row r="7618" spans="1:13" x14ac:dyDescent="0.25">
      <c r="A7618" s="417" t="s">
        <v>3385</v>
      </c>
      <c r="B7618" s="417" t="s">
        <v>2437</v>
      </c>
      <c r="C7618" s="417" t="s">
        <v>17706</v>
      </c>
      <c r="D7618" s="417" t="s">
        <v>989</v>
      </c>
      <c r="E7618" s="423">
        <v>10568.43935221066</v>
      </c>
      <c r="F7618" s="423">
        <v>411.25426029033218</v>
      </c>
      <c r="G7618" s="422">
        <v>21769046.181597881</v>
      </c>
      <c r="H7618" s="417" t="s">
        <v>2616</v>
      </c>
      <c r="I7618" s="417" t="s">
        <v>1392</v>
      </c>
      <c r="J7618" s="417" t="s">
        <v>4167</v>
      </c>
      <c r="K7618" s="417" t="s">
        <v>17707</v>
      </c>
      <c r="L7618" s="417"/>
      <c r="M7618" s="417" t="s">
        <v>28840</v>
      </c>
    </row>
    <row r="7619" spans="1:13" x14ac:dyDescent="0.25">
      <c r="A7619" s="417" t="s">
        <v>3385</v>
      </c>
      <c r="B7619" s="417" t="s">
        <v>2437</v>
      </c>
      <c r="C7619" s="417" t="s">
        <v>17708</v>
      </c>
      <c r="D7619" s="417" t="s">
        <v>989</v>
      </c>
      <c r="E7619" s="423">
        <v>8495.6774276766646</v>
      </c>
      <c r="F7619" s="423">
        <v>328.94257948443368</v>
      </c>
      <c r="G7619" s="422">
        <v>17539046.006448399</v>
      </c>
      <c r="H7619" s="417" t="s">
        <v>2616</v>
      </c>
      <c r="I7619" s="417" t="s">
        <v>1392</v>
      </c>
      <c r="J7619" s="417" t="s">
        <v>4167</v>
      </c>
      <c r="K7619" s="417" t="s">
        <v>17709</v>
      </c>
      <c r="L7619" s="417"/>
      <c r="M7619" s="417" t="s">
        <v>28840</v>
      </c>
    </row>
    <row r="7620" spans="1:13" x14ac:dyDescent="0.25">
      <c r="A7620" s="417" t="s">
        <v>3385</v>
      </c>
      <c r="B7620" s="417" t="s">
        <v>2437</v>
      </c>
      <c r="C7620" s="417" t="s">
        <v>17710</v>
      </c>
      <c r="D7620" s="417" t="s">
        <v>989</v>
      </c>
      <c r="E7620" s="423">
        <v>8466.5451918053532</v>
      </c>
      <c r="F7620" s="423">
        <v>327.66731555561989</v>
      </c>
      <c r="G7620" s="422">
        <v>17470168.8248979</v>
      </c>
      <c r="H7620" s="417" t="s">
        <v>2616</v>
      </c>
      <c r="I7620" s="417" t="s">
        <v>1392</v>
      </c>
      <c r="J7620" s="417" t="s">
        <v>4167</v>
      </c>
      <c r="K7620" s="417" t="s">
        <v>17711</v>
      </c>
      <c r="L7620" s="417"/>
      <c r="M7620" s="417" t="s">
        <v>28840</v>
      </c>
    </row>
    <row r="7621" spans="1:13" x14ac:dyDescent="0.25">
      <c r="A7621" s="417" t="s">
        <v>3385</v>
      </c>
      <c r="B7621" s="417" t="s">
        <v>2437</v>
      </c>
      <c r="C7621" s="417" t="s">
        <v>17712</v>
      </c>
      <c r="D7621" s="417" t="s">
        <v>989</v>
      </c>
      <c r="E7621" s="423">
        <v>8201.4280102601351</v>
      </c>
      <c r="F7621" s="423">
        <v>317.03853885193161</v>
      </c>
      <c r="G7621" s="422">
        <v>16932058.832626771</v>
      </c>
      <c r="H7621" s="417" t="s">
        <v>2616</v>
      </c>
      <c r="I7621" s="417" t="s">
        <v>1392</v>
      </c>
      <c r="J7621" s="417" t="s">
        <v>4167</v>
      </c>
      <c r="K7621" s="417" t="s">
        <v>17713</v>
      </c>
      <c r="L7621" s="417"/>
      <c r="M7621" s="417" t="s">
        <v>28840</v>
      </c>
    </row>
    <row r="7622" spans="1:13" x14ac:dyDescent="0.25">
      <c r="A7622" s="417" t="s">
        <v>3385</v>
      </c>
      <c r="B7622" s="417" t="s">
        <v>2437</v>
      </c>
      <c r="C7622" s="417" t="s">
        <v>17714</v>
      </c>
      <c r="D7622" s="417" t="s">
        <v>989</v>
      </c>
      <c r="E7622" s="423">
        <v>7990.2886582893198</v>
      </c>
      <c r="F7622" s="423">
        <v>309.04234397192789</v>
      </c>
      <c r="G7622" s="422">
        <v>16508566.84204643</v>
      </c>
      <c r="H7622" s="417" t="s">
        <v>2616</v>
      </c>
      <c r="I7622" s="417" t="s">
        <v>1392</v>
      </c>
      <c r="J7622" s="417" t="s">
        <v>4167</v>
      </c>
      <c r="K7622" s="417" t="s">
        <v>17715</v>
      </c>
      <c r="L7622" s="417"/>
      <c r="M7622" s="417" t="s">
        <v>28840</v>
      </c>
    </row>
    <row r="7623" spans="1:13" x14ac:dyDescent="0.25">
      <c r="A7623" s="417" t="s">
        <v>3385</v>
      </c>
      <c r="B7623" s="417" t="s">
        <v>2437</v>
      </c>
      <c r="C7623" s="417" t="s">
        <v>17716</v>
      </c>
      <c r="D7623" s="417" t="s">
        <v>989</v>
      </c>
      <c r="E7623" s="423">
        <v>7974.3622812867779</v>
      </c>
      <c r="F7623" s="423">
        <v>308.47170313237439</v>
      </c>
      <c r="G7623" s="422">
        <v>16470080.569887791</v>
      </c>
      <c r="H7623" s="417" t="s">
        <v>2616</v>
      </c>
      <c r="I7623" s="417" t="s">
        <v>1392</v>
      </c>
      <c r="J7623" s="417" t="s">
        <v>4167</v>
      </c>
      <c r="K7623" s="417" t="s">
        <v>17717</v>
      </c>
      <c r="L7623" s="417"/>
      <c r="M7623" s="417" t="s">
        <v>28840</v>
      </c>
    </row>
    <row r="7624" spans="1:13" x14ac:dyDescent="0.25">
      <c r="A7624" s="417" t="s">
        <v>3385</v>
      </c>
      <c r="B7624" s="417" t="s">
        <v>2437</v>
      </c>
      <c r="C7624" s="417" t="s">
        <v>17718</v>
      </c>
      <c r="D7624" s="417" t="s">
        <v>989</v>
      </c>
      <c r="E7624" s="423">
        <v>7970.3703867474569</v>
      </c>
      <c r="F7624" s="423">
        <v>308.28128335498758</v>
      </c>
      <c r="G7624" s="422">
        <v>16460929.31440177</v>
      </c>
      <c r="H7624" s="417" t="s">
        <v>2616</v>
      </c>
      <c r="I7624" s="417" t="s">
        <v>1392</v>
      </c>
      <c r="J7624" s="417" t="s">
        <v>4167</v>
      </c>
      <c r="K7624" s="417" t="s">
        <v>17719</v>
      </c>
      <c r="L7624" s="417"/>
      <c r="M7624" s="417" t="s">
        <v>28840</v>
      </c>
    </row>
    <row r="7625" spans="1:13" x14ac:dyDescent="0.25">
      <c r="A7625" s="417" t="s">
        <v>3385</v>
      </c>
      <c r="B7625" s="417" t="s">
        <v>2437</v>
      </c>
      <c r="C7625" s="417" t="s">
        <v>17720</v>
      </c>
      <c r="D7625" s="417" t="s">
        <v>989</v>
      </c>
      <c r="E7625" s="423">
        <v>7949.6222069193982</v>
      </c>
      <c r="F7625" s="423">
        <v>307.80000225918639</v>
      </c>
      <c r="G7625" s="422">
        <v>16421399.16596235</v>
      </c>
      <c r="H7625" s="417" t="s">
        <v>2616</v>
      </c>
      <c r="I7625" s="417" t="s">
        <v>1392</v>
      </c>
      <c r="J7625" s="417" t="s">
        <v>4167</v>
      </c>
      <c r="K7625" s="417" t="s">
        <v>17721</v>
      </c>
      <c r="L7625" s="417"/>
      <c r="M7625" s="417" t="s">
        <v>28840</v>
      </c>
    </row>
    <row r="7626" spans="1:13" x14ac:dyDescent="0.25">
      <c r="A7626" s="417" t="s">
        <v>3385</v>
      </c>
      <c r="B7626" s="417" t="s">
        <v>2437</v>
      </c>
      <c r="C7626" s="417" t="s">
        <v>17722</v>
      </c>
      <c r="D7626" s="417" t="s">
        <v>989</v>
      </c>
      <c r="E7626" s="423">
        <v>7083.1035440757241</v>
      </c>
      <c r="F7626" s="423">
        <v>268.46041269713209</v>
      </c>
      <c r="G7626" s="422">
        <v>15549630.31567738</v>
      </c>
      <c r="H7626" s="417" t="s">
        <v>2616</v>
      </c>
      <c r="I7626" s="417" t="s">
        <v>1392</v>
      </c>
      <c r="J7626" s="417" t="s">
        <v>4167</v>
      </c>
      <c r="K7626" s="417" t="s">
        <v>17723</v>
      </c>
      <c r="L7626" s="417"/>
      <c r="M7626" s="417" t="s">
        <v>28840</v>
      </c>
    </row>
    <row r="7627" spans="1:13" x14ac:dyDescent="0.25">
      <c r="A7627" s="417" t="s">
        <v>3385</v>
      </c>
      <c r="B7627" s="417" t="s">
        <v>2437</v>
      </c>
      <c r="C7627" s="417" t="s">
        <v>17724</v>
      </c>
      <c r="D7627" s="417" t="s">
        <v>989</v>
      </c>
      <c r="E7627" s="423">
        <v>7159.2609965372258</v>
      </c>
      <c r="F7627" s="423">
        <v>271.86866661766192</v>
      </c>
      <c r="G7627" s="422">
        <v>15697008.55873126</v>
      </c>
      <c r="H7627" s="417" t="s">
        <v>2616</v>
      </c>
      <c r="I7627" s="417" t="s">
        <v>1392</v>
      </c>
      <c r="J7627" s="417" t="s">
        <v>4167</v>
      </c>
      <c r="K7627" s="417" t="s">
        <v>17725</v>
      </c>
      <c r="L7627" s="417"/>
      <c r="M7627" s="417" t="s">
        <v>28840</v>
      </c>
    </row>
    <row r="7628" spans="1:13" x14ac:dyDescent="0.25">
      <c r="A7628" s="417" t="s">
        <v>3385</v>
      </c>
      <c r="B7628" s="417" t="s">
        <v>2437</v>
      </c>
      <c r="C7628" s="417" t="s">
        <v>17726</v>
      </c>
      <c r="D7628" s="417" t="s">
        <v>989</v>
      </c>
      <c r="E7628" s="423">
        <v>7230.7595249377709</v>
      </c>
      <c r="F7628" s="423">
        <v>275.13405910291232</v>
      </c>
      <c r="G7628" s="422">
        <v>15838748.912143679</v>
      </c>
      <c r="H7628" s="417" t="s">
        <v>2616</v>
      </c>
      <c r="I7628" s="417" t="s">
        <v>1392</v>
      </c>
      <c r="J7628" s="417" t="s">
        <v>4167</v>
      </c>
      <c r="K7628" s="417" t="s">
        <v>17727</v>
      </c>
      <c r="L7628" s="417"/>
      <c r="M7628" s="417" t="s">
        <v>28840</v>
      </c>
    </row>
    <row r="7629" spans="1:13" x14ac:dyDescent="0.25">
      <c r="A7629" s="417" t="s">
        <v>3385</v>
      </c>
      <c r="B7629" s="417" t="s">
        <v>2437</v>
      </c>
      <c r="C7629" s="417" t="s">
        <v>17728</v>
      </c>
      <c r="D7629" s="417" t="s">
        <v>989</v>
      </c>
      <c r="E7629" s="423">
        <v>7232.8417916434746</v>
      </c>
      <c r="F7629" s="423">
        <v>275.12997148151942</v>
      </c>
      <c r="G7629" s="422">
        <v>15840874.97411906</v>
      </c>
      <c r="H7629" s="417" t="s">
        <v>2616</v>
      </c>
      <c r="I7629" s="417" t="s">
        <v>1392</v>
      </c>
      <c r="J7629" s="417" t="s">
        <v>4167</v>
      </c>
      <c r="K7629" s="417" t="s">
        <v>17729</v>
      </c>
      <c r="L7629" s="417"/>
      <c r="M7629" s="417" t="s">
        <v>28840</v>
      </c>
    </row>
    <row r="7630" spans="1:13" x14ac:dyDescent="0.25">
      <c r="A7630" s="417" t="s">
        <v>3385</v>
      </c>
      <c r="B7630" s="417" t="s">
        <v>2437</v>
      </c>
      <c r="C7630" s="417" t="s">
        <v>17730</v>
      </c>
      <c r="D7630" s="417" t="s">
        <v>989</v>
      </c>
      <c r="E7630" s="423">
        <v>7213.856878757656</v>
      </c>
      <c r="F7630" s="423">
        <v>274.6732734745213</v>
      </c>
      <c r="G7630" s="422">
        <v>15791104.091802999</v>
      </c>
      <c r="H7630" s="417" t="s">
        <v>2616</v>
      </c>
      <c r="I7630" s="417" t="s">
        <v>1392</v>
      </c>
      <c r="J7630" s="417" t="s">
        <v>4167</v>
      </c>
      <c r="K7630" s="417" t="s">
        <v>17731</v>
      </c>
      <c r="L7630" s="417"/>
      <c r="M7630" s="417" t="s">
        <v>28840</v>
      </c>
    </row>
    <row r="7631" spans="1:13" x14ac:dyDescent="0.25">
      <c r="A7631" s="417" t="s">
        <v>3385</v>
      </c>
      <c r="B7631" s="417" t="s">
        <v>2437</v>
      </c>
      <c r="C7631" s="417" t="s">
        <v>17732</v>
      </c>
      <c r="D7631" s="417" t="s">
        <v>989</v>
      </c>
      <c r="E7631" s="423">
        <v>12733.438827769211</v>
      </c>
      <c r="F7631" s="423">
        <v>496.75027226280008</v>
      </c>
      <c r="G7631" s="422">
        <v>27104016.845340949</v>
      </c>
      <c r="H7631" s="417" t="s">
        <v>2616</v>
      </c>
      <c r="I7631" s="417" t="s">
        <v>1392</v>
      </c>
      <c r="J7631" s="417" t="s">
        <v>4167</v>
      </c>
      <c r="K7631" s="417" t="s">
        <v>17733</v>
      </c>
      <c r="L7631" s="417"/>
      <c r="M7631" s="417" t="s">
        <v>28840</v>
      </c>
    </row>
    <row r="7632" spans="1:13" x14ac:dyDescent="0.25">
      <c r="A7632" s="417" t="s">
        <v>3385</v>
      </c>
      <c r="B7632" s="417" t="s">
        <v>2437</v>
      </c>
      <c r="C7632" s="417" t="s">
        <v>17734</v>
      </c>
      <c r="D7632" s="417" t="s">
        <v>989</v>
      </c>
      <c r="E7632" s="423">
        <v>12703.061344941791</v>
      </c>
      <c r="F7632" s="423">
        <v>496.07196251367401</v>
      </c>
      <c r="G7632" s="422">
        <v>27033602.955560811</v>
      </c>
      <c r="H7632" s="417" t="s">
        <v>2616</v>
      </c>
      <c r="I7632" s="417" t="s">
        <v>1392</v>
      </c>
      <c r="J7632" s="417" t="s">
        <v>4167</v>
      </c>
      <c r="K7632" s="417" t="s">
        <v>17735</v>
      </c>
      <c r="L7632" s="417"/>
      <c r="M7632" s="417" t="s">
        <v>28840</v>
      </c>
    </row>
    <row r="7633" spans="1:13" x14ac:dyDescent="0.25">
      <c r="A7633" s="417" t="s">
        <v>3385</v>
      </c>
      <c r="B7633" s="417" t="s">
        <v>2437</v>
      </c>
      <c r="C7633" s="417" t="s">
        <v>17736</v>
      </c>
      <c r="D7633" s="417" t="s">
        <v>989</v>
      </c>
      <c r="E7633" s="423">
        <v>12686.66172067447</v>
      </c>
      <c r="F7633" s="423">
        <v>495.64053794044798</v>
      </c>
      <c r="G7633" s="422">
        <v>26989488.66558921</v>
      </c>
      <c r="H7633" s="417" t="s">
        <v>2616</v>
      </c>
      <c r="I7633" s="417" t="s">
        <v>1392</v>
      </c>
      <c r="J7633" s="417" t="s">
        <v>4167</v>
      </c>
      <c r="K7633" s="417" t="s">
        <v>17737</v>
      </c>
      <c r="L7633" s="417"/>
      <c r="M7633" s="417" t="s">
        <v>28840</v>
      </c>
    </row>
    <row r="7634" spans="1:13" x14ac:dyDescent="0.25">
      <c r="A7634" s="417" t="s">
        <v>3385</v>
      </c>
      <c r="B7634" s="417" t="s">
        <v>2437</v>
      </c>
      <c r="C7634" s="417" t="s">
        <v>17738</v>
      </c>
      <c r="D7634" s="417" t="s">
        <v>989</v>
      </c>
      <c r="E7634" s="423">
        <v>12683.23895968304</v>
      </c>
      <c r="F7634" s="423">
        <v>495.5015398174603</v>
      </c>
      <c r="G7634" s="422">
        <v>26978954.891618799</v>
      </c>
      <c r="H7634" s="417" t="s">
        <v>2616</v>
      </c>
      <c r="I7634" s="417" t="s">
        <v>1392</v>
      </c>
      <c r="J7634" s="417" t="s">
        <v>4167</v>
      </c>
      <c r="K7634" s="417" t="s">
        <v>17739</v>
      </c>
      <c r="L7634" s="417"/>
      <c r="M7634" s="417" t="s">
        <v>28840</v>
      </c>
    </row>
    <row r="7635" spans="1:13" x14ac:dyDescent="0.25">
      <c r="A7635" s="417" t="s">
        <v>3385</v>
      </c>
      <c r="B7635" s="417" t="s">
        <v>2437</v>
      </c>
      <c r="C7635" s="417" t="s">
        <v>17740</v>
      </c>
      <c r="D7635" s="417" t="s">
        <v>989</v>
      </c>
      <c r="E7635" s="423">
        <v>12649.643179872301</v>
      </c>
      <c r="F7635" s="423">
        <v>494.77467282993348</v>
      </c>
      <c r="G7635" s="422">
        <v>26898113.262789469</v>
      </c>
      <c r="H7635" s="417" t="s">
        <v>2616</v>
      </c>
      <c r="I7635" s="417" t="s">
        <v>1392</v>
      </c>
      <c r="J7635" s="417" t="s">
        <v>4167</v>
      </c>
      <c r="K7635" s="417" t="s">
        <v>17741</v>
      </c>
      <c r="L7635" s="417"/>
      <c r="M7635" s="417" t="s">
        <v>28840</v>
      </c>
    </row>
    <row r="7636" spans="1:13" x14ac:dyDescent="0.25">
      <c r="A7636" s="417" t="s">
        <v>3385</v>
      </c>
      <c r="B7636" s="417" t="s">
        <v>2437</v>
      </c>
      <c r="C7636" s="417" t="s">
        <v>17742</v>
      </c>
      <c r="D7636" s="417" t="s">
        <v>989</v>
      </c>
      <c r="E7636" s="423">
        <v>10760.378479796609</v>
      </c>
      <c r="F7636" s="423">
        <v>414.55805647667012</v>
      </c>
      <c r="G7636" s="422">
        <v>23159373.924822021</v>
      </c>
      <c r="H7636" s="417" t="s">
        <v>2616</v>
      </c>
      <c r="I7636" s="417" t="s">
        <v>1392</v>
      </c>
      <c r="J7636" s="417" t="s">
        <v>4167</v>
      </c>
      <c r="K7636" s="417" t="s">
        <v>17743</v>
      </c>
      <c r="L7636" s="417"/>
      <c r="M7636" s="417" t="s">
        <v>28840</v>
      </c>
    </row>
    <row r="7637" spans="1:13" x14ac:dyDescent="0.25">
      <c r="A7637" s="417" t="s">
        <v>3385</v>
      </c>
      <c r="B7637" s="417" t="s">
        <v>2437</v>
      </c>
      <c r="C7637" s="417" t="s">
        <v>17744</v>
      </c>
      <c r="D7637" s="417" t="s">
        <v>989</v>
      </c>
      <c r="E7637" s="423">
        <v>10738.55347096753</v>
      </c>
      <c r="F7637" s="423">
        <v>414.09123548166991</v>
      </c>
      <c r="G7637" s="422">
        <v>23112103.961358041</v>
      </c>
      <c r="H7637" s="417" t="s">
        <v>2616</v>
      </c>
      <c r="I7637" s="417" t="s">
        <v>1392</v>
      </c>
      <c r="J7637" s="417" t="s">
        <v>4167</v>
      </c>
      <c r="K7637" s="417" t="s">
        <v>17745</v>
      </c>
      <c r="L7637" s="417"/>
      <c r="M7637" s="417" t="s">
        <v>28840</v>
      </c>
    </row>
    <row r="7638" spans="1:13" x14ac:dyDescent="0.25">
      <c r="A7638" s="417" t="s">
        <v>3385</v>
      </c>
      <c r="B7638" s="417" t="s">
        <v>2437</v>
      </c>
      <c r="C7638" s="417" t="s">
        <v>17746</v>
      </c>
      <c r="D7638" s="417" t="s">
        <v>989</v>
      </c>
      <c r="E7638" s="423">
        <v>10720.522279983101</v>
      </c>
      <c r="F7638" s="423">
        <v>413.60991102661632</v>
      </c>
      <c r="G7638" s="422">
        <v>23063800.722650342</v>
      </c>
      <c r="H7638" s="417" t="s">
        <v>2616</v>
      </c>
      <c r="I7638" s="417" t="s">
        <v>1392</v>
      </c>
      <c r="J7638" s="417" t="s">
        <v>4167</v>
      </c>
      <c r="K7638" s="417" t="s">
        <v>17747</v>
      </c>
      <c r="L7638" s="417"/>
      <c r="M7638" s="417" t="s">
        <v>28840</v>
      </c>
    </row>
    <row r="7639" spans="1:13" x14ac:dyDescent="0.25">
      <c r="A7639" s="417" t="s">
        <v>3385</v>
      </c>
      <c r="B7639" s="417" t="s">
        <v>2437</v>
      </c>
      <c r="C7639" s="417" t="s">
        <v>17748</v>
      </c>
      <c r="D7639" s="417" t="s">
        <v>989</v>
      </c>
      <c r="E7639" s="423">
        <v>10717.09951899304</v>
      </c>
      <c r="F7639" s="423">
        <v>413.47091289959639</v>
      </c>
      <c r="G7639" s="422">
        <v>23053266.947719421</v>
      </c>
      <c r="H7639" s="417" t="s">
        <v>2616</v>
      </c>
      <c r="I7639" s="417" t="s">
        <v>1392</v>
      </c>
      <c r="J7639" s="417" t="s">
        <v>4167</v>
      </c>
      <c r="K7639" s="417" t="s">
        <v>17749</v>
      </c>
      <c r="L7639" s="417"/>
      <c r="M7639" s="417" t="s">
        <v>28840</v>
      </c>
    </row>
    <row r="7640" spans="1:13" x14ac:dyDescent="0.25">
      <c r="A7640" s="417" t="s">
        <v>3385</v>
      </c>
      <c r="B7640" s="417" t="s">
        <v>2437</v>
      </c>
      <c r="C7640" s="417" t="s">
        <v>17750</v>
      </c>
      <c r="D7640" s="417" t="s">
        <v>989</v>
      </c>
      <c r="E7640" s="423">
        <v>10681.83525010057</v>
      </c>
      <c r="F7640" s="423">
        <v>412.697555116817</v>
      </c>
      <c r="G7640" s="422">
        <v>22969587.433245681</v>
      </c>
      <c r="H7640" s="417" t="s">
        <v>2616</v>
      </c>
      <c r="I7640" s="417" t="s">
        <v>1392</v>
      </c>
      <c r="J7640" s="417" t="s">
        <v>4167</v>
      </c>
      <c r="K7640" s="417" t="s">
        <v>17751</v>
      </c>
      <c r="L7640" s="417"/>
      <c r="M7640" s="417" t="s">
        <v>28840</v>
      </c>
    </row>
    <row r="7641" spans="1:13" x14ac:dyDescent="0.25">
      <c r="A7641" s="417" t="s">
        <v>3385</v>
      </c>
      <c r="B7641" s="417" t="s">
        <v>2437</v>
      </c>
      <c r="C7641" s="417" t="s">
        <v>17752</v>
      </c>
      <c r="D7641" s="417" t="s">
        <v>989</v>
      </c>
      <c r="E7641" s="423">
        <v>8520.4990240011393</v>
      </c>
      <c r="F7641" s="423">
        <v>326.27552116803929</v>
      </c>
      <c r="G7641" s="422">
        <v>18500424.03279959</v>
      </c>
      <c r="H7641" s="417" t="s">
        <v>2616</v>
      </c>
      <c r="I7641" s="417" t="s">
        <v>1392</v>
      </c>
      <c r="J7641" s="417" t="s">
        <v>4167</v>
      </c>
      <c r="K7641" s="417" t="s">
        <v>17753</v>
      </c>
      <c r="L7641" s="417"/>
      <c r="M7641" s="417" t="s">
        <v>28840</v>
      </c>
    </row>
    <row r="7642" spans="1:13" x14ac:dyDescent="0.25">
      <c r="A7642" s="417" t="s">
        <v>3385</v>
      </c>
      <c r="B7642" s="417" t="s">
        <v>2437</v>
      </c>
      <c r="C7642" s="417" t="s">
        <v>17754</v>
      </c>
      <c r="D7642" s="417" t="s">
        <v>989</v>
      </c>
      <c r="E7642" s="423">
        <v>8506.5752169679163</v>
      </c>
      <c r="F7642" s="423">
        <v>325.85497663395603</v>
      </c>
      <c r="G7642" s="422">
        <v>18462414.832955599</v>
      </c>
      <c r="H7642" s="417" t="s">
        <v>2616</v>
      </c>
      <c r="I7642" s="417" t="s">
        <v>1392</v>
      </c>
      <c r="J7642" s="417" t="s">
        <v>4167</v>
      </c>
      <c r="K7642" s="417" t="s">
        <v>17755</v>
      </c>
      <c r="L7642" s="417"/>
      <c r="M7642" s="417" t="s">
        <v>28840</v>
      </c>
    </row>
    <row r="7643" spans="1:13" x14ac:dyDescent="0.25">
      <c r="A7643" s="417" t="s">
        <v>3385</v>
      </c>
      <c r="B7643" s="417" t="s">
        <v>2437</v>
      </c>
      <c r="C7643" s="417" t="s">
        <v>17756</v>
      </c>
      <c r="D7643" s="417" t="s">
        <v>989</v>
      </c>
      <c r="E7643" s="423">
        <v>8488.816863590202</v>
      </c>
      <c r="F7643" s="423">
        <v>325.56074918689779</v>
      </c>
      <c r="G7643" s="422">
        <v>18428279.80892146</v>
      </c>
      <c r="H7643" s="417" t="s">
        <v>2616</v>
      </c>
      <c r="I7643" s="417" t="s">
        <v>1392</v>
      </c>
      <c r="J7643" s="417" t="s">
        <v>4167</v>
      </c>
      <c r="K7643" s="417" t="s">
        <v>17757</v>
      </c>
      <c r="L7643" s="417"/>
      <c r="M7643" s="417" t="s">
        <v>28840</v>
      </c>
    </row>
    <row r="7644" spans="1:13" x14ac:dyDescent="0.25">
      <c r="A7644" s="417" t="s">
        <v>3385</v>
      </c>
      <c r="B7644" s="417" t="s">
        <v>2437</v>
      </c>
      <c r="C7644" s="417" t="s">
        <v>17758</v>
      </c>
      <c r="D7644" s="417" t="s">
        <v>989</v>
      </c>
      <c r="E7644" s="423">
        <v>8480.9066976885588</v>
      </c>
      <c r="F7644" s="423">
        <v>325.36272412942691</v>
      </c>
      <c r="G7644" s="422">
        <v>18407698.532058422</v>
      </c>
      <c r="H7644" s="417" t="s">
        <v>2616</v>
      </c>
      <c r="I7644" s="417" t="s">
        <v>1392</v>
      </c>
      <c r="J7644" s="417" t="s">
        <v>4167</v>
      </c>
      <c r="K7644" s="417" t="s">
        <v>17759</v>
      </c>
      <c r="L7644" s="417"/>
      <c r="M7644" s="417" t="s">
        <v>28840</v>
      </c>
    </row>
    <row r="7645" spans="1:13" x14ac:dyDescent="0.25">
      <c r="A7645" s="417" t="s">
        <v>3385</v>
      </c>
      <c r="B7645" s="417" t="s">
        <v>2437</v>
      </c>
      <c r="C7645" s="417" t="s">
        <v>17760</v>
      </c>
      <c r="D7645" s="417" t="s">
        <v>989</v>
      </c>
      <c r="E7645" s="423">
        <v>8409.9449114526469</v>
      </c>
      <c r="F7645" s="423">
        <v>322.63100531898118</v>
      </c>
      <c r="G7645" s="422">
        <v>18254712.640985262</v>
      </c>
      <c r="H7645" s="417" t="s">
        <v>2616</v>
      </c>
      <c r="I7645" s="417" t="s">
        <v>1392</v>
      </c>
      <c r="J7645" s="417" t="s">
        <v>4167</v>
      </c>
      <c r="K7645" s="417" t="s">
        <v>17761</v>
      </c>
      <c r="L7645" s="417"/>
      <c r="M7645" s="417" t="s">
        <v>28840</v>
      </c>
    </row>
    <row r="7646" spans="1:13" x14ac:dyDescent="0.25">
      <c r="A7646" s="417" t="s">
        <v>3385</v>
      </c>
      <c r="B7646" s="417" t="s">
        <v>2437</v>
      </c>
      <c r="C7646" s="417" t="s">
        <v>17762</v>
      </c>
      <c r="D7646" s="417" t="s">
        <v>989</v>
      </c>
      <c r="E7646" s="423">
        <v>7007.4428510767366</v>
      </c>
      <c r="F7646" s="423">
        <v>266.51916542996759</v>
      </c>
      <c r="G7646" s="422">
        <v>14394015.73558539</v>
      </c>
      <c r="H7646" s="417" t="s">
        <v>2616</v>
      </c>
      <c r="I7646" s="417" t="s">
        <v>1392</v>
      </c>
      <c r="J7646" s="417" t="s">
        <v>4167</v>
      </c>
      <c r="K7646" s="417" t="s">
        <v>17763</v>
      </c>
      <c r="L7646" s="417"/>
      <c r="M7646" s="417" t="s">
        <v>28840</v>
      </c>
    </row>
    <row r="7647" spans="1:13" x14ac:dyDescent="0.25">
      <c r="A7647" s="417" t="s">
        <v>3385</v>
      </c>
      <c r="B7647" s="417" t="s">
        <v>2437</v>
      </c>
      <c r="C7647" s="417" t="s">
        <v>17764</v>
      </c>
      <c r="D7647" s="417" t="s">
        <v>989</v>
      </c>
      <c r="E7647" s="423">
        <v>6992.7994359604472</v>
      </c>
      <c r="F7647" s="423">
        <v>266.20265771074918</v>
      </c>
      <c r="G7647" s="422">
        <v>14365773.97007183</v>
      </c>
      <c r="H7647" s="417" t="s">
        <v>2616</v>
      </c>
      <c r="I7647" s="417" t="s">
        <v>1392</v>
      </c>
      <c r="J7647" s="417" t="s">
        <v>4167</v>
      </c>
      <c r="K7647" s="417" t="s">
        <v>17765</v>
      </c>
      <c r="L7647" s="417"/>
      <c r="M7647" s="417" t="s">
        <v>28840</v>
      </c>
    </row>
    <row r="7648" spans="1:13" x14ac:dyDescent="0.25">
      <c r="A7648" s="417" t="s">
        <v>3385</v>
      </c>
      <c r="B7648" s="417" t="s">
        <v>2437</v>
      </c>
      <c r="C7648" s="417" t="s">
        <v>17766</v>
      </c>
      <c r="D7648" s="417" t="s">
        <v>989</v>
      </c>
      <c r="E7648" s="423">
        <v>6812.8237099641037</v>
      </c>
      <c r="F7648" s="423">
        <v>259.08208754281009</v>
      </c>
      <c r="G7648" s="422">
        <v>14006364.817019179</v>
      </c>
      <c r="H7648" s="417" t="s">
        <v>2616</v>
      </c>
      <c r="I7648" s="417" t="s">
        <v>1392</v>
      </c>
      <c r="J7648" s="417" t="s">
        <v>4167</v>
      </c>
      <c r="K7648" s="417" t="s">
        <v>17767</v>
      </c>
      <c r="L7648" s="417"/>
      <c r="M7648" s="417" t="s">
        <v>28840</v>
      </c>
    </row>
    <row r="7649" spans="1:13" x14ac:dyDescent="0.25">
      <c r="A7649" s="417" t="s">
        <v>3385</v>
      </c>
      <c r="B7649" s="417" t="s">
        <v>2437</v>
      </c>
      <c r="C7649" s="417" t="s">
        <v>17768</v>
      </c>
      <c r="D7649" s="417" t="s">
        <v>989</v>
      </c>
      <c r="E7649" s="423">
        <v>6809.6955860053449</v>
      </c>
      <c r="F7649" s="423">
        <v>259.10338629910359</v>
      </c>
      <c r="G7649" s="422">
        <v>13999559.66056646</v>
      </c>
      <c r="H7649" s="417" t="s">
        <v>2616</v>
      </c>
      <c r="I7649" s="417" t="s">
        <v>1392</v>
      </c>
      <c r="J7649" s="417" t="s">
        <v>4167</v>
      </c>
      <c r="K7649" s="417" t="s">
        <v>17769</v>
      </c>
      <c r="L7649" s="417"/>
      <c r="M7649" s="417" t="s">
        <v>28840</v>
      </c>
    </row>
    <row r="7650" spans="1:13" x14ac:dyDescent="0.25">
      <c r="A7650" s="417" t="s">
        <v>3385</v>
      </c>
      <c r="B7650" s="417" t="s">
        <v>2437</v>
      </c>
      <c r="C7650" s="417" t="s">
        <v>17770</v>
      </c>
      <c r="D7650" s="417" t="s">
        <v>989</v>
      </c>
      <c r="E7650" s="423">
        <v>6811.2488724913101</v>
      </c>
      <c r="F7650" s="423">
        <v>259.17939212572469</v>
      </c>
      <c r="G7650" s="422">
        <v>14004086.60794995</v>
      </c>
      <c r="H7650" s="417" t="s">
        <v>2616</v>
      </c>
      <c r="I7650" s="417" t="s">
        <v>1392</v>
      </c>
      <c r="J7650" s="417" t="s">
        <v>4167</v>
      </c>
      <c r="K7650" s="417" t="s">
        <v>17771</v>
      </c>
      <c r="L7650" s="417"/>
      <c r="M7650" s="417" t="s">
        <v>28840</v>
      </c>
    </row>
    <row r="7651" spans="1:13" x14ac:dyDescent="0.25">
      <c r="A7651" s="417" t="s">
        <v>3385</v>
      </c>
      <c r="B7651" s="417" t="s">
        <v>2437</v>
      </c>
      <c r="C7651" s="417" t="s">
        <v>17772</v>
      </c>
      <c r="D7651" s="417" t="s">
        <v>989</v>
      </c>
      <c r="E7651" s="423">
        <v>6807.1760605741783</v>
      </c>
      <c r="F7651" s="423">
        <v>259.12128458704962</v>
      </c>
      <c r="G7651" s="422">
        <v>13993294.525904501</v>
      </c>
      <c r="H7651" s="417" t="s">
        <v>2616</v>
      </c>
      <c r="I7651" s="417" t="s">
        <v>1392</v>
      </c>
      <c r="J7651" s="417" t="s">
        <v>4167</v>
      </c>
      <c r="K7651" s="417" t="s">
        <v>17773</v>
      </c>
      <c r="L7651" s="417"/>
      <c r="M7651" s="417" t="s">
        <v>28840</v>
      </c>
    </row>
    <row r="7652" spans="1:13" x14ac:dyDescent="0.25">
      <c r="A7652" s="417" t="s">
        <v>3385</v>
      </c>
      <c r="B7652" s="417" t="s">
        <v>2437</v>
      </c>
      <c r="C7652" s="417" t="s">
        <v>17774</v>
      </c>
      <c r="D7652" s="417" t="s">
        <v>989</v>
      </c>
      <c r="E7652" s="423">
        <v>6757.0630007032314</v>
      </c>
      <c r="F7652" s="423">
        <v>256.97400416860182</v>
      </c>
      <c r="G7652" s="422">
        <v>13893125.214383161</v>
      </c>
      <c r="H7652" s="417" t="s">
        <v>2616</v>
      </c>
      <c r="I7652" s="417" t="s">
        <v>1392</v>
      </c>
      <c r="J7652" s="417" t="s">
        <v>4167</v>
      </c>
      <c r="K7652" s="417" t="s">
        <v>17775</v>
      </c>
      <c r="L7652" s="417"/>
      <c r="M7652" s="417" t="s">
        <v>28840</v>
      </c>
    </row>
    <row r="7653" spans="1:13" x14ac:dyDescent="0.25">
      <c r="A7653" s="417" t="s">
        <v>3385</v>
      </c>
      <c r="B7653" s="417" t="s">
        <v>2437</v>
      </c>
      <c r="C7653" s="417" t="s">
        <v>17776</v>
      </c>
      <c r="D7653" s="417" t="s">
        <v>989</v>
      </c>
      <c r="E7653" s="423">
        <v>1467.435999521542</v>
      </c>
      <c r="F7653" s="423">
        <v>69.319981049465738</v>
      </c>
      <c r="G7653" s="422">
        <v>3034120.609005949</v>
      </c>
      <c r="H7653" s="417" t="s">
        <v>2616</v>
      </c>
      <c r="I7653" s="417" t="s">
        <v>1392</v>
      </c>
      <c r="J7653" s="417" t="s">
        <v>2638</v>
      </c>
      <c r="K7653" s="417" t="s">
        <v>17777</v>
      </c>
      <c r="L7653" s="417"/>
      <c r="M7653" s="417" t="s">
        <v>28840</v>
      </c>
    </row>
    <row r="7654" spans="1:13" x14ac:dyDescent="0.25">
      <c r="A7654" s="417" t="s">
        <v>3385</v>
      </c>
      <c r="B7654" s="417" t="s">
        <v>2437</v>
      </c>
      <c r="C7654" s="417" t="s">
        <v>17778</v>
      </c>
      <c r="D7654" s="417" t="s">
        <v>989</v>
      </c>
      <c r="E7654" s="423">
        <v>12489.64010122822</v>
      </c>
      <c r="F7654" s="423">
        <v>485.06602398740898</v>
      </c>
      <c r="G7654" s="422">
        <v>25412360.84726372</v>
      </c>
      <c r="H7654" s="417" t="s">
        <v>2616</v>
      </c>
      <c r="I7654" s="417" t="s">
        <v>1392</v>
      </c>
      <c r="J7654" s="417" t="s">
        <v>4167</v>
      </c>
      <c r="K7654" s="417" t="s">
        <v>17779</v>
      </c>
      <c r="L7654" s="417"/>
      <c r="M7654" s="417" t="s">
        <v>28840</v>
      </c>
    </row>
    <row r="7655" spans="1:13" x14ac:dyDescent="0.25">
      <c r="A7655" s="417" t="s">
        <v>3385</v>
      </c>
      <c r="B7655" s="417" t="s">
        <v>2437</v>
      </c>
      <c r="C7655" s="417" t="s">
        <v>17780</v>
      </c>
      <c r="D7655" s="417" t="s">
        <v>989</v>
      </c>
      <c r="E7655" s="423">
        <v>12476.36848769774</v>
      </c>
      <c r="F7655" s="423">
        <v>484.72579788661699</v>
      </c>
      <c r="G7655" s="422">
        <v>25384996.89665411</v>
      </c>
      <c r="H7655" s="417" t="s">
        <v>2616</v>
      </c>
      <c r="I7655" s="417" t="s">
        <v>1392</v>
      </c>
      <c r="J7655" s="417" t="s">
        <v>4167</v>
      </c>
      <c r="K7655" s="417" t="s">
        <v>17781</v>
      </c>
      <c r="L7655" s="417"/>
      <c r="M7655" s="417" t="s">
        <v>28840</v>
      </c>
    </row>
    <row r="7656" spans="1:13" x14ac:dyDescent="0.25">
      <c r="A7656" s="417" t="s">
        <v>3385</v>
      </c>
      <c r="B7656" s="417" t="s">
        <v>2437</v>
      </c>
      <c r="C7656" s="417" t="s">
        <v>17782</v>
      </c>
      <c r="D7656" s="417" t="s">
        <v>989</v>
      </c>
      <c r="E7656" s="423">
        <v>12129.33650139724</v>
      </c>
      <c r="F7656" s="423">
        <v>470.64223465444798</v>
      </c>
      <c r="G7656" s="422">
        <v>24689326.831504729</v>
      </c>
      <c r="H7656" s="417" t="s">
        <v>2616</v>
      </c>
      <c r="I7656" s="417" t="s">
        <v>1392</v>
      </c>
      <c r="J7656" s="417" t="s">
        <v>4167</v>
      </c>
      <c r="K7656" s="417" t="s">
        <v>17783</v>
      </c>
      <c r="L7656" s="417"/>
      <c r="M7656" s="417" t="s">
        <v>28840</v>
      </c>
    </row>
    <row r="7657" spans="1:13" x14ac:dyDescent="0.25">
      <c r="A7657" s="417" t="s">
        <v>3385</v>
      </c>
      <c r="B7657" s="417" t="s">
        <v>2437</v>
      </c>
      <c r="C7657" s="417" t="s">
        <v>17784</v>
      </c>
      <c r="D7657" s="417" t="s">
        <v>989</v>
      </c>
      <c r="E7657" s="423">
        <v>12113.861815873421</v>
      </c>
      <c r="F7657" s="423">
        <v>470.53125224249891</v>
      </c>
      <c r="G7657" s="422">
        <v>24661842.52156835</v>
      </c>
      <c r="H7657" s="417" t="s">
        <v>2616</v>
      </c>
      <c r="I7657" s="417" t="s">
        <v>1392</v>
      </c>
      <c r="J7657" s="417" t="s">
        <v>4167</v>
      </c>
      <c r="K7657" s="417" t="s">
        <v>17785</v>
      </c>
      <c r="L7657" s="417"/>
      <c r="M7657" s="417" t="s">
        <v>28840</v>
      </c>
    </row>
    <row r="7658" spans="1:13" x14ac:dyDescent="0.25">
      <c r="A7658" s="417" t="s">
        <v>3385</v>
      </c>
      <c r="B7658" s="417" t="s">
        <v>2437</v>
      </c>
      <c r="C7658" s="417" t="s">
        <v>17786</v>
      </c>
      <c r="D7658" s="417" t="s">
        <v>989</v>
      </c>
      <c r="E7658" s="423">
        <v>12112.750790855411</v>
      </c>
      <c r="F7658" s="423">
        <v>470.57780449038802</v>
      </c>
      <c r="G7658" s="422">
        <v>24658957.63003115</v>
      </c>
      <c r="H7658" s="417" t="s">
        <v>2616</v>
      </c>
      <c r="I7658" s="417" t="s">
        <v>1392</v>
      </c>
      <c r="J7658" s="417" t="s">
        <v>4167</v>
      </c>
      <c r="K7658" s="417" t="s">
        <v>17787</v>
      </c>
      <c r="L7658" s="417"/>
      <c r="M7658" s="417" t="s">
        <v>28840</v>
      </c>
    </row>
    <row r="7659" spans="1:13" x14ac:dyDescent="0.25">
      <c r="A7659" s="417" t="s">
        <v>3385</v>
      </c>
      <c r="B7659" s="417" t="s">
        <v>2437</v>
      </c>
      <c r="C7659" s="417" t="s">
        <v>17788</v>
      </c>
      <c r="D7659" s="417" t="s">
        <v>989</v>
      </c>
      <c r="E7659" s="423">
        <v>12108.223984400131</v>
      </c>
      <c r="F7659" s="423">
        <v>470.50617996775708</v>
      </c>
      <c r="G7659" s="422">
        <v>24647423.296893232</v>
      </c>
      <c r="H7659" s="417" t="s">
        <v>2616</v>
      </c>
      <c r="I7659" s="417" t="s">
        <v>1392</v>
      </c>
      <c r="J7659" s="417" t="s">
        <v>4167</v>
      </c>
      <c r="K7659" s="417" t="s">
        <v>17789</v>
      </c>
      <c r="L7659" s="417"/>
      <c r="M7659" s="417" t="s">
        <v>28840</v>
      </c>
    </row>
    <row r="7660" spans="1:13" x14ac:dyDescent="0.25">
      <c r="A7660" s="417" t="s">
        <v>3385</v>
      </c>
      <c r="B7660" s="417" t="s">
        <v>2437</v>
      </c>
      <c r="C7660" s="417" t="s">
        <v>17790</v>
      </c>
      <c r="D7660" s="417" t="s">
        <v>989</v>
      </c>
      <c r="E7660" s="423">
        <v>12097.499561000421</v>
      </c>
      <c r="F7660" s="423">
        <v>470.57158406182651</v>
      </c>
      <c r="G7660" s="422">
        <v>24631985.063885588</v>
      </c>
      <c r="H7660" s="417" t="s">
        <v>2616</v>
      </c>
      <c r="I7660" s="417" t="s">
        <v>1392</v>
      </c>
      <c r="J7660" s="417" t="s">
        <v>4167</v>
      </c>
      <c r="K7660" s="417" t="s">
        <v>17791</v>
      </c>
      <c r="L7660" s="417"/>
      <c r="M7660" s="417" t="s">
        <v>28840</v>
      </c>
    </row>
    <row r="7661" spans="1:13" x14ac:dyDescent="0.25">
      <c r="A7661" s="417" t="s">
        <v>3385</v>
      </c>
      <c r="B7661" s="417" t="s">
        <v>2437</v>
      </c>
      <c r="C7661" s="417" t="s">
        <v>17792</v>
      </c>
      <c r="D7661" s="417" t="s">
        <v>989</v>
      </c>
      <c r="E7661" s="423">
        <v>10493.735599099309</v>
      </c>
      <c r="F7661" s="423">
        <v>402.26809261890372</v>
      </c>
      <c r="G7661" s="422">
        <v>21465050.95703835</v>
      </c>
      <c r="H7661" s="417" t="s">
        <v>2616</v>
      </c>
      <c r="I7661" s="417" t="s">
        <v>1392</v>
      </c>
      <c r="J7661" s="417" t="s">
        <v>4167</v>
      </c>
      <c r="K7661" s="417" t="s">
        <v>17793</v>
      </c>
      <c r="L7661" s="417"/>
      <c r="M7661" s="417" t="s">
        <v>28840</v>
      </c>
    </row>
    <row r="7662" spans="1:13" x14ac:dyDescent="0.25">
      <c r="A7662" s="417" t="s">
        <v>3385</v>
      </c>
      <c r="B7662" s="417" t="s">
        <v>2437</v>
      </c>
      <c r="C7662" s="417" t="s">
        <v>17794</v>
      </c>
      <c r="D7662" s="417" t="s">
        <v>989</v>
      </c>
      <c r="E7662" s="423">
        <v>10478.194012678539</v>
      </c>
      <c r="F7662" s="423">
        <v>401.86028162146658</v>
      </c>
      <c r="G7662" s="422">
        <v>21433975.747044291</v>
      </c>
      <c r="H7662" s="417" t="s">
        <v>2616</v>
      </c>
      <c r="I7662" s="417" t="s">
        <v>1392</v>
      </c>
      <c r="J7662" s="417" t="s">
        <v>4167</v>
      </c>
      <c r="K7662" s="417" t="s">
        <v>17795</v>
      </c>
      <c r="L7662" s="417"/>
      <c r="M7662" s="417" t="s">
        <v>28840</v>
      </c>
    </row>
    <row r="7663" spans="1:13" x14ac:dyDescent="0.25">
      <c r="A7663" s="417" t="s">
        <v>3385</v>
      </c>
      <c r="B7663" s="417" t="s">
        <v>2437</v>
      </c>
      <c r="C7663" s="417" t="s">
        <v>17796</v>
      </c>
      <c r="D7663" s="417" t="s">
        <v>989</v>
      </c>
      <c r="E7663" s="423">
        <v>10172.83229611694</v>
      </c>
      <c r="F7663" s="423">
        <v>389.88324993099008</v>
      </c>
      <c r="G7663" s="422">
        <v>20824487.23546667</v>
      </c>
      <c r="H7663" s="417" t="s">
        <v>2616</v>
      </c>
      <c r="I7663" s="417" t="s">
        <v>1392</v>
      </c>
      <c r="J7663" s="417" t="s">
        <v>4167</v>
      </c>
      <c r="K7663" s="417" t="s">
        <v>17797</v>
      </c>
      <c r="L7663" s="417"/>
      <c r="M7663" s="417" t="s">
        <v>28840</v>
      </c>
    </row>
    <row r="7664" spans="1:13" x14ac:dyDescent="0.25">
      <c r="A7664" s="417" t="s">
        <v>3385</v>
      </c>
      <c r="B7664" s="417" t="s">
        <v>2437</v>
      </c>
      <c r="C7664" s="417" t="s">
        <v>17798</v>
      </c>
      <c r="D7664" s="417" t="s">
        <v>989</v>
      </c>
      <c r="E7664" s="423">
        <v>10165.486573900071</v>
      </c>
      <c r="F7664" s="423">
        <v>389.79908927144561</v>
      </c>
      <c r="G7664" s="422">
        <v>20805743.28410235</v>
      </c>
      <c r="H7664" s="417" t="s">
        <v>2616</v>
      </c>
      <c r="I7664" s="417" t="s">
        <v>1392</v>
      </c>
      <c r="J7664" s="417" t="s">
        <v>4167</v>
      </c>
      <c r="K7664" s="417" t="s">
        <v>17799</v>
      </c>
      <c r="L7664" s="417"/>
      <c r="M7664" s="417" t="s">
        <v>28840</v>
      </c>
    </row>
    <row r="7665" spans="1:13" x14ac:dyDescent="0.25">
      <c r="A7665" s="417" t="s">
        <v>3385</v>
      </c>
      <c r="B7665" s="417" t="s">
        <v>2437</v>
      </c>
      <c r="C7665" s="417" t="s">
        <v>17800</v>
      </c>
      <c r="D7665" s="417" t="s">
        <v>989</v>
      </c>
      <c r="E7665" s="423">
        <v>10162.66765806311</v>
      </c>
      <c r="F7665" s="423">
        <v>389.78655313504152</v>
      </c>
      <c r="G7665" s="422">
        <v>20798533.669921309</v>
      </c>
      <c r="H7665" s="417" t="s">
        <v>2616</v>
      </c>
      <c r="I7665" s="417" t="s">
        <v>1392</v>
      </c>
      <c r="J7665" s="417" t="s">
        <v>4167</v>
      </c>
      <c r="K7665" s="417" t="s">
        <v>17801</v>
      </c>
      <c r="L7665" s="417"/>
      <c r="M7665" s="417" t="s">
        <v>28840</v>
      </c>
    </row>
    <row r="7666" spans="1:13" x14ac:dyDescent="0.25">
      <c r="A7666" s="417" t="s">
        <v>3385</v>
      </c>
      <c r="B7666" s="417" t="s">
        <v>2437</v>
      </c>
      <c r="C7666" s="417" t="s">
        <v>17802</v>
      </c>
      <c r="D7666" s="417" t="s">
        <v>989</v>
      </c>
      <c r="E7666" s="423">
        <v>10156.019588375249</v>
      </c>
      <c r="F7666" s="423">
        <v>389.81206127848071</v>
      </c>
      <c r="G7666" s="422">
        <v>20793746.905856099</v>
      </c>
      <c r="H7666" s="417" t="s">
        <v>2616</v>
      </c>
      <c r="I7666" s="417" t="s">
        <v>1392</v>
      </c>
      <c r="J7666" s="417" t="s">
        <v>4167</v>
      </c>
      <c r="K7666" s="417" t="s">
        <v>17803</v>
      </c>
      <c r="L7666" s="417"/>
      <c r="M7666" s="417" t="s">
        <v>28840</v>
      </c>
    </row>
    <row r="7667" spans="1:13" x14ac:dyDescent="0.25">
      <c r="A7667" s="417" t="s">
        <v>3385</v>
      </c>
      <c r="B7667" s="417" t="s">
        <v>2437</v>
      </c>
      <c r="C7667" s="417" t="s">
        <v>17804</v>
      </c>
      <c r="D7667" s="417" t="s">
        <v>989</v>
      </c>
      <c r="E7667" s="423">
        <v>10150.23534404736</v>
      </c>
      <c r="F7667" s="423">
        <v>389.79286884350893</v>
      </c>
      <c r="G7667" s="422">
        <v>20778770.722388718</v>
      </c>
      <c r="H7667" s="417" t="s">
        <v>2616</v>
      </c>
      <c r="I7667" s="417" t="s">
        <v>1392</v>
      </c>
      <c r="J7667" s="417" t="s">
        <v>4167</v>
      </c>
      <c r="K7667" s="417" t="s">
        <v>17805</v>
      </c>
      <c r="L7667" s="417"/>
      <c r="M7667" s="417" t="s">
        <v>28840</v>
      </c>
    </row>
    <row r="7668" spans="1:13" x14ac:dyDescent="0.25">
      <c r="A7668" s="417" t="s">
        <v>3385</v>
      </c>
      <c r="B7668" s="417" t="s">
        <v>2437</v>
      </c>
      <c r="C7668" s="417" t="s">
        <v>17806</v>
      </c>
      <c r="D7668" s="417" t="s">
        <v>989</v>
      </c>
      <c r="E7668" s="423">
        <v>8207.7478600143822</v>
      </c>
      <c r="F7668" s="423">
        <v>313.3001255534831</v>
      </c>
      <c r="G7668" s="422">
        <v>16815728.97505907</v>
      </c>
      <c r="H7668" s="417" t="s">
        <v>2616</v>
      </c>
      <c r="I7668" s="417" t="s">
        <v>1392</v>
      </c>
      <c r="J7668" s="417" t="s">
        <v>4167</v>
      </c>
      <c r="K7668" s="417" t="s">
        <v>17807</v>
      </c>
      <c r="L7668" s="417"/>
      <c r="M7668" s="417" t="s">
        <v>28840</v>
      </c>
    </row>
    <row r="7669" spans="1:13" x14ac:dyDescent="0.25">
      <c r="A7669" s="417" t="s">
        <v>3385</v>
      </c>
      <c r="B7669" s="417" t="s">
        <v>2437</v>
      </c>
      <c r="C7669" s="417" t="s">
        <v>17808</v>
      </c>
      <c r="D7669" s="417" t="s">
        <v>989</v>
      </c>
      <c r="E7669" s="423">
        <v>8194.4762466529446</v>
      </c>
      <c r="F7669" s="423">
        <v>312.95989945780838</v>
      </c>
      <c r="G7669" s="422">
        <v>16788365.022026099</v>
      </c>
      <c r="H7669" s="417" t="s">
        <v>2616</v>
      </c>
      <c r="I7669" s="417" t="s">
        <v>1392</v>
      </c>
      <c r="J7669" s="417" t="s">
        <v>4167</v>
      </c>
      <c r="K7669" s="417" t="s">
        <v>17809</v>
      </c>
      <c r="L7669" s="417"/>
      <c r="M7669" s="417" t="s">
        <v>28840</v>
      </c>
    </row>
    <row r="7670" spans="1:13" x14ac:dyDescent="0.25">
      <c r="A7670" s="417" t="s">
        <v>3385</v>
      </c>
      <c r="B7670" s="417" t="s">
        <v>2437</v>
      </c>
      <c r="C7670" s="417" t="s">
        <v>17810</v>
      </c>
      <c r="D7670" s="417" t="s">
        <v>989</v>
      </c>
      <c r="E7670" s="423">
        <v>7997.4852856124398</v>
      </c>
      <c r="F7670" s="423">
        <v>305.6243686858104</v>
      </c>
      <c r="G7670" s="422">
        <v>16400476.30484668</v>
      </c>
      <c r="H7670" s="417" t="s">
        <v>2616</v>
      </c>
      <c r="I7670" s="417" t="s">
        <v>1392</v>
      </c>
      <c r="J7670" s="417" t="s">
        <v>4167</v>
      </c>
      <c r="K7670" s="417" t="s">
        <v>17811</v>
      </c>
      <c r="L7670" s="417"/>
      <c r="M7670" s="417" t="s">
        <v>28840</v>
      </c>
    </row>
    <row r="7671" spans="1:13" x14ac:dyDescent="0.25">
      <c r="A7671" s="417" t="s">
        <v>3385</v>
      </c>
      <c r="B7671" s="417" t="s">
        <v>2437</v>
      </c>
      <c r="C7671" s="417" t="s">
        <v>17812</v>
      </c>
      <c r="D7671" s="417" t="s">
        <v>989</v>
      </c>
      <c r="E7671" s="423">
        <v>7994.6663698632483</v>
      </c>
      <c r="F7671" s="423">
        <v>305.61183254632431</v>
      </c>
      <c r="G7671" s="422">
        <v>16393266.691098951</v>
      </c>
      <c r="H7671" s="417" t="s">
        <v>2616</v>
      </c>
      <c r="I7671" s="417" t="s">
        <v>1392</v>
      </c>
      <c r="J7671" s="417" t="s">
        <v>4167</v>
      </c>
      <c r="K7671" s="417" t="s">
        <v>17813</v>
      </c>
      <c r="L7671" s="417"/>
      <c r="M7671" s="417" t="s">
        <v>28840</v>
      </c>
    </row>
    <row r="7672" spans="1:13" x14ac:dyDescent="0.25">
      <c r="A7672" s="417" t="s">
        <v>3385</v>
      </c>
      <c r="B7672" s="417" t="s">
        <v>2437</v>
      </c>
      <c r="C7672" s="417" t="s">
        <v>17814</v>
      </c>
      <c r="D7672" s="417" t="s">
        <v>989</v>
      </c>
      <c r="E7672" s="423">
        <v>7991.847454130565</v>
      </c>
      <c r="F7672" s="423">
        <v>305.59929641173869</v>
      </c>
      <c r="G7672" s="422">
        <v>16386057.07706314</v>
      </c>
      <c r="H7672" s="417" t="s">
        <v>2616</v>
      </c>
      <c r="I7672" s="417" t="s">
        <v>1392</v>
      </c>
      <c r="J7672" s="417" t="s">
        <v>4167</v>
      </c>
      <c r="K7672" s="417" t="s">
        <v>17815</v>
      </c>
      <c r="L7672" s="417"/>
      <c r="M7672" s="417" t="s">
        <v>28840</v>
      </c>
    </row>
    <row r="7673" spans="1:13" x14ac:dyDescent="0.25">
      <c r="A7673" s="417" t="s">
        <v>3385</v>
      </c>
      <c r="B7673" s="417" t="s">
        <v>2437</v>
      </c>
      <c r="C7673" s="417" t="s">
        <v>17816</v>
      </c>
      <c r="D7673" s="417" t="s">
        <v>989</v>
      </c>
      <c r="E7673" s="423">
        <v>7987.3206476506257</v>
      </c>
      <c r="F7673" s="423">
        <v>305.52767189062439</v>
      </c>
      <c r="G7673" s="422">
        <v>16374522.74203339</v>
      </c>
      <c r="H7673" s="417" t="s">
        <v>2616</v>
      </c>
      <c r="I7673" s="417" t="s">
        <v>1392</v>
      </c>
      <c r="J7673" s="417" t="s">
        <v>4167</v>
      </c>
      <c r="K7673" s="417" t="s">
        <v>17817</v>
      </c>
      <c r="L7673" s="417"/>
      <c r="M7673" s="417" t="s">
        <v>28840</v>
      </c>
    </row>
    <row r="7674" spans="1:13" x14ac:dyDescent="0.25">
      <c r="A7674" s="417" t="s">
        <v>3385</v>
      </c>
      <c r="B7674" s="417" t="s">
        <v>2437</v>
      </c>
      <c r="C7674" s="417" t="s">
        <v>601</v>
      </c>
      <c r="D7674" s="417" t="s">
        <v>989</v>
      </c>
      <c r="E7674" s="423">
        <v>7935.1240450268106</v>
      </c>
      <c r="F7674" s="423">
        <v>303.41274450612377</v>
      </c>
      <c r="G7674" s="422">
        <v>16274297.327824131</v>
      </c>
      <c r="H7674" s="417" t="s">
        <v>2616</v>
      </c>
      <c r="I7674" s="417" t="s">
        <v>28985</v>
      </c>
      <c r="J7674" s="417" t="s">
        <v>4167</v>
      </c>
      <c r="K7674" s="417" t="s">
        <v>17818</v>
      </c>
      <c r="L7674" s="417"/>
      <c r="M7674" s="417" t="s">
        <v>28840</v>
      </c>
    </row>
    <row r="7675" spans="1:13" x14ac:dyDescent="0.25">
      <c r="A7675" s="417" t="s">
        <v>3385</v>
      </c>
      <c r="B7675" s="417" t="s">
        <v>2437</v>
      </c>
      <c r="C7675" s="417" t="s">
        <v>17819</v>
      </c>
      <c r="D7675" s="417" t="s">
        <v>989</v>
      </c>
      <c r="E7675" s="423">
        <v>1654.739911278218</v>
      </c>
      <c r="F7675" s="423">
        <v>78.174691809776661</v>
      </c>
      <c r="G7675" s="422">
        <v>3532019.7558315182</v>
      </c>
      <c r="H7675" s="417" t="s">
        <v>2616</v>
      </c>
      <c r="I7675" s="417" t="s">
        <v>1392</v>
      </c>
      <c r="J7675" s="417" t="s">
        <v>2638</v>
      </c>
      <c r="K7675" s="417" t="s">
        <v>17820</v>
      </c>
      <c r="L7675" s="417"/>
      <c r="M7675" s="417" t="s">
        <v>28840</v>
      </c>
    </row>
    <row r="7676" spans="1:13" x14ac:dyDescent="0.25">
      <c r="A7676" s="417" t="s">
        <v>3385</v>
      </c>
      <c r="B7676" s="417" t="s">
        <v>2437</v>
      </c>
      <c r="C7676" s="417" t="s">
        <v>17821</v>
      </c>
      <c r="D7676" s="417" t="s">
        <v>989</v>
      </c>
      <c r="E7676" s="423">
        <v>4791.1194523619024</v>
      </c>
      <c r="F7676" s="423">
        <v>225.94095455578349</v>
      </c>
      <c r="G7676" s="422">
        <v>12580497.583173489</v>
      </c>
      <c r="H7676" s="417" t="s">
        <v>2616</v>
      </c>
      <c r="I7676" s="417" t="s">
        <v>1392</v>
      </c>
      <c r="J7676" s="417" t="s">
        <v>2638</v>
      </c>
      <c r="K7676" s="417" t="s">
        <v>17822</v>
      </c>
      <c r="L7676" s="417"/>
      <c r="M7676" s="417" t="s">
        <v>28840</v>
      </c>
    </row>
    <row r="7677" spans="1:13" x14ac:dyDescent="0.25">
      <c r="A7677" s="417" t="s">
        <v>3385</v>
      </c>
      <c r="B7677" s="417" t="s">
        <v>2437</v>
      </c>
      <c r="C7677" s="417" t="s">
        <v>17823</v>
      </c>
      <c r="D7677" s="417" t="s">
        <v>989</v>
      </c>
      <c r="E7677" s="423">
        <v>2099.064074239267</v>
      </c>
      <c r="F7677" s="423">
        <v>97.526406371844786</v>
      </c>
      <c r="G7677" s="422">
        <v>5258240.2013477106</v>
      </c>
      <c r="H7677" s="417" t="s">
        <v>2616</v>
      </c>
      <c r="I7677" s="417" t="s">
        <v>1392</v>
      </c>
      <c r="J7677" s="417" t="s">
        <v>2638</v>
      </c>
      <c r="K7677" s="417" t="s">
        <v>17824</v>
      </c>
      <c r="L7677" s="417"/>
      <c r="M7677" s="417" t="s">
        <v>28840</v>
      </c>
    </row>
    <row r="7678" spans="1:13" x14ac:dyDescent="0.25">
      <c r="A7678" s="417" t="s">
        <v>3385</v>
      </c>
      <c r="B7678" s="417" t="s">
        <v>2437</v>
      </c>
      <c r="C7678" s="417" t="s">
        <v>17825</v>
      </c>
      <c r="D7678" s="417" t="s">
        <v>989</v>
      </c>
      <c r="E7678" s="423">
        <v>7889.3515476831089</v>
      </c>
      <c r="F7678" s="423">
        <v>294.61172139265398</v>
      </c>
      <c r="G7678" s="422">
        <v>18544969.406444691</v>
      </c>
      <c r="H7678" s="417" t="s">
        <v>2616</v>
      </c>
      <c r="I7678" s="417" t="s">
        <v>1392</v>
      </c>
      <c r="J7678" s="417" t="s">
        <v>4167</v>
      </c>
      <c r="K7678" s="417" t="s">
        <v>17826</v>
      </c>
      <c r="L7678" s="417"/>
      <c r="M7678" s="417" t="s">
        <v>28840</v>
      </c>
    </row>
    <row r="7679" spans="1:13" x14ac:dyDescent="0.25">
      <c r="A7679" s="417" t="s">
        <v>3385</v>
      </c>
      <c r="B7679" s="417" t="s">
        <v>2437</v>
      </c>
      <c r="C7679" s="417" t="s">
        <v>17827</v>
      </c>
      <c r="D7679" s="417" t="s">
        <v>989</v>
      </c>
      <c r="E7679" s="423">
        <v>7877.9124881366479</v>
      </c>
      <c r="F7679" s="423">
        <v>294.99768019864177</v>
      </c>
      <c r="G7679" s="422">
        <v>18361254.76500544</v>
      </c>
      <c r="H7679" s="417" t="s">
        <v>2616</v>
      </c>
      <c r="I7679" s="417" t="s">
        <v>1392</v>
      </c>
      <c r="J7679" s="417" t="s">
        <v>4167</v>
      </c>
      <c r="K7679" s="417" t="s">
        <v>17828</v>
      </c>
      <c r="L7679" s="417"/>
      <c r="M7679" s="417" t="s">
        <v>28840</v>
      </c>
    </row>
    <row r="7680" spans="1:13" x14ac:dyDescent="0.25">
      <c r="A7680" s="417" t="s">
        <v>3385</v>
      </c>
      <c r="B7680" s="417" t="s">
        <v>2437</v>
      </c>
      <c r="C7680" s="417" t="s">
        <v>17829</v>
      </c>
      <c r="D7680" s="417" t="s">
        <v>989</v>
      </c>
      <c r="E7680" s="423">
        <v>7924.9401997298173</v>
      </c>
      <c r="F7680" s="423">
        <v>297.12085446134512</v>
      </c>
      <c r="G7680" s="422">
        <v>18450376.344775818</v>
      </c>
      <c r="H7680" s="417" t="s">
        <v>2616</v>
      </c>
      <c r="I7680" s="417" t="s">
        <v>1392</v>
      </c>
      <c r="J7680" s="417" t="s">
        <v>4167</v>
      </c>
      <c r="K7680" s="417" t="s">
        <v>17830</v>
      </c>
      <c r="L7680" s="417"/>
      <c r="M7680" s="417" t="s">
        <v>28840</v>
      </c>
    </row>
    <row r="7681" spans="1:13" x14ac:dyDescent="0.25">
      <c r="A7681" s="417" t="s">
        <v>3385</v>
      </c>
      <c r="B7681" s="417" t="s">
        <v>2437</v>
      </c>
      <c r="C7681" s="417" t="s">
        <v>17831</v>
      </c>
      <c r="D7681" s="417" t="s">
        <v>989</v>
      </c>
      <c r="E7681" s="423">
        <v>7949.2256499069326</v>
      </c>
      <c r="F7681" s="423">
        <v>298.2159055835557</v>
      </c>
      <c r="G7681" s="422">
        <v>18500134.95691568</v>
      </c>
      <c r="H7681" s="417" t="s">
        <v>2616</v>
      </c>
      <c r="I7681" s="417" t="s">
        <v>1392</v>
      </c>
      <c r="J7681" s="417" t="s">
        <v>4167</v>
      </c>
      <c r="K7681" s="417" t="s">
        <v>17832</v>
      </c>
      <c r="L7681" s="417"/>
      <c r="M7681" s="417" t="s">
        <v>28840</v>
      </c>
    </row>
    <row r="7682" spans="1:13" x14ac:dyDescent="0.25">
      <c r="A7682" s="417" t="s">
        <v>3385</v>
      </c>
      <c r="B7682" s="417" t="s">
        <v>2437</v>
      </c>
      <c r="C7682" s="417" t="s">
        <v>17833</v>
      </c>
      <c r="D7682" s="417" t="s">
        <v>989</v>
      </c>
      <c r="E7682" s="423">
        <v>7944.9029817775718</v>
      </c>
      <c r="F7682" s="423">
        <v>298.43474695310948</v>
      </c>
      <c r="G7682" s="422">
        <v>18466027.093428131</v>
      </c>
      <c r="H7682" s="417" t="s">
        <v>2616</v>
      </c>
      <c r="I7682" s="417" t="s">
        <v>1392</v>
      </c>
      <c r="J7682" s="417" t="s">
        <v>4167</v>
      </c>
      <c r="K7682" s="417" t="s">
        <v>17834</v>
      </c>
      <c r="L7682" s="417"/>
      <c r="M7682" s="417" t="s">
        <v>28840</v>
      </c>
    </row>
    <row r="7683" spans="1:13" x14ac:dyDescent="0.25">
      <c r="A7683" s="417" t="s">
        <v>3385</v>
      </c>
      <c r="B7683" s="417" t="s">
        <v>2437</v>
      </c>
      <c r="C7683" s="417" t="s">
        <v>17835</v>
      </c>
      <c r="D7683" s="417" t="s">
        <v>989</v>
      </c>
      <c r="E7683" s="423">
        <v>15195.44642151169</v>
      </c>
      <c r="F7683" s="423">
        <v>585.49674092558712</v>
      </c>
      <c r="G7683" s="422">
        <v>35170961.373611107</v>
      </c>
      <c r="H7683" s="417" t="s">
        <v>2616</v>
      </c>
      <c r="I7683" s="417" t="s">
        <v>1392</v>
      </c>
      <c r="J7683" s="417" t="s">
        <v>4167</v>
      </c>
      <c r="K7683" s="417" t="s">
        <v>17836</v>
      </c>
      <c r="L7683" s="417"/>
      <c r="M7683" s="417" t="s">
        <v>28840</v>
      </c>
    </row>
    <row r="7684" spans="1:13" x14ac:dyDescent="0.25">
      <c r="A7684" s="417" t="s">
        <v>3385</v>
      </c>
      <c r="B7684" s="417" t="s">
        <v>2437</v>
      </c>
      <c r="C7684" s="417" t="s">
        <v>17837</v>
      </c>
      <c r="D7684" s="417" t="s">
        <v>989</v>
      </c>
      <c r="E7684" s="423">
        <v>14947.0446597788</v>
      </c>
      <c r="F7684" s="423">
        <v>577.22096706619277</v>
      </c>
      <c r="G7684" s="422">
        <v>34265844.500477903</v>
      </c>
      <c r="H7684" s="417" t="s">
        <v>2616</v>
      </c>
      <c r="I7684" s="417" t="s">
        <v>1392</v>
      </c>
      <c r="J7684" s="417" t="s">
        <v>4167</v>
      </c>
      <c r="K7684" s="417" t="s">
        <v>17838</v>
      </c>
      <c r="L7684" s="417"/>
      <c r="M7684" s="417" t="s">
        <v>28840</v>
      </c>
    </row>
    <row r="7685" spans="1:13" x14ac:dyDescent="0.25">
      <c r="A7685" s="417" t="s">
        <v>3385</v>
      </c>
      <c r="B7685" s="417" t="s">
        <v>2437</v>
      </c>
      <c r="C7685" s="417" t="s">
        <v>17839</v>
      </c>
      <c r="D7685" s="417" t="s">
        <v>989</v>
      </c>
      <c r="E7685" s="423">
        <v>14927.44334473788</v>
      </c>
      <c r="F7685" s="423">
        <v>576.47072514885122</v>
      </c>
      <c r="G7685" s="422">
        <v>34201592.411759451</v>
      </c>
      <c r="H7685" s="417" t="s">
        <v>2616</v>
      </c>
      <c r="I7685" s="417" t="s">
        <v>1392</v>
      </c>
      <c r="J7685" s="417" t="s">
        <v>4167</v>
      </c>
      <c r="K7685" s="417" t="s">
        <v>17840</v>
      </c>
      <c r="L7685" s="417"/>
      <c r="M7685" s="417" t="s">
        <v>28840</v>
      </c>
    </row>
    <row r="7686" spans="1:13" x14ac:dyDescent="0.25">
      <c r="A7686" s="417" t="s">
        <v>3385</v>
      </c>
      <c r="B7686" s="417" t="s">
        <v>2437</v>
      </c>
      <c r="C7686" s="417" t="s">
        <v>17841</v>
      </c>
      <c r="D7686" s="417" t="s">
        <v>989</v>
      </c>
      <c r="E7686" s="423">
        <v>14918.699248715609</v>
      </c>
      <c r="F7686" s="423">
        <v>576.09078713449992</v>
      </c>
      <c r="G7686" s="422">
        <v>34170763.329214036</v>
      </c>
      <c r="H7686" s="417" t="s">
        <v>2616</v>
      </c>
      <c r="I7686" s="417" t="s">
        <v>1392</v>
      </c>
      <c r="J7686" s="417" t="s">
        <v>4167</v>
      </c>
      <c r="K7686" s="417" t="s">
        <v>17842</v>
      </c>
      <c r="L7686" s="417"/>
      <c r="M7686" s="417" t="s">
        <v>28840</v>
      </c>
    </row>
    <row r="7687" spans="1:13" x14ac:dyDescent="0.25">
      <c r="A7687" s="417" t="s">
        <v>3385</v>
      </c>
      <c r="B7687" s="417" t="s">
        <v>2437</v>
      </c>
      <c r="C7687" s="417" t="s">
        <v>17843</v>
      </c>
      <c r="D7687" s="417" t="s">
        <v>989</v>
      </c>
      <c r="E7687" s="423">
        <v>14856.99473507408</v>
      </c>
      <c r="F7687" s="423">
        <v>574.21240537567439</v>
      </c>
      <c r="G7687" s="422">
        <v>33991588.599726483</v>
      </c>
      <c r="H7687" s="417" t="s">
        <v>2616</v>
      </c>
      <c r="I7687" s="417" t="s">
        <v>1392</v>
      </c>
      <c r="J7687" s="417" t="s">
        <v>4167</v>
      </c>
      <c r="K7687" s="417" t="s">
        <v>17844</v>
      </c>
      <c r="L7687" s="417"/>
      <c r="M7687" s="417" t="s">
        <v>28840</v>
      </c>
    </row>
    <row r="7688" spans="1:13" x14ac:dyDescent="0.25">
      <c r="A7688" s="417" t="s">
        <v>3385</v>
      </c>
      <c r="B7688" s="417" t="s">
        <v>2437</v>
      </c>
      <c r="C7688" s="417" t="s">
        <v>17845</v>
      </c>
      <c r="D7688" s="417" t="s">
        <v>989</v>
      </c>
      <c r="E7688" s="423">
        <v>13077.244911448301</v>
      </c>
      <c r="F7688" s="423">
        <v>497.09287223928891</v>
      </c>
      <c r="G7688" s="422">
        <v>30679889.795167621</v>
      </c>
      <c r="H7688" s="417" t="s">
        <v>2616</v>
      </c>
      <c r="I7688" s="417" t="s">
        <v>1392</v>
      </c>
      <c r="J7688" s="417" t="s">
        <v>4167</v>
      </c>
      <c r="K7688" s="417" t="s">
        <v>17846</v>
      </c>
      <c r="L7688" s="417"/>
      <c r="M7688" s="417" t="s">
        <v>28840</v>
      </c>
    </row>
    <row r="7689" spans="1:13" x14ac:dyDescent="0.25">
      <c r="A7689" s="417" t="s">
        <v>3385</v>
      </c>
      <c r="B7689" s="417" t="s">
        <v>2437</v>
      </c>
      <c r="C7689" s="417" t="s">
        <v>17847</v>
      </c>
      <c r="D7689" s="417" t="s">
        <v>989</v>
      </c>
      <c r="E7689" s="423">
        <v>12866.619764954219</v>
      </c>
      <c r="F7689" s="423">
        <v>489.89575562303042</v>
      </c>
      <c r="G7689" s="422">
        <v>29885037.454658959</v>
      </c>
      <c r="H7689" s="417" t="s">
        <v>2616</v>
      </c>
      <c r="I7689" s="417" t="s">
        <v>1392</v>
      </c>
      <c r="J7689" s="417" t="s">
        <v>4167</v>
      </c>
      <c r="K7689" s="417" t="s">
        <v>17848</v>
      </c>
      <c r="L7689" s="417"/>
      <c r="M7689" s="417" t="s">
        <v>28840</v>
      </c>
    </row>
    <row r="7690" spans="1:13" x14ac:dyDescent="0.25">
      <c r="A7690" s="417" t="s">
        <v>3385</v>
      </c>
      <c r="B7690" s="417" t="s">
        <v>2437</v>
      </c>
      <c r="C7690" s="417" t="s">
        <v>17849</v>
      </c>
      <c r="D7690" s="417" t="s">
        <v>989</v>
      </c>
      <c r="E7690" s="423">
        <v>12837.199747651381</v>
      </c>
      <c r="F7690" s="423">
        <v>489.03076244547998</v>
      </c>
      <c r="G7690" s="422">
        <v>29807009.32851474</v>
      </c>
      <c r="H7690" s="417" t="s">
        <v>2616</v>
      </c>
      <c r="I7690" s="417" t="s">
        <v>1392</v>
      </c>
      <c r="J7690" s="417" t="s">
        <v>4167</v>
      </c>
      <c r="K7690" s="417" t="s">
        <v>17850</v>
      </c>
      <c r="L7690" s="417"/>
      <c r="M7690" s="417" t="s">
        <v>28840</v>
      </c>
    </row>
    <row r="7691" spans="1:13" x14ac:dyDescent="0.25">
      <c r="A7691" s="417" t="s">
        <v>3385</v>
      </c>
      <c r="B7691" s="417" t="s">
        <v>2437</v>
      </c>
      <c r="C7691" s="417" t="s">
        <v>17851</v>
      </c>
      <c r="D7691" s="417" t="s">
        <v>989</v>
      </c>
      <c r="E7691" s="423">
        <v>12826.41385002867</v>
      </c>
      <c r="F7691" s="423">
        <v>488.61451726487269</v>
      </c>
      <c r="G7691" s="422">
        <v>29772383.73706869</v>
      </c>
      <c r="H7691" s="417" t="s">
        <v>2616</v>
      </c>
      <c r="I7691" s="417" t="s">
        <v>1392</v>
      </c>
      <c r="J7691" s="417" t="s">
        <v>4167</v>
      </c>
      <c r="K7691" s="417" t="s">
        <v>17852</v>
      </c>
      <c r="L7691" s="417"/>
      <c r="M7691" s="417" t="s">
        <v>28840</v>
      </c>
    </row>
    <row r="7692" spans="1:13" x14ac:dyDescent="0.25">
      <c r="A7692" s="417" t="s">
        <v>3385</v>
      </c>
      <c r="B7692" s="417" t="s">
        <v>2437</v>
      </c>
      <c r="C7692" s="417" t="s">
        <v>17853</v>
      </c>
      <c r="D7692" s="417" t="s">
        <v>989</v>
      </c>
      <c r="E7692" s="423">
        <v>12771.883115113449</v>
      </c>
      <c r="F7692" s="423">
        <v>486.745792270415</v>
      </c>
      <c r="G7692" s="422">
        <v>29603257.577723879</v>
      </c>
      <c r="H7692" s="417" t="s">
        <v>2616</v>
      </c>
      <c r="I7692" s="417" t="s">
        <v>1392</v>
      </c>
      <c r="J7692" s="417" t="s">
        <v>4167</v>
      </c>
      <c r="K7692" s="417" t="s">
        <v>17854</v>
      </c>
      <c r="L7692" s="417"/>
      <c r="M7692" s="417" t="s">
        <v>28840</v>
      </c>
    </row>
    <row r="7693" spans="1:13" x14ac:dyDescent="0.25">
      <c r="A7693" s="417" t="s">
        <v>3385</v>
      </c>
      <c r="B7693" s="417" t="s">
        <v>2437</v>
      </c>
      <c r="C7693" s="417" t="s">
        <v>17855</v>
      </c>
      <c r="D7693" s="417" t="s">
        <v>989</v>
      </c>
      <c r="E7693" s="423">
        <v>9626.1298988227954</v>
      </c>
      <c r="F7693" s="423">
        <v>364.27092059698072</v>
      </c>
      <c r="G7693" s="422">
        <v>22531831.47994798</v>
      </c>
      <c r="H7693" s="417" t="s">
        <v>2616</v>
      </c>
      <c r="I7693" s="417" t="s">
        <v>1392</v>
      </c>
      <c r="J7693" s="417" t="s">
        <v>4167</v>
      </c>
      <c r="K7693" s="417" t="s">
        <v>17856</v>
      </c>
      <c r="L7693" s="417"/>
      <c r="M7693" s="417" t="s">
        <v>28840</v>
      </c>
    </row>
    <row r="7694" spans="1:13" x14ac:dyDescent="0.25">
      <c r="A7694" s="417" t="s">
        <v>3385</v>
      </c>
      <c r="B7694" s="417" t="s">
        <v>2437</v>
      </c>
      <c r="C7694" s="417" t="s">
        <v>17857</v>
      </c>
      <c r="D7694" s="417" t="s">
        <v>989</v>
      </c>
      <c r="E7694" s="423">
        <v>9491.487388325555</v>
      </c>
      <c r="F7694" s="423">
        <v>359.66518812212581</v>
      </c>
      <c r="G7694" s="422">
        <v>22024588.051090401</v>
      </c>
      <c r="H7694" s="417" t="s">
        <v>2616</v>
      </c>
      <c r="I7694" s="417" t="s">
        <v>1392</v>
      </c>
      <c r="J7694" s="417" t="s">
        <v>4167</v>
      </c>
      <c r="K7694" s="417" t="s">
        <v>17858</v>
      </c>
      <c r="L7694" s="417"/>
      <c r="M7694" s="417" t="s">
        <v>28840</v>
      </c>
    </row>
    <row r="7695" spans="1:13" x14ac:dyDescent="0.25">
      <c r="A7695" s="417" t="s">
        <v>3385</v>
      </c>
      <c r="B7695" s="417" t="s">
        <v>2437</v>
      </c>
      <c r="C7695" s="417" t="s">
        <v>17859</v>
      </c>
      <c r="D7695" s="417" t="s">
        <v>989</v>
      </c>
      <c r="E7695" s="423">
        <v>9472.9244505245642</v>
      </c>
      <c r="F7695" s="423">
        <v>359.04583013275851</v>
      </c>
      <c r="G7695" s="422">
        <v>21969518.513834041</v>
      </c>
      <c r="H7695" s="417" t="s">
        <v>2616</v>
      </c>
      <c r="I7695" s="417" t="s">
        <v>1392</v>
      </c>
      <c r="J7695" s="417" t="s">
        <v>4167</v>
      </c>
      <c r="K7695" s="417" t="s">
        <v>17860</v>
      </c>
      <c r="L7695" s="417"/>
      <c r="M7695" s="417" t="s">
        <v>28840</v>
      </c>
    </row>
    <row r="7696" spans="1:13" x14ac:dyDescent="0.25">
      <c r="A7696" s="417" t="s">
        <v>3385</v>
      </c>
      <c r="B7696" s="417" t="s">
        <v>2437</v>
      </c>
      <c r="C7696" s="417" t="s">
        <v>17861</v>
      </c>
      <c r="D7696" s="417" t="s">
        <v>989</v>
      </c>
      <c r="E7696" s="423">
        <v>9466.2958429549381</v>
      </c>
      <c r="F7696" s="423">
        <v>358.81534791902538</v>
      </c>
      <c r="G7696" s="422">
        <v>21950380.44897797</v>
      </c>
      <c r="H7696" s="417" t="s">
        <v>2616</v>
      </c>
      <c r="I7696" s="417" t="s">
        <v>1392</v>
      </c>
      <c r="J7696" s="417" t="s">
        <v>4167</v>
      </c>
      <c r="K7696" s="417" t="s">
        <v>17862</v>
      </c>
      <c r="L7696" s="417"/>
      <c r="M7696" s="417" t="s">
        <v>28840</v>
      </c>
    </row>
    <row r="7697" spans="1:13" x14ac:dyDescent="0.25">
      <c r="A7697" s="417" t="s">
        <v>3385</v>
      </c>
      <c r="B7697" s="417" t="s">
        <v>2437</v>
      </c>
      <c r="C7697" s="417" t="s">
        <v>17863</v>
      </c>
      <c r="D7697" s="417" t="s">
        <v>989</v>
      </c>
      <c r="E7697" s="423">
        <v>9419.3001588361694</v>
      </c>
      <c r="F7697" s="423">
        <v>357.47550546695629</v>
      </c>
      <c r="G7697" s="422">
        <v>21821316.39388011</v>
      </c>
      <c r="H7697" s="417" t="s">
        <v>2616</v>
      </c>
      <c r="I7697" s="417" t="s">
        <v>1392</v>
      </c>
      <c r="J7697" s="417" t="s">
        <v>4167</v>
      </c>
      <c r="K7697" s="417" t="s">
        <v>17864</v>
      </c>
      <c r="L7697" s="417"/>
      <c r="M7697" s="417" t="s">
        <v>28840</v>
      </c>
    </row>
    <row r="7698" spans="1:13" x14ac:dyDescent="0.25">
      <c r="A7698" s="417" t="s">
        <v>3385</v>
      </c>
      <c r="B7698" s="417" t="s">
        <v>2437</v>
      </c>
      <c r="C7698" s="417" t="s">
        <v>17865</v>
      </c>
      <c r="D7698" s="417" t="s">
        <v>989</v>
      </c>
      <c r="E7698" s="423">
        <v>6978.4007624135338</v>
      </c>
      <c r="F7698" s="423">
        <v>264.15372846414539</v>
      </c>
      <c r="G7698" s="422">
        <v>15340007.3468342</v>
      </c>
      <c r="H7698" s="417" t="s">
        <v>2616</v>
      </c>
      <c r="I7698" s="417" t="s">
        <v>1392</v>
      </c>
      <c r="J7698" s="417" t="s">
        <v>4167</v>
      </c>
      <c r="K7698" s="417" t="s">
        <v>17866</v>
      </c>
      <c r="L7698" s="417"/>
      <c r="M7698" s="417" t="s">
        <v>28840</v>
      </c>
    </row>
    <row r="7699" spans="1:13" x14ac:dyDescent="0.25">
      <c r="A7699" s="417" t="s">
        <v>3385</v>
      </c>
      <c r="B7699" s="417" t="s">
        <v>2437</v>
      </c>
      <c r="C7699" s="417" t="s">
        <v>17867</v>
      </c>
      <c r="D7699" s="417" t="s">
        <v>989</v>
      </c>
      <c r="E7699" s="423">
        <v>7054.5199580316676</v>
      </c>
      <c r="F7699" s="423">
        <v>267.56611170002037</v>
      </c>
      <c r="G7699" s="422">
        <v>15487027.546892229</v>
      </c>
      <c r="H7699" s="417" t="s">
        <v>2616</v>
      </c>
      <c r="I7699" s="417" t="s">
        <v>1392</v>
      </c>
      <c r="J7699" s="417" t="s">
        <v>4167</v>
      </c>
      <c r="K7699" s="417" t="s">
        <v>17868</v>
      </c>
      <c r="L7699" s="417"/>
      <c r="M7699" s="417" t="s">
        <v>28840</v>
      </c>
    </row>
    <row r="7700" spans="1:13" x14ac:dyDescent="0.25">
      <c r="A7700" s="417" t="s">
        <v>3385</v>
      </c>
      <c r="B7700" s="417" t="s">
        <v>2437</v>
      </c>
      <c r="C7700" s="417" t="s">
        <v>17869</v>
      </c>
      <c r="D7700" s="417" t="s">
        <v>989</v>
      </c>
      <c r="E7700" s="423">
        <v>7098.4183356225612</v>
      </c>
      <c r="F7700" s="423">
        <v>269.6248200241883</v>
      </c>
      <c r="G7700" s="422">
        <v>15568940.046929721</v>
      </c>
      <c r="H7700" s="417" t="s">
        <v>2616</v>
      </c>
      <c r="I7700" s="417" t="s">
        <v>1392</v>
      </c>
      <c r="J7700" s="417" t="s">
        <v>4167</v>
      </c>
      <c r="K7700" s="417" t="s">
        <v>17870</v>
      </c>
      <c r="L7700" s="417"/>
      <c r="M7700" s="417" t="s">
        <v>28840</v>
      </c>
    </row>
    <row r="7701" spans="1:13" x14ac:dyDescent="0.25">
      <c r="A7701" s="417" t="s">
        <v>3385</v>
      </c>
      <c r="B7701" s="417" t="s">
        <v>2437</v>
      </c>
      <c r="C7701" s="417" t="s">
        <v>17871</v>
      </c>
      <c r="D7701" s="417" t="s">
        <v>989</v>
      </c>
      <c r="E7701" s="423">
        <v>7122.0375008031642</v>
      </c>
      <c r="F7701" s="423">
        <v>270.69257156757402</v>
      </c>
      <c r="G7701" s="422">
        <v>15615563.503976321</v>
      </c>
      <c r="H7701" s="417" t="s">
        <v>2616</v>
      </c>
      <c r="I7701" s="417" t="s">
        <v>1392</v>
      </c>
      <c r="J7701" s="417" t="s">
        <v>4167</v>
      </c>
      <c r="K7701" s="417" t="s">
        <v>17872</v>
      </c>
      <c r="L7701" s="417"/>
      <c r="M7701" s="417" t="s">
        <v>28840</v>
      </c>
    </row>
    <row r="7702" spans="1:13" x14ac:dyDescent="0.25">
      <c r="A7702" s="417" t="s">
        <v>3385</v>
      </c>
      <c r="B7702" s="417" t="s">
        <v>2437</v>
      </c>
      <c r="C7702" s="417" t="s">
        <v>17873</v>
      </c>
      <c r="D7702" s="417" t="s">
        <v>989</v>
      </c>
      <c r="E7702" s="423">
        <v>7123.4575498636368</v>
      </c>
      <c r="F7702" s="423">
        <v>271.02927212479261</v>
      </c>
      <c r="G7702" s="422">
        <v>15610368.92276964</v>
      </c>
      <c r="H7702" s="417" t="s">
        <v>2616</v>
      </c>
      <c r="I7702" s="417" t="s">
        <v>1392</v>
      </c>
      <c r="J7702" s="417" t="s">
        <v>4167</v>
      </c>
      <c r="K7702" s="417" t="s">
        <v>17874</v>
      </c>
      <c r="L7702" s="417"/>
      <c r="M7702" s="417" t="s">
        <v>28840</v>
      </c>
    </row>
    <row r="7703" spans="1:13" x14ac:dyDescent="0.25">
      <c r="A7703" s="417" t="s">
        <v>3385</v>
      </c>
      <c r="B7703" s="417" t="s">
        <v>2437</v>
      </c>
      <c r="C7703" s="417" t="s">
        <v>17875</v>
      </c>
      <c r="D7703" s="417" t="s">
        <v>989</v>
      </c>
      <c r="E7703" s="423">
        <v>12731.884030061919</v>
      </c>
      <c r="F7703" s="423">
        <v>496.70495992147693</v>
      </c>
      <c r="G7703" s="422">
        <v>27100923.247695439</v>
      </c>
      <c r="H7703" s="417" t="s">
        <v>2616</v>
      </c>
      <c r="I7703" s="417" t="s">
        <v>1392</v>
      </c>
      <c r="J7703" s="417" t="s">
        <v>4167</v>
      </c>
      <c r="K7703" s="417" t="s">
        <v>17876</v>
      </c>
      <c r="L7703" s="417"/>
      <c r="M7703" s="417" t="s">
        <v>28840</v>
      </c>
    </row>
    <row r="7704" spans="1:13" x14ac:dyDescent="0.25">
      <c r="A7704" s="417" t="s">
        <v>3385</v>
      </c>
      <c r="B7704" s="417" t="s">
        <v>2437</v>
      </c>
      <c r="C7704" s="417" t="s">
        <v>17877</v>
      </c>
      <c r="D7704" s="417" t="s">
        <v>989</v>
      </c>
      <c r="E7704" s="423">
        <v>12702.153355712941</v>
      </c>
      <c r="F7704" s="423">
        <v>496.04492855415123</v>
      </c>
      <c r="G7704" s="422">
        <v>27032118.454935849</v>
      </c>
      <c r="H7704" s="417" t="s">
        <v>2616</v>
      </c>
      <c r="I7704" s="417" t="s">
        <v>1392</v>
      </c>
      <c r="J7704" s="417" t="s">
        <v>4167</v>
      </c>
      <c r="K7704" s="417" t="s">
        <v>17878</v>
      </c>
      <c r="L7704" s="417"/>
      <c r="M7704" s="417" t="s">
        <v>28840</v>
      </c>
    </row>
    <row r="7705" spans="1:13" x14ac:dyDescent="0.25">
      <c r="A7705" s="417" t="s">
        <v>3385</v>
      </c>
      <c r="B7705" s="417" t="s">
        <v>2437</v>
      </c>
      <c r="C7705" s="417" t="s">
        <v>17879</v>
      </c>
      <c r="D7705" s="417" t="s">
        <v>989</v>
      </c>
      <c r="E7705" s="423">
        <v>12685.75373137956</v>
      </c>
      <c r="F7705" s="423">
        <v>495.61350398137512</v>
      </c>
      <c r="G7705" s="422">
        <v>26988004.164831441</v>
      </c>
      <c r="H7705" s="417" t="s">
        <v>2616</v>
      </c>
      <c r="I7705" s="417" t="s">
        <v>1392</v>
      </c>
      <c r="J7705" s="417" t="s">
        <v>4167</v>
      </c>
      <c r="K7705" s="417" t="s">
        <v>17880</v>
      </c>
      <c r="L7705" s="417"/>
      <c r="M7705" s="417" t="s">
        <v>28840</v>
      </c>
    </row>
    <row r="7706" spans="1:13" x14ac:dyDescent="0.25">
      <c r="A7706" s="417" t="s">
        <v>3385</v>
      </c>
      <c r="B7706" s="417" t="s">
        <v>2437</v>
      </c>
      <c r="C7706" s="417" t="s">
        <v>17881</v>
      </c>
      <c r="D7706" s="417" t="s">
        <v>989</v>
      </c>
      <c r="E7706" s="423">
        <v>12682.33097034489</v>
      </c>
      <c r="F7706" s="423">
        <v>495.47450585762982</v>
      </c>
      <c r="G7706" s="422">
        <v>26977470.388380028</v>
      </c>
      <c r="H7706" s="417" t="s">
        <v>2616</v>
      </c>
      <c r="I7706" s="417" t="s">
        <v>1392</v>
      </c>
      <c r="J7706" s="417" t="s">
        <v>4167</v>
      </c>
      <c r="K7706" s="417" t="s">
        <v>17882</v>
      </c>
      <c r="L7706" s="417"/>
      <c r="M7706" s="417" t="s">
        <v>28840</v>
      </c>
    </row>
    <row r="7707" spans="1:13" x14ac:dyDescent="0.25">
      <c r="A7707" s="417" t="s">
        <v>3385</v>
      </c>
      <c r="B7707" s="417" t="s">
        <v>2437</v>
      </c>
      <c r="C7707" s="417" t="s">
        <v>17883</v>
      </c>
      <c r="D7707" s="417" t="s">
        <v>989</v>
      </c>
      <c r="E7707" s="423">
        <v>12648.96218804367</v>
      </c>
      <c r="F7707" s="423">
        <v>494.75439735874988</v>
      </c>
      <c r="G7707" s="422">
        <v>26896999.888743341</v>
      </c>
      <c r="H7707" s="417" t="s">
        <v>2616</v>
      </c>
      <c r="I7707" s="417" t="s">
        <v>1392</v>
      </c>
      <c r="J7707" s="417" t="s">
        <v>4167</v>
      </c>
      <c r="K7707" s="417" t="s">
        <v>17884</v>
      </c>
      <c r="L7707" s="417"/>
      <c r="M7707" s="417" t="s">
        <v>28840</v>
      </c>
    </row>
    <row r="7708" spans="1:13" x14ac:dyDescent="0.25">
      <c r="A7708" s="417" t="s">
        <v>3385</v>
      </c>
      <c r="B7708" s="417" t="s">
        <v>2437</v>
      </c>
      <c r="C7708" s="417" t="s">
        <v>17885</v>
      </c>
      <c r="D7708" s="417" t="s">
        <v>989</v>
      </c>
      <c r="E7708" s="423">
        <v>10751.1145300843</v>
      </c>
      <c r="F7708" s="423">
        <v>414.49744227082027</v>
      </c>
      <c r="G7708" s="422">
        <v>23148777.93767922</v>
      </c>
      <c r="H7708" s="417" t="s">
        <v>2616</v>
      </c>
      <c r="I7708" s="417" t="s">
        <v>1392</v>
      </c>
      <c r="J7708" s="417" t="s">
        <v>4167</v>
      </c>
      <c r="K7708" s="417" t="s">
        <v>17886</v>
      </c>
      <c r="L7708" s="417"/>
      <c r="M7708" s="417" t="s">
        <v>28840</v>
      </c>
    </row>
    <row r="7709" spans="1:13" x14ac:dyDescent="0.25">
      <c r="A7709" s="417" t="s">
        <v>3385</v>
      </c>
      <c r="B7709" s="417" t="s">
        <v>2437</v>
      </c>
      <c r="C7709" s="417" t="s">
        <v>17887</v>
      </c>
      <c r="D7709" s="417" t="s">
        <v>989</v>
      </c>
      <c r="E7709" s="423">
        <v>10737.645481791709</v>
      </c>
      <c r="F7709" s="423">
        <v>414.06420151957218</v>
      </c>
      <c r="G7709" s="422">
        <v>23110619.454426222</v>
      </c>
      <c r="H7709" s="417" t="s">
        <v>2616</v>
      </c>
      <c r="I7709" s="417" t="s">
        <v>1392</v>
      </c>
      <c r="J7709" s="417" t="s">
        <v>4167</v>
      </c>
      <c r="K7709" s="417" t="s">
        <v>17888</v>
      </c>
      <c r="L7709" s="417"/>
      <c r="M7709" s="417" t="s">
        <v>28840</v>
      </c>
    </row>
    <row r="7710" spans="1:13" x14ac:dyDescent="0.25">
      <c r="A7710" s="417" t="s">
        <v>3385</v>
      </c>
      <c r="B7710" s="417" t="s">
        <v>2437</v>
      </c>
      <c r="C7710" s="417" t="s">
        <v>17889</v>
      </c>
      <c r="D7710" s="417" t="s">
        <v>989</v>
      </c>
      <c r="E7710" s="423">
        <v>10719.614290806931</v>
      </c>
      <c r="F7710" s="423">
        <v>413.58287706621979</v>
      </c>
      <c r="G7710" s="422">
        <v>23062316.220629118</v>
      </c>
      <c r="H7710" s="417" t="s">
        <v>2616</v>
      </c>
      <c r="I7710" s="417" t="s">
        <v>1392</v>
      </c>
      <c r="J7710" s="417" t="s">
        <v>4167</v>
      </c>
      <c r="K7710" s="417" t="s">
        <v>17890</v>
      </c>
      <c r="L7710" s="417"/>
      <c r="M7710" s="417" t="s">
        <v>28840</v>
      </c>
    </row>
    <row r="7711" spans="1:13" x14ac:dyDescent="0.25">
      <c r="A7711" s="417" t="s">
        <v>3385</v>
      </c>
      <c r="B7711" s="417" t="s">
        <v>2437</v>
      </c>
      <c r="C7711" s="417" t="s">
        <v>17891</v>
      </c>
      <c r="D7711" s="417" t="s">
        <v>989</v>
      </c>
      <c r="E7711" s="423">
        <v>10716.191529794331</v>
      </c>
      <c r="F7711" s="423">
        <v>413.44387893790571</v>
      </c>
      <c r="G7711" s="422">
        <v>23051782.444014601</v>
      </c>
      <c r="H7711" s="417" t="s">
        <v>2616</v>
      </c>
      <c r="I7711" s="417" t="s">
        <v>1392</v>
      </c>
      <c r="J7711" s="417" t="s">
        <v>4167</v>
      </c>
      <c r="K7711" s="417" t="s">
        <v>17892</v>
      </c>
      <c r="L7711" s="417"/>
      <c r="M7711" s="417" t="s">
        <v>28840</v>
      </c>
    </row>
    <row r="7712" spans="1:13" x14ac:dyDescent="0.25">
      <c r="A7712" s="417" t="s">
        <v>3385</v>
      </c>
      <c r="B7712" s="417" t="s">
        <v>2437</v>
      </c>
      <c r="C7712" s="417" t="s">
        <v>17893</v>
      </c>
      <c r="D7712" s="417" t="s">
        <v>989</v>
      </c>
      <c r="E7712" s="423">
        <v>10681.154258253549</v>
      </c>
      <c r="F7712" s="423">
        <v>412.677279648526</v>
      </c>
      <c r="G7712" s="422">
        <v>22968474.055269741</v>
      </c>
      <c r="H7712" s="417" t="s">
        <v>2616</v>
      </c>
      <c r="I7712" s="417" t="s">
        <v>1392</v>
      </c>
      <c r="J7712" s="417" t="s">
        <v>4167</v>
      </c>
      <c r="K7712" s="417" t="s">
        <v>17894</v>
      </c>
      <c r="L7712" s="417"/>
      <c r="M7712" s="417" t="s">
        <v>28840</v>
      </c>
    </row>
    <row r="7713" spans="1:13" x14ac:dyDescent="0.25">
      <c r="A7713" s="417" t="s">
        <v>3385</v>
      </c>
      <c r="B7713" s="417" t="s">
        <v>2437</v>
      </c>
      <c r="C7713" s="417" t="s">
        <v>17895</v>
      </c>
      <c r="D7713" s="417" t="s">
        <v>989</v>
      </c>
      <c r="E7713" s="423">
        <v>8640.8514192484854</v>
      </c>
      <c r="F7713" s="423">
        <v>331.1053754594609</v>
      </c>
      <c r="G7713" s="422">
        <v>18742682.37930828</v>
      </c>
      <c r="H7713" s="417" t="s">
        <v>2616</v>
      </c>
      <c r="I7713" s="417" t="s">
        <v>1392</v>
      </c>
      <c r="J7713" s="417" t="s">
        <v>4167</v>
      </c>
      <c r="K7713" s="417" t="s">
        <v>17896</v>
      </c>
      <c r="L7713" s="417"/>
      <c r="M7713" s="417" t="s">
        <v>28840</v>
      </c>
    </row>
    <row r="7714" spans="1:13" x14ac:dyDescent="0.25">
      <c r="A7714" s="417" t="s">
        <v>3385</v>
      </c>
      <c r="B7714" s="417" t="s">
        <v>2437</v>
      </c>
      <c r="C7714" s="417" t="s">
        <v>17897</v>
      </c>
      <c r="D7714" s="417" t="s">
        <v>989</v>
      </c>
      <c r="E7714" s="423">
        <v>8614.0448452237179</v>
      </c>
      <c r="F7714" s="423">
        <v>330.57962616266713</v>
      </c>
      <c r="G7714" s="422">
        <v>18684027.363109991</v>
      </c>
      <c r="H7714" s="417" t="s">
        <v>2616</v>
      </c>
      <c r="I7714" s="417" t="s">
        <v>1392</v>
      </c>
      <c r="J7714" s="417" t="s">
        <v>4167</v>
      </c>
      <c r="K7714" s="417" t="s">
        <v>17898</v>
      </c>
      <c r="L7714" s="417"/>
      <c r="M7714" s="417" t="s">
        <v>28840</v>
      </c>
    </row>
    <row r="7715" spans="1:13" x14ac:dyDescent="0.25">
      <c r="A7715" s="417" t="s">
        <v>3385</v>
      </c>
      <c r="B7715" s="417" t="s">
        <v>2437</v>
      </c>
      <c r="C7715" s="417" t="s">
        <v>17899</v>
      </c>
      <c r="D7715" s="417" t="s">
        <v>989</v>
      </c>
      <c r="E7715" s="423">
        <v>8602.9345616253668</v>
      </c>
      <c r="F7715" s="423">
        <v>330.2598905740366</v>
      </c>
      <c r="G7715" s="422">
        <v>18654679.105568729</v>
      </c>
      <c r="H7715" s="417" t="s">
        <v>2616</v>
      </c>
      <c r="I7715" s="417" t="s">
        <v>1392</v>
      </c>
      <c r="J7715" s="417" t="s">
        <v>4167</v>
      </c>
      <c r="K7715" s="417" t="s">
        <v>17900</v>
      </c>
      <c r="L7715" s="417"/>
      <c r="M7715" s="417" t="s">
        <v>28840</v>
      </c>
    </row>
    <row r="7716" spans="1:13" x14ac:dyDescent="0.25">
      <c r="A7716" s="417" t="s">
        <v>3385</v>
      </c>
      <c r="B7716" s="417" t="s">
        <v>2437</v>
      </c>
      <c r="C7716" s="417" t="s">
        <v>17901</v>
      </c>
      <c r="D7716" s="417" t="s">
        <v>989</v>
      </c>
      <c r="E7716" s="423">
        <v>8601.2590929876824</v>
      </c>
      <c r="F7716" s="423">
        <v>330.19257842150779</v>
      </c>
      <c r="G7716" s="422">
        <v>18649956.87879774</v>
      </c>
      <c r="H7716" s="417" t="s">
        <v>2616</v>
      </c>
      <c r="I7716" s="417" t="s">
        <v>1392</v>
      </c>
      <c r="J7716" s="417" t="s">
        <v>4167</v>
      </c>
      <c r="K7716" s="417" t="s">
        <v>17902</v>
      </c>
      <c r="L7716" s="417"/>
      <c r="M7716" s="417" t="s">
        <v>28840</v>
      </c>
    </row>
    <row r="7717" spans="1:13" x14ac:dyDescent="0.25">
      <c r="A7717" s="417" t="s">
        <v>3385</v>
      </c>
      <c r="B7717" s="417" t="s">
        <v>2437</v>
      </c>
      <c r="C7717" s="417" t="s">
        <v>17903</v>
      </c>
      <c r="D7717" s="417" t="s">
        <v>989</v>
      </c>
      <c r="E7717" s="423">
        <v>8573.1025631996308</v>
      </c>
      <c r="F7717" s="423">
        <v>329.60118360721629</v>
      </c>
      <c r="G7717" s="422">
        <v>18585008.17428042</v>
      </c>
      <c r="H7717" s="417" t="s">
        <v>2616</v>
      </c>
      <c r="I7717" s="417" t="s">
        <v>1392</v>
      </c>
      <c r="J7717" s="417" t="s">
        <v>4167</v>
      </c>
      <c r="K7717" s="417" t="s">
        <v>17904</v>
      </c>
      <c r="L7717" s="417"/>
      <c r="M7717" s="417" t="s">
        <v>28840</v>
      </c>
    </row>
    <row r="7718" spans="1:13" x14ac:dyDescent="0.25">
      <c r="A7718" s="417" t="s">
        <v>3385</v>
      </c>
      <c r="B7718" s="417" t="s">
        <v>2437</v>
      </c>
      <c r="C7718" s="417" t="s">
        <v>17905</v>
      </c>
      <c r="D7718" s="417" t="s">
        <v>989</v>
      </c>
      <c r="E7718" s="423">
        <v>6787.7715927619493</v>
      </c>
      <c r="F7718" s="423">
        <v>259.65170842298897</v>
      </c>
      <c r="G7718" s="422">
        <v>13889206.30936769</v>
      </c>
      <c r="H7718" s="417" t="s">
        <v>2616</v>
      </c>
      <c r="I7718" s="417" t="s">
        <v>1392</v>
      </c>
      <c r="J7718" s="417" t="s">
        <v>4167</v>
      </c>
      <c r="K7718" s="417" t="s">
        <v>17906</v>
      </c>
      <c r="L7718" s="417"/>
      <c r="M7718" s="417" t="s">
        <v>28840</v>
      </c>
    </row>
    <row r="7719" spans="1:13" x14ac:dyDescent="0.25">
      <c r="A7719" s="417" t="s">
        <v>3385</v>
      </c>
      <c r="B7719" s="417" t="s">
        <v>2437</v>
      </c>
      <c r="C7719" s="417" t="s">
        <v>17907</v>
      </c>
      <c r="D7719" s="417" t="s">
        <v>989</v>
      </c>
      <c r="E7719" s="423">
        <v>6777.31989920865</v>
      </c>
      <c r="F7719" s="423">
        <v>259.40508719667451</v>
      </c>
      <c r="G7719" s="422">
        <v>13873483.46282807</v>
      </c>
      <c r="H7719" s="417" t="s">
        <v>2616</v>
      </c>
      <c r="I7719" s="417" t="s">
        <v>1392</v>
      </c>
      <c r="J7719" s="417" t="s">
        <v>4167</v>
      </c>
      <c r="K7719" s="417" t="s">
        <v>17908</v>
      </c>
      <c r="L7719" s="417"/>
      <c r="M7719" s="417" t="s">
        <v>28840</v>
      </c>
    </row>
    <row r="7720" spans="1:13" x14ac:dyDescent="0.25">
      <c r="A7720" s="417" t="s">
        <v>3385</v>
      </c>
      <c r="B7720" s="417" t="s">
        <v>2437</v>
      </c>
      <c r="C7720" s="417" t="s">
        <v>17909</v>
      </c>
      <c r="D7720" s="417" t="s">
        <v>989</v>
      </c>
      <c r="E7720" s="423">
        <v>6585.3413509299326</v>
      </c>
      <c r="F7720" s="423">
        <v>251.79701995684019</v>
      </c>
      <c r="G7720" s="422">
        <v>13491749.796965441</v>
      </c>
      <c r="H7720" s="417" t="s">
        <v>2616</v>
      </c>
      <c r="I7720" s="417" t="s">
        <v>1392</v>
      </c>
      <c r="J7720" s="417" t="s">
        <v>4167</v>
      </c>
      <c r="K7720" s="417" t="s">
        <v>17910</v>
      </c>
      <c r="L7720" s="417"/>
      <c r="M7720" s="417" t="s">
        <v>28840</v>
      </c>
    </row>
    <row r="7721" spans="1:13" x14ac:dyDescent="0.25">
      <c r="A7721" s="417" t="s">
        <v>3385</v>
      </c>
      <c r="B7721" s="417" t="s">
        <v>2437</v>
      </c>
      <c r="C7721" s="417" t="s">
        <v>17911</v>
      </c>
      <c r="D7721" s="417" t="s">
        <v>989</v>
      </c>
      <c r="E7721" s="423">
        <v>6580.8512431059116</v>
      </c>
      <c r="F7721" s="423">
        <v>251.77776777527839</v>
      </c>
      <c r="G7721" s="422">
        <v>13482717.885931971</v>
      </c>
      <c r="H7721" s="417" t="s">
        <v>2616</v>
      </c>
      <c r="I7721" s="417" t="s">
        <v>1392</v>
      </c>
      <c r="J7721" s="417" t="s">
        <v>4167</v>
      </c>
      <c r="K7721" s="417" t="s">
        <v>17912</v>
      </c>
      <c r="L7721" s="417"/>
      <c r="M7721" s="417" t="s">
        <v>28840</v>
      </c>
    </row>
    <row r="7722" spans="1:13" x14ac:dyDescent="0.25">
      <c r="A7722" s="417" t="s">
        <v>3385</v>
      </c>
      <c r="B7722" s="417" t="s">
        <v>2437</v>
      </c>
      <c r="C7722" s="417" t="s">
        <v>17913</v>
      </c>
      <c r="D7722" s="417" t="s">
        <v>989</v>
      </c>
      <c r="E7722" s="423">
        <v>6575.4888404992234</v>
      </c>
      <c r="F7722" s="423">
        <v>251.7027852276139</v>
      </c>
      <c r="G7722" s="422">
        <v>13470272.4036668</v>
      </c>
      <c r="H7722" s="417" t="s">
        <v>2616</v>
      </c>
      <c r="I7722" s="417" t="s">
        <v>1392</v>
      </c>
      <c r="J7722" s="417" t="s">
        <v>4167</v>
      </c>
      <c r="K7722" s="417" t="s">
        <v>17914</v>
      </c>
      <c r="L7722" s="417"/>
      <c r="M7722" s="417" t="s">
        <v>28840</v>
      </c>
    </row>
    <row r="7723" spans="1:13" x14ac:dyDescent="0.25">
      <c r="A7723" s="417" t="s">
        <v>3385</v>
      </c>
      <c r="B7723" s="417" t="s">
        <v>2437</v>
      </c>
      <c r="C7723" s="417" t="s">
        <v>17915</v>
      </c>
      <c r="D7723" s="417" t="s">
        <v>989</v>
      </c>
      <c r="E7723" s="423">
        <v>6570.1264379595241</v>
      </c>
      <c r="F7723" s="423">
        <v>251.62780268328689</v>
      </c>
      <c r="G7723" s="422">
        <v>13457826.92189472</v>
      </c>
      <c r="H7723" s="417" t="s">
        <v>2616</v>
      </c>
      <c r="I7723" s="417" t="s">
        <v>1392</v>
      </c>
      <c r="J7723" s="417" t="s">
        <v>4167</v>
      </c>
      <c r="K7723" s="417" t="s">
        <v>17916</v>
      </c>
      <c r="L7723" s="417"/>
      <c r="M7723" s="417" t="s">
        <v>28840</v>
      </c>
    </row>
    <row r="7724" spans="1:13" x14ac:dyDescent="0.25">
      <c r="A7724" s="417" t="s">
        <v>3385</v>
      </c>
      <c r="B7724" s="417" t="s">
        <v>2437</v>
      </c>
      <c r="C7724" s="417" t="s">
        <v>17917</v>
      </c>
      <c r="D7724" s="417" t="s">
        <v>989</v>
      </c>
      <c r="E7724" s="423">
        <v>6556.4344580565612</v>
      </c>
      <c r="F7724" s="423">
        <v>251.094572066995</v>
      </c>
      <c r="G7724" s="422">
        <v>13435051.796941681</v>
      </c>
      <c r="H7724" s="417" t="s">
        <v>2616</v>
      </c>
      <c r="I7724" s="417" t="s">
        <v>1392</v>
      </c>
      <c r="J7724" s="417" t="s">
        <v>4167</v>
      </c>
      <c r="K7724" s="417" t="s">
        <v>17918</v>
      </c>
      <c r="L7724" s="417"/>
      <c r="M7724" s="417" t="s">
        <v>28840</v>
      </c>
    </row>
    <row r="7725" spans="1:13" x14ac:dyDescent="0.25">
      <c r="A7725" s="417" t="s">
        <v>3385</v>
      </c>
      <c r="B7725" s="417" t="s">
        <v>2437</v>
      </c>
      <c r="C7725" s="417" t="s">
        <v>17919</v>
      </c>
      <c r="D7725" s="417" t="s">
        <v>989</v>
      </c>
      <c r="E7725" s="423">
        <v>12339.87411409105</v>
      </c>
      <c r="F7725" s="423">
        <v>481.87448785721728</v>
      </c>
      <c r="G7725" s="422">
        <v>25009978.579588048</v>
      </c>
      <c r="H7725" s="417" t="s">
        <v>2616</v>
      </c>
      <c r="I7725" s="417" t="s">
        <v>1392</v>
      </c>
      <c r="J7725" s="417" t="s">
        <v>4167</v>
      </c>
      <c r="K7725" s="417" t="s">
        <v>17920</v>
      </c>
      <c r="L7725" s="417"/>
      <c r="M7725" s="417" t="s">
        <v>28840</v>
      </c>
    </row>
    <row r="7726" spans="1:13" x14ac:dyDescent="0.25">
      <c r="A7726" s="417" t="s">
        <v>3385</v>
      </c>
      <c r="B7726" s="417" t="s">
        <v>2437</v>
      </c>
      <c r="C7726" s="417" t="s">
        <v>17921</v>
      </c>
      <c r="D7726" s="417" t="s">
        <v>989</v>
      </c>
      <c r="E7726" s="423">
        <v>12303.839940276141</v>
      </c>
      <c r="F7726" s="423">
        <v>481.12666296977511</v>
      </c>
      <c r="G7726" s="422">
        <v>24944283.56297148</v>
      </c>
      <c r="H7726" s="417" t="s">
        <v>2616</v>
      </c>
      <c r="I7726" s="417" t="s">
        <v>1392</v>
      </c>
      <c r="J7726" s="417" t="s">
        <v>4167</v>
      </c>
      <c r="K7726" s="417" t="s">
        <v>17922</v>
      </c>
      <c r="L7726" s="417"/>
      <c r="M7726" s="417" t="s">
        <v>28840</v>
      </c>
    </row>
    <row r="7727" spans="1:13" x14ac:dyDescent="0.25">
      <c r="A7727" s="417" t="s">
        <v>3385</v>
      </c>
      <c r="B7727" s="417" t="s">
        <v>2437</v>
      </c>
      <c r="C7727" s="417" t="s">
        <v>17923</v>
      </c>
      <c r="D7727" s="417" t="s">
        <v>989</v>
      </c>
      <c r="E7727" s="423">
        <v>11945.501028507309</v>
      </c>
      <c r="F7727" s="423">
        <v>466.92165911742478</v>
      </c>
      <c r="G7727" s="422">
        <v>24234677.37989663</v>
      </c>
      <c r="H7727" s="417" t="s">
        <v>2616</v>
      </c>
      <c r="I7727" s="417" t="s">
        <v>1392</v>
      </c>
      <c r="J7727" s="417" t="s">
        <v>4167</v>
      </c>
      <c r="K7727" s="417" t="s">
        <v>17924</v>
      </c>
      <c r="L7727" s="417"/>
      <c r="M7727" s="417" t="s">
        <v>28840</v>
      </c>
    </row>
    <row r="7728" spans="1:13" x14ac:dyDescent="0.25">
      <c r="A7728" s="417" t="s">
        <v>3385</v>
      </c>
      <c r="B7728" s="417" t="s">
        <v>2437</v>
      </c>
      <c r="C7728" s="417" t="s">
        <v>17925</v>
      </c>
      <c r="D7728" s="417" t="s">
        <v>989</v>
      </c>
      <c r="E7728" s="423">
        <v>11938.15530630681</v>
      </c>
      <c r="F7728" s="423">
        <v>466.83749845912399</v>
      </c>
      <c r="G7728" s="422">
        <v>24215933.430946421</v>
      </c>
      <c r="H7728" s="417" t="s">
        <v>2616</v>
      </c>
      <c r="I7728" s="417" t="s">
        <v>1392</v>
      </c>
      <c r="J7728" s="417" t="s">
        <v>4167</v>
      </c>
      <c r="K7728" s="417" t="s">
        <v>17926</v>
      </c>
      <c r="L7728" s="417"/>
      <c r="M7728" s="417" t="s">
        <v>28840</v>
      </c>
    </row>
    <row r="7729" spans="1:13" x14ac:dyDescent="0.25">
      <c r="A7729" s="417" t="s">
        <v>3385</v>
      </c>
      <c r="B7729" s="417" t="s">
        <v>2437</v>
      </c>
      <c r="C7729" s="417" t="s">
        <v>17927</v>
      </c>
      <c r="D7729" s="417" t="s">
        <v>989</v>
      </c>
      <c r="E7729" s="423">
        <v>11937.271278535911</v>
      </c>
      <c r="F7729" s="423">
        <v>466.89080919849351</v>
      </c>
      <c r="G7729" s="422">
        <v>24213419.660073709</v>
      </c>
      <c r="H7729" s="417" t="s">
        <v>2616</v>
      </c>
      <c r="I7729" s="417" t="s">
        <v>1392</v>
      </c>
      <c r="J7729" s="417" t="s">
        <v>4167</v>
      </c>
      <c r="K7729" s="417" t="s">
        <v>17928</v>
      </c>
      <c r="L7729" s="417"/>
      <c r="M7729" s="417" t="s">
        <v>28840</v>
      </c>
    </row>
    <row r="7730" spans="1:13" x14ac:dyDescent="0.25">
      <c r="A7730" s="417" t="s">
        <v>3385</v>
      </c>
      <c r="B7730" s="417" t="s">
        <v>2437</v>
      </c>
      <c r="C7730" s="417" t="s">
        <v>17929</v>
      </c>
      <c r="D7730" s="417" t="s">
        <v>989</v>
      </c>
      <c r="E7730" s="423">
        <v>11932.744472149911</v>
      </c>
      <c r="F7730" s="423">
        <v>466.81918468081489</v>
      </c>
      <c r="G7730" s="422">
        <v>24201885.328598719</v>
      </c>
      <c r="H7730" s="417" t="s">
        <v>2616</v>
      </c>
      <c r="I7730" s="417" t="s">
        <v>1392</v>
      </c>
      <c r="J7730" s="417" t="s">
        <v>4167</v>
      </c>
      <c r="K7730" s="417" t="s">
        <v>17930</v>
      </c>
      <c r="L7730" s="417"/>
      <c r="M7730" s="417" t="s">
        <v>28840</v>
      </c>
    </row>
    <row r="7731" spans="1:13" x14ac:dyDescent="0.25">
      <c r="A7731" s="417" t="s">
        <v>3385</v>
      </c>
      <c r="B7731" s="417" t="s">
        <v>2437</v>
      </c>
      <c r="C7731" s="417" t="s">
        <v>17931</v>
      </c>
      <c r="D7731" s="417" t="s">
        <v>989</v>
      </c>
      <c r="E7731" s="423">
        <v>11928.0277487618</v>
      </c>
      <c r="F7731" s="423">
        <v>467.00854318357341</v>
      </c>
      <c r="G7731" s="422">
        <v>24201935.021144081</v>
      </c>
      <c r="H7731" s="417" t="s">
        <v>2616</v>
      </c>
      <c r="I7731" s="417" t="s">
        <v>1392</v>
      </c>
      <c r="J7731" s="417" t="s">
        <v>4167</v>
      </c>
      <c r="K7731" s="417" t="s">
        <v>17932</v>
      </c>
      <c r="L7731" s="417"/>
      <c r="M7731" s="417" t="s">
        <v>28840</v>
      </c>
    </row>
    <row r="7732" spans="1:13" x14ac:dyDescent="0.25">
      <c r="A7732" s="417" t="s">
        <v>3385</v>
      </c>
      <c r="B7732" s="417" t="s">
        <v>2437</v>
      </c>
      <c r="C7732" s="417" t="s">
        <v>17933</v>
      </c>
      <c r="D7732" s="417" t="s">
        <v>989</v>
      </c>
      <c r="E7732" s="423">
        <v>10359.84396600455</v>
      </c>
      <c r="F7732" s="423">
        <v>399.43935964944939</v>
      </c>
      <c r="G7732" s="422">
        <v>21099953.675568741</v>
      </c>
      <c r="H7732" s="417" t="s">
        <v>2616</v>
      </c>
      <c r="I7732" s="417" t="s">
        <v>1392</v>
      </c>
      <c r="J7732" s="417" t="s">
        <v>4167</v>
      </c>
      <c r="K7732" s="417" t="s">
        <v>17934</v>
      </c>
      <c r="L7732" s="417"/>
      <c r="M7732" s="417" t="s">
        <v>28840</v>
      </c>
    </row>
    <row r="7733" spans="1:13" x14ac:dyDescent="0.25">
      <c r="A7733" s="417" t="s">
        <v>3385</v>
      </c>
      <c r="B7733" s="417" t="s">
        <v>2437</v>
      </c>
      <c r="C7733" s="417" t="s">
        <v>17935</v>
      </c>
      <c r="D7733" s="417" t="s">
        <v>989</v>
      </c>
      <c r="E7733" s="423">
        <v>10334.13044067716</v>
      </c>
      <c r="F7733" s="423">
        <v>398.94390048740951</v>
      </c>
      <c r="G7733" s="422">
        <v>21056797.977798302</v>
      </c>
      <c r="H7733" s="417" t="s">
        <v>2616</v>
      </c>
      <c r="I7733" s="417" t="s">
        <v>1392</v>
      </c>
      <c r="J7733" s="417" t="s">
        <v>4167</v>
      </c>
      <c r="K7733" s="417" t="s">
        <v>17936</v>
      </c>
      <c r="L7733" s="417"/>
      <c r="M7733" s="417" t="s">
        <v>28840</v>
      </c>
    </row>
    <row r="7734" spans="1:13" x14ac:dyDescent="0.25">
      <c r="A7734" s="417" t="s">
        <v>3385</v>
      </c>
      <c r="B7734" s="417" t="s">
        <v>2437</v>
      </c>
      <c r="C7734" s="417" t="s">
        <v>17937</v>
      </c>
      <c r="D7734" s="417" t="s">
        <v>989</v>
      </c>
      <c r="E7734" s="423">
        <v>10024.455775528621</v>
      </c>
      <c r="F7734" s="423">
        <v>386.83845748473811</v>
      </c>
      <c r="G7734" s="422">
        <v>20440258.074771609</v>
      </c>
      <c r="H7734" s="417" t="s">
        <v>2616</v>
      </c>
      <c r="I7734" s="417" t="s">
        <v>1392</v>
      </c>
      <c r="J7734" s="417" t="s">
        <v>4167</v>
      </c>
      <c r="K7734" s="417" t="s">
        <v>17938</v>
      </c>
      <c r="L7734" s="417"/>
      <c r="M7734" s="417" t="s">
        <v>28840</v>
      </c>
    </row>
    <row r="7735" spans="1:13" x14ac:dyDescent="0.25">
      <c r="A7735" s="417" t="s">
        <v>3385</v>
      </c>
      <c r="B7735" s="417" t="s">
        <v>2437</v>
      </c>
      <c r="C7735" s="417" t="s">
        <v>17939</v>
      </c>
      <c r="D7735" s="417" t="s">
        <v>989</v>
      </c>
      <c r="E7735" s="423">
        <v>10013.47809658854</v>
      </c>
      <c r="F7735" s="423">
        <v>386.64616098923159</v>
      </c>
      <c r="G7735" s="422">
        <v>20415576.114198759</v>
      </c>
      <c r="H7735" s="417" t="s">
        <v>2616</v>
      </c>
      <c r="I7735" s="417" t="s">
        <v>1392</v>
      </c>
      <c r="J7735" s="417" t="s">
        <v>4167</v>
      </c>
      <c r="K7735" s="417" t="s">
        <v>17940</v>
      </c>
      <c r="L7735" s="417"/>
      <c r="M7735" s="417" t="s">
        <v>28840</v>
      </c>
    </row>
    <row r="7736" spans="1:13" x14ac:dyDescent="0.25">
      <c r="A7736" s="417" t="s">
        <v>3385</v>
      </c>
      <c r="B7736" s="417" t="s">
        <v>2437</v>
      </c>
      <c r="C7736" s="417" t="s">
        <v>17941</v>
      </c>
      <c r="D7736" s="417" t="s">
        <v>989</v>
      </c>
      <c r="E7736" s="423">
        <v>10001.927513277429</v>
      </c>
      <c r="F7736" s="423">
        <v>386.42856855842001</v>
      </c>
      <c r="G7736" s="422">
        <v>20388425.064902838</v>
      </c>
      <c r="H7736" s="417" t="s">
        <v>2616</v>
      </c>
      <c r="I7736" s="417" t="s">
        <v>1392</v>
      </c>
      <c r="J7736" s="417" t="s">
        <v>4167</v>
      </c>
      <c r="K7736" s="417" t="s">
        <v>17942</v>
      </c>
      <c r="L7736" s="417"/>
      <c r="M7736" s="417" t="s">
        <v>28840</v>
      </c>
    </row>
    <row r="7737" spans="1:13" x14ac:dyDescent="0.25">
      <c r="A7737" s="417" t="s">
        <v>3385</v>
      </c>
      <c r="B7737" s="417" t="s">
        <v>2437</v>
      </c>
      <c r="C7737" s="417" t="s">
        <v>17943</v>
      </c>
      <c r="D7737" s="417" t="s">
        <v>989</v>
      </c>
      <c r="E7737" s="423">
        <v>10002.500417563941</v>
      </c>
      <c r="F7737" s="423">
        <v>386.45386449040109</v>
      </c>
      <c r="G7737" s="422">
        <v>20390894.156682141</v>
      </c>
      <c r="H7737" s="417" t="s">
        <v>2616</v>
      </c>
      <c r="I7737" s="417" t="s">
        <v>1392</v>
      </c>
      <c r="J7737" s="417" t="s">
        <v>4167</v>
      </c>
      <c r="K7737" s="417" t="s">
        <v>17944</v>
      </c>
      <c r="L7737" s="417"/>
      <c r="M7737" s="417" t="s">
        <v>28840</v>
      </c>
    </row>
    <row r="7738" spans="1:13" x14ac:dyDescent="0.25">
      <c r="A7738" s="417" t="s">
        <v>3385</v>
      </c>
      <c r="B7738" s="417" t="s">
        <v>2437</v>
      </c>
      <c r="C7738" s="417" t="s">
        <v>17945</v>
      </c>
      <c r="D7738" s="417" t="s">
        <v>989</v>
      </c>
      <c r="E7738" s="423">
        <v>9986.998228909104</v>
      </c>
      <c r="F7738" s="423">
        <v>386.36054087023069</v>
      </c>
      <c r="G7738" s="422">
        <v>20364579.733427782</v>
      </c>
      <c r="H7738" s="417" t="s">
        <v>2616</v>
      </c>
      <c r="I7738" s="417" t="s">
        <v>1392</v>
      </c>
      <c r="J7738" s="417" t="s">
        <v>4167</v>
      </c>
      <c r="K7738" s="417" t="s">
        <v>17946</v>
      </c>
      <c r="L7738" s="417"/>
      <c r="M7738" s="417" t="s">
        <v>28840</v>
      </c>
    </row>
    <row r="7739" spans="1:13" x14ac:dyDescent="0.25">
      <c r="A7739" s="417" t="s">
        <v>3385</v>
      </c>
      <c r="B7739" s="417" t="s">
        <v>2437</v>
      </c>
      <c r="C7739" s="417" t="s">
        <v>17947</v>
      </c>
      <c r="D7739" s="417" t="s">
        <v>989</v>
      </c>
      <c r="E7739" s="423">
        <v>7922.3915908153522</v>
      </c>
      <c r="F7739" s="423">
        <v>303.93016157961802</v>
      </c>
      <c r="G7739" s="422">
        <v>16163555.09590378</v>
      </c>
      <c r="H7739" s="417" t="s">
        <v>2616</v>
      </c>
      <c r="I7739" s="417" t="s">
        <v>1392</v>
      </c>
      <c r="J7739" s="417" t="s">
        <v>4167</v>
      </c>
      <c r="K7739" s="417" t="s">
        <v>17948</v>
      </c>
      <c r="L7739" s="417"/>
      <c r="M7739" s="417" t="s">
        <v>28840</v>
      </c>
    </row>
    <row r="7740" spans="1:13" x14ac:dyDescent="0.25">
      <c r="A7740" s="417" t="s">
        <v>3385</v>
      </c>
      <c r="B7740" s="417" t="s">
        <v>2437</v>
      </c>
      <c r="C7740" s="417" t="s">
        <v>17949</v>
      </c>
      <c r="D7740" s="417" t="s">
        <v>989</v>
      </c>
      <c r="E7740" s="423">
        <v>7904.9557383804186</v>
      </c>
      <c r="F7740" s="423">
        <v>303.62624173251692</v>
      </c>
      <c r="G7740" s="422">
        <v>16139598.58051925</v>
      </c>
      <c r="H7740" s="417" t="s">
        <v>2616</v>
      </c>
      <c r="I7740" s="417" t="s">
        <v>1392</v>
      </c>
      <c r="J7740" s="417" t="s">
        <v>4167</v>
      </c>
      <c r="K7740" s="417" t="s">
        <v>17950</v>
      </c>
      <c r="L7740" s="417"/>
      <c r="M7740" s="417" t="s">
        <v>28840</v>
      </c>
    </row>
    <row r="7741" spans="1:13" x14ac:dyDescent="0.25">
      <c r="A7741" s="417" t="s">
        <v>3385</v>
      </c>
      <c r="B7741" s="417" t="s">
        <v>2437</v>
      </c>
      <c r="C7741" s="417" t="s">
        <v>17951</v>
      </c>
      <c r="D7741" s="417" t="s">
        <v>989</v>
      </c>
      <c r="E7741" s="423">
        <v>7659.5926764075402</v>
      </c>
      <c r="F7741" s="423">
        <v>293.97640424919058</v>
      </c>
      <c r="G7741" s="422">
        <v>15653038.82468581</v>
      </c>
      <c r="H7741" s="417" t="s">
        <v>2616</v>
      </c>
      <c r="I7741" s="417" t="s">
        <v>1392</v>
      </c>
      <c r="J7741" s="417" t="s">
        <v>4167</v>
      </c>
      <c r="K7741" s="417" t="s">
        <v>17952</v>
      </c>
      <c r="L7741" s="417"/>
      <c r="M7741" s="417" t="s">
        <v>28840</v>
      </c>
    </row>
    <row r="7742" spans="1:13" x14ac:dyDescent="0.25">
      <c r="A7742" s="417" t="s">
        <v>3385</v>
      </c>
      <c r="B7742" s="417" t="s">
        <v>2437</v>
      </c>
      <c r="C7742" s="417" t="s">
        <v>17953</v>
      </c>
      <c r="D7742" s="417" t="s">
        <v>989</v>
      </c>
      <c r="E7742" s="423">
        <v>7648.614997380525</v>
      </c>
      <c r="F7742" s="423">
        <v>293.78410775219908</v>
      </c>
      <c r="G7742" s="422">
        <v>15628356.867135361</v>
      </c>
      <c r="H7742" s="417" t="s">
        <v>2616</v>
      </c>
      <c r="I7742" s="417" t="s">
        <v>1392</v>
      </c>
      <c r="J7742" s="417" t="s">
        <v>4167</v>
      </c>
      <c r="K7742" s="417" t="s">
        <v>17954</v>
      </c>
      <c r="L7742" s="417"/>
      <c r="M7742" s="417" t="s">
        <v>28840</v>
      </c>
    </row>
    <row r="7743" spans="1:13" x14ac:dyDescent="0.25">
      <c r="A7743" s="417" t="s">
        <v>3385</v>
      </c>
      <c r="B7743" s="417" t="s">
        <v>2437</v>
      </c>
      <c r="C7743" s="417" t="s">
        <v>17955</v>
      </c>
      <c r="D7743" s="417" t="s">
        <v>989</v>
      </c>
      <c r="E7743" s="423">
        <v>7641.591220559706</v>
      </c>
      <c r="F7743" s="423">
        <v>293.63813983911541</v>
      </c>
      <c r="G7743" s="422">
        <v>15612740.15065938</v>
      </c>
      <c r="H7743" s="417" t="s">
        <v>2616</v>
      </c>
      <c r="I7743" s="417" t="s">
        <v>1392</v>
      </c>
      <c r="J7743" s="417" t="s">
        <v>4167</v>
      </c>
      <c r="K7743" s="417" t="s">
        <v>17956</v>
      </c>
      <c r="L7743" s="417"/>
      <c r="M7743" s="417" t="s">
        <v>28840</v>
      </c>
    </row>
    <row r="7744" spans="1:13" x14ac:dyDescent="0.25">
      <c r="A7744" s="417" t="s">
        <v>3385</v>
      </c>
      <c r="B7744" s="417" t="s">
        <v>2437</v>
      </c>
      <c r="C7744" s="417" t="s">
        <v>17957</v>
      </c>
      <c r="D7744" s="417" t="s">
        <v>989</v>
      </c>
      <c r="E7744" s="423">
        <v>7635.929427661853</v>
      </c>
      <c r="F7744" s="423">
        <v>293.53272286756572</v>
      </c>
      <c r="G7744" s="422">
        <v>15599350.187530911</v>
      </c>
      <c r="H7744" s="417" t="s">
        <v>2616</v>
      </c>
      <c r="I7744" s="417" t="s">
        <v>1392</v>
      </c>
      <c r="J7744" s="417" t="s">
        <v>4167</v>
      </c>
      <c r="K7744" s="417" t="s">
        <v>17958</v>
      </c>
      <c r="L7744" s="417"/>
      <c r="M7744" s="417" t="s">
        <v>28840</v>
      </c>
    </row>
    <row r="7745" spans="1:13" x14ac:dyDescent="0.25">
      <c r="A7745" s="417" t="s">
        <v>3385</v>
      </c>
      <c r="B7745" s="417" t="s">
        <v>2437</v>
      </c>
      <c r="C7745" s="417" t="s">
        <v>17959</v>
      </c>
      <c r="D7745" s="417" t="s">
        <v>989</v>
      </c>
      <c r="E7745" s="423">
        <v>7631.4058494717401</v>
      </c>
      <c r="F7745" s="423">
        <v>293.64806771361748</v>
      </c>
      <c r="G7745" s="422">
        <v>15600788.226439871</v>
      </c>
      <c r="H7745" s="417" t="s">
        <v>2616</v>
      </c>
      <c r="I7745" s="417" t="s">
        <v>1392</v>
      </c>
      <c r="J7745" s="417" t="s">
        <v>4167</v>
      </c>
      <c r="K7745" s="417" t="s">
        <v>17960</v>
      </c>
      <c r="L7745" s="417"/>
      <c r="M7745" s="417" t="s">
        <v>28840</v>
      </c>
    </row>
    <row r="7746" spans="1:13" x14ac:dyDescent="0.25">
      <c r="A7746" s="417" t="s">
        <v>3385</v>
      </c>
      <c r="B7746" s="417" t="s">
        <v>2437</v>
      </c>
      <c r="C7746" s="417" t="s">
        <v>17961</v>
      </c>
      <c r="D7746" s="417" t="s">
        <v>989</v>
      </c>
      <c r="E7746" s="423">
        <v>7899.0171357142844</v>
      </c>
      <c r="F7746" s="423">
        <v>301.38783266390919</v>
      </c>
      <c r="G7746" s="422">
        <v>17866928.205298658</v>
      </c>
      <c r="H7746" s="417" t="s">
        <v>2616</v>
      </c>
      <c r="I7746" s="417" t="s">
        <v>1392</v>
      </c>
      <c r="J7746" s="417" t="s">
        <v>4167</v>
      </c>
      <c r="K7746" s="417" t="s">
        <v>17962</v>
      </c>
      <c r="L7746" s="417"/>
      <c r="M7746" s="417" t="s">
        <v>28840</v>
      </c>
    </row>
    <row r="7747" spans="1:13" x14ac:dyDescent="0.25">
      <c r="A7747" s="417" t="s">
        <v>3385</v>
      </c>
      <c r="B7747" s="417" t="s">
        <v>2437</v>
      </c>
      <c r="C7747" s="417" t="s">
        <v>17963</v>
      </c>
      <c r="D7747" s="417" t="s">
        <v>989</v>
      </c>
      <c r="E7747" s="423">
        <v>8023.3461569967903</v>
      </c>
      <c r="F7747" s="423">
        <v>305.90722946583418</v>
      </c>
      <c r="G7747" s="422">
        <v>18194778.577358931</v>
      </c>
      <c r="H7747" s="417" t="s">
        <v>2616</v>
      </c>
      <c r="I7747" s="417" t="s">
        <v>1392</v>
      </c>
      <c r="J7747" s="417" t="s">
        <v>4167</v>
      </c>
      <c r="K7747" s="417" t="s">
        <v>17964</v>
      </c>
      <c r="L7747" s="417"/>
      <c r="M7747" s="417" t="s">
        <v>28840</v>
      </c>
    </row>
    <row r="7748" spans="1:13" x14ac:dyDescent="0.25">
      <c r="A7748" s="417" t="s">
        <v>3385</v>
      </c>
      <c r="B7748" s="417" t="s">
        <v>2437</v>
      </c>
      <c r="C7748" s="417" t="s">
        <v>17965</v>
      </c>
      <c r="D7748" s="417" t="s">
        <v>989</v>
      </c>
      <c r="E7748" s="423">
        <v>8122.3392161590464</v>
      </c>
      <c r="F7748" s="423">
        <v>309.67245728528002</v>
      </c>
      <c r="G7748" s="422">
        <v>18449375.936370902</v>
      </c>
      <c r="H7748" s="417" t="s">
        <v>2616</v>
      </c>
      <c r="I7748" s="417" t="s">
        <v>1392</v>
      </c>
      <c r="J7748" s="417" t="s">
        <v>4167</v>
      </c>
      <c r="K7748" s="417" t="s">
        <v>17966</v>
      </c>
      <c r="L7748" s="417"/>
      <c r="M7748" s="417" t="s">
        <v>28840</v>
      </c>
    </row>
    <row r="7749" spans="1:13" x14ac:dyDescent="0.25">
      <c r="A7749" s="417" t="s">
        <v>3385</v>
      </c>
      <c r="B7749" s="417" t="s">
        <v>2437</v>
      </c>
      <c r="C7749" s="417" t="s">
        <v>17967</v>
      </c>
      <c r="D7749" s="417" t="s">
        <v>989</v>
      </c>
      <c r="E7749" s="423">
        <v>8143.4604597568932</v>
      </c>
      <c r="F7749" s="423">
        <v>310.35289754098011</v>
      </c>
      <c r="G7749" s="422">
        <v>18516588.020221662</v>
      </c>
      <c r="H7749" s="417" t="s">
        <v>2616</v>
      </c>
      <c r="I7749" s="417" t="s">
        <v>1392</v>
      </c>
      <c r="J7749" s="417" t="s">
        <v>4167</v>
      </c>
      <c r="K7749" s="417" t="s">
        <v>17968</v>
      </c>
      <c r="L7749" s="417"/>
      <c r="M7749" s="417" t="s">
        <v>28840</v>
      </c>
    </row>
    <row r="7750" spans="1:13" x14ac:dyDescent="0.25">
      <c r="A7750" s="417" t="s">
        <v>3385</v>
      </c>
      <c r="B7750" s="417" t="s">
        <v>2437</v>
      </c>
      <c r="C7750" s="417" t="s">
        <v>17969</v>
      </c>
      <c r="D7750" s="417" t="s">
        <v>989</v>
      </c>
      <c r="E7750" s="423">
        <v>8175.4623715915486</v>
      </c>
      <c r="F7750" s="423">
        <v>311.720919311231</v>
      </c>
      <c r="G7750" s="422">
        <v>18641282.213188279</v>
      </c>
      <c r="H7750" s="417" t="s">
        <v>2616</v>
      </c>
      <c r="I7750" s="417" t="s">
        <v>1392</v>
      </c>
      <c r="J7750" s="417" t="s">
        <v>4167</v>
      </c>
      <c r="K7750" s="417" t="s">
        <v>17970</v>
      </c>
      <c r="L7750" s="417"/>
      <c r="M7750" s="417" t="s">
        <v>28840</v>
      </c>
    </row>
    <row r="7751" spans="1:13" x14ac:dyDescent="0.25">
      <c r="A7751" s="417" t="s">
        <v>3385</v>
      </c>
      <c r="B7751" s="417" t="s">
        <v>2437</v>
      </c>
      <c r="C7751" s="417" t="s">
        <v>17971</v>
      </c>
      <c r="D7751" s="417" t="s">
        <v>989</v>
      </c>
      <c r="E7751" s="423">
        <v>14275.669702077121</v>
      </c>
      <c r="F7751" s="423">
        <v>557.13472512620399</v>
      </c>
      <c r="G7751" s="422">
        <v>31434961.567923289</v>
      </c>
      <c r="H7751" s="417" t="s">
        <v>2616</v>
      </c>
      <c r="I7751" s="417" t="s">
        <v>1392</v>
      </c>
      <c r="J7751" s="417" t="s">
        <v>4167</v>
      </c>
      <c r="K7751" s="417" t="s">
        <v>17972</v>
      </c>
      <c r="L7751" s="417"/>
      <c r="M7751" s="417" t="s">
        <v>28840</v>
      </c>
    </row>
    <row r="7752" spans="1:13" x14ac:dyDescent="0.25">
      <c r="A7752" s="417" t="s">
        <v>3385</v>
      </c>
      <c r="B7752" s="417" t="s">
        <v>2437</v>
      </c>
      <c r="C7752" s="417" t="s">
        <v>17973</v>
      </c>
      <c r="D7752" s="417" t="s">
        <v>989</v>
      </c>
      <c r="E7752" s="423">
        <v>14439.57268217741</v>
      </c>
      <c r="F7752" s="423">
        <v>563.96977263672341</v>
      </c>
      <c r="G7752" s="422">
        <v>31944053.26601097</v>
      </c>
      <c r="H7752" s="417" t="s">
        <v>2616</v>
      </c>
      <c r="I7752" s="417" t="s">
        <v>1392</v>
      </c>
      <c r="J7752" s="417" t="s">
        <v>4167</v>
      </c>
      <c r="K7752" s="417" t="s">
        <v>17974</v>
      </c>
      <c r="L7752" s="417"/>
      <c r="M7752" s="417" t="s">
        <v>28840</v>
      </c>
    </row>
    <row r="7753" spans="1:13" x14ac:dyDescent="0.25">
      <c r="A7753" s="417" t="s">
        <v>3385</v>
      </c>
      <c r="B7753" s="417" t="s">
        <v>2437</v>
      </c>
      <c r="C7753" s="417" t="s">
        <v>17975</v>
      </c>
      <c r="D7753" s="417" t="s">
        <v>989</v>
      </c>
      <c r="E7753" s="423">
        <v>14515.641654026849</v>
      </c>
      <c r="F7753" s="423">
        <v>567.03787913561666</v>
      </c>
      <c r="G7753" s="422">
        <v>32219877.277875341</v>
      </c>
      <c r="H7753" s="417" t="s">
        <v>2616</v>
      </c>
      <c r="I7753" s="417" t="s">
        <v>1392</v>
      </c>
      <c r="J7753" s="417" t="s">
        <v>4167</v>
      </c>
      <c r="K7753" s="417" t="s">
        <v>17976</v>
      </c>
      <c r="L7753" s="417"/>
      <c r="M7753" s="417" t="s">
        <v>28840</v>
      </c>
    </row>
    <row r="7754" spans="1:13" x14ac:dyDescent="0.25">
      <c r="A7754" s="417" t="s">
        <v>3385</v>
      </c>
      <c r="B7754" s="417" t="s">
        <v>2437</v>
      </c>
      <c r="C7754" s="417" t="s">
        <v>17977</v>
      </c>
      <c r="D7754" s="417" t="s">
        <v>989</v>
      </c>
      <c r="E7754" s="423">
        <v>14548.49032342409</v>
      </c>
      <c r="F7754" s="423">
        <v>568.51210555361354</v>
      </c>
      <c r="G7754" s="422">
        <v>32344179.76232972</v>
      </c>
      <c r="H7754" s="417" t="s">
        <v>2616</v>
      </c>
      <c r="I7754" s="417" t="s">
        <v>1392</v>
      </c>
      <c r="J7754" s="417" t="s">
        <v>4167</v>
      </c>
      <c r="K7754" s="417" t="s">
        <v>17978</v>
      </c>
      <c r="L7754" s="417"/>
      <c r="M7754" s="417" t="s">
        <v>28840</v>
      </c>
    </row>
    <row r="7755" spans="1:13" x14ac:dyDescent="0.25">
      <c r="A7755" s="417" t="s">
        <v>3385</v>
      </c>
      <c r="B7755" s="417" t="s">
        <v>2437</v>
      </c>
      <c r="C7755" s="417" t="s">
        <v>17979</v>
      </c>
      <c r="D7755" s="417" t="s">
        <v>989</v>
      </c>
      <c r="E7755" s="423">
        <v>14656.44233157678</v>
      </c>
      <c r="F7755" s="423">
        <v>573.58886417174494</v>
      </c>
      <c r="G7755" s="422">
        <v>32688305.332454771</v>
      </c>
      <c r="H7755" s="417" t="s">
        <v>2616</v>
      </c>
      <c r="I7755" s="417" t="s">
        <v>1392</v>
      </c>
      <c r="J7755" s="417" t="s">
        <v>4167</v>
      </c>
      <c r="K7755" s="417" t="s">
        <v>17980</v>
      </c>
      <c r="L7755" s="417"/>
      <c r="M7755" s="417" t="s">
        <v>28840</v>
      </c>
    </row>
    <row r="7756" spans="1:13" x14ac:dyDescent="0.25">
      <c r="A7756" s="417" t="s">
        <v>3385</v>
      </c>
      <c r="B7756" s="417" t="s">
        <v>2437</v>
      </c>
      <c r="C7756" s="417" t="s">
        <v>17981</v>
      </c>
      <c r="D7756" s="417" t="s">
        <v>989</v>
      </c>
      <c r="E7756" s="423">
        <v>12354.007334260379</v>
      </c>
      <c r="F7756" s="423">
        <v>477.2196698918525</v>
      </c>
      <c r="G7756" s="422">
        <v>27686217.53365723</v>
      </c>
      <c r="H7756" s="417" t="s">
        <v>2616</v>
      </c>
      <c r="I7756" s="417" t="s">
        <v>1392</v>
      </c>
      <c r="J7756" s="417" t="s">
        <v>4167</v>
      </c>
      <c r="K7756" s="417" t="s">
        <v>17982</v>
      </c>
      <c r="L7756" s="417"/>
      <c r="M7756" s="417" t="s">
        <v>28840</v>
      </c>
    </row>
    <row r="7757" spans="1:13" x14ac:dyDescent="0.25">
      <c r="A7757" s="417" t="s">
        <v>3385</v>
      </c>
      <c r="B7757" s="417" t="s">
        <v>2437</v>
      </c>
      <c r="C7757" s="417" t="s">
        <v>17983</v>
      </c>
      <c r="D7757" s="417" t="s">
        <v>989</v>
      </c>
      <c r="E7757" s="423">
        <v>12517.15512553115</v>
      </c>
      <c r="F7757" s="423">
        <v>483.9481938122052</v>
      </c>
      <c r="G7757" s="422">
        <v>28194081.013789412</v>
      </c>
      <c r="H7757" s="417" t="s">
        <v>2616</v>
      </c>
      <c r="I7757" s="417" t="s">
        <v>1392</v>
      </c>
      <c r="J7757" s="417" t="s">
        <v>4167</v>
      </c>
      <c r="K7757" s="417" t="s">
        <v>17984</v>
      </c>
      <c r="L7757" s="417"/>
      <c r="M7757" s="417" t="s">
        <v>28840</v>
      </c>
    </row>
    <row r="7758" spans="1:13" x14ac:dyDescent="0.25">
      <c r="A7758" s="417" t="s">
        <v>3385</v>
      </c>
      <c r="B7758" s="417" t="s">
        <v>2437</v>
      </c>
      <c r="C7758" s="417" t="s">
        <v>17985</v>
      </c>
      <c r="D7758" s="417" t="s">
        <v>989</v>
      </c>
      <c r="E7758" s="423">
        <v>12635.650174376269</v>
      </c>
      <c r="F7758" s="423">
        <v>489.00398426271198</v>
      </c>
      <c r="G7758" s="422">
        <v>28557093.216540709</v>
      </c>
      <c r="H7758" s="417" t="s">
        <v>2616</v>
      </c>
      <c r="I7758" s="417" t="s">
        <v>1392</v>
      </c>
      <c r="J7758" s="417" t="s">
        <v>4167</v>
      </c>
      <c r="K7758" s="417" t="s">
        <v>17986</v>
      </c>
      <c r="L7758" s="417"/>
      <c r="M7758" s="417" t="s">
        <v>28840</v>
      </c>
    </row>
    <row r="7759" spans="1:13" x14ac:dyDescent="0.25">
      <c r="A7759" s="417" t="s">
        <v>3385</v>
      </c>
      <c r="B7759" s="417" t="s">
        <v>2437</v>
      </c>
      <c r="C7759" s="417" t="s">
        <v>17987</v>
      </c>
      <c r="D7759" s="417" t="s">
        <v>989</v>
      </c>
      <c r="E7759" s="423">
        <v>12676.17549050263</v>
      </c>
      <c r="F7759" s="423">
        <v>490.41737874551882</v>
      </c>
      <c r="G7759" s="422">
        <v>28684980.382816959</v>
      </c>
      <c r="H7759" s="417" t="s">
        <v>2616</v>
      </c>
      <c r="I7759" s="417" t="s">
        <v>1392</v>
      </c>
      <c r="J7759" s="417" t="s">
        <v>4167</v>
      </c>
      <c r="K7759" s="417" t="s">
        <v>17988</v>
      </c>
      <c r="L7759" s="417"/>
      <c r="M7759" s="417" t="s">
        <v>28840</v>
      </c>
    </row>
    <row r="7760" spans="1:13" x14ac:dyDescent="0.25">
      <c r="A7760" s="417" t="s">
        <v>3385</v>
      </c>
      <c r="B7760" s="417" t="s">
        <v>2437</v>
      </c>
      <c r="C7760" s="417" t="s">
        <v>17989</v>
      </c>
      <c r="D7760" s="417" t="s">
        <v>989</v>
      </c>
      <c r="E7760" s="423">
        <v>12728.940361288171</v>
      </c>
      <c r="F7760" s="423">
        <v>492.84460777552772</v>
      </c>
      <c r="G7760" s="422">
        <v>28896961.470631581</v>
      </c>
      <c r="H7760" s="417" t="s">
        <v>2616</v>
      </c>
      <c r="I7760" s="417" t="s">
        <v>1392</v>
      </c>
      <c r="J7760" s="417" t="s">
        <v>4167</v>
      </c>
      <c r="K7760" s="417" t="s">
        <v>17990</v>
      </c>
      <c r="L7760" s="417"/>
      <c r="M7760" s="417" t="s">
        <v>28840</v>
      </c>
    </row>
    <row r="7761" spans="1:13" x14ac:dyDescent="0.25">
      <c r="A7761" s="417" t="s">
        <v>3385</v>
      </c>
      <c r="B7761" s="417" t="s">
        <v>2437</v>
      </c>
      <c r="C7761" s="417" t="s">
        <v>17991</v>
      </c>
      <c r="D7761" s="417" t="s">
        <v>989</v>
      </c>
      <c r="E7761" s="423">
        <v>9060.2121536844115</v>
      </c>
      <c r="F7761" s="423">
        <v>346.07891087741439</v>
      </c>
      <c r="G7761" s="422">
        <v>20451455.80464498</v>
      </c>
      <c r="H7761" s="417" t="s">
        <v>2616</v>
      </c>
      <c r="I7761" s="417" t="s">
        <v>1392</v>
      </c>
      <c r="J7761" s="417" t="s">
        <v>4167</v>
      </c>
      <c r="K7761" s="417" t="s">
        <v>17992</v>
      </c>
      <c r="L7761" s="417"/>
      <c r="M7761" s="417" t="s">
        <v>28840</v>
      </c>
    </row>
    <row r="7762" spans="1:13" x14ac:dyDescent="0.25">
      <c r="A7762" s="417" t="s">
        <v>3385</v>
      </c>
      <c r="B7762" s="417" t="s">
        <v>2437</v>
      </c>
      <c r="C7762" s="417" t="s">
        <v>17993</v>
      </c>
      <c r="D7762" s="417" t="s">
        <v>989</v>
      </c>
      <c r="E7762" s="423">
        <v>9084.6445423720288</v>
      </c>
      <c r="F7762" s="423">
        <v>346.9454710209647</v>
      </c>
      <c r="G7762" s="422">
        <v>20623462.77996058</v>
      </c>
      <c r="H7762" s="417" t="s">
        <v>2616</v>
      </c>
      <c r="I7762" s="417" t="s">
        <v>1392</v>
      </c>
      <c r="J7762" s="417" t="s">
        <v>4167</v>
      </c>
      <c r="K7762" s="417" t="s">
        <v>17994</v>
      </c>
      <c r="L7762" s="417"/>
      <c r="M7762" s="417" t="s">
        <v>28840</v>
      </c>
    </row>
    <row r="7763" spans="1:13" x14ac:dyDescent="0.25">
      <c r="A7763" s="417" t="s">
        <v>3385</v>
      </c>
      <c r="B7763" s="417" t="s">
        <v>2437</v>
      </c>
      <c r="C7763" s="417" t="s">
        <v>17995</v>
      </c>
      <c r="D7763" s="417" t="s">
        <v>989</v>
      </c>
      <c r="E7763" s="423">
        <v>9084.2612739045653</v>
      </c>
      <c r="F7763" s="423">
        <v>346.7847857024791</v>
      </c>
      <c r="G7763" s="422">
        <v>20707640.557824031</v>
      </c>
      <c r="H7763" s="417" t="s">
        <v>2616</v>
      </c>
      <c r="I7763" s="417" t="s">
        <v>1392</v>
      </c>
      <c r="J7763" s="417" t="s">
        <v>4167</v>
      </c>
      <c r="K7763" s="417" t="s">
        <v>17996</v>
      </c>
      <c r="L7763" s="417"/>
      <c r="M7763" s="417" t="s">
        <v>28840</v>
      </c>
    </row>
    <row r="7764" spans="1:13" x14ac:dyDescent="0.25">
      <c r="A7764" s="417" t="s">
        <v>3385</v>
      </c>
      <c r="B7764" s="417" t="s">
        <v>2437</v>
      </c>
      <c r="C7764" s="417" t="s">
        <v>17997</v>
      </c>
      <c r="D7764" s="417" t="s">
        <v>989</v>
      </c>
      <c r="E7764" s="423">
        <v>9106.2160729302796</v>
      </c>
      <c r="F7764" s="423">
        <v>347.71766710704708</v>
      </c>
      <c r="G7764" s="422">
        <v>20787727.62844127</v>
      </c>
      <c r="H7764" s="417" t="s">
        <v>2616</v>
      </c>
      <c r="I7764" s="417" t="s">
        <v>1392</v>
      </c>
      <c r="J7764" s="417" t="s">
        <v>4167</v>
      </c>
      <c r="K7764" s="417" t="s">
        <v>17998</v>
      </c>
      <c r="L7764" s="417"/>
      <c r="M7764" s="417" t="s">
        <v>28840</v>
      </c>
    </row>
    <row r="7765" spans="1:13" x14ac:dyDescent="0.25">
      <c r="A7765" s="417" t="s">
        <v>3385</v>
      </c>
      <c r="B7765" s="417" t="s">
        <v>2437</v>
      </c>
      <c r="C7765" s="417" t="s">
        <v>17999</v>
      </c>
      <c r="D7765" s="417" t="s">
        <v>989</v>
      </c>
      <c r="E7765" s="423">
        <v>9138.0992622661524</v>
      </c>
      <c r="F7765" s="423">
        <v>349.58573035012449</v>
      </c>
      <c r="G7765" s="422">
        <v>20937978.759074099</v>
      </c>
      <c r="H7765" s="417" t="s">
        <v>2616</v>
      </c>
      <c r="I7765" s="417" t="s">
        <v>1392</v>
      </c>
      <c r="J7765" s="417" t="s">
        <v>4167</v>
      </c>
      <c r="K7765" s="417" t="s">
        <v>18000</v>
      </c>
      <c r="L7765" s="417"/>
      <c r="M7765" s="417" t="s">
        <v>28840</v>
      </c>
    </row>
    <row r="7766" spans="1:13" x14ac:dyDescent="0.25">
      <c r="A7766" s="417" t="s">
        <v>3385</v>
      </c>
      <c r="B7766" s="417" t="s">
        <v>2437</v>
      </c>
      <c r="C7766" s="417" t="s">
        <v>18001</v>
      </c>
      <c r="D7766" s="417" t="s">
        <v>989</v>
      </c>
      <c r="E7766" s="423">
        <v>8041.1384144199128</v>
      </c>
      <c r="F7766" s="423">
        <v>302.59716207865603</v>
      </c>
      <c r="G7766" s="422">
        <v>18271992.781150639</v>
      </c>
      <c r="H7766" s="417" t="s">
        <v>2616</v>
      </c>
      <c r="I7766" s="417" t="s">
        <v>1392</v>
      </c>
      <c r="J7766" s="417" t="s">
        <v>4167</v>
      </c>
      <c r="K7766" s="417" t="s">
        <v>18002</v>
      </c>
      <c r="L7766" s="417"/>
      <c r="M7766" s="417" t="s">
        <v>28840</v>
      </c>
    </row>
    <row r="7767" spans="1:13" x14ac:dyDescent="0.25">
      <c r="A7767" s="417" t="s">
        <v>3385</v>
      </c>
      <c r="B7767" s="417" t="s">
        <v>2437</v>
      </c>
      <c r="C7767" s="417" t="s">
        <v>18003</v>
      </c>
      <c r="D7767" s="417" t="s">
        <v>989</v>
      </c>
      <c r="E7767" s="423">
        <v>8157.8995684803376</v>
      </c>
      <c r="F7767" s="423">
        <v>307.58546502719179</v>
      </c>
      <c r="G7767" s="422">
        <v>18569245.659692399</v>
      </c>
      <c r="H7767" s="417" t="s">
        <v>2616</v>
      </c>
      <c r="I7767" s="417" t="s">
        <v>1392</v>
      </c>
      <c r="J7767" s="417" t="s">
        <v>4167</v>
      </c>
      <c r="K7767" s="417" t="s">
        <v>18004</v>
      </c>
      <c r="L7767" s="417"/>
      <c r="M7767" s="417" t="s">
        <v>28840</v>
      </c>
    </row>
    <row r="7768" spans="1:13" x14ac:dyDescent="0.25">
      <c r="A7768" s="417" t="s">
        <v>3385</v>
      </c>
      <c r="B7768" s="417" t="s">
        <v>2437</v>
      </c>
      <c r="C7768" s="417" t="s">
        <v>18005</v>
      </c>
      <c r="D7768" s="417" t="s">
        <v>989</v>
      </c>
      <c r="E7768" s="423">
        <v>8231.9538385962351</v>
      </c>
      <c r="F7768" s="423">
        <v>310.82784122941308</v>
      </c>
      <c r="G7768" s="422">
        <v>18760406.80881374</v>
      </c>
      <c r="H7768" s="417" t="s">
        <v>2616</v>
      </c>
      <c r="I7768" s="417" t="s">
        <v>1392</v>
      </c>
      <c r="J7768" s="417" t="s">
        <v>4167</v>
      </c>
      <c r="K7768" s="417" t="s">
        <v>18006</v>
      </c>
      <c r="L7768" s="417"/>
      <c r="M7768" s="417" t="s">
        <v>28840</v>
      </c>
    </row>
    <row r="7769" spans="1:13" x14ac:dyDescent="0.25">
      <c r="A7769" s="417" t="s">
        <v>3385</v>
      </c>
      <c r="B7769" s="417" t="s">
        <v>2437</v>
      </c>
      <c r="C7769" s="417" t="s">
        <v>18007</v>
      </c>
      <c r="D7769" s="417" t="s">
        <v>989</v>
      </c>
      <c r="E7769" s="423">
        <v>8247.6759810211261</v>
      </c>
      <c r="F7769" s="423">
        <v>311.38092660550012</v>
      </c>
      <c r="G7769" s="422">
        <v>18812670.99167503</v>
      </c>
      <c r="H7769" s="417" t="s">
        <v>2616</v>
      </c>
      <c r="I7769" s="417" t="s">
        <v>1392</v>
      </c>
      <c r="J7769" s="417" t="s">
        <v>4167</v>
      </c>
      <c r="K7769" s="417" t="s">
        <v>18008</v>
      </c>
      <c r="L7769" s="417"/>
      <c r="M7769" s="417" t="s">
        <v>28840</v>
      </c>
    </row>
    <row r="7770" spans="1:13" x14ac:dyDescent="0.25">
      <c r="A7770" s="417" t="s">
        <v>3385</v>
      </c>
      <c r="B7770" s="417" t="s">
        <v>2437</v>
      </c>
      <c r="C7770" s="417" t="s">
        <v>18009</v>
      </c>
      <c r="D7770" s="417" t="s">
        <v>989</v>
      </c>
      <c r="E7770" s="423">
        <v>8298.1529588176018</v>
      </c>
      <c r="F7770" s="423">
        <v>314.36302028264299</v>
      </c>
      <c r="G7770" s="422">
        <v>18962506.17958938</v>
      </c>
      <c r="H7770" s="417" t="s">
        <v>2616</v>
      </c>
      <c r="I7770" s="417" t="s">
        <v>1392</v>
      </c>
      <c r="J7770" s="417" t="s">
        <v>4167</v>
      </c>
      <c r="K7770" s="417" t="s">
        <v>18010</v>
      </c>
      <c r="L7770" s="417"/>
      <c r="M7770" s="417" t="s">
        <v>28840</v>
      </c>
    </row>
    <row r="7771" spans="1:13" x14ac:dyDescent="0.25">
      <c r="A7771" s="417" t="s">
        <v>3385</v>
      </c>
      <c r="B7771" s="417" t="s">
        <v>2437</v>
      </c>
      <c r="C7771" s="417" t="s">
        <v>18011</v>
      </c>
      <c r="D7771" s="417" t="s">
        <v>989</v>
      </c>
      <c r="E7771" s="423">
        <v>14436.863841372329</v>
      </c>
      <c r="F7771" s="423">
        <v>560.50622669030213</v>
      </c>
      <c r="G7771" s="422">
        <v>31845812.42798819</v>
      </c>
      <c r="H7771" s="417" t="s">
        <v>2616</v>
      </c>
      <c r="I7771" s="417" t="s">
        <v>1392</v>
      </c>
      <c r="J7771" s="417" t="s">
        <v>4167</v>
      </c>
      <c r="K7771" s="417" t="s">
        <v>18012</v>
      </c>
      <c r="L7771" s="417"/>
      <c r="M7771" s="417" t="s">
        <v>28840</v>
      </c>
    </row>
    <row r="7772" spans="1:13" x14ac:dyDescent="0.25">
      <c r="A7772" s="417" t="s">
        <v>3385</v>
      </c>
      <c r="B7772" s="417" t="s">
        <v>2437</v>
      </c>
      <c r="C7772" s="417" t="s">
        <v>18013</v>
      </c>
      <c r="D7772" s="417" t="s">
        <v>989</v>
      </c>
      <c r="E7772" s="423">
        <v>14569.593335432881</v>
      </c>
      <c r="F7772" s="423">
        <v>566.68770967128535</v>
      </c>
      <c r="G7772" s="422">
        <v>32275608.861036781</v>
      </c>
      <c r="H7772" s="417" t="s">
        <v>2616</v>
      </c>
      <c r="I7772" s="417" t="s">
        <v>1392</v>
      </c>
      <c r="J7772" s="417" t="s">
        <v>4167</v>
      </c>
      <c r="K7772" s="417" t="s">
        <v>18014</v>
      </c>
      <c r="L7772" s="417"/>
      <c r="M7772" s="417" t="s">
        <v>28840</v>
      </c>
    </row>
    <row r="7773" spans="1:13" x14ac:dyDescent="0.25">
      <c r="A7773" s="417" t="s">
        <v>3385</v>
      </c>
      <c r="B7773" s="417" t="s">
        <v>2437</v>
      </c>
      <c r="C7773" s="417" t="s">
        <v>18015</v>
      </c>
      <c r="D7773" s="417" t="s">
        <v>989</v>
      </c>
      <c r="E7773" s="423">
        <v>14626.95821530956</v>
      </c>
      <c r="F7773" s="423">
        <v>569.36367745706048</v>
      </c>
      <c r="G7773" s="422">
        <v>32503855.720657509</v>
      </c>
      <c r="H7773" s="417" t="s">
        <v>2616</v>
      </c>
      <c r="I7773" s="417" t="s">
        <v>1392</v>
      </c>
      <c r="J7773" s="417" t="s">
        <v>4167</v>
      </c>
      <c r="K7773" s="417" t="s">
        <v>18016</v>
      </c>
      <c r="L7773" s="417"/>
      <c r="M7773" s="417" t="s">
        <v>28840</v>
      </c>
    </row>
    <row r="7774" spans="1:13" x14ac:dyDescent="0.25">
      <c r="A7774" s="417" t="s">
        <v>3385</v>
      </c>
      <c r="B7774" s="417" t="s">
        <v>2437</v>
      </c>
      <c r="C7774" s="417" t="s">
        <v>18017</v>
      </c>
      <c r="D7774" s="417" t="s">
        <v>989</v>
      </c>
      <c r="E7774" s="423">
        <v>14653.34519027538</v>
      </c>
      <c r="F7774" s="423">
        <v>570.70043248265335</v>
      </c>
      <c r="G7774" s="422">
        <v>32611928.023863509</v>
      </c>
      <c r="H7774" s="417" t="s">
        <v>2616</v>
      </c>
      <c r="I7774" s="417" t="s">
        <v>1392</v>
      </c>
      <c r="J7774" s="417" t="s">
        <v>4167</v>
      </c>
      <c r="K7774" s="417" t="s">
        <v>18018</v>
      </c>
      <c r="L7774" s="417"/>
      <c r="M7774" s="417" t="s">
        <v>28840</v>
      </c>
    </row>
    <row r="7775" spans="1:13" x14ac:dyDescent="0.25">
      <c r="A7775" s="417" t="s">
        <v>3385</v>
      </c>
      <c r="B7775" s="417" t="s">
        <v>2437</v>
      </c>
      <c r="C7775" s="417" t="s">
        <v>18019</v>
      </c>
      <c r="D7775" s="417" t="s">
        <v>989</v>
      </c>
      <c r="E7775" s="423">
        <v>14736.35840933299</v>
      </c>
      <c r="F7775" s="423">
        <v>575.25433948279499</v>
      </c>
      <c r="G7775" s="422">
        <v>32892617.39007584</v>
      </c>
      <c r="H7775" s="417" t="s">
        <v>2616</v>
      </c>
      <c r="I7775" s="417" t="s">
        <v>1392</v>
      </c>
      <c r="J7775" s="417" t="s">
        <v>4167</v>
      </c>
      <c r="K7775" s="417" t="s">
        <v>18020</v>
      </c>
      <c r="L7775" s="417"/>
      <c r="M7775" s="417" t="s">
        <v>28840</v>
      </c>
    </row>
    <row r="7776" spans="1:13" x14ac:dyDescent="0.25">
      <c r="A7776" s="417" t="s">
        <v>3385</v>
      </c>
      <c r="B7776" s="417" t="s">
        <v>2437</v>
      </c>
      <c r="C7776" s="417" t="s">
        <v>18021</v>
      </c>
      <c r="D7776" s="417" t="s">
        <v>989</v>
      </c>
      <c r="E7776" s="423">
        <v>12508.966776384121</v>
      </c>
      <c r="F7776" s="423">
        <v>480.46045855071719</v>
      </c>
      <c r="G7776" s="422">
        <v>28081209.336831689</v>
      </c>
      <c r="H7776" s="417" t="s">
        <v>2616</v>
      </c>
      <c r="I7776" s="417" t="s">
        <v>1392</v>
      </c>
      <c r="J7776" s="417" t="s">
        <v>4167</v>
      </c>
      <c r="K7776" s="417" t="s">
        <v>18022</v>
      </c>
      <c r="L7776" s="417"/>
      <c r="M7776" s="417" t="s">
        <v>28840</v>
      </c>
    </row>
    <row r="7777" spans="1:13" x14ac:dyDescent="0.25">
      <c r="A7777" s="417" t="s">
        <v>3385</v>
      </c>
      <c r="B7777" s="417" t="s">
        <v>2437</v>
      </c>
      <c r="C7777" s="417" t="s">
        <v>18023</v>
      </c>
      <c r="D7777" s="417" t="s">
        <v>989</v>
      </c>
      <c r="E7777" s="423">
        <v>12640.714084044101</v>
      </c>
      <c r="F7777" s="423">
        <v>486.5286594535325</v>
      </c>
      <c r="G7777" s="422">
        <v>28509406.432393659</v>
      </c>
      <c r="H7777" s="417" t="s">
        <v>2616</v>
      </c>
      <c r="I7777" s="417" t="s">
        <v>1392</v>
      </c>
      <c r="J7777" s="417" t="s">
        <v>4167</v>
      </c>
      <c r="K7777" s="417" t="s">
        <v>18024</v>
      </c>
      <c r="L7777" s="417"/>
      <c r="M7777" s="417" t="s">
        <v>28840</v>
      </c>
    </row>
    <row r="7778" spans="1:13" x14ac:dyDescent="0.25">
      <c r="A7778" s="417" t="s">
        <v>3385</v>
      </c>
      <c r="B7778" s="417" t="s">
        <v>2437</v>
      </c>
      <c r="C7778" s="417" t="s">
        <v>18025</v>
      </c>
      <c r="D7778" s="417" t="s">
        <v>989</v>
      </c>
      <c r="E7778" s="423">
        <v>12734.49734131426</v>
      </c>
      <c r="F7778" s="423">
        <v>491.06835677850131</v>
      </c>
      <c r="G7778" s="422">
        <v>28809353.550307181</v>
      </c>
      <c r="H7778" s="417" t="s">
        <v>2616</v>
      </c>
      <c r="I7778" s="417" t="s">
        <v>1392</v>
      </c>
      <c r="J7778" s="417" t="s">
        <v>4167</v>
      </c>
      <c r="K7778" s="417" t="s">
        <v>18026</v>
      </c>
      <c r="L7778" s="417"/>
      <c r="M7778" s="417" t="s">
        <v>28840</v>
      </c>
    </row>
    <row r="7779" spans="1:13" x14ac:dyDescent="0.25">
      <c r="A7779" s="417" t="s">
        <v>3385</v>
      </c>
      <c r="B7779" s="417" t="s">
        <v>2437</v>
      </c>
      <c r="C7779" s="417" t="s">
        <v>18027</v>
      </c>
      <c r="D7779" s="417" t="s">
        <v>989</v>
      </c>
      <c r="E7779" s="423">
        <v>12768.56096288737</v>
      </c>
      <c r="F7779" s="423">
        <v>492.34427986971809</v>
      </c>
      <c r="G7779" s="422">
        <v>28921010.535477411</v>
      </c>
      <c r="H7779" s="417" t="s">
        <v>2616</v>
      </c>
      <c r="I7779" s="417" t="s">
        <v>1392</v>
      </c>
      <c r="J7779" s="417" t="s">
        <v>4167</v>
      </c>
      <c r="K7779" s="417" t="s">
        <v>18028</v>
      </c>
      <c r="L7779" s="417"/>
      <c r="M7779" s="417" t="s">
        <v>28840</v>
      </c>
    </row>
    <row r="7780" spans="1:13" x14ac:dyDescent="0.25">
      <c r="A7780" s="417" t="s">
        <v>3385</v>
      </c>
      <c r="B7780" s="417" t="s">
        <v>2437</v>
      </c>
      <c r="C7780" s="417" t="s">
        <v>18029</v>
      </c>
      <c r="D7780" s="417" t="s">
        <v>989</v>
      </c>
      <c r="E7780" s="423">
        <v>12802.621741806501</v>
      </c>
      <c r="F7780" s="423">
        <v>494.379370181762</v>
      </c>
      <c r="G7780" s="422">
        <v>29085414.471156519</v>
      </c>
      <c r="H7780" s="417" t="s">
        <v>2616</v>
      </c>
      <c r="I7780" s="417" t="s">
        <v>1392</v>
      </c>
      <c r="J7780" s="417" t="s">
        <v>4167</v>
      </c>
      <c r="K7780" s="417" t="s">
        <v>18030</v>
      </c>
      <c r="L7780" s="417"/>
      <c r="M7780" s="417" t="s">
        <v>28840</v>
      </c>
    </row>
    <row r="7781" spans="1:13" x14ac:dyDescent="0.25">
      <c r="A7781" s="417" t="s">
        <v>3385</v>
      </c>
      <c r="B7781" s="417" t="s">
        <v>2437</v>
      </c>
      <c r="C7781" s="417" t="s">
        <v>18031</v>
      </c>
      <c r="D7781" s="417" t="s">
        <v>989</v>
      </c>
      <c r="E7781" s="423">
        <v>9128.5914669610647</v>
      </c>
      <c r="F7781" s="423">
        <v>345.25936998168697</v>
      </c>
      <c r="G7781" s="422">
        <v>20691820.250242028</v>
      </c>
      <c r="H7781" s="417" t="s">
        <v>2616</v>
      </c>
      <c r="I7781" s="417" t="s">
        <v>1392</v>
      </c>
      <c r="J7781" s="417" t="s">
        <v>4167</v>
      </c>
      <c r="K7781" s="417" t="s">
        <v>18032</v>
      </c>
      <c r="L7781" s="417"/>
      <c r="M7781" s="417" t="s">
        <v>28840</v>
      </c>
    </row>
    <row r="7782" spans="1:13" x14ac:dyDescent="0.25">
      <c r="A7782" s="417" t="s">
        <v>3385</v>
      </c>
      <c r="B7782" s="417" t="s">
        <v>2437</v>
      </c>
      <c r="C7782" s="417" t="s">
        <v>18033</v>
      </c>
      <c r="D7782" s="417" t="s">
        <v>989</v>
      </c>
      <c r="E7782" s="423">
        <v>9128.312064010639</v>
      </c>
      <c r="F7782" s="423">
        <v>345.60983699532682</v>
      </c>
      <c r="G7782" s="422">
        <v>20800762.144806638</v>
      </c>
      <c r="H7782" s="417" t="s">
        <v>2616</v>
      </c>
      <c r="I7782" s="417" t="s">
        <v>1392</v>
      </c>
      <c r="J7782" s="417" t="s">
        <v>4167</v>
      </c>
      <c r="K7782" s="417" t="s">
        <v>18034</v>
      </c>
      <c r="L7782" s="417"/>
      <c r="M7782" s="417" t="s">
        <v>28840</v>
      </c>
    </row>
    <row r="7783" spans="1:13" x14ac:dyDescent="0.25">
      <c r="A7783" s="417" t="s">
        <v>3385</v>
      </c>
      <c r="B7783" s="417" t="s">
        <v>2437</v>
      </c>
      <c r="C7783" s="417" t="s">
        <v>18035</v>
      </c>
      <c r="D7783" s="417" t="s">
        <v>989</v>
      </c>
      <c r="E7783" s="423">
        <v>9155.4051195215307</v>
      </c>
      <c r="F7783" s="423">
        <v>347.14577570401889</v>
      </c>
      <c r="G7783" s="422">
        <v>20922234.840372931</v>
      </c>
      <c r="H7783" s="417" t="s">
        <v>2616</v>
      </c>
      <c r="I7783" s="417" t="s">
        <v>1392</v>
      </c>
      <c r="J7783" s="417" t="s">
        <v>4167</v>
      </c>
      <c r="K7783" s="417" t="s">
        <v>18036</v>
      </c>
      <c r="L7783" s="417"/>
      <c r="M7783" s="417" t="s">
        <v>28840</v>
      </c>
    </row>
    <row r="7784" spans="1:13" x14ac:dyDescent="0.25">
      <c r="A7784" s="417" t="s">
        <v>3385</v>
      </c>
      <c r="B7784" s="417" t="s">
        <v>2437</v>
      </c>
      <c r="C7784" s="417" t="s">
        <v>18037</v>
      </c>
      <c r="D7784" s="417" t="s">
        <v>989</v>
      </c>
      <c r="E7784" s="423">
        <v>9169.4173305963068</v>
      </c>
      <c r="F7784" s="423">
        <v>347.88885581864798</v>
      </c>
      <c r="G7784" s="422">
        <v>20982138.14127107</v>
      </c>
      <c r="H7784" s="417" t="s">
        <v>2616</v>
      </c>
      <c r="I7784" s="417" t="s">
        <v>1392</v>
      </c>
      <c r="J7784" s="417" t="s">
        <v>4167</v>
      </c>
      <c r="K7784" s="417" t="s">
        <v>18038</v>
      </c>
      <c r="L7784" s="417"/>
      <c r="M7784" s="417" t="s">
        <v>28840</v>
      </c>
    </row>
    <row r="7785" spans="1:13" x14ac:dyDescent="0.25">
      <c r="A7785" s="417" t="s">
        <v>3385</v>
      </c>
      <c r="B7785" s="417" t="s">
        <v>2437</v>
      </c>
      <c r="C7785" s="417" t="s">
        <v>18039</v>
      </c>
      <c r="D7785" s="417" t="s">
        <v>989</v>
      </c>
      <c r="E7785" s="423">
        <v>9141.9530571324503</v>
      </c>
      <c r="F7785" s="423">
        <v>347.29706171506109</v>
      </c>
      <c r="G7785" s="422">
        <v>21001841.903270669</v>
      </c>
      <c r="H7785" s="417" t="s">
        <v>2616</v>
      </c>
      <c r="I7785" s="417" t="s">
        <v>1392</v>
      </c>
      <c r="J7785" s="417" t="s">
        <v>4167</v>
      </c>
      <c r="K7785" s="417" t="s">
        <v>18040</v>
      </c>
      <c r="L7785" s="417"/>
      <c r="M7785" s="417" t="s">
        <v>28840</v>
      </c>
    </row>
    <row r="7786" spans="1:13" x14ac:dyDescent="0.25">
      <c r="A7786" s="417" t="s">
        <v>3385</v>
      </c>
      <c r="B7786" s="417" t="s">
        <v>2627</v>
      </c>
      <c r="C7786" s="417" t="s">
        <v>18041</v>
      </c>
      <c r="D7786" s="417" t="s">
        <v>88</v>
      </c>
      <c r="E7786" s="423">
        <v>0.956586487927086</v>
      </c>
      <c r="F7786" s="423">
        <v>2.741514228595671E-2</v>
      </c>
      <c r="G7786" s="422">
        <v>8346.0482227728462</v>
      </c>
      <c r="H7786" s="417" t="s">
        <v>2616</v>
      </c>
      <c r="I7786" s="417" t="s">
        <v>1392</v>
      </c>
      <c r="J7786" s="417" t="s">
        <v>4054</v>
      </c>
      <c r="K7786" s="417" t="s">
        <v>18042</v>
      </c>
      <c r="L7786" s="417"/>
      <c r="M7786" s="417" t="s">
        <v>28840</v>
      </c>
    </row>
    <row r="7787" spans="1:13" x14ac:dyDescent="0.25">
      <c r="A7787" s="417" t="s">
        <v>3385</v>
      </c>
      <c r="B7787" s="417" t="s">
        <v>2627</v>
      </c>
      <c r="C7787" s="417" t="s">
        <v>18043</v>
      </c>
      <c r="D7787" s="417" t="s">
        <v>88</v>
      </c>
      <c r="E7787" s="423">
        <v>1.0022008144096031</v>
      </c>
      <c r="F7787" s="423">
        <v>2.753948488735446E-2</v>
      </c>
      <c r="G7787" s="422">
        <v>5081.4336936152649</v>
      </c>
      <c r="H7787" s="417" t="s">
        <v>2616</v>
      </c>
      <c r="I7787" s="417" t="s">
        <v>1392</v>
      </c>
      <c r="J7787" s="417" t="s">
        <v>4054</v>
      </c>
      <c r="K7787" s="417" t="s">
        <v>18044</v>
      </c>
      <c r="L7787" s="417"/>
      <c r="M7787" s="417" t="s">
        <v>28840</v>
      </c>
    </row>
    <row r="7788" spans="1:13" x14ac:dyDescent="0.25">
      <c r="A7788" s="417" t="s">
        <v>3385</v>
      </c>
      <c r="B7788" s="417" t="s">
        <v>2627</v>
      </c>
      <c r="C7788" s="417" t="s">
        <v>18045</v>
      </c>
      <c r="D7788" s="417" t="s">
        <v>88</v>
      </c>
      <c r="E7788" s="423">
        <v>3.1463453814909823E-2</v>
      </c>
      <c r="F7788" s="423">
        <v>7.7177291959264877E-4</v>
      </c>
      <c r="G7788" s="422">
        <v>39.403880334466102</v>
      </c>
      <c r="H7788" s="417" t="s">
        <v>2616</v>
      </c>
      <c r="I7788" s="417" t="s">
        <v>1392</v>
      </c>
      <c r="J7788" s="417" t="s">
        <v>18046</v>
      </c>
      <c r="K7788" s="417" t="s">
        <v>18047</v>
      </c>
      <c r="L7788" s="417"/>
      <c r="M7788" s="417" t="s">
        <v>28840</v>
      </c>
    </row>
    <row r="7789" spans="1:13" x14ac:dyDescent="0.25">
      <c r="A7789" s="417" t="s">
        <v>3385</v>
      </c>
      <c r="B7789" s="417" t="s">
        <v>3405</v>
      </c>
      <c r="C7789" s="417" t="s">
        <v>18048</v>
      </c>
      <c r="D7789" s="417" t="s">
        <v>73</v>
      </c>
      <c r="E7789" s="423">
        <v>0.1115497146687062</v>
      </c>
      <c r="F7789" s="423">
        <v>9.7549952950558251E-5</v>
      </c>
      <c r="G7789" s="422">
        <v>119.6826914203327</v>
      </c>
      <c r="H7789" s="417" t="s">
        <v>2616</v>
      </c>
      <c r="I7789" s="417" t="s">
        <v>1392</v>
      </c>
      <c r="J7789" s="417" t="s">
        <v>13539</v>
      </c>
      <c r="K7789" s="417" t="s">
        <v>18049</v>
      </c>
      <c r="L7789" s="417"/>
      <c r="M7789" s="417" t="s">
        <v>28840</v>
      </c>
    </row>
    <row r="7790" spans="1:13" x14ac:dyDescent="0.25">
      <c r="A7790" s="417" t="s">
        <v>3385</v>
      </c>
      <c r="B7790" s="417" t="s">
        <v>3405</v>
      </c>
      <c r="C7790" s="417" t="s">
        <v>18050</v>
      </c>
      <c r="D7790" s="417" t="s">
        <v>73</v>
      </c>
      <c r="E7790" s="423">
        <v>0.1095099327415909</v>
      </c>
      <c r="F7790" s="423">
        <v>9.4239362422229438E-5</v>
      </c>
      <c r="G7790" s="422">
        <v>122.07306037972199</v>
      </c>
      <c r="H7790" s="417" t="s">
        <v>2616</v>
      </c>
      <c r="I7790" s="417" t="s">
        <v>1392</v>
      </c>
      <c r="J7790" s="417" t="s">
        <v>18051</v>
      </c>
      <c r="K7790" s="417" t="s">
        <v>18052</v>
      </c>
      <c r="L7790" s="417"/>
      <c r="M7790" s="417" t="s">
        <v>28840</v>
      </c>
    </row>
    <row r="7791" spans="1:13" x14ac:dyDescent="0.25">
      <c r="A7791" s="417" t="s">
        <v>3385</v>
      </c>
      <c r="B7791" s="417" t="s">
        <v>2437</v>
      </c>
      <c r="C7791" s="417" t="s">
        <v>18053</v>
      </c>
      <c r="D7791" s="417" t="s">
        <v>593</v>
      </c>
      <c r="E7791" s="423">
        <v>9.0366713896962665</v>
      </c>
      <c r="F7791" s="423">
        <v>0.33236351521219049</v>
      </c>
      <c r="G7791" s="422">
        <v>17661.925463724641</v>
      </c>
      <c r="H7791" s="417" t="s">
        <v>2616</v>
      </c>
      <c r="I7791" s="417" t="s">
        <v>1392</v>
      </c>
      <c r="J7791" s="417" t="s">
        <v>5056</v>
      </c>
      <c r="K7791" s="417" t="s">
        <v>18054</v>
      </c>
      <c r="L7791" s="417"/>
      <c r="M7791" s="417" t="s">
        <v>28840</v>
      </c>
    </row>
    <row r="7792" spans="1:13" x14ac:dyDescent="0.25">
      <c r="A7792" s="417" t="s">
        <v>3385</v>
      </c>
      <c r="B7792" s="417" t="s">
        <v>2437</v>
      </c>
      <c r="C7792" s="417" t="s">
        <v>18055</v>
      </c>
      <c r="D7792" s="417" t="s">
        <v>593</v>
      </c>
      <c r="E7792" s="423">
        <v>20.341506735992098</v>
      </c>
      <c r="F7792" s="423">
        <v>0.9100585150163456</v>
      </c>
      <c r="G7792" s="422">
        <v>37573.574166613107</v>
      </c>
      <c r="H7792" s="417" t="s">
        <v>2616</v>
      </c>
      <c r="I7792" s="417" t="s">
        <v>1392</v>
      </c>
      <c r="J7792" s="417" t="s">
        <v>5056</v>
      </c>
      <c r="K7792" s="417" t="s">
        <v>18056</v>
      </c>
      <c r="L7792" s="417"/>
      <c r="M7792" s="417" t="s">
        <v>28840</v>
      </c>
    </row>
    <row r="7793" spans="1:13" x14ac:dyDescent="0.25">
      <c r="A7793" s="417" t="s">
        <v>3385</v>
      </c>
      <c r="B7793" s="417" t="s">
        <v>3405</v>
      </c>
      <c r="C7793" s="417" t="s">
        <v>18057</v>
      </c>
      <c r="D7793" s="417" t="s">
        <v>73</v>
      </c>
      <c r="E7793" s="423">
        <v>1.057754726262976E-2</v>
      </c>
      <c r="F7793" s="423">
        <v>9.4863397561638391E-2</v>
      </c>
      <c r="G7793" s="422">
        <v>35.669404856384759</v>
      </c>
      <c r="H7793" s="417" t="s">
        <v>2616</v>
      </c>
      <c r="I7793" s="417" t="s">
        <v>1392</v>
      </c>
      <c r="J7793" s="417" t="s">
        <v>11978</v>
      </c>
      <c r="K7793" s="417" t="s">
        <v>18058</v>
      </c>
      <c r="L7793" s="417"/>
      <c r="M7793" s="417" t="s">
        <v>28840</v>
      </c>
    </row>
    <row r="7794" spans="1:13" x14ac:dyDescent="0.25">
      <c r="A7794" s="417" t="s">
        <v>3385</v>
      </c>
      <c r="B7794" s="417" t="s">
        <v>3405</v>
      </c>
      <c r="C7794" s="417" t="s">
        <v>18059</v>
      </c>
      <c r="D7794" s="417" t="s">
        <v>73</v>
      </c>
      <c r="E7794" s="423">
        <v>1.0596982912770709E-2</v>
      </c>
      <c r="F7794" s="423">
        <v>9.4862826494933203E-2</v>
      </c>
      <c r="G7794" s="422">
        <v>35.700738872140413</v>
      </c>
      <c r="H7794" s="417" t="s">
        <v>2616</v>
      </c>
      <c r="I7794" s="417" t="s">
        <v>1392</v>
      </c>
      <c r="J7794" s="417" t="s">
        <v>11978</v>
      </c>
      <c r="K7794" s="417" t="s">
        <v>18060</v>
      </c>
      <c r="L7794" s="417"/>
      <c r="M7794" s="417" t="s">
        <v>28840</v>
      </c>
    </row>
    <row r="7795" spans="1:13" x14ac:dyDescent="0.25">
      <c r="A7795" s="417" t="s">
        <v>3385</v>
      </c>
      <c r="B7795" s="417" t="s">
        <v>2627</v>
      </c>
      <c r="C7795" s="417" t="s">
        <v>18061</v>
      </c>
      <c r="D7795" s="417" t="s">
        <v>88</v>
      </c>
      <c r="E7795" s="423">
        <v>7.2840848344442294E-2</v>
      </c>
      <c r="F7795" s="423">
        <v>3.019937588995819E-3</v>
      </c>
      <c r="G7795" s="422">
        <v>619.42156120171171</v>
      </c>
      <c r="H7795" s="417" t="s">
        <v>2616</v>
      </c>
      <c r="I7795" s="417" t="s">
        <v>1392</v>
      </c>
      <c r="J7795" s="417" t="s">
        <v>18062</v>
      </c>
      <c r="K7795" s="417" t="s">
        <v>18063</v>
      </c>
      <c r="L7795" s="417"/>
      <c r="M7795" s="417" t="s">
        <v>28840</v>
      </c>
    </row>
    <row r="7796" spans="1:13" x14ac:dyDescent="0.25">
      <c r="A7796" s="417" t="s">
        <v>3385</v>
      </c>
      <c r="B7796" s="417" t="s">
        <v>2627</v>
      </c>
      <c r="C7796" s="417" t="s">
        <v>18064</v>
      </c>
      <c r="D7796" s="417" t="s">
        <v>88</v>
      </c>
      <c r="E7796" s="423">
        <v>0.33570375783745321</v>
      </c>
      <c r="F7796" s="423">
        <v>4.3734608019869699E-3</v>
      </c>
      <c r="G7796" s="422">
        <v>892.29292549494608</v>
      </c>
      <c r="H7796" s="417" t="s">
        <v>2616</v>
      </c>
      <c r="I7796" s="417" t="s">
        <v>1392</v>
      </c>
      <c r="J7796" s="417" t="s">
        <v>3772</v>
      </c>
      <c r="K7796" s="417" t="s">
        <v>18065</v>
      </c>
      <c r="L7796" s="417"/>
      <c r="M7796" s="417" t="s">
        <v>28840</v>
      </c>
    </row>
    <row r="7797" spans="1:13" x14ac:dyDescent="0.25">
      <c r="A7797" s="417" t="s">
        <v>3385</v>
      </c>
      <c r="B7797" s="417" t="s">
        <v>3405</v>
      </c>
      <c r="C7797" s="417" t="s">
        <v>18066</v>
      </c>
      <c r="D7797" s="417" t="s">
        <v>73</v>
      </c>
      <c r="E7797" s="423">
        <v>8.4903325325390994E-3</v>
      </c>
      <c r="F7797" s="423">
        <v>9.424673792189428E-2</v>
      </c>
      <c r="G7797" s="422">
        <v>36.651710278477303</v>
      </c>
      <c r="H7797" s="417" t="s">
        <v>2616</v>
      </c>
      <c r="I7797" s="417" t="s">
        <v>1392</v>
      </c>
      <c r="J7797" s="417" t="s">
        <v>11284</v>
      </c>
      <c r="K7797" s="417" t="s">
        <v>18067</v>
      </c>
      <c r="L7797" s="417"/>
      <c r="M7797" s="417" t="s">
        <v>28840</v>
      </c>
    </row>
    <row r="7798" spans="1:13" x14ac:dyDescent="0.25">
      <c r="A7798" s="417" t="s">
        <v>3385</v>
      </c>
      <c r="B7798" s="417" t="s">
        <v>3405</v>
      </c>
      <c r="C7798" s="417" t="s">
        <v>18068</v>
      </c>
      <c r="D7798" s="417" t="s">
        <v>73</v>
      </c>
      <c r="E7798" s="423">
        <v>7.4012414508722356E-3</v>
      </c>
      <c r="F7798" s="423">
        <v>9.4153715626560705E-2</v>
      </c>
      <c r="G7798" s="422">
        <v>31.554029233582039</v>
      </c>
      <c r="H7798" s="417" t="s">
        <v>2616</v>
      </c>
      <c r="I7798" s="417" t="s">
        <v>1392</v>
      </c>
      <c r="J7798" s="417" t="s">
        <v>11284</v>
      </c>
      <c r="K7798" s="417" t="s">
        <v>18069</v>
      </c>
      <c r="L7798" s="417"/>
      <c r="M7798" s="417" t="s">
        <v>28840</v>
      </c>
    </row>
    <row r="7799" spans="1:13" x14ac:dyDescent="0.25">
      <c r="A7799" s="417" t="s">
        <v>3385</v>
      </c>
      <c r="B7799" s="417" t="s">
        <v>3405</v>
      </c>
      <c r="C7799" s="417" t="s">
        <v>18070</v>
      </c>
      <c r="D7799" s="417" t="s">
        <v>73</v>
      </c>
      <c r="E7799" s="423">
        <v>6.2509788140302476E-3</v>
      </c>
      <c r="F7799" s="423">
        <v>8.7171328207899343E-2</v>
      </c>
      <c r="G7799" s="422">
        <v>28.874482230525739</v>
      </c>
      <c r="H7799" s="417" t="s">
        <v>2616</v>
      </c>
      <c r="I7799" s="417" t="s">
        <v>1392</v>
      </c>
      <c r="J7799" s="417" t="s">
        <v>11284</v>
      </c>
      <c r="K7799" s="417" t="s">
        <v>18071</v>
      </c>
      <c r="L7799" s="417"/>
      <c r="M7799" s="417" t="s">
        <v>28840</v>
      </c>
    </row>
    <row r="7800" spans="1:13" x14ac:dyDescent="0.25">
      <c r="A7800" s="417" t="s">
        <v>3385</v>
      </c>
      <c r="B7800" s="417" t="s">
        <v>3405</v>
      </c>
      <c r="C7800" s="417" t="s">
        <v>18072</v>
      </c>
      <c r="D7800" s="417" t="s">
        <v>73</v>
      </c>
      <c r="E7800" s="423">
        <v>7.6807525505593584E-3</v>
      </c>
      <c r="F7800" s="423">
        <v>9.4191648628386651E-2</v>
      </c>
      <c r="G7800" s="422">
        <v>33.168774363606772</v>
      </c>
      <c r="H7800" s="417" t="s">
        <v>2616</v>
      </c>
      <c r="I7800" s="417" t="s">
        <v>1392</v>
      </c>
      <c r="J7800" s="417" t="s">
        <v>11284</v>
      </c>
      <c r="K7800" s="417" t="s">
        <v>18073</v>
      </c>
      <c r="L7800" s="417"/>
      <c r="M7800" s="417" t="s">
        <v>28840</v>
      </c>
    </row>
    <row r="7801" spans="1:13" x14ac:dyDescent="0.25">
      <c r="A7801" s="417" t="s">
        <v>3385</v>
      </c>
      <c r="B7801" s="417" t="s">
        <v>2437</v>
      </c>
      <c r="C7801" s="417" t="s">
        <v>18074</v>
      </c>
      <c r="D7801" s="417" t="s">
        <v>989</v>
      </c>
      <c r="E7801" s="423">
        <v>579.29962250883432</v>
      </c>
      <c r="F7801" s="423">
        <v>23.872345432483431</v>
      </c>
      <c r="G7801" s="422">
        <v>4084335.161510624</v>
      </c>
      <c r="H7801" s="417" t="s">
        <v>2616</v>
      </c>
      <c r="I7801" s="417" t="s">
        <v>1392</v>
      </c>
      <c r="J7801" s="417" t="s">
        <v>4375</v>
      </c>
      <c r="K7801" s="417" t="s">
        <v>18075</v>
      </c>
      <c r="L7801" s="417"/>
      <c r="M7801" s="417" t="s">
        <v>28840</v>
      </c>
    </row>
    <row r="7802" spans="1:13" x14ac:dyDescent="0.25">
      <c r="A7802" s="417" t="s">
        <v>3385</v>
      </c>
      <c r="B7802" s="417" t="s">
        <v>2437</v>
      </c>
      <c r="C7802" s="417" t="s">
        <v>18076</v>
      </c>
      <c r="D7802" s="417" t="s">
        <v>989</v>
      </c>
      <c r="E7802" s="423">
        <v>831.66220258902024</v>
      </c>
      <c r="F7802" s="423">
        <v>20.141077552282631</v>
      </c>
      <c r="G7802" s="422">
        <v>1702320.318050076</v>
      </c>
      <c r="H7802" s="417" t="s">
        <v>2616</v>
      </c>
      <c r="I7802" s="417" t="s">
        <v>1392</v>
      </c>
      <c r="J7802" s="417" t="s">
        <v>4375</v>
      </c>
      <c r="K7802" s="417" t="s">
        <v>18077</v>
      </c>
      <c r="L7802" s="417"/>
      <c r="M7802" s="417" t="s">
        <v>28840</v>
      </c>
    </row>
    <row r="7803" spans="1:13" x14ac:dyDescent="0.25">
      <c r="A7803" s="417" t="s">
        <v>3385</v>
      </c>
      <c r="B7803" s="417" t="s">
        <v>2437</v>
      </c>
      <c r="C7803" s="417" t="s">
        <v>18078</v>
      </c>
      <c r="D7803" s="417" t="s">
        <v>18079</v>
      </c>
      <c r="E7803" s="423">
        <v>1.767983209979973</v>
      </c>
      <c r="F7803" s="423">
        <v>5.0278286471594102E-2</v>
      </c>
      <c r="G7803" s="422">
        <v>3931.3321974674118</v>
      </c>
      <c r="H7803" s="417" t="s">
        <v>2616</v>
      </c>
      <c r="I7803" s="417" t="s">
        <v>1392</v>
      </c>
      <c r="J7803" s="417" t="s">
        <v>4375</v>
      </c>
      <c r="K7803" s="417" t="s">
        <v>18080</v>
      </c>
      <c r="L7803" s="417"/>
      <c r="M7803" s="417" t="s">
        <v>28840</v>
      </c>
    </row>
    <row r="7804" spans="1:13" x14ac:dyDescent="0.25">
      <c r="A7804" s="417" t="s">
        <v>3385</v>
      </c>
      <c r="B7804" s="417" t="s">
        <v>2437</v>
      </c>
      <c r="C7804" s="417" t="s">
        <v>18081</v>
      </c>
      <c r="D7804" s="417" t="s">
        <v>989</v>
      </c>
      <c r="E7804" s="423">
        <v>933.42484665597124</v>
      </c>
      <c r="F7804" s="423">
        <v>65.312713511906338</v>
      </c>
      <c r="G7804" s="422">
        <v>16061048.344486941</v>
      </c>
      <c r="H7804" s="417" t="s">
        <v>2616</v>
      </c>
      <c r="I7804" s="417" t="s">
        <v>1392</v>
      </c>
      <c r="J7804" s="417" t="s">
        <v>4375</v>
      </c>
      <c r="K7804" s="417" t="s">
        <v>18082</v>
      </c>
      <c r="L7804" s="417"/>
      <c r="M7804" s="417" t="s">
        <v>28840</v>
      </c>
    </row>
    <row r="7805" spans="1:13" x14ac:dyDescent="0.25">
      <c r="A7805" s="417" t="s">
        <v>3385</v>
      </c>
      <c r="B7805" s="417" t="s">
        <v>2437</v>
      </c>
      <c r="C7805" s="417" t="s">
        <v>18083</v>
      </c>
      <c r="D7805" s="417" t="s">
        <v>989</v>
      </c>
      <c r="E7805" s="423">
        <v>14.77894969400195</v>
      </c>
      <c r="F7805" s="423">
        <v>0.55445280423458987</v>
      </c>
      <c r="G7805" s="422">
        <v>65098.006606780058</v>
      </c>
      <c r="H7805" s="417" t="s">
        <v>2616</v>
      </c>
      <c r="I7805" s="417" t="s">
        <v>1392</v>
      </c>
      <c r="J7805" s="417" t="s">
        <v>4375</v>
      </c>
      <c r="K7805" s="417" t="s">
        <v>18084</v>
      </c>
      <c r="L7805" s="417"/>
      <c r="M7805" s="417" t="s">
        <v>28840</v>
      </c>
    </row>
    <row r="7806" spans="1:13" x14ac:dyDescent="0.25">
      <c r="A7806" s="417" t="s">
        <v>3385</v>
      </c>
      <c r="B7806" s="417" t="s">
        <v>3405</v>
      </c>
      <c r="C7806" s="417" t="s">
        <v>18085</v>
      </c>
      <c r="D7806" s="417" t="s">
        <v>989</v>
      </c>
      <c r="E7806" s="423">
        <v>2029.8138770212699</v>
      </c>
      <c r="F7806" s="423">
        <v>71.961332241116452</v>
      </c>
      <c r="G7806" s="422">
        <v>4130708.4664778071</v>
      </c>
      <c r="H7806" s="417" t="s">
        <v>2616</v>
      </c>
      <c r="I7806" s="417" t="s">
        <v>1392</v>
      </c>
      <c r="J7806" s="417" t="s">
        <v>3588</v>
      </c>
      <c r="K7806" s="417" t="s">
        <v>18086</v>
      </c>
      <c r="L7806" s="417"/>
      <c r="M7806" s="417" t="s">
        <v>28840</v>
      </c>
    </row>
    <row r="7807" spans="1:13" x14ac:dyDescent="0.25">
      <c r="A7807" s="417" t="s">
        <v>3385</v>
      </c>
      <c r="B7807" s="417" t="s">
        <v>2627</v>
      </c>
      <c r="C7807" s="417" t="s">
        <v>18087</v>
      </c>
      <c r="D7807" s="417" t="s">
        <v>88</v>
      </c>
      <c r="E7807" s="423">
        <v>5.3651530592396792</v>
      </c>
      <c r="F7807" s="423">
        <v>7.5557866702776644E-2</v>
      </c>
      <c r="G7807" s="422">
        <v>8839.1626471399049</v>
      </c>
      <c r="H7807" s="417" t="s">
        <v>2616</v>
      </c>
      <c r="I7807" s="417" t="s">
        <v>1392</v>
      </c>
      <c r="J7807" s="417" t="s">
        <v>3387</v>
      </c>
      <c r="K7807" s="417" t="s">
        <v>18088</v>
      </c>
      <c r="L7807" s="417"/>
      <c r="M7807" s="417" t="s">
        <v>28840</v>
      </c>
    </row>
    <row r="7808" spans="1:13" x14ac:dyDescent="0.25">
      <c r="A7808" s="417" t="s">
        <v>3385</v>
      </c>
      <c r="B7808" s="417" t="s">
        <v>2627</v>
      </c>
      <c r="C7808" s="417" t="s">
        <v>18089</v>
      </c>
      <c r="D7808" s="417" t="s">
        <v>88</v>
      </c>
      <c r="E7808" s="423">
        <v>2.9452368083407019</v>
      </c>
      <c r="F7808" s="423">
        <v>0.1027196951309463</v>
      </c>
      <c r="G7808" s="422">
        <v>4973.6141872413218</v>
      </c>
      <c r="H7808" s="417" t="s">
        <v>2616</v>
      </c>
      <c r="I7808" s="417" t="s">
        <v>1392</v>
      </c>
      <c r="J7808" s="417" t="s">
        <v>3396</v>
      </c>
      <c r="K7808" s="417" t="s">
        <v>18090</v>
      </c>
      <c r="L7808" s="417"/>
      <c r="M7808" s="417" t="s">
        <v>28840</v>
      </c>
    </row>
    <row r="7809" spans="1:13" x14ac:dyDescent="0.25">
      <c r="A7809" s="417" t="s">
        <v>3385</v>
      </c>
      <c r="B7809" s="417" t="s">
        <v>2627</v>
      </c>
      <c r="C7809" s="417" t="s">
        <v>18091</v>
      </c>
      <c r="D7809" s="417" t="s">
        <v>88</v>
      </c>
      <c r="E7809" s="423">
        <v>1.1364349323523411</v>
      </c>
      <c r="F7809" s="423">
        <v>2.1108040475136562E-3</v>
      </c>
      <c r="G7809" s="422">
        <v>2069.4858782677588</v>
      </c>
      <c r="H7809" s="417" t="s">
        <v>2616</v>
      </c>
      <c r="I7809" s="417" t="s">
        <v>1392</v>
      </c>
      <c r="J7809" s="417" t="s">
        <v>3396</v>
      </c>
      <c r="K7809" s="417" t="s">
        <v>18092</v>
      </c>
      <c r="L7809" s="417"/>
      <c r="M7809" s="417" t="s">
        <v>28840</v>
      </c>
    </row>
    <row r="7810" spans="1:13" x14ac:dyDescent="0.25">
      <c r="A7810" s="417" t="s">
        <v>3385</v>
      </c>
      <c r="B7810" s="417" t="s">
        <v>2627</v>
      </c>
      <c r="C7810" s="417" t="s">
        <v>18093</v>
      </c>
      <c r="D7810" s="417" t="s">
        <v>88</v>
      </c>
      <c r="E7810" s="423">
        <v>1.7598002958122919E-3</v>
      </c>
      <c r="F7810" s="423">
        <v>6.4671392703737778E-5</v>
      </c>
      <c r="G7810" s="422">
        <v>15.30360019941398</v>
      </c>
      <c r="H7810" s="417" t="s">
        <v>2616</v>
      </c>
      <c r="I7810" s="417" t="s">
        <v>1392</v>
      </c>
      <c r="J7810" s="417" t="s">
        <v>3860</v>
      </c>
      <c r="K7810" s="417" t="s">
        <v>18094</v>
      </c>
      <c r="L7810" s="417"/>
      <c r="M7810" s="417" t="s">
        <v>28840</v>
      </c>
    </row>
    <row r="7811" spans="1:13" x14ac:dyDescent="0.25">
      <c r="A7811" s="417" t="s">
        <v>3385</v>
      </c>
      <c r="B7811" s="417" t="s">
        <v>2627</v>
      </c>
      <c r="C7811" s="417" t="s">
        <v>18095</v>
      </c>
      <c r="D7811" s="417" t="s">
        <v>88</v>
      </c>
      <c r="E7811" s="423">
        <v>48.115192536828907</v>
      </c>
      <c r="F7811" s="423">
        <v>1.435211983694729</v>
      </c>
      <c r="G7811" s="422">
        <v>82095.987413524417</v>
      </c>
      <c r="H7811" s="417" t="s">
        <v>2616</v>
      </c>
      <c r="I7811" s="417" t="s">
        <v>1392</v>
      </c>
      <c r="J7811" s="417" t="s">
        <v>3772</v>
      </c>
      <c r="K7811" s="417" t="s">
        <v>18096</v>
      </c>
      <c r="L7811" s="417"/>
      <c r="M7811" s="417" t="s">
        <v>28840</v>
      </c>
    </row>
    <row r="7812" spans="1:13" x14ac:dyDescent="0.25">
      <c r="A7812" s="417" t="s">
        <v>3385</v>
      </c>
      <c r="B7812" s="417" t="s">
        <v>2627</v>
      </c>
      <c r="C7812" s="417" t="s">
        <v>18097</v>
      </c>
      <c r="D7812" s="417" t="s">
        <v>88</v>
      </c>
      <c r="E7812" s="423">
        <v>8.4218900224186832</v>
      </c>
      <c r="F7812" s="423">
        <v>0.31572662021058751</v>
      </c>
      <c r="G7812" s="422">
        <v>21732.646813583309</v>
      </c>
      <c r="H7812" s="417" t="s">
        <v>2616</v>
      </c>
      <c r="I7812" s="417" t="s">
        <v>1392</v>
      </c>
      <c r="J7812" s="417" t="s">
        <v>3387</v>
      </c>
      <c r="K7812" s="417" t="s">
        <v>18098</v>
      </c>
      <c r="L7812" s="417"/>
      <c r="M7812" s="417" t="s">
        <v>28840</v>
      </c>
    </row>
    <row r="7813" spans="1:13" x14ac:dyDescent="0.25">
      <c r="A7813" s="417" t="s">
        <v>3385</v>
      </c>
      <c r="B7813" s="417" t="s">
        <v>2627</v>
      </c>
      <c r="C7813" s="417" t="s">
        <v>18099</v>
      </c>
      <c r="D7813" s="417" t="s">
        <v>88</v>
      </c>
      <c r="E7813" s="423">
        <v>8.7470136610060862</v>
      </c>
      <c r="F7813" s="423">
        <v>0.33744029182404173</v>
      </c>
      <c r="G7813" s="422">
        <v>21971.379423560189</v>
      </c>
      <c r="H7813" s="417" t="s">
        <v>2616</v>
      </c>
      <c r="I7813" s="417" t="s">
        <v>1392</v>
      </c>
      <c r="J7813" s="417" t="s">
        <v>3387</v>
      </c>
      <c r="K7813" s="417" t="s">
        <v>18100</v>
      </c>
      <c r="L7813" s="417"/>
      <c r="M7813" s="417" t="s">
        <v>28840</v>
      </c>
    </row>
    <row r="7814" spans="1:13" x14ac:dyDescent="0.25">
      <c r="A7814" s="417" t="s">
        <v>3385</v>
      </c>
      <c r="B7814" s="417" t="s">
        <v>2627</v>
      </c>
      <c r="C7814" s="417" t="s">
        <v>18101</v>
      </c>
      <c r="D7814" s="417" t="s">
        <v>88</v>
      </c>
      <c r="E7814" s="423">
        <v>1.0656469626993399</v>
      </c>
      <c r="F7814" s="423">
        <v>0.1671376415467499</v>
      </c>
      <c r="G7814" s="422">
        <v>2502.8116149293819</v>
      </c>
      <c r="H7814" s="417" t="s">
        <v>2616</v>
      </c>
      <c r="I7814" s="417" t="s">
        <v>1392</v>
      </c>
      <c r="J7814" s="417" t="s">
        <v>18102</v>
      </c>
      <c r="K7814" s="417" t="s">
        <v>18103</v>
      </c>
      <c r="L7814" s="417"/>
      <c r="M7814" s="417" t="s">
        <v>28840</v>
      </c>
    </row>
    <row r="7815" spans="1:13" x14ac:dyDescent="0.25">
      <c r="A7815" s="417" t="s">
        <v>3385</v>
      </c>
      <c r="B7815" s="417" t="s">
        <v>2627</v>
      </c>
      <c r="C7815" s="417" t="s">
        <v>18104</v>
      </c>
      <c r="D7815" s="417" t="s">
        <v>88</v>
      </c>
      <c r="E7815" s="423">
        <v>1.033075705510931</v>
      </c>
      <c r="F7815" s="423">
        <v>0.16444193718861741</v>
      </c>
      <c r="G7815" s="422">
        <v>2429.8046889204988</v>
      </c>
      <c r="H7815" s="417" t="s">
        <v>2616</v>
      </c>
      <c r="I7815" s="417" t="s">
        <v>1392</v>
      </c>
      <c r="J7815" s="417" t="s">
        <v>18102</v>
      </c>
      <c r="K7815" s="417" t="s">
        <v>18105</v>
      </c>
      <c r="L7815" s="417"/>
      <c r="M7815" s="417" t="s">
        <v>28840</v>
      </c>
    </row>
    <row r="7816" spans="1:13" x14ac:dyDescent="0.25">
      <c r="A7816" s="417" t="s">
        <v>3385</v>
      </c>
      <c r="B7816" s="417" t="s">
        <v>2627</v>
      </c>
      <c r="C7816" s="417" t="s">
        <v>18106</v>
      </c>
      <c r="D7816" s="417" t="s">
        <v>88</v>
      </c>
      <c r="E7816" s="423">
        <v>1.0079998507150301</v>
      </c>
      <c r="F7816" s="423">
        <v>5.3667320381035992E-2</v>
      </c>
      <c r="G7816" s="422">
        <v>2043.637918705524</v>
      </c>
      <c r="H7816" s="417" t="s">
        <v>2616</v>
      </c>
      <c r="I7816" s="417" t="s">
        <v>1392</v>
      </c>
      <c r="J7816" s="417" t="s">
        <v>18102</v>
      </c>
      <c r="K7816" s="417" t="s">
        <v>18107</v>
      </c>
      <c r="L7816" s="417"/>
      <c r="M7816" s="417" t="s">
        <v>28840</v>
      </c>
    </row>
    <row r="7817" spans="1:13" x14ac:dyDescent="0.25">
      <c r="A7817" s="417" t="s">
        <v>3385</v>
      </c>
      <c r="B7817" s="417" t="s">
        <v>2627</v>
      </c>
      <c r="C7817" s="417" t="s">
        <v>18108</v>
      </c>
      <c r="D7817" s="417" t="s">
        <v>88</v>
      </c>
      <c r="E7817" s="423">
        <v>0.97545717593996395</v>
      </c>
      <c r="F7817" s="423">
        <v>5.102832257288753E-2</v>
      </c>
      <c r="G7817" s="422">
        <v>1970.851772708728</v>
      </c>
      <c r="H7817" s="417" t="s">
        <v>2616</v>
      </c>
      <c r="I7817" s="417" t="s">
        <v>1392</v>
      </c>
      <c r="J7817" s="417" t="s">
        <v>18102</v>
      </c>
      <c r="K7817" s="417" t="s">
        <v>18109</v>
      </c>
      <c r="L7817" s="417"/>
      <c r="M7817" s="417" t="s">
        <v>28840</v>
      </c>
    </row>
    <row r="7818" spans="1:13" x14ac:dyDescent="0.25">
      <c r="A7818" s="417" t="s">
        <v>3385</v>
      </c>
      <c r="B7818" s="417" t="s">
        <v>2627</v>
      </c>
      <c r="C7818" s="417" t="s">
        <v>18110</v>
      </c>
      <c r="D7818" s="417" t="s">
        <v>88</v>
      </c>
      <c r="E7818" s="423">
        <v>0.97213437397319968</v>
      </c>
      <c r="F7818" s="423">
        <v>7.1071025949882519E-3</v>
      </c>
      <c r="G7818" s="422">
        <v>1853.644176574041</v>
      </c>
      <c r="H7818" s="417" t="s">
        <v>2616</v>
      </c>
      <c r="I7818" s="417" t="s">
        <v>1392</v>
      </c>
      <c r="J7818" s="417" t="s">
        <v>4123</v>
      </c>
      <c r="K7818" s="417" t="s">
        <v>18111</v>
      </c>
      <c r="L7818" s="417"/>
      <c r="M7818" s="417" t="s">
        <v>28840</v>
      </c>
    </row>
    <row r="7819" spans="1:13" x14ac:dyDescent="0.25">
      <c r="A7819" s="417" t="s">
        <v>3385</v>
      </c>
      <c r="B7819" s="417" t="s">
        <v>2627</v>
      </c>
      <c r="C7819" s="417" t="s">
        <v>18112</v>
      </c>
      <c r="D7819" s="417" t="s">
        <v>88</v>
      </c>
      <c r="E7819" s="423">
        <v>0.95450498474318901</v>
      </c>
      <c r="F7819" s="423">
        <v>9.787008450916658E-3</v>
      </c>
      <c r="G7819" s="422">
        <v>1803.959805860577</v>
      </c>
      <c r="H7819" s="417" t="s">
        <v>2616</v>
      </c>
      <c r="I7819" s="417" t="s">
        <v>1392</v>
      </c>
      <c r="J7819" s="417" t="s">
        <v>4123</v>
      </c>
      <c r="K7819" s="417" t="s">
        <v>18113</v>
      </c>
      <c r="L7819" s="417"/>
      <c r="M7819" s="417" t="s">
        <v>28840</v>
      </c>
    </row>
    <row r="7820" spans="1:13" x14ac:dyDescent="0.25">
      <c r="A7820" s="417" t="s">
        <v>3385</v>
      </c>
      <c r="B7820" s="417" t="s">
        <v>2627</v>
      </c>
      <c r="C7820" s="417" t="s">
        <v>18114</v>
      </c>
      <c r="D7820" s="417" t="s">
        <v>88</v>
      </c>
      <c r="E7820" s="423">
        <v>0.96162679968821563</v>
      </c>
      <c r="F7820" s="423">
        <v>7.4397462872194994E-2</v>
      </c>
      <c r="G7820" s="422">
        <v>2024.8279556821531</v>
      </c>
      <c r="H7820" s="417" t="s">
        <v>2616</v>
      </c>
      <c r="I7820" s="417" t="s">
        <v>1392</v>
      </c>
      <c r="J7820" s="417" t="s">
        <v>5765</v>
      </c>
      <c r="K7820" s="417" t="s">
        <v>18115</v>
      </c>
      <c r="L7820" s="417"/>
      <c r="M7820" s="417" t="s">
        <v>28840</v>
      </c>
    </row>
    <row r="7821" spans="1:13" x14ac:dyDescent="0.25">
      <c r="A7821" s="417" t="s">
        <v>3385</v>
      </c>
      <c r="B7821" s="417" t="s">
        <v>2627</v>
      </c>
      <c r="C7821" s="417" t="s">
        <v>18116</v>
      </c>
      <c r="D7821" s="417" t="s">
        <v>88</v>
      </c>
      <c r="E7821" s="423">
        <v>0.93858441536166348</v>
      </c>
      <c r="F7821" s="423">
        <v>0.14822610614012829</v>
      </c>
      <c r="G7821" s="422">
        <v>2104.1713481299448</v>
      </c>
      <c r="H7821" s="417" t="s">
        <v>2616</v>
      </c>
      <c r="I7821" s="417" t="s">
        <v>1392</v>
      </c>
      <c r="J7821" s="417" t="s">
        <v>5765</v>
      </c>
      <c r="K7821" s="417" t="s">
        <v>18117</v>
      </c>
      <c r="L7821" s="417"/>
      <c r="M7821" s="417" t="s">
        <v>28840</v>
      </c>
    </row>
    <row r="7822" spans="1:13" x14ac:dyDescent="0.25">
      <c r="A7822" s="417" t="s">
        <v>3385</v>
      </c>
      <c r="B7822" s="417" t="s">
        <v>2627</v>
      </c>
      <c r="C7822" s="417" t="s">
        <v>18118</v>
      </c>
      <c r="D7822" s="417" t="s">
        <v>88</v>
      </c>
      <c r="E7822" s="423">
        <v>1.000219054698962</v>
      </c>
      <c r="F7822" s="423">
        <v>1.327269161826982E-2</v>
      </c>
      <c r="G7822" s="422">
        <v>1922.14057704473</v>
      </c>
      <c r="H7822" s="417" t="s">
        <v>2616</v>
      </c>
      <c r="I7822" s="417" t="s">
        <v>1392</v>
      </c>
      <c r="J7822" s="417" t="s">
        <v>5765</v>
      </c>
      <c r="K7822" s="417" t="s">
        <v>18119</v>
      </c>
      <c r="L7822" s="417"/>
      <c r="M7822" s="417" t="s">
        <v>28840</v>
      </c>
    </row>
    <row r="7823" spans="1:13" x14ac:dyDescent="0.25">
      <c r="A7823" s="417" t="s">
        <v>3385</v>
      </c>
      <c r="B7823" s="417" t="s">
        <v>2627</v>
      </c>
      <c r="C7823" s="417" t="s">
        <v>18120</v>
      </c>
      <c r="D7823" s="417" t="s">
        <v>88</v>
      </c>
      <c r="E7823" s="423">
        <v>0.97019175613806363</v>
      </c>
      <c r="F7823" s="423">
        <v>7.9886189864317295E-2</v>
      </c>
      <c r="G7823" s="422">
        <v>2049.9795805896879</v>
      </c>
      <c r="H7823" s="417" t="s">
        <v>2616</v>
      </c>
      <c r="I7823" s="417" t="s">
        <v>1392</v>
      </c>
      <c r="J7823" s="417" t="s">
        <v>5765</v>
      </c>
      <c r="K7823" s="417" t="s">
        <v>18121</v>
      </c>
      <c r="L7823" s="417"/>
      <c r="M7823" s="417" t="s">
        <v>28840</v>
      </c>
    </row>
    <row r="7824" spans="1:13" x14ac:dyDescent="0.25">
      <c r="A7824" s="417" t="s">
        <v>3385</v>
      </c>
      <c r="B7824" s="417" t="s">
        <v>2627</v>
      </c>
      <c r="C7824" s="417" t="s">
        <v>18122</v>
      </c>
      <c r="D7824" s="417" t="s">
        <v>88</v>
      </c>
      <c r="E7824" s="423">
        <v>0.94761021535191359</v>
      </c>
      <c r="F7824" s="423">
        <v>0.15223825981391989</v>
      </c>
      <c r="G7824" s="422">
        <v>2127.7360949541999</v>
      </c>
      <c r="H7824" s="417" t="s">
        <v>2616</v>
      </c>
      <c r="I7824" s="417" t="s">
        <v>1392</v>
      </c>
      <c r="J7824" s="417" t="s">
        <v>5765</v>
      </c>
      <c r="K7824" s="417" t="s">
        <v>18123</v>
      </c>
      <c r="L7824" s="417"/>
      <c r="M7824" s="417" t="s">
        <v>28840</v>
      </c>
    </row>
    <row r="7825" spans="1:13" x14ac:dyDescent="0.25">
      <c r="A7825" s="417" t="s">
        <v>3385</v>
      </c>
      <c r="B7825" s="417" t="s">
        <v>2627</v>
      </c>
      <c r="C7825" s="417" t="s">
        <v>18124</v>
      </c>
      <c r="D7825" s="417" t="s">
        <v>88</v>
      </c>
      <c r="E7825" s="423">
        <v>0.63283678496354023</v>
      </c>
      <c r="F7825" s="423">
        <v>7.1821119005259894E-3</v>
      </c>
      <c r="G7825" s="422">
        <v>1224.6959668052421</v>
      </c>
      <c r="H7825" s="417" t="s">
        <v>2616</v>
      </c>
      <c r="I7825" s="417" t="s">
        <v>1392</v>
      </c>
      <c r="J7825" s="417" t="s">
        <v>4123</v>
      </c>
      <c r="K7825" s="417" t="s">
        <v>18125</v>
      </c>
      <c r="L7825" s="417"/>
      <c r="M7825" s="417" t="s">
        <v>28840</v>
      </c>
    </row>
    <row r="7826" spans="1:13" x14ac:dyDescent="0.25">
      <c r="A7826" s="417" t="s">
        <v>3385</v>
      </c>
      <c r="B7826" s="417" t="s">
        <v>3405</v>
      </c>
      <c r="C7826" s="417" t="s">
        <v>18126</v>
      </c>
      <c r="D7826" s="417" t="s">
        <v>73</v>
      </c>
      <c r="E7826" s="423">
        <v>0.12014892029559091</v>
      </c>
      <c r="F7826" s="423">
        <v>2.2677493727460641E-4</v>
      </c>
      <c r="G7826" s="422">
        <v>158.0034082103831</v>
      </c>
      <c r="H7826" s="417" t="s">
        <v>2616</v>
      </c>
      <c r="I7826" s="417" t="s">
        <v>1392</v>
      </c>
      <c r="J7826" s="417" t="s">
        <v>4694</v>
      </c>
      <c r="K7826" s="417" t="s">
        <v>18127</v>
      </c>
      <c r="L7826" s="417"/>
      <c r="M7826" s="417" t="s">
        <v>28840</v>
      </c>
    </row>
    <row r="7827" spans="1:13" x14ac:dyDescent="0.25">
      <c r="A7827" s="417" t="s">
        <v>3385</v>
      </c>
      <c r="B7827" s="417" t="s">
        <v>2627</v>
      </c>
      <c r="C7827" s="417" t="s">
        <v>18128</v>
      </c>
      <c r="D7827" s="417" t="s">
        <v>88</v>
      </c>
      <c r="E7827" s="423">
        <v>3.6665638280952328</v>
      </c>
      <c r="F7827" s="423">
        <v>6.4880258657038989E-2</v>
      </c>
      <c r="G7827" s="422">
        <v>5923.7249325533103</v>
      </c>
      <c r="H7827" s="417" t="s">
        <v>2616</v>
      </c>
      <c r="I7827" s="417" t="s">
        <v>1392</v>
      </c>
      <c r="J7827" s="417" t="s">
        <v>3396</v>
      </c>
      <c r="K7827" s="417" t="s">
        <v>18129</v>
      </c>
      <c r="L7827" s="417"/>
      <c r="M7827" s="417" t="s">
        <v>28840</v>
      </c>
    </row>
    <row r="7828" spans="1:13" x14ac:dyDescent="0.25">
      <c r="A7828" s="417" t="s">
        <v>3385</v>
      </c>
      <c r="B7828" s="417" t="s">
        <v>2627</v>
      </c>
      <c r="C7828" s="417" t="s">
        <v>967</v>
      </c>
      <c r="D7828" s="417" t="s">
        <v>88</v>
      </c>
      <c r="E7828" s="423">
        <v>3.8899921821272412</v>
      </c>
      <c r="F7828" s="423">
        <v>8.4877555294393087E-2</v>
      </c>
      <c r="G7828" s="422">
        <v>6410.5836338410418</v>
      </c>
      <c r="H7828" s="417" t="s">
        <v>2616</v>
      </c>
      <c r="I7828" s="417" t="s">
        <v>28841</v>
      </c>
      <c r="J7828" s="417" t="s">
        <v>3396</v>
      </c>
      <c r="K7828" s="417" t="s">
        <v>18130</v>
      </c>
      <c r="L7828" s="417"/>
      <c r="M7828" s="417" t="s">
        <v>28840</v>
      </c>
    </row>
    <row r="7829" spans="1:13" x14ac:dyDescent="0.25">
      <c r="A7829" s="417" t="s">
        <v>3385</v>
      </c>
      <c r="B7829" s="417" t="s">
        <v>2627</v>
      </c>
      <c r="C7829" s="417" t="s">
        <v>18131</v>
      </c>
      <c r="D7829" s="417" t="s">
        <v>88</v>
      </c>
      <c r="E7829" s="423">
        <v>5.4425091742917111</v>
      </c>
      <c r="F7829" s="423">
        <v>0.23062196811605831</v>
      </c>
      <c r="G7829" s="422">
        <v>10281.0020855453</v>
      </c>
      <c r="H7829" s="417" t="s">
        <v>2616</v>
      </c>
      <c r="I7829" s="417" t="s">
        <v>1392</v>
      </c>
      <c r="J7829" s="417" t="s">
        <v>3387</v>
      </c>
      <c r="K7829" s="417" t="s">
        <v>18132</v>
      </c>
      <c r="L7829" s="417"/>
      <c r="M7829" s="417" t="s">
        <v>28840</v>
      </c>
    </row>
    <row r="7830" spans="1:13" x14ac:dyDescent="0.25">
      <c r="A7830" s="417" t="s">
        <v>3385</v>
      </c>
      <c r="B7830" s="417" t="s">
        <v>2627</v>
      </c>
      <c r="C7830" s="417" t="s">
        <v>18133</v>
      </c>
      <c r="D7830" s="417" t="s">
        <v>88</v>
      </c>
      <c r="E7830" s="423">
        <v>5.6415549091365058</v>
      </c>
      <c r="F7830" s="423">
        <v>0.24391498160941169</v>
      </c>
      <c r="G7830" s="422">
        <v>10427.14650914837</v>
      </c>
      <c r="H7830" s="417" t="s">
        <v>2616</v>
      </c>
      <c r="I7830" s="417" t="s">
        <v>1392</v>
      </c>
      <c r="J7830" s="417" t="s">
        <v>3387</v>
      </c>
      <c r="K7830" s="417" t="s">
        <v>18134</v>
      </c>
      <c r="L7830" s="417"/>
      <c r="M7830" s="417" t="s">
        <v>28840</v>
      </c>
    </row>
    <row r="7831" spans="1:13" x14ac:dyDescent="0.25">
      <c r="A7831" s="417" t="s">
        <v>3385</v>
      </c>
      <c r="B7831" s="417" t="s">
        <v>2627</v>
      </c>
      <c r="C7831" s="417" t="s">
        <v>18135</v>
      </c>
      <c r="D7831" s="417" t="s">
        <v>88</v>
      </c>
      <c r="E7831" s="423">
        <v>1.127262345599749</v>
      </c>
      <c r="F7831" s="423">
        <v>9.9057352891483277E-2</v>
      </c>
      <c r="G7831" s="422">
        <v>2638.0853341274719</v>
      </c>
      <c r="H7831" s="417" t="s">
        <v>2616</v>
      </c>
      <c r="I7831" s="417" t="s">
        <v>1392</v>
      </c>
      <c r="J7831" s="417" t="s">
        <v>3396</v>
      </c>
      <c r="K7831" s="417" t="s">
        <v>18136</v>
      </c>
      <c r="L7831" s="417"/>
      <c r="M7831" s="417" t="s">
        <v>28840</v>
      </c>
    </row>
    <row r="7832" spans="1:13" x14ac:dyDescent="0.25">
      <c r="A7832" s="417" t="s">
        <v>3385</v>
      </c>
      <c r="B7832" s="417" t="s">
        <v>2627</v>
      </c>
      <c r="C7832" s="417" t="s">
        <v>18137</v>
      </c>
      <c r="D7832" s="417" t="s">
        <v>88</v>
      </c>
      <c r="E7832" s="423">
        <v>9.7578987274463476</v>
      </c>
      <c r="F7832" s="423">
        <v>1.0332056176592761</v>
      </c>
      <c r="G7832" s="422">
        <v>110835.8411084579</v>
      </c>
      <c r="H7832" s="417" t="s">
        <v>2616</v>
      </c>
      <c r="I7832" s="417" t="s">
        <v>1392</v>
      </c>
      <c r="J7832" s="417" t="s">
        <v>3742</v>
      </c>
      <c r="K7832" s="417" t="s">
        <v>18138</v>
      </c>
      <c r="L7832" s="417"/>
      <c r="M7832" s="417" t="s">
        <v>28840</v>
      </c>
    </row>
    <row r="7833" spans="1:13" x14ac:dyDescent="0.25">
      <c r="A7833" s="417" t="s">
        <v>3385</v>
      </c>
      <c r="B7833" s="417" t="s">
        <v>2627</v>
      </c>
      <c r="C7833" s="417" t="s">
        <v>18139</v>
      </c>
      <c r="D7833" s="417" t="s">
        <v>989</v>
      </c>
      <c r="E7833" s="423">
        <v>106345796.8841747</v>
      </c>
      <c r="F7833" s="423">
        <v>4166237.7315351898</v>
      </c>
      <c r="G7833" s="422">
        <v>211023189631.742</v>
      </c>
      <c r="H7833" s="417" t="s">
        <v>2616</v>
      </c>
      <c r="I7833" s="417" t="s">
        <v>1392</v>
      </c>
      <c r="J7833" s="417" t="s">
        <v>14041</v>
      </c>
      <c r="K7833" s="417" t="s">
        <v>18140</v>
      </c>
      <c r="L7833" s="417"/>
      <c r="M7833" s="417" t="s">
        <v>28840</v>
      </c>
    </row>
    <row r="7834" spans="1:13" x14ac:dyDescent="0.25">
      <c r="A7834" s="417" t="s">
        <v>3385</v>
      </c>
      <c r="B7834" s="417" t="s">
        <v>2627</v>
      </c>
      <c r="C7834" s="417" t="s">
        <v>18141</v>
      </c>
      <c r="D7834" s="417" t="s">
        <v>989</v>
      </c>
      <c r="E7834" s="423">
        <v>219890141.83706269</v>
      </c>
      <c r="F7834" s="423">
        <v>8272837.2105192561</v>
      </c>
      <c r="G7834" s="422">
        <v>437259274520.08881</v>
      </c>
      <c r="H7834" s="417" t="s">
        <v>2616</v>
      </c>
      <c r="I7834" s="417" t="s">
        <v>1392</v>
      </c>
      <c r="J7834" s="417" t="s">
        <v>14041</v>
      </c>
      <c r="K7834" s="417" t="s">
        <v>18142</v>
      </c>
      <c r="L7834" s="417"/>
      <c r="M7834" s="417" t="s">
        <v>28840</v>
      </c>
    </row>
    <row r="7835" spans="1:13" x14ac:dyDescent="0.25">
      <c r="A7835" s="417" t="s">
        <v>3385</v>
      </c>
      <c r="B7835" s="417" t="s">
        <v>2627</v>
      </c>
      <c r="C7835" s="417" t="s">
        <v>933</v>
      </c>
      <c r="D7835" s="417" t="s">
        <v>88</v>
      </c>
      <c r="E7835" s="423">
        <v>0.1989411437929364</v>
      </c>
      <c r="F7835" s="423">
        <v>1.055882186079387E-2</v>
      </c>
      <c r="G7835" s="422">
        <v>584.64802114929205</v>
      </c>
      <c r="H7835" s="417" t="s">
        <v>2616</v>
      </c>
      <c r="I7835" s="417" t="s">
        <v>28841</v>
      </c>
      <c r="J7835" s="417" t="s">
        <v>3742</v>
      </c>
      <c r="K7835" s="417" t="s">
        <v>18143</v>
      </c>
      <c r="L7835" s="417"/>
      <c r="M7835" s="417" t="s">
        <v>28840</v>
      </c>
    </row>
    <row r="7836" spans="1:13" x14ac:dyDescent="0.25">
      <c r="A7836" s="417" t="s">
        <v>3385</v>
      </c>
      <c r="B7836" s="417" t="s">
        <v>2627</v>
      </c>
      <c r="C7836" s="417" t="s">
        <v>18144</v>
      </c>
      <c r="D7836" s="417" t="s">
        <v>88</v>
      </c>
      <c r="E7836" s="423">
        <v>0.1457727887566958</v>
      </c>
      <c r="F7836" s="423">
        <v>2.2551068561561381E-2</v>
      </c>
      <c r="G7836" s="422">
        <v>697.33968199725928</v>
      </c>
      <c r="H7836" s="417" t="s">
        <v>2616</v>
      </c>
      <c r="I7836" s="417" t="s">
        <v>1392</v>
      </c>
      <c r="J7836" s="417" t="s">
        <v>3742</v>
      </c>
      <c r="K7836" s="417" t="s">
        <v>18145</v>
      </c>
      <c r="L7836" s="417"/>
      <c r="M7836" s="417" t="s">
        <v>28840</v>
      </c>
    </row>
    <row r="7837" spans="1:13" x14ac:dyDescent="0.25">
      <c r="A7837" s="417" t="s">
        <v>3385</v>
      </c>
      <c r="B7837" s="417" t="s">
        <v>2627</v>
      </c>
      <c r="C7837" s="417" t="s">
        <v>18146</v>
      </c>
      <c r="D7837" s="417" t="s">
        <v>989</v>
      </c>
      <c r="E7837" s="423">
        <v>3006893.7480983459</v>
      </c>
      <c r="F7837" s="423">
        <v>244745.94178769301</v>
      </c>
      <c r="G7837" s="422">
        <v>7318255625.0410309</v>
      </c>
      <c r="H7837" s="417" t="s">
        <v>2616</v>
      </c>
      <c r="I7837" s="417" t="s">
        <v>1392</v>
      </c>
      <c r="J7837" s="417" t="s">
        <v>18147</v>
      </c>
      <c r="K7837" s="417" t="s">
        <v>18148</v>
      </c>
      <c r="L7837" s="417"/>
      <c r="M7837" s="417" t="s">
        <v>28840</v>
      </c>
    </row>
    <row r="7838" spans="1:13" x14ac:dyDescent="0.25">
      <c r="A7838" s="417" t="s">
        <v>3385</v>
      </c>
      <c r="B7838" s="417" t="s">
        <v>2627</v>
      </c>
      <c r="C7838" s="417" t="s">
        <v>947</v>
      </c>
      <c r="D7838" s="417" t="s">
        <v>88</v>
      </c>
      <c r="E7838" s="423">
        <v>0.9460816822841932</v>
      </c>
      <c r="F7838" s="423">
        <v>3.583864879456717E-2</v>
      </c>
      <c r="G7838" s="422">
        <v>6839.5418665466659</v>
      </c>
      <c r="H7838" s="417" t="s">
        <v>2616</v>
      </c>
      <c r="I7838" s="417" t="s">
        <v>28841</v>
      </c>
      <c r="J7838" s="417" t="s">
        <v>4333</v>
      </c>
      <c r="K7838" s="417" t="s">
        <v>18149</v>
      </c>
      <c r="L7838" s="417"/>
      <c r="M7838" s="417" t="s">
        <v>28840</v>
      </c>
    </row>
    <row r="7839" spans="1:13" x14ac:dyDescent="0.25">
      <c r="A7839" s="417" t="s">
        <v>3385</v>
      </c>
      <c r="B7839" s="417" t="s">
        <v>2627</v>
      </c>
      <c r="C7839" s="417" t="s">
        <v>18150</v>
      </c>
      <c r="D7839" s="417" t="s">
        <v>88</v>
      </c>
      <c r="E7839" s="423">
        <v>0.99032912433886899</v>
      </c>
      <c r="F7839" s="423">
        <v>2.6483672026267009E-2</v>
      </c>
      <c r="G7839" s="422">
        <v>14428.11375789834</v>
      </c>
      <c r="H7839" s="417" t="s">
        <v>2616</v>
      </c>
      <c r="I7839" s="417" t="s">
        <v>1392</v>
      </c>
      <c r="J7839" s="417" t="s">
        <v>4333</v>
      </c>
      <c r="K7839" s="417" t="s">
        <v>18151</v>
      </c>
      <c r="L7839" s="417"/>
      <c r="M7839" s="417" t="s">
        <v>28840</v>
      </c>
    </row>
    <row r="7840" spans="1:13" x14ac:dyDescent="0.25">
      <c r="A7840" s="417" t="s">
        <v>3385</v>
      </c>
      <c r="B7840" s="417" t="s">
        <v>2627</v>
      </c>
      <c r="C7840" s="417" t="s">
        <v>18152</v>
      </c>
      <c r="D7840" s="417" t="s">
        <v>88</v>
      </c>
      <c r="E7840" s="423">
        <v>0.92009509117707566</v>
      </c>
      <c r="F7840" s="423">
        <v>4.1332842035427052E-2</v>
      </c>
      <c r="G7840" s="422">
        <v>2382.761553805653</v>
      </c>
      <c r="H7840" s="417" t="s">
        <v>2616</v>
      </c>
      <c r="I7840" s="417" t="s">
        <v>1392</v>
      </c>
      <c r="J7840" s="417" t="s">
        <v>4333</v>
      </c>
      <c r="K7840" s="417" t="s">
        <v>18153</v>
      </c>
      <c r="L7840" s="417"/>
      <c r="M7840" s="417" t="s">
        <v>28840</v>
      </c>
    </row>
    <row r="7841" spans="1:13" x14ac:dyDescent="0.25">
      <c r="A7841" s="417" t="s">
        <v>3385</v>
      </c>
      <c r="B7841" s="417" t="s">
        <v>2627</v>
      </c>
      <c r="C7841" s="417" t="s">
        <v>948</v>
      </c>
      <c r="D7841" s="417" t="s">
        <v>88</v>
      </c>
      <c r="E7841" s="423">
        <v>1.4395942032079101</v>
      </c>
      <c r="F7841" s="423">
        <v>5.7838379331799659E-2</v>
      </c>
      <c r="G7841" s="422">
        <v>8195.8795316185224</v>
      </c>
      <c r="H7841" s="417" t="s">
        <v>2616</v>
      </c>
      <c r="I7841" s="417" t="s">
        <v>28841</v>
      </c>
      <c r="J7841" s="417" t="s">
        <v>4333</v>
      </c>
      <c r="K7841" s="417" t="s">
        <v>18154</v>
      </c>
      <c r="L7841" s="417"/>
      <c r="M7841" s="417" t="s">
        <v>28840</v>
      </c>
    </row>
    <row r="7842" spans="1:13" x14ac:dyDescent="0.25">
      <c r="A7842" s="417" t="s">
        <v>3385</v>
      </c>
      <c r="B7842" s="417" t="s">
        <v>2627</v>
      </c>
      <c r="C7842" s="417" t="s">
        <v>18155</v>
      </c>
      <c r="D7842" s="417" t="s">
        <v>88</v>
      </c>
      <c r="E7842" s="423">
        <v>1.970719325652678</v>
      </c>
      <c r="F7842" s="423">
        <v>0.2151498296914654</v>
      </c>
      <c r="G7842" s="422">
        <v>5096.1261438672891</v>
      </c>
      <c r="H7842" s="417" t="s">
        <v>2616</v>
      </c>
      <c r="I7842" s="417" t="s">
        <v>1392</v>
      </c>
      <c r="J7842" s="417" t="s">
        <v>3742</v>
      </c>
      <c r="K7842" s="417" t="s">
        <v>18156</v>
      </c>
      <c r="L7842" s="417"/>
      <c r="M7842" s="417" t="s">
        <v>28840</v>
      </c>
    </row>
    <row r="7843" spans="1:13" x14ac:dyDescent="0.25">
      <c r="A7843" s="417" t="s">
        <v>3385</v>
      </c>
      <c r="B7843" s="417" t="s">
        <v>2627</v>
      </c>
      <c r="C7843" s="417" t="s">
        <v>18157</v>
      </c>
      <c r="D7843" s="417" t="s">
        <v>88</v>
      </c>
      <c r="E7843" s="423">
        <v>1.6787015457033021</v>
      </c>
      <c r="F7843" s="423">
        <v>0.18472721604890341</v>
      </c>
      <c r="G7843" s="422">
        <v>4387.1232571075634</v>
      </c>
      <c r="H7843" s="417" t="s">
        <v>2616</v>
      </c>
      <c r="I7843" s="417" t="s">
        <v>1392</v>
      </c>
      <c r="J7843" s="417" t="s">
        <v>3742</v>
      </c>
      <c r="K7843" s="417" t="s">
        <v>18158</v>
      </c>
      <c r="L7843" s="417"/>
      <c r="M7843" s="417" t="s">
        <v>28840</v>
      </c>
    </row>
    <row r="7844" spans="1:13" x14ac:dyDescent="0.25">
      <c r="A7844" s="417" t="s">
        <v>3385</v>
      </c>
      <c r="B7844" s="417" t="s">
        <v>2627</v>
      </c>
      <c r="C7844" s="417" t="s">
        <v>18159</v>
      </c>
      <c r="D7844" s="417" t="s">
        <v>88</v>
      </c>
      <c r="E7844" s="423">
        <v>5.9049341067127674</v>
      </c>
      <c r="F7844" s="423">
        <v>0.62070722932534927</v>
      </c>
      <c r="G7844" s="422">
        <v>14858.443210557611</v>
      </c>
      <c r="H7844" s="417" t="s">
        <v>2616</v>
      </c>
      <c r="I7844" s="417" t="s">
        <v>1392</v>
      </c>
      <c r="J7844" s="417" t="s">
        <v>3742</v>
      </c>
      <c r="K7844" s="417" t="s">
        <v>18160</v>
      </c>
      <c r="L7844" s="417"/>
      <c r="M7844" s="417" t="s">
        <v>28840</v>
      </c>
    </row>
    <row r="7845" spans="1:13" x14ac:dyDescent="0.25">
      <c r="A7845" s="417" t="s">
        <v>3385</v>
      </c>
      <c r="B7845" s="417" t="s">
        <v>2627</v>
      </c>
      <c r="C7845" s="417" t="s">
        <v>18161</v>
      </c>
      <c r="D7845" s="417" t="s">
        <v>88</v>
      </c>
      <c r="E7845" s="423">
        <v>2.0378278981539601</v>
      </c>
      <c r="F7845" s="423">
        <v>0.22503494302175719</v>
      </c>
      <c r="G7845" s="422">
        <v>15616.154712673509</v>
      </c>
      <c r="H7845" s="417" t="s">
        <v>2616</v>
      </c>
      <c r="I7845" s="417" t="s">
        <v>1392</v>
      </c>
      <c r="J7845" s="417" t="s">
        <v>3742</v>
      </c>
      <c r="K7845" s="417" t="s">
        <v>18162</v>
      </c>
      <c r="L7845" s="417"/>
      <c r="M7845" s="417" t="s">
        <v>28840</v>
      </c>
    </row>
    <row r="7846" spans="1:13" x14ac:dyDescent="0.25">
      <c r="A7846" s="417" t="s">
        <v>3385</v>
      </c>
      <c r="B7846" s="417" t="s">
        <v>2627</v>
      </c>
      <c r="C7846" s="417" t="s">
        <v>18163</v>
      </c>
      <c r="D7846" s="417" t="s">
        <v>989</v>
      </c>
      <c r="E7846" s="423">
        <v>1154491.533013595</v>
      </c>
      <c r="F7846" s="423">
        <v>54815.305284800903</v>
      </c>
      <c r="G7846" s="422">
        <v>2181276546.373395</v>
      </c>
      <c r="H7846" s="417" t="s">
        <v>2616</v>
      </c>
      <c r="I7846" s="417" t="s">
        <v>1392</v>
      </c>
      <c r="J7846" s="417" t="s">
        <v>3433</v>
      </c>
      <c r="K7846" s="417" t="s">
        <v>18164</v>
      </c>
      <c r="L7846" s="417"/>
      <c r="M7846" s="417" t="s">
        <v>28840</v>
      </c>
    </row>
    <row r="7847" spans="1:13" x14ac:dyDescent="0.25">
      <c r="A7847" s="417" t="s">
        <v>3385</v>
      </c>
      <c r="B7847" s="417" t="s">
        <v>2627</v>
      </c>
      <c r="C7847" s="417" t="s">
        <v>18165</v>
      </c>
      <c r="D7847" s="417" t="s">
        <v>563</v>
      </c>
      <c r="E7847" s="423">
        <v>55.620954750252302</v>
      </c>
      <c r="F7847" s="423">
        <v>3.3396703304493438</v>
      </c>
      <c r="G7847" s="422">
        <v>123657.5664158171</v>
      </c>
      <c r="H7847" s="417" t="s">
        <v>2616</v>
      </c>
      <c r="I7847" s="417" t="s">
        <v>1392</v>
      </c>
      <c r="J7847" s="417" t="s">
        <v>3433</v>
      </c>
      <c r="K7847" s="417" t="s">
        <v>18166</v>
      </c>
      <c r="L7847" s="417"/>
      <c r="M7847" s="417" t="s">
        <v>28840</v>
      </c>
    </row>
    <row r="7848" spans="1:13" x14ac:dyDescent="0.25">
      <c r="A7848" s="417" t="s">
        <v>3385</v>
      </c>
      <c r="B7848" s="417" t="s">
        <v>2627</v>
      </c>
      <c r="C7848" s="417" t="s">
        <v>18167</v>
      </c>
      <c r="D7848" s="417" t="s">
        <v>563</v>
      </c>
      <c r="E7848" s="423">
        <v>58.896930561061787</v>
      </c>
      <c r="F7848" s="423">
        <v>3.3697853580869599</v>
      </c>
      <c r="G7848" s="422">
        <v>124427.3493800482</v>
      </c>
      <c r="H7848" s="417" t="s">
        <v>2616</v>
      </c>
      <c r="I7848" s="417" t="s">
        <v>1392</v>
      </c>
      <c r="J7848" s="417" t="s">
        <v>3433</v>
      </c>
      <c r="K7848" s="417" t="s">
        <v>18168</v>
      </c>
      <c r="L7848" s="417"/>
      <c r="M7848" s="417" t="s">
        <v>28840</v>
      </c>
    </row>
    <row r="7849" spans="1:13" x14ac:dyDescent="0.25">
      <c r="A7849" s="417" t="s">
        <v>3385</v>
      </c>
      <c r="B7849" s="417" t="s">
        <v>2627</v>
      </c>
      <c r="C7849" s="417" t="s">
        <v>18169</v>
      </c>
      <c r="D7849" s="417" t="s">
        <v>563</v>
      </c>
      <c r="E7849" s="423">
        <v>38.932068742760571</v>
      </c>
      <c r="F7849" s="423">
        <v>4.0652658649822984</v>
      </c>
      <c r="G7849" s="422">
        <v>102290.7936537537</v>
      </c>
      <c r="H7849" s="417" t="s">
        <v>2616</v>
      </c>
      <c r="I7849" s="417" t="s">
        <v>1392</v>
      </c>
      <c r="J7849" s="417" t="s">
        <v>3433</v>
      </c>
      <c r="K7849" s="417" t="s">
        <v>18170</v>
      </c>
      <c r="L7849" s="417"/>
      <c r="M7849" s="417" t="s">
        <v>28840</v>
      </c>
    </row>
    <row r="7850" spans="1:13" x14ac:dyDescent="0.25">
      <c r="A7850" s="417" t="s">
        <v>3385</v>
      </c>
      <c r="B7850" s="417" t="s">
        <v>2627</v>
      </c>
      <c r="C7850" s="417" t="s">
        <v>18171</v>
      </c>
      <c r="D7850" s="417" t="s">
        <v>563</v>
      </c>
      <c r="E7850" s="423">
        <v>53.714069914557641</v>
      </c>
      <c r="F7850" s="423">
        <v>3.2488578482234591</v>
      </c>
      <c r="G7850" s="422">
        <v>119145.3311623145</v>
      </c>
      <c r="H7850" s="417" t="s">
        <v>2616</v>
      </c>
      <c r="I7850" s="417" t="s">
        <v>1392</v>
      </c>
      <c r="J7850" s="417" t="s">
        <v>3433</v>
      </c>
      <c r="K7850" s="417" t="s">
        <v>18172</v>
      </c>
      <c r="L7850" s="417"/>
      <c r="M7850" s="417" t="s">
        <v>28840</v>
      </c>
    </row>
    <row r="7851" spans="1:13" x14ac:dyDescent="0.25">
      <c r="A7851" s="417" t="s">
        <v>3385</v>
      </c>
      <c r="B7851" s="417" t="s">
        <v>2627</v>
      </c>
      <c r="C7851" s="417" t="s">
        <v>18173</v>
      </c>
      <c r="D7851" s="417" t="s">
        <v>563</v>
      </c>
      <c r="E7851" s="423">
        <v>52.987432907296203</v>
      </c>
      <c r="F7851" s="423">
        <v>3.4575253412789921</v>
      </c>
      <c r="G7851" s="422">
        <v>120339.0771863811</v>
      </c>
      <c r="H7851" s="417" t="s">
        <v>2616</v>
      </c>
      <c r="I7851" s="417" t="s">
        <v>1392</v>
      </c>
      <c r="J7851" s="417" t="s">
        <v>3433</v>
      </c>
      <c r="K7851" s="417" t="s">
        <v>18174</v>
      </c>
      <c r="L7851" s="417"/>
      <c r="M7851" s="417" t="s">
        <v>28840</v>
      </c>
    </row>
    <row r="7852" spans="1:13" x14ac:dyDescent="0.25">
      <c r="A7852" s="417" t="s">
        <v>3385</v>
      </c>
      <c r="B7852" s="417" t="s">
        <v>2627</v>
      </c>
      <c r="C7852" s="417" t="s">
        <v>18175</v>
      </c>
      <c r="D7852" s="417" t="s">
        <v>563</v>
      </c>
      <c r="E7852" s="423">
        <v>55.548439383142188</v>
      </c>
      <c r="F7852" s="423">
        <v>3.3345538949329541</v>
      </c>
      <c r="G7852" s="422">
        <v>123486.1422516991</v>
      </c>
      <c r="H7852" s="417" t="s">
        <v>2616</v>
      </c>
      <c r="I7852" s="417" t="s">
        <v>1392</v>
      </c>
      <c r="J7852" s="417" t="s">
        <v>3433</v>
      </c>
      <c r="K7852" s="417" t="s">
        <v>18176</v>
      </c>
      <c r="L7852" s="417"/>
      <c r="M7852" s="417" t="s">
        <v>28840</v>
      </c>
    </row>
    <row r="7853" spans="1:13" x14ac:dyDescent="0.25">
      <c r="A7853" s="417" t="s">
        <v>3385</v>
      </c>
      <c r="B7853" s="417" t="s">
        <v>2627</v>
      </c>
      <c r="C7853" s="417" t="s">
        <v>18177</v>
      </c>
      <c r="D7853" s="417" t="s">
        <v>563</v>
      </c>
      <c r="E7853" s="423">
        <v>54.424832961711097</v>
      </c>
      <c r="F7853" s="423">
        <v>6.4224850731572918</v>
      </c>
      <c r="G7853" s="422">
        <v>122320.88250895889</v>
      </c>
      <c r="H7853" s="417" t="s">
        <v>2616</v>
      </c>
      <c r="I7853" s="417" t="s">
        <v>1392</v>
      </c>
      <c r="J7853" s="417" t="s">
        <v>5692</v>
      </c>
      <c r="K7853" s="417" t="s">
        <v>18178</v>
      </c>
      <c r="L7853" s="417"/>
      <c r="M7853" s="417" t="s">
        <v>28840</v>
      </c>
    </row>
    <row r="7854" spans="1:13" x14ac:dyDescent="0.25">
      <c r="A7854" s="417" t="s">
        <v>3385</v>
      </c>
      <c r="B7854" s="417" t="s">
        <v>2627</v>
      </c>
      <c r="C7854" s="417" t="s">
        <v>18179</v>
      </c>
      <c r="D7854" s="417" t="s">
        <v>563</v>
      </c>
      <c r="E7854" s="423">
        <v>65.50605689422116</v>
      </c>
      <c r="F7854" s="423">
        <v>3.905213173427033</v>
      </c>
      <c r="G7854" s="422">
        <v>134200.4702606698</v>
      </c>
      <c r="H7854" s="417" t="s">
        <v>2616</v>
      </c>
      <c r="I7854" s="417" t="s">
        <v>1392</v>
      </c>
      <c r="J7854" s="417" t="s">
        <v>3433</v>
      </c>
      <c r="K7854" s="417" t="s">
        <v>18180</v>
      </c>
      <c r="L7854" s="417"/>
      <c r="M7854" s="417" t="s">
        <v>28840</v>
      </c>
    </row>
    <row r="7855" spans="1:13" x14ac:dyDescent="0.25">
      <c r="A7855" s="417" t="s">
        <v>3385</v>
      </c>
      <c r="B7855" s="417" t="s">
        <v>2627</v>
      </c>
      <c r="C7855" s="417" t="s">
        <v>18181</v>
      </c>
      <c r="D7855" s="417" t="s">
        <v>563</v>
      </c>
      <c r="E7855" s="423">
        <v>69.055335623667759</v>
      </c>
      <c r="F7855" s="423">
        <v>3.9372558898021528</v>
      </c>
      <c r="G7855" s="422">
        <v>133925.414604144</v>
      </c>
      <c r="H7855" s="417" t="s">
        <v>2616</v>
      </c>
      <c r="I7855" s="417" t="s">
        <v>1392</v>
      </c>
      <c r="J7855" s="417" t="s">
        <v>3433</v>
      </c>
      <c r="K7855" s="417" t="s">
        <v>18182</v>
      </c>
      <c r="L7855" s="417"/>
      <c r="M7855" s="417" t="s">
        <v>28840</v>
      </c>
    </row>
    <row r="7856" spans="1:13" x14ac:dyDescent="0.25">
      <c r="A7856" s="417" t="s">
        <v>3385</v>
      </c>
      <c r="B7856" s="417" t="s">
        <v>2627</v>
      </c>
      <c r="C7856" s="417" t="s">
        <v>18183</v>
      </c>
      <c r="D7856" s="417" t="s">
        <v>563</v>
      </c>
      <c r="E7856" s="423">
        <v>44.714761982728803</v>
      </c>
      <c r="F7856" s="423">
        <v>4.8204143660557843</v>
      </c>
      <c r="G7856" s="422">
        <v>108072.05221350151</v>
      </c>
      <c r="H7856" s="417" t="s">
        <v>2616</v>
      </c>
      <c r="I7856" s="417" t="s">
        <v>1392</v>
      </c>
      <c r="J7856" s="417" t="s">
        <v>3433</v>
      </c>
      <c r="K7856" s="417" t="s">
        <v>18184</v>
      </c>
      <c r="L7856" s="417"/>
      <c r="M7856" s="417" t="s">
        <v>28840</v>
      </c>
    </row>
    <row r="7857" spans="1:13" x14ac:dyDescent="0.25">
      <c r="A7857" s="417" t="s">
        <v>3385</v>
      </c>
      <c r="B7857" s="417" t="s">
        <v>2627</v>
      </c>
      <c r="C7857" s="417" t="s">
        <v>18185</v>
      </c>
      <c r="D7857" s="417" t="s">
        <v>563</v>
      </c>
      <c r="E7857" s="423">
        <v>63.877283829192379</v>
      </c>
      <c r="F7857" s="423">
        <v>3.816452333334917</v>
      </c>
      <c r="G7857" s="422">
        <v>128644.2661114509</v>
      </c>
      <c r="H7857" s="417" t="s">
        <v>2616</v>
      </c>
      <c r="I7857" s="417" t="s">
        <v>1392</v>
      </c>
      <c r="J7857" s="417" t="s">
        <v>3433</v>
      </c>
      <c r="K7857" s="417" t="s">
        <v>18186</v>
      </c>
      <c r="L7857" s="417"/>
      <c r="M7857" s="417" t="s">
        <v>28840</v>
      </c>
    </row>
    <row r="7858" spans="1:13" x14ac:dyDescent="0.25">
      <c r="A7858" s="417" t="s">
        <v>3385</v>
      </c>
      <c r="B7858" s="417" t="s">
        <v>2627</v>
      </c>
      <c r="C7858" s="417" t="s">
        <v>18187</v>
      </c>
      <c r="D7858" s="417" t="s">
        <v>563</v>
      </c>
      <c r="E7858" s="423">
        <v>62.210225327980403</v>
      </c>
      <c r="F7858" s="423">
        <v>4.0534805167241039</v>
      </c>
      <c r="G7858" s="422">
        <v>130109.8820717105</v>
      </c>
      <c r="H7858" s="417" t="s">
        <v>2616</v>
      </c>
      <c r="I7858" s="417" t="s">
        <v>1392</v>
      </c>
      <c r="J7858" s="417" t="s">
        <v>3433</v>
      </c>
      <c r="K7858" s="417" t="s">
        <v>18188</v>
      </c>
      <c r="L7858" s="417"/>
      <c r="M7858" s="417" t="s">
        <v>28840</v>
      </c>
    </row>
    <row r="7859" spans="1:13" x14ac:dyDescent="0.25">
      <c r="A7859" s="417" t="s">
        <v>3385</v>
      </c>
      <c r="B7859" s="417" t="s">
        <v>2627</v>
      </c>
      <c r="C7859" s="417" t="s">
        <v>18189</v>
      </c>
      <c r="D7859" s="417" t="s">
        <v>563</v>
      </c>
      <c r="E7859" s="423">
        <v>65.449854974766779</v>
      </c>
      <c r="F7859" s="423">
        <v>3.900163151963091</v>
      </c>
      <c r="G7859" s="422">
        <v>133945.2586682988</v>
      </c>
      <c r="H7859" s="417" t="s">
        <v>2616</v>
      </c>
      <c r="I7859" s="417" t="s">
        <v>1392</v>
      </c>
      <c r="J7859" s="417" t="s">
        <v>3433</v>
      </c>
      <c r="K7859" s="417" t="s">
        <v>18190</v>
      </c>
      <c r="L7859" s="417"/>
      <c r="M7859" s="417" t="s">
        <v>28840</v>
      </c>
    </row>
    <row r="7860" spans="1:13" x14ac:dyDescent="0.25">
      <c r="A7860" s="417" t="s">
        <v>3385</v>
      </c>
      <c r="B7860" s="417" t="s">
        <v>2627</v>
      </c>
      <c r="C7860" s="417" t="s">
        <v>18191</v>
      </c>
      <c r="D7860" s="417" t="s">
        <v>563</v>
      </c>
      <c r="E7860" s="423">
        <v>32.937235874767417</v>
      </c>
      <c r="F7860" s="423">
        <v>1.023743601379518</v>
      </c>
      <c r="G7860" s="422">
        <v>56241.573866779712</v>
      </c>
      <c r="H7860" s="417" t="s">
        <v>2616</v>
      </c>
      <c r="I7860" s="417" t="s">
        <v>1392</v>
      </c>
      <c r="J7860" s="417" t="s">
        <v>3433</v>
      </c>
      <c r="K7860" s="417" t="s">
        <v>18192</v>
      </c>
      <c r="L7860" s="417"/>
      <c r="M7860" s="417" t="s">
        <v>28840</v>
      </c>
    </row>
    <row r="7861" spans="1:13" x14ac:dyDescent="0.25">
      <c r="A7861" s="417" t="s">
        <v>3385</v>
      </c>
      <c r="B7861" s="417" t="s">
        <v>2627</v>
      </c>
      <c r="C7861" s="417" t="s">
        <v>18193</v>
      </c>
      <c r="D7861" s="417" t="s">
        <v>563</v>
      </c>
      <c r="E7861" s="423">
        <v>39.047452961304487</v>
      </c>
      <c r="F7861" s="423">
        <v>2.9788179713704221</v>
      </c>
      <c r="G7861" s="422">
        <v>71750.539717100633</v>
      </c>
      <c r="H7861" s="417" t="s">
        <v>2616</v>
      </c>
      <c r="I7861" s="417" t="s">
        <v>1392</v>
      </c>
      <c r="J7861" s="417" t="s">
        <v>3433</v>
      </c>
      <c r="K7861" s="417" t="s">
        <v>18194</v>
      </c>
      <c r="L7861" s="417"/>
      <c r="M7861" s="417" t="s">
        <v>28840</v>
      </c>
    </row>
    <row r="7862" spans="1:13" x14ac:dyDescent="0.25">
      <c r="A7862" s="417" t="s">
        <v>3385</v>
      </c>
      <c r="B7862" s="417" t="s">
        <v>2627</v>
      </c>
      <c r="C7862" s="417" t="s">
        <v>18195</v>
      </c>
      <c r="D7862" s="417" t="s">
        <v>563</v>
      </c>
      <c r="E7862" s="423">
        <v>50.436539108288557</v>
      </c>
      <c r="F7862" s="423">
        <v>1.5385133868139891</v>
      </c>
      <c r="G7862" s="422">
        <v>83600.279752587361</v>
      </c>
      <c r="H7862" s="417" t="s">
        <v>2616</v>
      </c>
      <c r="I7862" s="417" t="s">
        <v>1392</v>
      </c>
      <c r="J7862" s="417" t="s">
        <v>3433</v>
      </c>
      <c r="K7862" s="417" t="s">
        <v>18196</v>
      </c>
      <c r="L7862" s="417"/>
      <c r="M7862" s="417" t="s">
        <v>28840</v>
      </c>
    </row>
    <row r="7863" spans="1:13" x14ac:dyDescent="0.25">
      <c r="A7863" s="417" t="s">
        <v>3385</v>
      </c>
      <c r="B7863" s="417" t="s">
        <v>2627</v>
      </c>
      <c r="C7863" s="417" t="s">
        <v>18197</v>
      </c>
      <c r="D7863" s="417" t="s">
        <v>563</v>
      </c>
      <c r="E7863" s="423">
        <v>40.617690464347007</v>
      </c>
      <c r="F7863" s="423">
        <v>1.683233220347494</v>
      </c>
      <c r="G7863" s="422">
        <v>74893.127438068113</v>
      </c>
      <c r="H7863" s="417" t="s">
        <v>2616</v>
      </c>
      <c r="I7863" s="417" t="s">
        <v>1392</v>
      </c>
      <c r="J7863" s="417" t="s">
        <v>3433</v>
      </c>
      <c r="K7863" s="417" t="s">
        <v>18198</v>
      </c>
      <c r="L7863" s="417"/>
      <c r="M7863" s="417" t="s">
        <v>28840</v>
      </c>
    </row>
    <row r="7864" spans="1:13" x14ac:dyDescent="0.25">
      <c r="A7864" s="417" t="s">
        <v>3385</v>
      </c>
      <c r="B7864" s="417" t="s">
        <v>2627</v>
      </c>
      <c r="C7864" s="417" t="s">
        <v>18199</v>
      </c>
      <c r="D7864" s="417" t="s">
        <v>563</v>
      </c>
      <c r="E7864" s="423">
        <v>49.364493332209477</v>
      </c>
      <c r="F7864" s="423">
        <v>1.741122988512201</v>
      </c>
      <c r="G7864" s="422">
        <v>79460.491650068419</v>
      </c>
      <c r="H7864" s="417" t="s">
        <v>2616</v>
      </c>
      <c r="I7864" s="417" t="s">
        <v>1392</v>
      </c>
      <c r="J7864" s="417" t="s">
        <v>3433</v>
      </c>
      <c r="K7864" s="417" t="s">
        <v>18200</v>
      </c>
      <c r="L7864" s="417"/>
      <c r="M7864" s="417" t="s">
        <v>28840</v>
      </c>
    </row>
    <row r="7865" spans="1:13" x14ac:dyDescent="0.25">
      <c r="A7865" s="417" t="s">
        <v>3385</v>
      </c>
      <c r="B7865" s="417" t="s">
        <v>2627</v>
      </c>
      <c r="C7865" s="417" t="s">
        <v>18201</v>
      </c>
      <c r="D7865" s="417" t="s">
        <v>563</v>
      </c>
      <c r="E7865" s="423">
        <v>42.026026967180229</v>
      </c>
      <c r="F7865" s="423">
        <v>2.1445126756058852</v>
      </c>
      <c r="G7865" s="422">
        <v>75898.101238042043</v>
      </c>
      <c r="H7865" s="417" t="s">
        <v>2616</v>
      </c>
      <c r="I7865" s="417" t="s">
        <v>1392</v>
      </c>
      <c r="J7865" s="417" t="s">
        <v>3433</v>
      </c>
      <c r="K7865" s="417" t="s">
        <v>18202</v>
      </c>
      <c r="L7865" s="417"/>
      <c r="M7865" s="417" t="s">
        <v>28840</v>
      </c>
    </row>
    <row r="7866" spans="1:13" x14ac:dyDescent="0.25">
      <c r="A7866" s="417" t="s">
        <v>3385</v>
      </c>
      <c r="B7866" s="417" t="s">
        <v>2627</v>
      </c>
      <c r="C7866" s="417" t="s">
        <v>18203</v>
      </c>
      <c r="D7866" s="417" t="s">
        <v>563</v>
      </c>
      <c r="E7866" s="423">
        <v>54.564891882748597</v>
      </c>
      <c r="F7866" s="423">
        <v>1.54208613962784</v>
      </c>
      <c r="G7866" s="422">
        <v>94028.974685853726</v>
      </c>
      <c r="H7866" s="417" t="s">
        <v>2616</v>
      </c>
      <c r="I7866" s="417" t="s">
        <v>1392</v>
      </c>
      <c r="J7866" s="417" t="s">
        <v>3433</v>
      </c>
      <c r="K7866" s="417" t="s">
        <v>18204</v>
      </c>
      <c r="L7866" s="417"/>
      <c r="M7866" s="417" t="s">
        <v>28840</v>
      </c>
    </row>
    <row r="7867" spans="1:13" x14ac:dyDescent="0.25">
      <c r="A7867" s="417" t="s">
        <v>3385</v>
      </c>
      <c r="B7867" s="417" t="s">
        <v>2627</v>
      </c>
      <c r="C7867" s="417" t="s">
        <v>18205</v>
      </c>
      <c r="D7867" s="417" t="s">
        <v>563</v>
      </c>
      <c r="E7867" s="423">
        <v>46.949609240966353</v>
      </c>
      <c r="F7867" s="423">
        <v>1.906360609829465</v>
      </c>
      <c r="G7867" s="422">
        <v>90051.765317023586</v>
      </c>
      <c r="H7867" s="417" t="s">
        <v>2616</v>
      </c>
      <c r="I7867" s="417" t="s">
        <v>1392</v>
      </c>
      <c r="J7867" s="417" t="s">
        <v>3433</v>
      </c>
      <c r="K7867" s="417" t="s">
        <v>18206</v>
      </c>
      <c r="L7867" s="417"/>
      <c r="M7867" s="417" t="s">
        <v>28840</v>
      </c>
    </row>
    <row r="7868" spans="1:13" x14ac:dyDescent="0.25">
      <c r="A7868" s="417" t="s">
        <v>3385</v>
      </c>
      <c r="B7868" s="417" t="s">
        <v>2627</v>
      </c>
      <c r="C7868" s="417" t="s">
        <v>18207</v>
      </c>
      <c r="D7868" s="417" t="s">
        <v>563</v>
      </c>
      <c r="E7868" s="423">
        <v>53.836309785949382</v>
      </c>
      <c r="F7868" s="423">
        <v>2.0597251646126051</v>
      </c>
      <c r="G7868" s="422">
        <v>90942.120708664748</v>
      </c>
      <c r="H7868" s="417" t="s">
        <v>2616</v>
      </c>
      <c r="I7868" s="417" t="s">
        <v>1392</v>
      </c>
      <c r="J7868" s="417" t="s">
        <v>3433</v>
      </c>
      <c r="K7868" s="417" t="s">
        <v>18208</v>
      </c>
      <c r="L7868" s="417"/>
      <c r="M7868" s="417" t="s">
        <v>28840</v>
      </c>
    </row>
    <row r="7869" spans="1:13" x14ac:dyDescent="0.25">
      <c r="A7869" s="417" t="s">
        <v>3385</v>
      </c>
      <c r="B7869" s="417" t="s">
        <v>2627</v>
      </c>
      <c r="C7869" s="417" t="s">
        <v>18209</v>
      </c>
      <c r="D7869" s="417" t="s">
        <v>563</v>
      </c>
      <c r="E7869" s="423">
        <v>49.698714630032761</v>
      </c>
      <c r="F7869" s="423">
        <v>1.9777196483348241</v>
      </c>
      <c r="G7869" s="422">
        <v>95991.335721594383</v>
      </c>
      <c r="H7869" s="417" t="s">
        <v>2616</v>
      </c>
      <c r="I7869" s="417" t="s">
        <v>1392</v>
      </c>
      <c r="J7869" s="417" t="s">
        <v>3433</v>
      </c>
      <c r="K7869" s="417" t="s">
        <v>18210</v>
      </c>
      <c r="L7869" s="417"/>
      <c r="M7869" s="417" t="s">
        <v>28840</v>
      </c>
    </row>
    <row r="7870" spans="1:13" x14ac:dyDescent="0.25">
      <c r="A7870" s="417" t="s">
        <v>3385</v>
      </c>
      <c r="B7870" s="417" t="s">
        <v>2627</v>
      </c>
      <c r="C7870" s="417" t="s">
        <v>18211</v>
      </c>
      <c r="D7870" s="417" t="s">
        <v>563</v>
      </c>
      <c r="E7870" s="423">
        <v>53.554082253621232</v>
      </c>
      <c r="F7870" s="423">
        <v>4.673600495428504</v>
      </c>
      <c r="G7870" s="422">
        <v>96933.51609802185</v>
      </c>
      <c r="H7870" s="417" t="s">
        <v>2616</v>
      </c>
      <c r="I7870" s="417" t="s">
        <v>1392</v>
      </c>
      <c r="J7870" s="417" t="s">
        <v>3433</v>
      </c>
      <c r="K7870" s="417" t="s">
        <v>18212</v>
      </c>
      <c r="L7870" s="417"/>
      <c r="M7870" s="417" t="s">
        <v>28840</v>
      </c>
    </row>
    <row r="7871" spans="1:13" x14ac:dyDescent="0.25">
      <c r="A7871" s="417" t="s">
        <v>3385</v>
      </c>
      <c r="B7871" s="417" t="s">
        <v>2627</v>
      </c>
      <c r="C7871" s="417" t="s">
        <v>18213</v>
      </c>
      <c r="D7871" s="417" t="s">
        <v>563</v>
      </c>
      <c r="E7871" s="423">
        <v>57.721881482911783</v>
      </c>
      <c r="F7871" s="423">
        <v>4.9535184555268872</v>
      </c>
      <c r="G7871" s="422">
        <v>105589.82794953149</v>
      </c>
      <c r="H7871" s="417" t="s">
        <v>2616</v>
      </c>
      <c r="I7871" s="417" t="s">
        <v>1392</v>
      </c>
      <c r="J7871" s="417" t="s">
        <v>3499</v>
      </c>
      <c r="K7871" s="417" t="s">
        <v>18214</v>
      </c>
      <c r="L7871" s="417"/>
      <c r="M7871" s="417" t="s">
        <v>28840</v>
      </c>
    </row>
    <row r="7872" spans="1:13" x14ac:dyDescent="0.25">
      <c r="A7872" s="417" t="s">
        <v>3385</v>
      </c>
      <c r="B7872" s="417" t="s">
        <v>2627</v>
      </c>
      <c r="C7872" s="417" t="s">
        <v>18215</v>
      </c>
      <c r="D7872" s="417" t="s">
        <v>563</v>
      </c>
      <c r="E7872" s="423">
        <v>78.159811004864338</v>
      </c>
      <c r="F7872" s="423">
        <v>2.7661898268789651</v>
      </c>
      <c r="G7872" s="422">
        <v>119947.7060476561</v>
      </c>
      <c r="H7872" s="417" t="s">
        <v>2616</v>
      </c>
      <c r="I7872" s="417" t="s">
        <v>1392</v>
      </c>
      <c r="J7872" s="417" t="s">
        <v>3499</v>
      </c>
      <c r="K7872" s="417" t="s">
        <v>18216</v>
      </c>
      <c r="L7872" s="417"/>
      <c r="M7872" s="417" t="s">
        <v>28840</v>
      </c>
    </row>
    <row r="7873" spans="1:13" x14ac:dyDescent="0.25">
      <c r="A7873" s="417" t="s">
        <v>3385</v>
      </c>
      <c r="B7873" s="417" t="s">
        <v>2627</v>
      </c>
      <c r="C7873" s="417" t="s">
        <v>18217</v>
      </c>
      <c r="D7873" s="417" t="s">
        <v>563</v>
      </c>
      <c r="E7873" s="423">
        <v>82.551299725775763</v>
      </c>
      <c r="F7873" s="423">
        <v>3.0347150347098828</v>
      </c>
      <c r="G7873" s="422">
        <v>129230.3138451518</v>
      </c>
      <c r="H7873" s="417" t="s">
        <v>2616</v>
      </c>
      <c r="I7873" s="417" t="s">
        <v>1392</v>
      </c>
      <c r="J7873" s="417" t="s">
        <v>3499</v>
      </c>
      <c r="K7873" s="417" t="s">
        <v>18218</v>
      </c>
      <c r="L7873" s="417"/>
      <c r="M7873" s="417" t="s">
        <v>28840</v>
      </c>
    </row>
    <row r="7874" spans="1:13" x14ac:dyDescent="0.25">
      <c r="A7874" s="417" t="s">
        <v>3385</v>
      </c>
      <c r="B7874" s="417" t="s">
        <v>2627</v>
      </c>
      <c r="C7874" s="417" t="s">
        <v>18219</v>
      </c>
      <c r="D7874" s="417" t="s">
        <v>563</v>
      </c>
      <c r="E7874" s="423">
        <v>84.454651228767148</v>
      </c>
      <c r="F7874" s="423">
        <v>4.9424507908525319</v>
      </c>
      <c r="G7874" s="422">
        <v>171515.07997364341</v>
      </c>
      <c r="H7874" s="417" t="s">
        <v>2616</v>
      </c>
      <c r="I7874" s="417" t="s">
        <v>1392</v>
      </c>
      <c r="J7874" s="417" t="s">
        <v>3433</v>
      </c>
      <c r="K7874" s="417" t="s">
        <v>18220</v>
      </c>
      <c r="L7874" s="417"/>
      <c r="M7874" s="417" t="s">
        <v>28840</v>
      </c>
    </row>
    <row r="7875" spans="1:13" x14ac:dyDescent="0.25">
      <c r="A7875" s="417" t="s">
        <v>3385</v>
      </c>
      <c r="B7875" s="417" t="s">
        <v>2627</v>
      </c>
      <c r="C7875" s="417" t="s">
        <v>18221</v>
      </c>
      <c r="D7875" s="417" t="s">
        <v>563</v>
      </c>
      <c r="E7875" s="423">
        <v>89.728808566121501</v>
      </c>
      <c r="F7875" s="423">
        <v>4.9884677015067398</v>
      </c>
      <c r="G7875" s="422">
        <v>173026.1145309562</v>
      </c>
      <c r="H7875" s="417" t="s">
        <v>2616</v>
      </c>
      <c r="I7875" s="417" t="s">
        <v>1392</v>
      </c>
      <c r="J7875" s="417" t="s">
        <v>3433</v>
      </c>
      <c r="K7875" s="417" t="s">
        <v>18222</v>
      </c>
      <c r="L7875" s="417"/>
      <c r="M7875" s="417" t="s">
        <v>28840</v>
      </c>
    </row>
    <row r="7876" spans="1:13" x14ac:dyDescent="0.25">
      <c r="A7876" s="417" t="s">
        <v>3385</v>
      </c>
      <c r="B7876" s="417" t="s">
        <v>2627</v>
      </c>
      <c r="C7876" s="417" t="s">
        <v>18223</v>
      </c>
      <c r="D7876" s="417" t="s">
        <v>563</v>
      </c>
      <c r="E7876" s="423">
        <v>77.971608156444702</v>
      </c>
      <c r="F7876" s="423">
        <v>5.319289076246748</v>
      </c>
      <c r="G7876" s="422">
        <v>163470.11167250399</v>
      </c>
      <c r="H7876" s="417" t="s">
        <v>2616</v>
      </c>
      <c r="I7876" s="417" t="s">
        <v>1392</v>
      </c>
      <c r="J7876" s="417" t="s">
        <v>3433</v>
      </c>
      <c r="K7876" s="417" t="s">
        <v>18224</v>
      </c>
      <c r="L7876" s="417"/>
      <c r="M7876" s="417" t="s">
        <v>28840</v>
      </c>
    </row>
    <row r="7877" spans="1:13" x14ac:dyDescent="0.25">
      <c r="A7877" s="417" t="s">
        <v>3385</v>
      </c>
      <c r="B7877" s="417" t="s">
        <v>2627</v>
      </c>
      <c r="C7877" s="417" t="s">
        <v>18225</v>
      </c>
      <c r="D7877" s="417" t="s">
        <v>563</v>
      </c>
      <c r="E7877" s="423">
        <v>82.483987899941312</v>
      </c>
      <c r="F7877" s="423">
        <v>4.8597020332119794</v>
      </c>
      <c r="G7877" s="422">
        <v>167886.58120582721</v>
      </c>
      <c r="H7877" s="417" t="s">
        <v>2616</v>
      </c>
      <c r="I7877" s="417" t="s">
        <v>1392</v>
      </c>
      <c r="J7877" s="417" t="s">
        <v>3433</v>
      </c>
      <c r="K7877" s="417" t="s">
        <v>18226</v>
      </c>
      <c r="L7877" s="417"/>
      <c r="M7877" s="417" t="s">
        <v>28840</v>
      </c>
    </row>
    <row r="7878" spans="1:13" x14ac:dyDescent="0.25">
      <c r="A7878" s="417" t="s">
        <v>3385</v>
      </c>
      <c r="B7878" s="417" t="s">
        <v>2627</v>
      </c>
      <c r="C7878" s="417" t="s">
        <v>18227</v>
      </c>
      <c r="D7878" s="417" t="s">
        <v>563</v>
      </c>
      <c r="E7878" s="423">
        <v>85.306108924098709</v>
      </c>
      <c r="F7878" s="423">
        <v>4.962805858838264</v>
      </c>
      <c r="G7878" s="422">
        <v>172102.00328991801</v>
      </c>
      <c r="H7878" s="417" t="s">
        <v>2616</v>
      </c>
      <c r="I7878" s="417" t="s">
        <v>1392</v>
      </c>
      <c r="J7878" s="417" t="s">
        <v>3433</v>
      </c>
      <c r="K7878" s="417" t="s">
        <v>18228</v>
      </c>
      <c r="L7878" s="417"/>
      <c r="M7878" s="417" t="s">
        <v>28840</v>
      </c>
    </row>
    <row r="7879" spans="1:13" x14ac:dyDescent="0.25">
      <c r="A7879" s="417" t="s">
        <v>3385</v>
      </c>
      <c r="B7879" s="417" t="s">
        <v>2627</v>
      </c>
      <c r="C7879" s="417" t="s">
        <v>18229</v>
      </c>
      <c r="D7879" s="417" t="s">
        <v>563</v>
      </c>
      <c r="E7879" s="423">
        <v>89.586298822095429</v>
      </c>
      <c r="F7879" s="423">
        <v>5.2895190886515486</v>
      </c>
      <c r="G7879" s="422">
        <v>176821.75472516351</v>
      </c>
      <c r="H7879" s="417" t="s">
        <v>2616</v>
      </c>
      <c r="I7879" s="417" t="s">
        <v>1392</v>
      </c>
      <c r="J7879" s="417" t="s">
        <v>3433</v>
      </c>
      <c r="K7879" s="417" t="s">
        <v>18230</v>
      </c>
      <c r="L7879" s="417"/>
      <c r="M7879" s="417" t="s">
        <v>28840</v>
      </c>
    </row>
    <row r="7880" spans="1:13" x14ac:dyDescent="0.25">
      <c r="A7880" s="417" t="s">
        <v>3385</v>
      </c>
      <c r="B7880" s="417" t="s">
        <v>2627</v>
      </c>
      <c r="C7880" s="417" t="s">
        <v>18231</v>
      </c>
      <c r="D7880" s="417" t="s">
        <v>563</v>
      </c>
      <c r="E7880" s="423">
        <v>89.233843672396958</v>
      </c>
      <c r="F7880" s="423">
        <v>4.9861972536320316</v>
      </c>
      <c r="G7880" s="422">
        <v>174885.6757572678</v>
      </c>
      <c r="H7880" s="417" t="s">
        <v>2616</v>
      </c>
      <c r="I7880" s="417" t="s">
        <v>1392</v>
      </c>
      <c r="J7880" s="417" t="s">
        <v>3433</v>
      </c>
      <c r="K7880" s="417" t="s">
        <v>18232</v>
      </c>
      <c r="L7880" s="417"/>
      <c r="M7880" s="417" t="s">
        <v>28840</v>
      </c>
    </row>
    <row r="7881" spans="1:13" x14ac:dyDescent="0.25">
      <c r="A7881" s="417" t="s">
        <v>3385</v>
      </c>
      <c r="B7881" s="417" t="s">
        <v>2627</v>
      </c>
      <c r="C7881" s="417" t="s">
        <v>18233</v>
      </c>
      <c r="D7881" s="417" t="s">
        <v>563</v>
      </c>
      <c r="E7881" s="423">
        <v>81.254117883606952</v>
      </c>
      <c r="F7881" s="423">
        <v>7.8295681892618578</v>
      </c>
      <c r="G7881" s="422">
        <v>164062.7692493659</v>
      </c>
      <c r="H7881" s="417" t="s">
        <v>2616</v>
      </c>
      <c r="I7881" s="417" t="s">
        <v>1392</v>
      </c>
      <c r="J7881" s="417" t="s">
        <v>13214</v>
      </c>
      <c r="K7881" s="417" t="s">
        <v>18234</v>
      </c>
      <c r="L7881" s="417"/>
      <c r="M7881" s="417" t="s">
        <v>28840</v>
      </c>
    </row>
    <row r="7882" spans="1:13" x14ac:dyDescent="0.25">
      <c r="A7882" s="417" t="s">
        <v>3385</v>
      </c>
      <c r="B7882" s="417" t="s">
        <v>2627</v>
      </c>
      <c r="C7882" s="417" t="s">
        <v>18235</v>
      </c>
      <c r="D7882" s="417" t="s">
        <v>563</v>
      </c>
      <c r="E7882" s="423">
        <v>93.698800170477909</v>
      </c>
      <c r="F7882" s="423">
        <v>5.4712231412034322</v>
      </c>
      <c r="G7882" s="422">
        <v>181372.34290750761</v>
      </c>
      <c r="H7882" s="417" t="s">
        <v>2616</v>
      </c>
      <c r="I7882" s="417" t="s">
        <v>1392</v>
      </c>
      <c r="J7882" s="417" t="s">
        <v>3433</v>
      </c>
      <c r="K7882" s="417" t="s">
        <v>18236</v>
      </c>
      <c r="L7882" s="417"/>
      <c r="M7882" s="417" t="s">
        <v>28840</v>
      </c>
    </row>
    <row r="7883" spans="1:13" x14ac:dyDescent="0.25">
      <c r="A7883" s="417" t="s">
        <v>3385</v>
      </c>
      <c r="B7883" s="417" t="s">
        <v>2627</v>
      </c>
      <c r="C7883" s="417" t="s">
        <v>18237</v>
      </c>
      <c r="D7883" s="417" t="s">
        <v>563</v>
      </c>
      <c r="E7883" s="423">
        <v>99.18725991014368</v>
      </c>
      <c r="F7883" s="423">
        <v>5.5149980839087487</v>
      </c>
      <c r="G7883" s="422">
        <v>181827.91026540249</v>
      </c>
      <c r="H7883" s="417" t="s">
        <v>2616</v>
      </c>
      <c r="I7883" s="417" t="s">
        <v>1392</v>
      </c>
      <c r="J7883" s="417" t="s">
        <v>3433</v>
      </c>
      <c r="K7883" s="417" t="s">
        <v>18238</v>
      </c>
      <c r="L7883" s="417"/>
      <c r="M7883" s="417" t="s">
        <v>28840</v>
      </c>
    </row>
    <row r="7884" spans="1:13" x14ac:dyDescent="0.25">
      <c r="A7884" s="417" t="s">
        <v>3385</v>
      </c>
      <c r="B7884" s="417" t="s">
        <v>2627</v>
      </c>
      <c r="C7884" s="417" t="s">
        <v>18239</v>
      </c>
      <c r="D7884" s="417" t="s">
        <v>563</v>
      </c>
      <c r="E7884" s="423">
        <v>86.598700412326735</v>
      </c>
      <c r="F7884" s="423">
        <v>5.8767515067840224</v>
      </c>
      <c r="G7884" s="422">
        <v>172609.82026511399</v>
      </c>
      <c r="H7884" s="417" t="s">
        <v>2616</v>
      </c>
      <c r="I7884" s="417" t="s">
        <v>1392</v>
      </c>
      <c r="J7884" s="417" t="s">
        <v>3433</v>
      </c>
      <c r="K7884" s="417" t="s">
        <v>18240</v>
      </c>
      <c r="L7884" s="417"/>
      <c r="M7884" s="417" t="s">
        <v>28840</v>
      </c>
    </row>
    <row r="7885" spans="1:13" x14ac:dyDescent="0.25">
      <c r="A7885" s="417" t="s">
        <v>3385</v>
      </c>
      <c r="B7885" s="417" t="s">
        <v>2627</v>
      </c>
      <c r="C7885" s="417" t="s">
        <v>18241</v>
      </c>
      <c r="D7885" s="417" t="s">
        <v>563</v>
      </c>
      <c r="E7885" s="423">
        <v>91.743396607586803</v>
      </c>
      <c r="F7885" s="423">
        <v>5.3885365077241536</v>
      </c>
      <c r="G7885" s="422">
        <v>177665.46853057461</v>
      </c>
      <c r="H7885" s="417" t="s">
        <v>2616</v>
      </c>
      <c r="I7885" s="417" t="s">
        <v>1392</v>
      </c>
      <c r="J7885" s="417" t="s">
        <v>3433</v>
      </c>
      <c r="K7885" s="417" t="s">
        <v>18242</v>
      </c>
      <c r="L7885" s="417"/>
      <c r="M7885" s="417" t="s">
        <v>28840</v>
      </c>
    </row>
    <row r="7886" spans="1:13" x14ac:dyDescent="0.25">
      <c r="A7886" s="417" t="s">
        <v>3385</v>
      </c>
      <c r="B7886" s="417" t="s">
        <v>2627</v>
      </c>
      <c r="C7886" s="417" t="s">
        <v>18243</v>
      </c>
      <c r="D7886" s="417" t="s">
        <v>563</v>
      </c>
      <c r="E7886" s="423">
        <v>94.576838764744153</v>
      </c>
      <c r="F7886" s="423">
        <v>5.4912610944032103</v>
      </c>
      <c r="G7886" s="422">
        <v>181825.24585933529</v>
      </c>
      <c r="H7886" s="417" t="s">
        <v>2616</v>
      </c>
      <c r="I7886" s="417" t="s">
        <v>1392</v>
      </c>
      <c r="J7886" s="417" t="s">
        <v>3433</v>
      </c>
      <c r="K7886" s="417" t="s">
        <v>18244</v>
      </c>
      <c r="L7886" s="417"/>
      <c r="M7886" s="417" t="s">
        <v>28840</v>
      </c>
    </row>
    <row r="7887" spans="1:13" x14ac:dyDescent="0.25">
      <c r="A7887" s="417" t="s">
        <v>3385</v>
      </c>
      <c r="B7887" s="417" t="s">
        <v>2627</v>
      </c>
      <c r="C7887" s="417" t="s">
        <v>18245</v>
      </c>
      <c r="D7887" s="417" t="s">
        <v>563</v>
      </c>
      <c r="E7887" s="423">
        <v>98.808161676429563</v>
      </c>
      <c r="F7887" s="423">
        <v>5.8241034386400798</v>
      </c>
      <c r="G7887" s="422">
        <v>185701.76479021541</v>
      </c>
      <c r="H7887" s="417" t="s">
        <v>2616</v>
      </c>
      <c r="I7887" s="417" t="s">
        <v>1392</v>
      </c>
      <c r="J7887" s="417" t="s">
        <v>3433</v>
      </c>
      <c r="K7887" s="417" t="s">
        <v>18246</v>
      </c>
      <c r="L7887" s="417"/>
      <c r="M7887" s="417" t="s">
        <v>28840</v>
      </c>
    </row>
    <row r="7888" spans="1:13" x14ac:dyDescent="0.25">
      <c r="A7888" s="417" t="s">
        <v>3385</v>
      </c>
      <c r="B7888" s="417" t="s">
        <v>2627</v>
      </c>
      <c r="C7888" s="417" t="s">
        <v>18247</v>
      </c>
      <c r="D7888" s="417" t="s">
        <v>563</v>
      </c>
      <c r="E7888" s="423">
        <v>98.638864061899412</v>
      </c>
      <c r="F7888" s="423">
        <v>5.5132379968189049</v>
      </c>
      <c r="G7888" s="422">
        <v>183926.78319493361</v>
      </c>
      <c r="H7888" s="417" t="s">
        <v>2616</v>
      </c>
      <c r="I7888" s="417" t="s">
        <v>1392</v>
      </c>
      <c r="J7888" s="417" t="s">
        <v>3433</v>
      </c>
      <c r="K7888" s="417" t="s">
        <v>18248</v>
      </c>
      <c r="L7888" s="417"/>
      <c r="M7888" s="417" t="s">
        <v>28840</v>
      </c>
    </row>
    <row r="7889" spans="1:13" x14ac:dyDescent="0.25">
      <c r="A7889" s="417" t="s">
        <v>3385</v>
      </c>
      <c r="B7889" s="417" t="s">
        <v>2627</v>
      </c>
      <c r="C7889" s="417" t="s">
        <v>18249</v>
      </c>
      <c r="D7889" s="417" t="s">
        <v>989</v>
      </c>
      <c r="E7889" s="423">
        <v>236488.29969865669</v>
      </c>
      <c r="F7889" s="423">
        <v>71481.789611749104</v>
      </c>
      <c r="G7889" s="422">
        <v>564664302.10621786</v>
      </c>
      <c r="H7889" s="417" t="s">
        <v>2616</v>
      </c>
      <c r="I7889" s="417" t="s">
        <v>1392</v>
      </c>
      <c r="J7889" s="417" t="s">
        <v>3433</v>
      </c>
      <c r="K7889" s="417" t="s">
        <v>18250</v>
      </c>
      <c r="L7889" s="417"/>
      <c r="M7889" s="417" t="s">
        <v>28840</v>
      </c>
    </row>
    <row r="7890" spans="1:13" x14ac:dyDescent="0.25">
      <c r="A7890" s="417" t="s">
        <v>3385</v>
      </c>
      <c r="B7890" s="417" t="s">
        <v>2627</v>
      </c>
      <c r="C7890" s="417" t="s">
        <v>18251</v>
      </c>
      <c r="D7890" s="417" t="s">
        <v>989</v>
      </c>
      <c r="E7890" s="423">
        <v>236488.29970224289</v>
      </c>
      <c r="F7890" s="423">
        <v>71481.789611777</v>
      </c>
      <c r="G7890" s="422">
        <v>545222866.25116551</v>
      </c>
      <c r="H7890" s="417" t="s">
        <v>2616</v>
      </c>
      <c r="I7890" s="417" t="s">
        <v>1392</v>
      </c>
      <c r="J7890" s="417" t="s">
        <v>3433</v>
      </c>
      <c r="K7890" s="417" t="s">
        <v>18252</v>
      </c>
      <c r="L7890" s="417"/>
      <c r="M7890" s="417" t="s">
        <v>28840</v>
      </c>
    </row>
    <row r="7891" spans="1:13" x14ac:dyDescent="0.25">
      <c r="A7891" s="417" t="s">
        <v>3385</v>
      </c>
      <c r="B7891" s="417" t="s">
        <v>3405</v>
      </c>
      <c r="C7891" s="417" t="s">
        <v>18253</v>
      </c>
      <c r="D7891" s="417" t="s">
        <v>563</v>
      </c>
      <c r="E7891" s="423">
        <v>106.1888455285666</v>
      </c>
      <c r="F7891" s="423">
        <v>5.8596305306898584</v>
      </c>
      <c r="G7891" s="422">
        <v>207966.18588217959</v>
      </c>
      <c r="H7891" s="417" t="s">
        <v>2616</v>
      </c>
      <c r="I7891" s="417" t="s">
        <v>1392</v>
      </c>
      <c r="J7891" s="417" t="s">
        <v>3414</v>
      </c>
      <c r="K7891" s="417" t="s">
        <v>18254</v>
      </c>
      <c r="L7891" s="417"/>
      <c r="M7891" s="417" t="s">
        <v>28840</v>
      </c>
    </row>
    <row r="7892" spans="1:13" x14ac:dyDescent="0.25">
      <c r="A7892" s="417" t="s">
        <v>3385</v>
      </c>
      <c r="B7892" s="417" t="s">
        <v>3405</v>
      </c>
      <c r="C7892" s="417" t="s">
        <v>18255</v>
      </c>
      <c r="D7892" s="417" t="s">
        <v>563</v>
      </c>
      <c r="E7892" s="423">
        <v>110.05806094857719</v>
      </c>
      <c r="F7892" s="423">
        <v>5.8256210957322514</v>
      </c>
      <c r="G7892" s="422">
        <v>208270.62110017039</v>
      </c>
      <c r="H7892" s="417" t="s">
        <v>2616</v>
      </c>
      <c r="I7892" s="417" t="s">
        <v>1392</v>
      </c>
      <c r="J7892" s="417" t="s">
        <v>3414</v>
      </c>
      <c r="K7892" s="417" t="s">
        <v>18256</v>
      </c>
      <c r="L7892" s="417"/>
      <c r="M7892" s="417" t="s">
        <v>28840</v>
      </c>
    </row>
    <row r="7893" spans="1:13" x14ac:dyDescent="0.25">
      <c r="A7893" s="417" t="s">
        <v>3385</v>
      </c>
      <c r="B7893" s="417" t="s">
        <v>3405</v>
      </c>
      <c r="C7893" s="417" t="s">
        <v>18257</v>
      </c>
      <c r="D7893" s="417" t="s">
        <v>563</v>
      </c>
      <c r="E7893" s="423">
        <v>85.638383639951599</v>
      </c>
      <c r="F7893" s="423">
        <v>6.7192851625016274</v>
      </c>
      <c r="G7893" s="422">
        <v>182579.08747303189</v>
      </c>
      <c r="H7893" s="417" t="s">
        <v>2616</v>
      </c>
      <c r="I7893" s="417" t="s">
        <v>1392</v>
      </c>
      <c r="J7893" s="417" t="s">
        <v>3414</v>
      </c>
      <c r="K7893" s="417" t="s">
        <v>18258</v>
      </c>
      <c r="L7893" s="417"/>
      <c r="M7893" s="417" t="s">
        <v>28840</v>
      </c>
    </row>
    <row r="7894" spans="1:13" x14ac:dyDescent="0.25">
      <c r="A7894" s="417" t="s">
        <v>3385</v>
      </c>
      <c r="B7894" s="417" t="s">
        <v>3405</v>
      </c>
      <c r="C7894" s="417" t="s">
        <v>18259</v>
      </c>
      <c r="D7894" s="417" t="s">
        <v>563</v>
      </c>
      <c r="E7894" s="423">
        <v>110.8654784156633</v>
      </c>
      <c r="F7894" s="423">
        <v>6.0585224878645452</v>
      </c>
      <c r="G7894" s="422">
        <v>215375.6242307761</v>
      </c>
      <c r="H7894" s="417" t="s">
        <v>2616</v>
      </c>
      <c r="I7894" s="417" t="s">
        <v>1392</v>
      </c>
      <c r="J7894" s="417" t="s">
        <v>3414</v>
      </c>
      <c r="K7894" s="417" t="s">
        <v>18260</v>
      </c>
      <c r="L7894" s="417"/>
      <c r="M7894" s="417" t="s">
        <v>28840</v>
      </c>
    </row>
    <row r="7895" spans="1:13" x14ac:dyDescent="0.25">
      <c r="A7895" s="417" t="s">
        <v>3385</v>
      </c>
      <c r="B7895" s="417" t="s">
        <v>2627</v>
      </c>
      <c r="C7895" s="417" t="s">
        <v>18261</v>
      </c>
      <c r="D7895" s="417" t="s">
        <v>563</v>
      </c>
      <c r="E7895" s="423">
        <v>61.731772779462787</v>
      </c>
      <c r="F7895" s="423">
        <v>1.744542234944223</v>
      </c>
      <c r="G7895" s="422">
        <v>117714.0532945598</v>
      </c>
      <c r="H7895" s="417" t="s">
        <v>2616</v>
      </c>
      <c r="I7895" s="417" t="s">
        <v>1392</v>
      </c>
      <c r="J7895" s="417" t="s">
        <v>3433</v>
      </c>
      <c r="K7895" s="417" t="s">
        <v>18262</v>
      </c>
      <c r="L7895" s="417"/>
      <c r="M7895" s="417" t="s">
        <v>28840</v>
      </c>
    </row>
    <row r="7896" spans="1:13" x14ac:dyDescent="0.25">
      <c r="A7896" s="417" t="s">
        <v>3385</v>
      </c>
      <c r="B7896" s="417" t="s">
        <v>2627</v>
      </c>
      <c r="C7896" s="417" t="s">
        <v>18263</v>
      </c>
      <c r="D7896" s="417" t="s">
        <v>563</v>
      </c>
      <c r="E7896" s="423">
        <v>70.715094078093699</v>
      </c>
      <c r="F7896" s="423">
        <v>5.0750482587436192</v>
      </c>
      <c r="G7896" s="422">
        <v>132501.83362622949</v>
      </c>
      <c r="H7896" s="417" t="s">
        <v>2616</v>
      </c>
      <c r="I7896" s="417" t="s">
        <v>1392</v>
      </c>
      <c r="J7896" s="417" t="s">
        <v>3433</v>
      </c>
      <c r="K7896" s="417" t="s">
        <v>18264</v>
      </c>
      <c r="L7896" s="417"/>
      <c r="M7896" s="417" t="s">
        <v>28840</v>
      </c>
    </row>
    <row r="7897" spans="1:13" x14ac:dyDescent="0.25">
      <c r="A7897" s="417" t="s">
        <v>3385</v>
      </c>
      <c r="B7897" s="417" t="s">
        <v>2627</v>
      </c>
      <c r="C7897" s="417" t="s">
        <v>18265</v>
      </c>
      <c r="D7897" s="417" t="s">
        <v>563</v>
      </c>
      <c r="E7897" s="423">
        <v>75.49927977198692</v>
      </c>
      <c r="F7897" s="423">
        <v>5.3963632828611674</v>
      </c>
      <c r="G7897" s="422">
        <v>142438.3539411517</v>
      </c>
      <c r="H7897" s="417" t="s">
        <v>2616</v>
      </c>
      <c r="I7897" s="417" t="s">
        <v>1392</v>
      </c>
      <c r="J7897" s="417" t="s">
        <v>3499</v>
      </c>
      <c r="K7897" s="417" t="s">
        <v>18266</v>
      </c>
      <c r="L7897" s="417"/>
      <c r="M7897" s="417" t="s">
        <v>28840</v>
      </c>
    </row>
    <row r="7898" spans="1:13" x14ac:dyDescent="0.25">
      <c r="A7898" s="417" t="s">
        <v>3385</v>
      </c>
      <c r="B7898" s="417" t="s">
        <v>2627</v>
      </c>
      <c r="C7898" s="417" t="s">
        <v>18267</v>
      </c>
      <c r="D7898" s="417" t="s">
        <v>563</v>
      </c>
      <c r="E7898" s="423">
        <v>83.134505955866416</v>
      </c>
      <c r="F7898" s="423">
        <v>4.9612949335538463</v>
      </c>
      <c r="G7898" s="422">
        <v>155498.95585777881</v>
      </c>
      <c r="H7898" s="417" t="s">
        <v>2616</v>
      </c>
      <c r="I7898" s="417" t="s">
        <v>1392</v>
      </c>
      <c r="J7898" s="417" t="s">
        <v>3433</v>
      </c>
      <c r="K7898" s="417" t="s">
        <v>18268</v>
      </c>
      <c r="L7898" s="417"/>
      <c r="M7898" s="417" t="s">
        <v>28840</v>
      </c>
    </row>
    <row r="7899" spans="1:13" x14ac:dyDescent="0.25">
      <c r="A7899" s="417" t="s">
        <v>3385</v>
      </c>
      <c r="B7899" s="417" t="s">
        <v>2627</v>
      </c>
      <c r="C7899" s="417" t="s">
        <v>18269</v>
      </c>
      <c r="D7899" s="417" t="s">
        <v>563</v>
      </c>
      <c r="E7899" s="423">
        <v>67.795790499504903</v>
      </c>
      <c r="F7899" s="423">
        <v>4.5692437773758048</v>
      </c>
      <c r="G7899" s="422">
        <v>122220.788515843</v>
      </c>
      <c r="H7899" s="417" t="s">
        <v>2616</v>
      </c>
      <c r="I7899" s="417" t="s">
        <v>1392</v>
      </c>
      <c r="J7899" s="417" t="s">
        <v>3433</v>
      </c>
      <c r="K7899" s="417" t="s">
        <v>18270</v>
      </c>
      <c r="L7899" s="417"/>
      <c r="M7899" s="417" t="s">
        <v>28840</v>
      </c>
    </row>
    <row r="7900" spans="1:13" x14ac:dyDescent="0.25">
      <c r="A7900" s="417" t="s">
        <v>3385</v>
      </c>
      <c r="B7900" s="417" t="s">
        <v>2627</v>
      </c>
      <c r="C7900" s="417" t="s">
        <v>18271</v>
      </c>
      <c r="D7900" s="417" t="s">
        <v>563</v>
      </c>
      <c r="E7900" s="423">
        <v>96.66851302235807</v>
      </c>
      <c r="F7900" s="423">
        <v>3.2336875878132378</v>
      </c>
      <c r="G7900" s="422">
        <v>160109.36984941259</v>
      </c>
      <c r="H7900" s="417" t="s">
        <v>2616</v>
      </c>
      <c r="I7900" s="417" t="s">
        <v>1392</v>
      </c>
      <c r="J7900" s="417" t="s">
        <v>3499</v>
      </c>
      <c r="K7900" s="417" t="s">
        <v>18272</v>
      </c>
      <c r="L7900" s="417"/>
      <c r="M7900" s="417" t="s">
        <v>28840</v>
      </c>
    </row>
    <row r="7901" spans="1:13" x14ac:dyDescent="0.25">
      <c r="A7901" s="417" t="s">
        <v>3385</v>
      </c>
      <c r="B7901" s="417" t="s">
        <v>2627</v>
      </c>
      <c r="C7901" s="417" t="s">
        <v>18273</v>
      </c>
      <c r="D7901" s="417" t="s">
        <v>563</v>
      </c>
      <c r="E7901" s="423">
        <v>101.9016390159899</v>
      </c>
      <c r="F7901" s="423">
        <v>3.5536838792845029</v>
      </c>
      <c r="G7901" s="422">
        <v>171170.9600675703</v>
      </c>
      <c r="H7901" s="417" t="s">
        <v>2616</v>
      </c>
      <c r="I7901" s="417" t="s">
        <v>1392</v>
      </c>
      <c r="J7901" s="417" t="s">
        <v>3499</v>
      </c>
      <c r="K7901" s="417" t="s">
        <v>18274</v>
      </c>
      <c r="L7901" s="417"/>
      <c r="M7901" s="417" t="s">
        <v>28840</v>
      </c>
    </row>
    <row r="7902" spans="1:13" x14ac:dyDescent="0.25">
      <c r="A7902" s="417" t="s">
        <v>3385</v>
      </c>
      <c r="B7902" s="417" t="s">
        <v>2627</v>
      </c>
      <c r="C7902" s="417" t="s">
        <v>18275</v>
      </c>
      <c r="D7902" s="417" t="s">
        <v>563</v>
      </c>
      <c r="E7902" s="423">
        <v>99.270455928431559</v>
      </c>
      <c r="F7902" s="423">
        <v>5.3211365654731422</v>
      </c>
      <c r="G7902" s="422">
        <v>203658.76431748169</v>
      </c>
      <c r="H7902" s="417" t="s">
        <v>2616</v>
      </c>
      <c r="I7902" s="417" t="s">
        <v>1392</v>
      </c>
      <c r="J7902" s="417" t="s">
        <v>3433</v>
      </c>
      <c r="K7902" s="417" t="s">
        <v>18276</v>
      </c>
      <c r="L7902" s="417"/>
      <c r="M7902" s="417" t="s">
        <v>28840</v>
      </c>
    </row>
    <row r="7903" spans="1:13" x14ac:dyDescent="0.25">
      <c r="A7903" s="417" t="s">
        <v>3385</v>
      </c>
      <c r="B7903" s="417" t="s">
        <v>2627</v>
      </c>
      <c r="C7903" s="417" t="s">
        <v>18277</v>
      </c>
      <c r="D7903" s="417" t="s">
        <v>563</v>
      </c>
      <c r="E7903" s="423">
        <v>104.5446132758657</v>
      </c>
      <c r="F7903" s="423">
        <v>5.3671534770030167</v>
      </c>
      <c r="G7903" s="422">
        <v>205169.7989158626</v>
      </c>
      <c r="H7903" s="417" t="s">
        <v>2616</v>
      </c>
      <c r="I7903" s="417" t="s">
        <v>1392</v>
      </c>
      <c r="J7903" s="417" t="s">
        <v>3433</v>
      </c>
      <c r="K7903" s="417" t="s">
        <v>18278</v>
      </c>
      <c r="L7903" s="417"/>
      <c r="M7903" s="417" t="s">
        <v>28840</v>
      </c>
    </row>
    <row r="7904" spans="1:13" x14ac:dyDescent="0.25">
      <c r="A7904" s="417" t="s">
        <v>3385</v>
      </c>
      <c r="B7904" s="417" t="s">
        <v>2627</v>
      </c>
      <c r="C7904" s="417" t="s">
        <v>18279</v>
      </c>
      <c r="D7904" s="417" t="s">
        <v>563</v>
      </c>
      <c r="E7904" s="423">
        <v>92.787412853046547</v>
      </c>
      <c r="F7904" s="423">
        <v>5.6979748511893984</v>
      </c>
      <c r="G7904" s="422">
        <v>195613.7960097355</v>
      </c>
      <c r="H7904" s="417" t="s">
        <v>2616</v>
      </c>
      <c r="I7904" s="417" t="s">
        <v>1392</v>
      </c>
      <c r="J7904" s="417" t="s">
        <v>3433</v>
      </c>
      <c r="K7904" s="417" t="s">
        <v>18280</v>
      </c>
      <c r="L7904" s="417"/>
      <c r="M7904" s="417" t="s">
        <v>28840</v>
      </c>
    </row>
    <row r="7905" spans="1:13" x14ac:dyDescent="0.25">
      <c r="A7905" s="417" t="s">
        <v>3385</v>
      </c>
      <c r="B7905" s="417" t="s">
        <v>2627</v>
      </c>
      <c r="C7905" s="417" t="s">
        <v>18281</v>
      </c>
      <c r="D7905" s="417" t="s">
        <v>563</v>
      </c>
      <c r="E7905" s="423">
        <v>97.29979260298191</v>
      </c>
      <c r="F7905" s="423">
        <v>5.2383878082929307</v>
      </c>
      <c r="G7905" s="422">
        <v>200030.26557777941</v>
      </c>
      <c r="H7905" s="417" t="s">
        <v>2616</v>
      </c>
      <c r="I7905" s="417" t="s">
        <v>1392</v>
      </c>
      <c r="J7905" s="417" t="s">
        <v>3433</v>
      </c>
      <c r="K7905" s="417" t="s">
        <v>18282</v>
      </c>
      <c r="L7905" s="417"/>
      <c r="M7905" s="417" t="s">
        <v>28840</v>
      </c>
    </row>
    <row r="7906" spans="1:13" x14ac:dyDescent="0.25">
      <c r="A7906" s="417" t="s">
        <v>3385</v>
      </c>
      <c r="B7906" s="417" t="s">
        <v>2627</v>
      </c>
      <c r="C7906" s="417" t="s">
        <v>18283</v>
      </c>
      <c r="D7906" s="417" t="s">
        <v>563</v>
      </c>
      <c r="E7906" s="423">
        <v>100.1573873757857</v>
      </c>
      <c r="F7906" s="423">
        <v>5.344260544474869</v>
      </c>
      <c r="G7906" s="422">
        <v>204321.11027077111</v>
      </c>
      <c r="H7906" s="417" t="s">
        <v>2616</v>
      </c>
      <c r="I7906" s="417" t="s">
        <v>1392</v>
      </c>
      <c r="J7906" s="417" t="s">
        <v>3433</v>
      </c>
      <c r="K7906" s="417" t="s">
        <v>18284</v>
      </c>
      <c r="L7906" s="417"/>
      <c r="M7906" s="417" t="s">
        <v>28840</v>
      </c>
    </row>
    <row r="7907" spans="1:13" x14ac:dyDescent="0.25">
      <c r="A7907" s="417" t="s">
        <v>3385</v>
      </c>
      <c r="B7907" s="417" t="s">
        <v>2627</v>
      </c>
      <c r="C7907" s="417" t="s">
        <v>18285</v>
      </c>
      <c r="D7907" s="417" t="s">
        <v>563</v>
      </c>
      <c r="E7907" s="423">
        <v>104.9922646642169</v>
      </c>
      <c r="F7907" s="423">
        <v>5.7081306145423838</v>
      </c>
      <c r="G7907" s="422">
        <v>210189.4034519103</v>
      </c>
      <c r="H7907" s="417" t="s">
        <v>2616</v>
      </c>
      <c r="I7907" s="417" t="s">
        <v>1392</v>
      </c>
      <c r="J7907" s="417" t="s">
        <v>3433</v>
      </c>
      <c r="K7907" s="417" t="s">
        <v>18286</v>
      </c>
      <c r="L7907" s="417"/>
      <c r="M7907" s="417" t="s">
        <v>28840</v>
      </c>
    </row>
    <row r="7908" spans="1:13" x14ac:dyDescent="0.25">
      <c r="A7908" s="417" t="s">
        <v>3385</v>
      </c>
      <c r="B7908" s="417" t="s">
        <v>2627</v>
      </c>
      <c r="C7908" s="417" t="s">
        <v>18287</v>
      </c>
      <c r="D7908" s="417" t="s">
        <v>563</v>
      </c>
      <c r="E7908" s="423">
        <v>104.3036578005012</v>
      </c>
      <c r="F7908" s="423">
        <v>5.3706393613982426</v>
      </c>
      <c r="G7908" s="422">
        <v>207630.22885544581</v>
      </c>
      <c r="H7908" s="417" t="s">
        <v>2616</v>
      </c>
      <c r="I7908" s="417" t="s">
        <v>1392</v>
      </c>
      <c r="J7908" s="417" t="s">
        <v>3433</v>
      </c>
      <c r="K7908" s="417" t="s">
        <v>18288</v>
      </c>
      <c r="L7908" s="417"/>
      <c r="M7908" s="417" t="s">
        <v>28840</v>
      </c>
    </row>
    <row r="7909" spans="1:13" x14ac:dyDescent="0.25">
      <c r="A7909" s="417" t="s">
        <v>3385</v>
      </c>
      <c r="B7909" s="417" t="s">
        <v>2627</v>
      </c>
      <c r="C7909" s="417" t="s">
        <v>18289</v>
      </c>
      <c r="D7909" s="417" t="s">
        <v>563</v>
      </c>
      <c r="E7909" s="423">
        <v>120.6566839444734</v>
      </c>
      <c r="F7909" s="423">
        <v>7.0776277193873369</v>
      </c>
      <c r="G7909" s="422">
        <v>247684.94004140451</v>
      </c>
      <c r="H7909" s="417" t="s">
        <v>2616</v>
      </c>
      <c r="I7909" s="417" t="s">
        <v>1392</v>
      </c>
      <c r="J7909" s="417" t="s">
        <v>3433</v>
      </c>
      <c r="K7909" s="417" t="s">
        <v>18290</v>
      </c>
      <c r="L7909" s="417"/>
      <c r="M7909" s="417" t="s">
        <v>28840</v>
      </c>
    </row>
    <row r="7910" spans="1:13" x14ac:dyDescent="0.25">
      <c r="A7910" s="417" t="s">
        <v>3385</v>
      </c>
      <c r="B7910" s="417" t="s">
        <v>2627</v>
      </c>
      <c r="C7910" s="417" t="s">
        <v>18291</v>
      </c>
      <c r="D7910" s="417" t="s">
        <v>563</v>
      </c>
      <c r="E7910" s="423">
        <v>99.586665159789689</v>
      </c>
      <c r="F7910" s="423">
        <v>8.2981399609203699</v>
      </c>
      <c r="G7910" s="422">
        <v>203836.2178850921</v>
      </c>
      <c r="H7910" s="417" t="s">
        <v>2616</v>
      </c>
      <c r="I7910" s="417" t="s">
        <v>1392</v>
      </c>
      <c r="J7910" s="417" t="s">
        <v>13214</v>
      </c>
      <c r="K7910" s="417" t="s">
        <v>18292</v>
      </c>
      <c r="L7910" s="417"/>
      <c r="M7910" s="417" t="s">
        <v>28840</v>
      </c>
    </row>
    <row r="7911" spans="1:13" x14ac:dyDescent="0.25">
      <c r="A7911" s="417" t="s">
        <v>3385</v>
      </c>
      <c r="B7911" s="417" t="s">
        <v>2627</v>
      </c>
      <c r="C7911" s="417" t="s">
        <v>18293</v>
      </c>
      <c r="D7911" s="417" t="s">
        <v>563</v>
      </c>
      <c r="E7911" s="423">
        <v>108.51460487510219</v>
      </c>
      <c r="F7911" s="423">
        <v>5.8499089168947016</v>
      </c>
      <c r="G7911" s="422">
        <v>213516.02724908531</v>
      </c>
      <c r="H7911" s="417" t="s">
        <v>2616</v>
      </c>
      <c r="I7911" s="417" t="s">
        <v>1392</v>
      </c>
      <c r="J7911" s="417" t="s">
        <v>3433</v>
      </c>
      <c r="K7911" s="417" t="s">
        <v>18294</v>
      </c>
      <c r="L7911" s="417"/>
      <c r="M7911" s="417" t="s">
        <v>28840</v>
      </c>
    </row>
    <row r="7912" spans="1:13" x14ac:dyDescent="0.25">
      <c r="A7912" s="417" t="s">
        <v>3385</v>
      </c>
      <c r="B7912" s="417" t="s">
        <v>2627</v>
      </c>
      <c r="C7912" s="417" t="s">
        <v>18295</v>
      </c>
      <c r="D7912" s="417" t="s">
        <v>563</v>
      </c>
      <c r="E7912" s="423">
        <v>114.003064616545</v>
      </c>
      <c r="F7912" s="423">
        <v>5.8936838600081938</v>
      </c>
      <c r="G7912" s="422">
        <v>213971.5946210885</v>
      </c>
      <c r="H7912" s="417" t="s">
        <v>2616</v>
      </c>
      <c r="I7912" s="417" t="s">
        <v>1392</v>
      </c>
      <c r="J7912" s="417" t="s">
        <v>3433</v>
      </c>
      <c r="K7912" s="417" t="s">
        <v>18296</v>
      </c>
      <c r="L7912" s="417"/>
      <c r="M7912" s="417" t="s">
        <v>28840</v>
      </c>
    </row>
    <row r="7913" spans="1:13" x14ac:dyDescent="0.25">
      <c r="A7913" s="417" t="s">
        <v>3385</v>
      </c>
      <c r="B7913" s="417" t="s">
        <v>2627</v>
      </c>
      <c r="C7913" s="417" t="s">
        <v>18297</v>
      </c>
      <c r="D7913" s="417" t="s">
        <v>563</v>
      </c>
      <c r="E7913" s="423">
        <v>101.4145051140648</v>
      </c>
      <c r="F7913" s="423">
        <v>6.2554372820814717</v>
      </c>
      <c r="G7913" s="422">
        <v>204753.5046083114</v>
      </c>
      <c r="H7913" s="417" t="s">
        <v>2616</v>
      </c>
      <c r="I7913" s="417" t="s">
        <v>1392</v>
      </c>
      <c r="J7913" s="417" t="s">
        <v>3433</v>
      </c>
      <c r="K7913" s="417" t="s">
        <v>18298</v>
      </c>
      <c r="L7913" s="417"/>
      <c r="M7913" s="417" t="s">
        <v>28840</v>
      </c>
    </row>
    <row r="7914" spans="1:13" x14ac:dyDescent="0.25">
      <c r="A7914" s="417" t="s">
        <v>3385</v>
      </c>
      <c r="B7914" s="417" t="s">
        <v>2627</v>
      </c>
      <c r="C7914" s="417" t="s">
        <v>18299</v>
      </c>
      <c r="D7914" s="417" t="s">
        <v>563</v>
      </c>
      <c r="E7914" s="423">
        <v>106.5592013093372</v>
      </c>
      <c r="F7914" s="423">
        <v>5.7672222830837718</v>
      </c>
      <c r="G7914" s="422">
        <v>209809.15290108911</v>
      </c>
      <c r="H7914" s="417" t="s">
        <v>2616</v>
      </c>
      <c r="I7914" s="417" t="s">
        <v>1392</v>
      </c>
      <c r="J7914" s="417" t="s">
        <v>3433</v>
      </c>
      <c r="K7914" s="417" t="s">
        <v>18300</v>
      </c>
      <c r="L7914" s="417"/>
      <c r="M7914" s="417" t="s">
        <v>28840</v>
      </c>
    </row>
    <row r="7915" spans="1:13" x14ac:dyDescent="0.25">
      <c r="A7915" s="417" t="s">
        <v>3385</v>
      </c>
      <c r="B7915" s="417" t="s">
        <v>2627</v>
      </c>
      <c r="C7915" s="417" t="s">
        <v>18301</v>
      </c>
      <c r="D7915" s="417" t="s">
        <v>563</v>
      </c>
      <c r="E7915" s="423">
        <v>109.4281165373086</v>
      </c>
      <c r="F7915" s="423">
        <v>5.8727157732943631</v>
      </c>
      <c r="G7915" s="422">
        <v>214044.35120696039</v>
      </c>
      <c r="H7915" s="417" t="s">
        <v>2616</v>
      </c>
      <c r="I7915" s="417" t="s">
        <v>1392</v>
      </c>
      <c r="J7915" s="417" t="s">
        <v>3433</v>
      </c>
      <c r="K7915" s="417" t="s">
        <v>18302</v>
      </c>
      <c r="L7915" s="417"/>
      <c r="M7915" s="417" t="s">
        <v>28840</v>
      </c>
    </row>
    <row r="7916" spans="1:13" x14ac:dyDescent="0.25">
      <c r="A7916" s="417" t="s">
        <v>3385</v>
      </c>
      <c r="B7916" s="417" t="s">
        <v>2627</v>
      </c>
      <c r="C7916" s="417" t="s">
        <v>18303</v>
      </c>
      <c r="D7916" s="417" t="s">
        <v>563</v>
      </c>
      <c r="E7916" s="423">
        <v>114.21400742059519</v>
      </c>
      <c r="F7916" s="423">
        <v>6.2426974236812756</v>
      </c>
      <c r="G7916" s="422">
        <v>219069.22201929349</v>
      </c>
      <c r="H7916" s="417" t="s">
        <v>2616</v>
      </c>
      <c r="I7916" s="417" t="s">
        <v>1392</v>
      </c>
      <c r="J7916" s="417" t="s">
        <v>3433</v>
      </c>
      <c r="K7916" s="417" t="s">
        <v>18304</v>
      </c>
      <c r="L7916" s="417"/>
      <c r="M7916" s="417" t="s">
        <v>28840</v>
      </c>
    </row>
    <row r="7917" spans="1:13" x14ac:dyDescent="0.25">
      <c r="A7917" s="417" t="s">
        <v>3385</v>
      </c>
      <c r="B7917" s="417" t="s">
        <v>2627</v>
      </c>
      <c r="C7917" s="417" t="s">
        <v>18305</v>
      </c>
      <c r="D7917" s="417" t="s">
        <v>563</v>
      </c>
      <c r="E7917" s="423">
        <v>113.7086781857094</v>
      </c>
      <c r="F7917" s="423">
        <v>5.8976801043674074</v>
      </c>
      <c r="G7917" s="422">
        <v>216671.33627529471</v>
      </c>
      <c r="H7917" s="417" t="s">
        <v>2616</v>
      </c>
      <c r="I7917" s="417" t="s">
        <v>1392</v>
      </c>
      <c r="J7917" s="417" t="s">
        <v>3433</v>
      </c>
      <c r="K7917" s="417" t="s">
        <v>18306</v>
      </c>
      <c r="L7917" s="417"/>
      <c r="M7917" s="417" t="s">
        <v>28840</v>
      </c>
    </row>
    <row r="7918" spans="1:13" x14ac:dyDescent="0.25">
      <c r="A7918" s="417" t="s">
        <v>3385</v>
      </c>
      <c r="B7918" s="417" t="s">
        <v>2627</v>
      </c>
      <c r="C7918" s="417" t="s">
        <v>18307</v>
      </c>
      <c r="D7918" s="417" t="s">
        <v>563</v>
      </c>
      <c r="E7918" s="423">
        <v>101.30184695956579</v>
      </c>
      <c r="F7918" s="423">
        <v>6.2890658467628757</v>
      </c>
      <c r="G7918" s="422">
        <v>195427.70552532221</v>
      </c>
      <c r="H7918" s="417" t="s">
        <v>2616</v>
      </c>
      <c r="I7918" s="417" t="s">
        <v>1392</v>
      </c>
      <c r="J7918" s="417" t="s">
        <v>3433</v>
      </c>
      <c r="K7918" s="417" t="s">
        <v>18308</v>
      </c>
      <c r="L7918" s="417"/>
      <c r="M7918" s="417" t="s">
        <v>28840</v>
      </c>
    </row>
    <row r="7919" spans="1:13" x14ac:dyDescent="0.25">
      <c r="A7919" s="417" t="s">
        <v>3385</v>
      </c>
      <c r="B7919" s="417" t="s">
        <v>2627</v>
      </c>
      <c r="C7919" s="417" t="s">
        <v>18309</v>
      </c>
      <c r="D7919" s="417" t="s">
        <v>563</v>
      </c>
      <c r="E7919" s="423">
        <v>101.9045990302743</v>
      </c>
      <c r="F7919" s="423">
        <v>6.3441384427526328</v>
      </c>
      <c r="G7919" s="422">
        <v>196330.76878616231</v>
      </c>
      <c r="H7919" s="417" t="s">
        <v>2616</v>
      </c>
      <c r="I7919" s="417" t="s">
        <v>1392</v>
      </c>
      <c r="J7919" s="417" t="s">
        <v>3433</v>
      </c>
      <c r="K7919" s="417" t="s">
        <v>18310</v>
      </c>
      <c r="L7919" s="417"/>
      <c r="M7919" s="417" t="s">
        <v>28840</v>
      </c>
    </row>
    <row r="7920" spans="1:13" x14ac:dyDescent="0.25">
      <c r="A7920" s="417" t="s">
        <v>3385</v>
      </c>
      <c r="B7920" s="417" t="s">
        <v>2627</v>
      </c>
      <c r="C7920" s="417" t="s">
        <v>18311</v>
      </c>
      <c r="D7920" s="417" t="s">
        <v>563</v>
      </c>
      <c r="E7920" s="423">
        <v>102.7993315132786</v>
      </c>
      <c r="F7920" s="423">
        <v>6.4474814350400589</v>
      </c>
      <c r="G7920" s="422">
        <v>197317.97798086359</v>
      </c>
      <c r="H7920" s="417" t="s">
        <v>2616</v>
      </c>
      <c r="I7920" s="417" t="s">
        <v>1392</v>
      </c>
      <c r="J7920" s="417" t="s">
        <v>3433</v>
      </c>
      <c r="K7920" s="417" t="s">
        <v>18312</v>
      </c>
      <c r="L7920" s="417"/>
      <c r="M7920" s="417" t="s">
        <v>28840</v>
      </c>
    </row>
    <row r="7921" spans="1:13" x14ac:dyDescent="0.25">
      <c r="A7921" s="417" t="s">
        <v>3385</v>
      </c>
      <c r="B7921" s="417" t="s">
        <v>2627</v>
      </c>
      <c r="C7921" s="417" t="s">
        <v>18313</v>
      </c>
      <c r="D7921" s="417" t="s">
        <v>88</v>
      </c>
      <c r="E7921" s="423">
        <v>9.1139315838615502</v>
      </c>
      <c r="F7921" s="423">
        <v>0.29471822153295202</v>
      </c>
      <c r="G7921" s="422">
        <v>21062.4573004663</v>
      </c>
      <c r="H7921" s="417" t="s">
        <v>2616</v>
      </c>
      <c r="I7921" s="417" t="s">
        <v>1392</v>
      </c>
      <c r="J7921" s="417" t="s">
        <v>3387</v>
      </c>
      <c r="K7921" s="417" t="s">
        <v>18314</v>
      </c>
      <c r="L7921" s="417"/>
      <c r="M7921" s="417" t="s">
        <v>28840</v>
      </c>
    </row>
    <row r="7922" spans="1:13" x14ac:dyDescent="0.25">
      <c r="A7922" s="417" t="s">
        <v>3385</v>
      </c>
      <c r="B7922" s="417" t="s">
        <v>2627</v>
      </c>
      <c r="C7922" s="417" t="s">
        <v>18315</v>
      </c>
      <c r="D7922" s="417" t="s">
        <v>88</v>
      </c>
      <c r="E7922" s="423">
        <v>9.4230888985013657</v>
      </c>
      <c r="F7922" s="423">
        <v>0.31536489600645551</v>
      </c>
      <c r="G7922" s="422">
        <v>21289.44844199426</v>
      </c>
      <c r="H7922" s="417" t="s">
        <v>2616</v>
      </c>
      <c r="I7922" s="417" t="s">
        <v>1392</v>
      </c>
      <c r="J7922" s="417" t="s">
        <v>3387</v>
      </c>
      <c r="K7922" s="417" t="s">
        <v>18316</v>
      </c>
      <c r="L7922" s="417"/>
      <c r="M7922" s="417" t="s">
        <v>28840</v>
      </c>
    </row>
    <row r="7923" spans="1:13" x14ac:dyDescent="0.25">
      <c r="A7923" s="417" t="s">
        <v>3385</v>
      </c>
      <c r="B7923" s="417" t="s">
        <v>2627</v>
      </c>
      <c r="C7923" s="417" t="s">
        <v>18317</v>
      </c>
      <c r="D7923" s="417" t="s">
        <v>88</v>
      </c>
      <c r="E7923" s="423">
        <v>2.004197804876009</v>
      </c>
      <c r="F7923" s="423">
        <v>3.7053223471846017E-2</v>
      </c>
      <c r="G7923" s="422">
        <v>3803.8289754041762</v>
      </c>
      <c r="H7923" s="417" t="s">
        <v>2616</v>
      </c>
      <c r="I7923" s="417" t="s">
        <v>1392</v>
      </c>
      <c r="J7923" s="417" t="s">
        <v>3396</v>
      </c>
      <c r="K7923" s="417" t="s">
        <v>18318</v>
      </c>
      <c r="L7923" s="417"/>
      <c r="M7923" s="417" t="s">
        <v>28840</v>
      </c>
    </row>
    <row r="7924" spans="1:13" x14ac:dyDescent="0.25">
      <c r="A7924" s="417" t="s">
        <v>3385</v>
      </c>
      <c r="B7924" s="417" t="s">
        <v>2627</v>
      </c>
      <c r="C7924" s="417" t="s">
        <v>18319</v>
      </c>
      <c r="D7924" s="417" t="s">
        <v>88</v>
      </c>
      <c r="E7924" s="423">
        <v>1.530054267929885</v>
      </c>
      <c r="F7924" s="423">
        <v>1.212630002260546E-2</v>
      </c>
      <c r="G7924" s="422">
        <v>2992.039689846004</v>
      </c>
      <c r="H7924" s="417" t="s">
        <v>2616</v>
      </c>
      <c r="I7924" s="417" t="s">
        <v>1392</v>
      </c>
      <c r="J7924" s="417" t="s">
        <v>4544</v>
      </c>
      <c r="K7924" s="417" t="s">
        <v>18320</v>
      </c>
      <c r="L7924" s="417"/>
      <c r="M7924" s="417" t="s">
        <v>28840</v>
      </c>
    </row>
    <row r="7925" spans="1:13" x14ac:dyDescent="0.25">
      <c r="A7925" s="417" t="s">
        <v>3385</v>
      </c>
      <c r="B7925" s="417" t="s">
        <v>2627</v>
      </c>
      <c r="C7925" s="417" t="s">
        <v>1080</v>
      </c>
      <c r="D7925" s="417" t="s">
        <v>88</v>
      </c>
      <c r="E7925" s="423">
        <v>2.2011662172951452</v>
      </c>
      <c r="F7925" s="423">
        <v>2.4116568029708119E-2</v>
      </c>
      <c r="G7925" s="422">
        <v>4211.4122667524944</v>
      </c>
      <c r="H7925" s="417" t="s">
        <v>2616</v>
      </c>
      <c r="I7925" s="417" t="s">
        <v>28841</v>
      </c>
      <c r="J7925" s="417" t="s">
        <v>3772</v>
      </c>
      <c r="K7925" s="417" t="s">
        <v>18321</v>
      </c>
      <c r="L7925" s="417"/>
      <c r="M7925" s="417" t="s">
        <v>28840</v>
      </c>
    </row>
    <row r="7926" spans="1:13" x14ac:dyDescent="0.25">
      <c r="A7926" s="417" t="s">
        <v>3385</v>
      </c>
      <c r="B7926" s="417" t="s">
        <v>2627</v>
      </c>
      <c r="C7926" s="417" t="s">
        <v>18322</v>
      </c>
      <c r="D7926" s="417" t="s">
        <v>88</v>
      </c>
      <c r="E7926" s="423">
        <v>7.8743675780490935E-2</v>
      </c>
      <c r="F7926" s="423">
        <v>5.5145393494222972E-3</v>
      </c>
      <c r="G7926" s="422">
        <v>131.3578806667679</v>
      </c>
      <c r="H7926" s="417" t="s">
        <v>2616</v>
      </c>
      <c r="I7926" s="417" t="s">
        <v>1392</v>
      </c>
      <c r="J7926" s="417" t="s">
        <v>3633</v>
      </c>
      <c r="K7926" s="417" t="s">
        <v>18323</v>
      </c>
      <c r="L7926" s="417"/>
      <c r="M7926" s="417" t="s">
        <v>28840</v>
      </c>
    </row>
    <row r="7927" spans="1:13" x14ac:dyDescent="0.25">
      <c r="A7927" s="417" t="s">
        <v>3385</v>
      </c>
      <c r="B7927" s="417" t="s">
        <v>2437</v>
      </c>
      <c r="C7927" s="417" t="s">
        <v>18324</v>
      </c>
      <c r="D7927" s="417" t="s">
        <v>88</v>
      </c>
      <c r="E7927" s="423">
        <v>3.5087996406496602</v>
      </c>
      <c r="F7927" s="423">
        <v>0.23139499040037129</v>
      </c>
      <c r="G7927" s="422">
        <v>5959.1574816707498</v>
      </c>
      <c r="H7927" s="417" t="s">
        <v>2616</v>
      </c>
      <c r="I7927" s="417" t="s">
        <v>1392</v>
      </c>
      <c r="J7927" s="417" t="s">
        <v>4375</v>
      </c>
      <c r="K7927" s="417" t="s">
        <v>18325</v>
      </c>
      <c r="L7927" s="417"/>
      <c r="M7927" s="417" t="s">
        <v>28840</v>
      </c>
    </row>
    <row r="7928" spans="1:13" x14ac:dyDescent="0.25">
      <c r="A7928" s="417" t="s">
        <v>3385</v>
      </c>
      <c r="B7928" s="417" t="s">
        <v>2627</v>
      </c>
      <c r="C7928" s="417" t="s">
        <v>18326</v>
      </c>
      <c r="D7928" s="417" t="s">
        <v>88</v>
      </c>
      <c r="E7928" s="423">
        <v>4.866394458520535</v>
      </c>
      <c r="F7928" s="423">
        <v>0.13001489030477961</v>
      </c>
      <c r="G7928" s="422">
        <v>11946.00425441611</v>
      </c>
      <c r="H7928" s="417" t="s">
        <v>2616</v>
      </c>
      <c r="I7928" s="417" t="s">
        <v>1392</v>
      </c>
      <c r="J7928" s="417" t="s">
        <v>4347</v>
      </c>
      <c r="K7928" s="417" t="s">
        <v>18327</v>
      </c>
      <c r="L7928" s="417"/>
      <c r="M7928" s="417" t="s">
        <v>28840</v>
      </c>
    </row>
    <row r="7929" spans="1:13" x14ac:dyDescent="0.25">
      <c r="A7929" s="417" t="s">
        <v>3385</v>
      </c>
      <c r="B7929" s="417" t="s">
        <v>2437</v>
      </c>
      <c r="C7929" s="417" t="s">
        <v>18328</v>
      </c>
      <c r="D7929" s="417" t="s">
        <v>3936</v>
      </c>
      <c r="E7929" s="423">
        <v>1143347.4607039751</v>
      </c>
      <c r="F7929" s="423">
        <v>33302.336447472342</v>
      </c>
      <c r="G7929" s="422">
        <v>2417305112.9992051</v>
      </c>
      <c r="H7929" s="417" t="s">
        <v>2616</v>
      </c>
      <c r="I7929" s="417" t="s">
        <v>1392</v>
      </c>
      <c r="J7929" s="417" t="s">
        <v>4944</v>
      </c>
      <c r="K7929" s="417" t="s">
        <v>18329</v>
      </c>
      <c r="L7929" s="417"/>
      <c r="M7929" s="417" t="s">
        <v>28840</v>
      </c>
    </row>
    <row r="7930" spans="1:13" x14ac:dyDescent="0.25">
      <c r="A7930" s="417" t="s">
        <v>3385</v>
      </c>
      <c r="B7930" s="417" t="s">
        <v>2437</v>
      </c>
      <c r="C7930" s="417" t="s">
        <v>18330</v>
      </c>
      <c r="D7930" s="417" t="s">
        <v>3936</v>
      </c>
      <c r="E7930" s="423">
        <v>1268017.780311127</v>
      </c>
      <c r="F7930" s="423">
        <v>38567.883194514063</v>
      </c>
      <c r="G7930" s="422">
        <v>2510468983.7652349</v>
      </c>
      <c r="H7930" s="417" t="s">
        <v>2616</v>
      </c>
      <c r="I7930" s="417" t="s">
        <v>1392</v>
      </c>
      <c r="J7930" s="417" t="s">
        <v>18331</v>
      </c>
      <c r="K7930" s="417" t="s">
        <v>18332</v>
      </c>
      <c r="L7930" s="417"/>
      <c r="M7930" s="417" t="s">
        <v>28840</v>
      </c>
    </row>
    <row r="7931" spans="1:13" x14ac:dyDescent="0.25">
      <c r="A7931" s="417" t="s">
        <v>3385</v>
      </c>
      <c r="B7931" s="417" t="s">
        <v>2437</v>
      </c>
      <c r="C7931" s="417" t="s">
        <v>18333</v>
      </c>
      <c r="D7931" s="417" t="s">
        <v>3936</v>
      </c>
      <c r="E7931" s="423">
        <v>575957.83401577629</v>
      </c>
      <c r="F7931" s="423">
        <v>18232.508268806909</v>
      </c>
      <c r="G7931" s="422">
        <v>1029052763.664461</v>
      </c>
      <c r="H7931" s="417" t="s">
        <v>2616</v>
      </c>
      <c r="I7931" s="417" t="s">
        <v>1392</v>
      </c>
      <c r="J7931" s="417" t="s">
        <v>18331</v>
      </c>
      <c r="K7931" s="417" t="s">
        <v>18334</v>
      </c>
      <c r="L7931" s="417"/>
      <c r="M7931" s="417" t="s">
        <v>28840</v>
      </c>
    </row>
    <row r="7932" spans="1:13" x14ac:dyDescent="0.25">
      <c r="A7932" s="417" t="s">
        <v>3385</v>
      </c>
      <c r="B7932" s="417" t="s">
        <v>2437</v>
      </c>
      <c r="C7932" s="417" t="s">
        <v>18335</v>
      </c>
      <c r="D7932" s="417" t="s">
        <v>3936</v>
      </c>
      <c r="E7932" s="423">
        <v>2099533.9107358111</v>
      </c>
      <c r="F7932" s="423">
        <v>50331.60261011999</v>
      </c>
      <c r="G7932" s="422">
        <v>4154699662.0488839</v>
      </c>
      <c r="H7932" s="417" t="s">
        <v>2616</v>
      </c>
      <c r="I7932" s="417" t="s">
        <v>1392</v>
      </c>
      <c r="J7932" s="417" t="s">
        <v>4944</v>
      </c>
      <c r="K7932" s="417" t="s">
        <v>18336</v>
      </c>
      <c r="L7932" s="417"/>
      <c r="M7932" s="417" t="s">
        <v>28840</v>
      </c>
    </row>
    <row r="7933" spans="1:13" x14ac:dyDescent="0.25">
      <c r="A7933" s="417" t="s">
        <v>3385</v>
      </c>
      <c r="B7933" s="417" t="s">
        <v>2437</v>
      </c>
      <c r="C7933" s="417" t="s">
        <v>18337</v>
      </c>
      <c r="D7933" s="417" t="s">
        <v>3936</v>
      </c>
      <c r="E7933" s="423">
        <v>21549.519646653869</v>
      </c>
      <c r="F7933" s="423">
        <v>525.93954864497323</v>
      </c>
      <c r="G7933" s="422">
        <v>43088475.989540413</v>
      </c>
      <c r="H7933" s="417" t="s">
        <v>2616</v>
      </c>
      <c r="I7933" s="417" t="s">
        <v>1392</v>
      </c>
      <c r="J7933" s="417" t="s">
        <v>4944</v>
      </c>
      <c r="K7933" s="417" t="s">
        <v>18338</v>
      </c>
      <c r="L7933" s="417"/>
      <c r="M7933" s="417" t="s">
        <v>28840</v>
      </c>
    </row>
    <row r="7934" spans="1:13" x14ac:dyDescent="0.25">
      <c r="A7934" s="417" t="s">
        <v>3385</v>
      </c>
      <c r="B7934" s="417" t="s">
        <v>2437</v>
      </c>
      <c r="C7934" s="417" t="s">
        <v>18339</v>
      </c>
      <c r="D7934" s="417" t="s">
        <v>3936</v>
      </c>
      <c r="E7934" s="423">
        <v>80575.675509821318</v>
      </c>
      <c r="F7934" s="423">
        <v>3700.201431407329</v>
      </c>
      <c r="G7934" s="422">
        <v>176838301.25029799</v>
      </c>
      <c r="H7934" s="417" t="s">
        <v>2616</v>
      </c>
      <c r="I7934" s="417" t="s">
        <v>1392</v>
      </c>
      <c r="J7934" s="417" t="s">
        <v>4944</v>
      </c>
      <c r="K7934" s="417" t="s">
        <v>18340</v>
      </c>
      <c r="L7934" s="417"/>
      <c r="M7934" s="417" t="s">
        <v>28840</v>
      </c>
    </row>
    <row r="7935" spans="1:13" x14ac:dyDescent="0.25">
      <c r="A7935" s="417" t="s">
        <v>3385</v>
      </c>
      <c r="B7935" s="417" t="s">
        <v>2437</v>
      </c>
      <c r="C7935" s="417" t="s">
        <v>18341</v>
      </c>
      <c r="D7935" s="417" t="s">
        <v>3936</v>
      </c>
      <c r="E7935" s="423">
        <v>71789.788434424074</v>
      </c>
      <c r="F7935" s="423">
        <v>3560.4167876971628</v>
      </c>
      <c r="G7935" s="422">
        <v>149141579.45477009</v>
      </c>
      <c r="H7935" s="417" t="s">
        <v>2616</v>
      </c>
      <c r="I7935" s="417" t="s">
        <v>1392</v>
      </c>
      <c r="J7935" s="417" t="s">
        <v>4944</v>
      </c>
      <c r="K7935" s="417" t="s">
        <v>18342</v>
      </c>
      <c r="L7935" s="417"/>
      <c r="M7935" s="417" t="s">
        <v>28840</v>
      </c>
    </row>
    <row r="7936" spans="1:13" x14ac:dyDescent="0.25">
      <c r="A7936" s="417" t="s">
        <v>3385</v>
      </c>
      <c r="B7936" s="417" t="s">
        <v>2437</v>
      </c>
      <c r="C7936" s="417" t="s">
        <v>18343</v>
      </c>
      <c r="D7936" s="417" t="s">
        <v>3936</v>
      </c>
      <c r="E7936" s="423">
        <v>1497404.241312654</v>
      </c>
      <c r="F7936" s="423">
        <v>46677.812546178167</v>
      </c>
      <c r="G7936" s="422">
        <v>2799649870.8487992</v>
      </c>
      <c r="H7936" s="417" t="s">
        <v>2616</v>
      </c>
      <c r="I7936" s="417" t="s">
        <v>1392</v>
      </c>
      <c r="J7936" s="417" t="s">
        <v>4944</v>
      </c>
      <c r="K7936" s="417" t="s">
        <v>18344</v>
      </c>
      <c r="L7936" s="417"/>
      <c r="M7936" s="417" t="s">
        <v>28840</v>
      </c>
    </row>
    <row r="7937" spans="1:13" x14ac:dyDescent="0.25">
      <c r="A7937" s="417" t="s">
        <v>3385</v>
      </c>
      <c r="B7937" s="417" t="s">
        <v>2437</v>
      </c>
      <c r="C7937" s="417" t="s">
        <v>18345</v>
      </c>
      <c r="D7937" s="417" t="s">
        <v>3936</v>
      </c>
      <c r="E7937" s="423">
        <v>1157481.2822966301</v>
      </c>
      <c r="F7937" s="423">
        <v>38577.735166008199</v>
      </c>
      <c r="G7937" s="422">
        <v>2216415204.8790112</v>
      </c>
      <c r="H7937" s="417" t="s">
        <v>2616</v>
      </c>
      <c r="I7937" s="417" t="s">
        <v>1392</v>
      </c>
      <c r="J7937" s="417" t="s">
        <v>4944</v>
      </c>
      <c r="K7937" s="417" t="s">
        <v>18346</v>
      </c>
      <c r="L7937" s="417"/>
      <c r="M7937" s="417" t="s">
        <v>28840</v>
      </c>
    </row>
    <row r="7938" spans="1:13" x14ac:dyDescent="0.25">
      <c r="A7938" s="417" t="s">
        <v>3385</v>
      </c>
      <c r="B7938" s="417" t="s">
        <v>2437</v>
      </c>
      <c r="C7938" s="417" t="s">
        <v>18347</v>
      </c>
      <c r="D7938" s="417" t="s">
        <v>3936</v>
      </c>
      <c r="E7938" s="423">
        <v>891127.87378289085</v>
      </c>
      <c r="F7938" s="423">
        <v>30132.721048818261</v>
      </c>
      <c r="G7938" s="422">
        <v>1683847821.3899651</v>
      </c>
      <c r="H7938" s="417" t="s">
        <v>2616</v>
      </c>
      <c r="I7938" s="417" t="s">
        <v>1392</v>
      </c>
      <c r="J7938" s="417" t="s">
        <v>4944</v>
      </c>
      <c r="K7938" s="417" t="s">
        <v>18348</v>
      </c>
      <c r="L7938" s="417"/>
      <c r="M7938" s="417" t="s">
        <v>28840</v>
      </c>
    </row>
    <row r="7939" spans="1:13" x14ac:dyDescent="0.25">
      <c r="A7939" s="417" t="s">
        <v>3385</v>
      </c>
      <c r="B7939" s="417" t="s">
        <v>2437</v>
      </c>
      <c r="C7939" s="417" t="s">
        <v>18349</v>
      </c>
      <c r="D7939" s="417" t="s">
        <v>3936</v>
      </c>
      <c r="E7939" s="423">
        <v>70559.282315063261</v>
      </c>
      <c r="F7939" s="423">
        <v>4656.9789898635427</v>
      </c>
      <c r="G7939" s="422">
        <v>153741557.7870715</v>
      </c>
      <c r="H7939" s="417" t="s">
        <v>2616</v>
      </c>
      <c r="I7939" s="417" t="s">
        <v>1392</v>
      </c>
      <c r="J7939" s="417" t="s">
        <v>4944</v>
      </c>
      <c r="K7939" s="417" t="s">
        <v>18350</v>
      </c>
      <c r="L7939" s="417"/>
      <c r="M7939" s="417" t="s">
        <v>28840</v>
      </c>
    </row>
    <row r="7940" spans="1:13" x14ac:dyDescent="0.25">
      <c r="A7940" s="417" t="s">
        <v>3385</v>
      </c>
      <c r="B7940" s="417" t="s">
        <v>2627</v>
      </c>
      <c r="C7940" s="417" t="s">
        <v>18351</v>
      </c>
      <c r="D7940" s="417" t="s">
        <v>563</v>
      </c>
      <c r="E7940" s="423">
        <v>5.0933792550106816</v>
      </c>
      <c r="F7940" s="423">
        <v>0.15116463129075439</v>
      </c>
      <c r="G7940" s="422">
        <v>8036.7502376984439</v>
      </c>
      <c r="H7940" s="417" t="s">
        <v>2616</v>
      </c>
      <c r="I7940" s="417" t="s">
        <v>1392</v>
      </c>
      <c r="J7940" s="417" t="s">
        <v>4347</v>
      </c>
      <c r="K7940" s="417" t="s">
        <v>18352</v>
      </c>
      <c r="L7940" s="417"/>
      <c r="M7940" s="417" t="s">
        <v>28840</v>
      </c>
    </row>
    <row r="7941" spans="1:13" x14ac:dyDescent="0.25">
      <c r="A7941" s="417" t="s">
        <v>3385</v>
      </c>
      <c r="B7941" s="417" t="s">
        <v>2627</v>
      </c>
      <c r="C7941" s="417" t="s">
        <v>18353</v>
      </c>
      <c r="D7941" s="417" t="s">
        <v>563</v>
      </c>
      <c r="E7941" s="423">
        <v>6.4031104000415979</v>
      </c>
      <c r="F7941" s="423">
        <v>0.17403797560448511</v>
      </c>
      <c r="G7941" s="422">
        <v>10089.05241360047</v>
      </c>
      <c r="H7941" s="417" t="s">
        <v>2616</v>
      </c>
      <c r="I7941" s="417" t="s">
        <v>1392</v>
      </c>
      <c r="J7941" s="417" t="s">
        <v>4347</v>
      </c>
      <c r="K7941" s="417" t="s">
        <v>18354</v>
      </c>
      <c r="L7941" s="417"/>
      <c r="M7941" s="417" t="s">
        <v>28840</v>
      </c>
    </row>
    <row r="7942" spans="1:13" x14ac:dyDescent="0.25">
      <c r="A7942" s="417" t="s">
        <v>3385</v>
      </c>
      <c r="B7942" s="417" t="s">
        <v>2627</v>
      </c>
      <c r="C7942" s="417" t="s">
        <v>18355</v>
      </c>
      <c r="D7942" s="417" t="s">
        <v>563</v>
      </c>
      <c r="E7942" s="423">
        <v>7.7128415462518394</v>
      </c>
      <c r="F7942" s="423">
        <v>0.1969113203142269</v>
      </c>
      <c r="G7942" s="422">
        <v>12141.35459305208</v>
      </c>
      <c r="H7942" s="417" t="s">
        <v>2616</v>
      </c>
      <c r="I7942" s="417" t="s">
        <v>1392</v>
      </c>
      <c r="J7942" s="417" t="s">
        <v>4347</v>
      </c>
      <c r="K7942" s="417" t="s">
        <v>18356</v>
      </c>
      <c r="L7942" s="417"/>
      <c r="M7942" s="417" t="s">
        <v>28840</v>
      </c>
    </row>
    <row r="7943" spans="1:13" x14ac:dyDescent="0.25">
      <c r="A7943" s="417" t="s">
        <v>3385</v>
      </c>
      <c r="B7943" s="417" t="s">
        <v>2627</v>
      </c>
      <c r="C7943" s="417" t="s">
        <v>18357</v>
      </c>
      <c r="D7943" s="417" t="s">
        <v>563</v>
      </c>
      <c r="E7943" s="423">
        <v>9.0225726926143892</v>
      </c>
      <c r="F7943" s="423">
        <v>0.21978466455169399</v>
      </c>
      <c r="G7943" s="422">
        <v>14193.65677280515</v>
      </c>
      <c r="H7943" s="417" t="s">
        <v>2616</v>
      </c>
      <c r="I7943" s="417" t="s">
        <v>1392</v>
      </c>
      <c r="J7943" s="417" t="s">
        <v>4347</v>
      </c>
      <c r="K7943" s="417" t="s">
        <v>18358</v>
      </c>
      <c r="L7943" s="417"/>
      <c r="M7943" s="417" t="s">
        <v>28840</v>
      </c>
    </row>
    <row r="7944" spans="1:13" x14ac:dyDescent="0.25">
      <c r="A7944" s="417" t="s">
        <v>3385</v>
      </c>
      <c r="B7944" s="417" t="s">
        <v>2627</v>
      </c>
      <c r="C7944" s="417" t="s">
        <v>18359</v>
      </c>
      <c r="D7944" s="417" t="s">
        <v>563</v>
      </c>
      <c r="E7944" s="423">
        <v>11.64203498456404</v>
      </c>
      <c r="F7944" s="423">
        <v>0.26553135338979111</v>
      </c>
      <c r="G7944" s="422">
        <v>18298.261129836181</v>
      </c>
      <c r="H7944" s="417" t="s">
        <v>2616</v>
      </c>
      <c r="I7944" s="417" t="s">
        <v>1392</v>
      </c>
      <c r="J7944" s="417" t="s">
        <v>4347</v>
      </c>
      <c r="K7944" s="417" t="s">
        <v>18360</v>
      </c>
      <c r="L7944" s="417"/>
      <c r="M7944" s="417" t="s">
        <v>28840</v>
      </c>
    </row>
    <row r="7945" spans="1:13" x14ac:dyDescent="0.25">
      <c r="A7945" s="417" t="s">
        <v>3385</v>
      </c>
      <c r="B7945" s="417" t="s">
        <v>2627</v>
      </c>
      <c r="C7945" s="417" t="s">
        <v>18361</v>
      </c>
      <c r="D7945" s="417" t="s">
        <v>88</v>
      </c>
      <c r="E7945" s="423">
        <v>1.0188040702666621</v>
      </c>
      <c r="F7945" s="423">
        <v>1.264505610052543E-2</v>
      </c>
      <c r="G7945" s="422">
        <v>1843.3732634258961</v>
      </c>
      <c r="H7945" s="417" t="s">
        <v>2616</v>
      </c>
      <c r="I7945" s="417" t="s">
        <v>1392</v>
      </c>
      <c r="J7945" s="417" t="s">
        <v>3633</v>
      </c>
      <c r="K7945" s="417" t="s">
        <v>18362</v>
      </c>
      <c r="L7945" s="417"/>
      <c r="M7945" s="417" t="s">
        <v>28840</v>
      </c>
    </row>
    <row r="7946" spans="1:13" x14ac:dyDescent="0.25">
      <c r="A7946" s="417" t="s">
        <v>3385</v>
      </c>
      <c r="B7946" s="417" t="s">
        <v>2627</v>
      </c>
      <c r="C7946" s="417" t="s">
        <v>18363</v>
      </c>
      <c r="D7946" s="417" t="s">
        <v>989</v>
      </c>
      <c r="E7946" s="423">
        <v>5396491.3388325209</v>
      </c>
      <c r="F7946" s="423">
        <v>1094296.714799464</v>
      </c>
      <c r="G7946" s="422">
        <v>12061185556.71398</v>
      </c>
      <c r="H7946" s="417" t="s">
        <v>2616</v>
      </c>
      <c r="I7946" s="417" t="s">
        <v>1392</v>
      </c>
      <c r="J7946" s="417" t="s">
        <v>18364</v>
      </c>
      <c r="K7946" s="417" t="s">
        <v>18365</v>
      </c>
      <c r="L7946" s="417"/>
      <c r="M7946" s="417" t="s">
        <v>28840</v>
      </c>
    </row>
    <row r="7947" spans="1:13" x14ac:dyDescent="0.25">
      <c r="A7947" s="417" t="s">
        <v>3385</v>
      </c>
      <c r="B7947" s="417" t="s">
        <v>3405</v>
      </c>
      <c r="C7947" s="417" t="s">
        <v>18366</v>
      </c>
      <c r="D7947" s="417" t="s">
        <v>989</v>
      </c>
      <c r="E7947" s="423">
        <v>7874.7465188212745</v>
      </c>
      <c r="F7947" s="423">
        <v>273.79443101392769</v>
      </c>
      <c r="G7947" s="422">
        <v>11475733.44336503</v>
      </c>
      <c r="H7947" s="417" t="s">
        <v>2616</v>
      </c>
      <c r="I7947" s="417" t="s">
        <v>1392</v>
      </c>
      <c r="J7947" s="417" t="s">
        <v>3588</v>
      </c>
      <c r="K7947" s="417" t="s">
        <v>18367</v>
      </c>
      <c r="L7947" s="417"/>
      <c r="M7947" s="417" t="s">
        <v>28840</v>
      </c>
    </row>
    <row r="7948" spans="1:13" x14ac:dyDescent="0.25">
      <c r="A7948" s="417" t="s">
        <v>3385</v>
      </c>
      <c r="B7948" s="417" t="s">
        <v>3405</v>
      </c>
      <c r="C7948" s="417" t="s">
        <v>18368</v>
      </c>
      <c r="D7948" s="417" t="s">
        <v>989</v>
      </c>
      <c r="E7948" s="423">
        <v>402.37765179516668</v>
      </c>
      <c r="F7948" s="423">
        <v>15.329307441678431</v>
      </c>
      <c r="G7948" s="422">
        <v>595561.39285591675</v>
      </c>
      <c r="H7948" s="417" t="s">
        <v>2616</v>
      </c>
      <c r="I7948" s="417" t="s">
        <v>1392</v>
      </c>
      <c r="J7948" s="417" t="s">
        <v>3588</v>
      </c>
      <c r="K7948" s="417" t="s">
        <v>18369</v>
      </c>
      <c r="L7948" s="417"/>
      <c r="M7948" s="417" t="s">
        <v>28840</v>
      </c>
    </row>
    <row r="7949" spans="1:13" x14ac:dyDescent="0.25">
      <c r="A7949" s="417" t="s">
        <v>3385</v>
      </c>
      <c r="B7949" s="417" t="s">
        <v>2627</v>
      </c>
      <c r="C7949" s="417" t="s">
        <v>18370</v>
      </c>
      <c r="D7949" s="417" t="s">
        <v>989</v>
      </c>
      <c r="E7949" s="423">
        <v>49149447.362310737</v>
      </c>
      <c r="F7949" s="423">
        <v>1740204.814103133</v>
      </c>
      <c r="G7949" s="422">
        <v>94007619178.737</v>
      </c>
      <c r="H7949" s="417" t="s">
        <v>2616</v>
      </c>
      <c r="I7949" s="417" t="s">
        <v>1392</v>
      </c>
      <c r="J7949" s="417" t="s">
        <v>18371</v>
      </c>
      <c r="K7949" s="417" t="s">
        <v>18372</v>
      </c>
      <c r="L7949" s="417"/>
      <c r="M7949" s="417" t="s">
        <v>28840</v>
      </c>
    </row>
    <row r="7950" spans="1:13" x14ac:dyDescent="0.25">
      <c r="A7950" s="417" t="s">
        <v>3385</v>
      </c>
      <c r="B7950" s="417" t="s">
        <v>2627</v>
      </c>
      <c r="C7950" s="417" t="s">
        <v>18373</v>
      </c>
      <c r="D7950" s="417" t="s">
        <v>989</v>
      </c>
      <c r="E7950" s="423">
        <v>2859336.0051955739</v>
      </c>
      <c r="F7950" s="423">
        <v>86480.424765323754</v>
      </c>
      <c r="G7950" s="422">
        <v>5501869826.4037743</v>
      </c>
      <c r="H7950" s="417" t="s">
        <v>2616</v>
      </c>
      <c r="I7950" s="417" t="s">
        <v>1392</v>
      </c>
      <c r="J7950" s="417" t="s">
        <v>14281</v>
      </c>
      <c r="K7950" s="417" t="s">
        <v>18374</v>
      </c>
      <c r="L7950" s="417"/>
      <c r="M7950" s="417" t="s">
        <v>28840</v>
      </c>
    </row>
    <row r="7951" spans="1:13" x14ac:dyDescent="0.25">
      <c r="A7951" s="417" t="s">
        <v>3385</v>
      </c>
      <c r="B7951" s="417" t="s">
        <v>3655</v>
      </c>
      <c r="C7951" s="417" t="s">
        <v>18375</v>
      </c>
      <c r="D7951" s="417" t="s">
        <v>1052</v>
      </c>
      <c r="E7951" s="423">
        <v>105.5490956641849</v>
      </c>
      <c r="F7951" s="423">
        <v>5.1163149355605517</v>
      </c>
      <c r="G7951" s="422">
        <v>197927.73899891821</v>
      </c>
      <c r="H7951" s="417" t="s">
        <v>2616</v>
      </c>
      <c r="I7951" s="417" t="s">
        <v>1392</v>
      </c>
      <c r="J7951" s="417" t="s">
        <v>3918</v>
      </c>
      <c r="K7951" s="417" t="s">
        <v>18376</v>
      </c>
      <c r="L7951" s="417"/>
      <c r="M7951" s="417" t="s">
        <v>28840</v>
      </c>
    </row>
    <row r="7952" spans="1:13" x14ac:dyDescent="0.25">
      <c r="A7952" s="417" t="s">
        <v>3385</v>
      </c>
      <c r="B7952" s="417" t="s">
        <v>2627</v>
      </c>
      <c r="C7952" s="417" t="s">
        <v>18377</v>
      </c>
      <c r="D7952" s="417" t="s">
        <v>989</v>
      </c>
      <c r="E7952" s="423">
        <v>0.20662763401407239</v>
      </c>
      <c r="F7952" s="423">
        <v>0.28022102088730788</v>
      </c>
      <c r="G7952" s="422">
        <v>455.36147369007762</v>
      </c>
      <c r="H7952" s="417" t="s">
        <v>2616</v>
      </c>
      <c r="I7952" s="417" t="s">
        <v>1392</v>
      </c>
      <c r="J7952" s="417" t="s">
        <v>3619</v>
      </c>
      <c r="K7952" s="417" t="s">
        <v>18378</v>
      </c>
      <c r="L7952" s="417"/>
      <c r="M7952" s="417" t="s">
        <v>28840</v>
      </c>
    </row>
    <row r="7953" spans="1:13" x14ac:dyDescent="0.25">
      <c r="A7953" s="417" t="s">
        <v>3385</v>
      </c>
      <c r="B7953" s="417" t="s">
        <v>3655</v>
      </c>
      <c r="C7953" s="417" t="s">
        <v>18379</v>
      </c>
      <c r="D7953" s="417" t="s">
        <v>88</v>
      </c>
      <c r="E7953" s="423">
        <v>7.6267826776833768E-3</v>
      </c>
      <c r="F7953" s="423">
        <v>1.7499737447808669E-3</v>
      </c>
      <c r="G7953" s="422">
        <v>36.068655218429498</v>
      </c>
      <c r="H7953" s="417" t="s">
        <v>2616</v>
      </c>
      <c r="I7953" s="417" t="s">
        <v>1392</v>
      </c>
      <c r="J7953" s="417" t="s">
        <v>4310</v>
      </c>
      <c r="K7953" s="417" t="s">
        <v>18380</v>
      </c>
      <c r="L7953" s="417"/>
      <c r="M7953" s="417" t="s">
        <v>28840</v>
      </c>
    </row>
    <row r="7954" spans="1:13" x14ac:dyDescent="0.25">
      <c r="A7954" s="417" t="s">
        <v>3385</v>
      </c>
      <c r="B7954" s="417" t="s">
        <v>2623</v>
      </c>
      <c r="C7954" s="417" t="s">
        <v>18381</v>
      </c>
      <c r="D7954" s="417" t="s">
        <v>88</v>
      </c>
      <c r="E7954" s="423">
        <v>7.6838765336778312E-3</v>
      </c>
      <c r="F7954" s="423">
        <v>4.0514419529083718E-4</v>
      </c>
      <c r="G7954" s="422">
        <v>26.990903852984481</v>
      </c>
      <c r="H7954" s="417" t="s">
        <v>2616</v>
      </c>
      <c r="I7954" s="417" t="s">
        <v>1392</v>
      </c>
      <c r="J7954" s="417" t="s">
        <v>4364</v>
      </c>
      <c r="K7954" s="417" t="s">
        <v>18382</v>
      </c>
      <c r="L7954" s="417"/>
      <c r="M7954" s="417" t="s">
        <v>28840</v>
      </c>
    </row>
    <row r="7955" spans="1:13" x14ac:dyDescent="0.25">
      <c r="A7955" s="417" t="s">
        <v>3385</v>
      </c>
      <c r="B7955" s="417" t="s">
        <v>2623</v>
      </c>
      <c r="C7955" s="417" t="s">
        <v>18383</v>
      </c>
      <c r="D7955" s="417" t="s">
        <v>88</v>
      </c>
      <c r="E7955" s="423">
        <v>2.9535085263626151E-2</v>
      </c>
      <c r="F7955" s="423">
        <v>2.050241914324289E-3</v>
      </c>
      <c r="G7955" s="422">
        <v>55.23793456574905</v>
      </c>
      <c r="H7955" s="417" t="s">
        <v>2616</v>
      </c>
      <c r="I7955" s="417" t="s">
        <v>1392</v>
      </c>
      <c r="J7955" s="417" t="s">
        <v>4364</v>
      </c>
      <c r="K7955" s="417" t="s">
        <v>18384</v>
      </c>
      <c r="L7955" s="417"/>
      <c r="M7955" s="417" t="s">
        <v>28840</v>
      </c>
    </row>
    <row r="7956" spans="1:13" x14ac:dyDescent="0.25">
      <c r="A7956" s="417" t="s">
        <v>3385</v>
      </c>
      <c r="B7956" s="417" t="s">
        <v>2623</v>
      </c>
      <c r="C7956" s="417" t="s">
        <v>18385</v>
      </c>
      <c r="D7956" s="417" t="s">
        <v>88</v>
      </c>
      <c r="E7956" s="423">
        <v>3.8124524049581361E-3</v>
      </c>
      <c r="F7956" s="423">
        <v>3.075694351547222E-4</v>
      </c>
      <c r="G7956" s="422">
        <v>20.968310835604939</v>
      </c>
      <c r="H7956" s="417" t="s">
        <v>2616</v>
      </c>
      <c r="I7956" s="417" t="s">
        <v>1392</v>
      </c>
      <c r="J7956" s="417" t="s">
        <v>4364</v>
      </c>
      <c r="K7956" s="417" t="s">
        <v>18386</v>
      </c>
      <c r="L7956" s="417"/>
      <c r="M7956" s="417" t="s">
        <v>28840</v>
      </c>
    </row>
    <row r="7957" spans="1:13" x14ac:dyDescent="0.25">
      <c r="A7957" s="417" t="s">
        <v>3385</v>
      </c>
      <c r="B7957" s="417" t="s">
        <v>2627</v>
      </c>
      <c r="C7957" s="417" t="s">
        <v>18387</v>
      </c>
      <c r="D7957" s="417" t="s">
        <v>593</v>
      </c>
      <c r="E7957" s="423">
        <v>0.62086423057899387</v>
      </c>
      <c r="F7957" s="423">
        <v>1.6205420673048639E-2</v>
      </c>
      <c r="G7957" s="422">
        <v>965.84942778871778</v>
      </c>
      <c r="H7957" s="417" t="s">
        <v>2616</v>
      </c>
      <c r="I7957" s="417" t="s">
        <v>1392</v>
      </c>
      <c r="J7957" s="417" t="s">
        <v>11572</v>
      </c>
      <c r="K7957" s="417" t="s">
        <v>18388</v>
      </c>
      <c r="L7957" s="417"/>
      <c r="M7957" s="417" t="s">
        <v>28840</v>
      </c>
    </row>
    <row r="7958" spans="1:13" x14ac:dyDescent="0.25">
      <c r="A7958" s="417" t="s">
        <v>3385</v>
      </c>
      <c r="B7958" s="417" t="s">
        <v>2627</v>
      </c>
      <c r="C7958" s="417" t="s">
        <v>18389</v>
      </c>
      <c r="D7958" s="417" t="s">
        <v>593</v>
      </c>
      <c r="E7958" s="423">
        <v>2.947729089082602</v>
      </c>
      <c r="F7958" s="423">
        <v>8.0346131968275905E-2</v>
      </c>
      <c r="G7958" s="422">
        <v>5216.2083616207137</v>
      </c>
      <c r="H7958" s="417" t="s">
        <v>2616</v>
      </c>
      <c r="I7958" s="417" t="s">
        <v>1392</v>
      </c>
      <c r="J7958" s="417" t="s">
        <v>11572</v>
      </c>
      <c r="K7958" s="417" t="s">
        <v>18390</v>
      </c>
      <c r="L7958" s="417"/>
      <c r="M7958" s="417" t="s">
        <v>28840</v>
      </c>
    </row>
    <row r="7959" spans="1:13" x14ac:dyDescent="0.25">
      <c r="A7959" s="417" t="s">
        <v>3385</v>
      </c>
      <c r="B7959" s="417" t="s">
        <v>2627</v>
      </c>
      <c r="C7959" s="417" t="s">
        <v>18391</v>
      </c>
      <c r="D7959" s="417" t="s">
        <v>88</v>
      </c>
      <c r="E7959" s="423">
        <v>1.1506200049708979</v>
      </c>
      <c r="F7959" s="423">
        <v>4.0729565393598212E-2</v>
      </c>
      <c r="G7959" s="422">
        <v>2047.1077778191</v>
      </c>
      <c r="H7959" s="417" t="s">
        <v>2616</v>
      </c>
      <c r="I7959" s="417" t="s">
        <v>1392</v>
      </c>
      <c r="J7959" s="417" t="s">
        <v>11517</v>
      </c>
      <c r="K7959" s="417" t="s">
        <v>18392</v>
      </c>
      <c r="L7959" s="417"/>
      <c r="M7959" s="417" t="s">
        <v>28840</v>
      </c>
    </row>
    <row r="7960" spans="1:13" x14ac:dyDescent="0.25">
      <c r="A7960" s="417" t="s">
        <v>3385</v>
      </c>
      <c r="B7960" s="417" t="s">
        <v>2627</v>
      </c>
      <c r="C7960" s="417" t="s">
        <v>18393</v>
      </c>
      <c r="D7960" s="417" t="s">
        <v>989</v>
      </c>
      <c r="E7960" s="423">
        <v>1.6941876366260911</v>
      </c>
      <c r="F7960" s="423">
        <v>5.3935845631840777E-2</v>
      </c>
      <c r="G7960" s="422">
        <v>2817.5120079860571</v>
      </c>
      <c r="H7960" s="417" t="s">
        <v>2616</v>
      </c>
      <c r="I7960" s="417" t="s">
        <v>1392</v>
      </c>
      <c r="J7960" s="417" t="s">
        <v>3619</v>
      </c>
      <c r="K7960" s="417" t="s">
        <v>18394</v>
      </c>
      <c r="L7960" s="417"/>
      <c r="M7960" s="417" t="s">
        <v>28840</v>
      </c>
    </row>
    <row r="7961" spans="1:13" x14ac:dyDescent="0.25">
      <c r="A7961" s="417" t="s">
        <v>3385</v>
      </c>
      <c r="B7961" s="417" t="s">
        <v>2627</v>
      </c>
      <c r="C7961" s="417" t="s">
        <v>18395</v>
      </c>
      <c r="D7961" s="417" t="s">
        <v>989</v>
      </c>
      <c r="E7961" s="423">
        <v>107870042.7555721</v>
      </c>
      <c r="F7961" s="423">
        <v>27502766.16913664</v>
      </c>
      <c r="G7961" s="422">
        <v>293481961613.26678</v>
      </c>
      <c r="H7961" s="417" t="s">
        <v>2616</v>
      </c>
      <c r="I7961" s="417" t="s">
        <v>1392</v>
      </c>
      <c r="J7961" s="417" t="s">
        <v>18396</v>
      </c>
      <c r="K7961" s="417" t="s">
        <v>18397</v>
      </c>
      <c r="L7961" s="417"/>
      <c r="M7961" s="417" t="s">
        <v>28840</v>
      </c>
    </row>
    <row r="7962" spans="1:13" x14ac:dyDescent="0.25">
      <c r="A7962" s="417" t="s">
        <v>3385</v>
      </c>
      <c r="B7962" s="417" t="s">
        <v>3405</v>
      </c>
      <c r="C7962" s="417" t="s">
        <v>18398</v>
      </c>
      <c r="D7962" s="417" t="s">
        <v>88</v>
      </c>
      <c r="E7962" s="423">
        <v>2.861128383085763</v>
      </c>
      <c r="F7962" s="423">
        <v>9.0095758952635635E-2</v>
      </c>
      <c r="G7962" s="422">
        <v>12952.59581359643</v>
      </c>
      <c r="H7962" s="417" t="s">
        <v>2616</v>
      </c>
      <c r="I7962" s="417" t="s">
        <v>1392</v>
      </c>
      <c r="J7962" s="417" t="s">
        <v>4417</v>
      </c>
      <c r="K7962" s="417" t="s">
        <v>18399</v>
      </c>
      <c r="L7962" s="417"/>
      <c r="M7962" s="417" t="s">
        <v>28840</v>
      </c>
    </row>
    <row r="7963" spans="1:13" x14ac:dyDescent="0.25">
      <c r="A7963" s="417" t="s">
        <v>3385</v>
      </c>
      <c r="B7963" s="417" t="s">
        <v>2627</v>
      </c>
      <c r="C7963" s="417" t="s">
        <v>18400</v>
      </c>
      <c r="D7963" s="417" t="s">
        <v>989</v>
      </c>
      <c r="E7963" s="423">
        <v>7694476.8834638391</v>
      </c>
      <c r="F7963" s="423">
        <v>474098.98884054919</v>
      </c>
      <c r="G7963" s="422">
        <v>15695016040.99234</v>
      </c>
      <c r="H7963" s="417" t="s">
        <v>2616</v>
      </c>
      <c r="I7963" s="417" t="s">
        <v>1392</v>
      </c>
      <c r="J7963" s="417" t="s">
        <v>5230</v>
      </c>
      <c r="K7963" s="417" t="s">
        <v>18401</v>
      </c>
      <c r="L7963" s="417"/>
      <c r="M7963" s="417" t="s">
        <v>28840</v>
      </c>
    </row>
    <row r="7964" spans="1:13" x14ac:dyDescent="0.25">
      <c r="A7964" s="417" t="s">
        <v>3385</v>
      </c>
      <c r="B7964" s="417" t="s">
        <v>2437</v>
      </c>
      <c r="C7964" s="417" t="s">
        <v>18402</v>
      </c>
      <c r="D7964" s="417" t="s">
        <v>593</v>
      </c>
      <c r="E7964" s="423">
        <v>6.0986999181532129</v>
      </c>
      <c r="F7964" s="423">
        <v>0.40522431169702933</v>
      </c>
      <c r="G7964" s="422">
        <v>12141.491699876289</v>
      </c>
      <c r="H7964" s="417" t="s">
        <v>2616</v>
      </c>
      <c r="I7964" s="417" t="s">
        <v>1392</v>
      </c>
      <c r="J7964" s="417" t="s">
        <v>5056</v>
      </c>
      <c r="K7964" s="417" t="s">
        <v>18403</v>
      </c>
      <c r="L7964" s="417"/>
      <c r="M7964" s="417" t="s">
        <v>28840</v>
      </c>
    </row>
    <row r="7965" spans="1:13" x14ac:dyDescent="0.25">
      <c r="A7965" s="417" t="s">
        <v>3385</v>
      </c>
      <c r="B7965" s="417" t="s">
        <v>2627</v>
      </c>
      <c r="C7965" s="417" t="s">
        <v>1107</v>
      </c>
      <c r="D7965" s="417" t="s">
        <v>88</v>
      </c>
      <c r="E7965" s="423">
        <v>10346.49845590615</v>
      </c>
      <c r="F7965" s="423">
        <v>792.78286879709935</v>
      </c>
      <c r="G7965" s="422">
        <v>210241907.2765184</v>
      </c>
      <c r="H7965" s="417" t="s">
        <v>2616</v>
      </c>
      <c r="I7965" s="417" t="s">
        <v>28841</v>
      </c>
      <c r="J7965" s="417" t="s">
        <v>3915</v>
      </c>
      <c r="K7965" s="417" t="s">
        <v>18404</v>
      </c>
      <c r="L7965" s="417"/>
      <c r="M7965" s="417" t="s">
        <v>28840</v>
      </c>
    </row>
    <row r="7966" spans="1:13" x14ac:dyDescent="0.25">
      <c r="A7966" s="417" t="s">
        <v>3385</v>
      </c>
      <c r="B7966" s="417" t="s">
        <v>2627</v>
      </c>
      <c r="C7966" s="417" t="s">
        <v>18405</v>
      </c>
      <c r="D7966" s="417" t="s">
        <v>88</v>
      </c>
      <c r="E7966" s="423">
        <v>11580.874039675249</v>
      </c>
      <c r="F7966" s="423">
        <v>573.55569848709661</v>
      </c>
      <c r="G7966" s="422">
        <v>331102642.67522073</v>
      </c>
      <c r="H7966" s="417" t="s">
        <v>2616</v>
      </c>
      <c r="I7966" s="417" t="s">
        <v>1392</v>
      </c>
      <c r="J7966" s="417" t="s">
        <v>3915</v>
      </c>
      <c r="K7966" s="417" t="s">
        <v>18406</v>
      </c>
      <c r="L7966" s="417"/>
      <c r="M7966" s="417" t="s">
        <v>28840</v>
      </c>
    </row>
    <row r="7967" spans="1:13" x14ac:dyDescent="0.25">
      <c r="A7967" s="417" t="s">
        <v>3385</v>
      </c>
      <c r="B7967" s="417" t="s">
        <v>2627</v>
      </c>
      <c r="C7967" s="417" t="s">
        <v>18407</v>
      </c>
      <c r="D7967" s="417" t="s">
        <v>88</v>
      </c>
      <c r="E7967" s="423">
        <v>10618.150100495221</v>
      </c>
      <c r="F7967" s="423">
        <v>904.34657618689016</v>
      </c>
      <c r="G7967" s="422">
        <v>190601967.9189612</v>
      </c>
      <c r="H7967" s="417" t="s">
        <v>2616</v>
      </c>
      <c r="I7967" s="417" t="s">
        <v>1392</v>
      </c>
      <c r="J7967" s="417" t="s">
        <v>3915</v>
      </c>
      <c r="K7967" s="417" t="s">
        <v>18408</v>
      </c>
      <c r="L7967" s="417"/>
      <c r="M7967" s="417" t="s">
        <v>28840</v>
      </c>
    </row>
    <row r="7968" spans="1:13" x14ac:dyDescent="0.25">
      <c r="A7968" s="417" t="s">
        <v>3385</v>
      </c>
      <c r="B7968" s="417" t="s">
        <v>2627</v>
      </c>
      <c r="C7968" s="417" t="s">
        <v>18409</v>
      </c>
      <c r="D7968" s="417" t="s">
        <v>88</v>
      </c>
      <c r="E7968" s="423">
        <v>508.58850005658621</v>
      </c>
      <c r="F7968" s="423">
        <v>41.656853851552903</v>
      </c>
      <c r="G7968" s="422">
        <v>939488.44968595984</v>
      </c>
      <c r="H7968" s="417" t="s">
        <v>2616</v>
      </c>
      <c r="I7968" s="417" t="s">
        <v>1392</v>
      </c>
      <c r="J7968" s="417" t="s">
        <v>3915</v>
      </c>
      <c r="K7968" s="417" t="s">
        <v>18410</v>
      </c>
      <c r="L7968" s="417"/>
      <c r="M7968" s="417" t="s">
        <v>28840</v>
      </c>
    </row>
    <row r="7969" spans="1:13" x14ac:dyDescent="0.25">
      <c r="A7969" s="417" t="s">
        <v>3385</v>
      </c>
      <c r="B7969" s="417" t="s">
        <v>2627</v>
      </c>
      <c r="C7969" s="417" t="s">
        <v>18411</v>
      </c>
      <c r="D7969" s="417" t="s">
        <v>989</v>
      </c>
      <c r="E7969" s="423">
        <v>0.26680592163062888</v>
      </c>
      <c r="F7969" s="423">
        <v>3.1186576588364611E-2</v>
      </c>
      <c r="G7969" s="422">
        <v>1002.881447216067</v>
      </c>
      <c r="H7969" s="417" t="s">
        <v>2616</v>
      </c>
      <c r="I7969" s="417" t="s">
        <v>1392</v>
      </c>
      <c r="J7969" s="417" t="s">
        <v>3699</v>
      </c>
      <c r="K7969" s="417" t="s">
        <v>18412</v>
      </c>
      <c r="L7969" s="417"/>
      <c r="M7969" s="417" t="s">
        <v>28840</v>
      </c>
    </row>
    <row r="7970" spans="1:13" x14ac:dyDescent="0.25">
      <c r="A7970" s="417" t="s">
        <v>3385</v>
      </c>
      <c r="B7970" s="417" t="s">
        <v>2627</v>
      </c>
      <c r="C7970" s="417" t="s">
        <v>18413</v>
      </c>
      <c r="D7970" s="417" t="s">
        <v>989</v>
      </c>
      <c r="E7970" s="423">
        <v>4.1435761422646232E-2</v>
      </c>
      <c r="F7970" s="423">
        <v>4.2727677894605588E-3</v>
      </c>
      <c r="G7970" s="422">
        <v>129.33761661934659</v>
      </c>
      <c r="H7970" s="417" t="s">
        <v>2616</v>
      </c>
      <c r="I7970" s="417" t="s">
        <v>1392</v>
      </c>
      <c r="J7970" s="417" t="s">
        <v>3699</v>
      </c>
      <c r="K7970" s="417" t="s">
        <v>18414</v>
      </c>
      <c r="L7970" s="417"/>
      <c r="M7970" s="417" t="s">
        <v>28840</v>
      </c>
    </row>
    <row r="7971" spans="1:13" x14ac:dyDescent="0.25">
      <c r="A7971" s="417" t="s">
        <v>3385</v>
      </c>
      <c r="B7971" s="417" t="s">
        <v>2627</v>
      </c>
      <c r="C7971" s="417" t="s">
        <v>18415</v>
      </c>
      <c r="D7971" s="417" t="s">
        <v>989</v>
      </c>
      <c r="E7971" s="423">
        <v>0.42905114177715609</v>
      </c>
      <c r="F7971" s="423">
        <v>4.6222930066749407E-2</v>
      </c>
      <c r="G7971" s="422">
        <v>1152.38501096408</v>
      </c>
      <c r="H7971" s="417" t="s">
        <v>2616</v>
      </c>
      <c r="I7971" s="417" t="s">
        <v>1392</v>
      </c>
      <c r="J7971" s="417" t="s">
        <v>3699</v>
      </c>
      <c r="K7971" s="417" t="s">
        <v>18416</v>
      </c>
      <c r="L7971" s="417"/>
      <c r="M7971" s="417" t="s">
        <v>28840</v>
      </c>
    </row>
    <row r="7972" spans="1:13" x14ac:dyDescent="0.25">
      <c r="A7972" s="417" t="s">
        <v>3385</v>
      </c>
      <c r="B7972" s="417" t="s">
        <v>2627</v>
      </c>
      <c r="C7972" s="417" t="s">
        <v>18417</v>
      </c>
      <c r="D7972" s="417" t="s">
        <v>83</v>
      </c>
      <c r="E7972" s="423">
        <v>672.86673962928216</v>
      </c>
      <c r="F7972" s="423">
        <v>1129.0981672937869</v>
      </c>
      <c r="G7972" s="422">
        <v>1432872.988124355</v>
      </c>
      <c r="H7972" s="417" t="s">
        <v>2616</v>
      </c>
      <c r="I7972" s="417" t="s">
        <v>1392</v>
      </c>
      <c r="J7972" s="417" t="s">
        <v>4016</v>
      </c>
      <c r="K7972" s="417" t="s">
        <v>18418</v>
      </c>
      <c r="L7972" s="417"/>
      <c r="M7972" s="417" t="s">
        <v>28840</v>
      </c>
    </row>
    <row r="7973" spans="1:13" x14ac:dyDescent="0.25">
      <c r="A7973" s="417" t="s">
        <v>3385</v>
      </c>
      <c r="B7973" s="417" t="s">
        <v>2627</v>
      </c>
      <c r="C7973" s="417" t="s">
        <v>18419</v>
      </c>
      <c r="D7973" s="417" t="s">
        <v>83</v>
      </c>
      <c r="E7973" s="423">
        <v>672.86673962854775</v>
      </c>
      <c r="F7973" s="423">
        <v>1129.098167293804</v>
      </c>
      <c r="G7973" s="422">
        <v>1421729.6487538379</v>
      </c>
      <c r="H7973" s="417" t="s">
        <v>2616</v>
      </c>
      <c r="I7973" s="417" t="s">
        <v>1392</v>
      </c>
      <c r="J7973" s="417" t="s">
        <v>4016</v>
      </c>
      <c r="K7973" s="417" t="s">
        <v>18420</v>
      </c>
      <c r="L7973" s="417"/>
      <c r="M7973" s="417" t="s">
        <v>28840</v>
      </c>
    </row>
    <row r="7974" spans="1:13" x14ac:dyDescent="0.25">
      <c r="A7974" s="417" t="s">
        <v>3385</v>
      </c>
      <c r="B7974" s="417" t="s">
        <v>2627</v>
      </c>
      <c r="C7974" s="417" t="s">
        <v>18421</v>
      </c>
      <c r="D7974" s="417" t="s">
        <v>83</v>
      </c>
      <c r="E7974" s="423">
        <v>663.36709005447415</v>
      </c>
      <c r="F7974" s="423">
        <v>1128.372590379066</v>
      </c>
      <c r="G7974" s="422">
        <v>1414126.869032573</v>
      </c>
      <c r="H7974" s="417" t="s">
        <v>2616</v>
      </c>
      <c r="I7974" s="417" t="s">
        <v>1392</v>
      </c>
      <c r="J7974" s="417" t="s">
        <v>4016</v>
      </c>
      <c r="K7974" s="417" t="s">
        <v>18422</v>
      </c>
      <c r="L7974" s="417"/>
      <c r="M7974" s="417" t="s">
        <v>28840</v>
      </c>
    </row>
    <row r="7975" spans="1:13" x14ac:dyDescent="0.25">
      <c r="A7975" s="417" t="s">
        <v>3385</v>
      </c>
      <c r="B7975" s="417" t="s">
        <v>2627</v>
      </c>
      <c r="C7975" s="417" t="s">
        <v>18423</v>
      </c>
      <c r="D7975" s="417" t="s">
        <v>83</v>
      </c>
      <c r="E7975" s="423">
        <v>339.4771928786281</v>
      </c>
      <c r="F7975" s="423">
        <v>780.60007061514284</v>
      </c>
      <c r="G7975" s="422">
        <v>896394.89953113475</v>
      </c>
      <c r="H7975" s="417" t="s">
        <v>2616</v>
      </c>
      <c r="I7975" s="417" t="s">
        <v>1392</v>
      </c>
      <c r="J7975" s="417" t="s">
        <v>10862</v>
      </c>
      <c r="K7975" s="417" t="s">
        <v>18424</v>
      </c>
      <c r="L7975" s="417"/>
      <c r="M7975" s="417" t="s">
        <v>28840</v>
      </c>
    </row>
    <row r="7976" spans="1:13" x14ac:dyDescent="0.25">
      <c r="A7976" s="417" t="s">
        <v>3385</v>
      </c>
      <c r="B7976" s="417" t="s">
        <v>2627</v>
      </c>
      <c r="C7976" s="417" t="s">
        <v>18425</v>
      </c>
      <c r="D7976" s="417" t="s">
        <v>83</v>
      </c>
      <c r="E7976" s="423">
        <v>339.4771928786281</v>
      </c>
      <c r="F7976" s="423">
        <v>780.60007061514284</v>
      </c>
      <c r="G7976" s="422">
        <v>878519.97953113471</v>
      </c>
      <c r="H7976" s="417" t="s">
        <v>2616</v>
      </c>
      <c r="I7976" s="417" t="s">
        <v>1392</v>
      </c>
      <c r="J7976" s="417" t="s">
        <v>3627</v>
      </c>
      <c r="K7976" s="417" t="s">
        <v>18426</v>
      </c>
      <c r="L7976" s="417"/>
      <c r="M7976" s="417" t="s">
        <v>28840</v>
      </c>
    </row>
    <row r="7977" spans="1:13" x14ac:dyDescent="0.25">
      <c r="A7977" s="417" t="s">
        <v>3385</v>
      </c>
      <c r="B7977" s="417" t="s">
        <v>2627</v>
      </c>
      <c r="C7977" s="417" t="s">
        <v>1007</v>
      </c>
      <c r="D7977" s="417" t="s">
        <v>88</v>
      </c>
      <c r="E7977" s="423">
        <v>0.78662132692167197</v>
      </c>
      <c r="F7977" s="423">
        <v>1.5717334153910281</v>
      </c>
      <c r="G7977" s="422">
        <v>1996.194977932777</v>
      </c>
      <c r="H7977" s="417" t="s">
        <v>2616</v>
      </c>
      <c r="I7977" s="417" t="s">
        <v>28841</v>
      </c>
      <c r="J7977" s="417" t="s">
        <v>11052</v>
      </c>
      <c r="K7977" s="417" t="s">
        <v>18427</v>
      </c>
      <c r="L7977" s="417"/>
      <c r="M7977" s="417" t="s">
        <v>28840</v>
      </c>
    </row>
    <row r="7978" spans="1:13" x14ac:dyDescent="0.25">
      <c r="A7978" s="417" t="s">
        <v>3385</v>
      </c>
      <c r="B7978" s="417" t="s">
        <v>2627</v>
      </c>
      <c r="C7978" s="417" t="s">
        <v>18428</v>
      </c>
      <c r="D7978" s="417" t="s">
        <v>88</v>
      </c>
      <c r="E7978" s="423">
        <v>0.78662132692167197</v>
      </c>
      <c r="F7978" s="423">
        <v>1.5717334153910281</v>
      </c>
      <c r="G7978" s="422">
        <v>1973.906977932777</v>
      </c>
      <c r="H7978" s="417" t="s">
        <v>2616</v>
      </c>
      <c r="I7978" s="417" t="s">
        <v>1392</v>
      </c>
      <c r="J7978" s="417" t="s">
        <v>11052</v>
      </c>
      <c r="K7978" s="417" t="s">
        <v>18429</v>
      </c>
      <c r="L7978" s="417"/>
      <c r="M7978" s="417" t="s">
        <v>28840</v>
      </c>
    </row>
    <row r="7979" spans="1:13" x14ac:dyDescent="0.25">
      <c r="A7979" s="417" t="s">
        <v>3385</v>
      </c>
      <c r="B7979" s="417" t="s">
        <v>2627</v>
      </c>
      <c r="C7979" s="417" t="s">
        <v>18430</v>
      </c>
      <c r="D7979" s="417" t="s">
        <v>83</v>
      </c>
      <c r="E7979" s="423">
        <v>573.40675953561231</v>
      </c>
      <c r="F7979" s="423">
        <v>785.35773388491361</v>
      </c>
      <c r="G7979" s="422">
        <v>1261608.026810966</v>
      </c>
      <c r="H7979" s="417" t="s">
        <v>2616</v>
      </c>
      <c r="I7979" s="417" t="s">
        <v>1392</v>
      </c>
      <c r="J7979" s="417" t="s">
        <v>10862</v>
      </c>
      <c r="K7979" s="417" t="s">
        <v>18431</v>
      </c>
      <c r="L7979" s="417"/>
      <c r="M7979" s="417" t="s">
        <v>28840</v>
      </c>
    </row>
    <row r="7980" spans="1:13" x14ac:dyDescent="0.25">
      <c r="A7980" s="417" t="s">
        <v>3385</v>
      </c>
      <c r="B7980" s="417" t="s">
        <v>2627</v>
      </c>
      <c r="C7980" s="417" t="s">
        <v>18432</v>
      </c>
      <c r="D7980" s="417" t="s">
        <v>83</v>
      </c>
      <c r="E7980" s="423">
        <v>573.40675953561231</v>
      </c>
      <c r="F7980" s="423">
        <v>785.35773388491361</v>
      </c>
      <c r="G7980" s="422">
        <v>1243733.106810967</v>
      </c>
      <c r="H7980" s="417" t="s">
        <v>2616</v>
      </c>
      <c r="I7980" s="417" t="s">
        <v>1392</v>
      </c>
      <c r="J7980" s="417" t="s">
        <v>3627</v>
      </c>
      <c r="K7980" s="417" t="s">
        <v>18433</v>
      </c>
      <c r="L7980" s="417"/>
      <c r="M7980" s="417" t="s">
        <v>28840</v>
      </c>
    </row>
    <row r="7981" spans="1:13" x14ac:dyDescent="0.25">
      <c r="A7981" s="417" t="s">
        <v>3385</v>
      </c>
      <c r="B7981" s="417" t="s">
        <v>2627</v>
      </c>
      <c r="C7981" s="417" t="s">
        <v>1008</v>
      </c>
      <c r="D7981" s="417" t="s">
        <v>88</v>
      </c>
      <c r="E7981" s="423">
        <v>1.2544804601847339</v>
      </c>
      <c r="F7981" s="423">
        <v>1.5812487419289769</v>
      </c>
      <c r="G7981" s="422">
        <v>2726.6212315489438</v>
      </c>
      <c r="H7981" s="417" t="s">
        <v>2616</v>
      </c>
      <c r="I7981" s="417" t="s">
        <v>28841</v>
      </c>
      <c r="J7981" s="417" t="s">
        <v>11052</v>
      </c>
      <c r="K7981" s="417" t="s">
        <v>18434</v>
      </c>
      <c r="L7981" s="417"/>
      <c r="M7981" s="417" t="s">
        <v>28840</v>
      </c>
    </row>
    <row r="7982" spans="1:13" x14ac:dyDescent="0.25">
      <c r="A7982" s="417" t="s">
        <v>3385</v>
      </c>
      <c r="B7982" s="417" t="s">
        <v>2627</v>
      </c>
      <c r="C7982" s="417" t="s">
        <v>18435</v>
      </c>
      <c r="D7982" s="417" t="s">
        <v>88</v>
      </c>
      <c r="E7982" s="423">
        <v>1.2544804601847339</v>
      </c>
      <c r="F7982" s="423">
        <v>1.5812487419289769</v>
      </c>
      <c r="G7982" s="422">
        <v>2704.3332315489438</v>
      </c>
      <c r="H7982" s="417" t="s">
        <v>2616</v>
      </c>
      <c r="I7982" s="417" t="s">
        <v>1392</v>
      </c>
      <c r="J7982" s="417" t="s">
        <v>11052</v>
      </c>
      <c r="K7982" s="417" t="s">
        <v>18436</v>
      </c>
      <c r="L7982" s="417"/>
      <c r="M7982" s="417" t="s">
        <v>28840</v>
      </c>
    </row>
    <row r="7983" spans="1:13" x14ac:dyDescent="0.25">
      <c r="A7983" s="417" t="s">
        <v>3385</v>
      </c>
      <c r="B7983" s="417" t="s">
        <v>2627</v>
      </c>
      <c r="C7983" s="417" t="s">
        <v>18437</v>
      </c>
      <c r="D7983" s="417" t="s">
        <v>989</v>
      </c>
      <c r="E7983" s="423">
        <v>9.7888460703459383</v>
      </c>
      <c r="F7983" s="423">
        <v>0.38049417878106562</v>
      </c>
      <c r="G7983" s="422">
        <v>39487.126334882581</v>
      </c>
      <c r="H7983" s="417" t="s">
        <v>2616</v>
      </c>
      <c r="I7983" s="417" t="s">
        <v>1392</v>
      </c>
      <c r="J7983" s="417" t="s">
        <v>4294</v>
      </c>
      <c r="K7983" s="417" t="s">
        <v>18438</v>
      </c>
      <c r="L7983" s="417"/>
      <c r="M7983" s="417" t="s">
        <v>28840</v>
      </c>
    </row>
    <row r="7984" spans="1:13" x14ac:dyDescent="0.25">
      <c r="A7984" s="417" t="s">
        <v>3385</v>
      </c>
      <c r="B7984" s="417" t="s">
        <v>2437</v>
      </c>
      <c r="C7984" s="417" t="s">
        <v>18439</v>
      </c>
      <c r="D7984" s="417" t="s">
        <v>88</v>
      </c>
      <c r="E7984" s="423">
        <v>9.3986000345665577</v>
      </c>
      <c r="F7984" s="423">
        <v>6.4870152189465208E-2</v>
      </c>
      <c r="G7984" s="422">
        <v>13354.492957166471</v>
      </c>
      <c r="H7984" s="417" t="s">
        <v>2616</v>
      </c>
      <c r="I7984" s="417" t="s">
        <v>1392</v>
      </c>
      <c r="J7984" s="417" t="s">
        <v>4531</v>
      </c>
      <c r="K7984" s="417" t="s">
        <v>18440</v>
      </c>
      <c r="L7984" s="417"/>
      <c r="M7984" s="417" t="s">
        <v>28840</v>
      </c>
    </row>
    <row r="7985" spans="1:13" x14ac:dyDescent="0.25">
      <c r="A7985" s="417" t="s">
        <v>3385</v>
      </c>
      <c r="B7985" s="417" t="s">
        <v>2627</v>
      </c>
      <c r="C7985" s="417" t="s">
        <v>18441</v>
      </c>
      <c r="D7985" s="417" t="s">
        <v>88</v>
      </c>
      <c r="E7985" s="423">
        <v>9.0641479484848393</v>
      </c>
      <c r="F7985" s="423">
        <v>0.15061484964101279</v>
      </c>
      <c r="G7985" s="422">
        <v>13562.104894017049</v>
      </c>
      <c r="H7985" s="417" t="s">
        <v>2616</v>
      </c>
      <c r="I7985" s="417" t="s">
        <v>1392</v>
      </c>
      <c r="J7985" s="417" t="s">
        <v>3396</v>
      </c>
      <c r="K7985" s="417" t="s">
        <v>18442</v>
      </c>
      <c r="L7985" s="417"/>
      <c r="M7985" s="417" t="s">
        <v>28840</v>
      </c>
    </row>
    <row r="7986" spans="1:13" x14ac:dyDescent="0.25">
      <c r="A7986" s="417" t="s">
        <v>3385</v>
      </c>
      <c r="B7986" s="417" t="s">
        <v>2627</v>
      </c>
      <c r="C7986" s="417" t="s">
        <v>1012</v>
      </c>
      <c r="D7986" s="417" t="s">
        <v>88</v>
      </c>
      <c r="E7986" s="423">
        <v>3.986896852855939</v>
      </c>
      <c r="F7986" s="423">
        <v>1.526387670063056E-2</v>
      </c>
      <c r="G7986" s="422">
        <v>5541.9901300461552</v>
      </c>
      <c r="H7986" s="417" t="s">
        <v>2616</v>
      </c>
      <c r="I7986" s="417" t="s">
        <v>28841</v>
      </c>
      <c r="J7986" s="417" t="s">
        <v>3629</v>
      </c>
      <c r="K7986" s="417" t="s">
        <v>18443</v>
      </c>
      <c r="L7986" s="417"/>
      <c r="M7986" s="417" t="s">
        <v>28840</v>
      </c>
    </row>
    <row r="7987" spans="1:13" x14ac:dyDescent="0.25">
      <c r="A7987" s="417" t="s">
        <v>3385</v>
      </c>
      <c r="B7987" s="417" t="s">
        <v>2627</v>
      </c>
      <c r="C7987" s="417" t="s">
        <v>18444</v>
      </c>
      <c r="D7987" s="417" t="s">
        <v>88</v>
      </c>
      <c r="E7987" s="423">
        <v>8.364524232370254</v>
      </c>
      <c r="F7987" s="423">
        <v>4.6215840425771683E-2</v>
      </c>
      <c r="G7987" s="422">
        <v>12677.25461649249</v>
      </c>
      <c r="H7987" s="417" t="s">
        <v>2616</v>
      </c>
      <c r="I7987" s="417" t="s">
        <v>1392</v>
      </c>
      <c r="J7987" s="417" t="s">
        <v>3627</v>
      </c>
      <c r="K7987" s="417" t="s">
        <v>18445</v>
      </c>
      <c r="L7987" s="417"/>
      <c r="M7987" s="417" t="s">
        <v>28840</v>
      </c>
    </row>
    <row r="7988" spans="1:13" x14ac:dyDescent="0.25">
      <c r="A7988" s="417" t="s">
        <v>3385</v>
      </c>
      <c r="B7988" s="417" t="s">
        <v>2627</v>
      </c>
      <c r="C7988" s="417" t="s">
        <v>1022</v>
      </c>
      <c r="D7988" s="417" t="s">
        <v>88</v>
      </c>
      <c r="E7988" s="423">
        <v>8.1023184126889625</v>
      </c>
      <c r="F7988" s="423">
        <v>1.206754412683245E-2</v>
      </c>
      <c r="G7988" s="422">
        <v>12191.962286135289</v>
      </c>
      <c r="H7988" s="417" t="s">
        <v>2616</v>
      </c>
      <c r="I7988" s="417" t="s">
        <v>28841</v>
      </c>
      <c r="J7988" s="417" t="s">
        <v>10852</v>
      </c>
      <c r="K7988" s="417" t="s">
        <v>18446</v>
      </c>
      <c r="L7988" s="417"/>
      <c r="M7988" s="417" t="s">
        <v>28840</v>
      </c>
    </row>
    <row r="7989" spans="1:13" x14ac:dyDescent="0.25">
      <c r="A7989" s="417" t="s">
        <v>3385</v>
      </c>
      <c r="B7989" s="417" t="s">
        <v>2627</v>
      </c>
      <c r="C7989" s="417" t="s">
        <v>18447</v>
      </c>
      <c r="D7989" s="417" t="s">
        <v>88</v>
      </c>
      <c r="E7989" s="423">
        <v>1.1566156637887659</v>
      </c>
      <c r="F7989" s="423">
        <v>1.7895350000000001E-2</v>
      </c>
      <c r="G7989" s="422">
        <v>1889.8387723981641</v>
      </c>
      <c r="H7989" s="417" t="s">
        <v>2616</v>
      </c>
      <c r="I7989" s="417" t="s">
        <v>1392</v>
      </c>
      <c r="J7989" s="417" t="s">
        <v>18448</v>
      </c>
      <c r="K7989" s="417" t="s">
        <v>18449</v>
      </c>
      <c r="L7989" s="417"/>
      <c r="M7989" s="417" t="s">
        <v>28840</v>
      </c>
    </row>
    <row r="7990" spans="1:13" x14ac:dyDescent="0.25">
      <c r="A7990" s="417" t="s">
        <v>3385</v>
      </c>
      <c r="B7990" s="417" t="s">
        <v>2627</v>
      </c>
      <c r="C7990" s="417" t="s">
        <v>1027</v>
      </c>
      <c r="D7990" s="417" t="s">
        <v>88</v>
      </c>
      <c r="E7990" s="423">
        <v>6.5950669953926706</v>
      </c>
      <c r="F7990" s="423">
        <v>0.1364598403372736</v>
      </c>
      <c r="G7990" s="422">
        <v>10089.51263800653</v>
      </c>
      <c r="H7990" s="417" t="s">
        <v>2616</v>
      </c>
      <c r="I7990" s="417" t="s">
        <v>28841</v>
      </c>
      <c r="J7990" s="417" t="s">
        <v>3396</v>
      </c>
      <c r="K7990" s="417" t="s">
        <v>18450</v>
      </c>
      <c r="L7990" s="417"/>
      <c r="M7990" s="417" t="s">
        <v>28840</v>
      </c>
    </row>
    <row r="7991" spans="1:13" x14ac:dyDescent="0.25">
      <c r="A7991" s="417" t="s">
        <v>3385</v>
      </c>
      <c r="B7991" s="417" t="s">
        <v>2627</v>
      </c>
      <c r="C7991" s="417" t="s">
        <v>18451</v>
      </c>
      <c r="D7991" s="417" t="s">
        <v>88</v>
      </c>
      <c r="E7991" s="423">
        <v>2.524141052881697</v>
      </c>
      <c r="F7991" s="423">
        <v>8.9284724126920872E-2</v>
      </c>
      <c r="G7991" s="422">
        <v>4171.2816138658472</v>
      </c>
      <c r="H7991" s="417" t="s">
        <v>2616</v>
      </c>
      <c r="I7991" s="417" t="s">
        <v>1392</v>
      </c>
      <c r="J7991" s="417" t="s">
        <v>3627</v>
      </c>
      <c r="K7991" s="417" t="s">
        <v>18452</v>
      </c>
      <c r="L7991" s="417"/>
      <c r="M7991" s="417" t="s">
        <v>28840</v>
      </c>
    </row>
    <row r="7992" spans="1:13" x14ac:dyDescent="0.25">
      <c r="A7992" s="417" t="s">
        <v>3385</v>
      </c>
      <c r="B7992" s="417" t="s">
        <v>2627</v>
      </c>
      <c r="C7992" s="417" t="s">
        <v>1015</v>
      </c>
      <c r="D7992" s="417" t="s">
        <v>88</v>
      </c>
      <c r="E7992" s="423">
        <v>2.7999341552428838</v>
      </c>
      <c r="F7992" s="423">
        <v>9.1557705143297502E-2</v>
      </c>
      <c r="G7992" s="422">
        <v>4696.6009971996573</v>
      </c>
      <c r="H7992" s="417" t="s">
        <v>2616</v>
      </c>
      <c r="I7992" s="417" t="s">
        <v>28841</v>
      </c>
      <c r="J7992" s="417" t="s">
        <v>10852</v>
      </c>
      <c r="K7992" s="417" t="s">
        <v>18453</v>
      </c>
      <c r="L7992" s="417"/>
      <c r="M7992" s="417" t="s">
        <v>28840</v>
      </c>
    </row>
    <row r="7993" spans="1:13" x14ac:dyDescent="0.25">
      <c r="A7993" s="417" t="s">
        <v>3385</v>
      </c>
      <c r="B7993" s="417" t="s">
        <v>2627</v>
      </c>
      <c r="C7993" s="417" t="s">
        <v>1633</v>
      </c>
      <c r="D7993" s="417" t="s">
        <v>88</v>
      </c>
      <c r="E7993" s="423">
        <v>2.580836602861984</v>
      </c>
      <c r="F7993" s="423">
        <v>0.1014867491656552</v>
      </c>
      <c r="G7993" s="422">
        <v>4119.9306418521737</v>
      </c>
      <c r="H7993" s="417" t="s">
        <v>2616</v>
      </c>
      <c r="I7993" s="417" t="s">
        <v>1392</v>
      </c>
      <c r="J7993" s="417" t="s">
        <v>10852</v>
      </c>
      <c r="K7993" s="417" t="s">
        <v>18454</v>
      </c>
      <c r="L7993" s="417"/>
      <c r="M7993" s="417" t="s">
        <v>28840</v>
      </c>
    </row>
    <row r="7994" spans="1:13" x14ac:dyDescent="0.25">
      <c r="A7994" s="417" t="s">
        <v>3385</v>
      </c>
      <c r="B7994" s="417" t="s">
        <v>2627</v>
      </c>
      <c r="C7994" s="417" t="s">
        <v>1023</v>
      </c>
      <c r="D7994" s="417" t="s">
        <v>88</v>
      </c>
      <c r="E7994" s="423">
        <v>2.269972960934262</v>
      </c>
      <c r="F7994" s="423">
        <v>6.7584900879160317E-2</v>
      </c>
      <c r="G7994" s="422">
        <v>3711.2575126021379</v>
      </c>
      <c r="H7994" s="417" t="s">
        <v>2616</v>
      </c>
      <c r="I7994" s="417" t="s">
        <v>28841</v>
      </c>
      <c r="J7994" s="417" t="s">
        <v>10852</v>
      </c>
      <c r="K7994" s="417" t="s">
        <v>18455</v>
      </c>
      <c r="L7994" s="417"/>
      <c r="M7994" s="417" t="s">
        <v>28840</v>
      </c>
    </row>
    <row r="7995" spans="1:13" x14ac:dyDescent="0.25">
      <c r="A7995" s="417" t="s">
        <v>3385</v>
      </c>
      <c r="B7995" s="417" t="s">
        <v>2627</v>
      </c>
      <c r="C7995" s="417" t="s">
        <v>1024</v>
      </c>
      <c r="D7995" s="417" t="s">
        <v>88</v>
      </c>
      <c r="E7995" s="423">
        <v>2.3488728348615791</v>
      </c>
      <c r="F7995" s="423">
        <v>0.1059120204617152</v>
      </c>
      <c r="G7995" s="422">
        <v>4376.262658428439</v>
      </c>
      <c r="H7995" s="417" t="s">
        <v>2616</v>
      </c>
      <c r="I7995" s="417" t="s">
        <v>28841</v>
      </c>
      <c r="J7995" s="417" t="s">
        <v>10852</v>
      </c>
      <c r="K7995" s="417" t="s">
        <v>18456</v>
      </c>
      <c r="L7995" s="417"/>
      <c r="M7995" s="417" t="s">
        <v>28840</v>
      </c>
    </row>
    <row r="7996" spans="1:13" x14ac:dyDescent="0.25">
      <c r="A7996" s="417" t="s">
        <v>3385</v>
      </c>
      <c r="B7996" s="417" t="s">
        <v>2627</v>
      </c>
      <c r="C7996" s="417" t="s">
        <v>18457</v>
      </c>
      <c r="D7996" s="417" t="s">
        <v>88</v>
      </c>
      <c r="E7996" s="423">
        <v>2.2366135060660399</v>
      </c>
      <c r="F7996" s="423">
        <v>6.7584506381322518E-2</v>
      </c>
      <c r="G7996" s="422">
        <v>3645.842391728549</v>
      </c>
      <c r="H7996" s="417" t="s">
        <v>2616</v>
      </c>
      <c r="I7996" s="417" t="s">
        <v>1392</v>
      </c>
      <c r="J7996" s="417" t="s">
        <v>10852</v>
      </c>
      <c r="K7996" s="417" t="s">
        <v>18458</v>
      </c>
      <c r="L7996" s="417"/>
      <c r="M7996" s="417" t="s">
        <v>28840</v>
      </c>
    </row>
    <row r="7997" spans="1:13" x14ac:dyDescent="0.25">
      <c r="A7997" s="417" t="s">
        <v>3385</v>
      </c>
      <c r="B7997" s="417" t="s">
        <v>2627</v>
      </c>
      <c r="C7997" s="417" t="s">
        <v>1010</v>
      </c>
      <c r="D7997" s="417" t="s">
        <v>88</v>
      </c>
      <c r="E7997" s="423">
        <v>2.7098604319380462</v>
      </c>
      <c r="F7997" s="423">
        <v>0.12572084212535489</v>
      </c>
      <c r="G7997" s="422">
        <v>8704.3202771962569</v>
      </c>
      <c r="H7997" s="417" t="s">
        <v>2616</v>
      </c>
      <c r="I7997" s="417" t="s">
        <v>28841</v>
      </c>
      <c r="J7997" s="417" t="s">
        <v>14134</v>
      </c>
      <c r="K7997" s="417" t="s">
        <v>18459</v>
      </c>
      <c r="L7997" s="417"/>
      <c r="M7997" s="417" t="s">
        <v>28840</v>
      </c>
    </row>
    <row r="7998" spans="1:13" x14ac:dyDescent="0.25">
      <c r="A7998" s="417" t="s">
        <v>3385</v>
      </c>
      <c r="B7998" s="417" t="s">
        <v>2627</v>
      </c>
      <c r="C7998" s="417" t="s">
        <v>18460</v>
      </c>
      <c r="D7998" s="417" t="s">
        <v>88</v>
      </c>
      <c r="E7998" s="423">
        <v>90.730197679518469</v>
      </c>
      <c r="F7998" s="423">
        <v>1.9079852390999159</v>
      </c>
      <c r="G7998" s="422">
        <v>170309.9700896774</v>
      </c>
      <c r="H7998" s="417" t="s">
        <v>2616</v>
      </c>
      <c r="I7998" s="417" t="s">
        <v>1392</v>
      </c>
      <c r="J7998" s="417" t="s">
        <v>3809</v>
      </c>
      <c r="K7998" s="417" t="s">
        <v>18461</v>
      </c>
      <c r="L7998" s="417"/>
      <c r="M7998" s="417" t="s">
        <v>28840</v>
      </c>
    </row>
    <row r="7999" spans="1:13" x14ac:dyDescent="0.25">
      <c r="A7999" s="417" t="s">
        <v>3385</v>
      </c>
      <c r="B7999" s="417" t="s">
        <v>2627</v>
      </c>
      <c r="C7999" s="417" t="s">
        <v>1025</v>
      </c>
      <c r="D7999" s="417" t="s">
        <v>88</v>
      </c>
      <c r="E7999" s="423">
        <v>7.3472188229043329</v>
      </c>
      <c r="F7999" s="423">
        <v>2.2368100607337661E-2</v>
      </c>
      <c r="G7999" s="422">
        <v>10094.60155234147</v>
      </c>
      <c r="H7999" s="417" t="s">
        <v>2616</v>
      </c>
      <c r="I7999" s="417" t="s">
        <v>28841</v>
      </c>
      <c r="J7999" s="417" t="s">
        <v>10852</v>
      </c>
      <c r="K7999" s="417" t="s">
        <v>18462</v>
      </c>
      <c r="L7999" s="417"/>
      <c r="M7999" s="417" t="s">
        <v>28840</v>
      </c>
    </row>
    <row r="8000" spans="1:13" x14ac:dyDescent="0.25">
      <c r="A8000" s="417" t="s">
        <v>3385</v>
      </c>
      <c r="B8000" s="417" t="s">
        <v>2627</v>
      </c>
      <c r="C8000" s="417" t="s">
        <v>1026</v>
      </c>
      <c r="D8000" s="417" t="s">
        <v>88</v>
      </c>
      <c r="E8000" s="423">
        <v>8.6511814608791493</v>
      </c>
      <c r="F8000" s="423">
        <v>5.3676370687411927E-2</v>
      </c>
      <c r="G8000" s="422">
        <v>11707.146980881729</v>
      </c>
      <c r="H8000" s="417" t="s">
        <v>2616</v>
      </c>
      <c r="I8000" s="417" t="s">
        <v>28841</v>
      </c>
      <c r="J8000" s="417" t="s">
        <v>10852</v>
      </c>
      <c r="K8000" s="417" t="s">
        <v>18463</v>
      </c>
      <c r="L8000" s="417"/>
      <c r="M8000" s="417" t="s">
        <v>28840</v>
      </c>
    </row>
    <row r="8001" spans="1:13" x14ac:dyDescent="0.25">
      <c r="A8001" s="417" t="s">
        <v>3385</v>
      </c>
      <c r="B8001" s="417" t="s">
        <v>2627</v>
      </c>
      <c r="C8001" s="417" t="s">
        <v>18464</v>
      </c>
      <c r="D8001" s="417" t="s">
        <v>88</v>
      </c>
      <c r="E8001" s="423">
        <v>3.800340967754356</v>
      </c>
      <c r="F8001" s="423">
        <v>0.1148659754844525</v>
      </c>
      <c r="G8001" s="422">
        <v>6610.2071465785702</v>
      </c>
      <c r="H8001" s="417" t="s">
        <v>2616</v>
      </c>
      <c r="I8001" s="417" t="s">
        <v>1392</v>
      </c>
      <c r="J8001" s="417" t="s">
        <v>3396</v>
      </c>
      <c r="K8001" s="417" t="s">
        <v>18465</v>
      </c>
      <c r="L8001" s="417"/>
      <c r="M8001" s="417" t="s">
        <v>28840</v>
      </c>
    </row>
    <row r="8002" spans="1:13" x14ac:dyDescent="0.25">
      <c r="A8002" s="417" t="s">
        <v>3385</v>
      </c>
      <c r="B8002" s="417" t="s">
        <v>2627</v>
      </c>
      <c r="C8002" s="417" t="s">
        <v>1028</v>
      </c>
      <c r="D8002" s="417" t="s">
        <v>88</v>
      </c>
      <c r="E8002" s="423">
        <v>4.460609144434736</v>
      </c>
      <c r="F8002" s="423">
        <v>0.2293111914689451</v>
      </c>
      <c r="G8002" s="422">
        <v>18565.768410177719</v>
      </c>
      <c r="H8002" s="417" t="s">
        <v>2616</v>
      </c>
      <c r="I8002" s="417" t="s">
        <v>28841</v>
      </c>
      <c r="J8002" s="417" t="s">
        <v>10852</v>
      </c>
      <c r="K8002" s="417" t="s">
        <v>18466</v>
      </c>
      <c r="L8002" s="417"/>
      <c r="M8002" s="417" t="s">
        <v>28840</v>
      </c>
    </row>
    <row r="8003" spans="1:13" x14ac:dyDescent="0.25">
      <c r="A8003" s="417" t="s">
        <v>3385</v>
      </c>
      <c r="B8003" s="417" t="s">
        <v>2627</v>
      </c>
      <c r="C8003" s="417" t="s">
        <v>18467</v>
      </c>
      <c r="D8003" s="417" t="s">
        <v>88</v>
      </c>
      <c r="E8003" s="423">
        <v>2.3582490528317419</v>
      </c>
      <c r="F8003" s="423">
        <v>8.5789771939006665E-2</v>
      </c>
      <c r="G8003" s="422">
        <v>4031.3376322728882</v>
      </c>
      <c r="H8003" s="417" t="s">
        <v>2616</v>
      </c>
      <c r="I8003" s="417" t="s">
        <v>1392</v>
      </c>
      <c r="J8003" s="417" t="s">
        <v>3627</v>
      </c>
      <c r="K8003" s="417" t="s">
        <v>18468</v>
      </c>
      <c r="L8003" s="417"/>
      <c r="M8003" s="417" t="s">
        <v>28840</v>
      </c>
    </row>
    <row r="8004" spans="1:13" x14ac:dyDescent="0.25">
      <c r="A8004" s="417" t="s">
        <v>3385</v>
      </c>
      <c r="B8004" s="417" t="s">
        <v>2627</v>
      </c>
      <c r="C8004" s="417" t="s">
        <v>1029</v>
      </c>
      <c r="D8004" s="417" t="s">
        <v>88</v>
      </c>
      <c r="E8004" s="423">
        <v>2.104080961137925</v>
      </c>
      <c r="F8004" s="423">
        <v>6.4089948775855207E-2</v>
      </c>
      <c r="G8004" s="422">
        <v>3571.3135316646399</v>
      </c>
      <c r="H8004" s="417" t="s">
        <v>2616</v>
      </c>
      <c r="I8004" s="417" t="s">
        <v>28841</v>
      </c>
      <c r="J8004" s="417" t="s">
        <v>10852</v>
      </c>
      <c r="K8004" s="417" t="s">
        <v>18469</v>
      </c>
      <c r="L8004" s="417"/>
      <c r="M8004" s="417" t="s">
        <v>28840</v>
      </c>
    </row>
    <row r="8005" spans="1:13" x14ac:dyDescent="0.25">
      <c r="A8005" s="417" t="s">
        <v>3385</v>
      </c>
      <c r="B8005" s="417" t="s">
        <v>2627</v>
      </c>
      <c r="C8005" s="417" t="s">
        <v>18470</v>
      </c>
      <c r="D8005" s="417" t="s">
        <v>88</v>
      </c>
      <c r="E8005" s="423">
        <v>2.2492635039277751</v>
      </c>
      <c r="F8005" s="423">
        <v>6.329286642138815E-2</v>
      </c>
      <c r="G8005" s="422">
        <v>3420.142006232089</v>
      </c>
      <c r="H8005" s="417" t="s">
        <v>2616</v>
      </c>
      <c r="I8005" s="417" t="s">
        <v>1392</v>
      </c>
      <c r="J8005" s="417" t="s">
        <v>5182</v>
      </c>
      <c r="K8005" s="417" t="s">
        <v>18471</v>
      </c>
      <c r="L8005" s="417"/>
      <c r="M8005" s="417" t="s">
        <v>28840</v>
      </c>
    </row>
    <row r="8006" spans="1:13" x14ac:dyDescent="0.25">
      <c r="A8006" s="417" t="s">
        <v>3385</v>
      </c>
      <c r="B8006" s="417" t="s">
        <v>2627</v>
      </c>
      <c r="C8006" s="417" t="s">
        <v>18472</v>
      </c>
      <c r="D8006" s="417" t="s">
        <v>88</v>
      </c>
      <c r="E8006" s="423">
        <v>3.3212080675124258</v>
      </c>
      <c r="F8006" s="423">
        <v>0.1236254984063966</v>
      </c>
      <c r="G8006" s="422">
        <v>5330.2246788331486</v>
      </c>
      <c r="H8006" s="417" t="s">
        <v>2616</v>
      </c>
      <c r="I8006" s="417" t="s">
        <v>1392</v>
      </c>
      <c r="J8006" s="417" t="s">
        <v>5182</v>
      </c>
      <c r="K8006" s="417" t="s">
        <v>18473</v>
      </c>
      <c r="L8006" s="417"/>
      <c r="M8006" s="417" t="s">
        <v>28840</v>
      </c>
    </row>
    <row r="8007" spans="1:13" x14ac:dyDescent="0.25">
      <c r="A8007" s="417" t="s">
        <v>3385</v>
      </c>
      <c r="B8007" s="417" t="s">
        <v>2627</v>
      </c>
      <c r="C8007" s="417" t="s">
        <v>929</v>
      </c>
      <c r="D8007" s="417" t="s">
        <v>88</v>
      </c>
      <c r="E8007" s="423">
        <v>3.483570178655893</v>
      </c>
      <c r="F8007" s="423">
        <v>0.13823110209522221</v>
      </c>
      <c r="G8007" s="422">
        <v>5609.7909942072738</v>
      </c>
      <c r="H8007" s="417" t="s">
        <v>2616</v>
      </c>
      <c r="I8007" s="417" t="s">
        <v>28841</v>
      </c>
      <c r="J8007" s="417" t="s">
        <v>3627</v>
      </c>
      <c r="K8007" s="417" t="s">
        <v>18474</v>
      </c>
      <c r="L8007" s="417"/>
      <c r="M8007" s="417" t="s">
        <v>28840</v>
      </c>
    </row>
    <row r="8008" spans="1:13" x14ac:dyDescent="0.25">
      <c r="A8008" s="417" t="s">
        <v>3385</v>
      </c>
      <c r="B8008" s="417" t="s">
        <v>2627</v>
      </c>
      <c r="C8008" s="417" t="s">
        <v>18475</v>
      </c>
      <c r="D8008" s="417" t="s">
        <v>88</v>
      </c>
      <c r="E8008" s="423">
        <v>1.7271979686672031E-3</v>
      </c>
      <c r="F8008" s="423">
        <v>1.198971879612132E-4</v>
      </c>
      <c r="G8008" s="422">
        <v>3.2302885724381829</v>
      </c>
      <c r="H8008" s="417" t="s">
        <v>2616</v>
      </c>
      <c r="I8008" s="417" t="s">
        <v>1392</v>
      </c>
      <c r="J8008" s="417" t="s">
        <v>10852</v>
      </c>
      <c r="K8008" s="417" t="s">
        <v>18476</v>
      </c>
      <c r="L8008" s="417"/>
      <c r="M8008" s="417" t="s">
        <v>28840</v>
      </c>
    </row>
    <row r="8009" spans="1:13" x14ac:dyDescent="0.25">
      <c r="A8009" s="417" t="s">
        <v>3385</v>
      </c>
      <c r="B8009" s="417" t="s">
        <v>2627</v>
      </c>
      <c r="C8009" s="417" t="s">
        <v>1031</v>
      </c>
      <c r="D8009" s="417" t="s">
        <v>88</v>
      </c>
      <c r="E8009" s="423">
        <v>2.7123776701269549</v>
      </c>
      <c r="F8009" s="423">
        <v>9.2291926334177488E-2</v>
      </c>
      <c r="G8009" s="422">
        <v>4161.6588653062481</v>
      </c>
      <c r="H8009" s="417" t="s">
        <v>2616</v>
      </c>
      <c r="I8009" s="417" t="s">
        <v>28841</v>
      </c>
      <c r="J8009" s="417" t="s">
        <v>10852</v>
      </c>
      <c r="K8009" s="417" t="s">
        <v>18477</v>
      </c>
      <c r="L8009" s="417"/>
      <c r="M8009" s="417" t="s">
        <v>28840</v>
      </c>
    </row>
    <row r="8010" spans="1:13" x14ac:dyDescent="0.25">
      <c r="A8010" s="417" t="s">
        <v>3385</v>
      </c>
      <c r="B8010" s="417" t="s">
        <v>2627</v>
      </c>
      <c r="C8010" s="417" t="s">
        <v>18478</v>
      </c>
      <c r="D8010" s="417" t="s">
        <v>88</v>
      </c>
      <c r="E8010" s="423">
        <v>2.9454338162740519</v>
      </c>
      <c r="F8010" s="423">
        <v>0.12712378803167579</v>
      </c>
      <c r="G8010" s="422">
        <v>4809.9298278672359</v>
      </c>
      <c r="H8010" s="417" t="s">
        <v>2616</v>
      </c>
      <c r="I8010" s="417" t="s">
        <v>1392</v>
      </c>
      <c r="J8010" s="417" t="s">
        <v>5182</v>
      </c>
      <c r="K8010" s="417" t="s">
        <v>18479</v>
      </c>
      <c r="L8010" s="417"/>
      <c r="M8010" s="417" t="s">
        <v>28840</v>
      </c>
    </row>
    <row r="8011" spans="1:13" x14ac:dyDescent="0.25">
      <c r="A8011" s="417" t="s">
        <v>3385</v>
      </c>
      <c r="B8011" s="417" t="s">
        <v>2627</v>
      </c>
      <c r="C8011" s="417" t="s">
        <v>18480</v>
      </c>
      <c r="D8011" s="417" t="s">
        <v>88</v>
      </c>
      <c r="E8011" s="423">
        <v>10.79534620057756</v>
      </c>
      <c r="F8011" s="423">
        <v>0.13401785479696529</v>
      </c>
      <c r="G8011" s="422">
        <v>14566.60791236867</v>
      </c>
      <c r="H8011" s="417" t="s">
        <v>2616</v>
      </c>
      <c r="I8011" s="417" t="s">
        <v>1392</v>
      </c>
      <c r="J8011" s="417" t="s">
        <v>5182</v>
      </c>
      <c r="K8011" s="417" t="s">
        <v>18481</v>
      </c>
      <c r="L8011" s="417"/>
      <c r="M8011" s="417" t="s">
        <v>28840</v>
      </c>
    </row>
    <row r="8012" spans="1:13" x14ac:dyDescent="0.25">
      <c r="A8012" s="417" t="s">
        <v>3385</v>
      </c>
      <c r="B8012" s="417" t="s">
        <v>2627</v>
      </c>
      <c r="C8012" s="417" t="s">
        <v>18482</v>
      </c>
      <c r="D8012" s="417" t="s">
        <v>88</v>
      </c>
      <c r="E8012" s="423">
        <v>31.811038519284061</v>
      </c>
      <c r="F8012" s="423">
        <v>0.14214560931924991</v>
      </c>
      <c r="G8012" s="422">
        <v>41611.766838651121</v>
      </c>
      <c r="H8012" s="417" t="s">
        <v>2616</v>
      </c>
      <c r="I8012" s="417" t="s">
        <v>1392</v>
      </c>
      <c r="J8012" s="417" t="s">
        <v>5182</v>
      </c>
      <c r="K8012" s="417" t="s">
        <v>18483</v>
      </c>
      <c r="L8012" s="417"/>
      <c r="M8012" s="417" t="s">
        <v>28840</v>
      </c>
    </row>
    <row r="8013" spans="1:13" x14ac:dyDescent="0.25">
      <c r="A8013" s="417" t="s">
        <v>3385</v>
      </c>
      <c r="B8013" s="417" t="s">
        <v>2627</v>
      </c>
      <c r="C8013" s="417" t="s">
        <v>18484</v>
      </c>
      <c r="D8013" s="417" t="s">
        <v>88</v>
      </c>
      <c r="E8013" s="423">
        <v>5.4794786532455424</v>
      </c>
      <c r="F8013" s="423">
        <v>0.13967823266858109</v>
      </c>
      <c r="G8013" s="422">
        <v>7034.8051615075601</v>
      </c>
      <c r="H8013" s="417" t="s">
        <v>2616</v>
      </c>
      <c r="I8013" s="417" t="s">
        <v>1392</v>
      </c>
      <c r="J8013" s="417" t="s">
        <v>5182</v>
      </c>
      <c r="K8013" s="417" t="s">
        <v>18485</v>
      </c>
      <c r="L8013" s="417"/>
      <c r="M8013" s="417" t="s">
        <v>28840</v>
      </c>
    </row>
    <row r="8014" spans="1:13" x14ac:dyDescent="0.25">
      <c r="A8014" s="417" t="s">
        <v>3385</v>
      </c>
      <c r="B8014" s="417" t="s">
        <v>2627</v>
      </c>
      <c r="C8014" s="417" t="s">
        <v>1032</v>
      </c>
      <c r="D8014" s="417" t="s">
        <v>88</v>
      </c>
      <c r="E8014" s="423">
        <v>11.45251395852023</v>
      </c>
      <c r="F8014" s="423">
        <v>0.1587549242870778</v>
      </c>
      <c r="G8014" s="422">
        <v>15534.256714397439</v>
      </c>
      <c r="H8014" s="417" t="s">
        <v>2616</v>
      </c>
      <c r="I8014" s="417" t="s">
        <v>28841</v>
      </c>
      <c r="J8014" s="417" t="s">
        <v>3627</v>
      </c>
      <c r="K8014" s="417" t="s">
        <v>18486</v>
      </c>
      <c r="L8014" s="417"/>
      <c r="M8014" s="417" t="s">
        <v>28840</v>
      </c>
    </row>
    <row r="8015" spans="1:13" x14ac:dyDescent="0.25">
      <c r="A8015" s="417" t="s">
        <v>3385</v>
      </c>
      <c r="B8015" s="417" t="s">
        <v>2627</v>
      </c>
      <c r="C8015" s="417" t="s">
        <v>1030</v>
      </c>
      <c r="D8015" s="417" t="s">
        <v>88</v>
      </c>
      <c r="E8015" s="423">
        <v>3.6504576008768042</v>
      </c>
      <c r="F8015" s="423">
        <v>2.538483624878134E-2</v>
      </c>
      <c r="G8015" s="422">
        <v>4861.2828625877464</v>
      </c>
      <c r="H8015" s="417" t="s">
        <v>2616</v>
      </c>
      <c r="I8015" s="417" t="s">
        <v>28841</v>
      </c>
      <c r="J8015" s="417" t="s">
        <v>10852</v>
      </c>
      <c r="K8015" s="417" t="s">
        <v>18487</v>
      </c>
      <c r="L8015" s="417"/>
      <c r="M8015" s="417" t="s">
        <v>28840</v>
      </c>
    </row>
    <row r="8016" spans="1:13" x14ac:dyDescent="0.25">
      <c r="A8016" s="417" t="s">
        <v>3385</v>
      </c>
      <c r="B8016" s="417" t="s">
        <v>2627</v>
      </c>
      <c r="C8016" s="417" t="s">
        <v>18488</v>
      </c>
      <c r="D8016" s="417" t="s">
        <v>88</v>
      </c>
      <c r="E8016" s="423">
        <v>3.629917644977299</v>
      </c>
      <c r="F8016" s="423">
        <v>2.5092734928259981E-2</v>
      </c>
      <c r="G8016" s="422">
        <v>4880.2269368550697</v>
      </c>
      <c r="H8016" s="417" t="s">
        <v>2616</v>
      </c>
      <c r="I8016" s="417" t="s">
        <v>1392</v>
      </c>
      <c r="J8016" s="417" t="s">
        <v>10852</v>
      </c>
      <c r="K8016" s="417" t="s">
        <v>18489</v>
      </c>
      <c r="L8016" s="417"/>
      <c r="M8016" s="417" t="s">
        <v>28840</v>
      </c>
    </row>
    <row r="8017" spans="1:13" x14ac:dyDescent="0.25">
      <c r="A8017" s="417" t="s">
        <v>3385</v>
      </c>
      <c r="B8017" s="417" t="s">
        <v>2627</v>
      </c>
      <c r="C8017" s="417" t="s">
        <v>18490</v>
      </c>
      <c r="D8017" s="417" t="s">
        <v>88</v>
      </c>
      <c r="E8017" s="423">
        <v>1.394289496088353</v>
      </c>
      <c r="F8017" s="423">
        <v>5.6757119323791849E-2</v>
      </c>
      <c r="G8017" s="422">
        <v>2472.85761792523</v>
      </c>
      <c r="H8017" s="417" t="s">
        <v>2616</v>
      </c>
      <c r="I8017" s="417" t="s">
        <v>1392</v>
      </c>
      <c r="J8017" s="417" t="s">
        <v>4276</v>
      </c>
      <c r="K8017" s="417" t="s">
        <v>18491</v>
      </c>
      <c r="L8017" s="417"/>
      <c r="M8017" s="417" t="s">
        <v>28840</v>
      </c>
    </row>
    <row r="8018" spans="1:13" x14ac:dyDescent="0.25">
      <c r="A8018" s="417" t="s">
        <v>3385</v>
      </c>
      <c r="B8018" s="417" t="s">
        <v>2627</v>
      </c>
      <c r="C8018" s="417" t="s">
        <v>1037</v>
      </c>
      <c r="D8018" s="417" t="s">
        <v>88</v>
      </c>
      <c r="E8018" s="423">
        <v>4.8831742984879929</v>
      </c>
      <c r="F8018" s="423">
        <v>0.11675382838946501</v>
      </c>
      <c r="G8018" s="422">
        <v>7792.9425121764252</v>
      </c>
      <c r="H8018" s="417" t="s">
        <v>2616</v>
      </c>
      <c r="I8018" s="417" t="s">
        <v>28841</v>
      </c>
      <c r="J8018" s="417" t="s">
        <v>18492</v>
      </c>
      <c r="K8018" s="417" t="s">
        <v>18493</v>
      </c>
      <c r="L8018" s="417"/>
      <c r="M8018" s="417" t="s">
        <v>28840</v>
      </c>
    </row>
    <row r="8019" spans="1:13" x14ac:dyDescent="0.25">
      <c r="A8019" s="417" t="s">
        <v>3385</v>
      </c>
      <c r="B8019" s="417" t="s">
        <v>2627</v>
      </c>
      <c r="C8019" s="417" t="s">
        <v>18494</v>
      </c>
      <c r="D8019" s="417" t="s">
        <v>88</v>
      </c>
      <c r="E8019" s="423">
        <v>4.3549236125896167</v>
      </c>
      <c r="F8019" s="423">
        <v>7.5544971259877608E-2</v>
      </c>
      <c r="G8019" s="422">
        <v>6818.7251679748606</v>
      </c>
      <c r="H8019" s="417" t="s">
        <v>2616</v>
      </c>
      <c r="I8019" s="417" t="s">
        <v>1392</v>
      </c>
      <c r="J8019" s="417" t="s">
        <v>18492</v>
      </c>
      <c r="K8019" s="417" t="s">
        <v>18495</v>
      </c>
      <c r="L8019" s="417"/>
      <c r="M8019" s="417" t="s">
        <v>28840</v>
      </c>
    </row>
    <row r="8020" spans="1:13" x14ac:dyDescent="0.25">
      <c r="A8020" s="417" t="s">
        <v>3385</v>
      </c>
      <c r="B8020" s="417" t="s">
        <v>2627</v>
      </c>
      <c r="C8020" s="417" t="s">
        <v>1038</v>
      </c>
      <c r="D8020" s="417" t="s">
        <v>88</v>
      </c>
      <c r="E8020" s="423">
        <v>4.7466129126653529</v>
      </c>
      <c r="F8020" s="423">
        <v>9.8087805717382098E-2</v>
      </c>
      <c r="G8020" s="422">
        <v>7496.2365359995656</v>
      </c>
      <c r="H8020" s="417" t="s">
        <v>2616</v>
      </c>
      <c r="I8020" s="417" t="s">
        <v>28841</v>
      </c>
      <c r="J8020" s="417" t="s">
        <v>3627</v>
      </c>
      <c r="K8020" s="417" t="s">
        <v>18496</v>
      </c>
      <c r="L8020" s="417"/>
      <c r="M8020" s="417" t="s">
        <v>28840</v>
      </c>
    </row>
    <row r="8021" spans="1:13" x14ac:dyDescent="0.25">
      <c r="A8021" s="417" t="s">
        <v>3385</v>
      </c>
      <c r="B8021" s="417" t="s">
        <v>2627</v>
      </c>
      <c r="C8021" s="417" t="s">
        <v>18497</v>
      </c>
      <c r="D8021" s="417" t="s">
        <v>88</v>
      </c>
      <c r="E8021" s="423">
        <v>15.150620590359409</v>
      </c>
      <c r="F8021" s="423">
        <v>0.23538793547908429</v>
      </c>
      <c r="G8021" s="422">
        <v>42989.041272182258</v>
      </c>
      <c r="H8021" s="417" t="s">
        <v>2616</v>
      </c>
      <c r="I8021" s="417" t="s">
        <v>1392</v>
      </c>
      <c r="J8021" s="417" t="s">
        <v>3396</v>
      </c>
      <c r="K8021" s="417" t="s">
        <v>18498</v>
      </c>
      <c r="L8021" s="417"/>
      <c r="M8021" s="417" t="s">
        <v>28840</v>
      </c>
    </row>
    <row r="8022" spans="1:13" x14ac:dyDescent="0.25">
      <c r="A8022" s="417" t="s">
        <v>3385</v>
      </c>
      <c r="B8022" s="417" t="s">
        <v>2627</v>
      </c>
      <c r="C8022" s="417" t="s">
        <v>18499</v>
      </c>
      <c r="D8022" s="417" t="s">
        <v>88</v>
      </c>
      <c r="E8022" s="423">
        <v>10.4904849793173</v>
      </c>
      <c r="F8022" s="423">
        <v>0.23073588994289149</v>
      </c>
      <c r="G8022" s="422">
        <v>26826.864184719241</v>
      </c>
      <c r="H8022" s="417" t="s">
        <v>2616</v>
      </c>
      <c r="I8022" s="417" t="s">
        <v>1392</v>
      </c>
      <c r="J8022" s="417" t="s">
        <v>18500</v>
      </c>
      <c r="K8022" s="417" t="s">
        <v>18501</v>
      </c>
      <c r="L8022" s="417"/>
      <c r="M8022" s="417" t="s">
        <v>28840</v>
      </c>
    </row>
    <row r="8023" spans="1:13" x14ac:dyDescent="0.25">
      <c r="A8023" s="417" t="s">
        <v>3385</v>
      </c>
      <c r="B8023" s="417" t="s">
        <v>2627</v>
      </c>
      <c r="C8023" s="417" t="s">
        <v>18502</v>
      </c>
      <c r="D8023" s="417" t="s">
        <v>88</v>
      </c>
      <c r="E8023" s="423">
        <v>12.734390545506519</v>
      </c>
      <c r="F8023" s="423">
        <v>0.2154116015781701</v>
      </c>
      <c r="G8023" s="422">
        <v>33957.599617255233</v>
      </c>
      <c r="H8023" s="417" t="s">
        <v>2616</v>
      </c>
      <c r="I8023" s="417" t="s">
        <v>1392</v>
      </c>
      <c r="J8023" s="417" t="s">
        <v>18500</v>
      </c>
      <c r="K8023" s="417" t="s">
        <v>18503</v>
      </c>
      <c r="L8023" s="417"/>
      <c r="M8023" s="417" t="s">
        <v>28840</v>
      </c>
    </row>
    <row r="8024" spans="1:13" x14ac:dyDescent="0.25">
      <c r="A8024" s="417" t="s">
        <v>3385</v>
      </c>
      <c r="B8024" s="417" t="s">
        <v>2627</v>
      </c>
      <c r="C8024" s="417" t="s">
        <v>18504</v>
      </c>
      <c r="D8024" s="417" t="s">
        <v>88</v>
      </c>
      <c r="E8024" s="423">
        <v>2.602882931437716</v>
      </c>
      <c r="F8024" s="423">
        <v>0.17534941943109739</v>
      </c>
      <c r="G8024" s="422">
        <v>4199.0397813719428</v>
      </c>
      <c r="H8024" s="417" t="s">
        <v>2616</v>
      </c>
      <c r="I8024" s="417" t="s">
        <v>1392</v>
      </c>
      <c r="J8024" s="417" t="s">
        <v>3627</v>
      </c>
      <c r="K8024" s="417" t="s">
        <v>18505</v>
      </c>
      <c r="L8024" s="417"/>
      <c r="M8024" s="417" t="s">
        <v>28840</v>
      </c>
    </row>
    <row r="8025" spans="1:13" x14ac:dyDescent="0.25">
      <c r="A8025" s="417" t="s">
        <v>3385</v>
      </c>
      <c r="B8025" s="417" t="s">
        <v>2627</v>
      </c>
      <c r="C8025" s="417" t="s">
        <v>1033</v>
      </c>
      <c r="D8025" s="417" t="s">
        <v>88</v>
      </c>
      <c r="E8025" s="423">
        <v>2.353024412295925</v>
      </c>
      <c r="F8025" s="423">
        <v>0.15400572529567971</v>
      </c>
      <c r="G8025" s="422">
        <v>3747.4460644710371</v>
      </c>
      <c r="H8025" s="417" t="s">
        <v>2616</v>
      </c>
      <c r="I8025" s="417" t="s">
        <v>28841</v>
      </c>
      <c r="J8025" s="417" t="s">
        <v>10852</v>
      </c>
      <c r="K8025" s="417" t="s">
        <v>18506</v>
      </c>
      <c r="L8025" s="417"/>
      <c r="M8025" s="417" t="s">
        <v>28840</v>
      </c>
    </row>
    <row r="8026" spans="1:13" x14ac:dyDescent="0.25">
      <c r="A8026" s="417" t="s">
        <v>3385</v>
      </c>
      <c r="B8026" s="417" t="s">
        <v>2627</v>
      </c>
      <c r="C8026" s="417" t="s">
        <v>18507</v>
      </c>
      <c r="D8026" s="417" t="s">
        <v>88</v>
      </c>
      <c r="E8026" s="423">
        <v>2.3307903314792231</v>
      </c>
      <c r="F8026" s="423">
        <v>0.1518321037022847</v>
      </c>
      <c r="G8026" s="422">
        <v>3703.4970746375589</v>
      </c>
      <c r="H8026" s="417" t="s">
        <v>2616</v>
      </c>
      <c r="I8026" s="417" t="s">
        <v>1392</v>
      </c>
      <c r="J8026" s="417" t="s">
        <v>10852</v>
      </c>
      <c r="K8026" s="417" t="s">
        <v>18508</v>
      </c>
      <c r="L8026" s="417"/>
      <c r="M8026" s="417" t="s">
        <v>28840</v>
      </c>
    </row>
    <row r="8027" spans="1:13" x14ac:dyDescent="0.25">
      <c r="A8027" s="417" t="s">
        <v>3385</v>
      </c>
      <c r="B8027" s="417" t="s">
        <v>2627</v>
      </c>
      <c r="C8027" s="417" t="s">
        <v>18509</v>
      </c>
      <c r="D8027" s="417" t="s">
        <v>88</v>
      </c>
      <c r="E8027" s="423">
        <v>2.821600916819142</v>
      </c>
      <c r="F8027" s="423">
        <v>0.1923911015222606</v>
      </c>
      <c r="G8027" s="422">
        <v>4663.6205881086571</v>
      </c>
      <c r="H8027" s="417" t="s">
        <v>2616</v>
      </c>
      <c r="I8027" s="417" t="s">
        <v>1392</v>
      </c>
      <c r="J8027" s="417" t="s">
        <v>10852</v>
      </c>
      <c r="K8027" s="417" t="s">
        <v>18510</v>
      </c>
      <c r="L8027" s="417"/>
      <c r="M8027" s="417" t="s">
        <v>28840</v>
      </c>
    </row>
    <row r="8028" spans="1:13" x14ac:dyDescent="0.25">
      <c r="A8028" s="417" t="s">
        <v>3385</v>
      </c>
      <c r="B8028" s="417" t="s">
        <v>2627</v>
      </c>
      <c r="C8028" s="417" t="s">
        <v>1670</v>
      </c>
      <c r="D8028" s="417" t="s">
        <v>88</v>
      </c>
      <c r="E8028" s="423">
        <v>2.2589641177045121</v>
      </c>
      <c r="F8028" s="423">
        <v>0.14589661792691971</v>
      </c>
      <c r="G8028" s="422">
        <v>3562.9906577192992</v>
      </c>
      <c r="H8028" s="417" t="s">
        <v>2616</v>
      </c>
      <c r="I8028" s="417" t="s">
        <v>1392</v>
      </c>
      <c r="J8028" s="417" t="s">
        <v>10852</v>
      </c>
      <c r="K8028" s="417" t="s">
        <v>18511</v>
      </c>
      <c r="L8028" s="417"/>
      <c r="M8028" s="417" t="s">
        <v>28840</v>
      </c>
    </row>
    <row r="8029" spans="1:13" x14ac:dyDescent="0.25">
      <c r="A8029" s="417" t="s">
        <v>3385</v>
      </c>
      <c r="B8029" s="417" t="s">
        <v>2627</v>
      </c>
      <c r="C8029" s="417" t="s">
        <v>1035</v>
      </c>
      <c r="D8029" s="417" t="s">
        <v>88</v>
      </c>
      <c r="E8029" s="423">
        <v>20.594081382911131</v>
      </c>
      <c r="F8029" s="423">
        <v>0.35216295704903111</v>
      </c>
      <c r="G8029" s="422">
        <v>28256.80250957243</v>
      </c>
      <c r="H8029" s="417" t="s">
        <v>2616</v>
      </c>
      <c r="I8029" s="417" t="s">
        <v>28841</v>
      </c>
      <c r="J8029" s="417" t="s">
        <v>3403</v>
      </c>
      <c r="K8029" s="417" t="s">
        <v>18512</v>
      </c>
      <c r="L8029" s="417"/>
      <c r="M8029" s="417" t="s">
        <v>28840</v>
      </c>
    </row>
    <row r="8030" spans="1:13" x14ac:dyDescent="0.25">
      <c r="A8030" s="417" t="s">
        <v>3385</v>
      </c>
      <c r="B8030" s="417" t="s">
        <v>2627</v>
      </c>
      <c r="C8030" s="417" t="s">
        <v>18513</v>
      </c>
      <c r="D8030" s="417" t="s">
        <v>88</v>
      </c>
      <c r="E8030" s="423">
        <v>16.943605260846041</v>
      </c>
      <c r="F8030" s="423">
        <v>0.30390886574158249</v>
      </c>
      <c r="G8030" s="422">
        <v>21700.182776104011</v>
      </c>
      <c r="H8030" s="417" t="s">
        <v>2616</v>
      </c>
      <c r="I8030" s="417" t="s">
        <v>1392</v>
      </c>
      <c r="J8030" s="417" t="s">
        <v>3403</v>
      </c>
      <c r="K8030" s="417" t="s">
        <v>18514</v>
      </c>
      <c r="L8030" s="417"/>
      <c r="M8030" s="417" t="s">
        <v>28840</v>
      </c>
    </row>
    <row r="8031" spans="1:13" x14ac:dyDescent="0.25">
      <c r="A8031" s="417" t="s">
        <v>3385</v>
      </c>
      <c r="B8031" s="417" t="s">
        <v>2627</v>
      </c>
      <c r="C8031" s="417" t="s">
        <v>18515</v>
      </c>
      <c r="D8031" s="417" t="s">
        <v>88</v>
      </c>
      <c r="E8031" s="423">
        <v>19.76000654340638</v>
      </c>
      <c r="F8031" s="423">
        <v>0.36685680882357458</v>
      </c>
      <c r="G8031" s="422">
        <v>26417.885939809981</v>
      </c>
      <c r="H8031" s="417" t="s">
        <v>2616</v>
      </c>
      <c r="I8031" s="417" t="s">
        <v>1392</v>
      </c>
      <c r="J8031" s="417" t="s">
        <v>3403</v>
      </c>
      <c r="K8031" s="417" t="s">
        <v>18516</v>
      </c>
      <c r="L8031" s="417"/>
      <c r="M8031" s="417" t="s">
        <v>28840</v>
      </c>
    </row>
    <row r="8032" spans="1:13" x14ac:dyDescent="0.25">
      <c r="A8032" s="417" t="s">
        <v>3385</v>
      </c>
      <c r="B8032" s="417" t="s">
        <v>2627</v>
      </c>
      <c r="C8032" s="417" t="s">
        <v>1034</v>
      </c>
      <c r="D8032" s="417" t="s">
        <v>88</v>
      </c>
      <c r="E8032" s="423">
        <v>5.0158505264983493</v>
      </c>
      <c r="F8032" s="423">
        <v>2.2300711912675929E-2</v>
      </c>
      <c r="G8032" s="422">
        <v>30429.89999997117</v>
      </c>
      <c r="H8032" s="417" t="s">
        <v>2616</v>
      </c>
      <c r="I8032" s="417" t="s">
        <v>28841</v>
      </c>
      <c r="J8032" s="417" t="s">
        <v>10852</v>
      </c>
      <c r="K8032" s="417" t="s">
        <v>18517</v>
      </c>
      <c r="L8032" s="417"/>
      <c r="M8032" s="417" t="s">
        <v>28840</v>
      </c>
    </row>
    <row r="8033" spans="1:13" x14ac:dyDescent="0.25">
      <c r="A8033" s="417" t="s">
        <v>3385</v>
      </c>
      <c r="B8033" s="417" t="s">
        <v>2627</v>
      </c>
      <c r="C8033" s="417" t="s">
        <v>18518</v>
      </c>
      <c r="D8033" s="417" t="s">
        <v>83</v>
      </c>
      <c r="E8033" s="423">
        <v>111.47370721124101</v>
      </c>
      <c r="F8033" s="423">
        <v>7.2007397143785266</v>
      </c>
      <c r="G8033" s="422">
        <v>200762.96717161179</v>
      </c>
      <c r="H8033" s="417" t="s">
        <v>2616</v>
      </c>
      <c r="I8033" s="417" t="s">
        <v>1392</v>
      </c>
      <c r="J8033" s="417" t="s">
        <v>3981</v>
      </c>
      <c r="K8033" s="417" t="s">
        <v>18519</v>
      </c>
      <c r="L8033" s="417"/>
      <c r="M8033" s="417" t="s">
        <v>28840</v>
      </c>
    </row>
    <row r="8034" spans="1:13" x14ac:dyDescent="0.25">
      <c r="A8034" s="417" t="s">
        <v>3385</v>
      </c>
      <c r="B8034" s="417" t="s">
        <v>2627</v>
      </c>
      <c r="C8034" s="417" t="s">
        <v>18520</v>
      </c>
      <c r="D8034" s="417" t="s">
        <v>83</v>
      </c>
      <c r="E8034" s="423">
        <v>111.47370721124101</v>
      </c>
      <c r="F8034" s="423">
        <v>7.2007397143785266</v>
      </c>
      <c r="G8034" s="422">
        <v>152126.96717161179</v>
      </c>
      <c r="H8034" s="417" t="s">
        <v>2616</v>
      </c>
      <c r="I8034" s="417" t="s">
        <v>1392</v>
      </c>
      <c r="J8034" s="417" t="s">
        <v>3627</v>
      </c>
      <c r="K8034" s="417" t="s">
        <v>18521</v>
      </c>
      <c r="L8034" s="417"/>
      <c r="M8034" s="417" t="s">
        <v>28840</v>
      </c>
    </row>
    <row r="8035" spans="1:13" x14ac:dyDescent="0.25">
      <c r="A8035" s="417" t="s">
        <v>3385</v>
      </c>
      <c r="B8035" s="417" t="s">
        <v>2437</v>
      </c>
      <c r="C8035" s="417" t="s">
        <v>18522</v>
      </c>
      <c r="D8035" s="417" t="s">
        <v>989</v>
      </c>
      <c r="E8035" s="423">
        <v>68766214.678300619</v>
      </c>
      <c r="F8035" s="423">
        <v>4715226.2802885855</v>
      </c>
      <c r="G8035" s="422">
        <v>210177169465.22031</v>
      </c>
      <c r="H8035" s="417" t="s">
        <v>2616</v>
      </c>
      <c r="I8035" s="417" t="s">
        <v>1392</v>
      </c>
      <c r="J8035" s="417" t="s">
        <v>4009</v>
      </c>
      <c r="K8035" s="417" t="s">
        <v>18523</v>
      </c>
      <c r="L8035" s="417"/>
      <c r="M8035" s="417" t="s">
        <v>28840</v>
      </c>
    </row>
    <row r="8036" spans="1:13" x14ac:dyDescent="0.25">
      <c r="A8036" s="417" t="s">
        <v>3385</v>
      </c>
      <c r="B8036" s="417" t="s">
        <v>2627</v>
      </c>
      <c r="C8036" s="417" t="s">
        <v>18524</v>
      </c>
      <c r="D8036" s="417" t="s">
        <v>88</v>
      </c>
      <c r="E8036" s="423">
        <v>4.2185492737333567E-2</v>
      </c>
      <c r="F8036" s="423">
        <v>3.4474904014344249E-3</v>
      </c>
      <c r="G8036" s="422">
        <v>392.81284194254749</v>
      </c>
      <c r="H8036" s="417" t="s">
        <v>2616</v>
      </c>
      <c r="I8036" s="417" t="s">
        <v>1392</v>
      </c>
      <c r="J8036" s="417" t="s">
        <v>3742</v>
      </c>
      <c r="K8036" s="417" t="s">
        <v>18525</v>
      </c>
      <c r="L8036" s="417"/>
      <c r="M8036" s="417" t="s">
        <v>28840</v>
      </c>
    </row>
    <row r="8037" spans="1:13" x14ac:dyDescent="0.25">
      <c r="A8037" s="417" t="s">
        <v>3385</v>
      </c>
      <c r="B8037" s="417" t="s">
        <v>2627</v>
      </c>
      <c r="C8037" s="417" t="s">
        <v>18526</v>
      </c>
      <c r="D8037" s="417" t="s">
        <v>88</v>
      </c>
      <c r="E8037" s="423">
        <v>2.374617520854205E-2</v>
      </c>
      <c r="F8037" s="423">
        <v>1.3206264101992451E-3</v>
      </c>
      <c r="G8037" s="422">
        <v>276.3568198423896</v>
      </c>
      <c r="H8037" s="417" t="s">
        <v>2616</v>
      </c>
      <c r="I8037" s="417" t="s">
        <v>1392</v>
      </c>
      <c r="J8037" s="417" t="s">
        <v>18527</v>
      </c>
      <c r="K8037" s="417" t="s">
        <v>18528</v>
      </c>
      <c r="L8037" s="417"/>
      <c r="M8037" s="417" t="s">
        <v>28840</v>
      </c>
    </row>
    <row r="8038" spans="1:13" x14ac:dyDescent="0.25">
      <c r="A8038" s="417" t="s">
        <v>3385</v>
      </c>
      <c r="B8038" s="417" t="s">
        <v>2627</v>
      </c>
      <c r="C8038" s="417" t="s">
        <v>18529</v>
      </c>
      <c r="D8038" s="417" t="s">
        <v>88</v>
      </c>
      <c r="E8038" s="423">
        <v>0.65096952592358059</v>
      </c>
      <c r="F8038" s="423">
        <v>4.1794524778203203E-2</v>
      </c>
      <c r="G8038" s="422">
        <v>774.6055225655989</v>
      </c>
      <c r="H8038" s="417" t="s">
        <v>2616</v>
      </c>
      <c r="I8038" s="417" t="s">
        <v>1392</v>
      </c>
      <c r="J8038" s="417" t="s">
        <v>4303</v>
      </c>
      <c r="K8038" s="417" t="s">
        <v>18530</v>
      </c>
      <c r="L8038" s="417"/>
      <c r="M8038" s="417" t="s">
        <v>28840</v>
      </c>
    </row>
    <row r="8039" spans="1:13" x14ac:dyDescent="0.25">
      <c r="A8039" s="417" t="s">
        <v>3385</v>
      </c>
      <c r="B8039" s="417" t="s">
        <v>2627</v>
      </c>
      <c r="C8039" s="417" t="s">
        <v>18531</v>
      </c>
      <c r="D8039" s="417" t="s">
        <v>88</v>
      </c>
      <c r="E8039" s="423">
        <v>0.74416671631777342</v>
      </c>
      <c r="F8039" s="423">
        <v>4.7661181289043342E-2</v>
      </c>
      <c r="G8039" s="422">
        <v>882.40445007787787</v>
      </c>
      <c r="H8039" s="417" t="s">
        <v>2616</v>
      </c>
      <c r="I8039" s="417" t="s">
        <v>1392</v>
      </c>
      <c r="J8039" s="417" t="s">
        <v>4303</v>
      </c>
      <c r="K8039" s="417" t="s">
        <v>18532</v>
      </c>
      <c r="L8039" s="417"/>
      <c r="M8039" s="417" t="s">
        <v>28840</v>
      </c>
    </row>
    <row r="8040" spans="1:13" x14ac:dyDescent="0.25">
      <c r="A8040" s="417" t="s">
        <v>3385</v>
      </c>
      <c r="B8040" s="417" t="s">
        <v>2627</v>
      </c>
      <c r="C8040" s="417" t="s">
        <v>18533</v>
      </c>
      <c r="D8040" s="417" t="s">
        <v>88</v>
      </c>
      <c r="E8040" s="423">
        <v>0.75343314439280162</v>
      </c>
      <c r="F8040" s="423">
        <v>4.8552689912820413E-2</v>
      </c>
      <c r="G8040" s="422">
        <v>899.69852677641916</v>
      </c>
      <c r="H8040" s="417" t="s">
        <v>2616</v>
      </c>
      <c r="I8040" s="417" t="s">
        <v>1392</v>
      </c>
      <c r="J8040" s="417" t="s">
        <v>4303</v>
      </c>
      <c r="K8040" s="417" t="s">
        <v>18534</v>
      </c>
      <c r="L8040" s="417"/>
      <c r="M8040" s="417" t="s">
        <v>28840</v>
      </c>
    </row>
    <row r="8041" spans="1:13" x14ac:dyDescent="0.25">
      <c r="A8041" s="417" t="s">
        <v>3385</v>
      </c>
      <c r="B8041" s="417" t="s">
        <v>2627</v>
      </c>
      <c r="C8041" s="417" t="s">
        <v>18535</v>
      </c>
      <c r="D8041" s="417" t="s">
        <v>88</v>
      </c>
      <c r="E8041" s="423">
        <v>0.63831269856943484</v>
      </c>
      <c r="F8041" s="423">
        <v>4.1079740892490453E-2</v>
      </c>
      <c r="G8041" s="422">
        <v>767.20233176808688</v>
      </c>
      <c r="H8041" s="417" t="s">
        <v>2616</v>
      </c>
      <c r="I8041" s="417" t="s">
        <v>1392</v>
      </c>
      <c r="J8041" s="417" t="s">
        <v>4303</v>
      </c>
      <c r="K8041" s="417" t="s">
        <v>18536</v>
      </c>
      <c r="L8041" s="417"/>
      <c r="M8041" s="417" t="s">
        <v>28840</v>
      </c>
    </row>
    <row r="8042" spans="1:13" x14ac:dyDescent="0.25">
      <c r="A8042" s="417" t="s">
        <v>3385</v>
      </c>
      <c r="B8042" s="417" t="s">
        <v>2437</v>
      </c>
      <c r="C8042" s="417" t="s">
        <v>18537</v>
      </c>
      <c r="D8042" s="417" t="s">
        <v>88</v>
      </c>
      <c r="E8042" s="423">
        <v>8.8912285962932973</v>
      </c>
      <c r="F8042" s="423">
        <v>0.5231161319990465</v>
      </c>
      <c r="G8042" s="422">
        <v>32135.10906473361</v>
      </c>
      <c r="H8042" s="417" t="s">
        <v>2616</v>
      </c>
      <c r="I8042" s="417" t="s">
        <v>1392</v>
      </c>
      <c r="J8042" s="417" t="s">
        <v>3871</v>
      </c>
      <c r="K8042" s="417" t="s">
        <v>18538</v>
      </c>
      <c r="L8042" s="417"/>
      <c r="M8042" s="417" t="s">
        <v>28840</v>
      </c>
    </row>
    <row r="8043" spans="1:13" x14ac:dyDescent="0.25">
      <c r="A8043" s="417" t="s">
        <v>3385</v>
      </c>
      <c r="B8043" s="417" t="s">
        <v>2437</v>
      </c>
      <c r="C8043" s="417" t="s">
        <v>18539</v>
      </c>
      <c r="D8043" s="417" t="s">
        <v>88</v>
      </c>
      <c r="E8043" s="423">
        <v>6.6488043713116811</v>
      </c>
      <c r="F8043" s="423">
        <v>0.35861972802614628</v>
      </c>
      <c r="G8043" s="422">
        <v>23328.22566719148</v>
      </c>
      <c r="H8043" s="417" t="s">
        <v>2616</v>
      </c>
      <c r="I8043" s="417" t="s">
        <v>1392</v>
      </c>
      <c r="J8043" s="417" t="s">
        <v>3871</v>
      </c>
      <c r="K8043" s="417" t="s">
        <v>18540</v>
      </c>
      <c r="L8043" s="417"/>
      <c r="M8043" s="417" t="s">
        <v>28840</v>
      </c>
    </row>
    <row r="8044" spans="1:13" x14ac:dyDescent="0.25">
      <c r="A8044" s="417" t="s">
        <v>3385</v>
      </c>
      <c r="B8044" s="417" t="s">
        <v>2437</v>
      </c>
      <c r="C8044" s="417" t="s">
        <v>18541</v>
      </c>
      <c r="D8044" s="417" t="s">
        <v>88</v>
      </c>
      <c r="E8044" s="423">
        <v>5.4143874830208381</v>
      </c>
      <c r="F8044" s="423">
        <v>8.0292580312221307E-2</v>
      </c>
      <c r="G8044" s="422">
        <v>11466.562776650529</v>
      </c>
      <c r="H8044" s="417" t="s">
        <v>2616</v>
      </c>
      <c r="I8044" s="417" t="s">
        <v>1392</v>
      </c>
      <c r="J8044" s="417" t="s">
        <v>3871</v>
      </c>
      <c r="K8044" s="417" t="s">
        <v>18542</v>
      </c>
      <c r="L8044" s="417"/>
      <c r="M8044" s="417" t="s">
        <v>28840</v>
      </c>
    </row>
    <row r="8045" spans="1:13" x14ac:dyDescent="0.25">
      <c r="A8045" s="417" t="s">
        <v>3385</v>
      </c>
      <c r="B8045" s="417" t="s">
        <v>2437</v>
      </c>
      <c r="C8045" s="417" t="s">
        <v>18543</v>
      </c>
      <c r="D8045" s="417" t="s">
        <v>88</v>
      </c>
      <c r="E8045" s="423">
        <v>10.716757648957071</v>
      </c>
      <c r="F8045" s="423">
        <v>0.5529846964028966</v>
      </c>
      <c r="G8045" s="422">
        <v>35260.052645923592</v>
      </c>
      <c r="H8045" s="417" t="s">
        <v>2616</v>
      </c>
      <c r="I8045" s="417" t="s">
        <v>1392</v>
      </c>
      <c r="J8045" s="417" t="s">
        <v>3871</v>
      </c>
      <c r="K8045" s="417" t="s">
        <v>18544</v>
      </c>
      <c r="L8045" s="417"/>
      <c r="M8045" s="417" t="s">
        <v>28840</v>
      </c>
    </row>
    <row r="8046" spans="1:13" x14ac:dyDescent="0.25">
      <c r="A8046" s="417" t="s">
        <v>3385</v>
      </c>
      <c r="B8046" s="417" t="s">
        <v>2437</v>
      </c>
      <c r="C8046" s="417" t="s">
        <v>18545</v>
      </c>
      <c r="D8046" s="417" t="s">
        <v>88</v>
      </c>
      <c r="E8046" s="423">
        <v>8.5940075675409879</v>
      </c>
      <c r="F8046" s="423">
        <v>0.39692811255941041</v>
      </c>
      <c r="G8046" s="422">
        <v>26951.34023622876</v>
      </c>
      <c r="H8046" s="417" t="s">
        <v>2616</v>
      </c>
      <c r="I8046" s="417" t="s">
        <v>1392</v>
      </c>
      <c r="J8046" s="417" t="s">
        <v>3871</v>
      </c>
      <c r="K8046" s="417" t="s">
        <v>18546</v>
      </c>
      <c r="L8046" s="417"/>
      <c r="M8046" s="417" t="s">
        <v>28840</v>
      </c>
    </row>
    <row r="8047" spans="1:13" x14ac:dyDescent="0.25">
      <c r="A8047" s="417" t="s">
        <v>3385</v>
      </c>
      <c r="B8047" s="417" t="s">
        <v>2627</v>
      </c>
      <c r="C8047" s="417" t="s">
        <v>18547</v>
      </c>
      <c r="D8047" s="417" t="s">
        <v>88</v>
      </c>
      <c r="E8047" s="423">
        <v>0.69318590278349013</v>
      </c>
      <c r="F8047" s="423">
        <v>5.0853434284608159E-2</v>
      </c>
      <c r="G8047" s="422">
        <v>1257.8833465404441</v>
      </c>
      <c r="H8047" s="417" t="s">
        <v>2616</v>
      </c>
      <c r="I8047" s="417" t="s">
        <v>1392</v>
      </c>
      <c r="J8047" s="417" t="s">
        <v>3742</v>
      </c>
      <c r="K8047" s="417" t="s">
        <v>18548</v>
      </c>
      <c r="L8047" s="417"/>
      <c r="M8047" s="417" t="s">
        <v>28840</v>
      </c>
    </row>
    <row r="8048" spans="1:13" x14ac:dyDescent="0.25">
      <c r="A8048" s="417" t="s">
        <v>3385</v>
      </c>
      <c r="B8048" s="417" t="s">
        <v>2627</v>
      </c>
      <c r="C8048" s="417" t="s">
        <v>18549</v>
      </c>
      <c r="D8048" s="417" t="s">
        <v>88</v>
      </c>
      <c r="E8048" s="423">
        <v>1.86582826374232</v>
      </c>
      <c r="F8048" s="423">
        <v>9.7691608049070233E-2</v>
      </c>
      <c r="G8048" s="422">
        <v>3113.5352452282491</v>
      </c>
      <c r="H8048" s="417" t="s">
        <v>2616</v>
      </c>
      <c r="I8048" s="417" t="s">
        <v>1392</v>
      </c>
      <c r="J8048" s="417" t="s">
        <v>3742</v>
      </c>
      <c r="K8048" s="417" t="s">
        <v>18550</v>
      </c>
      <c r="L8048" s="417"/>
      <c r="M8048" s="417" t="s">
        <v>28840</v>
      </c>
    </row>
    <row r="8049" spans="1:13" x14ac:dyDescent="0.25">
      <c r="A8049" s="417" t="s">
        <v>3385</v>
      </c>
      <c r="B8049" s="417" t="s">
        <v>2627</v>
      </c>
      <c r="C8049" s="417" t="s">
        <v>1045</v>
      </c>
      <c r="D8049" s="417" t="s">
        <v>88</v>
      </c>
      <c r="E8049" s="423">
        <v>0.49419083994386459</v>
      </c>
      <c r="F8049" s="423">
        <v>1.7754743067088831E-2</v>
      </c>
      <c r="G8049" s="422">
        <v>833.39704261637121</v>
      </c>
      <c r="H8049" s="417" t="s">
        <v>2616</v>
      </c>
      <c r="I8049" s="417" t="s">
        <v>28841</v>
      </c>
      <c r="J8049" s="417" t="s">
        <v>3825</v>
      </c>
      <c r="K8049" s="417" t="s">
        <v>18551</v>
      </c>
      <c r="L8049" s="417"/>
      <c r="M8049" s="417" t="s">
        <v>28840</v>
      </c>
    </row>
    <row r="8050" spans="1:13" x14ac:dyDescent="0.25">
      <c r="A8050" s="417" t="s">
        <v>3385</v>
      </c>
      <c r="B8050" s="417" t="s">
        <v>2627</v>
      </c>
      <c r="C8050" s="417" t="s">
        <v>18552</v>
      </c>
      <c r="D8050" s="417" t="s">
        <v>88</v>
      </c>
      <c r="E8050" s="423">
        <v>1.4772557421875381</v>
      </c>
      <c r="F8050" s="423">
        <v>8.1676320891490531E-2</v>
      </c>
      <c r="G8050" s="422">
        <v>2468.6163589812991</v>
      </c>
      <c r="H8050" s="417" t="s">
        <v>2616</v>
      </c>
      <c r="I8050" s="417" t="s">
        <v>1392</v>
      </c>
      <c r="J8050" s="417" t="s">
        <v>3742</v>
      </c>
      <c r="K8050" s="417" t="s">
        <v>18553</v>
      </c>
      <c r="L8050" s="417"/>
      <c r="M8050" s="417" t="s">
        <v>28840</v>
      </c>
    </row>
    <row r="8051" spans="1:13" x14ac:dyDescent="0.25">
      <c r="A8051" s="417" t="s">
        <v>3385</v>
      </c>
      <c r="B8051" s="417" t="s">
        <v>2627</v>
      </c>
      <c r="C8051" s="417" t="s">
        <v>1048</v>
      </c>
      <c r="D8051" s="417" t="s">
        <v>88</v>
      </c>
      <c r="E8051" s="423">
        <v>0.86674345345712711</v>
      </c>
      <c r="F8051" s="423">
        <v>2.556849662604424E-2</v>
      </c>
      <c r="G8051" s="422">
        <v>1367.0707808761081</v>
      </c>
      <c r="H8051" s="417" t="s">
        <v>2616</v>
      </c>
      <c r="I8051" s="417" t="s">
        <v>28841</v>
      </c>
      <c r="J8051" s="417" t="s">
        <v>3825</v>
      </c>
      <c r="K8051" s="417" t="s">
        <v>18554</v>
      </c>
      <c r="L8051" s="417"/>
      <c r="M8051" s="417" t="s">
        <v>28840</v>
      </c>
    </row>
    <row r="8052" spans="1:13" x14ac:dyDescent="0.25">
      <c r="A8052" s="417" t="s">
        <v>3385</v>
      </c>
      <c r="B8052" s="417" t="s">
        <v>2627</v>
      </c>
      <c r="C8052" s="417" t="s">
        <v>18555</v>
      </c>
      <c r="D8052" s="417" t="s">
        <v>88</v>
      </c>
      <c r="E8052" s="423">
        <v>15.295503113671961</v>
      </c>
      <c r="F8052" s="423">
        <v>8.6616437761228099E-2</v>
      </c>
      <c r="G8052" s="422">
        <v>18637.75820912854</v>
      </c>
      <c r="H8052" s="417" t="s">
        <v>2616</v>
      </c>
      <c r="I8052" s="417" t="s">
        <v>1392</v>
      </c>
      <c r="J8052" s="417" t="s">
        <v>3825</v>
      </c>
      <c r="K8052" s="417" t="s">
        <v>18556</v>
      </c>
      <c r="L8052" s="417"/>
      <c r="M8052" s="417" t="s">
        <v>28840</v>
      </c>
    </row>
    <row r="8053" spans="1:13" x14ac:dyDescent="0.25">
      <c r="A8053" s="417" t="s">
        <v>3385</v>
      </c>
      <c r="B8053" s="417" t="s">
        <v>2627</v>
      </c>
      <c r="C8053" s="417" t="s">
        <v>18557</v>
      </c>
      <c r="D8053" s="417" t="s">
        <v>88</v>
      </c>
      <c r="E8053" s="423">
        <v>2.9698249495321472</v>
      </c>
      <c r="F8053" s="423">
        <v>0.31934974002996658</v>
      </c>
      <c r="G8053" s="422">
        <v>7071.3231070842321</v>
      </c>
      <c r="H8053" s="417" t="s">
        <v>2616</v>
      </c>
      <c r="I8053" s="417" t="s">
        <v>1392</v>
      </c>
      <c r="J8053" s="417" t="s">
        <v>3742</v>
      </c>
      <c r="K8053" s="417" t="s">
        <v>18558</v>
      </c>
      <c r="L8053" s="417"/>
      <c r="M8053" s="417" t="s">
        <v>28840</v>
      </c>
    </row>
    <row r="8054" spans="1:13" x14ac:dyDescent="0.25">
      <c r="A8054" s="417" t="s">
        <v>3385</v>
      </c>
      <c r="B8054" s="417" t="s">
        <v>2627</v>
      </c>
      <c r="C8054" s="417" t="s">
        <v>18559</v>
      </c>
      <c r="D8054" s="417" t="s">
        <v>88</v>
      </c>
      <c r="E8054" s="423">
        <v>0.82311510753562056</v>
      </c>
      <c r="F8054" s="423">
        <v>6.1380929455199303E-2</v>
      </c>
      <c r="G8054" s="422">
        <v>1517.6095841143349</v>
      </c>
      <c r="H8054" s="417" t="s">
        <v>2616</v>
      </c>
      <c r="I8054" s="417" t="s">
        <v>1392</v>
      </c>
      <c r="J8054" s="417" t="s">
        <v>3742</v>
      </c>
      <c r="K8054" s="417" t="s">
        <v>18560</v>
      </c>
      <c r="L8054" s="417"/>
      <c r="M8054" s="417" t="s">
        <v>28840</v>
      </c>
    </row>
    <row r="8055" spans="1:13" x14ac:dyDescent="0.25">
      <c r="A8055" s="417" t="s">
        <v>3385</v>
      </c>
      <c r="B8055" s="417" t="s">
        <v>2627</v>
      </c>
      <c r="C8055" s="417" t="s">
        <v>18561</v>
      </c>
      <c r="D8055" s="417" t="s">
        <v>88</v>
      </c>
      <c r="E8055" s="423">
        <v>1.4402621084573659</v>
      </c>
      <c r="F8055" s="423">
        <v>4.843037101541247E-2</v>
      </c>
      <c r="G8055" s="422">
        <v>2467.1358180803022</v>
      </c>
      <c r="H8055" s="417" t="s">
        <v>2616</v>
      </c>
      <c r="I8055" s="417" t="s">
        <v>1392</v>
      </c>
      <c r="J8055" s="417" t="s">
        <v>3825</v>
      </c>
      <c r="K8055" s="417" t="s">
        <v>18562</v>
      </c>
      <c r="L8055" s="417"/>
      <c r="M8055" s="417" t="s">
        <v>28840</v>
      </c>
    </row>
    <row r="8056" spans="1:13" x14ac:dyDescent="0.25">
      <c r="A8056" s="417" t="s">
        <v>3385</v>
      </c>
      <c r="B8056" s="417" t="s">
        <v>2627</v>
      </c>
      <c r="C8056" s="417" t="s">
        <v>18563</v>
      </c>
      <c r="D8056" s="417" t="s">
        <v>88</v>
      </c>
      <c r="E8056" s="423">
        <v>0.38263026809366207</v>
      </c>
      <c r="F8056" s="423">
        <v>0.69526705530033406</v>
      </c>
      <c r="G8056" s="422">
        <v>1574.125566324667</v>
      </c>
      <c r="H8056" s="417" t="s">
        <v>2616</v>
      </c>
      <c r="I8056" s="417" t="s">
        <v>1392</v>
      </c>
      <c r="J8056" s="417" t="s">
        <v>3742</v>
      </c>
      <c r="K8056" s="417" t="s">
        <v>18564</v>
      </c>
      <c r="L8056" s="417"/>
      <c r="M8056" s="417" t="s">
        <v>28840</v>
      </c>
    </row>
    <row r="8057" spans="1:13" x14ac:dyDescent="0.25">
      <c r="A8057" s="417" t="s">
        <v>3385</v>
      </c>
      <c r="B8057" s="417" t="s">
        <v>3655</v>
      </c>
      <c r="C8057" s="417" t="s">
        <v>18565</v>
      </c>
      <c r="D8057" s="417" t="s">
        <v>88</v>
      </c>
      <c r="E8057" s="423">
        <v>1.3170807875237699E-3</v>
      </c>
      <c r="F8057" s="423">
        <v>2.118157871671175E-4</v>
      </c>
      <c r="G8057" s="422">
        <v>2.9323915720903071</v>
      </c>
      <c r="H8057" s="417" t="s">
        <v>2616</v>
      </c>
      <c r="I8057" s="417" t="s">
        <v>1392</v>
      </c>
      <c r="J8057" s="417" t="s">
        <v>3918</v>
      </c>
      <c r="K8057" s="417" t="s">
        <v>18566</v>
      </c>
      <c r="L8057" s="417"/>
      <c r="M8057" s="417" t="s">
        <v>28840</v>
      </c>
    </row>
    <row r="8058" spans="1:13" x14ac:dyDescent="0.25">
      <c r="A8058" s="417" t="s">
        <v>3385</v>
      </c>
      <c r="B8058" s="417" t="s">
        <v>3655</v>
      </c>
      <c r="C8058" s="417" t="s">
        <v>18567</v>
      </c>
      <c r="D8058" s="417" t="s">
        <v>1052</v>
      </c>
      <c r="E8058" s="423">
        <v>40.048742209622112</v>
      </c>
      <c r="F8058" s="423">
        <v>2.8132956853759299</v>
      </c>
      <c r="G8058" s="422">
        <v>77566.96378931246</v>
      </c>
      <c r="H8058" s="417" t="s">
        <v>2616</v>
      </c>
      <c r="I8058" s="417" t="s">
        <v>1392</v>
      </c>
      <c r="J8058" s="417" t="s">
        <v>3918</v>
      </c>
      <c r="K8058" s="417" t="s">
        <v>18568</v>
      </c>
      <c r="L8058" s="417"/>
      <c r="M8058" s="417" t="s">
        <v>28840</v>
      </c>
    </row>
    <row r="8059" spans="1:13" x14ac:dyDescent="0.25">
      <c r="A8059" s="417" t="s">
        <v>3385</v>
      </c>
      <c r="B8059" s="417" t="s">
        <v>3655</v>
      </c>
      <c r="C8059" s="417" t="s">
        <v>18569</v>
      </c>
      <c r="D8059" s="417" t="s">
        <v>1052</v>
      </c>
      <c r="E8059" s="423">
        <v>63.36831158179416</v>
      </c>
      <c r="F8059" s="423">
        <v>3.643544763267998</v>
      </c>
      <c r="G8059" s="422">
        <v>120004.0011046485</v>
      </c>
      <c r="H8059" s="417" t="s">
        <v>2616</v>
      </c>
      <c r="I8059" s="417" t="s">
        <v>1392</v>
      </c>
      <c r="J8059" s="417" t="s">
        <v>3918</v>
      </c>
      <c r="K8059" s="417" t="s">
        <v>18570</v>
      </c>
      <c r="L8059" s="417"/>
      <c r="M8059" s="417" t="s">
        <v>28840</v>
      </c>
    </row>
    <row r="8060" spans="1:13" x14ac:dyDescent="0.25">
      <c r="A8060" s="417" t="s">
        <v>3385</v>
      </c>
      <c r="B8060" s="417" t="s">
        <v>2627</v>
      </c>
      <c r="C8060" s="417" t="s">
        <v>18571</v>
      </c>
      <c r="D8060" s="417" t="s">
        <v>88</v>
      </c>
      <c r="E8060" s="423">
        <v>0.15882054366623721</v>
      </c>
      <c r="F8060" s="423">
        <v>3.9215729363060916E-3</v>
      </c>
      <c r="G8060" s="422">
        <v>3247.343905910378</v>
      </c>
      <c r="H8060" s="417" t="s">
        <v>2616</v>
      </c>
      <c r="I8060" s="417" t="s">
        <v>1392</v>
      </c>
      <c r="J8060" s="417" t="s">
        <v>4054</v>
      </c>
      <c r="K8060" s="417" t="s">
        <v>18572</v>
      </c>
      <c r="L8060" s="417"/>
      <c r="M8060" s="417" t="s">
        <v>28840</v>
      </c>
    </row>
    <row r="8061" spans="1:13" x14ac:dyDescent="0.25">
      <c r="A8061" s="417" t="s">
        <v>3385</v>
      </c>
      <c r="B8061" s="417" t="s">
        <v>2627</v>
      </c>
      <c r="C8061" s="417" t="s">
        <v>18573</v>
      </c>
      <c r="D8061" s="417" t="s">
        <v>88</v>
      </c>
      <c r="E8061" s="423">
        <v>0.20507997916064391</v>
      </c>
      <c r="F8061" s="423">
        <v>1.048275369247687E-2</v>
      </c>
      <c r="G8061" s="422">
        <v>3362.7870097095529</v>
      </c>
      <c r="H8061" s="417" t="s">
        <v>2616</v>
      </c>
      <c r="I8061" s="417" t="s">
        <v>1392</v>
      </c>
      <c r="J8061" s="417" t="s">
        <v>4054</v>
      </c>
      <c r="K8061" s="417" t="s">
        <v>18574</v>
      </c>
      <c r="L8061" s="417"/>
      <c r="M8061" s="417" t="s">
        <v>28840</v>
      </c>
    </row>
    <row r="8062" spans="1:13" x14ac:dyDescent="0.25">
      <c r="A8062" s="417" t="s">
        <v>3385</v>
      </c>
      <c r="B8062" s="417" t="s">
        <v>2627</v>
      </c>
      <c r="C8062" s="417" t="s">
        <v>18575</v>
      </c>
      <c r="D8062" s="417" t="s">
        <v>88</v>
      </c>
      <c r="E8062" s="423">
        <v>0.1494442189504897</v>
      </c>
      <c r="F8062" s="423">
        <v>4.5441220523757004E-3</v>
      </c>
      <c r="G8062" s="422">
        <v>1125.7317047018109</v>
      </c>
      <c r="H8062" s="417" t="s">
        <v>2616</v>
      </c>
      <c r="I8062" s="417" t="s">
        <v>1392</v>
      </c>
      <c r="J8062" s="417" t="s">
        <v>4054</v>
      </c>
      <c r="K8062" s="417" t="s">
        <v>18576</v>
      </c>
      <c r="L8062" s="417"/>
      <c r="M8062" s="417" t="s">
        <v>28840</v>
      </c>
    </row>
    <row r="8063" spans="1:13" x14ac:dyDescent="0.25">
      <c r="A8063" s="417" t="s">
        <v>3385</v>
      </c>
      <c r="B8063" s="417" t="s">
        <v>2627</v>
      </c>
      <c r="C8063" s="417" t="s">
        <v>18577</v>
      </c>
      <c r="D8063" s="417" t="s">
        <v>88</v>
      </c>
      <c r="E8063" s="423">
        <v>0.19521520918763791</v>
      </c>
      <c r="F8063" s="423">
        <v>1.1088733845514979E-2</v>
      </c>
      <c r="G8063" s="422">
        <v>1239.9724233203549</v>
      </c>
      <c r="H8063" s="417" t="s">
        <v>2616</v>
      </c>
      <c r="I8063" s="417" t="s">
        <v>1392</v>
      </c>
      <c r="J8063" s="417" t="s">
        <v>4054</v>
      </c>
      <c r="K8063" s="417" t="s">
        <v>18578</v>
      </c>
      <c r="L8063" s="417"/>
      <c r="M8063" s="417" t="s">
        <v>28840</v>
      </c>
    </row>
    <row r="8064" spans="1:13" x14ac:dyDescent="0.25">
      <c r="A8064" s="417" t="s">
        <v>3385</v>
      </c>
      <c r="B8064" s="417" t="s">
        <v>2627</v>
      </c>
      <c r="C8064" s="417" t="s">
        <v>18579</v>
      </c>
      <c r="D8064" s="417" t="s">
        <v>88</v>
      </c>
      <c r="E8064" s="423">
        <v>0.6735350489368721</v>
      </c>
      <c r="F8064" s="423">
        <v>4.2543727217938428E-2</v>
      </c>
      <c r="G8064" s="422">
        <v>9043.5971724244919</v>
      </c>
      <c r="H8064" s="417" t="s">
        <v>2616</v>
      </c>
      <c r="I8064" s="417" t="s">
        <v>1392</v>
      </c>
      <c r="J8064" s="417" t="s">
        <v>4047</v>
      </c>
      <c r="K8064" s="417" t="s">
        <v>18580</v>
      </c>
      <c r="L8064" s="417"/>
      <c r="M8064" s="417" t="s">
        <v>28840</v>
      </c>
    </row>
    <row r="8065" spans="1:13" x14ac:dyDescent="0.25">
      <c r="A8065" s="417" t="s">
        <v>3385</v>
      </c>
      <c r="B8065" s="417" t="s">
        <v>2627</v>
      </c>
      <c r="C8065" s="417" t="s">
        <v>18581</v>
      </c>
      <c r="D8065" s="417" t="s">
        <v>88</v>
      </c>
      <c r="E8065" s="423">
        <v>0.1046337489502964</v>
      </c>
      <c r="F8065" s="423">
        <v>2.5747457773005319E-3</v>
      </c>
      <c r="G8065" s="422">
        <v>2194.4569686889149</v>
      </c>
      <c r="H8065" s="417" t="s">
        <v>2616</v>
      </c>
      <c r="I8065" s="417" t="s">
        <v>1392</v>
      </c>
      <c r="J8065" s="417" t="s">
        <v>4047</v>
      </c>
      <c r="K8065" s="417" t="s">
        <v>18582</v>
      </c>
      <c r="L8065" s="417"/>
      <c r="M8065" s="417" t="s">
        <v>28840</v>
      </c>
    </row>
    <row r="8066" spans="1:13" x14ac:dyDescent="0.25">
      <c r="A8066" s="417" t="s">
        <v>3385</v>
      </c>
      <c r="B8066" s="417" t="s">
        <v>2627</v>
      </c>
      <c r="C8066" s="417" t="s">
        <v>18583</v>
      </c>
      <c r="D8066" s="417" t="s">
        <v>88</v>
      </c>
      <c r="E8066" s="423">
        <v>0.14954814168689179</v>
      </c>
      <c r="F8066" s="423">
        <v>4.6210751036734271E-3</v>
      </c>
      <c r="G8066" s="422">
        <v>10008.68253846946</v>
      </c>
      <c r="H8066" s="417" t="s">
        <v>2616</v>
      </c>
      <c r="I8066" s="417" t="s">
        <v>1392</v>
      </c>
      <c r="J8066" s="417" t="s">
        <v>4047</v>
      </c>
      <c r="K8066" s="417" t="s">
        <v>18584</v>
      </c>
      <c r="L8066" s="417"/>
      <c r="M8066" s="417" t="s">
        <v>28840</v>
      </c>
    </row>
    <row r="8067" spans="1:13" x14ac:dyDescent="0.25">
      <c r="A8067" s="417" t="s">
        <v>3385</v>
      </c>
      <c r="B8067" s="417" t="s">
        <v>2627</v>
      </c>
      <c r="C8067" s="417" t="s">
        <v>18585</v>
      </c>
      <c r="D8067" s="417" t="s">
        <v>88</v>
      </c>
      <c r="E8067" s="423">
        <v>31.61311685980802</v>
      </c>
      <c r="F8067" s="423">
        <v>1.380477748499511</v>
      </c>
      <c r="G8067" s="422">
        <v>57540.105714955716</v>
      </c>
      <c r="H8067" s="417" t="s">
        <v>2616</v>
      </c>
      <c r="I8067" s="417" t="s">
        <v>1392</v>
      </c>
      <c r="J8067" s="417" t="s">
        <v>3899</v>
      </c>
      <c r="K8067" s="417" t="s">
        <v>18586</v>
      </c>
      <c r="L8067" s="417"/>
      <c r="M8067" s="417" t="s">
        <v>28840</v>
      </c>
    </row>
    <row r="8068" spans="1:13" x14ac:dyDescent="0.25">
      <c r="A8068" s="417" t="s">
        <v>3385</v>
      </c>
      <c r="B8068" s="417" t="s">
        <v>2627</v>
      </c>
      <c r="C8068" s="417" t="s">
        <v>18587</v>
      </c>
      <c r="D8068" s="417" t="s">
        <v>83</v>
      </c>
      <c r="E8068" s="423">
        <v>126.0394842721055</v>
      </c>
      <c r="F8068" s="423">
        <v>4.8160093051682926</v>
      </c>
      <c r="G8068" s="422">
        <v>219355.9107142791</v>
      </c>
      <c r="H8068" s="417" t="s">
        <v>2616</v>
      </c>
      <c r="I8068" s="417" t="s">
        <v>1392</v>
      </c>
      <c r="J8068" s="417" t="s">
        <v>4823</v>
      </c>
      <c r="K8068" s="417" t="s">
        <v>18588</v>
      </c>
      <c r="L8068" s="417"/>
      <c r="M8068" s="417" t="s">
        <v>28840</v>
      </c>
    </row>
    <row r="8069" spans="1:13" x14ac:dyDescent="0.25">
      <c r="A8069" s="417" t="s">
        <v>3385</v>
      </c>
      <c r="B8069" s="417" t="s">
        <v>3405</v>
      </c>
      <c r="C8069" s="417" t="s">
        <v>18589</v>
      </c>
      <c r="D8069" s="417" t="s">
        <v>73</v>
      </c>
      <c r="E8069" s="423">
        <v>2.0545618465260419E-2</v>
      </c>
      <c r="F8069" s="423">
        <v>0.108629648361506</v>
      </c>
      <c r="G8069" s="422">
        <v>97.459001290803172</v>
      </c>
      <c r="H8069" s="417" t="s">
        <v>2616</v>
      </c>
      <c r="I8069" s="417" t="s">
        <v>1392</v>
      </c>
      <c r="J8069" s="417" t="s">
        <v>4245</v>
      </c>
      <c r="K8069" s="417" t="s">
        <v>18590</v>
      </c>
      <c r="L8069" s="417"/>
      <c r="M8069" s="417" t="s">
        <v>28840</v>
      </c>
    </row>
    <row r="8070" spans="1:13" x14ac:dyDescent="0.25">
      <c r="A8070" s="417" t="s">
        <v>3385</v>
      </c>
      <c r="B8070" s="417" t="s">
        <v>3405</v>
      </c>
      <c r="C8070" s="417" t="s">
        <v>18591</v>
      </c>
      <c r="D8070" s="417" t="s">
        <v>73</v>
      </c>
      <c r="E8070" s="423">
        <v>2.123548371896742E-2</v>
      </c>
      <c r="F8070" s="423">
        <v>0.1090533624959491</v>
      </c>
      <c r="G8070" s="422">
        <v>75.368624914576756</v>
      </c>
      <c r="H8070" s="417" t="s">
        <v>2616</v>
      </c>
      <c r="I8070" s="417" t="s">
        <v>1392</v>
      </c>
      <c r="J8070" s="417" t="s">
        <v>4245</v>
      </c>
      <c r="K8070" s="417" t="s">
        <v>18592</v>
      </c>
      <c r="L8070" s="417"/>
      <c r="M8070" s="417" t="s">
        <v>28840</v>
      </c>
    </row>
    <row r="8071" spans="1:13" x14ac:dyDescent="0.25">
      <c r="A8071" s="417" t="s">
        <v>3385</v>
      </c>
      <c r="B8071" s="417" t="s">
        <v>3405</v>
      </c>
      <c r="C8071" s="417" t="s">
        <v>18593</v>
      </c>
      <c r="D8071" s="417" t="s">
        <v>73</v>
      </c>
      <c r="E8071" s="423">
        <v>2.070639166856594E-2</v>
      </c>
      <c r="F8071" s="423">
        <v>0.10864882902158821</v>
      </c>
      <c r="G8071" s="422">
        <v>75.318759210876649</v>
      </c>
      <c r="H8071" s="417" t="s">
        <v>2616</v>
      </c>
      <c r="I8071" s="417" t="s">
        <v>1392</v>
      </c>
      <c r="J8071" s="417" t="s">
        <v>4245</v>
      </c>
      <c r="K8071" s="417" t="s">
        <v>18594</v>
      </c>
      <c r="L8071" s="417"/>
      <c r="M8071" s="417" t="s">
        <v>28840</v>
      </c>
    </row>
    <row r="8072" spans="1:13" x14ac:dyDescent="0.25">
      <c r="A8072" s="417" t="s">
        <v>3385</v>
      </c>
      <c r="B8072" s="417" t="s">
        <v>3405</v>
      </c>
      <c r="C8072" s="417" t="s">
        <v>18595</v>
      </c>
      <c r="D8072" s="417" t="s">
        <v>73</v>
      </c>
      <c r="E8072" s="423">
        <v>7.7010585940838552E-3</v>
      </c>
      <c r="F8072" s="423">
        <v>0.12560308561005781</v>
      </c>
      <c r="G8072" s="422">
        <v>71.887861707662324</v>
      </c>
      <c r="H8072" s="417" t="s">
        <v>2616</v>
      </c>
      <c r="I8072" s="417" t="s">
        <v>1392</v>
      </c>
      <c r="J8072" s="417" t="s">
        <v>4245</v>
      </c>
      <c r="K8072" s="417" t="s">
        <v>18596</v>
      </c>
      <c r="L8072" s="417"/>
      <c r="M8072" s="417" t="s">
        <v>28840</v>
      </c>
    </row>
    <row r="8073" spans="1:13" x14ac:dyDescent="0.25">
      <c r="A8073" s="417" t="s">
        <v>3385</v>
      </c>
      <c r="B8073" s="417" t="s">
        <v>3405</v>
      </c>
      <c r="C8073" s="417" t="s">
        <v>18597</v>
      </c>
      <c r="D8073" s="417" t="s">
        <v>73</v>
      </c>
      <c r="E8073" s="423">
        <v>2.0798472416743988E-2</v>
      </c>
      <c r="F8073" s="423">
        <v>0.10874516831056701</v>
      </c>
      <c r="G8073" s="422">
        <v>80.866348667803365</v>
      </c>
      <c r="H8073" s="417" t="s">
        <v>2616</v>
      </c>
      <c r="I8073" s="417" t="s">
        <v>1392</v>
      </c>
      <c r="J8073" s="417" t="s">
        <v>4245</v>
      </c>
      <c r="K8073" s="417" t="s">
        <v>18598</v>
      </c>
      <c r="L8073" s="417"/>
      <c r="M8073" s="417" t="s">
        <v>28840</v>
      </c>
    </row>
    <row r="8074" spans="1:13" x14ac:dyDescent="0.25">
      <c r="A8074" s="417" t="s">
        <v>3385</v>
      </c>
      <c r="B8074" s="417" t="s">
        <v>2627</v>
      </c>
      <c r="C8074" s="417" t="s">
        <v>18599</v>
      </c>
      <c r="D8074" s="417" t="s">
        <v>83</v>
      </c>
      <c r="E8074" s="423">
        <v>36.97778276068702</v>
      </c>
      <c r="F8074" s="423">
        <v>119.4489298757811</v>
      </c>
      <c r="G8074" s="422">
        <v>158302.68697882601</v>
      </c>
      <c r="H8074" s="417" t="s">
        <v>2616</v>
      </c>
      <c r="I8074" s="417" t="s">
        <v>1392</v>
      </c>
      <c r="J8074" s="417" t="s">
        <v>4823</v>
      </c>
      <c r="K8074" s="417" t="s">
        <v>18600</v>
      </c>
      <c r="L8074" s="417"/>
      <c r="M8074" s="417" t="s">
        <v>28840</v>
      </c>
    </row>
    <row r="8075" spans="1:13" x14ac:dyDescent="0.25">
      <c r="A8075" s="417" t="s">
        <v>3385</v>
      </c>
      <c r="B8075" s="417" t="s">
        <v>2627</v>
      </c>
      <c r="C8075" s="417" t="s">
        <v>18601</v>
      </c>
      <c r="D8075" s="417" t="s">
        <v>88</v>
      </c>
      <c r="E8075" s="423">
        <v>0.1017438163993131</v>
      </c>
      <c r="F8075" s="423">
        <v>5.5688440970989494E-3</v>
      </c>
      <c r="G8075" s="422">
        <v>192.79490863387809</v>
      </c>
      <c r="H8075" s="417" t="s">
        <v>2616</v>
      </c>
      <c r="I8075" s="417" t="s">
        <v>1392</v>
      </c>
      <c r="J8075" s="417" t="s">
        <v>18602</v>
      </c>
      <c r="K8075" s="417" t="s">
        <v>18603</v>
      </c>
      <c r="L8075" s="417"/>
      <c r="M8075" s="417" t="s">
        <v>28840</v>
      </c>
    </row>
    <row r="8076" spans="1:13" x14ac:dyDescent="0.25">
      <c r="A8076" s="417" t="s">
        <v>3385</v>
      </c>
      <c r="B8076" s="417" t="s">
        <v>3655</v>
      </c>
      <c r="C8076" s="417" t="s">
        <v>18604</v>
      </c>
      <c r="D8076" s="417" t="s">
        <v>563</v>
      </c>
      <c r="E8076" s="423">
        <v>3.397404608339234</v>
      </c>
      <c r="F8076" s="423">
        <v>8.2077049082233761E-2</v>
      </c>
      <c r="G8076" s="422">
        <v>6034.3806343668712</v>
      </c>
      <c r="H8076" s="417" t="s">
        <v>2616</v>
      </c>
      <c r="I8076" s="417" t="s">
        <v>1392</v>
      </c>
      <c r="J8076" s="417" t="s">
        <v>3902</v>
      </c>
      <c r="K8076" s="417" t="s">
        <v>18605</v>
      </c>
      <c r="L8076" s="417"/>
      <c r="M8076" s="417" t="s">
        <v>28840</v>
      </c>
    </row>
    <row r="8077" spans="1:13" x14ac:dyDescent="0.25">
      <c r="A8077" s="417" t="s">
        <v>3385</v>
      </c>
      <c r="B8077" s="417" t="s">
        <v>3655</v>
      </c>
      <c r="C8077" s="417" t="s">
        <v>18606</v>
      </c>
      <c r="D8077" s="417" t="s">
        <v>563</v>
      </c>
      <c r="E8077" s="423">
        <v>4.1281506029556247</v>
      </c>
      <c r="F8077" s="423">
        <v>0.1058686156648356</v>
      </c>
      <c r="G8077" s="422">
        <v>6557.6379412850101</v>
      </c>
      <c r="H8077" s="417" t="s">
        <v>2616</v>
      </c>
      <c r="I8077" s="417" t="s">
        <v>1392</v>
      </c>
      <c r="J8077" s="417" t="s">
        <v>3902</v>
      </c>
      <c r="K8077" s="417" t="s">
        <v>18607</v>
      </c>
      <c r="L8077" s="417"/>
      <c r="M8077" s="417" t="s">
        <v>28840</v>
      </c>
    </row>
    <row r="8078" spans="1:13" x14ac:dyDescent="0.25">
      <c r="A8078" s="417" t="s">
        <v>3385</v>
      </c>
      <c r="B8078" s="417" t="s">
        <v>2627</v>
      </c>
      <c r="C8078" s="417" t="s">
        <v>18608</v>
      </c>
      <c r="D8078" s="417" t="s">
        <v>989</v>
      </c>
      <c r="E8078" s="423">
        <v>4.6733538670256731</v>
      </c>
      <c r="F8078" s="423">
        <v>0.31979980500216709</v>
      </c>
      <c r="G8078" s="422">
        <v>24180.82522169884</v>
      </c>
      <c r="H8078" s="417" t="s">
        <v>2616</v>
      </c>
      <c r="I8078" s="417" t="s">
        <v>1392</v>
      </c>
      <c r="J8078" s="417" t="s">
        <v>3699</v>
      </c>
      <c r="K8078" s="417" t="s">
        <v>18609</v>
      </c>
      <c r="L8078" s="417"/>
      <c r="M8078" s="417" t="s">
        <v>28840</v>
      </c>
    </row>
    <row r="8079" spans="1:13" x14ac:dyDescent="0.25">
      <c r="A8079" s="417" t="s">
        <v>3385</v>
      </c>
      <c r="B8079" s="417" t="s">
        <v>2437</v>
      </c>
      <c r="C8079" s="417" t="s">
        <v>18610</v>
      </c>
      <c r="D8079" s="417" t="s">
        <v>88</v>
      </c>
      <c r="E8079" s="423">
        <v>25.467690922930888</v>
      </c>
      <c r="F8079" s="423">
        <v>0.83885417957605979</v>
      </c>
      <c r="G8079" s="422">
        <v>137161.40812790531</v>
      </c>
      <c r="H8079" s="417" t="s">
        <v>2616</v>
      </c>
      <c r="I8079" s="417" t="s">
        <v>1392</v>
      </c>
      <c r="J8079" s="417" t="s">
        <v>4342</v>
      </c>
      <c r="K8079" s="417" t="s">
        <v>18611</v>
      </c>
      <c r="L8079" s="417"/>
      <c r="M8079" s="417" t="s">
        <v>28840</v>
      </c>
    </row>
    <row r="8080" spans="1:13" x14ac:dyDescent="0.25">
      <c r="A8080" s="417" t="s">
        <v>3385</v>
      </c>
      <c r="B8080" s="417" t="s">
        <v>2437</v>
      </c>
      <c r="C8080" s="417" t="s">
        <v>18612</v>
      </c>
      <c r="D8080" s="417" t="s">
        <v>88</v>
      </c>
      <c r="E8080" s="423">
        <v>9.7148578466881066</v>
      </c>
      <c r="F8080" s="423">
        <v>0.4449240639110138</v>
      </c>
      <c r="G8080" s="422">
        <v>22551.524250707349</v>
      </c>
      <c r="H8080" s="417" t="s">
        <v>2616</v>
      </c>
      <c r="I8080" s="417" t="s">
        <v>1392</v>
      </c>
      <c r="J8080" s="417" t="s">
        <v>4414</v>
      </c>
      <c r="K8080" s="417" t="s">
        <v>18613</v>
      </c>
      <c r="L8080" s="417"/>
      <c r="M8080" s="417" t="s">
        <v>28840</v>
      </c>
    </row>
    <row r="8081" spans="1:13" x14ac:dyDescent="0.25">
      <c r="A8081" s="417" t="s">
        <v>3385</v>
      </c>
      <c r="B8081" s="417" t="s">
        <v>3655</v>
      </c>
      <c r="C8081" s="417" t="s">
        <v>18614</v>
      </c>
      <c r="D8081" s="417" t="s">
        <v>989</v>
      </c>
      <c r="E8081" s="423">
        <v>121.658608965128</v>
      </c>
      <c r="F8081" s="423">
        <v>4.7734709176176313</v>
      </c>
      <c r="G8081" s="422">
        <v>191441.47609262139</v>
      </c>
      <c r="H8081" s="417" t="s">
        <v>2616</v>
      </c>
      <c r="I8081" s="417" t="s">
        <v>1392</v>
      </c>
      <c r="J8081" s="417" t="s">
        <v>4697</v>
      </c>
      <c r="K8081" s="417" t="s">
        <v>18615</v>
      </c>
      <c r="L8081" s="417"/>
      <c r="M8081" s="417" t="s">
        <v>28840</v>
      </c>
    </row>
    <row r="8082" spans="1:13" x14ac:dyDescent="0.25">
      <c r="A8082" s="417" t="s">
        <v>3385</v>
      </c>
      <c r="B8082" s="417" t="s">
        <v>3655</v>
      </c>
      <c r="C8082" s="417" t="s">
        <v>18616</v>
      </c>
      <c r="D8082" s="417" t="s">
        <v>989</v>
      </c>
      <c r="E8082" s="423">
        <v>119.7812071792178</v>
      </c>
      <c r="F8082" s="423">
        <v>4.6334677008730036</v>
      </c>
      <c r="G8082" s="422">
        <v>150650.53047763769</v>
      </c>
      <c r="H8082" s="417" t="s">
        <v>2616</v>
      </c>
      <c r="I8082" s="417" t="s">
        <v>1392</v>
      </c>
      <c r="J8082" s="417" t="s">
        <v>4697</v>
      </c>
      <c r="K8082" s="417" t="s">
        <v>18617</v>
      </c>
      <c r="L8082" s="417"/>
      <c r="M8082" s="417" t="s">
        <v>28840</v>
      </c>
    </row>
    <row r="8083" spans="1:13" x14ac:dyDescent="0.25">
      <c r="A8083" s="417" t="s">
        <v>3385</v>
      </c>
      <c r="B8083" s="417" t="s">
        <v>3655</v>
      </c>
      <c r="C8083" s="417" t="s">
        <v>18618</v>
      </c>
      <c r="D8083" s="417" t="s">
        <v>4427</v>
      </c>
      <c r="E8083" s="423">
        <v>5.5697981403659336</v>
      </c>
      <c r="F8083" s="423">
        <v>0.2049906073081334</v>
      </c>
      <c r="G8083" s="422">
        <v>15233.357342094039</v>
      </c>
      <c r="H8083" s="417" t="s">
        <v>2616</v>
      </c>
      <c r="I8083" s="417" t="s">
        <v>1392</v>
      </c>
      <c r="J8083" s="417" t="s">
        <v>4718</v>
      </c>
      <c r="K8083" s="417" t="s">
        <v>18619</v>
      </c>
      <c r="L8083" s="417"/>
      <c r="M8083" s="417" t="s">
        <v>28840</v>
      </c>
    </row>
    <row r="8084" spans="1:13" x14ac:dyDescent="0.25">
      <c r="A8084" s="417" t="s">
        <v>3385</v>
      </c>
      <c r="B8084" s="417" t="s">
        <v>2627</v>
      </c>
      <c r="C8084" s="417" t="s">
        <v>18620</v>
      </c>
      <c r="D8084" s="417" t="s">
        <v>4427</v>
      </c>
      <c r="E8084" s="423">
        <v>6.3880558187866141</v>
      </c>
      <c r="F8084" s="423">
        <v>1.5025379424462271</v>
      </c>
      <c r="G8084" s="422">
        <v>19950.034377412449</v>
      </c>
      <c r="H8084" s="417" t="s">
        <v>2616</v>
      </c>
      <c r="I8084" s="417" t="s">
        <v>1392</v>
      </c>
      <c r="J8084" s="417" t="s">
        <v>4016</v>
      </c>
      <c r="K8084" s="417" t="s">
        <v>18621</v>
      </c>
      <c r="L8084" s="417"/>
      <c r="M8084" s="417" t="s">
        <v>28840</v>
      </c>
    </row>
    <row r="8085" spans="1:13" x14ac:dyDescent="0.25">
      <c r="A8085" s="417" t="s">
        <v>3385</v>
      </c>
      <c r="B8085" s="417" t="s">
        <v>3655</v>
      </c>
      <c r="C8085" s="417" t="s">
        <v>18622</v>
      </c>
      <c r="D8085" s="417" t="s">
        <v>4427</v>
      </c>
      <c r="E8085" s="423">
        <v>1.76167354772785</v>
      </c>
      <c r="F8085" s="423">
        <v>4.9730753633475358E-2</v>
      </c>
      <c r="G8085" s="422">
        <v>7939.5211144421364</v>
      </c>
      <c r="H8085" s="417" t="s">
        <v>2616</v>
      </c>
      <c r="I8085" s="417" t="s">
        <v>1392</v>
      </c>
      <c r="J8085" s="417" t="s">
        <v>18623</v>
      </c>
      <c r="K8085" s="417" t="s">
        <v>18624</v>
      </c>
      <c r="L8085" s="417"/>
      <c r="M8085" s="417" t="s">
        <v>28840</v>
      </c>
    </row>
    <row r="8086" spans="1:13" x14ac:dyDescent="0.25">
      <c r="A8086" s="417" t="s">
        <v>3385</v>
      </c>
      <c r="B8086" s="417" t="s">
        <v>2627</v>
      </c>
      <c r="C8086" s="417" t="s">
        <v>18625</v>
      </c>
      <c r="D8086" s="417" t="s">
        <v>989</v>
      </c>
      <c r="E8086" s="423">
        <v>22.916768877383969</v>
      </c>
      <c r="F8086" s="423">
        <v>0.99867092047907235</v>
      </c>
      <c r="G8086" s="422">
        <v>61590.484123302362</v>
      </c>
      <c r="H8086" s="417" t="s">
        <v>2616</v>
      </c>
      <c r="I8086" s="417" t="s">
        <v>1392</v>
      </c>
      <c r="J8086" s="417" t="s">
        <v>3699</v>
      </c>
      <c r="K8086" s="417" t="s">
        <v>18626</v>
      </c>
      <c r="L8086" s="417"/>
      <c r="M8086" s="417" t="s">
        <v>28840</v>
      </c>
    </row>
    <row r="8087" spans="1:13" x14ac:dyDescent="0.25">
      <c r="A8087" s="417" t="s">
        <v>3385</v>
      </c>
      <c r="B8087" s="417" t="s">
        <v>2437</v>
      </c>
      <c r="C8087" s="417" t="s">
        <v>18627</v>
      </c>
      <c r="D8087" s="417" t="s">
        <v>88</v>
      </c>
      <c r="E8087" s="423">
        <v>14.44240514306763</v>
      </c>
      <c r="F8087" s="423">
        <v>0.59350619292554452</v>
      </c>
      <c r="G8087" s="422">
        <v>35023.342652573992</v>
      </c>
      <c r="H8087" s="417" t="s">
        <v>2616</v>
      </c>
      <c r="I8087" s="417" t="s">
        <v>1392</v>
      </c>
      <c r="J8087" s="417" t="s">
        <v>4342</v>
      </c>
      <c r="K8087" s="417" t="s">
        <v>18628</v>
      </c>
      <c r="L8087" s="417"/>
      <c r="M8087" s="417" t="s">
        <v>28840</v>
      </c>
    </row>
    <row r="8088" spans="1:13" x14ac:dyDescent="0.25">
      <c r="A8088" s="417" t="s">
        <v>3385</v>
      </c>
      <c r="B8088" s="417" t="s">
        <v>2627</v>
      </c>
      <c r="C8088" s="417" t="s">
        <v>18629</v>
      </c>
      <c r="D8088" s="417" t="s">
        <v>83</v>
      </c>
      <c r="E8088" s="423">
        <v>708.70223210710867</v>
      </c>
      <c r="F8088" s="423">
        <v>54.638143521668809</v>
      </c>
      <c r="G8088" s="422">
        <v>1094166.0315391901</v>
      </c>
      <c r="H8088" s="417" t="s">
        <v>2616</v>
      </c>
      <c r="I8088" s="417" t="s">
        <v>1392</v>
      </c>
      <c r="J8088" s="417" t="s">
        <v>4399</v>
      </c>
      <c r="K8088" s="417" t="s">
        <v>18630</v>
      </c>
      <c r="L8088" s="417"/>
      <c r="M8088" s="417" t="s">
        <v>28840</v>
      </c>
    </row>
    <row r="8089" spans="1:13" x14ac:dyDescent="0.25">
      <c r="A8089" s="417" t="s">
        <v>3385</v>
      </c>
      <c r="B8089" s="417" t="s">
        <v>2627</v>
      </c>
      <c r="C8089" s="417" t="s">
        <v>18631</v>
      </c>
      <c r="D8089" s="417" t="s">
        <v>83</v>
      </c>
      <c r="E8089" s="423">
        <v>50.600288178280252</v>
      </c>
      <c r="F8089" s="423">
        <v>15.46353023936153</v>
      </c>
      <c r="G8089" s="422">
        <v>89893.96842062677</v>
      </c>
      <c r="H8089" s="417" t="s">
        <v>2616</v>
      </c>
      <c r="I8089" s="417" t="s">
        <v>1392</v>
      </c>
      <c r="J8089" s="417" t="s">
        <v>4399</v>
      </c>
      <c r="K8089" s="417" t="s">
        <v>18632</v>
      </c>
      <c r="L8089" s="417"/>
      <c r="M8089" s="417" t="s">
        <v>28840</v>
      </c>
    </row>
    <row r="8090" spans="1:13" x14ac:dyDescent="0.25">
      <c r="A8090" s="417" t="s">
        <v>3385</v>
      </c>
      <c r="B8090" s="417" t="s">
        <v>2627</v>
      </c>
      <c r="C8090" s="417" t="s">
        <v>18633</v>
      </c>
      <c r="D8090" s="417" t="s">
        <v>83</v>
      </c>
      <c r="E8090" s="423">
        <v>402.36784919628172</v>
      </c>
      <c r="F8090" s="423">
        <v>43.406750082295567</v>
      </c>
      <c r="G8090" s="422">
        <v>606463.52210416051</v>
      </c>
      <c r="H8090" s="417" t="s">
        <v>2616</v>
      </c>
      <c r="I8090" s="417" t="s">
        <v>1392</v>
      </c>
      <c r="J8090" s="417" t="s">
        <v>4399</v>
      </c>
      <c r="K8090" s="417" t="s">
        <v>18634</v>
      </c>
      <c r="L8090" s="417"/>
      <c r="M8090" s="417" t="s">
        <v>28840</v>
      </c>
    </row>
    <row r="8091" spans="1:13" x14ac:dyDescent="0.25">
      <c r="A8091" s="417" t="s">
        <v>3385</v>
      </c>
      <c r="B8091" s="417" t="s">
        <v>2627</v>
      </c>
      <c r="C8091" s="417" t="s">
        <v>18635</v>
      </c>
      <c r="D8091" s="417" t="s">
        <v>83</v>
      </c>
      <c r="E8091" s="423">
        <v>55.168591459620437</v>
      </c>
      <c r="F8091" s="423">
        <v>21.801808952382309</v>
      </c>
      <c r="G8091" s="422">
        <v>101551.3777594421</v>
      </c>
      <c r="H8091" s="417" t="s">
        <v>2616</v>
      </c>
      <c r="I8091" s="417" t="s">
        <v>1392</v>
      </c>
      <c r="J8091" s="417" t="s">
        <v>4399</v>
      </c>
      <c r="K8091" s="417" t="s">
        <v>18636</v>
      </c>
      <c r="L8091" s="417"/>
      <c r="M8091" s="417" t="s">
        <v>28840</v>
      </c>
    </row>
    <row r="8092" spans="1:13" x14ac:dyDescent="0.25">
      <c r="A8092" s="417" t="s">
        <v>3385</v>
      </c>
      <c r="B8092" s="417" t="s">
        <v>2627</v>
      </c>
      <c r="C8092" s="417" t="s">
        <v>18637</v>
      </c>
      <c r="D8092" s="417" t="s">
        <v>88</v>
      </c>
      <c r="E8092" s="423">
        <v>64.055222027492093</v>
      </c>
      <c r="F8092" s="423">
        <v>0.68837538254459107</v>
      </c>
      <c r="G8092" s="422">
        <v>141843.16572021591</v>
      </c>
      <c r="H8092" s="417" t="s">
        <v>2616</v>
      </c>
      <c r="I8092" s="417" t="s">
        <v>1392</v>
      </c>
      <c r="J8092" s="417" t="s">
        <v>3772</v>
      </c>
      <c r="K8092" s="417" t="s">
        <v>18638</v>
      </c>
      <c r="L8092" s="417"/>
      <c r="M8092" s="417" t="s">
        <v>28840</v>
      </c>
    </row>
    <row r="8093" spans="1:13" x14ac:dyDescent="0.25">
      <c r="A8093" s="417" t="s">
        <v>3385</v>
      </c>
      <c r="B8093" s="417" t="s">
        <v>2627</v>
      </c>
      <c r="C8093" s="417" t="s">
        <v>18639</v>
      </c>
      <c r="D8093" s="417" t="s">
        <v>4315</v>
      </c>
      <c r="E8093" s="423">
        <v>28.96256946263642</v>
      </c>
      <c r="F8093" s="423">
        <v>1.682694919272143</v>
      </c>
      <c r="G8093" s="422">
        <v>44460.087197395689</v>
      </c>
      <c r="H8093" s="417" t="s">
        <v>2616</v>
      </c>
      <c r="I8093" s="417" t="s">
        <v>1392</v>
      </c>
      <c r="J8093" s="417" t="s">
        <v>4138</v>
      </c>
      <c r="K8093" s="417" t="s">
        <v>18640</v>
      </c>
      <c r="L8093" s="417"/>
      <c r="M8093" s="417" t="s">
        <v>28840</v>
      </c>
    </row>
    <row r="8094" spans="1:13" x14ac:dyDescent="0.25">
      <c r="A8094" s="417" t="s">
        <v>3385</v>
      </c>
      <c r="B8094" s="417" t="s">
        <v>2627</v>
      </c>
      <c r="C8094" s="417" t="s">
        <v>18641</v>
      </c>
      <c r="D8094" s="417" t="s">
        <v>4315</v>
      </c>
      <c r="E8094" s="423">
        <v>18.47157505938706</v>
      </c>
      <c r="F8094" s="423">
        <v>1.060713913438518</v>
      </c>
      <c r="G8094" s="422">
        <v>28233.3774434853</v>
      </c>
      <c r="H8094" s="417" t="s">
        <v>2616</v>
      </c>
      <c r="I8094" s="417" t="s">
        <v>1392</v>
      </c>
      <c r="J8094" s="417" t="s">
        <v>4138</v>
      </c>
      <c r="K8094" s="417" t="s">
        <v>18642</v>
      </c>
      <c r="L8094" s="417"/>
      <c r="M8094" s="417" t="s">
        <v>28840</v>
      </c>
    </row>
    <row r="8095" spans="1:13" x14ac:dyDescent="0.25">
      <c r="A8095" s="417" t="s">
        <v>3385</v>
      </c>
      <c r="B8095" s="417" t="s">
        <v>2627</v>
      </c>
      <c r="C8095" s="417" t="s">
        <v>18643</v>
      </c>
      <c r="D8095" s="417" t="s">
        <v>4315</v>
      </c>
      <c r="E8095" s="423">
        <v>26.539922197218999</v>
      </c>
      <c r="F8095" s="423">
        <v>1.547032332265831</v>
      </c>
      <c r="G8095" s="422">
        <v>40057.798099997082</v>
      </c>
      <c r="H8095" s="417" t="s">
        <v>2616</v>
      </c>
      <c r="I8095" s="417" t="s">
        <v>1392</v>
      </c>
      <c r="J8095" s="417" t="s">
        <v>4138</v>
      </c>
      <c r="K8095" s="417" t="s">
        <v>18644</v>
      </c>
      <c r="L8095" s="417"/>
      <c r="M8095" s="417" t="s">
        <v>28840</v>
      </c>
    </row>
    <row r="8096" spans="1:13" x14ac:dyDescent="0.25">
      <c r="A8096" s="417" t="s">
        <v>3385</v>
      </c>
      <c r="B8096" s="417" t="s">
        <v>2627</v>
      </c>
      <c r="C8096" s="417" t="s">
        <v>18645</v>
      </c>
      <c r="D8096" s="417" t="s">
        <v>4315</v>
      </c>
      <c r="E8096" s="423">
        <v>41.875878839200922</v>
      </c>
      <c r="F8096" s="423">
        <v>2.4403185728473131</v>
      </c>
      <c r="G8096" s="422">
        <v>65088.559259757851</v>
      </c>
      <c r="H8096" s="417" t="s">
        <v>2616</v>
      </c>
      <c r="I8096" s="417" t="s">
        <v>1392</v>
      </c>
      <c r="J8096" s="417" t="s">
        <v>4138</v>
      </c>
      <c r="K8096" s="417" t="s">
        <v>18646</v>
      </c>
      <c r="L8096" s="417"/>
      <c r="M8096" s="417" t="s">
        <v>28840</v>
      </c>
    </row>
    <row r="8097" spans="1:13" x14ac:dyDescent="0.25">
      <c r="A8097" s="417" t="s">
        <v>3385</v>
      </c>
      <c r="B8097" s="417" t="s">
        <v>3655</v>
      </c>
      <c r="C8097" s="417" t="s">
        <v>18647</v>
      </c>
      <c r="D8097" s="417" t="s">
        <v>989</v>
      </c>
      <c r="E8097" s="423">
        <v>394774.42237081681</v>
      </c>
      <c r="F8097" s="423">
        <v>107981.40826287289</v>
      </c>
      <c r="G8097" s="422">
        <v>948067569.69323552</v>
      </c>
      <c r="H8097" s="417" t="s">
        <v>2616</v>
      </c>
      <c r="I8097" s="417" t="s">
        <v>1392</v>
      </c>
      <c r="J8097" s="417" t="s">
        <v>4697</v>
      </c>
      <c r="K8097" s="417" t="s">
        <v>18648</v>
      </c>
      <c r="L8097" s="417"/>
      <c r="M8097" s="417" t="s">
        <v>28840</v>
      </c>
    </row>
    <row r="8098" spans="1:13" x14ac:dyDescent="0.25">
      <c r="A8098" s="417" t="s">
        <v>3385</v>
      </c>
      <c r="B8098" s="417" t="s">
        <v>3655</v>
      </c>
      <c r="C8098" s="417" t="s">
        <v>18649</v>
      </c>
      <c r="D8098" s="417" t="s">
        <v>83</v>
      </c>
      <c r="E8098" s="423">
        <v>2.45717246958788</v>
      </c>
      <c r="F8098" s="423">
        <v>0.5016251254747508</v>
      </c>
      <c r="G8098" s="422">
        <v>5564.3539280259101</v>
      </c>
      <c r="H8098" s="417" t="s">
        <v>2616</v>
      </c>
      <c r="I8098" s="417" t="s">
        <v>1392</v>
      </c>
      <c r="J8098" s="417" t="s">
        <v>4718</v>
      </c>
      <c r="K8098" s="417" t="s">
        <v>18650</v>
      </c>
      <c r="L8098" s="417"/>
      <c r="M8098" s="417" t="s">
        <v>28840</v>
      </c>
    </row>
    <row r="8099" spans="1:13" x14ac:dyDescent="0.25">
      <c r="A8099" s="417" t="s">
        <v>3385</v>
      </c>
      <c r="B8099" s="417" t="s">
        <v>3655</v>
      </c>
      <c r="C8099" s="417" t="s">
        <v>18651</v>
      </c>
      <c r="D8099" s="417" t="s">
        <v>83</v>
      </c>
      <c r="E8099" s="423">
        <v>4.0819834297254483</v>
      </c>
      <c r="F8099" s="423">
        <v>0.70362486726257512</v>
      </c>
      <c r="G8099" s="422">
        <v>8959.1839063585758</v>
      </c>
      <c r="H8099" s="417" t="s">
        <v>2616</v>
      </c>
      <c r="I8099" s="417" t="s">
        <v>1392</v>
      </c>
      <c r="J8099" s="417" t="s">
        <v>4718</v>
      </c>
      <c r="K8099" s="417" t="s">
        <v>18652</v>
      </c>
      <c r="L8099" s="417"/>
      <c r="M8099" s="417" t="s">
        <v>28840</v>
      </c>
    </row>
    <row r="8100" spans="1:13" x14ac:dyDescent="0.25">
      <c r="A8100" s="417" t="s">
        <v>3385</v>
      </c>
      <c r="B8100" s="417" t="s">
        <v>2627</v>
      </c>
      <c r="C8100" s="417" t="s">
        <v>18653</v>
      </c>
      <c r="D8100" s="417" t="s">
        <v>563</v>
      </c>
      <c r="E8100" s="423">
        <v>7.7901444072115691</v>
      </c>
      <c r="F8100" s="423">
        <v>0.85840503631134291</v>
      </c>
      <c r="G8100" s="422">
        <v>24173.08225822559</v>
      </c>
      <c r="H8100" s="417" t="s">
        <v>2616</v>
      </c>
      <c r="I8100" s="417" t="s">
        <v>1392</v>
      </c>
      <c r="J8100" s="417" t="s">
        <v>13192</v>
      </c>
      <c r="K8100" s="417" t="s">
        <v>18654</v>
      </c>
      <c r="L8100" s="417"/>
      <c r="M8100" s="417" t="s">
        <v>28840</v>
      </c>
    </row>
    <row r="8101" spans="1:13" x14ac:dyDescent="0.25">
      <c r="A8101" s="417" t="s">
        <v>3385</v>
      </c>
      <c r="B8101" s="417" t="s">
        <v>2627</v>
      </c>
      <c r="C8101" s="417" t="s">
        <v>18655</v>
      </c>
      <c r="D8101" s="417" t="s">
        <v>989</v>
      </c>
      <c r="E8101" s="423">
        <v>80227.542007882483</v>
      </c>
      <c r="F8101" s="423">
        <v>2418.460334154383</v>
      </c>
      <c r="G8101" s="422">
        <v>244612717.58607501</v>
      </c>
      <c r="H8101" s="417" t="s">
        <v>2616</v>
      </c>
      <c r="I8101" s="417" t="s">
        <v>1392</v>
      </c>
      <c r="J8101" s="417" t="s">
        <v>2631</v>
      </c>
      <c r="K8101" s="417" t="s">
        <v>18656</v>
      </c>
      <c r="L8101" s="417"/>
      <c r="M8101" s="417" t="s">
        <v>28840</v>
      </c>
    </row>
    <row r="8102" spans="1:13" x14ac:dyDescent="0.25">
      <c r="A8102" s="417" t="s">
        <v>3385</v>
      </c>
      <c r="B8102" s="417" t="s">
        <v>2627</v>
      </c>
      <c r="C8102" s="417" t="s">
        <v>18657</v>
      </c>
      <c r="D8102" s="417" t="s">
        <v>989</v>
      </c>
      <c r="E8102" s="423">
        <v>12487.91138333691</v>
      </c>
      <c r="F8102" s="423">
        <v>448.93519500133391</v>
      </c>
      <c r="G8102" s="422">
        <v>50679346.833201833</v>
      </c>
      <c r="H8102" s="417" t="s">
        <v>2616</v>
      </c>
      <c r="I8102" s="417" t="s">
        <v>1392</v>
      </c>
      <c r="J8102" s="417" t="s">
        <v>2631</v>
      </c>
      <c r="K8102" s="417" t="s">
        <v>18658</v>
      </c>
      <c r="L8102" s="417"/>
      <c r="M8102" s="417" t="s">
        <v>28840</v>
      </c>
    </row>
    <row r="8103" spans="1:13" x14ac:dyDescent="0.25">
      <c r="A8103" s="417" t="s">
        <v>3385</v>
      </c>
      <c r="B8103" s="417" t="s">
        <v>2627</v>
      </c>
      <c r="C8103" s="417" t="s">
        <v>18659</v>
      </c>
      <c r="D8103" s="417" t="s">
        <v>989</v>
      </c>
      <c r="E8103" s="423">
        <v>6206857.6201373748</v>
      </c>
      <c r="F8103" s="423">
        <v>1640429.728740793</v>
      </c>
      <c r="G8103" s="422">
        <v>17380210205.265202</v>
      </c>
      <c r="H8103" s="417" t="s">
        <v>2616</v>
      </c>
      <c r="I8103" s="417" t="s">
        <v>1392</v>
      </c>
      <c r="J8103" s="417" t="s">
        <v>2631</v>
      </c>
      <c r="K8103" s="417" t="s">
        <v>18660</v>
      </c>
      <c r="L8103" s="417"/>
      <c r="M8103" s="417" t="s">
        <v>28840</v>
      </c>
    </row>
    <row r="8104" spans="1:13" x14ac:dyDescent="0.25">
      <c r="A8104" s="417" t="s">
        <v>3385</v>
      </c>
      <c r="B8104" s="417" t="s">
        <v>2627</v>
      </c>
      <c r="C8104" s="417" t="s">
        <v>18661</v>
      </c>
      <c r="D8104" s="417" t="s">
        <v>989</v>
      </c>
      <c r="E8104" s="423">
        <v>90420559.914738983</v>
      </c>
      <c r="F8104" s="423">
        <v>31480267.012270659</v>
      </c>
      <c r="G8104" s="422">
        <v>262337381752.66422</v>
      </c>
      <c r="H8104" s="417" t="s">
        <v>2616</v>
      </c>
      <c r="I8104" s="417" t="s">
        <v>1392</v>
      </c>
      <c r="J8104" s="417" t="s">
        <v>13192</v>
      </c>
      <c r="K8104" s="417" t="s">
        <v>18662</v>
      </c>
      <c r="L8104" s="417"/>
      <c r="M8104" s="417" t="s">
        <v>28840</v>
      </c>
    </row>
    <row r="8105" spans="1:13" x14ac:dyDescent="0.25">
      <c r="A8105" s="417" t="s">
        <v>3385</v>
      </c>
      <c r="B8105" s="417" t="s">
        <v>2627</v>
      </c>
      <c r="C8105" s="417" t="s">
        <v>18663</v>
      </c>
      <c r="D8105" s="417" t="s">
        <v>563</v>
      </c>
      <c r="E8105" s="423">
        <v>862.28167749924978</v>
      </c>
      <c r="F8105" s="423">
        <v>105.5954402833856</v>
      </c>
      <c r="G8105" s="422">
        <v>1814812.221595638</v>
      </c>
      <c r="H8105" s="417" t="s">
        <v>2616</v>
      </c>
      <c r="I8105" s="417" t="s">
        <v>1392</v>
      </c>
      <c r="J8105" s="417" t="s">
        <v>13192</v>
      </c>
      <c r="K8105" s="417" t="s">
        <v>18664</v>
      </c>
      <c r="L8105" s="417"/>
      <c r="M8105" s="417" t="s">
        <v>28840</v>
      </c>
    </row>
    <row r="8106" spans="1:13" x14ac:dyDescent="0.25">
      <c r="A8106" s="417" t="s">
        <v>3385</v>
      </c>
      <c r="B8106" s="417" t="s">
        <v>2627</v>
      </c>
      <c r="C8106" s="417" t="s">
        <v>18665</v>
      </c>
      <c r="D8106" s="417" t="s">
        <v>88</v>
      </c>
      <c r="E8106" s="423">
        <v>101.66284690733301</v>
      </c>
      <c r="F8106" s="423">
        <v>3.6300643696525792</v>
      </c>
      <c r="G8106" s="422">
        <v>504685.87572965393</v>
      </c>
      <c r="H8106" s="417" t="s">
        <v>2616</v>
      </c>
      <c r="I8106" s="417" t="s">
        <v>1392</v>
      </c>
      <c r="J8106" s="417" t="s">
        <v>3899</v>
      </c>
      <c r="K8106" s="417" t="s">
        <v>18666</v>
      </c>
      <c r="L8106" s="417"/>
      <c r="M8106" s="417" t="s">
        <v>28840</v>
      </c>
    </row>
    <row r="8107" spans="1:13" x14ac:dyDescent="0.25">
      <c r="A8107" s="417" t="s">
        <v>3385</v>
      </c>
      <c r="B8107" s="417" t="s">
        <v>2627</v>
      </c>
      <c r="C8107" s="417" t="s">
        <v>18667</v>
      </c>
      <c r="D8107" s="417" t="s">
        <v>88</v>
      </c>
      <c r="E8107" s="423">
        <v>112.3377904062623</v>
      </c>
      <c r="F8107" s="423">
        <v>4.2573479293956247</v>
      </c>
      <c r="G8107" s="422">
        <v>607960.29193047539</v>
      </c>
      <c r="H8107" s="417" t="s">
        <v>2616</v>
      </c>
      <c r="I8107" s="417" t="s">
        <v>1392</v>
      </c>
      <c r="J8107" s="417" t="s">
        <v>3899</v>
      </c>
      <c r="K8107" s="417" t="s">
        <v>18668</v>
      </c>
      <c r="L8107" s="417"/>
      <c r="M8107" s="417" t="s">
        <v>28840</v>
      </c>
    </row>
    <row r="8108" spans="1:13" x14ac:dyDescent="0.25">
      <c r="A8108" s="417" t="s">
        <v>3385</v>
      </c>
      <c r="B8108" s="417" t="s">
        <v>2627</v>
      </c>
      <c r="C8108" s="417" t="s">
        <v>18669</v>
      </c>
      <c r="D8108" s="417" t="s">
        <v>88</v>
      </c>
      <c r="E8108" s="423">
        <v>111.35776067714239</v>
      </c>
      <c r="F8108" s="423">
        <v>5.107514686437681</v>
      </c>
      <c r="G8108" s="422">
        <v>590773.0026279334</v>
      </c>
      <c r="H8108" s="417" t="s">
        <v>2616</v>
      </c>
      <c r="I8108" s="417" t="s">
        <v>1392</v>
      </c>
      <c r="J8108" s="417" t="s">
        <v>18670</v>
      </c>
      <c r="K8108" s="417" t="s">
        <v>18671</v>
      </c>
      <c r="L8108" s="417"/>
      <c r="M8108" s="417" t="s">
        <v>28840</v>
      </c>
    </row>
    <row r="8109" spans="1:13" x14ac:dyDescent="0.25">
      <c r="A8109" s="417" t="s">
        <v>3385</v>
      </c>
      <c r="B8109" s="417" t="s">
        <v>2627</v>
      </c>
      <c r="C8109" s="417" t="s">
        <v>18672</v>
      </c>
      <c r="D8109" s="417" t="s">
        <v>88</v>
      </c>
      <c r="E8109" s="423">
        <v>112.3377904062623</v>
      </c>
      <c r="F8109" s="423">
        <v>4.2573479293956247</v>
      </c>
      <c r="G8109" s="422">
        <v>607960.29193047539</v>
      </c>
      <c r="H8109" s="417" t="s">
        <v>2616</v>
      </c>
      <c r="I8109" s="417" t="s">
        <v>1392</v>
      </c>
      <c r="J8109" s="417" t="s">
        <v>3899</v>
      </c>
      <c r="K8109" s="417" t="s">
        <v>18673</v>
      </c>
      <c r="L8109" s="417"/>
      <c r="M8109" s="417" t="s">
        <v>28840</v>
      </c>
    </row>
    <row r="8110" spans="1:13" x14ac:dyDescent="0.25">
      <c r="A8110" s="417" t="s">
        <v>3385</v>
      </c>
      <c r="B8110" s="417" t="s">
        <v>2627</v>
      </c>
      <c r="C8110" s="417" t="s">
        <v>18674</v>
      </c>
      <c r="D8110" s="417" t="s">
        <v>88</v>
      </c>
      <c r="E8110" s="423">
        <v>173.9046889471926</v>
      </c>
      <c r="F8110" s="423">
        <v>6.1243863738781146</v>
      </c>
      <c r="G8110" s="422">
        <v>1013358.16658856</v>
      </c>
      <c r="H8110" s="417" t="s">
        <v>2616</v>
      </c>
      <c r="I8110" s="417" t="s">
        <v>1392</v>
      </c>
      <c r="J8110" s="417" t="s">
        <v>3899</v>
      </c>
      <c r="K8110" s="417" t="s">
        <v>18675</v>
      </c>
      <c r="L8110" s="417"/>
      <c r="M8110" s="417" t="s">
        <v>28840</v>
      </c>
    </row>
    <row r="8111" spans="1:13" x14ac:dyDescent="0.25">
      <c r="A8111" s="417" t="s">
        <v>3385</v>
      </c>
      <c r="B8111" s="417" t="s">
        <v>2627</v>
      </c>
      <c r="C8111" s="417" t="s">
        <v>18676</v>
      </c>
      <c r="D8111" s="417" t="s">
        <v>88</v>
      </c>
      <c r="E8111" s="423">
        <v>172.1685329730075</v>
      </c>
      <c r="F8111" s="423">
        <v>7.6304702391967254</v>
      </c>
      <c r="G8111" s="422">
        <v>982910.56346263574</v>
      </c>
      <c r="H8111" s="417" t="s">
        <v>2616</v>
      </c>
      <c r="I8111" s="417" t="s">
        <v>1392</v>
      </c>
      <c r="J8111" s="417" t="s">
        <v>18670</v>
      </c>
      <c r="K8111" s="417" t="s">
        <v>18677</v>
      </c>
      <c r="L8111" s="417"/>
      <c r="M8111" s="417" t="s">
        <v>28840</v>
      </c>
    </row>
    <row r="8112" spans="1:13" x14ac:dyDescent="0.25">
      <c r="A8112" s="417" t="s">
        <v>3385</v>
      </c>
      <c r="B8112" s="417" t="s">
        <v>2627</v>
      </c>
      <c r="C8112" s="417" t="s">
        <v>18678</v>
      </c>
      <c r="D8112" s="417" t="s">
        <v>88</v>
      </c>
      <c r="E8112" s="423">
        <v>173.9046889471926</v>
      </c>
      <c r="F8112" s="423">
        <v>6.1243863738781146</v>
      </c>
      <c r="G8112" s="422">
        <v>1013358.16658856</v>
      </c>
      <c r="H8112" s="417" t="s">
        <v>2616</v>
      </c>
      <c r="I8112" s="417" t="s">
        <v>1392</v>
      </c>
      <c r="J8112" s="417" t="s">
        <v>3899</v>
      </c>
      <c r="K8112" s="417" t="s">
        <v>18679</v>
      </c>
      <c r="L8112" s="417"/>
      <c r="M8112" s="417" t="s">
        <v>28840</v>
      </c>
    </row>
    <row r="8113" spans="1:13" x14ac:dyDescent="0.25">
      <c r="A8113" s="417" t="s">
        <v>3385</v>
      </c>
      <c r="B8113" s="417" t="s">
        <v>2627</v>
      </c>
      <c r="C8113" s="417" t="s">
        <v>18680</v>
      </c>
      <c r="D8113" s="417" t="s">
        <v>88</v>
      </c>
      <c r="E8113" s="423">
        <v>32.193118612931983</v>
      </c>
      <c r="F8113" s="423">
        <v>1.566513322358237</v>
      </c>
      <c r="G8113" s="422">
        <v>80327.04893425318</v>
      </c>
      <c r="H8113" s="417" t="s">
        <v>2616</v>
      </c>
      <c r="I8113" s="417" t="s">
        <v>1392</v>
      </c>
      <c r="J8113" s="417" t="s">
        <v>18670</v>
      </c>
      <c r="K8113" s="417" t="s">
        <v>18681</v>
      </c>
      <c r="L8113" s="417"/>
      <c r="M8113" s="417" t="s">
        <v>28840</v>
      </c>
    </row>
    <row r="8114" spans="1:13" x14ac:dyDescent="0.25">
      <c r="A8114" s="417" t="s">
        <v>3385</v>
      </c>
      <c r="B8114" s="417" t="s">
        <v>2627</v>
      </c>
      <c r="C8114" s="417" t="s">
        <v>18682</v>
      </c>
      <c r="D8114" s="417" t="s">
        <v>88</v>
      </c>
      <c r="E8114" s="423">
        <v>31.52691034846179</v>
      </c>
      <c r="F8114" s="423">
        <v>1.3400324755361179</v>
      </c>
      <c r="G8114" s="422">
        <v>80915.51995891663</v>
      </c>
      <c r="H8114" s="417" t="s">
        <v>2616</v>
      </c>
      <c r="I8114" s="417" t="s">
        <v>1392</v>
      </c>
      <c r="J8114" s="417" t="s">
        <v>3899</v>
      </c>
      <c r="K8114" s="417" t="s">
        <v>18683</v>
      </c>
      <c r="L8114" s="417"/>
      <c r="M8114" s="417" t="s">
        <v>28840</v>
      </c>
    </row>
    <row r="8115" spans="1:13" x14ac:dyDescent="0.25">
      <c r="A8115" s="417" t="s">
        <v>3385</v>
      </c>
      <c r="B8115" s="417" t="s">
        <v>2627</v>
      </c>
      <c r="C8115" s="417" t="s">
        <v>18684</v>
      </c>
      <c r="D8115" s="417" t="s">
        <v>88</v>
      </c>
      <c r="E8115" s="423">
        <v>31.52691034846179</v>
      </c>
      <c r="F8115" s="423">
        <v>1.3400324755361179</v>
      </c>
      <c r="G8115" s="422">
        <v>80915.51995891663</v>
      </c>
      <c r="H8115" s="417" t="s">
        <v>2616</v>
      </c>
      <c r="I8115" s="417" t="s">
        <v>1392</v>
      </c>
      <c r="J8115" s="417" t="s">
        <v>3899</v>
      </c>
      <c r="K8115" s="417" t="s">
        <v>18685</v>
      </c>
      <c r="L8115" s="417"/>
      <c r="M8115" s="417" t="s">
        <v>28840</v>
      </c>
    </row>
    <row r="8116" spans="1:13" x14ac:dyDescent="0.25">
      <c r="A8116" s="417" t="s">
        <v>3385</v>
      </c>
      <c r="B8116" s="417" t="s">
        <v>2627</v>
      </c>
      <c r="C8116" s="417" t="s">
        <v>18686</v>
      </c>
      <c r="D8116" s="417" t="s">
        <v>563</v>
      </c>
      <c r="E8116" s="423">
        <v>200.50775092338839</v>
      </c>
      <c r="F8116" s="423">
        <v>7.2179181782376229</v>
      </c>
      <c r="G8116" s="422">
        <v>623963.48910943267</v>
      </c>
      <c r="H8116" s="417" t="s">
        <v>2616</v>
      </c>
      <c r="I8116" s="417" t="s">
        <v>1392</v>
      </c>
      <c r="J8116" s="417" t="s">
        <v>3899</v>
      </c>
      <c r="K8116" s="417" t="s">
        <v>18687</v>
      </c>
      <c r="L8116" s="417"/>
      <c r="M8116" s="417" t="s">
        <v>28840</v>
      </c>
    </row>
    <row r="8117" spans="1:13" x14ac:dyDescent="0.25">
      <c r="A8117" s="417" t="s">
        <v>3385</v>
      </c>
      <c r="B8117" s="417" t="s">
        <v>2627</v>
      </c>
      <c r="C8117" s="417" t="s">
        <v>18688</v>
      </c>
      <c r="D8117" s="417" t="s">
        <v>563</v>
      </c>
      <c r="E8117" s="423">
        <v>190.82659211955769</v>
      </c>
      <c r="F8117" s="423">
        <v>14.602199727484059</v>
      </c>
      <c r="G8117" s="422">
        <v>472513.31733843149</v>
      </c>
      <c r="H8117" s="417" t="s">
        <v>2616</v>
      </c>
      <c r="I8117" s="417" t="s">
        <v>1392</v>
      </c>
      <c r="J8117" s="417" t="s">
        <v>18670</v>
      </c>
      <c r="K8117" s="417" t="s">
        <v>18689</v>
      </c>
      <c r="L8117" s="417"/>
      <c r="M8117" s="417" t="s">
        <v>28840</v>
      </c>
    </row>
    <row r="8118" spans="1:13" x14ac:dyDescent="0.25">
      <c r="A8118" s="417" t="s">
        <v>3385</v>
      </c>
      <c r="B8118" s="417" t="s">
        <v>2627</v>
      </c>
      <c r="C8118" s="417" t="s">
        <v>18690</v>
      </c>
      <c r="D8118" s="417" t="s">
        <v>563</v>
      </c>
      <c r="E8118" s="423">
        <v>200.50775092338839</v>
      </c>
      <c r="F8118" s="423">
        <v>7.2179181782376229</v>
      </c>
      <c r="G8118" s="422">
        <v>623963.48910943267</v>
      </c>
      <c r="H8118" s="417" t="s">
        <v>2616</v>
      </c>
      <c r="I8118" s="417" t="s">
        <v>1392</v>
      </c>
      <c r="J8118" s="417" t="s">
        <v>3899</v>
      </c>
      <c r="K8118" s="417" t="s">
        <v>18691</v>
      </c>
      <c r="L8118" s="417"/>
      <c r="M8118" s="417" t="s">
        <v>28840</v>
      </c>
    </row>
    <row r="8119" spans="1:13" x14ac:dyDescent="0.25">
      <c r="A8119" s="417" t="s">
        <v>3385</v>
      </c>
      <c r="B8119" s="417" t="s">
        <v>2627</v>
      </c>
      <c r="C8119" s="417" t="s">
        <v>18692</v>
      </c>
      <c r="D8119" s="417" t="s">
        <v>88</v>
      </c>
      <c r="E8119" s="423">
        <v>158.48357365227099</v>
      </c>
      <c r="F8119" s="423">
        <v>7.2579587089677613</v>
      </c>
      <c r="G8119" s="422">
        <v>830835.06879667379</v>
      </c>
      <c r="H8119" s="417" t="s">
        <v>2616</v>
      </c>
      <c r="I8119" s="417" t="s">
        <v>1392</v>
      </c>
      <c r="J8119" s="417" t="s">
        <v>18670</v>
      </c>
      <c r="K8119" s="417" t="s">
        <v>18693</v>
      </c>
      <c r="L8119" s="417"/>
      <c r="M8119" s="417" t="s">
        <v>28840</v>
      </c>
    </row>
    <row r="8120" spans="1:13" x14ac:dyDescent="0.25">
      <c r="A8120" s="417" t="s">
        <v>3385</v>
      </c>
      <c r="B8120" s="417" t="s">
        <v>2627</v>
      </c>
      <c r="C8120" s="417" t="s">
        <v>18694</v>
      </c>
      <c r="D8120" s="417" t="s">
        <v>88</v>
      </c>
      <c r="E8120" s="423">
        <v>161.14988458185039</v>
      </c>
      <c r="F8120" s="423">
        <v>5.5398977067590733</v>
      </c>
      <c r="G8120" s="422">
        <v>867730.43097868876</v>
      </c>
      <c r="H8120" s="417" t="s">
        <v>2616</v>
      </c>
      <c r="I8120" s="417" t="s">
        <v>1392</v>
      </c>
      <c r="J8120" s="417" t="s">
        <v>3899</v>
      </c>
      <c r="K8120" s="417" t="s">
        <v>18695</v>
      </c>
      <c r="L8120" s="417"/>
      <c r="M8120" s="417" t="s">
        <v>28840</v>
      </c>
    </row>
    <row r="8121" spans="1:13" x14ac:dyDescent="0.25">
      <c r="A8121" s="417" t="s">
        <v>3385</v>
      </c>
      <c r="B8121" s="417" t="s">
        <v>2627</v>
      </c>
      <c r="C8121" s="417" t="s">
        <v>18696</v>
      </c>
      <c r="D8121" s="417" t="s">
        <v>88</v>
      </c>
      <c r="E8121" s="423">
        <v>161.14988458185039</v>
      </c>
      <c r="F8121" s="423">
        <v>5.5398977067590733</v>
      </c>
      <c r="G8121" s="422">
        <v>867730.43097868876</v>
      </c>
      <c r="H8121" s="417" t="s">
        <v>2616</v>
      </c>
      <c r="I8121" s="417" t="s">
        <v>1392</v>
      </c>
      <c r="J8121" s="417" t="s">
        <v>3899</v>
      </c>
      <c r="K8121" s="417" t="s">
        <v>18697</v>
      </c>
      <c r="L8121" s="417"/>
      <c r="M8121" s="417" t="s">
        <v>28840</v>
      </c>
    </row>
    <row r="8122" spans="1:13" x14ac:dyDescent="0.25">
      <c r="A8122" s="417" t="s">
        <v>3385</v>
      </c>
      <c r="B8122" s="417" t="s">
        <v>2627</v>
      </c>
      <c r="C8122" s="417" t="s">
        <v>998</v>
      </c>
      <c r="D8122" s="417" t="s">
        <v>88</v>
      </c>
      <c r="E8122" s="423">
        <v>42.966403283194317</v>
      </c>
      <c r="F8122" s="423">
        <v>1.9889974520740441</v>
      </c>
      <c r="G8122" s="422">
        <v>140942.97781786381</v>
      </c>
      <c r="H8122" s="417" t="s">
        <v>2616</v>
      </c>
      <c r="I8122" s="417" t="s">
        <v>28841</v>
      </c>
      <c r="J8122" s="417" t="s">
        <v>18670</v>
      </c>
      <c r="K8122" s="417" t="s">
        <v>18698</v>
      </c>
      <c r="L8122" s="417"/>
      <c r="M8122" s="417" t="s">
        <v>28840</v>
      </c>
    </row>
    <row r="8123" spans="1:13" x14ac:dyDescent="0.25">
      <c r="A8123" s="417" t="s">
        <v>3385</v>
      </c>
      <c r="B8123" s="417" t="s">
        <v>2627</v>
      </c>
      <c r="C8123" s="417" t="s">
        <v>18699</v>
      </c>
      <c r="D8123" s="417" t="s">
        <v>88</v>
      </c>
      <c r="E8123" s="423">
        <v>42.175809232959608</v>
      </c>
      <c r="F8123" s="423">
        <v>1.7202310326040759</v>
      </c>
      <c r="G8123" s="422">
        <v>141641.3205240008</v>
      </c>
      <c r="H8123" s="417" t="s">
        <v>2616</v>
      </c>
      <c r="I8123" s="417" t="s">
        <v>1392</v>
      </c>
      <c r="J8123" s="417" t="s">
        <v>3899</v>
      </c>
      <c r="K8123" s="417" t="s">
        <v>18700</v>
      </c>
      <c r="L8123" s="417"/>
      <c r="M8123" s="417" t="s">
        <v>28840</v>
      </c>
    </row>
    <row r="8124" spans="1:13" x14ac:dyDescent="0.25">
      <c r="A8124" s="417" t="s">
        <v>3385</v>
      </c>
      <c r="B8124" s="417" t="s">
        <v>2627</v>
      </c>
      <c r="C8124" s="417" t="s">
        <v>18701</v>
      </c>
      <c r="D8124" s="417" t="s">
        <v>88</v>
      </c>
      <c r="E8124" s="423">
        <v>42.175809232959608</v>
      </c>
      <c r="F8124" s="423">
        <v>1.7202310326040759</v>
      </c>
      <c r="G8124" s="422">
        <v>141641.3205240008</v>
      </c>
      <c r="H8124" s="417" t="s">
        <v>2616</v>
      </c>
      <c r="I8124" s="417" t="s">
        <v>1392</v>
      </c>
      <c r="J8124" s="417" t="s">
        <v>3899</v>
      </c>
      <c r="K8124" s="417" t="s">
        <v>18702</v>
      </c>
      <c r="L8124" s="417"/>
      <c r="M8124" s="417" t="s">
        <v>28840</v>
      </c>
    </row>
    <row r="8125" spans="1:13" x14ac:dyDescent="0.25">
      <c r="A8125" s="417" t="s">
        <v>3385</v>
      </c>
      <c r="B8125" s="417" t="s">
        <v>2627</v>
      </c>
      <c r="C8125" s="417" t="s">
        <v>18703</v>
      </c>
      <c r="D8125" s="417" t="s">
        <v>563</v>
      </c>
      <c r="E8125" s="423">
        <v>75.692635812878038</v>
      </c>
      <c r="F8125" s="423">
        <v>3.0908267350363978</v>
      </c>
      <c r="G8125" s="422">
        <v>193852.67169883501</v>
      </c>
      <c r="H8125" s="417" t="s">
        <v>2616</v>
      </c>
      <c r="I8125" s="417" t="s">
        <v>1392</v>
      </c>
      <c r="J8125" s="417" t="s">
        <v>3899</v>
      </c>
      <c r="K8125" s="417" t="s">
        <v>18704</v>
      </c>
      <c r="L8125" s="417"/>
      <c r="M8125" s="417" t="s">
        <v>28840</v>
      </c>
    </row>
    <row r="8126" spans="1:13" x14ac:dyDescent="0.25">
      <c r="A8126" s="417" t="s">
        <v>3385</v>
      </c>
      <c r="B8126" s="417" t="s">
        <v>2627</v>
      </c>
      <c r="C8126" s="417" t="s">
        <v>18705</v>
      </c>
      <c r="D8126" s="417" t="s">
        <v>563</v>
      </c>
      <c r="E8126" s="423">
        <v>74.141299909723301</v>
      </c>
      <c r="F8126" s="423">
        <v>5.262004441260661</v>
      </c>
      <c r="G8126" s="422">
        <v>176159.80566924461</v>
      </c>
      <c r="H8126" s="417" t="s">
        <v>2616</v>
      </c>
      <c r="I8126" s="417" t="s">
        <v>1392</v>
      </c>
      <c r="J8126" s="417" t="s">
        <v>18670</v>
      </c>
      <c r="K8126" s="417" t="s">
        <v>18706</v>
      </c>
      <c r="L8126" s="417"/>
      <c r="M8126" s="417" t="s">
        <v>28840</v>
      </c>
    </row>
    <row r="8127" spans="1:13" x14ac:dyDescent="0.25">
      <c r="A8127" s="417" t="s">
        <v>3385</v>
      </c>
      <c r="B8127" s="417" t="s">
        <v>2627</v>
      </c>
      <c r="C8127" s="417" t="s">
        <v>18707</v>
      </c>
      <c r="D8127" s="417" t="s">
        <v>563</v>
      </c>
      <c r="E8127" s="423">
        <v>75.692635812878038</v>
      </c>
      <c r="F8127" s="423">
        <v>3.0908267350363978</v>
      </c>
      <c r="G8127" s="422">
        <v>193852.67169883501</v>
      </c>
      <c r="H8127" s="417" t="s">
        <v>2616</v>
      </c>
      <c r="I8127" s="417" t="s">
        <v>1392</v>
      </c>
      <c r="J8127" s="417" t="s">
        <v>3899</v>
      </c>
      <c r="K8127" s="417" t="s">
        <v>18708</v>
      </c>
      <c r="L8127" s="417"/>
      <c r="M8127" s="417" t="s">
        <v>28840</v>
      </c>
    </row>
    <row r="8128" spans="1:13" x14ac:dyDescent="0.25">
      <c r="A8128" s="417" t="s">
        <v>3385</v>
      </c>
      <c r="B8128" s="417" t="s">
        <v>2627</v>
      </c>
      <c r="C8128" s="417" t="s">
        <v>18709</v>
      </c>
      <c r="D8128" s="417" t="s">
        <v>989</v>
      </c>
      <c r="E8128" s="423">
        <v>65.555343685487344</v>
      </c>
      <c r="F8128" s="423">
        <v>2.357154739518363</v>
      </c>
      <c r="G8128" s="422">
        <v>98984.905096610251</v>
      </c>
      <c r="H8128" s="417" t="s">
        <v>2616</v>
      </c>
      <c r="I8128" s="417" t="s">
        <v>1392</v>
      </c>
      <c r="J8128" s="417" t="s">
        <v>3699</v>
      </c>
      <c r="K8128" s="417" t="s">
        <v>18710</v>
      </c>
      <c r="L8128" s="417"/>
      <c r="M8128" s="417" t="s">
        <v>28840</v>
      </c>
    </row>
    <row r="8129" spans="1:13" x14ac:dyDescent="0.25">
      <c r="A8129" s="417" t="s">
        <v>3385</v>
      </c>
      <c r="B8129" s="417" t="s">
        <v>2627</v>
      </c>
      <c r="C8129" s="417" t="s">
        <v>1580</v>
      </c>
      <c r="D8129" s="417" t="s">
        <v>989</v>
      </c>
      <c r="E8129" s="423">
        <v>65.634949994104886</v>
      </c>
      <c r="F8129" s="423">
        <v>2.3567721180527581</v>
      </c>
      <c r="G8129" s="422">
        <v>99166.506181615623</v>
      </c>
      <c r="H8129" s="417" t="s">
        <v>2616</v>
      </c>
      <c r="I8129" s="417" t="s">
        <v>1392</v>
      </c>
      <c r="J8129" s="417" t="s">
        <v>3699</v>
      </c>
      <c r="K8129" s="417" t="s">
        <v>18711</v>
      </c>
      <c r="L8129" s="417"/>
      <c r="M8129" s="417" t="s">
        <v>28840</v>
      </c>
    </row>
    <row r="8130" spans="1:13" x14ac:dyDescent="0.25">
      <c r="A8130" s="417" t="s">
        <v>3385</v>
      </c>
      <c r="B8130" s="417" t="s">
        <v>2627</v>
      </c>
      <c r="C8130" s="417" t="s">
        <v>985</v>
      </c>
      <c r="D8130" s="417" t="s">
        <v>88</v>
      </c>
      <c r="E8130" s="423">
        <v>1.9835451962141351</v>
      </c>
      <c r="F8130" s="423">
        <v>9.1440289462074775E-2</v>
      </c>
      <c r="G8130" s="422">
        <v>4933.3422999525264</v>
      </c>
      <c r="H8130" s="417" t="s">
        <v>2616</v>
      </c>
      <c r="I8130" s="417" t="s">
        <v>28841</v>
      </c>
      <c r="J8130" s="417" t="s">
        <v>3633</v>
      </c>
      <c r="K8130" s="417" t="s">
        <v>18712</v>
      </c>
      <c r="L8130" s="417"/>
      <c r="M8130" s="417" t="s">
        <v>28840</v>
      </c>
    </row>
    <row r="8131" spans="1:13" x14ac:dyDescent="0.25">
      <c r="A8131" s="417" t="s">
        <v>3385</v>
      </c>
      <c r="B8131" s="417" t="s">
        <v>2627</v>
      </c>
      <c r="C8131" s="417" t="s">
        <v>986</v>
      </c>
      <c r="D8131" s="417" t="s">
        <v>88</v>
      </c>
      <c r="E8131" s="423">
        <v>2.698613963092976</v>
      </c>
      <c r="F8131" s="423">
        <v>5.8610533751789692E-2</v>
      </c>
      <c r="G8131" s="422">
        <v>6229.7895035911351</v>
      </c>
      <c r="H8131" s="417" t="s">
        <v>2616</v>
      </c>
      <c r="I8131" s="417" t="s">
        <v>28841</v>
      </c>
      <c r="J8131" s="417" t="s">
        <v>3633</v>
      </c>
      <c r="K8131" s="417" t="s">
        <v>18713</v>
      </c>
      <c r="L8131" s="417"/>
      <c r="M8131" s="417" t="s">
        <v>28840</v>
      </c>
    </row>
    <row r="8132" spans="1:13" x14ac:dyDescent="0.25">
      <c r="A8132" s="417" t="s">
        <v>3385</v>
      </c>
      <c r="B8132" s="417" t="s">
        <v>2623</v>
      </c>
      <c r="C8132" s="417" t="s">
        <v>18714</v>
      </c>
      <c r="D8132" s="417" t="s">
        <v>88</v>
      </c>
      <c r="E8132" s="423">
        <v>1.6185420714943478E-2</v>
      </c>
      <c r="F8132" s="423">
        <v>7.7957172469606914E-5</v>
      </c>
      <c r="G8132" s="422">
        <v>61.255736029639102</v>
      </c>
      <c r="H8132" s="417" t="s">
        <v>2616</v>
      </c>
      <c r="I8132" s="417" t="s">
        <v>1392</v>
      </c>
      <c r="J8132" s="417" t="s">
        <v>6002</v>
      </c>
      <c r="K8132" s="417" t="s">
        <v>18715</v>
      </c>
      <c r="L8132" s="417"/>
      <c r="M8132" s="417" t="s">
        <v>28840</v>
      </c>
    </row>
    <row r="8133" spans="1:13" x14ac:dyDescent="0.25">
      <c r="A8133" s="417" t="s">
        <v>3385</v>
      </c>
      <c r="B8133" s="417" t="s">
        <v>2623</v>
      </c>
      <c r="C8133" s="417" t="s">
        <v>18716</v>
      </c>
      <c r="D8133" s="417" t="s">
        <v>88</v>
      </c>
      <c r="E8133" s="423">
        <v>2.968780095022655E-3</v>
      </c>
      <c r="F8133" s="423">
        <v>7.2163074653529093E-5</v>
      </c>
      <c r="G8133" s="422">
        <v>4.8882473220975857</v>
      </c>
      <c r="H8133" s="417" t="s">
        <v>2616</v>
      </c>
      <c r="I8133" s="417" t="s">
        <v>1392</v>
      </c>
      <c r="J8133" s="417" t="s">
        <v>18717</v>
      </c>
      <c r="K8133" s="417" t="s">
        <v>18718</v>
      </c>
      <c r="L8133" s="417"/>
      <c r="M8133" s="417" t="s">
        <v>28840</v>
      </c>
    </row>
    <row r="8134" spans="1:13" x14ac:dyDescent="0.25">
      <c r="A8134" s="417" t="s">
        <v>3385</v>
      </c>
      <c r="B8134" s="417" t="s">
        <v>2623</v>
      </c>
      <c r="C8134" s="417" t="s">
        <v>18719</v>
      </c>
      <c r="D8134" s="417" t="s">
        <v>88</v>
      </c>
      <c r="E8134" s="423">
        <v>5.5737032321449874E-3</v>
      </c>
      <c r="F8134" s="423">
        <v>7.101560187395894E-5</v>
      </c>
      <c r="G8134" s="422">
        <v>28.411145957929431</v>
      </c>
      <c r="H8134" s="417" t="s">
        <v>2616</v>
      </c>
      <c r="I8134" s="417" t="s">
        <v>1392</v>
      </c>
      <c r="J8134" s="417" t="s">
        <v>6010</v>
      </c>
      <c r="K8134" s="417" t="s">
        <v>18720</v>
      </c>
      <c r="L8134" s="417"/>
      <c r="M8134" s="417" t="s">
        <v>28840</v>
      </c>
    </row>
    <row r="8135" spans="1:13" x14ac:dyDescent="0.25">
      <c r="A8135" s="417" t="s">
        <v>3385</v>
      </c>
      <c r="B8135" s="417" t="s">
        <v>2623</v>
      </c>
      <c r="C8135" s="417" t="s">
        <v>18721</v>
      </c>
      <c r="D8135" s="417" t="s">
        <v>88</v>
      </c>
      <c r="E8135" s="423">
        <v>3.4174863991370112E-3</v>
      </c>
      <c r="F8135" s="423">
        <v>7.4862105653770647E-5</v>
      </c>
      <c r="G8135" s="422">
        <v>6.5403830599782493</v>
      </c>
      <c r="H8135" s="417" t="s">
        <v>2616</v>
      </c>
      <c r="I8135" s="417" t="s">
        <v>1392</v>
      </c>
      <c r="J8135" s="417" t="s">
        <v>6015</v>
      </c>
      <c r="K8135" s="417" t="s">
        <v>18722</v>
      </c>
      <c r="L8135" s="417"/>
      <c r="M8135" s="417" t="s">
        <v>28840</v>
      </c>
    </row>
    <row r="8136" spans="1:13" x14ac:dyDescent="0.25">
      <c r="A8136" s="417" t="s">
        <v>3385</v>
      </c>
      <c r="B8136" s="417" t="s">
        <v>2623</v>
      </c>
      <c r="C8136" s="417" t="s">
        <v>18723</v>
      </c>
      <c r="D8136" s="417" t="s">
        <v>88</v>
      </c>
      <c r="E8136" s="423">
        <v>5.1717202958791774E-3</v>
      </c>
      <c r="F8136" s="423">
        <v>1.536658290863579E-4</v>
      </c>
      <c r="G8136" s="422">
        <v>9.507404531720498</v>
      </c>
      <c r="H8136" s="417" t="s">
        <v>2616</v>
      </c>
      <c r="I8136" s="417" t="s">
        <v>1392</v>
      </c>
      <c r="J8136" s="417" t="s">
        <v>5995</v>
      </c>
      <c r="K8136" s="417" t="s">
        <v>18724</v>
      </c>
      <c r="L8136" s="417"/>
      <c r="M8136" s="417" t="s">
        <v>28840</v>
      </c>
    </row>
    <row r="8137" spans="1:13" x14ac:dyDescent="0.25">
      <c r="A8137" s="417" t="s">
        <v>3385</v>
      </c>
      <c r="B8137" s="417" t="s">
        <v>2623</v>
      </c>
      <c r="C8137" s="417" t="s">
        <v>18725</v>
      </c>
      <c r="D8137" s="417" t="s">
        <v>88</v>
      </c>
      <c r="E8137" s="423">
        <v>2.9337457358330318E-3</v>
      </c>
      <c r="F8137" s="423">
        <v>7.195364394898892E-5</v>
      </c>
      <c r="G8137" s="422">
        <v>5.5126956691860309</v>
      </c>
      <c r="H8137" s="417" t="s">
        <v>2616</v>
      </c>
      <c r="I8137" s="417" t="s">
        <v>1392</v>
      </c>
      <c r="J8137" s="417" t="s">
        <v>6010</v>
      </c>
      <c r="K8137" s="417" t="s">
        <v>18726</v>
      </c>
      <c r="L8137" s="417"/>
      <c r="M8137" s="417" t="s">
        <v>28840</v>
      </c>
    </row>
    <row r="8138" spans="1:13" x14ac:dyDescent="0.25">
      <c r="A8138" s="417" t="s">
        <v>3385</v>
      </c>
      <c r="B8138" s="417" t="s">
        <v>3405</v>
      </c>
      <c r="C8138" s="417" t="s">
        <v>18727</v>
      </c>
      <c r="D8138" s="417" t="s">
        <v>88</v>
      </c>
      <c r="E8138" s="423">
        <v>13.530089850674891</v>
      </c>
      <c r="F8138" s="423">
        <v>0.74723884162632115</v>
      </c>
      <c r="G8138" s="422">
        <v>36715.860238516179</v>
      </c>
      <c r="H8138" s="417" t="s">
        <v>2616</v>
      </c>
      <c r="I8138" s="417" t="s">
        <v>1392</v>
      </c>
      <c r="J8138" s="417" t="s">
        <v>18728</v>
      </c>
      <c r="K8138" s="417" t="s">
        <v>18729</v>
      </c>
      <c r="L8138" s="417"/>
      <c r="M8138" s="417" t="s">
        <v>28840</v>
      </c>
    </row>
    <row r="8139" spans="1:13" x14ac:dyDescent="0.25">
      <c r="A8139" s="417" t="s">
        <v>3385</v>
      </c>
      <c r="B8139" s="417" t="s">
        <v>3405</v>
      </c>
      <c r="C8139" s="417" t="s">
        <v>18730</v>
      </c>
      <c r="D8139" s="417" t="s">
        <v>88</v>
      </c>
      <c r="E8139" s="423">
        <v>1.952811155393438</v>
      </c>
      <c r="F8139" s="423">
        <v>0.150991721925399</v>
      </c>
      <c r="G8139" s="422">
        <v>12528.925827917959</v>
      </c>
      <c r="H8139" s="417" t="s">
        <v>2616</v>
      </c>
      <c r="I8139" s="417" t="s">
        <v>1392</v>
      </c>
      <c r="J8139" s="417" t="s">
        <v>18728</v>
      </c>
      <c r="K8139" s="417" t="s">
        <v>18731</v>
      </c>
      <c r="L8139" s="417"/>
      <c r="M8139" s="417" t="s">
        <v>28840</v>
      </c>
    </row>
    <row r="8140" spans="1:13" x14ac:dyDescent="0.25">
      <c r="A8140" s="417" t="s">
        <v>3385</v>
      </c>
      <c r="B8140" s="417" t="s">
        <v>3405</v>
      </c>
      <c r="C8140" s="417" t="s">
        <v>18732</v>
      </c>
      <c r="D8140" s="417" t="s">
        <v>88</v>
      </c>
      <c r="E8140" s="423">
        <v>0.63058556159000312</v>
      </c>
      <c r="F8140" s="423">
        <v>2.1635723328956729E-2</v>
      </c>
      <c r="G8140" s="422">
        <v>10377.223598742021</v>
      </c>
      <c r="H8140" s="417" t="s">
        <v>2616</v>
      </c>
      <c r="I8140" s="417" t="s">
        <v>1392</v>
      </c>
      <c r="J8140" s="417" t="s">
        <v>18728</v>
      </c>
      <c r="K8140" s="417" t="s">
        <v>18733</v>
      </c>
      <c r="L8140" s="417"/>
      <c r="M8140" s="417" t="s">
        <v>28840</v>
      </c>
    </row>
    <row r="8141" spans="1:13" x14ac:dyDescent="0.25">
      <c r="A8141" s="417" t="s">
        <v>3385</v>
      </c>
      <c r="B8141" s="417" t="s">
        <v>2627</v>
      </c>
      <c r="C8141" s="417" t="s">
        <v>18734</v>
      </c>
      <c r="D8141" s="417" t="s">
        <v>88</v>
      </c>
      <c r="E8141" s="423">
        <v>32.076624590174788</v>
      </c>
      <c r="F8141" s="423">
        <v>1.502981989816903</v>
      </c>
      <c r="G8141" s="422">
        <v>56368.384424310498</v>
      </c>
      <c r="H8141" s="417" t="s">
        <v>2616</v>
      </c>
      <c r="I8141" s="417" t="s">
        <v>1392</v>
      </c>
      <c r="J8141" s="417" t="s">
        <v>2631</v>
      </c>
      <c r="K8141" s="417" t="s">
        <v>18735</v>
      </c>
      <c r="L8141" s="417"/>
      <c r="M8141" s="417" t="s">
        <v>28840</v>
      </c>
    </row>
    <row r="8142" spans="1:13" x14ac:dyDescent="0.25">
      <c r="A8142" s="417" t="s">
        <v>3385</v>
      </c>
      <c r="B8142" s="417" t="s">
        <v>2627</v>
      </c>
      <c r="C8142" s="417" t="s">
        <v>18736</v>
      </c>
      <c r="D8142" s="417" t="s">
        <v>88</v>
      </c>
      <c r="E8142" s="423">
        <v>184.7698618887654</v>
      </c>
      <c r="F8142" s="423">
        <v>7.6578680470105187</v>
      </c>
      <c r="G8142" s="422">
        <v>300396.329496374</v>
      </c>
      <c r="H8142" s="417" t="s">
        <v>2616</v>
      </c>
      <c r="I8142" s="417" t="s">
        <v>1392</v>
      </c>
      <c r="J8142" s="417" t="s">
        <v>2631</v>
      </c>
      <c r="K8142" s="417" t="s">
        <v>18737</v>
      </c>
      <c r="L8142" s="417"/>
      <c r="M8142" s="417" t="s">
        <v>28840</v>
      </c>
    </row>
    <row r="8143" spans="1:13" x14ac:dyDescent="0.25">
      <c r="A8143" s="417" t="s">
        <v>3385</v>
      </c>
      <c r="B8143" s="417" t="s">
        <v>2627</v>
      </c>
      <c r="C8143" s="417" t="s">
        <v>18738</v>
      </c>
      <c r="D8143" s="417" t="s">
        <v>88</v>
      </c>
      <c r="E8143" s="423">
        <v>30.135547519751189</v>
      </c>
      <c r="F8143" s="423">
        <v>1.485306631026158</v>
      </c>
      <c r="G8143" s="422">
        <v>53879.708678962183</v>
      </c>
      <c r="H8143" s="417" t="s">
        <v>2616</v>
      </c>
      <c r="I8143" s="417" t="s">
        <v>1392</v>
      </c>
      <c r="J8143" s="417" t="s">
        <v>2631</v>
      </c>
      <c r="K8143" s="417" t="s">
        <v>18739</v>
      </c>
      <c r="L8143" s="417"/>
      <c r="M8143" s="417" t="s">
        <v>28840</v>
      </c>
    </row>
    <row r="8144" spans="1:13" x14ac:dyDescent="0.25">
      <c r="A8144" s="417" t="s">
        <v>3385</v>
      </c>
      <c r="B8144" s="417" t="s">
        <v>2627</v>
      </c>
      <c r="C8144" s="417" t="s">
        <v>18740</v>
      </c>
      <c r="D8144" s="417" t="s">
        <v>88</v>
      </c>
      <c r="E8144" s="423">
        <v>23.612376126290371</v>
      </c>
      <c r="F8144" s="423">
        <v>1.284361206177695</v>
      </c>
      <c r="G8144" s="422">
        <v>39757.965200829203</v>
      </c>
      <c r="H8144" s="417" t="s">
        <v>2616</v>
      </c>
      <c r="I8144" s="417" t="s">
        <v>1392</v>
      </c>
      <c r="J8144" s="417" t="s">
        <v>2631</v>
      </c>
      <c r="K8144" s="417" t="s">
        <v>18741</v>
      </c>
      <c r="L8144" s="417"/>
      <c r="M8144" s="417" t="s">
        <v>28840</v>
      </c>
    </row>
    <row r="8145" spans="1:13" x14ac:dyDescent="0.25">
      <c r="A8145" s="417" t="s">
        <v>3385</v>
      </c>
      <c r="B8145" s="417" t="s">
        <v>2627</v>
      </c>
      <c r="C8145" s="417" t="s">
        <v>18742</v>
      </c>
      <c r="D8145" s="417" t="s">
        <v>88</v>
      </c>
      <c r="E8145" s="423">
        <v>105.8811517898795</v>
      </c>
      <c r="F8145" s="423">
        <v>3.9966185774012648</v>
      </c>
      <c r="G8145" s="422">
        <v>164435.90766706161</v>
      </c>
      <c r="H8145" s="417" t="s">
        <v>2616</v>
      </c>
      <c r="I8145" s="417" t="s">
        <v>1392</v>
      </c>
      <c r="J8145" s="417" t="s">
        <v>2631</v>
      </c>
      <c r="K8145" s="417" t="s">
        <v>18743</v>
      </c>
      <c r="L8145" s="417"/>
      <c r="M8145" s="417" t="s">
        <v>28840</v>
      </c>
    </row>
    <row r="8146" spans="1:13" x14ac:dyDescent="0.25">
      <c r="A8146" s="417" t="s">
        <v>3385</v>
      </c>
      <c r="B8146" s="417" t="s">
        <v>2627</v>
      </c>
      <c r="C8146" s="417" t="s">
        <v>18744</v>
      </c>
      <c r="D8146" s="417" t="s">
        <v>563</v>
      </c>
      <c r="E8146" s="423">
        <v>14.84296972393747</v>
      </c>
      <c r="F8146" s="423">
        <v>0.50560517471562871</v>
      </c>
      <c r="G8146" s="422">
        <v>29531.226233187841</v>
      </c>
      <c r="H8146" s="417" t="s">
        <v>2616</v>
      </c>
      <c r="I8146" s="417" t="s">
        <v>1392</v>
      </c>
      <c r="J8146" s="417" t="s">
        <v>11832</v>
      </c>
      <c r="K8146" s="417" t="s">
        <v>18745</v>
      </c>
      <c r="L8146" s="417"/>
      <c r="M8146" s="417" t="s">
        <v>28840</v>
      </c>
    </row>
    <row r="8147" spans="1:13" x14ac:dyDescent="0.25">
      <c r="A8147" s="417" t="s">
        <v>3385</v>
      </c>
      <c r="B8147" s="417" t="s">
        <v>2627</v>
      </c>
      <c r="C8147" s="417" t="s">
        <v>18746</v>
      </c>
      <c r="D8147" s="417" t="s">
        <v>563</v>
      </c>
      <c r="E8147" s="423">
        <v>10.849327063023599</v>
      </c>
      <c r="F8147" s="423">
        <v>0.36956727712183751</v>
      </c>
      <c r="G8147" s="422">
        <v>21585.567980383119</v>
      </c>
      <c r="H8147" s="417" t="s">
        <v>2616</v>
      </c>
      <c r="I8147" s="417" t="s">
        <v>1392</v>
      </c>
      <c r="J8147" s="417" t="s">
        <v>11832</v>
      </c>
      <c r="K8147" s="417" t="s">
        <v>18747</v>
      </c>
      <c r="L8147" s="417"/>
      <c r="M8147" s="417" t="s">
        <v>28840</v>
      </c>
    </row>
    <row r="8148" spans="1:13" x14ac:dyDescent="0.25">
      <c r="A8148" s="417" t="s">
        <v>3385</v>
      </c>
      <c r="B8148" s="417" t="s">
        <v>2627</v>
      </c>
      <c r="C8148" s="417" t="s">
        <v>18748</v>
      </c>
      <c r="D8148" s="417" t="s">
        <v>563</v>
      </c>
      <c r="E8148" s="423">
        <v>21.785382663649319</v>
      </c>
      <c r="F8148" s="423">
        <v>0.74208884157708255</v>
      </c>
      <c r="G8148" s="422">
        <v>43343.689033316638</v>
      </c>
      <c r="H8148" s="417" t="s">
        <v>2616</v>
      </c>
      <c r="I8148" s="417" t="s">
        <v>1392</v>
      </c>
      <c r="J8148" s="417" t="s">
        <v>11832</v>
      </c>
      <c r="K8148" s="417" t="s">
        <v>18749</v>
      </c>
      <c r="L8148" s="417"/>
      <c r="M8148" s="417" t="s">
        <v>28840</v>
      </c>
    </row>
    <row r="8149" spans="1:13" x14ac:dyDescent="0.25">
      <c r="A8149" s="417" t="s">
        <v>3385</v>
      </c>
      <c r="B8149" s="417" t="s">
        <v>2627</v>
      </c>
      <c r="C8149" s="417" t="s">
        <v>18750</v>
      </c>
      <c r="D8149" s="417" t="s">
        <v>563</v>
      </c>
      <c r="E8149" s="423">
        <v>2.9322686264115272</v>
      </c>
      <c r="F8149" s="423">
        <v>0.1156577794841841</v>
      </c>
      <c r="G8149" s="422">
        <v>5603.0461188673926</v>
      </c>
      <c r="H8149" s="417" t="s">
        <v>2616</v>
      </c>
      <c r="I8149" s="417" t="s">
        <v>1392</v>
      </c>
      <c r="J8149" s="417" t="s">
        <v>11832</v>
      </c>
      <c r="K8149" s="417" t="s">
        <v>18751</v>
      </c>
      <c r="L8149" s="417"/>
      <c r="M8149" s="417" t="s">
        <v>28840</v>
      </c>
    </row>
    <row r="8150" spans="1:13" x14ac:dyDescent="0.25">
      <c r="A8150" s="417" t="s">
        <v>3385</v>
      </c>
      <c r="B8150" s="417" t="s">
        <v>2627</v>
      </c>
      <c r="C8150" s="417" t="s">
        <v>18752</v>
      </c>
      <c r="D8150" s="417" t="s">
        <v>563</v>
      </c>
      <c r="E8150" s="423">
        <v>5.0477318187582831</v>
      </c>
      <c r="F8150" s="423">
        <v>0.22748960718550751</v>
      </c>
      <c r="G8150" s="422">
        <v>23381.17432416078</v>
      </c>
      <c r="H8150" s="417" t="s">
        <v>2616</v>
      </c>
      <c r="I8150" s="417" t="s">
        <v>1392</v>
      </c>
      <c r="J8150" s="417" t="s">
        <v>11832</v>
      </c>
      <c r="K8150" s="417" t="s">
        <v>18753</v>
      </c>
      <c r="L8150" s="417"/>
      <c r="M8150" s="417" t="s">
        <v>28840</v>
      </c>
    </row>
    <row r="8151" spans="1:13" x14ac:dyDescent="0.25">
      <c r="A8151" s="417" t="s">
        <v>3385</v>
      </c>
      <c r="B8151" s="417" t="s">
        <v>2627</v>
      </c>
      <c r="C8151" s="417" t="s">
        <v>18754</v>
      </c>
      <c r="D8151" s="417" t="s">
        <v>563</v>
      </c>
      <c r="E8151" s="423">
        <v>5.6851810699256697</v>
      </c>
      <c r="F8151" s="423">
        <v>0.31767194543624938</v>
      </c>
      <c r="G8151" s="422">
        <v>11170.64247821838</v>
      </c>
      <c r="H8151" s="417" t="s">
        <v>2616</v>
      </c>
      <c r="I8151" s="417" t="s">
        <v>1392</v>
      </c>
      <c r="J8151" s="417" t="s">
        <v>11832</v>
      </c>
      <c r="K8151" s="417" t="s">
        <v>18755</v>
      </c>
      <c r="L8151" s="417"/>
      <c r="M8151" s="417" t="s">
        <v>28840</v>
      </c>
    </row>
    <row r="8152" spans="1:13" x14ac:dyDescent="0.25">
      <c r="A8152" s="417" t="s">
        <v>3385</v>
      </c>
      <c r="B8152" s="417" t="s">
        <v>2627</v>
      </c>
      <c r="C8152" s="417" t="s">
        <v>18756</v>
      </c>
      <c r="D8152" s="417" t="s">
        <v>563</v>
      </c>
      <c r="E8152" s="423">
        <v>4.9776707141700367</v>
      </c>
      <c r="F8152" s="423">
        <v>0.27992707213644419</v>
      </c>
      <c r="G8152" s="422">
        <v>9795.1717974394596</v>
      </c>
      <c r="H8152" s="417" t="s">
        <v>2616</v>
      </c>
      <c r="I8152" s="417" t="s">
        <v>1392</v>
      </c>
      <c r="J8152" s="417" t="s">
        <v>11832</v>
      </c>
      <c r="K8152" s="417" t="s">
        <v>18757</v>
      </c>
      <c r="L8152" s="417"/>
      <c r="M8152" s="417" t="s">
        <v>28840</v>
      </c>
    </row>
    <row r="8153" spans="1:13" x14ac:dyDescent="0.25">
      <c r="A8153" s="417" t="s">
        <v>3385</v>
      </c>
      <c r="B8153" s="417" t="s">
        <v>2627</v>
      </c>
      <c r="C8153" s="417" t="s">
        <v>18758</v>
      </c>
      <c r="D8153" s="417" t="s">
        <v>563</v>
      </c>
      <c r="E8153" s="423">
        <v>6.3926914257372376</v>
      </c>
      <c r="F8153" s="423">
        <v>0.3554168187623456</v>
      </c>
      <c r="G8153" s="422">
        <v>12546.11316229866</v>
      </c>
      <c r="H8153" s="417" t="s">
        <v>2616</v>
      </c>
      <c r="I8153" s="417" t="s">
        <v>1392</v>
      </c>
      <c r="J8153" s="417" t="s">
        <v>11832</v>
      </c>
      <c r="K8153" s="417" t="s">
        <v>18759</v>
      </c>
      <c r="L8153" s="417"/>
      <c r="M8153" s="417" t="s">
        <v>28840</v>
      </c>
    </row>
    <row r="8154" spans="1:13" x14ac:dyDescent="0.25">
      <c r="A8154" s="417" t="s">
        <v>3385</v>
      </c>
      <c r="B8154" s="417" t="s">
        <v>2627</v>
      </c>
      <c r="C8154" s="417" t="s">
        <v>18760</v>
      </c>
      <c r="D8154" s="417" t="s">
        <v>563</v>
      </c>
      <c r="E8154" s="423">
        <v>2.893424506432539</v>
      </c>
      <c r="F8154" s="423">
        <v>0.1141256467802215</v>
      </c>
      <c r="G8154" s="422">
        <v>5528.8218843228015</v>
      </c>
      <c r="H8154" s="417" t="s">
        <v>2616</v>
      </c>
      <c r="I8154" s="417" t="s">
        <v>1392</v>
      </c>
      <c r="J8154" s="417" t="s">
        <v>11832</v>
      </c>
      <c r="K8154" s="417" t="s">
        <v>18761</v>
      </c>
      <c r="L8154" s="417"/>
      <c r="M8154" s="417" t="s">
        <v>28840</v>
      </c>
    </row>
    <row r="8155" spans="1:13" x14ac:dyDescent="0.25">
      <c r="A8155" s="417" t="s">
        <v>3385</v>
      </c>
      <c r="B8155" s="417" t="s">
        <v>2627</v>
      </c>
      <c r="C8155" s="417" t="s">
        <v>18762</v>
      </c>
      <c r="D8155" s="417" t="s">
        <v>563</v>
      </c>
      <c r="E8155" s="423">
        <v>2.9711127463390339</v>
      </c>
      <c r="F8155" s="423">
        <v>0.1171899121910555</v>
      </c>
      <c r="G8155" s="422">
        <v>5677.2703545760714</v>
      </c>
      <c r="H8155" s="417" t="s">
        <v>2616</v>
      </c>
      <c r="I8155" s="417" t="s">
        <v>1392</v>
      </c>
      <c r="J8155" s="417" t="s">
        <v>11832</v>
      </c>
      <c r="K8155" s="417" t="s">
        <v>18763</v>
      </c>
      <c r="L8155" s="417"/>
      <c r="M8155" s="417" t="s">
        <v>28840</v>
      </c>
    </row>
    <row r="8156" spans="1:13" x14ac:dyDescent="0.25">
      <c r="A8156" s="417" t="s">
        <v>3385</v>
      </c>
      <c r="B8156" s="417" t="s">
        <v>2627</v>
      </c>
      <c r="C8156" s="417" t="s">
        <v>18764</v>
      </c>
      <c r="D8156" s="417" t="s">
        <v>563</v>
      </c>
      <c r="E8156" s="423">
        <v>5.2127916899578404</v>
      </c>
      <c r="F8156" s="423">
        <v>0.26201350120805889</v>
      </c>
      <c r="G8156" s="422">
        <v>10345.528533414799</v>
      </c>
      <c r="H8156" s="417" t="s">
        <v>2616</v>
      </c>
      <c r="I8156" s="417" t="s">
        <v>1392</v>
      </c>
      <c r="J8156" s="417" t="s">
        <v>11832</v>
      </c>
      <c r="K8156" s="417" t="s">
        <v>18765</v>
      </c>
      <c r="L8156" s="417"/>
      <c r="M8156" s="417" t="s">
        <v>28840</v>
      </c>
    </row>
    <row r="8157" spans="1:13" x14ac:dyDescent="0.25">
      <c r="A8157" s="417" t="s">
        <v>3385</v>
      </c>
      <c r="B8157" s="417" t="s">
        <v>2627</v>
      </c>
      <c r="C8157" s="417" t="s">
        <v>18766</v>
      </c>
      <c r="D8157" s="417" t="s">
        <v>563</v>
      </c>
      <c r="E8157" s="423">
        <v>5.0477318187582831</v>
      </c>
      <c r="F8157" s="423">
        <v>0.22748960718550751</v>
      </c>
      <c r="G8157" s="422">
        <v>23381.17432416078</v>
      </c>
      <c r="H8157" s="417" t="s">
        <v>2616</v>
      </c>
      <c r="I8157" s="417" t="s">
        <v>1392</v>
      </c>
      <c r="J8157" s="417" t="s">
        <v>11832</v>
      </c>
      <c r="K8157" s="417" t="s">
        <v>18767</v>
      </c>
      <c r="L8157" s="417"/>
      <c r="M8157" s="417" t="s">
        <v>28840</v>
      </c>
    </row>
    <row r="8158" spans="1:13" x14ac:dyDescent="0.25">
      <c r="A8158" s="417" t="s">
        <v>3385</v>
      </c>
      <c r="B8158" s="417" t="s">
        <v>2627</v>
      </c>
      <c r="C8158" s="417" t="s">
        <v>18768</v>
      </c>
      <c r="D8158" s="417" t="s">
        <v>563</v>
      </c>
      <c r="E8158" s="423">
        <v>2.554620847596683</v>
      </c>
      <c r="F8158" s="423">
        <v>9.2845543883864873E-2</v>
      </c>
      <c r="G8158" s="422">
        <v>5438.8939296415974</v>
      </c>
      <c r="H8158" s="417" t="s">
        <v>2616</v>
      </c>
      <c r="I8158" s="417" t="s">
        <v>1392</v>
      </c>
      <c r="J8158" s="417" t="s">
        <v>11832</v>
      </c>
      <c r="K8158" s="417" t="s">
        <v>18769</v>
      </c>
      <c r="L8158" s="417"/>
      <c r="M8158" s="417" t="s">
        <v>28840</v>
      </c>
    </row>
    <row r="8159" spans="1:13" x14ac:dyDescent="0.25">
      <c r="A8159" s="417" t="s">
        <v>3385</v>
      </c>
      <c r="B8159" s="417" t="s">
        <v>2627</v>
      </c>
      <c r="C8159" s="417" t="s">
        <v>18770</v>
      </c>
      <c r="D8159" s="417" t="s">
        <v>563</v>
      </c>
      <c r="E8159" s="423">
        <v>1.6631764837349241</v>
      </c>
      <c r="F8159" s="423">
        <v>6.7704414953758091E-2</v>
      </c>
      <c r="G8159" s="422">
        <v>3453.5472978911071</v>
      </c>
      <c r="H8159" s="417" t="s">
        <v>2616</v>
      </c>
      <c r="I8159" s="417" t="s">
        <v>1392</v>
      </c>
      <c r="J8159" s="417" t="s">
        <v>11832</v>
      </c>
      <c r="K8159" s="417" t="s">
        <v>18771</v>
      </c>
      <c r="L8159" s="417"/>
      <c r="M8159" s="417" t="s">
        <v>28840</v>
      </c>
    </row>
    <row r="8160" spans="1:13" x14ac:dyDescent="0.25">
      <c r="A8160" s="417" t="s">
        <v>3385</v>
      </c>
      <c r="B8160" s="417" t="s">
        <v>2627</v>
      </c>
      <c r="C8160" s="417" t="s">
        <v>18772</v>
      </c>
      <c r="D8160" s="417" t="s">
        <v>563</v>
      </c>
      <c r="E8160" s="423">
        <v>2.408073803649927</v>
      </c>
      <c r="F8160" s="423">
        <v>9.734731178080476E-2</v>
      </c>
      <c r="G8160" s="422">
        <v>5063.8657230323452</v>
      </c>
      <c r="H8160" s="417" t="s">
        <v>2616</v>
      </c>
      <c r="I8160" s="417" t="s">
        <v>1392</v>
      </c>
      <c r="J8160" s="417" t="s">
        <v>11832</v>
      </c>
      <c r="K8160" s="417" t="s">
        <v>18773</v>
      </c>
      <c r="L8160" s="417"/>
      <c r="M8160" s="417" t="s">
        <v>28840</v>
      </c>
    </row>
    <row r="8161" spans="1:13" x14ac:dyDescent="0.25">
      <c r="A8161" s="417" t="s">
        <v>3385</v>
      </c>
      <c r="B8161" s="417" t="s">
        <v>2627</v>
      </c>
      <c r="C8161" s="417" t="s">
        <v>18774</v>
      </c>
      <c r="D8161" s="417" t="s">
        <v>563</v>
      </c>
      <c r="E8161" s="423">
        <v>4.5429278403026716</v>
      </c>
      <c r="F8161" s="423">
        <v>0.14726095944622161</v>
      </c>
      <c r="G8161" s="422">
        <v>9820.8339913015079</v>
      </c>
      <c r="H8161" s="417" t="s">
        <v>2616</v>
      </c>
      <c r="I8161" s="417" t="s">
        <v>1392</v>
      </c>
      <c r="J8161" s="417" t="s">
        <v>11832</v>
      </c>
      <c r="K8161" s="417" t="s">
        <v>18775</v>
      </c>
      <c r="L8161" s="417"/>
      <c r="M8161" s="417" t="s">
        <v>28840</v>
      </c>
    </row>
    <row r="8162" spans="1:13" x14ac:dyDescent="0.25">
      <c r="A8162" s="417" t="s">
        <v>3385</v>
      </c>
      <c r="B8162" s="417" t="s">
        <v>2627</v>
      </c>
      <c r="C8162" s="417" t="s">
        <v>18776</v>
      </c>
      <c r="D8162" s="417" t="s">
        <v>563</v>
      </c>
      <c r="E8162" s="423">
        <v>1.6043052628715211</v>
      </c>
      <c r="F8162" s="423">
        <v>5.9069489355968327E-2</v>
      </c>
      <c r="G8162" s="422">
        <v>3417.3286998819431</v>
      </c>
      <c r="H8162" s="417" t="s">
        <v>2616</v>
      </c>
      <c r="I8162" s="417" t="s">
        <v>1392</v>
      </c>
      <c r="J8162" s="417" t="s">
        <v>11832</v>
      </c>
      <c r="K8162" s="417" t="s">
        <v>18777</v>
      </c>
      <c r="L8162" s="417"/>
      <c r="M8162" s="417" t="s">
        <v>28840</v>
      </c>
    </row>
    <row r="8163" spans="1:13" x14ac:dyDescent="0.25">
      <c r="A8163" s="417" t="s">
        <v>3385</v>
      </c>
      <c r="B8163" s="417" t="s">
        <v>2627</v>
      </c>
      <c r="C8163" s="417" t="s">
        <v>18778</v>
      </c>
      <c r="D8163" s="417" t="s">
        <v>563</v>
      </c>
      <c r="E8163" s="423">
        <v>7.3310529900789776</v>
      </c>
      <c r="F8163" s="423">
        <v>0.23467502720156891</v>
      </c>
      <c r="G8163" s="422">
        <v>15323.354382223401</v>
      </c>
      <c r="H8163" s="417" t="s">
        <v>2616</v>
      </c>
      <c r="I8163" s="417" t="s">
        <v>1392</v>
      </c>
      <c r="J8163" s="417" t="s">
        <v>11832</v>
      </c>
      <c r="K8163" s="417" t="s">
        <v>18779</v>
      </c>
      <c r="L8163" s="417"/>
      <c r="M8163" s="417" t="s">
        <v>28840</v>
      </c>
    </row>
    <row r="8164" spans="1:13" x14ac:dyDescent="0.25">
      <c r="A8164" s="417" t="s">
        <v>3385</v>
      </c>
      <c r="B8164" s="417" t="s">
        <v>2627</v>
      </c>
      <c r="C8164" s="417" t="s">
        <v>18780</v>
      </c>
      <c r="D8164" s="417" t="s">
        <v>563</v>
      </c>
      <c r="E8164" s="423">
        <v>9.3524194328900219</v>
      </c>
      <c r="F8164" s="423">
        <v>0.29236853083373671</v>
      </c>
      <c r="G8164" s="422">
        <v>19260.67936903951</v>
      </c>
      <c r="H8164" s="417" t="s">
        <v>2616</v>
      </c>
      <c r="I8164" s="417" t="s">
        <v>1392</v>
      </c>
      <c r="J8164" s="417" t="s">
        <v>11832</v>
      </c>
      <c r="K8164" s="417" t="s">
        <v>18781</v>
      </c>
      <c r="L8164" s="417"/>
      <c r="M8164" s="417" t="s">
        <v>28840</v>
      </c>
    </row>
    <row r="8165" spans="1:13" x14ac:dyDescent="0.25">
      <c r="A8165" s="417" t="s">
        <v>3385</v>
      </c>
      <c r="B8165" s="417" t="s">
        <v>2627</v>
      </c>
      <c r="C8165" s="417" t="s">
        <v>18782</v>
      </c>
      <c r="D8165" s="417" t="s">
        <v>563</v>
      </c>
      <c r="E8165" s="423">
        <v>5.3096865471185657</v>
      </c>
      <c r="F8165" s="423">
        <v>0.1769815235500036</v>
      </c>
      <c r="G8165" s="422">
        <v>11386.029403456459</v>
      </c>
      <c r="H8165" s="417" t="s">
        <v>2616</v>
      </c>
      <c r="I8165" s="417" t="s">
        <v>1392</v>
      </c>
      <c r="J8165" s="417" t="s">
        <v>11832</v>
      </c>
      <c r="K8165" s="417" t="s">
        <v>18783</v>
      </c>
      <c r="L8165" s="417"/>
      <c r="M8165" s="417" t="s">
        <v>28840</v>
      </c>
    </row>
    <row r="8166" spans="1:13" x14ac:dyDescent="0.25">
      <c r="A8166" s="417" t="s">
        <v>3385</v>
      </c>
      <c r="B8166" s="417" t="s">
        <v>2627</v>
      </c>
      <c r="C8166" s="417" t="s">
        <v>18784</v>
      </c>
      <c r="D8166" s="417" t="s">
        <v>563</v>
      </c>
      <c r="E8166" s="423">
        <v>0.32901627100127001</v>
      </c>
      <c r="F8166" s="423">
        <v>1.7108218934862661E-2</v>
      </c>
      <c r="G8166" s="422">
        <v>802.097121613642</v>
      </c>
      <c r="H8166" s="417" t="s">
        <v>2616</v>
      </c>
      <c r="I8166" s="417" t="s">
        <v>1392</v>
      </c>
      <c r="J8166" s="417" t="s">
        <v>11832</v>
      </c>
      <c r="K8166" s="417" t="s">
        <v>18785</v>
      </c>
      <c r="L8166" s="417"/>
      <c r="M8166" s="417" t="s">
        <v>28840</v>
      </c>
    </row>
    <row r="8167" spans="1:13" x14ac:dyDescent="0.25">
      <c r="A8167" s="417" t="s">
        <v>3385</v>
      </c>
      <c r="B8167" s="417" t="s">
        <v>2627</v>
      </c>
      <c r="C8167" s="417" t="s">
        <v>18786</v>
      </c>
      <c r="D8167" s="417" t="s">
        <v>563</v>
      </c>
      <c r="E8167" s="423">
        <v>0.37874407322963288</v>
      </c>
      <c r="F8167" s="423">
        <v>2.0090385737131729E-2</v>
      </c>
      <c r="G8167" s="422">
        <v>929.54957723304426</v>
      </c>
      <c r="H8167" s="417" t="s">
        <v>2616</v>
      </c>
      <c r="I8167" s="417" t="s">
        <v>1392</v>
      </c>
      <c r="J8167" s="417" t="s">
        <v>11832</v>
      </c>
      <c r="K8167" s="417" t="s">
        <v>18787</v>
      </c>
      <c r="L8167" s="417"/>
      <c r="M8167" s="417" t="s">
        <v>28840</v>
      </c>
    </row>
    <row r="8168" spans="1:13" x14ac:dyDescent="0.25">
      <c r="A8168" s="417" t="s">
        <v>3385</v>
      </c>
      <c r="B8168" s="417" t="s">
        <v>2627</v>
      </c>
      <c r="C8168" s="417" t="s">
        <v>18788</v>
      </c>
      <c r="D8168" s="417" t="s">
        <v>563</v>
      </c>
      <c r="E8168" s="423">
        <v>13.81092953891747</v>
      </c>
      <c r="F8168" s="423">
        <v>0.69060387883713326</v>
      </c>
      <c r="G8168" s="422">
        <v>31556.313121103482</v>
      </c>
      <c r="H8168" s="417" t="s">
        <v>2616</v>
      </c>
      <c r="I8168" s="417" t="s">
        <v>1392</v>
      </c>
      <c r="J8168" s="417" t="s">
        <v>11832</v>
      </c>
      <c r="K8168" s="417" t="s">
        <v>18789</v>
      </c>
      <c r="L8168" s="417"/>
      <c r="M8168" s="417" t="s">
        <v>28840</v>
      </c>
    </row>
    <row r="8169" spans="1:13" x14ac:dyDescent="0.25">
      <c r="A8169" s="417" t="s">
        <v>3385</v>
      </c>
      <c r="B8169" s="417" t="s">
        <v>2627</v>
      </c>
      <c r="C8169" s="417" t="s">
        <v>18790</v>
      </c>
      <c r="D8169" s="417" t="s">
        <v>563</v>
      </c>
      <c r="E8169" s="423">
        <v>5.5354595101255946</v>
      </c>
      <c r="F8169" s="423">
        <v>0.31201264380191962</v>
      </c>
      <c r="G8169" s="422">
        <v>12515.72940671638</v>
      </c>
      <c r="H8169" s="417" t="s">
        <v>2616</v>
      </c>
      <c r="I8169" s="417" t="s">
        <v>1392</v>
      </c>
      <c r="J8169" s="417" t="s">
        <v>11832</v>
      </c>
      <c r="K8169" s="417" t="s">
        <v>18791</v>
      </c>
      <c r="L8169" s="417"/>
      <c r="M8169" s="417" t="s">
        <v>28840</v>
      </c>
    </row>
    <row r="8170" spans="1:13" x14ac:dyDescent="0.25">
      <c r="A8170" s="417" t="s">
        <v>3385</v>
      </c>
      <c r="B8170" s="417" t="s">
        <v>2627</v>
      </c>
      <c r="C8170" s="417" t="s">
        <v>18792</v>
      </c>
      <c r="D8170" s="417" t="s">
        <v>563</v>
      </c>
      <c r="E8170" s="423">
        <v>6.2336897225303689</v>
      </c>
      <c r="F8170" s="423">
        <v>0.35172933541920781</v>
      </c>
      <c r="G8170" s="422">
        <v>14357.236697845419</v>
      </c>
      <c r="H8170" s="417" t="s">
        <v>2616</v>
      </c>
      <c r="I8170" s="417" t="s">
        <v>1392</v>
      </c>
      <c r="J8170" s="417" t="s">
        <v>11832</v>
      </c>
      <c r="K8170" s="417" t="s">
        <v>18793</v>
      </c>
      <c r="L8170" s="417"/>
      <c r="M8170" s="417" t="s">
        <v>28840</v>
      </c>
    </row>
    <row r="8171" spans="1:13" x14ac:dyDescent="0.25">
      <c r="A8171" s="417" t="s">
        <v>3385</v>
      </c>
      <c r="B8171" s="417" t="s">
        <v>2627</v>
      </c>
      <c r="C8171" s="417" t="s">
        <v>18794</v>
      </c>
      <c r="D8171" s="417" t="s">
        <v>563</v>
      </c>
      <c r="E8171" s="423">
        <v>4.4499184913005196</v>
      </c>
      <c r="F8171" s="423">
        <v>0.20341985400997781</v>
      </c>
      <c r="G8171" s="422">
        <v>10272.27613106112</v>
      </c>
      <c r="H8171" s="417" t="s">
        <v>2616</v>
      </c>
      <c r="I8171" s="417" t="s">
        <v>1392</v>
      </c>
      <c r="J8171" s="417" t="s">
        <v>11832</v>
      </c>
      <c r="K8171" s="417" t="s">
        <v>18795</v>
      </c>
      <c r="L8171" s="417"/>
      <c r="M8171" s="417" t="s">
        <v>28840</v>
      </c>
    </row>
    <row r="8172" spans="1:13" x14ac:dyDescent="0.25">
      <c r="A8172" s="417" t="s">
        <v>3385</v>
      </c>
      <c r="B8172" s="417" t="s">
        <v>2627</v>
      </c>
      <c r="C8172" s="417" t="s">
        <v>18796</v>
      </c>
      <c r="D8172" s="417" t="s">
        <v>563</v>
      </c>
      <c r="E8172" s="423">
        <v>6.9698634688804093</v>
      </c>
      <c r="F8172" s="423">
        <v>0.36473970601301459</v>
      </c>
      <c r="G8172" s="422">
        <v>14050.81622085806</v>
      </c>
      <c r="H8172" s="417" t="s">
        <v>2616</v>
      </c>
      <c r="I8172" s="417" t="s">
        <v>1392</v>
      </c>
      <c r="J8172" s="417" t="s">
        <v>11832</v>
      </c>
      <c r="K8172" s="417" t="s">
        <v>18797</v>
      </c>
      <c r="L8172" s="417"/>
      <c r="M8172" s="417" t="s">
        <v>28840</v>
      </c>
    </row>
    <row r="8173" spans="1:13" x14ac:dyDescent="0.25">
      <c r="A8173" s="417" t="s">
        <v>3385</v>
      </c>
      <c r="B8173" s="417" t="s">
        <v>2627</v>
      </c>
      <c r="C8173" s="417" t="s">
        <v>18798</v>
      </c>
      <c r="D8173" s="417" t="s">
        <v>563</v>
      </c>
      <c r="E8173" s="423">
        <v>9.1795093021496168</v>
      </c>
      <c r="F8173" s="423">
        <v>0.47285451625762281</v>
      </c>
      <c r="G8173" s="422">
        <v>18539.528457958011</v>
      </c>
      <c r="H8173" s="417" t="s">
        <v>2616</v>
      </c>
      <c r="I8173" s="417" t="s">
        <v>1392</v>
      </c>
      <c r="J8173" s="417" t="s">
        <v>11832</v>
      </c>
      <c r="K8173" s="417" t="s">
        <v>18799</v>
      </c>
      <c r="L8173" s="417"/>
      <c r="M8173" s="417" t="s">
        <v>28840</v>
      </c>
    </row>
    <row r="8174" spans="1:13" x14ac:dyDescent="0.25">
      <c r="A8174" s="417" t="s">
        <v>3385</v>
      </c>
      <c r="B8174" s="417" t="s">
        <v>2627</v>
      </c>
      <c r="C8174" s="417" t="s">
        <v>18800</v>
      </c>
      <c r="D8174" s="417" t="s">
        <v>563</v>
      </c>
      <c r="E8174" s="423">
        <v>36.090251609471487</v>
      </c>
      <c r="F8174" s="423">
        <v>1.457595659774068</v>
      </c>
      <c r="G8174" s="422">
        <v>76437.195229634337</v>
      </c>
      <c r="H8174" s="417" t="s">
        <v>2616</v>
      </c>
      <c r="I8174" s="417" t="s">
        <v>1392</v>
      </c>
      <c r="J8174" s="417" t="s">
        <v>11832</v>
      </c>
      <c r="K8174" s="417" t="s">
        <v>18801</v>
      </c>
      <c r="L8174" s="417"/>
      <c r="M8174" s="417" t="s">
        <v>28840</v>
      </c>
    </row>
    <row r="8175" spans="1:13" x14ac:dyDescent="0.25">
      <c r="A8175" s="417" t="s">
        <v>3385</v>
      </c>
      <c r="B8175" s="417" t="s">
        <v>2627</v>
      </c>
      <c r="C8175" s="417" t="s">
        <v>18802</v>
      </c>
      <c r="D8175" s="417" t="s">
        <v>563</v>
      </c>
      <c r="E8175" s="423">
        <v>20.96020458241971</v>
      </c>
      <c r="F8175" s="423">
        <v>0.85783932246901584</v>
      </c>
      <c r="G8175" s="422">
        <v>43195.896444928629</v>
      </c>
      <c r="H8175" s="417" t="s">
        <v>2616</v>
      </c>
      <c r="I8175" s="417" t="s">
        <v>1392</v>
      </c>
      <c r="J8175" s="417" t="s">
        <v>11832</v>
      </c>
      <c r="K8175" s="417" t="s">
        <v>18803</v>
      </c>
      <c r="L8175" s="417"/>
      <c r="M8175" s="417" t="s">
        <v>28840</v>
      </c>
    </row>
    <row r="8176" spans="1:13" x14ac:dyDescent="0.25">
      <c r="A8176" s="417" t="s">
        <v>3385</v>
      </c>
      <c r="B8176" s="417" t="s">
        <v>2627</v>
      </c>
      <c r="C8176" s="417" t="s">
        <v>18804</v>
      </c>
      <c r="D8176" s="417" t="s">
        <v>563</v>
      </c>
      <c r="E8176" s="423">
        <v>42.584283509431749</v>
      </c>
      <c r="F8176" s="423">
        <v>1.6482002090659991</v>
      </c>
      <c r="G8176" s="422">
        <v>87307.133641741166</v>
      </c>
      <c r="H8176" s="417" t="s">
        <v>2616</v>
      </c>
      <c r="I8176" s="417" t="s">
        <v>1392</v>
      </c>
      <c r="J8176" s="417" t="s">
        <v>11832</v>
      </c>
      <c r="K8176" s="417" t="s">
        <v>18805</v>
      </c>
      <c r="L8176" s="417"/>
      <c r="M8176" s="417" t="s">
        <v>28840</v>
      </c>
    </row>
    <row r="8177" spans="1:13" x14ac:dyDescent="0.25">
      <c r="A8177" s="417" t="s">
        <v>3385</v>
      </c>
      <c r="B8177" s="417" t="s">
        <v>2627</v>
      </c>
      <c r="C8177" s="417" t="s">
        <v>18806</v>
      </c>
      <c r="D8177" s="417" t="s">
        <v>563</v>
      </c>
      <c r="E8177" s="423">
        <v>14.80733685719642</v>
      </c>
      <c r="F8177" s="423">
        <v>0.60789098474652792</v>
      </c>
      <c r="G8177" s="422">
        <v>45039.479860195243</v>
      </c>
      <c r="H8177" s="417" t="s">
        <v>2616</v>
      </c>
      <c r="I8177" s="417" t="s">
        <v>1392</v>
      </c>
      <c r="J8177" s="417" t="s">
        <v>11832</v>
      </c>
      <c r="K8177" s="417" t="s">
        <v>18807</v>
      </c>
      <c r="L8177" s="417"/>
      <c r="M8177" s="417" t="s">
        <v>28840</v>
      </c>
    </row>
    <row r="8178" spans="1:13" x14ac:dyDescent="0.25">
      <c r="A8178" s="417" t="s">
        <v>3385</v>
      </c>
      <c r="B8178" s="417" t="s">
        <v>2627</v>
      </c>
      <c r="C8178" s="417" t="s">
        <v>18808</v>
      </c>
      <c r="D8178" s="417" t="s">
        <v>88</v>
      </c>
      <c r="E8178" s="423">
        <v>1.2346015546978919</v>
      </c>
      <c r="F8178" s="423">
        <v>0.48473283381523408</v>
      </c>
      <c r="G8178" s="422">
        <v>2622.2630416228199</v>
      </c>
      <c r="H8178" s="417" t="s">
        <v>2616</v>
      </c>
      <c r="I8178" s="417" t="s">
        <v>1392</v>
      </c>
      <c r="J8178" s="417" t="s">
        <v>17385</v>
      </c>
      <c r="K8178" s="417" t="s">
        <v>18809</v>
      </c>
      <c r="L8178" s="417"/>
      <c r="M8178" s="417" t="s">
        <v>28840</v>
      </c>
    </row>
    <row r="8179" spans="1:13" x14ac:dyDescent="0.25">
      <c r="A8179" s="417" t="s">
        <v>3385</v>
      </c>
      <c r="B8179" s="417" t="s">
        <v>2627</v>
      </c>
      <c r="C8179" s="417" t="s">
        <v>18810</v>
      </c>
      <c r="D8179" s="417" t="s">
        <v>88</v>
      </c>
      <c r="E8179" s="423">
        <v>7.5161196713298057</v>
      </c>
      <c r="F8179" s="423">
        <v>0.238495226929129</v>
      </c>
      <c r="G8179" s="422">
        <v>20272.100668590141</v>
      </c>
      <c r="H8179" s="417" t="s">
        <v>2616</v>
      </c>
      <c r="I8179" s="417" t="s">
        <v>1392</v>
      </c>
      <c r="J8179" s="417" t="s">
        <v>3809</v>
      </c>
      <c r="K8179" s="417" t="s">
        <v>18811</v>
      </c>
      <c r="L8179" s="417"/>
      <c r="M8179" s="417" t="s">
        <v>28840</v>
      </c>
    </row>
    <row r="8180" spans="1:13" x14ac:dyDescent="0.25">
      <c r="A8180" s="417" t="s">
        <v>3385</v>
      </c>
      <c r="B8180" s="417" t="s">
        <v>2627</v>
      </c>
      <c r="C8180" s="417" t="s">
        <v>18812</v>
      </c>
      <c r="D8180" s="417" t="s">
        <v>989</v>
      </c>
      <c r="E8180" s="423">
        <v>2208796.5519111701</v>
      </c>
      <c r="F8180" s="423">
        <v>165479.22575271729</v>
      </c>
      <c r="G8180" s="422">
        <v>5734587525.6674519</v>
      </c>
      <c r="H8180" s="417" t="s">
        <v>2616</v>
      </c>
      <c r="I8180" s="417" t="s">
        <v>1392</v>
      </c>
      <c r="J8180" s="417" t="s">
        <v>5230</v>
      </c>
      <c r="K8180" s="417" t="s">
        <v>18813</v>
      </c>
      <c r="L8180" s="417"/>
      <c r="M8180" s="417" t="s">
        <v>28840</v>
      </c>
    </row>
    <row r="8181" spans="1:13" x14ac:dyDescent="0.25">
      <c r="A8181" s="417" t="s">
        <v>3385</v>
      </c>
      <c r="B8181" s="417" t="s">
        <v>2627</v>
      </c>
      <c r="C8181" s="417" t="s">
        <v>18814</v>
      </c>
      <c r="D8181" s="417" t="s">
        <v>989</v>
      </c>
      <c r="E8181" s="423">
        <v>9069904980.2678661</v>
      </c>
      <c r="F8181" s="423">
        <v>351416382.83880848</v>
      </c>
      <c r="G8181" s="422">
        <v>17993652008840.898</v>
      </c>
      <c r="H8181" s="417" t="s">
        <v>2616</v>
      </c>
      <c r="I8181" s="417" t="s">
        <v>1392</v>
      </c>
      <c r="J8181" s="417" t="s">
        <v>18815</v>
      </c>
      <c r="K8181" s="417" t="s">
        <v>18816</v>
      </c>
      <c r="L8181" s="417"/>
      <c r="M8181" s="417" t="s">
        <v>28840</v>
      </c>
    </row>
    <row r="8182" spans="1:13" x14ac:dyDescent="0.25">
      <c r="A8182" s="417" t="s">
        <v>3385</v>
      </c>
      <c r="B8182" s="417" t="s">
        <v>2627</v>
      </c>
      <c r="C8182" s="417" t="s">
        <v>18817</v>
      </c>
      <c r="D8182" s="417" t="s">
        <v>4427</v>
      </c>
      <c r="E8182" s="423">
        <v>3597241.1119571091</v>
      </c>
      <c r="F8182" s="423">
        <v>322848.54700000002</v>
      </c>
      <c r="G8182" s="422">
        <v>6898740612.1465635</v>
      </c>
      <c r="H8182" s="417" t="s">
        <v>2616</v>
      </c>
      <c r="I8182" s="417" t="s">
        <v>28985</v>
      </c>
      <c r="J8182" s="417" t="s">
        <v>2628</v>
      </c>
      <c r="K8182" s="417" t="s">
        <v>18818</v>
      </c>
      <c r="L8182" s="417"/>
      <c r="M8182" s="417" t="s">
        <v>28840</v>
      </c>
    </row>
    <row r="8183" spans="1:13" x14ac:dyDescent="0.25">
      <c r="A8183" s="417" t="s">
        <v>3385</v>
      </c>
      <c r="B8183" s="417" t="s">
        <v>2627</v>
      </c>
      <c r="C8183" s="417" t="s">
        <v>18819</v>
      </c>
      <c r="D8183" s="417" t="s">
        <v>88</v>
      </c>
      <c r="E8183" s="423">
        <v>11.190203852825841</v>
      </c>
      <c r="F8183" s="423">
        <v>0.40064424814192662</v>
      </c>
      <c r="G8183" s="422">
        <v>31545.91897267137</v>
      </c>
      <c r="H8183" s="417" t="s">
        <v>2616</v>
      </c>
      <c r="I8183" s="417" t="s">
        <v>1392</v>
      </c>
      <c r="J8183" s="417" t="s">
        <v>3387</v>
      </c>
      <c r="K8183" s="417" t="s">
        <v>18820</v>
      </c>
      <c r="L8183" s="417"/>
      <c r="M8183" s="417" t="s">
        <v>28840</v>
      </c>
    </row>
    <row r="8184" spans="1:13" x14ac:dyDescent="0.25">
      <c r="A8184" s="417" t="s">
        <v>3385</v>
      </c>
      <c r="B8184" s="417" t="s">
        <v>2627</v>
      </c>
      <c r="C8184" s="417" t="s">
        <v>18821</v>
      </c>
      <c r="D8184" s="417" t="s">
        <v>88</v>
      </c>
      <c r="E8184" s="423">
        <v>3.3932287972808362</v>
      </c>
      <c r="F8184" s="423">
        <v>8.5752665995329089E-2</v>
      </c>
      <c r="G8184" s="422">
        <v>5501.6728276787389</v>
      </c>
      <c r="H8184" s="417" t="s">
        <v>2616</v>
      </c>
      <c r="I8184" s="417" t="s">
        <v>1392</v>
      </c>
      <c r="J8184" s="417" t="s">
        <v>3396</v>
      </c>
      <c r="K8184" s="417" t="s">
        <v>18822</v>
      </c>
      <c r="L8184" s="417"/>
      <c r="M8184" s="417" t="s">
        <v>28840</v>
      </c>
    </row>
    <row r="8185" spans="1:13" x14ac:dyDescent="0.25">
      <c r="A8185" s="417" t="s">
        <v>3385</v>
      </c>
      <c r="B8185" s="417" t="s">
        <v>2627</v>
      </c>
      <c r="C8185" s="417" t="s">
        <v>964</v>
      </c>
      <c r="D8185" s="417" t="s">
        <v>88</v>
      </c>
      <c r="E8185" s="423">
        <v>1.049718982107076</v>
      </c>
      <c r="F8185" s="423">
        <v>7.8148723171317762E-3</v>
      </c>
      <c r="G8185" s="422">
        <v>1982.573855882988</v>
      </c>
      <c r="H8185" s="417" t="s">
        <v>2616</v>
      </c>
      <c r="I8185" s="417" t="s">
        <v>28841</v>
      </c>
      <c r="J8185" s="417" t="s">
        <v>4123</v>
      </c>
      <c r="K8185" s="417" t="s">
        <v>18823</v>
      </c>
      <c r="L8185" s="417"/>
      <c r="M8185" s="417" t="s">
        <v>28840</v>
      </c>
    </row>
    <row r="8186" spans="1:13" x14ac:dyDescent="0.25">
      <c r="A8186" s="417" t="s">
        <v>3385</v>
      </c>
      <c r="B8186" s="417" t="s">
        <v>2627</v>
      </c>
      <c r="C8186" s="417" t="s">
        <v>18824</v>
      </c>
      <c r="D8186" s="417" t="s">
        <v>88</v>
      </c>
      <c r="E8186" s="423">
        <v>1.0274825567587329</v>
      </c>
      <c r="F8186" s="423">
        <v>1.04598678538895E-2</v>
      </c>
      <c r="G8186" s="422">
        <v>1926.9037862404771</v>
      </c>
      <c r="H8186" s="417" t="s">
        <v>2616</v>
      </c>
      <c r="I8186" s="417" t="s">
        <v>1392</v>
      </c>
      <c r="J8186" s="417" t="s">
        <v>4123</v>
      </c>
      <c r="K8186" s="417" t="s">
        <v>18825</v>
      </c>
      <c r="L8186" s="417"/>
      <c r="M8186" s="417" t="s">
        <v>28840</v>
      </c>
    </row>
    <row r="8187" spans="1:13" x14ac:dyDescent="0.25">
      <c r="A8187" s="417" t="s">
        <v>3385</v>
      </c>
      <c r="B8187" s="417" t="s">
        <v>3405</v>
      </c>
      <c r="C8187" s="417" t="s">
        <v>18826</v>
      </c>
      <c r="D8187" s="417" t="s">
        <v>73</v>
      </c>
      <c r="E8187" s="423">
        <v>8.1916587979753167E-2</v>
      </c>
      <c r="F8187" s="423">
        <v>1.6981677519404981E-4</v>
      </c>
      <c r="G8187" s="422">
        <v>101.4827278160643</v>
      </c>
      <c r="H8187" s="417" t="s">
        <v>2616</v>
      </c>
      <c r="I8187" s="417" t="s">
        <v>1392</v>
      </c>
      <c r="J8187" s="417" t="s">
        <v>11340</v>
      </c>
      <c r="K8187" s="417" t="s">
        <v>18827</v>
      </c>
      <c r="L8187" s="417"/>
      <c r="M8187" s="417" t="s">
        <v>28840</v>
      </c>
    </row>
    <row r="8188" spans="1:13" x14ac:dyDescent="0.25">
      <c r="A8188" s="417" t="s">
        <v>3385</v>
      </c>
      <c r="B8188" s="417" t="s">
        <v>3405</v>
      </c>
      <c r="C8188" s="417" t="s">
        <v>18828</v>
      </c>
      <c r="D8188" s="417" t="s">
        <v>73</v>
      </c>
      <c r="E8188" s="423">
        <v>8.8665567206598656E-2</v>
      </c>
      <c r="F8188" s="423">
        <v>1.8854471582422421E-4</v>
      </c>
      <c r="G8188" s="422">
        <v>110.0247049855848</v>
      </c>
      <c r="H8188" s="417" t="s">
        <v>2616</v>
      </c>
      <c r="I8188" s="417" t="s">
        <v>1392</v>
      </c>
      <c r="J8188" s="417" t="s">
        <v>11340</v>
      </c>
      <c r="K8188" s="417" t="s">
        <v>18829</v>
      </c>
      <c r="L8188" s="417"/>
      <c r="M8188" s="417" t="s">
        <v>28840</v>
      </c>
    </row>
    <row r="8189" spans="1:13" x14ac:dyDescent="0.25">
      <c r="A8189" s="417" t="s">
        <v>3385</v>
      </c>
      <c r="B8189" s="417" t="s">
        <v>2627</v>
      </c>
      <c r="C8189" s="417" t="s">
        <v>968</v>
      </c>
      <c r="D8189" s="417" t="s">
        <v>88</v>
      </c>
      <c r="E8189" s="423">
        <v>2.9463000007056159</v>
      </c>
      <c r="F8189" s="423">
        <v>0.1906852257899225</v>
      </c>
      <c r="G8189" s="422">
        <v>7466.4742480728273</v>
      </c>
      <c r="H8189" s="417" t="s">
        <v>2616</v>
      </c>
      <c r="I8189" s="417" t="s">
        <v>28841</v>
      </c>
      <c r="J8189" s="417" t="s">
        <v>3396</v>
      </c>
      <c r="K8189" s="417" t="s">
        <v>18830</v>
      </c>
      <c r="L8189" s="417"/>
      <c r="M8189" s="417" t="s">
        <v>28840</v>
      </c>
    </row>
    <row r="8190" spans="1:13" x14ac:dyDescent="0.25">
      <c r="A8190" s="417" t="s">
        <v>3385</v>
      </c>
      <c r="B8190" s="417" t="s">
        <v>2627</v>
      </c>
      <c r="C8190" s="417" t="s">
        <v>18831</v>
      </c>
      <c r="D8190" s="417" t="s">
        <v>88</v>
      </c>
      <c r="E8190" s="423">
        <v>3.180400360777111</v>
      </c>
      <c r="F8190" s="423">
        <v>0.21294572455208849</v>
      </c>
      <c r="G8190" s="422">
        <v>7830.3848379732626</v>
      </c>
      <c r="H8190" s="417" t="s">
        <v>2616</v>
      </c>
      <c r="I8190" s="417" t="s">
        <v>1392</v>
      </c>
      <c r="J8190" s="417" t="s">
        <v>3396</v>
      </c>
      <c r="K8190" s="417" t="s">
        <v>18832</v>
      </c>
      <c r="L8190" s="417"/>
      <c r="M8190" s="417" t="s">
        <v>28840</v>
      </c>
    </row>
    <row r="8191" spans="1:13" x14ac:dyDescent="0.25">
      <c r="A8191" s="417" t="s">
        <v>3385</v>
      </c>
      <c r="B8191" s="417" t="s">
        <v>2627</v>
      </c>
      <c r="C8191" s="417" t="s">
        <v>18833</v>
      </c>
      <c r="D8191" s="417" t="s">
        <v>88</v>
      </c>
      <c r="E8191" s="423">
        <v>1.4889805210393721</v>
      </c>
      <c r="F8191" s="423">
        <v>4.5426545471372592E-3</v>
      </c>
      <c r="G8191" s="422">
        <v>2248.9648182923561</v>
      </c>
      <c r="H8191" s="417" t="s">
        <v>2616</v>
      </c>
      <c r="I8191" s="417" t="s">
        <v>1392</v>
      </c>
      <c r="J8191" s="417" t="s">
        <v>3396</v>
      </c>
      <c r="K8191" s="417" t="s">
        <v>18834</v>
      </c>
      <c r="L8191" s="417"/>
      <c r="M8191" s="417" t="s">
        <v>28840</v>
      </c>
    </row>
    <row r="8192" spans="1:13" x14ac:dyDescent="0.25">
      <c r="A8192" s="417" t="s">
        <v>3385</v>
      </c>
      <c r="B8192" s="417" t="s">
        <v>2627</v>
      </c>
      <c r="C8192" s="417" t="s">
        <v>18835</v>
      </c>
      <c r="D8192" s="417" t="s">
        <v>88</v>
      </c>
      <c r="E8192" s="423">
        <v>0.93982457165462718</v>
      </c>
      <c r="F8192" s="423">
        <v>2.4907982630652921E-2</v>
      </c>
      <c r="G8192" s="422">
        <v>8288.5680991358768</v>
      </c>
      <c r="H8192" s="417" t="s">
        <v>2616</v>
      </c>
      <c r="I8192" s="417" t="s">
        <v>1392</v>
      </c>
      <c r="J8192" s="417" t="s">
        <v>11512</v>
      </c>
      <c r="K8192" s="417" t="s">
        <v>18836</v>
      </c>
      <c r="L8192" s="417"/>
      <c r="M8192" s="417" t="s">
        <v>28840</v>
      </c>
    </row>
    <row r="8193" spans="1:13" x14ac:dyDescent="0.25">
      <c r="A8193" s="417" t="s">
        <v>3385</v>
      </c>
      <c r="B8193" s="417" t="s">
        <v>2627</v>
      </c>
      <c r="C8193" s="417" t="s">
        <v>18837</v>
      </c>
      <c r="D8193" s="417" t="s">
        <v>88</v>
      </c>
      <c r="E8193" s="423">
        <v>0.79093760348546605</v>
      </c>
      <c r="F8193" s="423">
        <v>1.049943111319683E-2</v>
      </c>
      <c r="G8193" s="422">
        <v>8003.4824672084233</v>
      </c>
      <c r="H8193" s="417" t="s">
        <v>2616</v>
      </c>
      <c r="I8193" s="417" t="s">
        <v>1392</v>
      </c>
      <c r="J8193" s="417" t="s">
        <v>4047</v>
      </c>
      <c r="K8193" s="417" t="s">
        <v>18838</v>
      </c>
      <c r="L8193" s="417"/>
      <c r="M8193" s="417" t="s">
        <v>28840</v>
      </c>
    </row>
    <row r="8194" spans="1:13" x14ac:dyDescent="0.25">
      <c r="A8194" s="417" t="s">
        <v>3385</v>
      </c>
      <c r="B8194" s="417" t="s">
        <v>2627</v>
      </c>
      <c r="C8194" s="417" t="s">
        <v>18839</v>
      </c>
      <c r="D8194" s="417" t="s">
        <v>88</v>
      </c>
      <c r="E8194" s="423">
        <v>0.85002695357756519</v>
      </c>
      <c r="F8194" s="423">
        <v>1.112893619982668E-2</v>
      </c>
      <c r="G8194" s="422">
        <v>4773.6401724492953</v>
      </c>
      <c r="H8194" s="417" t="s">
        <v>2616</v>
      </c>
      <c r="I8194" s="417" t="s">
        <v>1392</v>
      </c>
      <c r="J8194" s="417" t="s">
        <v>4047</v>
      </c>
      <c r="K8194" s="417" t="s">
        <v>18840</v>
      </c>
      <c r="L8194" s="417"/>
      <c r="M8194" s="417" t="s">
        <v>28840</v>
      </c>
    </row>
    <row r="8195" spans="1:13" x14ac:dyDescent="0.25">
      <c r="A8195" s="417" t="s">
        <v>3385</v>
      </c>
      <c r="B8195" s="417" t="s">
        <v>2627</v>
      </c>
      <c r="C8195" s="417" t="s">
        <v>18841</v>
      </c>
      <c r="D8195" s="417" t="s">
        <v>88</v>
      </c>
      <c r="E8195" s="423">
        <v>0.35400849122662431</v>
      </c>
      <c r="F8195" s="423">
        <v>0.97859474320665463</v>
      </c>
      <c r="G8195" s="422">
        <v>1832.101694917309</v>
      </c>
      <c r="H8195" s="417" t="s">
        <v>2616</v>
      </c>
      <c r="I8195" s="417" t="s">
        <v>1392</v>
      </c>
      <c r="J8195" s="417" t="s">
        <v>3945</v>
      </c>
      <c r="K8195" s="417" t="s">
        <v>18842</v>
      </c>
      <c r="L8195" s="417"/>
      <c r="M8195" s="417" t="s">
        <v>28840</v>
      </c>
    </row>
    <row r="8196" spans="1:13" x14ac:dyDescent="0.25">
      <c r="A8196" s="417" t="s">
        <v>3385</v>
      </c>
      <c r="B8196" s="417" t="s">
        <v>2627</v>
      </c>
      <c r="C8196" s="417" t="s">
        <v>18843</v>
      </c>
      <c r="D8196" s="417" t="s">
        <v>563</v>
      </c>
      <c r="E8196" s="423">
        <v>13.9600814443</v>
      </c>
      <c r="F8196" s="423">
        <v>0</v>
      </c>
      <c r="G8196" s="422">
        <v>31036.64976841</v>
      </c>
      <c r="H8196" s="417" t="s">
        <v>2616</v>
      </c>
      <c r="I8196" s="417" t="s">
        <v>1392</v>
      </c>
      <c r="J8196" s="417" t="s">
        <v>3995</v>
      </c>
      <c r="K8196" s="417" t="s">
        <v>18844</v>
      </c>
      <c r="L8196" s="417"/>
      <c r="M8196" s="417" t="s">
        <v>28840</v>
      </c>
    </row>
    <row r="8197" spans="1:13" x14ac:dyDescent="0.25">
      <c r="A8197" s="417" t="s">
        <v>3385</v>
      </c>
      <c r="B8197" s="417" t="s">
        <v>2627</v>
      </c>
      <c r="C8197" s="417" t="s">
        <v>18845</v>
      </c>
      <c r="D8197" s="417" t="s">
        <v>563</v>
      </c>
      <c r="E8197" s="423">
        <v>11.0947954587</v>
      </c>
      <c r="F8197" s="423">
        <v>0</v>
      </c>
      <c r="G8197" s="422">
        <v>24669.74346989</v>
      </c>
      <c r="H8197" s="417" t="s">
        <v>2616</v>
      </c>
      <c r="I8197" s="417" t="s">
        <v>1392</v>
      </c>
      <c r="J8197" s="417" t="s">
        <v>3995</v>
      </c>
      <c r="K8197" s="417" t="s">
        <v>18846</v>
      </c>
      <c r="L8197" s="417"/>
      <c r="M8197" s="417" t="s">
        <v>28840</v>
      </c>
    </row>
    <row r="8198" spans="1:13" x14ac:dyDescent="0.25">
      <c r="A8198" s="417" t="s">
        <v>3385</v>
      </c>
      <c r="B8198" s="417" t="s">
        <v>2627</v>
      </c>
      <c r="C8198" s="417" t="s">
        <v>18847</v>
      </c>
      <c r="D8198" s="417" t="s">
        <v>989</v>
      </c>
      <c r="E8198" s="423">
        <v>189945600.60370541</v>
      </c>
      <c r="F8198" s="423">
        <v>24751699.20765657</v>
      </c>
      <c r="G8198" s="422">
        <v>478569903947.10797</v>
      </c>
      <c r="H8198" s="417" t="s">
        <v>2616</v>
      </c>
      <c r="I8198" s="417" t="s">
        <v>1392</v>
      </c>
      <c r="J8198" s="417" t="s">
        <v>18848</v>
      </c>
      <c r="K8198" s="417" t="s">
        <v>18849</v>
      </c>
      <c r="L8198" s="417"/>
      <c r="M8198" s="417" t="s">
        <v>28840</v>
      </c>
    </row>
    <row r="8199" spans="1:13" x14ac:dyDescent="0.25">
      <c r="A8199" s="417" t="s">
        <v>3385</v>
      </c>
      <c r="B8199" s="417" t="s">
        <v>2627</v>
      </c>
      <c r="C8199" s="417" t="s">
        <v>18850</v>
      </c>
      <c r="D8199" s="417" t="s">
        <v>88</v>
      </c>
      <c r="E8199" s="423">
        <v>1.2504950766775019E-2</v>
      </c>
      <c r="F8199" s="423">
        <v>3.9398481915977452E-4</v>
      </c>
      <c r="G8199" s="422">
        <v>61.309788316635753</v>
      </c>
      <c r="H8199" s="417" t="s">
        <v>2616</v>
      </c>
      <c r="I8199" s="417" t="s">
        <v>1392</v>
      </c>
      <c r="J8199" s="417" t="s">
        <v>14143</v>
      </c>
      <c r="K8199" s="417" t="s">
        <v>18851</v>
      </c>
      <c r="L8199" s="417"/>
      <c r="M8199" s="417" t="s">
        <v>28840</v>
      </c>
    </row>
    <row r="8200" spans="1:13" x14ac:dyDescent="0.25">
      <c r="A8200" s="417" t="s">
        <v>3385</v>
      </c>
      <c r="B8200" s="417" t="s">
        <v>2627</v>
      </c>
      <c r="C8200" s="417" t="s">
        <v>18852</v>
      </c>
      <c r="D8200" s="417" t="s">
        <v>83</v>
      </c>
      <c r="E8200" s="423">
        <v>12.137866594925431</v>
      </c>
      <c r="F8200" s="423">
        <v>1.0578625641716639</v>
      </c>
      <c r="G8200" s="422">
        <v>83299.141089078577</v>
      </c>
      <c r="H8200" s="417" t="s">
        <v>2616</v>
      </c>
      <c r="I8200" s="417" t="s">
        <v>1392</v>
      </c>
      <c r="J8200" s="417" t="s">
        <v>4016</v>
      </c>
      <c r="K8200" s="417" t="s">
        <v>18853</v>
      </c>
      <c r="L8200" s="417"/>
      <c r="M8200" s="417" t="s">
        <v>28840</v>
      </c>
    </row>
    <row r="8201" spans="1:13" x14ac:dyDescent="0.25">
      <c r="A8201" s="417" t="s">
        <v>3385</v>
      </c>
      <c r="B8201" s="417" t="s">
        <v>2627</v>
      </c>
      <c r="C8201" s="417" t="s">
        <v>18854</v>
      </c>
      <c r="D8201" s="417" t="s">
        <v>83</v>
      </c>
      <c r="E8201" s="423">
        <v>9.8770330757026255</v>
      </c>
      <c r="F8201" s="423">
        <v>0.60616127160990041</v>
      </c>
      <c r="G8201" s="422">
        <v>54018.258037140593</v>
      </c>
      <c r="H8201" s="417" t="s">
        <v>2616</v>
      </c>
      <c r="I8201" s="417" t="s">
        <v>1392</v>
      </c>
      <c r="J8201" s="417" t="s">
        <v>4016</v>
      </c>
      <c r="K8201" s="417" t="s">
        <v>18855</v>
      </c>
      <c r="L8201" s="417"/>
      <c r="M8201" s="417" t="s">
        <v>28840</v>
      </c>
    </row>
    <row r="8202" spans="1:13" x14ac:dyDescent="0.25">
      <c r="A8202" s="417" t="s">
        <v>3385</v>
      </c>
      <c r="B8202" s="417" t="s">
        <v>2627</v>
      </c>
      <c r="C8202" s="417" t="s">
        <v>18856</v>
      </c>
      <c r="D8202" s="417" t="s">
        <v>83</v>
      </c>
      <c r="E8202" s="423">
        <v>10.54913997919888</v>
      </c>
      <c r="F8202" s="423">
        <v>0.88251243206787344</v>
      </c>
      <c r="G8202" s="422">
        <v>68825.684396923214</v>
      </c>
      <c r="H8202" s="417" t="s">
        <v>2616</v>
      </c>
      <c r="I8202" s="417" t="s">
        <v>1392</v>
      </c>
      <c r="J8202" s="417" t="s">
        <v>4016</v>
      </c>
      <c r="K8202" s="417" t="s">
        <v>18857</v>
      </c>
      <c r="L8202" s="417"/>
      <c r="M8202" s="417" t="s">
        <v>28840</v>
      </c>
    </row>
    <row r="8203" spans="1:13" x14ac:dyDescent="0.25">
      <c r="A8203" s="417" t="s">
        <v>3385</v>
      </c>
      <c r="B8203" s="417" t="s">
        <v>2627</v>
      </c>
      <c r="C8203" s="417" t="s">
        <v>18858</v>
      </c>
      <c r="D8203" s="417" t="s">
        <v>83</v>
      </c>
      <c r="E8203" s="423">
        <v>10.8750576630335</v>
      </c>
      <c r="F8203" s="423">
        <v>0.8022691061899565</v>
      </c>
      <c r="G8203" s="422">
        <v>67013.387662567242</v>
      </c>
      <c r="H8203" s="417" t="s">
        <v>2616</v>
      </c>
      <c r="I8203" s="417" t="s">
        <v>1392</v>
      </c>
      <c r="J8203" s="417" t="s">
        <v>4016</v>
      </c>
      <c r="K8203" s="417" t="s">
        <v>18859</v>
      </c>
      <c r="L8203" s="417"/>
      <c r="M8203" s="417" t="s">
        <v>28840</v>
      </c>
    </row>
    <row r="8204" spans="1:13" x14ac:dyDescent="0.25">
      <c r="A8204" s="417" t="s">
        <v>3385</v>
      </c>
      <c r="B8204" s="417" t="s">
        <v>2627</v>
      </c>
      <c r="C8204" s="417" t="s">
        <v>18860</v>
      </c>
      <c r="D8204" s="417" t="s">
        <v>83</v>
      </c>
      <c r="E8204" s="423">
        <v>12.173883214245951</v>
      </c>
      <c r="F8204" s="423">
        <v>0.9701363298513378</v>
      </c>
      <c r="G8204" s="422">
        <v>83986.933107191959</v>
      </c>
      <c r="H8204" s="417" t="s">
        <v>2616</v>
      </c>
      <c r="I8204" s="417" t="s">
        <v>1392</v>
      </c>
      <c r="J8204" s="417" t="s">
        <v>4016</v>
      </c>
      <c r="K8204" s="417" t="s">
        <v>18861</v>
      </c>
      <c r="L8204" s="417"/>
      <c r="M8204" s="417" t="s">
        <v>28840</v>
      </c>
    </row>
    <row r="8205" spans="1:13" x14ac:dyDescent="0.25">
      <c r="A8205" s="417" t="s">
        <v>3385</v>
      </c>
      <c r="B8205" s="417" t="s">
        <v>2627</v>
      </c>
      <c r="C8205" s="417" t="s">
        <v>18862</v>
      </c>
      <c r="D8205" s="417" t="s">
        <v>83</v>
      </c>
      <c r="E8205" s="423">
        <v>11.791877455026579</v>
      </c>
      <c r="F8205" s="423">
        <v>1.0573032413251111</v>
      </c>
      <c r="G8205" s="422">
        <v>75654.05373820466</v>
      </c>
      <c r="H8205" s="417" t="s">
        <v>2616</v>
      </c>
      <c r="I8205" s="417" t="s">
        <v>1392</v>
      </c>
      <c r="J8205" s="417" t="s">
        <v>4016</v>
      </c>
      <c r="K8205" s="417" t="s">
        <v>18863</v>
      </c>
      <c r="L8205" s="417"/>
      <c r="M8205" s="417" t="s">
        <v>28840</v>
      </c>
    </row>
    <row r="8206" spans="1:13" x14ac:dyDescent="0.25">
      <c r="A8206" s="417" t="s">
        <v>3385</v>
      </c>
      <c r="B8206" s="417" t="s">
        <v>2627</v>
      </c>
      <c r="C8206" s="417" t="s">
        <v>18864</v>
      </c>
      <c r="D8206" s="417" t="s">
        <v>83</v>
      </c>
      <c r="E8206" s="423">
        <v>11.240203476238699</v>
      </c>
      <c r="F8206" s="423">
        <v>0.63098343924595235</v>
      </c>
      <c r="G8206" s="422">
        <v>51385.872771276321</v>
      </c>
      <c r="H8206" s="417" t="s">
        <v>2616</v>
      </c>
      <c r="I8206" s="417" t="s">
        <v>1392</v>
      </c>
      <c r="J8206" s="417" t="s">
        <v>4016</v>
      </c>
      <c r="K8206" s="417" t="s">
        <v>18865</v>
      </c>
      <c r="L8206" s="417"/>
      <c r="M8206" s="417" t="s">
        <v>28840</v>
      </c>
    </row>
    <row r="8207" spans="1:13" x14ac:dyDescent="0.25">
      <c r="A8207" s="417" t="s">
        <v>3385</v>
      </c>
      <c r="B8207" s="417" t="s">
        <v>2627</v>
      </c>
      <c r="C8207" s="417" t="s">
        <v>18866</v>
      </c>
      <c r="D8207" s="417" t="s">
        <v>83</v>
      </c>
      <c r="E8207" s="423">
        <v>12.412953774341339</v>
      </c>
      <c r="F8207" s="423">
        <v>1.223144828287499</v>
      </c>
      <c r="G8207" s="422">
        <v>60971.319075886393</v>
      </c>
      <c r="H8207" s="417" t="s">
        <v>2616</v>
      </c>
      <c r="I8207" s="417" t="s">
        <v>1392</v>
      </c>
      <c r="J8207" s="417" t="s">
        <v>4016</v>
      </c>
      <c r="K8207" s="417" t="s">
        <v>18867</v>
      </c>
      <c r="L8207" s="417"/>
      <c r="M8207" s="417" t="s">
        <v>28840</v>
      </c>
    </row>
    <row r="8208" spans="1:13" x14ac:dyDescent="0.25">
      <c r="A8208" s="417" t="s">
        <v>3385</v>
      </c>
      <c r="B8208" s="417" t="s">
        <v>2627</v>
      </c>
      <c r="C8208" s="417" t="s">
        <v>18868</v>
      </c>
      <c r="D8208" s="417" t="s">
        <v>83</v>
      </c>
      <c r="E8208" s="423">
        <v>10.569679239736979</v>
      </c>
      <c r="F8208" s="423">
        <v>0.70896234397509539</v>
      </c>
      <c r="G8208" s="422">
        <v>54479.399717638284</v>
      </c>
      <c r="H8208" s="417" t="s">
        <v>2616</v>
      </c>
      <c r="I8208" s="417" t="s">
        <v>1392</v>
      </c>
      <c r="J8208" s="417" t="s">
        <v>4016</v>
      </c>
      <c r="K8208" s="417" t="s">
        <v>18869</v>
      </c>
      <c r="L8208" s="417"/>
      <c r="M8208" s="417" t="s">
        <v>28840</v>
      </c>
    </row>
    <row r="8209" spans="1:13" x14ac:dyDescent="0.25">
      <c r="A8209" s="417" t="s">
        <v>3385</v>
      </c>
      <c r="B8209" s="417" t="s">
        <v>2627</v>
      </c>
      <c r="C8209" s="417" t="s">
        <v>18870</v>
      </c>
      <c r="D8209" s="417" t="s">
        <v>83</v>
      </c>
      <c r="E8209" s="423">
        <v>9.220331770343499</v>
      </c>
      <c r="F8209" s="423">
        <v>0.87364295068892972</v>
      </c>
      <c r="G8209" s="422">
        <v>59000.255984093179</v>
      </c>
      <c r="H8209" s="417" t="s">
        <v>2616</v>
      </c>
      <c r="I8209" s="417" t="s">
        <v>1392</v>
      </c>
      <c r="J8209" s="417" t="s">
        <v>4016</v>
      </c>
      <c r="K8209" s="417" t="s">
        <v>18871</v>
      </c>
      <c r="L8209" s="417"/>
      <c r="M8209" s="417" t="s">
        <v>28840</v>
      </c>
    </row>
    <row r="8210" spans="1:13" x14ac:dyDescent="0.25">
      <c r="A8210" s="417" t="s">
        <v>3385</v>
      </c>
      <c r="B8210" s="417" t="s">
        <v>2627</v>
      </c>
      <c r="C8210" s="417" t="s">
        <v>18872</v>
      </c>
      <c r="D8210" s="417" t="s">
        <v>83</v>
      </c>
      <c r="E8210" s="423">
        <v>10.050004706132761</v>
      </c>
      <c r="F8210" s="423">
        <v>0.5260004579231643</v>
      </c>
      <c r="G8210" s="422">
        <v>44552.880874491049</v>
      </c>
      <c r="H8210" s="417" t="s">
        <v>2616</v>
      </c>
      <c r="I8210" s="417" t="s">
        <v>1392</v>
      </c>
      <c r="J8210" s="417" t="s">
        <v>4016</v>
      </c>
      <c r="K8210" s="417" t="s">
        <v>18873</v>
      </c>
      <c r="L8210" s="417"/>
      <c r="M8210" s="417" t="s">
        <v>28840</v>
      </c>
    </row>
    <row r="8211" spans="1:13" x14ac:dyDescent="0.25">
      <c r="A8211" s="417" t="s">
        <v>3385</v>
      </c>
      <c r="B8211" s="417" t="s">
        <v>2627</v>
      </c>
      <c r="C8211" s="417" t="s">
        <v>18874</v>
      </c>
      <c r="D8211" s="417" t="s">
        <v>73</v>
      </c>
      <c r="E8211" s="423">
        <v>3.9091770206817131E-2</v>
      </c>
      <c r="F8211" s="423">
        <v>1.181543637386465E-4</v>
      </c>
      <c r="G8211" s="422">
        <v>59.08910272606677</v>
      </c>
      <c r="H8211" s="417" t="s">
        <v>2616</v>
      </c>
      <c r="I8211" s="417" t="s">
        <v>1392</v>
      </c>
      <c r="J8211" s="417" t="s">
        <v>13528</v>
      </c>
      <c r="K8211" s="417" t="s">
        <v>18875</v>
      </c>
      <c r="L8211" s="417"/>
      <c r="M8211" s="417" t="s">
        <v>28840</v>
      </c>
    </row>
    <row r="8212" spans="1:13" x14ac:dyDescent="0.25">
      <c r="A8212" s="417" t="s">
        <v>3385</v>
      </c>
      <c r="B8212" s="417" t="s">
        <v>2627</v>
      </c>
      <c r="C8212" s="417" t="s">
        <v>18876</v>
      </c>
      <c r="D8212" s="417" t="s">
        <v>88</v>
      </c>
      <c r="E8212" s="423">
        <v>6.4272205159134229E-4</v>
      </c>
      <c r="F8212" s="423">
        <v>7.6180106468843364E-5</v>
      </c>
      <c r="G8212" s="422">
        <v>16.968603086018089</v>
      </c>
      <c r="H8212" s="417" t="s">
        <v>2616</v>
      </c>
      <c r="I8212" s="417" t="s">
        <v>1392</v>
      </c>
      <c r="J8212" s="417" t="s">
        <v>3860</v>
      </c>
      <c r="K8212" s="417" t="s">
        <v>18877</v>
      </c>
      <c r="L8212" s="417"/>
      <c r="M8212" s="417" t="s">
        <v>28840</v>
      </c>
    </row>
    <row r="8213" spans="1:13" x14ac:dyDescent="0.25">
      <c r="A8213" s="417" t="s">
        <v>3385</v>
      </c>
      <c r="B8213" s="417" t="s">
        <v>3405</v>
      </c>
      <c r="C8213" s="417" t="s">
        <v>18878</v>
      </c>
      <c r="D8213" s="417" t="s">
        <v>989</v>
      </c>
      <c r="E8213" s="423">
        <v>7.1252229023881783</v>
      </c>
      <c r="F8213" s="423">
        <v>0.21456906645402629</v>
      </c>
      <c r="G8213" s="422">
        <v>23187.874629754671</v>
      </c>
      <c r="H8213" s="417" t="s">
        <v>2616</v>
      </c>
      <c r="I8213" s="417" t="s">
        <v>1392</v>
      </c>
      <c r="J8213" s="417" t="s">
        <v>10869</v>
      </c>
      <c r="K8213" s="417" t="s">
        <v>18879</v>
      </c>
      <c r="L8213" s="417"/>
      <c r="M8213" s="417" t="s">
        <v>28840</v>
      </c>
    </row>
    <row r="8214" spans="1:13" x14ac:dyDescent="0.25">
      <c r="A8214" s="417" t="s">
        <v>3385</v>
      </c>
      <c r="B8214" s="417" t="s">
        <v>2627</v>
      </c>
      <c r="C8214" s="417" t="s">
        <v>18880</v>
      </c>
      <c r="D8214" s="417" t="s">
        <v>989</v>
      </c>
      <c r="E8214" s="423">
        <v>153663.98280577769</v>
      </c>
      <c r="F8214" s="423">
        <v>7936.5559860044823</v>
      </c>
      <c r="G8214" s="422">
        <v>304309718.47230518</v>
      </c>
      <c r="H8214" s="417" t="s">
        <v>2616</v>
      </c>
      <c r="I8214" s="417" t="s">
        <v>1392</v>
      </c>
      <c r="J8214" s="417" t="s">
        <v>18881</v>
      </c>
      <c r="K8214" s="417" t="s">
        <v>18882</v>
      </c>
      <c r="L8214" s="417"/>
      <c r="M8214" s="417" t="s">
        <v>28840</v>
      </c>
    </row>
    <row r="8215" spans="1:13" x14ac:dyDescent="0.25">
      <c r="A8215" s="417" t="s">
        <v>3385</v>
      </c>
      <c r="B8215" s="417" t="s">
        <v>2437</v>
      </c>
      <c r="C8215" s="417" t="s">
        <v>18883</v>
      </c>
      <c r="D8215" s="417" t="s">
        <v>989</v>
      </c>
      <c r="E8215" s="423">
        <v>3396.2499622547548</v>
      </c>
      <c r="F8215" s="423">
        <v>79.194427329204515</v>
      </c>
      <c r="G8215" s="422">
        <v>8081057.6079601599</v>
      </c>
      <c r="H8215" s="417" t="s">
        <v>2616</v>
      </c>
      <c r="I8215" s="417" t="s">
        <v>1392</v>
      </c>
      <c r="J8215" s="417" t="s">
        <v>3650</v>
      </c>
      <c r="K8215" s="417" t="s">
        <v>18884</v>
      </c>
      <c r="L8215" s="417"/>
      <c r="M8215" s="417" t="s">
        <v>28840</v>
      </c>
    </row>
    <row r="8216" spans="1:13" x14ac:dyDescent="0.25">
      <c r="A8216" s="417" t="s">
        <v>3385</v>
      </c>
      <c r="B8216" s="417" t="s">
        <v>2627</v>
      </c>
      <c r="C8216" s="417" t="s">
        <v>18885</v>
      </c>
      <c r="D8216" s="417" t="s">
        <v>88</v>
      </c>
      <c r="E8216" s="423">
        <v>1.875765856818697</v>
      </c>
      <c r="F8216" s="423">
        <v>4.1750614651877932E-2</v>
      </c>
      <c r="G8216" s="422">
        <v>3310.9695514297891</v>
      </c>
      <c r="H8216" s="417" t="s">
        <v>2616</v>
      </c>
      <c r="I8216" s="417" t="s">
        <v>1392</v>
      </c>
      <c r="J8216" s="417" t="s">
        <v>3596</v>
      </c>
      <c r="K8216" s="417" t="s">
        <v>18886</v>
      </c>
      <c r="L8216" s="417"/>
      <c r="M8216" s="417" t="s">
        <v>28840</v>
      </c>
    </row>
    <row r="8217" spans="1:13" x14ac:dyDescent="0.25">
      <c r="A8217" s="417" t="s">
        <v>3385</v>
      </c>
      <c r="B8217" s="417" t="s">
        <v>2627</v>
      </c>
      <c r="C8217" s="417" t="s">
        <v>18887</v>
      </c>
      <c r="D8217" s="417" t="s">
        <v>4315</v>
      </c>
      <c r="E8217" s="423">
        <v>24.090697551365821</v>
      </c>
      <c r="F8217" s="423">
        <v>1.1835915745156931</v>
      </c>
      <c r="G8217" s="422">
        <v>42680.4704542455</v>
      </c>
      <c r="H8217" s="417" t="s">
        <v>2616</v>
      </c>
      <c r="I8217" s="417" t="s">
        <v>1392</v>
      </c>
      <c r="J8217" s="417" t="s">
        <v>4138</v>
      </c>
      <c r="K8217" s="417" t="s">
        <v>18888</v>
      </c>
      <c r="L8217" s="417"/>
      <c r="M8217" s="417" t="s">
        <v>28840</v>
      </c>
    </row>
    <row r="8218" spans="1:13" x14ac:dyDescent="0.25">
      <c r="A8218" s="417" t="s">
        <v>3385</v>
      </c>
      <c r="B8218" s="417" t="s">
        <v>2627</v>
      </c>
      <c r="C8218" s="417" t="s">
        <v>18889</v>
      </c>
      <c r="D8218" s="417" t="s">
        <v>4315</v>
      </c>
      <c r="E8218" s="423">
        <v>27.78004297320404</v>
      </c>
      <c r="F8218" s="423">
        <v>1.560352731573353</v>
      </c>
      <c r="G8218" s="422">
        <v>46322.549854974583</v>
      </c>
      <c r="H8218" s="417" t="s">
        <v>2616</v>
      </c>
      <c r="I8218" s="417" t="s">
        <v>1392</v>
      </c>
      <c r="J8218" s="417" t="s">
        <v>4138</v>
      </c>
      <c r="K8218" s="417" t="s">
        <v>18890</v>
      </c>
      <c r="L8218" s="417"/>
      <c r="M8218" s="417" t="s">
        <v>28840</v>
      </c>
    </row>
    <row r="8219" spans="1:13" x14ac:dyDescent="0.25">
      <c r="A8219" s="417" t="s">
        <v>3385</v>
      </c>
      <c r="B8219" s="417" t="s">
        <v>2627</v>
      </c>
      <c r="C8219" s="417" t="s">
        <v>18891</v>
      </c>
      <c r="D8219" s="417" t="s">
        <v>4315</v>
      </c>
      <c r="E8219" s="423">
        <v>35.324576371020108</v>
      </c>
      <c r="F8219" s="423">
        <v>2.0403624969082168</v>
      </c>
      <c r="G8219" s="422">
        <v>60580.549146471458</v>
      </c>
      <c r="H8219" s="417" t="s">
        <v>2616</v>
      </c>
      <c r="I8219" s="417" t="s">
        <v>1392</v>
      </c>
      <c r="J8219" s="417" t="s">
        <v>4138</v>
      </c>
      <c r="K8219" s="417" t="s">
        <v>18892</v>
      </c>
      <c r="L8219" s="417"/>
      <c r="M8219" s="417" t="s">
        <v>28840</v>
      </c>
    </row>
    <row r="8220" spans="1:13" x14ac:dyDescent="0.25">
      <c r="A8220" s="417" t="s">
        <v>3385</v>
      </c>
      <c r="B8220" s="417" t="s">
        <v>2627</v>
      </c>
      <c r="C8220" s="417" t="s">
        <v>18893</v>
      </c>
      <c r="D8220" s="417" t="s">
        <v>4315</v>
      </c>
      <c r="E8220" s="423">
        <v>29.064954580987521</v>
      </c>
      <c r="F8220" s="423">
        <v>1.5947594424552991</v>
      </c>
      <c r="G8220" s="422">
        <v>49860.865031861067</v>
      </c>
      <c r="H8220" s="417" t="s">
        <v>2616</v>
      </c>
      <c r="I8220" s="417" t="s">
        <v>1392</v>
      </c>
      <c r="J8220" s="417" t="s">
        <v>4138</v>
      </c>
      <c r="K8220" s="417" t="s">
        <v>18894</v>
      </c>
      <c r="L8220" s="417"/>
      <c r="M8220" s="417" t="s">
        <v>28840</v>
      </c>
    </row>
    <row r="8221" spans="1:13" x14ac:dyDescent="0.25">
      <c r="A8221" s="417" t="s">
        <v>3385</v>
      </c>
      <c r="B8221" s="417" t="s">
        <v>2627</v>
      </c>
      <c r="C8221" s="417" t="s">
        <v>18895</v>
      </c>
      <c r="D8221" s="417" t="s">
        <v>88</v>
      </c>
      <c r="E8221" s="423">
        <v>16.259500307513139</v>
      </c>
      <c r="F8221" s="423">
        <v>0.37284268109401242</v>
      </c>
      <c r="G8221" s="422">
        <v>37067.102177511399</v>
      </c>
      <c r="H8221" s="417" t="s">
        <v>2616</v>
      </c>
      <c r="I8221" s="417" t="s">
        <v>1392</v>
      </c>
      <c r="J8221" s="417" t="s">
        <v>3387</v>
      </c>
      <c r="K8221" s="417" t="s">
        <v>18896</v>
      </c>
      <c r="L8221" s="417"/>
      <c r="M8221" s="417" t="s">
        <v>28840</v>
      </c>
    </row>
    <row r="8222" spans="1:13" x14ac:dyDescent="0.25">
      <c r="A8222" s="417" t="s">
        <v>3385</v>
      </c>
      <c r="B8222" s="417" t="s">
        <v>2627</v>
      </c>
      <c r="C8222" s="417" t="s">
        <v>18897</v>
      </c>
      <c r="D8222" s="417" t="s">
        <v>88</v>
      </c>
      <c r="E8222" s="423">
        <v>16.767002377287039</v>
      </c>
      <c r="F8222" s="423">
        <v>0.40673555459640143</v>
      </c>
      <c r="G8222" s="422">
        <v>37439.723069638407</v>
      </c>
      <c r="H8222" s="417" t="s">
        <v>2616</v>
      </c>
      <c r="I8222" s="417" t="s">
        <v>1392</v>
      </c>
      <c r="J8222" s="417" t="s">
        <v>3387</v>
      </c>
      <c r="K8222" s="417" t="s">
        <v>18898</v>
      </c>
      <c r="L8222" s="417"/>
      <c r="M8222" s="417" t="s">
        <v>28840</v>
      </c>
    </row>
    <row r="8223" spans="1:13" x14ac:dyDescent="0.25">
      <c r="A8223" s="417" t="s">
        <v>3385</v>
      </c>
      <c r="B8223" s="417" t="s">
        <v>2627</v>
      </c>
      <c r="C8223" s="417" t="s">
        <v>18899</v>
      </c>
      <c r="D8223" s="417" t="s">
        <v>88</v>
      </c>
      <c r="E8223" s="423">
        <v>8.3974885081407411</v>
      </c>
      <c r="F8223" s="423">
        <v>0.33288010992222189</v>
      </c>
      <c r="G8223" s="422">
        <v>20572.12797700271</v>
      </c>
      <c r="H8223" s="417" t="s">
        <v>2616</v>
      </c>
      <c r="I8223" s="417" t="s">
        <v>1392</v>
      </c>
      <c r="J8223" s="417" t="s">
        <v>3387</v>
      </c>
      <c r="K8223" s="417" t="s">
        <v>18900</v>
      </c>
      <c r="L8223" s="417"/>
      <c r="M8223" s="417" t="s">
        <v>28840</v>
      </c>
    </row>
    <row r="8224" spans="1:13" x14ac:dyDescent="0.25">
      <c r="A8224" s="417" t="s">
        <v>3385</v>
      </c>
      <c r="B8224" s="417" t="s">
        <v>2627</v>
      </c>
      <c r="C8224" s="417" t="s">
        <v>18901</v>
      </c>
      <c r="D8224" s="417" t="s">
        <v>88</v>
      </c>
      <c r="E8224" s="423">
        <v>8.7282844401298956</v>
      </c>
      <c r="F8224" s="423">
        <v>0.35497189138070318</v>
      </c>
      <c r="G8224" s="422">
        <v>20815.006732069221</v>
      </c>
      <c r="H8224" s="417" t="s">
        <v>2616</v>
      </c>
      <c r="I8224" s="417" t="s">
        <v>1392</v>
      </c>
      <c r="J8224" s="417" t="s">
        <v>3387</v>
      </c>
      <c r="K8224" s="417" t="s">
        <v>18902</v>
      </c>
      <c r="L8224" s="417"/>
      <c r="M8224" s="417" t="s">
        <v>28840</v>
      </c>
    </row>
    <row r="8225" spans="1:13" x14ac:dyDescent="0.25">
      <c r="A8225" s="417" t="s">
        <v>3385</v>
      </c>
      <c r="B8225" s="417" t="s">
        <v>2627</v>
      </c>
      <c r="C8225" s="417" t="s">
        <v>18903</v>
      </c>
      <c r="D8225" s="417" t="s">
        <v>88</v>
      </c>
      <c r="E8225" s="423">
        <v>1.435487687405733</v>
      </c>
      <c r="F8225" s="423">
        <v>1.93101309531854E-2</v>
      </c>
      <c r="G8225" s="422">
        <v>2773.1638211800609</v>
      </c>
      <c r="H8225" s="417" t="s">
        <v>2616</v>
      </c>
      <c r="I8225" s="417" t="s">
        <v>1392</v>
      </c>
      <c r="J8225" s="417" t="s">
        <v>18500</v>
      </c>
      <c r="K8225" s="417" t="s">
        <v>18904</v>
      </c>
      <c r="L8225" s="417"/>
      <c r="M8225" s="417" t="s">
        <v>28840</v>
      </c>
    </row>
    <row r="8226" spans="1:13" x14ac:dyDescent="0.25">
      <c r="A8226" s="417" t="s">
        <v>3385</v>
      </c>
      <c r="B8226" s="417" t="s">
        <v>2627</v>
      </c>
      <c r="C8226" s="417" t="s">
        <v>18905</v>
      </c>
      <c r="D8226" s="417" t="s">
        <v>88</v>
      </c>
      <c r="E8226" s="423">
        <v>0.20638394033902979</v>
      </c>
      <c r="F8226" s="423">
        <v>1.5912175433905149E-2</v>
      </c>
      <c r="G8226" s="422">
        <v>280.74802777364499</v>
      </c>
      <c r="H8226" s="417" t="s">
        <v>2616</v>
      </c>
      <c r="I8226" s="417" t="s">
        <v>1392</v>
      </c>
      <c r="J8226" s="417" t="s">
        <v>4369</v>
      </c>
      <c r="K8226" s="417" t="s">
        <v>18906</v>
      </c>
      <c r="L8226" s="417"/>
      <c r="M8226" s="417" t="s">
        <v>28840</v>
      </c>
    </row>
    <row r="8227" spans="1:13" x14ac:dyDescent="0.25">
      <c r="A8227" s="417" t="s">
        <v>3385</v>
      </c>
      <c r="B8227" s="417" t="s">
        <v>2627</v>
      </c>
      <c r="C8227" s="417" t="s">
        <v>18907</v>
      </c>
      <c r="D8227" s="417" t="s">
        <v>88</v>
      </c>
      <c r="E8227" s="423">
        <v>2.0110508673912139E-3</v>
      </c>
      <c r="F8227" s="423">
        <v>6.8225550112177523E-5</v>
      </c>
      <c r="G8227" s="422">
        <v>3.3391625902243862</v>
      </c>
      <c r="H8227" s="417" t="s">
        <v>2616</v>
      </c>
      <c r="I8227" s="417" t="s">
        <v>1392</v>
      </c>
      <c r="J8227" s="417" t="s">
        <v>3742</v>
      </c>
      <c r="K8227" s="417" t="s">
        <v>18908</v>
      </c>
      <c r="L8227" s="417"/>
      <c r="M8227" s="417" t="s">
        <v>28840</v>
      </c>
    </row>
    <row r="8228" spans="1:13" x14ac:dyDescent="0.25">
      <c r="A8228" s="417" t="s">
        <v>3385</v>
      </c>
      <c r="B8228" s="417" t="s">
        <v>2627</v>
      </c>
      <c r="C8228" s="417" t="s">
        <v>18909</v>
      </c>
      <c r="D8228" s="417" t="s">
        <v>88</v>
      </c>
      <c r="E8228" s="423">
        <v>1.1641880957371289</v>
      </c>
      <c r="F8228" s="423">
        <v>1.9410858738128319E-3</v>
      </c>
      <c r="G8228" s="422">
        <v>1305.7937910605649</v>
      </c>
      <c r="H8228" s="417" t="s">
        <v>2616</v>
      </c>
      <c r="I8228" s="417" t="s">
        <v>1392</v>
      </c>
      <c r="J8228" s="417" t="s">
        <v>3742</v>
      </c>
      <c r="K8228" s="417" t="s">
        <v>18910</v>
      </c>
      <c r="L8228" s="417"/>
      <c r="M8228" s="417" t="s">
        <v>28840</v>
      </c>
    </row>
    <row r="8229" spans="1:13" x14ac:dyDescent="0.25">
      <c r="A8229" s="417" t="s">
        <v>3385</v>
      </c>
      <c r="B8229" s="417" t="s">
        <v>2627</v>
      </c>
      <c r="C8229" s="417" t="s">
        <v>18911</v>
      </c>
      <c r="D8229" s="417" t="s">
        <v>88</v>
      </c>
      <c r="E8229" s="423">
        <v>0.37807487362891418</v>
      </c>
      <c r="F8229" s="423">
        <v>3.9834830181430161E-3</v>
      </c>
      <c r="G8229" s="422">
        <v>552.81683627282234</v>
      </c>
      <c r="H8229" s="417" t="s">
        <v>2616</v>
      </c>
      <c r="I8229" s="417" t="s">
        <v>1392</v>
      </c>
      <c r="J8229" s="417" t="s">
        <v>3742</v>
      </c>
      <c r="K8229" s="417" t="s">
        <v>18912</v>
      </c>
      <c r="L8229" s="417"/>
      <c r="M8229" s="417" t="s">
        <v>28840</v>
      </c>
    </row>
    <row r="8230" spans="1:13" x14ac:dyDescent="0.25">
      <c r="A8230" s="417" t="s">
        <v>3385</v>
      </c>
      <c r="B8230" s="417" t="s">
        <v>2627</v>
      </c>
      <c r="C8230" s="417" t="s">
        <v>18913</v>
      </c>
      <c r="D8230" s="417" t="s">
        <v>88</v>
      </c>
      <c r="E8230" s="423">
        <v>1.165960542007298</v>
      </c>
      <c r="F8230" s="423">
        <v>2.2454309736196971E-3</v>
      </c>
      <c r="G8230" s="422">
        <v>1312.899879910547</v>
      </c>
      <c r="H8230" s="417" t="s">
        <v>2616</v>
      </c>
      <c r="I8230" s="417" t="s">
        <v>1392</v>
      </c>
      <c r="J8230" s="417" t="s">
        <v>3742</v>
      </c>
      <c r="K8230" s="417" t="s">
        <v>18914</v>
      </c>
      <c r="L8230" s="417"/>
      <c r="M8230" s="417" t="s">
        <v>28840</v>
      </c>
    </row>
    <row r="8231" spans="1:13" x14ac:dyDescent="0.25">
      <c r="A8231" s="417" t="s">
        <v>3385</v>
      </c>
      <c r="B8231" s="417" t="s">
        <v>2627</v>
      </c>
      <c r="C8231" s="417" t="s">
        <v>18915</v>
      </c>
      <c r="D8231" s="417" t="s">
        <v>88</v>
      </c>
      <c r="E8231" s="423">
        <v>1.17137420730245</v>
      </c>
      <c r="F8231" s="423">
        <v>2.8460086750725051E-2</v>
      </c>
      <c r="G8231" s="422">
        <v>1325.5276349436499</v>
      </c>
      <c r="H8231" s="417" t="s">
        <v>2616</v>
      </c>
      <c r="I8231" s="417" t="s">
        <v>1392</v>
      </c>
      <c r="J8231" s="417" t="s">
        <v>3742</v>
      </c>
      <c r="K8231" s="417" t="s">
        <v>18916</v>
      </c>
      <c r="L8231" s="417"/>
      <c r="M8231" s="417" t="s">
        <v>28840</v>
      </c>
    </row>
    <row r="8232" spans="1:13" x14ac:dyDescent="0.25">
      <c r="A8232" s="417" t="s">
        <v>3385</v>
      </c>
      <c r="B8232" s="417" t="s">
        <v>2627</v>
      </c>
      <c r="C8232" s="417" t="s">
        <v>18917</v>
      </c>
      <c r="D8232" s="417" t="s">
        <v>989</v>
      </c>
      <c r="E8232" s="423">
        <v>502.80155791150531</v>
      </c>
      <c r="F8232" s="423">
        <v>19.045242844426159</v>
      </c>
      <c r="G8232" s="422">
        <v>2548430.0503684832</v>
      </c>
      <c r="H8232" s="417" t="s">
        <v>2616</v>
      </c>
      <c r="I8232" s="417" t="s">
        <v>1392</v>
      </c>
      <c r="J8232" s="417" t="s">
        <v>4294</v>
      </c>
      <c r="K8232" s="417" t="s">
        <v>18918</v>
      </c>
      <c r="L8232" s="417"/>
      <c r="M8232" s="417" t="s">
        <v>28840</v>
      </c>
    </row>
    <row r="8233" spans="1:13" x14ac:dyDescent="0.25">
      <c r="A8233" s="417" t="s">
        <v>3385</v>
      </c>
      <c r="B8233" s="417" t="s">
        <v>2437</v>
      </c>
      <c r="C8233" s="417" t="s">
        <v>18919</v>
      </c>
      <c r="D8233" s="417" t="s">
        <v>88</v>
      </c>
      <c r="E8233" s="423">
        <v>5.4399076689276731</v>
      </c>
      <c r="F8233" s="423">
        <v>8.273913444234976E-2</v>
      </c>
      <c r="G8233" s="422">
        <v>11515.78637947232</v>
      </c>
      <c r="H8233" s="417" t="s">
        <v>2616</v>
      </c>
      <c r="I8233" s="417" t="s">
        <v>1392</v>
      </c>
      <c r="J8233" s="417" t="s">
        <v>3871</v>
      </c>
      <c r="K8233" s="417" t="s">
        <v>18920</v>
      </c>
      <c r="L8233" s="417"/>
      <c r="M8233" s="417" t="s">
        <v>28840</v>
      </c>
    </row>
    <row r="8234" spans="1:13" x14ac:dyDescent="0.25">
      <c r="A8234" s="417" t="s">
        <v>3385</v>
      </c>
      <c r="B8234" s="417" t="s">
        <v>2623</v>
      </c>
      <c r="C8234" s="417" t="s">
        <v>18921</v>
      </c>
      <c r="D8234" s="417" t="s">
        <v>83</v>
      </c>
      <c r="E8234" s="423">
        <v>1616.2464870178389</v>
      </c>
      <c r="F8234" s="423">
        <v>142.16676038448841</v>
      </c>
      <c r="G8234" s="422">
        <v>3834681.1617656569</v>
      </c>
      <c r="H8234" s="417" t="s">
        <v>2616</v>
      </c>
      <c r="I8234" s="417" t="s">
        <v>1392</v>
      </c>
      <c r="J8234" s="417" t="s">
        <v>7337</v>
      </c>
      <c r="K8234" s="417" t="s">
        <v>18922</v>
      </c>
      <c r="L8234" s="417"/>
      <c r="M8234" s="417" t="s">
        <v>28840</v>
      </c>
    </row>
    <row r="8235" spans="1:13" x14ac:dyDescent="0.25">
      <c r="A8235" s="417" t="s">
        <v>3385</v>
      </c>
      <c r="B8235" s="417" t="s">
        <v>2623</v>
      </c>
      <c r="C8235" s="417" t="s">
        <v>18923</v>
      </c>
      <c r="D8235" s="417" t="s">
        <v>83</v>
      </c>
      <c r="E8235" s="423">
        <v>13964.228177129</v>
      </c>
      <c r="F8235" s="423">
        <v>1393.3367016018869</v>
      </c>
      <c r="G8235" s="422">
        <v>47047129183.752487</v>
      </c>
      <c r="H8235" s="417" t="s">
        <v>2616</v>
      </c>
      <c r="I8235" s="417" t="s">
        <v>1392</v>
      </c>
      <c r="J8235" s="417" t="s">
        <v>7337</v>
      </c>
      <c r="K8235" s="417" t="s">
        <v>18924</v>
      </c>
      <c r="L8235" s="417"/>
      <c r="M8235" s="417" t="s">
        <v>28840</v>
      </c>
    </row>
    <row r="8236" spans="1:13" x14ac:dyDescent="0.25">
      <c r="A8236" s="417" t="s">
        <v>3385</v>
      </c>
      <c r="B8236" s="417" t="s">
        <v>2623</v>
      </c>
      <c r="C8236" s="417" t="s">
        <v>18925</v>
      </c>
      <c r="D8236" s="417" t="s">
        <v>83</v>
      </c>
      <c r="E8236" s="423">
        <v>63493.449098528297</v>
      </c>
      <c r="F8236" s="423">
        <v>11509.867434727459</v>
      </c>
      <c r="G8236" s="422">
        <v>251581186.43329149</v>
      </c>
      <c r="H8236" s="417" t="s">
        <v>2616</v>
      </c>
      <c r="I8236" s="417" t="s">
        <v>1392</v>
      </c>
      <c r="J8236" s="417" t="s">
        <v>7337</v>
      </c>
      <c r="K8236" s="417" t="s">
        <v>18926</v>
      </c>
      <c r="L8236" s="417"/>
      <c r="M8236" s="417" t="s">
        <v>28840</v>
      </c>
    </row>
    <row r="8237" spans="1:13" x14ac:dyDescent="0.25">
      <c r="A8237" s="417" t="s">
        <v>3385</v>
      </c>
      <c r="B8237" s="417" t="s">
        <v>2623</v>
      </c>
      <c r="C8237" s="417" t="s">
        <v>18927</v>
      </c>
      <c r="D8237" s="417" t="s">
        <v>83</v>
      </c>
      <c r="E8237" s="423">
        <v>2636.526427946676</v>
      </c>
      <c r="F8237" s="423">
        <v>348.63832404253651</v>
      </c>
      <c r="G8237" s="422">
        <v>8227149.6499999464</v>
      </c>
      <c r="H8237" s="417" t="s">
        <v>2616</v>
      </c>
      <c r="I8237" s="417" t="s">
        <v>1392</v>
      </c>
      <c r="J8237" s="417" t="s">
        <v>7337</v>
      </c>
      <c r="K8237" s="417" t="s">
        <v>18928</v>
      </c>
      <c r="L8237" s="417"/>
      <c r="M8237" s="417" t="s">
        <v>28840</v>
      </c>
    </row>
    <row r="8238" spans="1:13" x14ac:dyDescent="0.25">
      <c r="A8238" s="417" t="s">
        <v>3385</v>
      </c>
      <c r="B8238" s="417" t="s">
        <v>2623</v>
      </c>
      <c r="C8238" s="417" t="s">
        <v>18929</v>
      </c>
      <c r="D8238" s="417" t="s">
        <v>83</v>
      </c>
      <c r="E8238" s="423">
        <v>15297.423716431471</v>
      </c>
      <c r="F8238" s="423">
        <v>1481.0041814328899</v>
      </c>
      <c r="G8238" s="422">
        <v>47050153396.258499</v>
      </c>
      <c r="H8238" s="417" t="s">
        <v>2616</v>
      </c>
      <c r="I8238" s="417" t="s">
        <v>1392</v>
      </c>
      <c r="J8238" s="417" t="s">
        <v>7337</v>
      </c>
      <c r="K8238" s="417" t="s">
        <v>18930</v>
      </c>
      <c r="L8238" s="417"/>
      <c r="M8238" s="417" t="s">
        <v>28840</v>
      </c>
    </row>
    <row r="8239" spans="1:13" x14ac:dyDescent="0.25">
      <c r="A8239" s="417" t="s">
        <v>3385</v>
      </c>
      <c r="B8239" s="417" t="s">
        <v>2437</v>
      </c>
      <c r="C8239" s="417" t="s">
        <v>18931</v>
      </c>
      <c r="D8239" s="417" t="s">
        <v>88</v>
      </c>
      <c r="E8239" s="423">
        <v>1.6454413374690759</v>
      </c>
      <c r="F8239" s="423">
        <v>4.0750534053562611E-2</v>
      </c>
      <c r="G8239" s="422">
        <v>3288.7049885405609</v>
      </c>
      <c r="H8239" s="417" t="s">
        <v>2616</v>
      </c>
      <c r="I8239" s="417" t="s">
        <v>1392</v>
      </c>
      <c r="J8239" s="417" t="s">
        <v>5056</v>
      </c>
      <c r="K8239" s="417" t="s">
        <v>18932</v>
      </c>
      <c r="L8239" s="417"/>
      <c r="M8239" s="417" t="s">
        <v>28840</v>
      </c>
    </row>
    <row r="8240" spans="1:13" x14ac:dyDescent="0.25">
      <c r="A8240" s="417" t="s">
        <v>3385</v>
      </c>
      <c r="B8240" s="417" t="s">
        <v>2437</v>
      </c>
      <c r="C8240" s="417" t="s">
        <v>18933</v>
      </c>
      <c r="D8240" s="417" t="s">
        <v>4476</v>
      </c>
      <c r="E8240" s="423">
        <v>45.800281599476307</v>
      </c>
      <c r="F8240" s="423">
        <v>1.5303861862162831</v>
      </c>
      <c r="G8240" s="422">
        <v>100579.51005695391</v>
      </c>
      <c r="H8240" s="417" t="s">
        <v>2616</v>
      </c>
      <c r="I8240" s="417" t="s">
        <v>1392</v>
      </c>
      <c r="J8240" s="417" t="s">
        <v>5056</v>
      </c>
      <c r="K8240" s="417" t="s">
        <v>18934</v>
      </c>
      <c r="L8240" s="417"/>
      <c r="M8240" s="417" t="s">
        <v>28840</v>
      </c>
    </row>
    <row r="8241" spans="1:13" x14ac:dyDescent="0.25">
      <c r="A8241" s="417" t="s">
        <v>3385</v>
      </c>
      <c r="B8241" s="417" t="s">
        <v>2437</v>
      </c>
      <c r="C8241" s="417" t="s">
        <v>18935</v>
      </c>
      <c r="D8241" s="417" t="s">
        <v>4476</v>
      </c>
      <c r="E8241" s="423">
        <v>40.680493786637228</v>
      </c>
      <c r="F8241" s="423">
        <v>1.9413764295002449</v>
      </c>
      <c r="G8241" s="422">
        <v>93188.537536037693</v>
      </c>
      <c r="H8241" s="417" t="s">
        <v>2616</v>
      </c>
      <c r="I8241" s="417" t="s">
        <v>1392</v>
      </c>
      <c r="J8241" s="417" t="s">
        <v>5056</v>
      </c>
      <c r="K8241" s="417" t="s">
        <v>18936</v>
      </c>
      <c r="L8241" s="417"/>
      <c r="M8241" s="417" t="s">
        <v>28840</v>
      </c>
    </row>
    <row r="8242" spans="1:13" x14ac:dyDescent="0.25">
      <c r="A8242" s="417" t="s">
        <v>3385</v>
      </c>
      <c r="B8242" s="417" t="s">
        <v>2437</v>
      </c>
      <c r="C8242" s="417" t="s">
        <v>18937</v>
      </c>
      <c r="D8242" s="417" t="s">
        <v>18938</v>
      </c>
      <c r="E8242" s="423">
        <v>51617.767636288467</v>
      </c>
      <c r="F8242" s="423">
        <v>2445.2700695919252</v>
      </c>
      <c r="G8242" s="422">
        <v>109640772.8816708</v>
      </c>
      <c r="H8242" s="417" t="s">
        <v>2616</v>
      </c>
      <c r="I8242" s="417" t="s">
        <v>1392</v>
      </c>
      <c r="J8242" s="417" t="s">
        <v>5056</v>
      </c>
      <c r="K8242" s="417" t="s">
        <v>18939</v>
      </c>
      <c r="L8242" s="417"/>
      <c r="M8242" s="417" t="s">
        <v>28840</v>
      </c>
    </row>
    <row r="8243" spans="1:13" x14ac:dyDescent="0.25">
      <c r="A8243" s="417" t="s">
        <v>3385</v>
      </c>
      <c r="B8243" s="417" t="s">
        <v>2437</v>
      </c>
      <c r="C8243" s="417" t="s">
        <v>18940</v>
      </c>
      <c r="D8243" s="417" t="s">
        <v>4476</v>
      </c>
      <c r="E8243" s="423">
        <v>44.102823290128711</v>
      </c>
      <c r="F8243" s="423">
        <v>2.2505841815344918</v>
      </c>
      <c r="G8243" s="422">
        <v>88752.739795959205</v>
      </c>
      <c r="H8243" s="417" t="s">
        <v>2616</v>
      </c>
      <c r="I8243" s="417" t="s">
        <v>1392</v>
      </c>
      <c r="J8243" s="417" t="s">
        <v>5056</v>
      </c>
      <c r="K8243" s="417" t="s">
        <v>18941</v>
      </c>
      <c r="L8243" s="417"/>
      <c r="M8243" s="417" t="s">
        <v>28840</v>
      </c>
    </row>
    <row r="8244" spans="1:13" x14ac:dyDescent="0.25">
      <c r="A8244" s="417" t="s">
        <v>3385</v>
      </c>
      <c r="B8244" s="417" t="s">
        <v>2437</v>
      </c>
      <c r="C8244" s="417" t="s">
        <v>18942</v>
      </c>
      <c r="D8244" s="417" t="s">
        <v>18938</v>
      </c>
      <c r="E8244" s="423">
        <v>148349.67552953339</v>
      </c>
      <c r="F8244" s="423">
        <v>7196.4746733879756</v>
      </c>
      <c r="G8244" s="422">
        <v>253754035.86968839</v>
      </c>
      <c r="H8244" s="417" t="s">
        <v>2616</v>
      </c>
      <c r="I8244" s="417" t="s">
        <v>1392</v>
      </c>
      <c r="J8244" s="417" t="s">
        <v>5056</v>
      </c>
      <c r="K8244" s="417" t="s">
        <v>18943</v>
      </c>
      <c r="L8244" s="417"/>
      <c r="M8244" s="417" t="s">
        <v>28840</v>
      </c>
    </row>
    <row r="8245" spans="1:13" x14ac:dyDescent="0.25">
      <c r="A8245" s="417" t="s">
        <v>3385</v>
      </c>
      <c r="B8245" s="417" t="s">
        <v>2437</v>
      </c>
      <c r="C8245" s="417" t="s">
        <v>18944</v>
      </c>
      <c r="D8245" s="417" t="s">
        <v>18938</v>
      </c>
      <c r="E8245" s="423">
        <v>106081.623593175</v>
      </c>
      <c r="F8245" s="423">
        <v>5205.4300898878173</v>
      </c>
      <c r="G8245" s="422">
        <v>178300852.87223729</v>
      </c>
      <c r="H8245" s="417" t="s">
        <v>2616</v>
      </c>
      <c r="I8245" s="417" t="s">
        <v>1392</v>
      </c>
      <c r="J8245" s="417" t="s">
        <v>5056</v>
      </c>
      <c r="K8245" s="417" t="s">
        <v>18945</v>
      </c>
      <c r="L8245" s="417"/>
      <c r="M8245" s="417" t="s">
        <v>28840</v>
      </c>
    </row>
    <row r="8246" spans="1:13" x14ac:dyDescent="0.25">
      <c r="A8246" s="417" t="s">
        <v>3385</v>
      </c>
      <c r="B8246" s="417" t="s">
        <v>2437</v>
      </c>
      <c r="C8246" s="417" t="s">
        <v>18946</v>
      </c>
      <c r="D8246" s="417" t="s">
        <v>18938</v>
      </c>
      <c r="E8246" s="423">
        <v>117840.5319306766</v>
      </c>
      <c r="F8246" s="423">
        <v>5579.5984452613729</v>
      </c>
      <c r="G8246" s="422">
        <v>196879299.37413841</v>
      </c>
      <c r="H8246" s="417" t="s">
        <v>2616</v>
      </c>
      <c r="I8246" s="417" t="s">
        <v>1392</v>
      </c>
      <c r="J8246" s="417" t="s">
        <v>5056</v>
      </c>
      <c r="K8246" s="417" t="s">
        <v>18947</v>
      </c>
      <c r="L8246" s="417"/>
      <c r="M8246" s="417" t="s">
        <v>28840</v>
      </c>
    </row>
    <row r="8247" spans="1:13" x14ac:dyDescent="0.25">
      <c r="A8247" s="417" t="s">
        <v>3385</v>
      </c>
      <c r="B8247" s="417" t="s">
        <v>2437</v>
      </c>
      <c r="C8247" s="417" t="s">
        <v>18948</v>
      </c>
      <c r="D8247" s="417" t="s">
        <v>18938</v>
      </c>
      <c r="E8247" s="423">
        <v>71604.247169675145</v>
      </c>
      <c r="F8247" s="423">
        <v>3417.77691401535</v>
      </c>
      <c r="G8247" s="422">
        <v>117832516.5212307</v>
      </c>
      <c r="H8247" s="417" t="s">
        <v>2616</v>
      </c>
      <c r="I8247" s="417" t="s">
        <v>1392</v>
      </c>
      <c r="J8247" s="417" t="s">
        <v>5056</v>
      </c>
      <c r="K8247" s="417" t="s">
        <v>18949</v>
      </c>
      <c r="L8247" s="417"/>
      <c r="M8247" s="417" t="s">
        <v>28840</v>
      </c>
    </row>
    <row r="8248" spans="1:13" x14ac:dyDescent="0.25">
      <c r="A8248" s="417" t="s">
        <v>3385</v>
      </c>
      <c r="B8248" s="417" t="s">
        <v>2437</v>
      </c>
      <c r="C8248" s="417" t="s">
        <v>18950</v>
      </c>
      <c r="D8248" s="417" t="s">
        <v>18938</v>
      </c>
      <c r="E8248" s="423">
        <v>35506.322516931941</v>
      </c>
      <c r="F8248" s="423">
        <v>1761.3950567641359</v>
      </c>
      <c r="G8248" s="422">
        <v>93049370.584371701</v>
      </c>
      <c r="H8248" s="417" t="s">
        <v>2616</v>
      </c>
      <c r="I8248" s="417" t="s">
        <v>1392</v>
      </c>
      <c r="J8248" s="417" t="s">
        <v>5056</v>
      </c>
      <c r="K8248" s="417" t="s">
        <v>18951</v>
      </c>
      <c r="L8248" s="417"/>
      <c r="M8248" s="417" t="s">
        <v>28840</v>
      </c>
    </row>
    <row r="8249" spans="1:13" x14ac:dyDescent="0.25">
      <c r="A8249" s="417" t="s">
        <v>3385</v>
      </c>
      <c r="B8249" s="417" t="s">
        <v>2437</v>
      </c>
      <c r="C8249" s="417" t="s">
        <v>18952</v>
      </c>
      <c r="D8249" s="417" t="s">
        <v>18938</v>
      </c>
      <c r="E8249" s="423">
        <v>18654.002309211181</v>
      </c>
      <c r="F8249" s="423">
        <v>953.20143385031099</v>
      </c>
      <c r="G8249" s="422">
        <v>48620407.135620482</v>
      </c>
      <c r="H8249" s="417" t="s">
        <v>2616</v>
      </c>
      <c r="I8249" s="417" t="s">
        <v>1392</v>
      </c>
      <c r="J8249" s="417" t="s">
        <v>5056</v>
      </c>
      <c r="K8249" s="417" t="s">
        <v>18953</v>
      </c>
      <c r="L8249" s="417"/>
      <c r="M8249" s="417" t="s">
        <v>28840</v>
      </c>
    </row>
    <row r="8250" spans="1:13" x14ac:dyDescent="0.25">
      <c r="A8250" s="417" t="s">
        <v>3385</v>
      </c>
      <c r="B8250" s="417" t="s">
        <v>2437</v>
      </c>
      <c r="C8250" s="417" t="s">
        <v>18954</v>
      </c>
      <c r="D8250" s="417" t="s">
        <v>18938</v>
      </c>
      <c r="E8250" s="423">
        <v>226876.88530073519</v>
      </c>
      <c r="F8250" s="423">
        <v>8212.6626160425785</v>
      </c>
      <c r="G8250" s="422">
        <v>415774982.57968521</v>
      </c>
      <c r="H8250" s="417" t="s">
        <v>2616</v>
      </c>
      <c r="I8250" s="417" t="s">
        <v>1392</v>
      </c>
      <c r="J8250" s="417" t="s">
        <v>5056</v>
      </c>
      <c r="K8250" s="417" t="s">
        <v>18955</v>
      </c>
      <c r="L8250" s="417"/>
      <c r="M8250" s="417" t="s">
        <v>28840</v>
      </c>
    </row>
    <row r="8251" spans="1:13" x14ac:dyDescent="0.25">
      <c r="A8251" s="417" t="s">
        <v>3385</v>
      </c>
      <c r="B8251" s="417" t="s">
        <v>2437</v>
      </c>
      <c r="C8251" s="417" t="s">
        <v>18956</v>
      </c>
      <c r="D8251" s="417" t="s">
        <v>18938</v>
      </c>
      <c r="E8251" s="423">
        <v>141102.5292855204</v>
      </c>
      <c r="F8251" s="423">
        <v>5096.1135512355322</v>
      </c>
      <c r="G8251" s="422">
        <v>257353606.77981919</v>
      </c>
      <c r="H8251" s="417" t="s">
        <v>2616</v>
      </c>
      <c r="I8251" s="417" t="s">
        <v>1392</v>
      </c>
      <c r="J8251" s="417" t="s">
        <v>5056</v>
      </c>
      <c r="K8251" s="417" t="s">
        <v>18957</v>
      </c>
      <c r="L8251" s="417"/>
      <c r="M8251" s="417" t="s">
        <v>28840</v>
      </c>
    </row>
    <row r="8252" spans="1:13" x14ac:dyDescent="0.25">
      <c r="A8252" s="417" t="s">
        <v>3385</v>
      </c>
      <c r="B8252" s="417" t="s">
        <v>2437</v>
      </c>
      <c r="C8252" s="417" t="s">
        <v>18958</v>
      </c>
      <c r="D8252" s="417" t="s">
        <v>18938</v>
      </c>
      <c r="E8252" s="423">
        <v>93020.595720678844</v>
      </c>
      <c r="F8252" s="423">
        <v>4795.8247576572394</v>
      </c>
      <c r="G8252" s="422">
        <v>164774066.70757881</v>
      </c>
      <c r="H8252" s="417" t="s">
        <v>2616</v>
      </c>
      <c r="I8252" s="417" t="s">
        <v>1392</v>
      </c>
      <c r="J8252" s="417" t="s">
        <v>5056</v>
      </c>
      <c r="K8252" s="417" t="s">
        <v>18959</v>
      </c>
      <c r="L8252" s="417"/>
      <c r="M8252" s="417" t="s">
        <v>28840</v>
      </c>
    </row>
    <row r="8253" spans="1:13" x14ac:dyDescent="0.25">
      <c r="A8253" s="417" t="s">
        <v>3385</v>
      </c>
      <c r="B8253" s="417" t="s">
        <v>2437</v>
      </c>
      <c r="C8253" s="417" t="s">
        <v>18960</v>
      </c>
      <c r="D8253" s="417" t="s">
        <v>18938</v>
      </c>
      <c r="E8253" s="423">
        <v>64112.210122708602</v>
      </c>
      <c r="F8253" s="423">
        <v>3392.4421390323851</v>
      </c>
      <c r="G8253" s="422">
        <v>110823375.2617601</v>
      </c>
      <c r="H8253" s="417" t="s">
        <v>2616</v>
      </c>
      <c r="I8253" s="417" t="s">
        <v>1392</v>
      </c>
      <c r="J8253" s="417" t="s">
        <v>5056</v>
      </c>
      <c r="K8253" s="417" t="s">
        <v>18961</v>
      </c>
      <c r="L8253" s="417"/>
      <c r="M8253" s="417" t="s">
        <v>28840</v>
      </c>
    </row>
    <row r="8254" spans="1:13" x14ac:dyDescent="0.25">
      <c r="A8254" s="417" t="s">
        <v>3385</v>
      </c>
      <c r="B8254" s="417" t="s">
        <v>2627</v>
      </c>
      <c r="C8254" s="417" t="s">
        <v>18962</v>
      </c>
      <c r="D8254" s="417" t="s">
        <v>88</v>
      </c>
      <c r="E8254" s="423">
        <v>1.8201596667669191E-2</v>
      </c>
      <c r="F8254" s="423">
        <v>7.0944641800000003E-4</v>
      </c>
      <c r="G8254" s="422">
        <v>31.981262961651201</v>
      </c>
      <c r="H8254" s="417" t="s">
        <v>2616</v>
      </c>
      <c r="I8254" s="417" t="s">
        <v>1392</v>
      </c>
      <c r="J8254" s="417" t="s">
        <v>3958</v>
      </c>
      <c r="K8254" s="417" t="s">
        <v>18963</v>
      </c>
      <c r="L8254" s="417"/>
      <c r="M8254" s="417" t="s">
        <v>28840</v>
      </c>
    </row>
    <row r="8255" spans="1:13" x14ac:dyDescent="0.25">
      <c r="A8255" s="417" t="s">
        <v>3385</v>
      </c>
      <c r="B8255" s="417" t="s">
        <v>2627</v>
      </c>
      <c r="C8255" s="417" t="s">
        <v>18964</v>
      </c>
      <c r="D8255" s="417" t="s">
        <v>83</v>
      </c>
      <c r="E8255" s="423">
        <v>1.0683282497722739</v>
      </c>
      <c r="F8255" s="423">
        <v>2.3189964319999999E-2</v>
      </c>
      <c r="G8255" s="422">
        <v>1715.803523786017</v>
      </c>
      <c r="H8255" s="417" t="s">
        <v>2616</v>
      </c>
      <c r="I8255" s="417" t="s">
        <v>1392</v>
      </c>
      <c r="J8255" s="417" t="s">
        <v>3958</v>
      </c>
      <c r="K8255" s="417" t="s">
        <v>18965</v>
      </c>
      <c r="L8255" s="417"/>
      <c r="M8255" s="417" t="s">
        <v>28840</v>
      </c>
    </row>
    <row r="8256" spans="1:13" x14ac:dyDescent="0.25">
      <c r="A8256" s="417" t="s">
        <v>3385</v>
      </c>
      <c r="B8256" s="417" t="s">
        <v>2437</v>
      </c>
      <c r="C8256" s="417" t="s">
        <v>18966</v>
      </c>
      <c r="D8256" s="417" t="s">
        <v>88</v>
      </c>
      <c r="E8256" s="423">
        <v>8.1214211679641721</v>
      </c>
      <c r="F8256" s="423">
        <v>0.63237243628407513</v>
      </c>
      <c r="G8256" s="422">
        <v>21908.74888587321</v>
      </c>
      <c r="H8256" s="417" t="s">
        <v>2616</v>
      </c>
      <c r="I8256" s="417" t="s">
        <v>1392</v>
      </c>
      <c r="J8256" s="417" t="s">
        <v>4342</v>
      </c>
      <c r="K8256" s="417" t="s">
        <v>18967</v>
      </c>
      <c r="L8256" s="417"/>
      <c r="M8256" s="417" t="s">
        <v>28840</v>
      </c>
    </row>
    <row r="8257" spans="1:13" x14ac:dyDescent="0.25">
      <c r="A8257" s="417" t="s">
        <v>3385</v>
      </c>
      <c r="B8257" s="417" t="s">
        <v>2627</v>
      </c>
      <c r="C8257" s="417" t="s">
        <v>18968</v>
      </c>
      <c r="D8257" s="417" t="s">
        <v>88</v>
      </c>
      <c r="E8257" s="423">
        <v>0.56091272778133339</v>
      </c>
      <c r="F8257" s="423">
        <v>1.000525097928368E-2</v>
      </c>
      <c r="G8257" s="422">
        <v>2423.9561679406052</v>
      </c>
      <c r="H8257" s="417" t="s">
        <v>2616</v>
      </c>
      <c r="I8257" s="417" t="s">
        <v>1392</v>
      </c>
      <c r="J8257" s="417" t="s">
        <v>18969</v>
      </c>
      <c r="K8257" s="417" t="s">
        <v>18970</v>
      </c>
      <c r="L8257" s="417"/>
      <c r="M8257" s="417" t="s">
        <v>28840</v>
      </c>
    </row>
    <row r="8258" spans="1:13" x14ac:dyDescent="0.25">
      <c r="A8258" s="417" t="s">
        <v>3385</v>
      </c>
      <c r="B8258" s="417" t="s">
        <v>2627</v>
      </c>
      <c r="C8258" s="417" t="s">
        <v>18971</v>
      </c>
      <c r="D8258" s="417" t="s">
        <v>88</v>
      </c>
      <c r="E8258" s="423">
        <v>2.2476167007577561</v>
      </c>
      <c r="F8258" s="423">
        <v>2.9681199382953238</v>
      </c>
      <c r="G8258" s="422">
        <v>16195.97745678659</v>
      </c>
      <c r="H8258" s="417" t="s">
        <v>2616</v>
      </c>
      <c r="I8258" s="417" t="s">
        <v>1392</v>
      </c>
      <c r="J8258" s="417" t="s">
        <v>4823</v>
      </c>
      <c r="K8258" s="417" t="s">
        <v>18972</v>
      </c>
      <c r="L8258" s="417"/>
      <c r="M8258" s="417" t="s">
        <v>28840</v>
      </c>
    </row>
    <row r="8259" spans="1:13" x14ac:dyDescent="0.25">
      <c r="A8259" s="417" t="s">
        <v>3385</v>
      </c>
      <c r="B8259" s="417" t="s">
        <v>2627</v>
      </c>
      <c r="C8259" s="417" t="s">
        <v>18973</v>
      </c>
      <c r="D8259" s="417" t="s">
        <v>88</v>
      </c>
      <c r="E8259" s="423">
        <v>2.5436646040444799</v>
      </c>
      <c r="F8259" s="423">
        <v>2.0830872409268291</v>
      </c>
      <c r="G8259" s="422">
        <v>10464.554311689109</v>
      </c>
      <c r="H8259" s="417" t="s">
        <v>2616</v>
      </c>
      <c r="I8259" s="417" t="s">
        <v>1392</v>
      </c>
      <c r="J8259" s="417" t="s">
        <v>4823</v>
      </c>
      <c r="K8259" s="417" t="s">
        <v>18974</v>
      </c>
      <c r="L8259" s="417"/>
      <c r="M8259" s="417" t="s">
        <v>28840</v>
      </c>
    </row>
    <row r="8260" spans="1:13" x14ac:dyDescent="0.25">
      <c r="A8260" s="417" t="s">
        <v>3385</v>
      </c>
      <c r="B8260" s="417" t="s">
        <v>2627</v>
      </c>
      <c r="C8260" s="417" t="s">
        <v>18975</v>
      </c>
      <c r="D8260" s="417" t="s">
        <v>88</v>
      </c>
      <c r="E8260" s="423">
        <v>2.2780440575013921</v>
      </c>
      <c r="F8260" s="423">
        <v>2.9719496616399699</v>
      </c>
      <c r="G8260" s="422">
        <v>16286.716470071769</v>
      </c>
      <c r="H8260" s="417" t="s">
        <v>2616</v>
      </c>
      <c r="I8260" s="417" t="s">
        <v>1392</v>
      </c>
      <c r="J8260" s="417" t="s">
        <v>4823</v>
      </c>
      <c r="K8260" s="417" t="s">
        <v>18976</v>
      </c>
      <c r="L8260" s="417"/>
      <c r="M8260" s="417" t="s">
        <v>28840</v>
      </c>
    </row>
    <row r="8261" spans="1:13" x14ac:dyDescent="0.25">
      <c r="A8261" s="417" t="s">
        <v>3385</v>
      </c>
      <c r="B8261" s="417" t="s">
        <v>2627</v>
      </c>
      <c r="C8261" s="417" t="s">
        <v>18977</v>
      </c>
      <c r="D8261" s="417" t="s">
        <v>88</v>
      </c>
      <c r="E8261" s="423">
        <v>2.6134636796653949</v>
      </c>
      <c r="F8261" s="423">
        <v>2.0903066321213579</v>
      </c>
      <c r="G8261" s="422">
        <v>10632.85106029167</v>
      </c>
      <c r="H8261" s="417" t="s">
        <v>2616</v>
      </c>
      <c r="I8261" s="417" t="s">
        <v>1392</v>
      </c>
      <c r="J8261" s="417" t="s">
        <v>4823</v>
      </c>
      <c r="K8261" s="417" t="s">
        <v>18978</v>
      </c>
      <c r="L8261" s="417"/>
      <c r="M8261" s="417" t="s">
        <v>28840</v>
      </c>
    </row>
    <row r="8262" spans="1:13" x14ac:dyDescent="0.25">
      <c r="A8262" s="417" t="s">
        <v>3385</v>
      </c>
      <c r="B8262" s="417" t="s">
        <v>2627</v>
      </c>
      <c r="C8262" s="417" t="s">
        <v>18979</v>
      </c>
      <c r="D8262" s="417" t="s">
        <v>88</v>
      </c>
      <c r="E8262" s="423">
        <v>1.806156228096943</v>
      </c>
      <c r="F8262" s="423">
        <v>2.4533728891631781</v>
      </c>
      <c r="G8262" s="422">
        <v>13984.50612375301</v>
      </c>
      <c r="H8262" s="417" t="s">
        <v>2616</v>
      </c>
      <c r="I8262" s="417" t="s">
        <v>1392</v>
      </c>
      <c r="J8262" s="417" t="s">
        <v>5227</v>
      </c>
      <c r="K8262" s="417" t="s">
        <v>18980</v>
      </c>
      <c r="L8262" s="417"/>
      <c r="M8262" s="417" t="s">
        <v>28840</v>
      </c>
    </row>
    <row r="8263" spans="1:13" x14ac:dyDescent="0.25">
      <c r="A8263" s="417" t="s">
        <v>3385</v>
      </c>
      <c r="B8263" s="417" t="s">
        <v>2627</v>
      </c>
      <c r="C8263" s="417" t="s">
        <v>18981</v>
      </c>
      <c r="D8263" s="417" t="s">
        <v>88</v>
      </c>
      <c r="E8263" s="423">
        <v>2.6289625757102679</v>
      </c>
      <c r="F8263" s="423">
        <v>2.3279691473199908</v>
      </c>
      <c r="G8263" s="422">
        <v>11357.58001933517</v>
      </c>
      <c r="H8263" s="417" t="s">
        <v>2616</v>
      </c>
      <c r="I8263" s="417" t="s">
        <v>1392</v>
      </c>
      <c r="J8263" s="417" t="s">
        <v>5227</v>
      </c>
      <c r="K8263" s="417" t="s">
        <v>18982</v>
      </c>
      <c r="L8263" s="417"/>
      <c r="M8263" s="417" t="s">
        <v>28840</v>
      </c>
    </row>
    <row r="8264" spans="1:13" x14ac:dyDescent="0.25">
      <c r="A8264" s="417" t="s">
        <v>3385</v>
      </c>
      <c r="B8264" s="417" t="s">
        <v>2627</v>
      </c>
      <c r="C8264" s="417" t="s">
        <v>1065</v>
      </c>
      <c r="D8264" s="417" t="s">
        <v>88</v>
      </c>
      <c r="E8264" s="423">
        <v>1.836362853578585</v>
      </c>
      <c r="F8264" s="423">
        <v>2.4569452381083079</v>
      </c>
      <c r="G8264" s="422">
        <v>14074.13939312147</v>
      </c>
      <c r="H8264" s="417" t="s">
        <v>2616</v>
      </c>
      <c r="I8264" s="417" t="s">
        <v>28841</v>
      </c>
      <c r="J8264" s="417" t="s">
        <v>5227</v>
      </c>
      <c r="K8264" s="417" t="s">
        <v>18983</v>
      </c>
      <c r="L8264" s="417"/>
      <c r="M8264" s="417" t="s">
        <v>28840</v>
      </c>
    </row>
    <row r="8265" spans="1:13" x14ac:dyDescent="0.25">
      <c r="A8265" s="417" t="s">
        <v>3385</v>
      </c>
      <c r="B8265" s="417" t="s">
        <v>2627</v>
      </c>
      <c r="C8265" s="417" t="s">
        <v>18984</v>
      </c>
      <c r="D8265" s="417" t="s">
        <v>88</v>
      </c>
      <c r="E8265" s="423">
        <v>1.263136978682863</v>
      </c>
      <c r="F8265" s="423">
        <v>1.855013854919655E-2</v>
      </c>
      <c r="G8265" s="422">
        <v>5755.6139655857787</v>
      </c>
      <c r="H8265" s="417" t="s">
        <v>2616</v>
      </c>
      <c r="I8265" s="417" t="s">
        <v>1392</v>
      </c>
      <c r="J8265" s="417" t="s">
        <v>4047</v>
      </c>
      <c r="K8265" s="417" t="s">
        <v>18985</v>
      </c>
      <c r="L8265" s="417"/>
      <c r="M8265" s="417" t="s">
        <v>28840</v>
      </c>
    </row>
    <row r="8266" spans="1:13" x14ac:dyDescent="0.25">
      <c r="A8266" s="417" t="s">
        <v>3385</v>
      </c>
      <c r="B8266" s="417" t="s">
        <v>2627</v>
      </c>
      <c r="C8266" s="417" t="s">
        <v>18986</v>
      </c>
      <c r="D8266" s="417" t="s">
        <v>88</v>
      </c>
      <c r="E8266" s="423">
        <v>0.75393981343433536</v>
      </c>
      <c r="F8266" s="423">
        <v>1.171380592209347E-2</v>
      </c>
      <c r="G8266" s="422">
        <v>3929.9175467801329</v>
      </c>
      <c r="H8266" s="417" t="s">
        <v>2616</v>
      </c>
      <c r="I8266" s="417" t="s">
        <v>1392</v>
      </c>
      <c r="J8266" s="417" t="s">
        <v>4047</v>
      </c>
      <c r="K8266" s="417" t="s">
        <v>18987</v>
      </c>
      <c r="L8266" s="417"/>
      <c r="M8266" s="417" t="s">
        <v>28840</v>
      </c>
    </row>
    <row r="8267" spans="1:13" x14ac:dyDescent="0.25">
      <c r="A8267" s="417" t="s">
        <v>3385</v>
      </c>
      <c r="B8267" s="417" t="s">
        <v>2627</v>
      </c>
      <c r="C8267" s="417" t="s">
        <v>18988</v>
      </c>
      <c r="D8267" s="417" t="s">
        <v>88</v>
      </c>
      <c r="E8267" s="423">
        <v>0.91587385349099337</v>
      </c>
      <c r="F8267" s="423">
        <v>1.1950579536967701E-2</v>
      </c>
      <c r="G8267" s="422">
        <v>9940.9911714174868</v>
      </c>
      <c r="H8267" s="417" t="s">
        <v>2616</v>
      </c>
      <c r="I8267" s="417" t="s">
        <v>1392</v>
      </c>
      <c r="J8267" s="417" t="s">
        <v>4047</v>
      </c>
      <c r="K8267" s="417" t="s">
        <v>18989</v>
      </c>
      <c r="L8267" s="417"/>
      <c r="M8267" s="417" t="s">
        <v>28840</v>
      </c>
    </row>
    <row r="8268" spans="1:13" x14ac:dyDescent="0.25">
      <c r="A8268" s="417" t="s">
        <v>3385</v>
      </c>
      <c r="B8268" s="417" t="s">
        <v>2627</v>
      </c>
      <c r="C8268" s="417" t="s">
        <v>18990</v>
      </c>
      <c r="D8268" s="417" t="s">
        <v>88</v>
      </c>
      <c r="E8268" s="423">
        <v>0.88064243068106829</v>
      </c>
      <c r="F8268" s="423">
        <v>1.1723247761347999E-2</v>
      </c>
      <c r="G8268" s="422">
        <v>5949.304524624622</v>
      </c>
      <c r="H8268" s="417" t="s">
        <v>2616</v>
      </c>
      <c r="I8268" s="417" t="s">
        <v>1392</v>
      </c>
      <c r="J8268" s="417" t="s">
        <v>4047</v>
      </c>
      <c r="K8268" s="417" t="s">
        <v>18991</v>
      </c>
      <c r="L8268" s="417"/>
      <c r="M8268" s="417" t="s">
        <v>28840</v>
      </c>
    </row>
    <row r="8269" spans="1:13" x14ac:dyDescent="0.25">
      <c r="A8269" s="417" t="s">
        <v>3385</v>
      </c>
      <c r="B8269" s="417" t="s">
        <v>2627</v>
      </c>
      <c r="C8269" s="417" t="s">
        <v>18992</v>
      </c>
      <c r="D8269" s="417" t="s">
        <v>88</v>
      </c>
      <c r="E8269" s="423">
        <v>1.720066018122802</v>
      </c>
      <c r="F8269" s="423">
        <v>3.9643146273474941E-2</v>
      </c>
      <c r="G8269" s="422">
        <v>10717.44165014397</v>
      </c>
      <c r="H8269" s="417" t="s">
        <v>2616</v>
      </c>
      <c r="I8269" s="417" t="s">
        <v>1392</v>
      </c>
      <c r="J8269" s="417" t="s">
        <v>4054</v>
      </c>
      <c r="K8269" s="417" t="s">
        <v>18993</v>
      </c>
      <c r="L8269" s="417"/>
      <c r="M8269" s="417" t="s">
        <v>28840</v>
      </c>
    </row>
    <row r="8270" spans="1:13" x14ac:dyDescent="0.25">
      <c r="A8270" s="417" t="s">
        <v>3385</v>
      </c>
      <c r="B8270" s="417" t="s">
        <v>2627</v>
      </c>
      <c r="C8270" s="417" t="s">
        <v>18994</v>
      </c>
      <c r="D8270" s="417" t="s">
        <v>88</v>
      </c>
      <c r="E8270" s="423">
        <v>1.3470112565871371</v>
      </c>
      <c r="F8270" s="423">
        <v>4.0544986738466703E-2</v>
      </c>
      <c r="G8270" s="422">
        <v>11578.883332519979</v>
      </c>
      <c r="H8270" s="417" t="s">
        <v>2616</v>
      </c>
      <c r="I8270" s="417" t="s">
        <v>1392</v>
      </c>
      <c r="J8270" s="417" t="s">
        <v>4054</v>
      </c>
      <c r="K8270" s="417" t="s">
        <v>18995</v>
      </c>
      <c r="L8270" s="417"/>
      <c r="M8270" s="417" t="s">
        <v>28840</v>
      </c>
    </row>
    <row r="8271" spans="1:13" x14ac:dyDescent="0.25">
      <c r="A8271" s="417" t="s">
        <v>3385</v>
      </c>
      <c r="B8271" s="417" t="s">
        <v>2627</v>
      </c>
      <c r="C8271" s="417" t="s">
        <v>18996</v>
      </c>
      <c r="D8271" s="417" t="s">
        <v>88</v>
      </c>
      <c r="E8271" s="423">
        <v>1.841319719183544</v>
      </c>
      <c r="F8271" s="423">
        <v>2.520767864013591E-2</v>
      </c>
      <c r="G8271" s="422">
        <v>12216.343889240299</v>
      </c>
      <c r="H8271" s="417" t="s">
        <v>2616</v>
      </c>
      <c r="I8271" s="417" t="s">
        <v>1392</v>
      </c>
      <c r="J8271" s="417" t="s">
        <v>4047</v>
      </c>
      <c r="K8271" s="417" t="s">
        <v>18997</v>
      </c>
      <c r="L8271" s="417"/>
      <c r="M8271" s="417" t="s">
        <v>28840</v>
      </c>
    </row>
    <row r="8272" spans="1:13" x14ac:dyDescent="0.25">
      <c r="A8272" s="417" t="s">
        <v>3385</v>
      </c>
      <c r="B8272" s="417" t="s">
        <v>2627</v>
      </c>
      <c r="C8272" s="417" t="s">
        <v>18998</v>
      </c>
      <c r="D8272" s="417" t="s">
        <v>88</v>
      </c>
      <c r="E8272" s="423">
        <v>0.66917302382530697</v>
      </c>
      <c r="F8272" s="423">
        <v>1.283209867642693E-2</v>
      </c>
      <c r="G8272" s="422">
        <v>6451.4413736420938</v>
      </c>
      <c r="H8272" s="417" t="s">
        <v>2616</v>
      </c>
      <c r="I8272" s="417" t="s">
        <v>1392</v>
      </c>
      <c r="J8272" s="417" t="s">
        <v>4047</v>
      </c>
      <c r="K8272" s="417" t="s">
        <v>18999</v>
      </c>
      <c r="L8272" s="417"/>
      <c r="M8272" s="417" t="s">
        <v>28840</v>
      </c>
    </row>
    <row r="8273" spans="1:13" x14ac:dyDescent="0.25">
      <c r="A8273" s="417" t="s">
        <v>3385</v>
      </c>
      <c r="B8273" s="417" t="s">
        <v>2437</v>
      </c>
      <c r="C8273" s="417" t="s">
        <v>19000</v>
      </c>
      <c r="D8273" s="417" t="s">
        <v>73</v>
      </c>
      <c r="E8273" s="423">
        <v>1.9488483516833431E-2</v>
      </c>
      <c r="F8273" s="423">
        <v>9.8365940877841998E-4</v>
      </c>
      <c r="G8273" s="422">
        <v>49.836189728556441</v>
      </c>
      <c r="H8273" s="417" t="s">
        <v>2616</v>
      </c>
      <c r="I8273" s="417" t="s">
        <v>1392</v>
      </c>
      <c r="J8273" s="417" t="s">
        <v>10772</v>
      </c>
      <c r="K8273" s="417" t="s">
        <v>19001</v>
      </c>
      <c r="L8273" s="417"/>
      <c r="M8273" s="417" t="s">
        <v>28840</v>
      </c>
    </row>
    <row r="8274" spans="1:13" x14ac:dyDescent="0.25">
      <c r="A8274" s="417" t="s">
        <v>3385</v>
      </c>
      <c r="B8274" s="417" t="s">
        <v>2623</v>
      </c>
      <c r="C8274" s="417" t="s">
        <v>19002</v>
      </c>
      <c r="D8274" s="417" t="s">
        <v>88</v>
      </c>
      <c r="E8274" s="423">
        <v>0</v>
      </c>
      <c r="F8274" s="423">
        <v>0</v>
      </c>
      <c r="G8274" s="422">
        <v>0</v>
      </c>
      <c r="H8274" s="417" t="s">
        <v>2616</v>
      </c>
      <c r="I8274" s="417" t="s">
        <v>1392</v>
      </c>
      <c r="J8274" s="417" t="s">
        <v>19003</v>
      </c>
      <c r="K8274" s="417" t="s">
        <v>19004</v>
      </c>
      <c r="L8274" s="417"/>
      <c r="M8274" s="417" t="s">
        <v>28840</v>
      </c>
    </row>
    <row r="8275" spans="1:13" x14ac:dyDescent="0.25">
      <c r="A8275" s="417" t="s">
        <v>3385</v>
      </c>
      <c r="B8275" s="417" t="s">
        <v>2627</v>
      </c>
      <c r="C8275" s="417" t="s">
        <v>19005</v>
      </c>
      <c r="D8275" s="417" t="s">
        <v>88</v>
      </c>
      <c r="E8275" s="423">
        <v>1.1820127112961101</v>
      </c>
      <c r="F8275" s="423">
        <v>7.8535431034091913E-2</v>
      </c>
      <c r="G8275" s="422">
        <v>3742.8404602479432</v>
      </c>
      <c r="H8275" s="417" t="s">
        <v>2616</v>
      </c>
      <c r="I8275" s="417" t="s">
        <v>1392</v>
      </c>
      <c r="J8275" s="417" t="s">
        <v>3860</v>
      </c>
      <c r="K8275" s="417" t="s">
        <v>19006</v>
      </c>
      <c r="L8275" s="417"/>
      <c r="M8275" s="417" t="s">
        <v>28840</v>
      </c>
    </row>
    <row r="8276" spans="1:13" x14ac:dyDescent="0.25">
      <c r="A8276" s="417" t="s">
        <v>3385</v>
      </c>
      <c r="B8276" s="417" t="s">
        <v>2627</v>
      </c>
      <c r="C8276" s="417" t="s">
        <v>19007</v>
      </c>
      <c r="D8276" s="417" t="s">
        <v>989</v>
      </c>
      <c r="E8276" s="423">
        <v>416463.97900977178</v>
      </c>
      <c r="F8276" s="423">
        <v>19847.59686952789</v>
      </c>
      <c r="G8276" s="422">
        <v>1048064028.01375</v>
      </c>
      <c r="H8276" s="417" t="s">
        <v>2616</v>
      </c>
      <c r="I8276" s="417" t="s">
        <v>1392</v>
      </c>
      <c r="J8276" s="417" t="s">
        <v>13043</v>
      </c>
      <c r="K8276" s="417" t="s">
        <v>19008</v>
      </c>
      <c r="L8276" s="417"/>
      <c r="M8276" s="417" t="s">
        <v>28840</v>
      </c>
    </row>
    <row r="8277" spans="1:13" x14ac:dyDescent="0.25">
      <c r="A8277" s="417" t="s">
        <v>3385</v>
      </c>
      <c r="B8277" s="417" t="s">
        <v>2627</v>
      </c>
      <c r="C8277" s="417" t="s">
        <v>19009</v>
      </c>
      <c r="D8277" s="417" t="s">
        <v>88</v>
      </c>
      <c r="E8277" s="423">
        <v>9.6577379214663209E-2</v>
      </c>
      <c r="F8277" s="423">
        <v>1.3340578080000001E-3</v>
      </c>
      <c r="G8277" s="422">
        <v>586.38842821405797</v>
      </c>
      <c r="H8277" s="417" t="s">
        <v>2616</v>
      </c>
      <c r="I8277" s="417" t="s">
        <v>1392</v>
      </c>
      <c r="J8277" s="417" t="s">
        <v>7096</v>
      </c>
      <c r="K8277" s="417" t="s">
        <v>19010</v>
      </c>
      <c r="L8277" s="417"/>
      <c r="M8277" s="417" t="s">
        <v>28840</v>
      </c>
    </row>
    <row r="8278" spans="1:13" x14ac:dyDescent="0.25">
      <c r="A8278" s="417" t="s">
        <v>3385</v>
      </c>
      <c r="B8278" s="417" t="s">
        <v>2627</v>
      </c>
      <c r="C8278" s="417" t="s">
        <v>19011</v>
      </c>
      <c r="D8278" s="417" t="s">
        <v>88</v>
      </c>
      <c r="E8278" s="423">
        <v>6.7933937487607024E-2</v>
      </c>
      <c r="F8278" s="423">
        <v>6.3659248700000007E-4</v>
      </c>
      <c r="G8278" s="422">
        <v>532.14910875543637</v>
      </c>
      <c r="H8278" s="417" t="s">
        <v>2616</v>
      </c>
      <c r="I8278" s="417" t="s">
        <v>1392</v>
      </c>
      <c r="J8278" s="417" t="s">
        <v>7096</v>
      </c>
      <c r="K8278" s="417" t="s">
        <v>19012</v>
      </c>
      <c r="L8278" s="417"/>
      <c r="M8278" s="417" t="s">
        <v>28840</v>
      </c>
    </row>
    <row r="8279" spans="1:13" x14ac:dyDescent="0.25">
      <c r="A8279" s="417" t="s">
        <v>3385</v>
      </c>
      <c r="B8279" s="417" t="s">
        <v>3655</v>
      </c>
      <c r="C8279" s="417" t="s">
        <v>19013</v>
      </c>
      <c r="D8279" s="417" t="s">
        <v>563</v>
      </c>
      <c r="E8279" s="423">
        <v>13.728786621088179</v>
      </c>
      <c r="F8279" s="423">
        <v>0.34606675181892288</v>
      </c>
      <c r="G8279" s="422">
        <v>21344.522494682042</v>
      </c>
      <c r="H8279" s="417" t="s">
        <v>2616</v>
      </c>
      <c r="I8279" s="417" t="s">
        <v>1392</v>
      </c>
      <c r="J8279" s="417" t="s">
        <v>4310</v>
      </c>
      <c r="K8279" s="417" t="s">
        <v>19014</v>
      </c>
      <c r="L8279" s="417"/>
      <c r="M8279" s="417" t="s">
        <v>28840</v>
      </c>
    </row>
    <row r="8280" spans="1:13" x14ac:dyDescent="0.25">
      <c r="A8280" s="417" t="s">
        <v>3385</v>
      </c>
      <c r="B8280" s="417" t="s">
        <v>3655</v>
      </c>
      <c r="C8280" s="417" t="s">
        <v>19015</v>
      </c>
      <c r="D8280" s="417" t="s">
        <v>563</v>
      </c>
      <c r="E8280" s="423">
        <v>546.00746790989695</v>
      </c>
      <c r="F8280" s="423">
        <v>13.76341814469369</v>
      </c>
      <c r="G8280" s="422">
        <v>848892.84119693167</v>
      </c>
      <c r="H8280" s="417" t="s">
        <v>2616</v>
      </c>
      <c r="I8280" s="417" t="s">
        <v>1392</v>
      </c>
      <c r="J8280" s="417" t="s">
        <v>4310</v>
      </c>
      <c r="K8280" s="417" t="s">
        <v>19016</v>
      </c>
      <c r="L8280" s="417"/>
      <c r="M8280" s="417" t="s">
        <v>28840</v>
      </c>
    </row>
    <row r="8281" spans="1:13" x14ac:dyDescent="0.25">
      <c r="A8281" s="417" t="s">
        <v>3385</v>
      </c>
      <c r="B8281" s="417" t="s">
        <v>3655</v>
      </c>
      <c r="C8281" s="417" t="s">
        <v>19017</v>
      </c>
      <c r="D8281" s="417" t="s">
        <v>563</v>
      </c>
      <c r="E8281" s="423">
        <v>625.7287502199888</v>
      </c>
      <c r="F8281" s="423">
        <v>15.77298286320209</v>
      </c>
      <c r="G8281" s="422">
        <v>972837.71339889581</v>
      </c>
      <c r="H8281" s="417" t="s">
        <v>2616</v>
      </c>
      <c r="I8281" s="417" t="s">
        <v>1392</v>
      </c>
      <c r="J8281" s="417" t="s">
        <v>4310</v>
      </c>
      <c r="K8281" s="417" t="s">
        <v>19018</v>
      </c>
      <c r="L8281" s="417"/>
      <c r="M8281" s="417" t="s">
        <v>28840</v>
      </c>
    </row>
    <row r="8282" spans="1:13" x14ac:dyDescent="0.25">
      <c r="A8282" s="417" t="s">
        <v>3385</v>
      </c>
      <c r="B8282" s="417" t="s">
        <v>3655</v>
      </c>
      <c r="C8282" s="417" t="s">
        <v>19019</v>
      </c>
      <c r="D8282" s="417" t="s">
        <v>563</v>
      </c>
      <c r="E8282" s="423">
        <v>0.77971124015992699</v>
      </c>
      <c r="F8282" s="423">
        <v>1.9654478118485849E-2</v>
      </c>
      <c r="G8282" s="422">
        <v>1212.2385294109661</v>
      </c>
      <c r="H8282" s="417" t="s">
        <v>2616</v>
      </c>
      <c r="I8282" s="417" t="s">
        <v>1392</v>
      </c>
      <c r="J8282" s="417" t="s">
        <v>4310</v>
      </c>
      <c r="K8282" s="417" t="s">
        <v>19020</v>
      </c>
      <c r="L8282" s="417"/>
      <c r="M8282" s="417" t="s">
        <v>28840</v>
      </c>
    </row>
    <row r="8283" spans="1:13" x14ac:dyDescent="0.25">
      <c r="A8283" s="417" t="s">
        <v>3385</v>
      </c>
      <c r="B8283" s="417" t="s">
        <v>2627</v>
      </c>
      <c r="C8283" s="417" t="s">
        <v>19021</v>
      </c>
      <c r="D8283" s="417" t="s">
        <v>88</v>
      </c>
      <c r="E8283" s="423">
        <v>1.241543027897573E-3</v>
      </c>
      <c r="F8283" s="423">
        <v>8.3295709284743577E-5</v>
      </c>
      <c r="G8283" s="422">
        <v>3.035727481919023</v>
      </c>
      <c r="H8283" s="417" t="s">
        <v>2616</v>
      </c>
      <c r="I8283" s="417" t="s">
        <v>1392</v>
      </c>
      <c r="J8283" s="417" t="s">
        <v>11517</v>
      </c>
      <c r="K8283" s="417" t="s">
        <v>19022</v>
      </c>
      <c r="L8283" s="417"/>
      <c r="M8283" s="417" t="s">
        <v>28840</v>
      </c>
    </row>
    <row r="8284" spans="1:13" x14ac:dyDescent="0.25">
      <c r="A8284" s="417" t="s">
        <v>3385</v>
      </c>
      <c r="B8284" s="417" t="s">
        <v>2627</v>
      </c>
      <c r="C8284" s="417" t="s">
        <v>19023</v>
      </c>
      <c r="D8284" s="417" t="s">
        <v>88</v>
      </c>
      <c r="E8284" s="423">
        <v>7.0698366783416016E-4</v>
      </c>
      <c r="F8284" s="423">
        <v>4.0191380578937191E-4</v>
      </c>
      <c r="G8284" s="422">
        <v>0.82272072770067506</v>
      </c>
      <c r="H8284" s="417" t="s">
        <v>2616</v>
      </c>
      <c r="I8284" s="417" t="s">
        <v>1392</v>
      </c>
      <c r="J8284" s="417" t="s">
        <v>11517</v>
      </c>
      <c r="K8284" s="417" t="s">
        <v>19024</v>
      </c>
      <c r="L8284" s="417"/>
      <c r="M8284" s="417" t="s">
        <v>28840</v>
      </c>
    </row>
    <row r="8285" spans="1:13" x14ac:dyDescent="0.25">
      <c r="A8285" s="417" t="s">
        <v>3385</v>
      </c>
      <c r="B8285" s="417" t="s">
        <v>2623</v>
      </c>
      <c r="C8285" s="417" t="s">
        <v>19025</v>
      </c>
      <c r="D8285" s="417" t="s">
        <v>88</v>
      </c>
      <c r="E8285" s="423">
        <v>0</v>
      </c>
      <c r="F8285" s="423">
        <v>0</v>
      </c>
      <c r="G8285" s="422">
        <v>0</v>
      </c>
      <c r="H8285" s="417" t="s">
        <v>2616</v>
      </c>
      <c r="I8285" s="417" t="s">
        <v>1392</v>
      </c>
      <c r="J8285" s="417" t="s">
        <v>19026</v>
      </c>
      <c r="K8285" s="417" t="s">
        <v>19027</v>
      </c>
      <c r="L8285" s="417"/>
      <c r="M8285" s="417" t="s">
        <v>28840</v>
      </c>
    </row>
    <row r="8286" spans="1:13" x14ac:dyDescent="0.25">
      <c r="A8286" s="417" t="s">
        <v>3385</v>
      </c>
      <c r="B8286" s="417" t="s">
        <v>2623</v>
      </c>
      <c r="C8286" s="417" t="s">
        <v>19028</v>
      </c>
      <c r="D8286" s="417" t="s">
        <v>88</v>
      </c>
      <c r="E8286" s="423">
        <v>0</v>
      </c>
      <c r="F8286" s="423">
        <v>0</v>
      </c>
      <c r="G8286" s="422">
        <v>0</v>
      </c>
      <c r="H8286" s="417" t="s">
        <v>2616</v>
      </c>
      <c r="I8286" s="417" t="s">
        <v>1392</v>
      </c>
      <c r="J8286" s="417" t="s">
        <v>19026</v>
      </c>
      <c r="K8286" s="417" t="s">
        <v>19029</v>
      </c>
      <c r="L8286" s="417"/>
      <c r="M8286" s="417" t="s">
        <v>28840</v>
      </c>
    </row>
    <row r="8287" spans="1:13" x14ac:dyDescent="0.25">
      <c r="A8287" s="417" t="s">
        <v>3385</v>
      </c>
      <c r="B8287" s="417" t="s">
        <v>2623</v>
      </c>
      <c r="C8287" s="417" t="s">
        <v>19030</v>
      </c>
      <c r="D8287" s="417" t="s">
        <v>88</v>
      </c>
      <c r="E8287" s="423">
        <v>0</v>
      </c>
      <c r="F8287" s="423">
        <v>0</v>
      </c>
      <c r="G8287" s="422">
        <v>0</v>
      </c>
      <c r="H8287" s="417" t="s">
        <v>2616</v>
      </c>
      <c r="I8287" s="417" t="s">
        <v>1392</v>
      </c>
      <c r="J8287" s="417" t="s">
        <v>19026</v>
      </c>
      <c r="K8287" s="417" t="s">
        <v>19031</v>
      </c>
      <c r="L8287" s="417"/>
      <c r="M8287" s="417" t="s">
        <v>28840</v>
      </c>
    </row>
    <row r="8288" spans="1:13" x14ac:dyDescent="0.25">
      <c r="A8288" s="417" t="s">
        <v>3385</v>
      </c>
      <c r="B8288" s="417" t="s">
        <v>2437</v>
      </c>
      <c r="C8288" s="417" t="s">
        <v>19032</v>
      </c>
      <c r="D8288" s="417" t="s">
        <v>73</v>
      </c>
      <c r="E8288" s="423">
        <v>8.4739226385693277E-3</v>
      </c>
      <c r="F8288" s="423">
        <v>1.3804698606455459E-2</v>
      </c>
      <c r="G8288" s="422">
        <v>28.87285097941718</v>
      </c>
      <c r="H8288" s="417" t="s">
        <v>2616</v>
      </c>
      <c r="I8288" s="417" t="s">
        <v>1392</v>
      </c>
      <c r="J8288" s="417" t="s">
        <v>4195</v>
      </c>
      <c r="K8288" s="417" t="s">
        <v>19033</v>
      </c>
      <c r="L8288" s="417"/>
      <c r="M8288" s="417" t="s">
        <v>28840</v>
      </c>
    </row>
    <row r="8289" spans="1:13" x14ac:dyDescent="0.25">
      <c r="A8289" s="417" t="s">
        <v>3385</v>
      </c>
      <c r="B8289" s="417" t="s">
        <v>2627</v>
      </c>
      <c r="C8289" s="417" t="s">
        <v>19034</v>
      </c>
      <c r="D8289" s="417" t="s">
        <v>989</v>
      </c>
      <c r="E8289" s="423">
        <v>14974144.633666201</v>
      </c>
      <c r="F8289" s="423">
        <v>332741.95510766219</v>
      </c>
      <c r="G8289" s="422">
        <v>34448612157.236839</v>
      </c>
      <c r="H8289" s="417" t="s">
        <v>2616</v>
      </c>
      <c r="I8289" s="417" t="s">
        <v>1392</v>
      </c>
      <c r="J8289" s="417" t="s">
        <v>4123</v>
      </c>
      <c r="K8289" s="417" t="s">
        <v>19035</v>
      </c>
      <c r="L8289" s="417"/>
      <c r="M8289" s="417" t="s">
        <v>28840</v>
      </c>
    </row>
    <row r="8290" spans="1:13" x14ac:dyDescent="0.25">
      <c r="A8290" s="417" t="s">
        <v>3385</v>
      </c>
      <c r="B8290" s="417" t="s">
        <v>2627</v>
      </c>
      <c r="C8290" s="417" t="s">
        <v>19036</v>
      </c>
      <c r="D8290" s="417" t="s">
        <v>88</v>
      </c>
      <c r="E8290" s="423">
        <v>1.025755041608639</v>
      </c>
      <c r="F8290" s="423">
        <v>7.0966572844088308E-3</v>
      </c>
      <c r="G8290" s="422">
        <v>1975.336201529326</v>
      </c>
      <c r="H8290" s="417" t="s">
        <v>2616</v>
      </c>
      <c r="I8290" s="417" t="s">
        <v>1392</v>
      </c>
      <c r="J8290" s="417" t="s">
        <v>4123</v>
      </c>
      <c r="K8290" s="417" t="s">
        <v>19037</v>
      </c>
      <c r="L8290" s="417"/>
      <c r="M8290" s="417" t="s">
        <v>28840</v>
      </c>
    </row>
    <row r="8291" spans="1:13" x14ac:dyDescent="0.25">
      <c r="A8291" s="417" t="s">
        <v>3385</v>
      </c>
      <c r="B8291" s="417" t="s">
        <v>2627</v>
      </c>
      <c r="C8291" s="417" t="s">
        <v>19038</v>
      </c>
      <c r="D8291" s="417" t="s">
        <v>88</v>
      </c>
      <c r="E8291" s="423">
        <v>0.96049958480039799</v>
      </c>
      <c r="F8291" s="423">
        <v>8.7959232923858332E-3</v>
      </c>
      <c r="G8291" s="422">
        <v>1858.3568381106879</v>
      </c>
      <c r="H8291" s="417" t="s">
        <v>2616</v>
      </c>
      <c r="I8291" s="417" t="s">
        <v>1392</v>
      </c>
      <c r="J8291" s="417" t="s">
        <v>4123</v>
      </c>
      <c r="K8291" s="417" t="s">
        <v>19039</v>
      </c>
      <c r="L8291" s="417"/>
      <c r="M8291" s="417" t="s">
        <v>28840</v>
      </c>
    </row>
    <row r="8292" spans="1:13" x14ac:dyDescent="0.25">
      <c r="A8292" s="417" t="s">
        <v>3385</v>
      </c>
      <c r="B8292" s="417" t="s">
        <v>2627</v>
      </c>
      <c r="C8292" s="417" t="s">
        <v>19040</v>
      </c>
      <c r="D8292" s="417" t="s">
        <v>73</v>
      </c>
      <c r="E8292" s="423">
        <v>5.6219199999999997E-2</v>
      </c>
      <c r="F8292" s="423">
        <v>0</v>
      </c>
      <c r="G8292" s="422">
        <v>73.262040082679988</v>
      </c>
      <c r="H8292" s="417" t="s">
        <v>2616</v>
      </c>
      <c r="I8292" s="417" t="s">
        <v>1392</v>
      </c>
      <c r="J8292" s="417" t="s">
        <v>5671</v>
      </c>
      <c r="K8292" s="417" t="s">
        <v>19041</v>
      </c>
      <c r="L8292" s="417"/>
      <c r="M8292" s="417" t="s">
        <v>28840</v>
      </c>
    </row>
    <row r="8293" spans="1:13" x14ac:dyDescent="0.25">
      <c r="A8293" s="417" t="s">
        <v>3385</v>
      </c>
      <c r="B8293" s="417" t="s">
        <v>3405</v>
      </c>
      <c r="C8293" s="417" t="s">
        <v>19042</v>
      </c>
      <c r="D8293" s="417" t="s">
        <v>73</v>
      </c>
      <c r="E8293" s="423">
        <v>8.109475592247177E-2</v>
      </c>
      <c r="F8293" s="423">
        <v>1.4664181611716461E-4</v>
      </c>
      <c r="G8293" s="422">
        <v>103.4931780381321</v>
      </c>
      <c r="H8293" s="417" t="s">
        <v>2616</v>
      </c>
      <c r="I8293" s="417" t="s">
        <v>1392</v>
      </c>
      <c r="J8293" s="417" t="s">
        <v>4694</v>
      </c>
      <c r="K8293" s="417" t="s">
        <v>19043</v>
      </c>
      <c r="L8293" s="417"/>
      <c r="M8293" s="417" t="s">
        <v>28840</v>
      </c>
    </row>
    <row r="8294" spans="1:13" x14ac:dyDescent="0.25">
      <c r="A8294" s="417" t="s">
        <v>3385</v>
      </c>
      <c r="B8294" s="417" t="s">
        <v>3405</v>
      </c>
      <c r="C8294" s="417" t="s">
        <v>19044</v>
      </c>
      <c r="D8294" s="417" t="s">
        <v>73</v>
      </c>
      <c r="E8294" s="423">
        <v>7.9581534833008352E-2</v>
      </c>
      <c r="F8294" s="423">
        <v>1.8153453363161431E-4</v>
      </c>
      <c r="G8294" s="422">
        <v>100.91812669261461</v>
      </c>
      <c r="H8294" s="417" t="s">
        <v>2616</v>
      </c>
      <c r="I8294" s="417" t="s">
        <v>1392</v>
      </c>
      <c r="J8294" s="417" t="s">
        <v>4694</v>
      </c>
      <c r="K8294" s="417" t="s">
        <v>19045</v>
      </c>
      <c r="L8294" s="417"/>
      <c r="M8294" s="417" t="s">
        <v>28840</v>
      </c>
    </row>
    <row r="8295" spans="1:13" x14ac:dyDescent="0.25">
      <c r="A8295" s="417" t="s">
        <v>3385</v>
      </c>
      <c r="B8295" s="417" t="s">
        <v>2627</v>
      </c>
      <c r="C8295" s="417" t="s">
        <v>19046</v>
      </c>
      <c r="D8295" s="417" t="s">
        <v>88</v>
      </c>
      <c r="E8295" s="423">
        <v>2.2849422172286702</v>
      </c>
      <c r="F8295" s="423">
        <v>3.1139047685393009E-2</v>
      </c>
      <c r="G8295" s="422">
        <v>3871.8002577144698</v>
      </c>
      <c r="H8295" s="417" t="s">
        <v>2616</v>
      </c>
      <c r="I8295" s="417" t="s">
        <v>1392</v>
      </c>
      <c r="J8295" s="417" t="s">
        <v>4358</v>
      </c>
      <c r="K8295" s="417" t="s">
        <v>19047</v>
      </c>
      <c r="L8295" s="417"/>
      <c r="M8295" s="417" t="s">
        <v>28840</v>
      </c>
    </row>
    <row r="8296" spans="1:13" x14ac:dyDescent="0.25">
      <c r="A8296" s="417" t="s">
        <v>3385</v>
      </c>
      <c r="B8296" s="417" t="s">
        <v>2627</v>
      </c>
      <c r="C8296" s="417" t="s">
        <v>19048</v>
      </c>
      <c r="D8296" s="417" t="s">
        <v>88</v>
      </c>
      <c r="E8296" s="423">
        <v>1.2205688572277791</v>
      </c>
      <c r="F8296" s="423">
        <v>3.1380109565577977E-2</v>
      </c>
      <c r="G8296" s="422">
        <v>1646.000884803032</v>
      </c>
      <c r="H8296" s="417" t="s">
        <v>2616</v>
      </c>
      <c r="I8296" s="417" t="s">
        <v>1392</v>
      </c>
      <c r="J8296" s="417" t="s">
        <v>4358</v>
      </c>
      <c r="K8296" s="417" t="s">
        <v>19049</v>
      </c>
      <c r="L8296" s="417"/>
      <c r="M8296" s="417" t="s">
        <v>28840</v>
      </c>
    </row>
    <row r="8297" spans="1:13" x14ac:dyDescent="0.25">
      <c r="A8297" s="417" t="s">
        <v>3385</v>
      </c>
      <c r="B8297" s="417" t="s">
        <v>2627</v>
      </c>
      <c r="C8297" s="417" t="s">
        <v>19050</v>
      </c>
      <c r="D8297" s="417" t="s">
        <v>88</v>
      </c>
      <c r="E8297" s="423">
        <v>0.87803808724656829</v>
      </c>
      <c r="F8297" s="423">
        <v>2.5939120682483139E-2</v>
      </c>
      <c r="G8297" s="422">
        <v>1322.1864110760571</v>
      </c>
      <c r="H8297" s="417" t="s">
        <v>2616</v>
      </c>
      <c r="I8297" s="417" t="s">
        <v>1392</v>
      </c>
      <c r="J8297" s="417" t="s">
        <v>4358</v>
      </c>
      <c r="K8297" s="417" t="s">
        <v>19051</v>
      </c>
      <c r="L8297" s="417"/>
      <c r="M8297" s="417" t="s">
        <v>28840</v>
      </c>
    </row>
    <row r="8298" spans="1:13" x14ac:dyDescent="0.25">
      <c r="A8298" s="417" t="s">
        <v>3385</v>
      </c>
      <c r="B8298" s="417" t="s">
        <v>3405</v>
      </c>
      <c r="C8298" s="417" t="s">
        <v>19052</v>
      </c>
      <c r="D8298" s="417" t="s">
        <v>88</v>
      </c>
      <c r="E8298" s="423">
        <v>2.4902414636865728</v>
      </c>
      <c r="F8298" s="423">
        <v>0.1127760517763236</v>
      </c>
      <c r="G8298" s="422">
        <v>4759.9159336057337</v>
      </c>
      <c r="H8298" s="417" t="s">
        <v>2616</v>
      </c>
      <c r="I8298" s="417" t="s">
        <v>1392</v>
      </c>
      <c r="J8298" s="417" t="s">
        <v>4417</v>
      </c>
      <c r="K8298" s="417" t="s">
        <v>19053</v>
      </c>
      <c r="L8298" s="417"/>
      <c r="M8298" s="417" t="s">
        <v>28840</v>
      </c>
    </row>
    <row r="8299" spans="1:13" x14ac:dyDescent="0.25">
      <c r="A8299" s="417" t="s">
        <v>3385</v>
      </c>
      <c r="B8299" s="417" t="s">
        <v>2627</v>
      </c>
      <c r="C8299" s="417" t="s">
        <v>19054</v>
      </c>
      <c r="D8299" s="417" t="s">
        <v>88</v>
      </c>
      <c r="E8299" s="423">
        <v>108.5175611166262</v>
      </c>
      <c r="F8299" s="423">
        <v>0.22241695596757999</v>
      </c>
      <c r="G8299" s="422">
        <v>269173.23130779079</v>
      </c>
      <c r="H8299" s="417" t="s">
        <v>2616</v>
      </c>
      <c r="I8299" s="417" t="s">
        <v>28841</v>
      </c>
      <c r="J8299" s="417" t="s">
        <v>3396</v>
      </c>
      <c r="K8299" s="417" t="s">
        <v>19055</v>
      </c>
      <c r="L8299" s="417"/>
      <c r="M8299" s="417" t="s">
        <v>28840</v>
      </c>
    </row>
    <row r="8300" spans="1:13" x14ac:dyDescent="0.25">
      <c r="A8300" s="417" t="s">
        <v>3385</v>
      </c>
      <c r="B8300" s="417" t="s">
        <v>2627</v>
      </c>
      <c r="C8300" s="417" t="s">
        <v>19056</v>
      </c>
      <c r="D8300" s="417" t="s">
        <v>989</v>
      </c>
      <c r="E8300" s="423">
        <v>4399791.9549721982</v>
      </c>
      <c r="F8300" s="423">
        <v>1283031.4521338821</v>
      </c>
      <c r="G8300" s="422">
        <v>13096494983.72242</v>
      </c>
      <c r="H8300" s="417" t="s">
        <v>2616</v>
      </c>
      <c r="I8300" s="417" t="s">
        <v>1392</v>
      </c>
      <c r="J8300" s="417" t="s">
        <v>5230</v>
      </c>
      <c r="K8300" s="417" t="s">
        <v>19057</v>
      </c>
      <c r="L8300" s="417"/>
      <c r="M8300" s="417" t="s">
        <v>28840</v>
      </c>
    </row>
    <row r="8301" spans="1:13" x14ac:dyDescent="0.25">
      <c r="A8301" s="417" t="s">
        <v>3385</v>
      </c>
      <c r="B8301" s="417" t="s">
        <v>2437</v>
      </c>
      <c r="C8301" s="417" t="s">
        <v>19058</v>
      </c>
      <c r="D8301" s="417" t="s">
        <v>989</v>
      </c>
      <c r="E8301" s="423">
        <v>301023.75447966921</v>
      </c>
      <c r="F8301" s="423">
        <v>11657.56628268804</v>
      </c>
      <c r="G8301" s="422">
        <v>754714103.77685308</v>
      </c>
      <c r="H8301" s="417" t="s">
        <v>2616</v>
      </c>
      <c r="I8301" s="417" t="s">
        <v>1392</v>
      </c>
      <c r="J8301" s="417" t="s">
        <v>5056</v>
      </c>
      <c r="K8301" s="417" t="s">
        <v>19059</v>
      </c>
      <c r="L8301" s="417"/>
      <c r="M8301" s="417" t="s">
        <v>28840</v>
      </c>
    </row>
    <row r="8302" spans="1:13" x14ac:dyDescent="0.25">
      <c r="A8302" s="417" t="s">
        <v>3385</v>
      </c>
      <c r="B8302" s="417" t="s">
        <v>2627</v>
      </c>
      <c r="C8302" s="417" t="s">
        <v>1083</v>
      </c>
      <c r="D8302" s="417" t="s">
        <v>88</v>
      </c>
      <c r="E8302" s="423">
        <v>0.51281542963993731</v>
      </c>
      <c r="F8302" s="423">
        <v>2.7156260769697439E-2</v>
      </c>
      <c r="G8302" s="422">
        <v>1134.6362889316281</v>
      </c>
      <c r="H8302" s="417" t="s">
        <v>2616</v>
      </c>
      <c r="I8302" s="417" t="s">
        <v>28841</v>
      </c>
      <c r="J8302" s="417" t="s">
        <v>3772</v>
      </c>
      <c r="K8302" s="417" t="s">
        <v>19060</v>
      </c>
      <c r="L8302" s="417"/>
      <c r="M8302" s="417" t="s">
        <v>28840</v>
      </c>
    </row>
    <row r="8303" spans="1:13" x14ac:dyDescent="0.25">
      <c r="A8303" s="417" t="s">
        <v>3385</v>
      </c>
      <c r="B8303" s="417" t="s">
        <v>2627</v>
      </c>
      <c r="C8303" s="417" t="s">
        <v>1082</v>
      </c>
      <c r="D8303" s="417" t="s">
        <v>88</v>
      </c>
      <c r="E8303" s="423">
        <v>1.459437621778807</v>
      </c>
      <c r="F8303" s="423">
        <v>4.2197981132272799E-2</v>
      </c>
      <c r="G8303" s="422">
        <v>2926.5260639496169</v>
      </c>
      <c r="H8303" s="417" t="s">
        <v>2616</v>
      </c>
      <c r="I8303" s="417" t="s">
        <v>28841</v>
      </c>
      <c r="J8303" s="417" t="s">
        <v>3772</v>
      </c>
      <c r="K8303" s="417" t="s">
        <v>19061</v>
      </c>
      <c r="L8303" s="417"/>
      <c r="M8303" s="417" t="s">
        <v>28840</v>
      </c>
    </row>
    <row r="8304" spans="1:13" x14ac:dyDescent="0.25">
      <c r="A8304" s="417" t="s">
        <v>3385</v>
      </c>
      <c r="B8304" s="417" t="s">
        <v>2627</v>
      </c>
      <c r="C8304" s="417" t="s">
        <v>1081</v>
      </c>
      <c r="D8304" s="417" t="s">
        <v>88</v>
      </c>
      <c r="E8304" s="423">
        <v>0.69966707981868992</v>
      </c>
      <c r="F8304" s="423">
        <v>3.5502473405935292E-2</v>
      </c>
      <c r="G8304" s="422">
        <v>1455.281548674611</v>
      </c>
      <c r="H8304" s="417" t="s">
        <v>2616</v>
      </c>
      <c r="I8304" s="417" t="s">
        <v>28841</v>
      </c>
      <c r="J8304" s="417" t="s">
        <v>3772</v>
      </c>
      <c r="K8304" s="417" t="s">
        <v>19062</v>
      </c>
      <c r="L8304" s="417"/>
      <c r="M8304" s="417" t="s">
        <v>28840</v>
      </c>
    </row>
    <row r="8305" spans="1:13" x14ac:dyDescent="0.25">
      <c r="A8305" s="417" t="s">
        <v>3385</v>
      </c>
      <c r="B8305" s="417" t="s">
        <v>2627</v>
      </c>
      <c r="C8305" s="417" t="s">
        <v>19063</v>
      </c>
      <c r="D8305" s="417" t="s">
        <v>88</v>
      </c>
      <c r="E8305" s="423">
        <v>0.69966707981868992</v>
      </c>
      <c r="F8305" s="423">
        <v>3.5502473405935292E-2</v>
      </c>
      <c r="G8305" s="422">
        <v>1455.261298674611</v>
      </c>
      <c r="H8305" s="417" t="s">
        <v>2616</v>
      </c>
      <c r="I8305" s="417" t="s">
        <v>1392</v>
      </c>
      <c r="J8305" s="417" t="s">
        <v>3627</v>
      </c>
      <c r="K8305" s="417" t="s">
        <v>19064</v>
      </c>
      <c r="L8305" s="417"/>
      <c r="M8305" s="417" t="s">
        <v>28840</v>
      </c>
    </row>
    <row r="8306" spans="1:13" x14ac:dyDescent="0.25">
      <c r="A8306" s="417" t="s">
        <v>3385</v>
      </c>
      <c r="B8306" s="417" t="s">
        <v>2627</v>
      </c>
      <c r="C8306" s="417" t="s">
        <v>19065</v>
      </c>
      <c r="D8306" s="417" t="s">
        <v>88</v>
      </c>
      <c r="E8306" s="423">
        <v>2.896790691092765</v>
      </c>
      <c r="F8306" s="423">
        <v>4.8395836545973098E-2</v>
      </c>
      <c r="G8306" s="422">
        <v>5825.8746607828971</v>
      </c>
      <c r="H8306" s="417" t="s">
        <v>2616</v>
      </c>
      <c r="I8306" s="417" t="s">
        <v>1392</v>
      </c>
      <c r="J8306" s="417" t="s">
        <v>3772</v>
      </c>
      <c r="K8306" s="417" t="s">
        <v>19066</v>
      </c>
      <c r="L8306" s="417"/>
      <c r="M8306" s="417" t="s">
        <v>28840</v>
      </c>
    </row>
    <row r="8307" spans="1:13" x14ac:dyDescent="0.25">
      <c r="A8307" s="417" t="s">
        <v>3385</v>
      </c>
      <c r="B8307" s="417" t="s">
        <v>2627</v>
      </c>
      <c r="C8307" s="417" t="s">
        <v>19067</v>
      </c>
      <c r="D8307" s="417" t="s">
        <v>88</v>
      </c>
      <c r="E8307" s="423">
        <v>0.84342916350994901</v>
      </c>
      <c r="F8307" s="423">
        <v>3.9541757383855979E-2</v>
      </c>
      <c r="G8307" s="422">
        <v>1683.948094237905</v>
      </c>
      <c r="H8307" s="417" t="s">
        <v>2616</v>
      </c>
      <c r="I8307" s="417" t="s">
        <v>1392</v>
      </c>
      <c r="J8307" s="417" t="s">
        <v>3772</v>
      </c>
      <c r="K8307" s="417" t="s">
        <v>19068</v>
      </c>
      <c r="L8307" s="417"/>
      <c r="M8307" s="417" t="s">
        <v>28840</v>
      </c>
    </row>
    <row r="8308" spans="1:13" x14ac:dyDescent="0.25">
      <c r="A8308" s="417" t="s">
        <v>3385</v>
      </c>
      <c r="B8308" s="417" t="s">
        <v>2627</v>
      </c>
      <c r="C8308" s="417" t="s">
        <v>19069</v>
      </c>
      <c r="D8308" s="417" t="s">
        <v>88</v>
      </c>
      <c r="E8308" s="423">
        <v>0.86396277879180305</v>
      </c>
      <c r="F8308" s="423">
        <v>3.9630298174936518E-2</v>
      </c>
      <c r="G8308" s="422">
        <v>1725.3673601481889</v>
      </c>
      <c r="H8308" s="417" t="s">
        <v>2616</v>
      </c>
      <c r="I8308" s="417" t="s">
        <v>1392</v>
      </c>
      <c r="J8308" s="417" t="s">
        <v>3772</v>
      </c>
      <c r="K8308" s="417" t="s">
        <v>19070</v>
      </c>
      <c r="L8308" s="417"/>
      <c r="M8308" s="417" t="s">
        <v>28840</v>
      </c>
    </row>
    <row r="8309" spans="1:13" x14ac:dyDescent="0.25">
      <c r="A8309" s="417" t="s">
        <v>3385</v>
      </c>
      <c r="B8309" s="417" t="s">
        <v>2627</v>
      </c>
      <c r="C8309" s="417" t="s">
        <v>19071</v>
      </c>
      <c r="D8309" s="417" t="s">
        <v>88</v>
      </c>
      <c r="E8309" s="423">
        <v>2.7045238409040202</v>
      </c>
      <c r="F8309" s="423">
        <v>3.6139163598459742E-2</v>
      </c>
      <c r="G8309" s="422">
        <v>5022.299942721389</v>
      </c>
      <c r="H8309" s="417" t="s">
        <v>2616</v>
      </c>
      <c r="I8309" s="417" t="s">
        <v>1392</v>
      </c>
      <c r="J8309" s="417" t="s">
        <v>3627</v>
      </c>
      <c r="K8309" s="417" t="s">
        <v>19072</v>
      </c>
      <c r="L8309" s="417"/>
      <c r="M8309" s="417" t="s">
        <v>28840</v>
      </c>
    </row>
    <row r="8310" spans="1:13" x14ac:dyDescent="0.25">
      <c r="A8310" s="417" t="s">
        <v>3385</v>
      </c>
      <c r="B8310" s="417" t="s">
        <v>2627</v>
      </c>
      <c r="C8310" s="417" t="s">
        <v>19073</v>
      </c>
      <c r="D8310" s="417" t="s">
        <v>563</v>
      </c>
      <c r="E8310" s="423">
        <v>5.1259095965422237</v>
      </c>
      <c r="F8310" s="423">
        <v>0.113472381</v>
      </c>
      <c r="G8310" s="422">
        <v>7434.3229097288349</v>
      </c>
      <c r="H8310" s="417" t="s">
        <v>2616</v>
      </c>
      <c r="I8310" s="417" t="s">
        <v>1392</v>
      </c>
      <c r="J8310" s="417" t="s">
        <v>19074</v>
      </c>
      <c r="K8310" s="417" t="s">
        <v>19075</v>
      </c>
      <c r="L8310" s="417"/>
      <c r="M8310" s="417" t="s">
        <v>28840</v>
      </c>
    </row>
    <row r="8311" spans="1:13" x14ac:dyDescent="0.25">
      <c r="A8311" s="417" t="s">
        <v>3385</v>
      </c>
      <c r="B8311" s="417" t="s">
        <v>2627</v>
      </c>
      <c r="C8311" s="417" t="s">
        <v>19076</v>
      </c>
      <c r="D8311" s="417" t="s">
        <v>563</v>
      </c>
      <c r="E8311" s="423">
        <v>6.4588366309467968</v>
      </c>
      <c r="F8311" s="423">
        <v>0.31003281943716721</v>
      </c>
      <c r="G8311" s="422">
        <v>10006.46366140341</v>
      </c>
      <c r="H8311" s="417" t="s">
        <v>2616</v>
      </c>
      <c r="I8311" s="417" t="s">
        <v>1392</v>
      </c>
      <c r="J8311" s="417" t="s">
        <v>19074</v>
      </c>
      <c r="K8311" s="417" t="s">
        <v>19077</v>
      </c>
      <c r="L8311" s="417"/>
      <c r="M8311" s="417" t="s">
        <v>28840</v>
      </c>
    </row>
    <row r="8312" spans="1:13" x14ac:dyDescent="0.25">
      <c r="A8312" s="417" t="s">
        <v>3385</v>
      </c>
      <c r="B8312" s="417" t="s">
        <v>2627</v>
      </c>
      <c r="C8312" s="417" t="s">
        <v>19078</v>
      </c>
      <c r="D8312" s="417" t="s">
        <v>563</v>
      </c>
      <c r="E8312" s="423">
        <v>1.260134651320665</v>
      </c>
      <c r="F8312" s="423">
        <v>0.1253544083157857</v>
      </c>
      <c r="G8312" s="422">
        <v>2413.0670803102962</v>
      </c>
      <c r="H8312" s="417" t="s">
        <v>2616</v>
      </c>
      <c r="I8312" s="417" t="s">
        <v>1392</v>
      </c>
      <c r="J8312" s="417" t="s">
        <v>19074</v>
      </c>
      <c r="K8312" s="417" t="s">
        <v>19079</v>
      </c>
      <c r="L8312" s="417"/>
      <c r="M8312" s="417" t="s">
        <v>28840</v>
      </c>
    </row>
    <row r="8313" spans="1:13" x14ac:dyDescent="0.25">
      <c r="A8313" s="417" t="s">
        <v>3385</v>
      </c>
      <c r="B8313" s="417" t="s">
        <v>2627</v>
      </c>
      <c r="C8313" s="417" t="s">
        <v>19080</v>
      </c>
      <c r="D8313" s="417" t="s">
        <v>563</v>
      </c>
      <c r="E8313" s="423">
        <v>7.2792382419999385E-2</v>
      </c>
      <c r="F8313" s="423">
        <v>7.1206030009763416E-2</v>
      </c>
      <c r="G8313" s="422">
        <v>159.07366968549189</v>
      </c>
      <c r="H8313" s="417" t="s">
        <v>2616</v>
      </c>
      <c r="I8313" s="417" t="s">
        <v>1392</v>
      </c>
      <c r="J8313" s="417" t="s">
        <v>19074</v>
      </c>
      <c r="K8313" s="417" t="s">
        <v>19081</v>
      </c>
      <c r="L8313" s="417"/>
      <c r="M8313" s="417" t="s">
        <v>28840</v>
      </c>
    </row>
    <row r="8314" spans="1:13" x14ac:dyDescent="0.25">
      <c r="A8314" s="417" t="s">
        <v>3385</v>
      </c>
      <c r="B8314" s="417" t="s">
        <v>2627</v>
      </c>
      <c r="C8314" s="417" t="s">
        <v>19082</v>
      </c>
      <c r="D8314" s="417" t="s">
        <v>563</v>
      </c>
      <c r="E8314" s="423">
        <v>7.3770070545485984</v>
      </c>
      <c r="F8314" s="423">
        <v>0.28615341584616999</v>
      </c>
      <c r="G8314" s="422">
        <v>15439.796787743129</v>
      </c>
      <c r="H8314" s="417" t="s">
        <v>2616</v>
      </c>
      <c r="I8314" s="417" t="s">
        <v>1392</v>
      </c>
      <c r="J8314" s="417" t="s">
        <v>19074</v>
      </c>
      <c r="K8314" s="417" t="s">
        <v>19083</v>
      </c>
      <c r="L8314" s="417"/>
      <c r="M8314" s="417" t="s">
        <v>28840</v>
      </c>
    </row>
    <row r="8315" spans="1:13" x14ac:dyDescent="0.25">
      <c r="A8315" s="417" t="s">
        <v>3385</v>
      </c>
      <c r="B8315" s="417" t="s">
        <v>2627</v>
      </c>
      <c r="C8315" s="417" t="s">
        <v>19084</v>
      </c>
      <c r="D8315" s="417" t="s">
        <v>563</v>
      </c>
      <c r="E8315" s="423">
        <v>7.7489223090424133</v>
      </c>
      <c r="F8315" s="423">
        <v>0.38711529035289199</v>
      </c>
      <c r="G8315" s="422">
        <v>16171.66921140108</v>
      </c>
      <c r="H8315" s="417" t="s">
        <v>2616</v>
      </c>
      <c r="I8315" s="417" t="s">
        <v>1392</v>
      </c>
      <c r="J8315" s="417" t="s">
        <v>19074</v>
      </c>
      <c r="K8315" s="417" t="s">
        <v>19085</v>
      </c>
      <c r="L8315" s="417"/>
      <c r="M8315" s="417" t="s">
        <v>28840</v>
      </c>
    </row>
    <row r="8316" spans="1:13" x14ac:dyDescent="0.25">
      <c r="A8316" s="417" t="s">
        <v>3385</v>
      </c>
      <c r="B8316" s="417" t="s">
        <v>2627</v>
      </c>
      <c r="C8316" s="417" t="s">
        <v>19086</v>
      </c>
      <c r="D8316" s="417" t="s">
        <v>563</v>
      </c>
      <c r="E8316" s="423">
        <v>0.29912287209470001</v>
      </c>
      <c r="F8316" s="423">
        <v>2.97558444848652E-2</v>
      </c>
      <c r="G8316" s="422">
        <v>572.79875236581188</v>
      </c>
      <c r="H8316" s="417" t="s">
        <v>2616</v>
      </c>
      <c r="I8316" s="417" t="s">
        <v>1392</v>
      </c>
      <c r="J8316" s="417" t="s">
        <v>19074</v>
      </c>
      <c r="K8316" s="417" t="s">
        <v>19087</v>
      </c>
      <c r="L8316" s="417"/>
      <c r="M8316" s="417" t="s">
        <v>28840</v>
      </c>
    </row>
    <row r="8317" spans="1:13" x14ac:dyDescent="0.25">
      <c r="A8317" s="417" t="s">
        <v>3385</v>
      </c>
      <c r="B8317" s="417" t="s">
        <v>3405</v>
      </c>
      <c r="C8317" s="417" t="s">
        <v>19088</v>
      </c>
      <c r="D8317" s="417" t="s">
        <v>989</v>
      </c>
      <c r="E8317" s="423">
        <v>3334955006.2940168</v>
      </c>
      <c r="F8317" s="423">
        <v>828262830.39604318</v>
      </c>
      <c r="G8317" s="422">
        <v>8932162705926.7344</v>
      </c>
      <c r="H8317" s="417" t="s">
        <v>2616</v>
      </c>
      <c r="I8317" s="417" t="s">
        <v>1392</v>
      </c>
      <c r="J8317" s="417" t="s">
        <v>19089</v>
      </c>
      <c r="K8317" s="417" t="s">
        <v>19090</v>
      </c>
      <c r="L8317" s="417"/>
      <c r="M8317" s="417" t="s">
        <v>28840</v>
      </c>
    </row>
    <row r="8318" spans="1:13" x14ac:dyDescent="0.25">
      <c r="A8318" s="417" t="s">
        <v>3385</v>
      </c>
      <c r="B8318" s="417" t="s">
        <v>3405</v>
      </c>
      <c r="C8318" s="417" t="s">
        <v>19091</v>
      </c>
      <c r="D8318" s="417" t="s">
        <v>989</v>
      </c>
      <c r="E8318" s="423">
        <v>112061665.4997544</v>
      </c>
      <c r="F8318" s="423">
        <v>6350268.2053243592</v>
      </c>
      <c r="G8318" s="422">
        <v>260190352813.9209</v>
      </c>
      <c r="H8318" s="417" t="s">
        <v>2616</v>
      </c>
      <c r="I8318" s="417" t="s">
        <v>1392</v>
      </c>
      <c r="J8318" s="417" t="s">
        <v>19089</v>
      </c>
      <c r="K8318" s="417" t="s">
        <v>19092</v>
      </c>
      <c r="L8318" s="417"/>
      <c r="M8318" s="417" t="s">
        <v>28840</v>
      </c>
    </row>
    <row r="8319" spans="1:13" x14ac:dyDescent="0.25">
      <c r="A8319" s="417" t="s">
        <v>3385</v>
      </c>
      <c r="B8319" s="417" t="s">
        <v>3405</v>
      </c>
      <c r="C8319" s="417" t="s">
        <v>19093</v>
      </c>
      <c r="D8319" s="417" t="s">
        <v>989</v>
      </c>
      <c r="E8319" s="423">
        <v>117323095.7904917</v>
      </c>
      <c r="F8319" s="423">
        <v>6747029.8288770318</v>
      </c>
      <c r="G8319" s="422">
        <v>264327198999.08209</v>
      </c>
      <c r="H8319" s="417" t="s">
        <v>2616</v>
      </c>
      <c r="I8319" s="417" t="s">
        <v>1392</v>
      </c>
      <c r="J8319" s="417" t="s">
        <v>19089</v>
      </c>
      <c r="K8319" s="417" t="s">
        <v>19094</v>
      </c>
      <c r="L8319" s="417"/>
      <c r="M8319" s="417" t="s">
        <v>28840</v>
      </c>
    </row>
    <row r="8320" spans="1:13" x14ac:dyDescent="0.25">
      <c r="A8320" s="417" t="s">
        <v>3385</v>
      </c>
      <c r="B8320" s="417" t="s">
        <v>3405</v>
      </c>
      <c r="C8320" s="417" t="s">
        <v>19095</v>
      </c>
      <c r="D8320" s="417" t="s">
        <v>989</v>
      </c>
      <c r="E8320" s="423">
        <v>117323095.7875021</v>
      </c>
      <c r="F8320" s="423">
        <v>6747029.8287659558</v>
      </c>
      <c r="G8320" s="422">
        <v>264327199026.6759</v>
      </c>
      <c r="H8320" s="417" t="s">
        <v>2616</v>
      </c>
      <c r="I8320" s="417" t="s">
        <v>1392</v>
      </c>
      <c r="J8320" s="417" t="s">
        <v>19089</v>
      </c>
      <c r="K8320" s="417" t="s">
        <v>19096</v>
      </c>
      <c r="L8320" s="417"/>
      <c r="M8320" s="417" t="s">
        <v>28840</v>
      </c>
    </row>
    <row r="8321" spans="1:13" x14ac:dyDescent="0.25">
      <c r="A8321" s="417" t="s">
        <v>3385</v>
      </c>
      <c r="B8321" s="417" t="s">
        <v>3655</v>
      </c>
      <c r="C8321" s="417" t="s">
        <v>19097</v>
      </c>
      <c r="D8321" s="417" t="s">
        <v>3936</v>
      </c>
      <c r="E8321" s="423">
        <v>224059.87334979049</v>
      </c>
      <c r="F8321" s="423">
        <v>7748.7779403466011</v>
      </c>
      <c r="G8321" s="422">
        <v>404015895.65920413</v>
      </c>
      <c r="H8321" s="417" t="s">
        <v>2616</v>
      </c>
      <c r="I8321" s="417" t="s">
        <v>1392</v>
      </c>
      <c r="J8321" s="417" t="s">
        <v>11811</v>
      </c>
      <c r="K8321" s="417" t="s">
        <v>19098</v>
      </c>
      <c r="L8321" s="417"/>
      <c r="M8321" s="417" t="s">
        <v>28840</v>
      </c>
    </row>
    <row r="8322" spans="1:13" x14ac:dyDescent="0.25">
      <c r="A8322" s="417" t="s">
        <v>3385</v>
      </c>
      <c r="B8322" s="417" t="s">
        <v>3655</v>
      </c>
      <c r="C8322" s="417" t="s">
        <v>19099</v>
      </c>
      <c r="D8322" s="417" t="s">
        <v>989</v>
      </c>
      <c r="E8322" s="423">
        <v>3463865.364140559</v>
      </c>
      <c r="F8322" s="423">
        <v>130024.03223339211</v>
      </c>
      <c r="G8322" s="422">
        <v>10145362403.54195</v>
      </c>
      <c r="H8322" s="417" t="s">
        <v>2616</v>
      </c>
      <c r="I8322" s="417" t="s">
        <v>1392</v>
      </c>
      <c r="J8322" s="417" t="s">
        <v>11811</v>
      </c>
      <c r="K8322" s="417" t="s">
        <v>19100</v>
      </c>
      <c r="L8322" s="417"/>
      <c r="M8322" s="417" t="s">
        <v>28840</v>
      </c>
    </row>
    <row r="8323" spans="1:13" x14ac:dyDescent="0.25">
      <c r="A8323" s="417" t="s">
        <v>3385</v>
      </c>
      <c r="B8323" s="417" t="s">
        <v>2627</v>
      </c>
      <c r="C8323" s="417" t="s">
        <v>19101</v>
      </c>
      <c r="D8323" s="417" t="s">
        <v>88</v>
      </c>
      <c r="E8323" s="423">
        <v>5.5890307383408187E-2</v>
      </c>
      <c r="F8323" s="423">
        <v>3.2149249504373437E-2</v>
      </c>
      <c r="G8323" s="422">
        <v>96.324118357003854</v>
      </c>
      <c r="H8323" s="417" t="s">
        <v>2616</v>
      </c>
      <c r="I8323" s="417" t="s">
        <v>1392</v>
      </c>
      <c r="J8323" s="417" t="s">
        <v>4016</v>
      </c>
      <c r="K8323" s="417" t="s">
        <v>19102</v>
      </c>
      <c r="L8323" s="417"/>
      <c r="M8323" s="417" t="s">
        <v>28840</v>
      </c>
    </row>
    <row r="8324" spans="1:13" x14ac:dyDescent="0.25">
      <c r="A8324" s="417" t="s">
        <v>3385</v>
      </c>
      <c r="B8324" s="417" t="s">
        <v>2627</v>
      </c>
      <c r="C8324" s="417" t="s">
        <v>19103</v>
      </c>
      <c r="D8324" s="417" t="s">
        <v>88</v>
      </c>
      <c r="E8324" s="423">
        <v>0.15917868532014601</v>
      </c>
      <c r="F8324" s="423">
        <v>7.9592324187521754E-2</v>
      </c>
      <c r="G8324" s="422">
        <v>276.91630294125628</v>
      </c>
      <c r="H8324" s="417" t="s">
        <v>2616</v>
      </c>
      <c r="I8324" s="417" t="s">
        <v>1392</v>
      </c>
      <c r="J8324" s="417" t="s">
        <v>4016</v>
      </c>
      <c r="K8324" s="417" t="s">
        <v>19104</v>
      </c>
      <c r="L8324" s="417"/>
      <c r="M8324" s="417" t="s">
        <v>28840</v>
      </c>
    </row>
    <row r="8325" spans="1:13" x14ac:dyDescent="0.25">
      <c r="A8325" s="417" t="s">
        <v>3385</v>
      </c>
      <c r="B8325" s="417" t="s">
        <v>2627</v>
      </c>
      <c r="C8325" s="417" t="s">
        <v>19105</v>
      </c>
      <c r="D8325" s="417" t="s">
        <v>88</v>
      </c>
      <c r="E8325" s="423">
        <v>3.2224041985359199E-2</v>
      </c>
      <c r="F8325" s="423">
        <v>8.5337033468146084E-2</v>
      </c>
      <c r="G8325" s="422">
        <v>154.0144627991387</v>
      </c>
      <c r="H8325" s="417" t="s">
        <v>2616</v>
      </c>
      <c r="I8325" s="417" t="s">
        <v>1392</v>
      </c>
      <c r="J8325" s="417" t="s">
        <v>4016</v>
      </c>
      <c r="K8325" s="417" t="s">
        <v>19106</v>
      </c>
      <c r="L8325" s="417"/>
      <c r="M8325" s="417" t="s">
        <v>28840</v>
      </c>
    </row>
    <row r="8326" spans="1:13" x14ac:dyDescent="0.25">
      <c r="A8326" s="417" t="s">
        <v>3385</v>
      </c>
      <c r="B8326" s="417" t="s">
        <v>2627</v>
      </c>
      <c r="C8326" s="417" t="s">
        <v>19107</v>
      </c>
      <c r="D8326" s="417" t="s">
        <v>88</v>
      </c>
      <c r="E8326" s="423">
        <v>4.0403098980737732E-2</v>
      </c>
      <c r="F8326" s="423">
        <v>8.4910024497743694E-2</v>
      </c>
      <c r="G8326" s="422">
        <v>166.30276565202109</v>
      </c>
      <c r="H8326" s="417" t="s">
        <v>2616</v>
      </c>
      <c r="I8326" s="417" t="s">
        <v>1392</v>
      </c>
      <c r="J8326" s="417" t="s">
        <v>4016</v>
      </c>
      <c r="K8326" s="417" t="s">
        <v>19108</v>
      </c>
      <c r="L8326" s="417"/>
      <c r="M8326" s="417" t="s">
        <v>28840</v>
      </c>
    </row>
    <row r="8327" spans="1:13" x14ac:dyDescent="0.25">
      <c r="A8327" s="417" t="s">
        <v>3385</v>
      </c>
      <c r="B8327" s="417" t="s">
        <v>2627</v>
      </c>
      <c r="C8327" s="417" t="s">
        <v>19109</v>
      </c>
      <c r="D8327" s="417" t="s">
        <v>88</v>
      </c>
      <c r="E8327" s="423">
        <v>4.2454567973770473E-2</v>
      </c>
      <c r="F8327" s="423">
        <v>3.1840931182102877E-2</v>
      </c>
      <c r="G8327" s="422">
        <v>162.69931107430659</v>
      </c>
      <c r="H8327" s="417" t="s">
        <v>2616</v>
      </c>
      <c r="I8327" s="417" t="s">
        <v>1392</v>
      </c>
      <c r="J8327" s="417" t="s">
        <v>4016</v>
      </c>
      <c r="K8327" s="417" t="s">
        <v>19110</v>
      </c>
      <c r="L8327" s="417"/>
      <c r="M8327" s="417" t="s">
        <v>28840</v>
      </c>
    </row>
    <row r="8328" spans="1:13" x14ac:dyDescent="0.25">
      <c r="A8328" s="417" t="s">
        <v>3385</v>
      </c>
      <c r="B8328" s="417" t="s">
        <v>2627</v>
      </c>
      <c r="C8328" s="417" t="s">
        <v>19111</v>
      </c>
      <c r="D8328" s="417" t="s">
        <v>88</v>
      </c>
      <c r="E8328" s="423">
        <v>8.3822838104273018E-2</v>
      </c>
      <c r="F8328" s="423">
        <v>7.4444961232373402E-2</v>
      </c>
      <c r="G8328" s="422">
        <v>146.30672703925589</v>
      </c>
      <c r="H8328" s="417" t="s">
        <v>2616</v>
      </c>
      <c r="I8328" s="417" t="s">
        <v>1392</v>
      </c>
      <c r="J8328" s="417" t="s">
        <v>4016</v>
      </c>
      <c r="K8328" s="417" t="s">
        <v>19112</v>
      </c>
      <c r="L8328" s="417"/>
      <c r="M8328" s="417" t="s">
        <v>28840</v>
      </c>
    </row>
    <row r="8329" spans="1:13" x14ac:dyDescent="0.25">
      <c r="A8329" s="417" t="s">
        <v>3385</v>
      </c>
      <c r="B8329" s="417" t="s">
        <v>2627</v>
      </c>
      <c r="C8329" s="417" t="s">
        <v>19113</v>
      </c>
      <c r="D8329" s="417" t="s">
        <v>88</v>
      </c>
      <c r="E8329" s="423">
        <v>1.664719849177879E-2</v>
      </c>
      <c r="F8329" s="423">
        <v>3.054688586466963E-2</v>
      </c>
      <c r="G8329" s="422">
        <v>34.60734810259224</v>
      </c>
      <c r="H8329" s="417" t="s">
        <v>2616</v>
      </c>
      <c r="I8329" s="417" t="s">
        <v>1392</v>
      </c>
      <c r="J8329" s="417" t="s">
        <v>4016</v>
      </c>
      <c r="K8329" s="417" t="s">
        <v>19114</v>
      </c>
      <c r="L8329" s="417"/>
      <c r="M8329" s="417" t="s">
        <v>28840</v>
      </c>
    </row>
    <row r="8330" spans="1:13" x14ac:dyDescent="0.25">
      <c r="A8330" s="417" t="s">
        <v>3385</v>
      </c>
      <c r="B8330" s="417" t="s">
        <v>2627</v>
      </c>
      <c r="C8330" s="417" t="s">
        <v>19115</v>
      </c>
      <c r="D8330" s="417" t="s">
        <v>88</v>
      </c>
      <c r="E8330" s="423">
        <v>4.8544364810513718E-2</v>
      </c>
      <c r="F8330" s="423">
        <v>3.6660459459290008E-2</v>
      </c>
      <c r="G8330" s="422">
        <v>89.316543314765227</v>
      </c>
      <c r="H8330" s="417" t="s">
        <v>2616</v>
      </c>
      <c r="I8330" s="417" t="s">
        <v>1392</v>
      </c>
      <c r="J8330" s="417" t="s">
        <v>4016</v>
      </c>
      <c r="K8330" s="417" t="s">
        <v>19116</v>
      </c>
      <c r="L8330" s="417"/>
      <c r="M8330" s="417" t="s">
        <v>28840</v>
      </c>
    </row>
    <row r="8331" spans="1:13" x14ac:dyDescent="0.25">
      <c r="A8331" s="417" t="s">
        <v>3385</v>
      </c>
      <c r="B8331" s="417" t="s">
        <v>2627</v>
      </c>
      <c r="C8331" s="417" t="s">
        <v>19117</v>
      </c>
      <c r="D8331" s="417" t="s">
        <v>88</v>
      </c>
      <c r="E8331" s="423">
        <v>3.7692567178410748E-2</v>
      </c>
      <c r="F8331" s="423">
        <v>8.8538380877320827E-2</v>
      </c>
      <c r="G8331" s="422">
        <v>142.3776644411048</v>
      </c>
      <c r="H8331" s="417" t="s">
        <v>2616</v>
      </c>
      <c r="I8331" s="417" t="s">
        <v>1392</v>
      </c>
      <c r="J8331" s="417" t="s">
        <v>4016</v>
      </c>
      <c r="K8331" s="417" t="s">
        <v>19118</v>
      </c>
      <c r="L8331" s="417"/>
      <c r="M8331" s="417" t="s">
        <v>28840</v>
      </c>
    </row>
    <row r="8332" spans="1:13" x14ac:dyDescent="0.25">
      <c r="A8332" s="417" t="s">
        <v>3385</v>
      </c>
      <c r="B8332" s="417" t="s">
        <v>2627</v>
      </c>
      <c r="C8332" s="417" t="s">
        <v>19119</v>
      </c>
      <c r="D8332" s="417" t="s">
        <v>88</v>
      </c>
      <c r="E8332" s="423">
        <v>6.5592604301709212E-2</v>
      </c>
      <c r="F8332" s="423">
        <v>8.9105812278935062E-2</v>
      </c>
      <c r="G8332" s="422">
        <v>152.02747517708889</v>
      </c>
      <c r="H8332" s="417" t="s">
        <v>2616</v>
      </c>
      <c r="I8332" s="417" t="s">
        <v>1392</v>
      </c>
      <c r="J8332" s="417" t="s">
        <v>4016</v>
      </c>
      <c r="K8332" s="417" t="s">
        <v>19120</v>
      </c>
      <c r="L8332" s="417"/>
      <c r="M8332" s="417" t="s">
        <v>28840</v>
      </c>
    </row>
    <row r="8333" spans="1:13" x14ac:dyDescent="0.25">
      <c r="A8333" s="417" t="s">
        <v>3385</v>
      </c>
      <c r="B8333" s="417" t="s">
        <v>2627</v>
      </c>
      <c r="C8333" s="417" t="s">
        <v>19121</v>
      </c>
      <c r="D8333" s="417" t="s">
        <v>88</v>
      </c>
      <c r="E8333" s="423">
        <v>4.2627480209808187E-2</v>
      </c>
      <c r="F8333" s="423">
        <v>8.2209646252165383E-2</v>
      </c>
      <c r="G8333" s="422">
        <v>177.3512288952262</v>
      </c>
      <c r="H8333" s="417" t="s">
        <v>2616</v>
      </c>
      <c r="I8333" s="417" t="s">
        <v>1392</v>
      </c>
      <c r="J8333" s="417" t="s">
        <v>4016</v>
      </c>
      <c r="K8333" s="417" t="s">
        <v>19122</v>
      </c>
      <c r="L8333" s="417"/>
      <c r="M8333" s="417" t="s">
        <v>28840</v>
      </c>
    </row>
    <row r="8334" spans="1:13" x14ac:dyDescent="0.25">
      <c r="A8334" s="417" t="s">
        <v>3385</v>
      </c>
      <c r="B8334" s="417" t="s">
        <v>2627</v>
      </c>
      <c r="C8334" s="417" t="s">
        <v>19123</v>
      </c>
      <c r="D8334" s="417" t="s">
        <v>88</v>
      </c>
      <c r="E8334" s="423">
        <v>7.3360250380582748E-3</v>
      </c>
      <c r="F8334" s="423">
        <v>6.729139270497406E-4</v>
      </c>
      <c r="G8334" s="422">
        <v>73.945325572138415</v>
      </c>
      <c r="H8334" s="417" t="s">
        <v>2616</v>
      </c>
      <c r="I8334" s="417" t="s">
        <v>1392</v>
      </c>
      <c r="J8334" s="417" t="s">
        <v>4016</v>
      </c>
      <c r="K8334" s="417" t="s">
        <v>19124</v>
      </c>
      <c r="L8334" s="417"/>
      <c r="M8334" s="417" t="s">
        <v>28840</v>
      </c>
    </row>
    <row r="8335" spans="1:13" x14ac:dyDescent="0.25">
      <c r="A8335" s="417" t="s">
        <v>3385</v>
      </c>
      <c r="B8335" s="417" t="s">
        <v>2627</v>
      </c>
      <c r="C8335" s="417" t="s">
        <v>19125</v>
      </c>
      <c r="D8335" s="417" t="s">
        <v>88</v>
      </c>
      <c r="E8335" s="423">
        <v>5.310623834642883E-2</v>
      </c>
      <c r="F8335" s="423">
        <v>7.0166578944467373E-2</v>
      </c>
      <c r="G8335" s="422">
        <v>135.9173105154602</v>
      </c>
      <c r="H8335" s="417" t="s">
        <v>2616</v>
      </c>
      <c r="I8335" s="417" t="s">
        <v>1392</v>
      </c>
      <c r="J8335" s="417" t="s">
        <v>4016</v>
      </c>
      <c r="K8335" s="417" t="s">
        <v>19126</v>
      </c>
      <c r="L8335" s="417"/>
      <c r="M8335" s="417" t="s">
        <v>28840</v>
      </c>
    </row>
    <row r="8336" spans="1:13" x14ac:dyDescent="0.25">
      <c r="A8336" s="417" t="s">
        <v>3385</v>
      </c>
      <c r="B8336" s="417" t="s">
        <v>2627</v>
      </c>
      <c r="C8336" s="417" t="s">
        <v>19127</v>
      </c>
      <c r="D8336" s="417" t="s">
        <v>83</v>
      </c>
      <c r="E8336" s="423">
        <v>3.450880099136953</v>
      </c>
      <c r="F8336" s="423">
        <v>0.2058190274636712</v>
      </c>
      <c r="G8336" s="422">
        <v>34690.143658882233</v>
      </c>
      <c r="H8336" s="417" t="s">
        <v>2616</v>
      </c>
      <c r="I8336" s="417" t="s">
        <v>1392</v>
      </c>
      <c r="J8336" s="417" t="s">
        <v>4025</v>
      </c>
      <c r="K8336" s="417" t="s">
        <v>19128</v>
      </c>
      <c r="L8336" s="417"/>
      <c r="M8336" s="417" t="s">
        <v>28840</v>
      </c>
    </row>
    <row r="8337" spans="1:13" x14ac:dyDescent="0.25">
      <c r="A8337" s="417" t="s">
        <v>3385</v>
      </c>
      <c r="B8337" s="417" t="s">
        <v>2627</v>
      </c>
      <c r="C8337" s="417" t="s">
        <v>19129</v>
      </c>
      <c r="D8337" s="417" t="s">
        <v>88</v>
      </c>
      <c r="E8337" s="423">
        <v>1.400329378259431</v>
      </c>
      <c r="F8337" s="423">
        <v>0.82097953980628913</v>
      </c>
      <c r="G8337" s="422">
        <v>5348.8062262173107</v>
      </c>
      <c r="H8337" s="417" t="s">
        <v>2616</v>
      </c>
      <c r="I8337" s="417" t="s">
        <v>1392</v>
      </c>
      <c r="J8337" s="417" t="s">
        <v>3396</v>
      </c>
      <c r="K8337" s="417" t="s">
        <v>19130</v>
      </c>
      <c r="L8337" s="417"/>
      <c r="M8337" s="417" t="s">
        <v>28840</v>
      </c>
    </row>
    <row r="8338" spans="1:13" x14ac:dyDescent="0.25">
      <c r="A8338" s="417" t="s">
        <v>3385</v>
      </c>
      <c r="B8338" s="417" t="s">
        <v>2627</v>
      </c>
      <c r="C8338" s="417" t="s">
        <v>19131</v>
      </c>
      <c r="D8338" s="417" t="s">
        <v>88</v>
      </c>
      <c r="E8338" s="423">
        <v>27.318071210334189</v>
      </c>
      <c r="F8338" s="423">
        <v>1.476107791918011</v>
      </c>
      <c r="G8338" s="422">
        <v>88161.24905724093</v>
      </c>
      <c r="H8338" s="417" t="s">
        <v>2616</v>
      </c>
      <c r="I8338" s="417" t="s">
        <v>1392</v>
      </c>
      <c r="J8338" s="417" t="s">
        <v>3899</v>
      </c>
      <c r="K8338" s="417" t="s">
        <v>19132</v>
      </c>
      <c r="L8338" s="417"/>
      <c r="M8338" s="417" t="s">
        <v>28840</v>
      </c>
    </row>
    <row r="8339" spans="1:13" x14ac:dyDescent="0.25">
      <c r="A8339" s="417" t="s">
        <v>3385</v>
      </c>
      <c r="B8339" s="417" t="s">
        <v>2627</v>
      </c>
      <c r="C8339" s="417" t="s">
        <v>19133</v>
      </c>
      <c r="D8339" s="417" t="s">
        <v>88</v>
      </c>
      <c r="E8339" s="423">
        <v>158.19914526683081</v>
      </c>
      <c r="F8339" s="423">
        <v>6.248331325534636</v>
      </c>
      <c r="G8339" s="422">
        <v>2181215.291339987</v>
      </c>
      <c r="H8339" s="417" t="s">
        <v>2616</v>
      </c>
      <c r="I8339" s="417" t="s">
        <v>1392</v>
      </c>
      <c r="J8339" s="417" t="s">
        <v>3899</v>
      </c>
      <c r="K8339" s="417" t="s">
        <v>19134</v>
      </c>
      <c r="L8339" s="417"/>
      <c r="M8339" s="417" t="s">
        <v>28840</v>
      </c>
    </row>
    <row r="8340" spans="1:13" x14ac:dyDescent="0.25">
      <c r="A8340" s="417" t="s">
        <v>3385</v>
      </c>
      <c r="B8340" s="417" t="s">
        <v>2627</v>
      </c>
      <c r="C8340" s="417" t="s">
        <v>19135</v>
      </c>
      <c r="D8340" s="417" t="s">
        <v>88</v>
      </c>
      <c r="E8340" s="423">
        <v>60.544271400847457</v>
      </c>
      <c r="F8340" s="423">
        <v>2.6117908028035841</v>
      </c>
      <c r="G8340" s="422">
        <v>593551.06157805363</v>
      </c>
      <c r="H8340" s="417" t="s">
        <v>2616</v>
      </c>
      <c r="I8340" s="417" t="s">
        <v>1392</v>
      </c>
      <c r="J8340" s="417" t="s">
        <v>3899</v>
      </c>
      <c r="K8340" s="417" t="s">
        <v>19136</v>
      </c>
      <c r="L8340" s="417"/>
      <c r="M8340" s="417" t="s">
        <v>28840</v>
      </c>
    </row>
    <row r="8341" spans="1:13" x14ac:dyDescent="0.25">
      <c r="A8341" s="417" t="s">
        <v>3385</v>
      </c>
      <c r="B8341" s="417" t="s">
        <v>2627</v>
      </c>
      <c r="C8341" s="417" t="s">
        <v>19137</v>
      </c>
      <c r="D8341" s="417" t="s">
        <v>88</v>
      </c>
      <c r="E8341" s="423">
        <v>25.04675226325077</v>
      </c>
      <c r="F8341" s="423">
        <v>1.342246344736413</v>
      </c>
      <c r="G8341" s="422">
        <v>47287.60012129019</v>
      </c>
      <c r="H8341" s="417" t="s">
        <v>2616</v>
      </c>
      <c r="I8341" s="417" t="s">
        <v>1392</v>
      </c>
      <c r="J8341" s="417" t="s">
        <v>3899</v>
      </c>
      <c r="K8341" s="417" t="s">
        <v>19138</v>
      </c>
      <c r="L8341" s="417"/>
      <c r="M8341" s="417" t="s">
        <v>28840</v>
      </c>
    </row>
    <row r="8342" spans="1:13" x14ac:dyDescent="0.25">
      <c r="A8342" s="417" t="s">
        <v>3385</v>
      </c>
      <c r="B8342" s="417" t="s">
        <v>2627</v>
      </c>
      <c r="C8342" s="417" t="s">
        <v>19139</v>
      </c>
      <c r="D8342" s="417" t="s">
        <v>88</v>
      </c>
      <c r="E8342" s="423">
        <v>0</v>
      </c>
      <c r="F8342" s="423">
        <v>0</v>
      </c>
      <c r="G8342" s="422">
        <v>-3200</v>
      </c>
      <c r="H8342" s="417" t="s">
        <v>2616</v>
      </c>
      <c r="I8342" s="417" t="s">
        <v>1392</v>
      </c>
      <c r="J8342" s="417" t="s">
        <v>19140</v>
      </c>
      <c r="K8342" s="417" t="s">
        <v>19141</v>
      </c>
      <c r="L8342" s="417"/>
      <c r="M8342" s="417" t="s">
        <v>28840</v>
      </c>
    </row>
    <row r="8343" spans="1:13" x14ac:dyDescent="0.25">
      <c r="A8343" s="417" t="s">
        <v>3385</v>
      </c>
      <c r="B8343" s="417" t="s">
        <v>2627</v>
      </c>
      <c r="C8343" s="417" t="s">
        <v>19142</v>
      </c>
      <c r="D8343" s="417" t="s">
        <v>88</v>
      </c>
      <c r="E8343" s="423">
        <v>0</v>
      </c>
      <c r="F8343" s="423">
        <v>0</v>
      </c>
      <c r="G8343" s="422">
        <v>3200</v>
      </c>
      <c r="H8343" s="417" t="s">
        <v>2616</v>
      </c>
      <c r="I8343" s="417" t="s">
        <v>1392</v>
      </c>
      <c r="J8343" s="417" t="s">
        <v>19140</v>
      </c>
      <c r="K8343" s="417" t="s">
        <v>19143</v>
      </c>
      <c r="L8343" s="417"/>
      <c r="M8343" s="417" t="s">
        <v>28840</v>
      </c>
    </row>
    <row r="8344" spans="1:13" x14ac:dyDescent="0.25">
      <c r="A8344" s="417" t="s">
        <v>3385</v>
      </c>
      <c r="B8344" s="417" t="s">
        <v>2627</v>
      </c>
      <c r="C8344" s="417" t="s">
        <v>19144</v>
      </c>
      <c r="D8344" s="417" t="s">
        <v>88</v>
      </c>
      <c r="E8344" s="423">
        <v>0</v>
      </c>
      <c r="F8344" s="423">
        <v>0</v>
      </c>
      <c r="G8344" s="422">
        <v>-540000</v>
      </c>
      <c r="H8344" s="417" t="s">
        <v>2616</v>
      </c>
      <c r="I8344" s="417" t="s">
        <v>1392</v>
      </c>
      <c r="J8344" s="417" t="s">
        <v>19140</v>
      </c>
      <c r="K8344" s="417" t="s">
        <v>19145</v>
      </c>
      <c r="L8344" s="417"/>
      <c r="M8344" s="417" t="s">
        <v>28840</v>
      </c>
    </row>
    <row r="8345" spans="1:13" x14ac:dyDescent="0.25">
      <c r="A8345" s="417" t="s">
        <v>3385</v>
      </c>
      <c r="B8345" s="417" t="s">
        <v>2627</v>
      </c>
      <c r="C8345" s="417" t="s">
        <v>19146</v>
      </c>
      <c r="D8345" s="417" t="s">
        <v>88</v>
      </c>
      <c r="E8345" s="423">
        <v>0</v>
      </c>
      <c r="F8345" s="423">
        <v>0</v>
      </c>
      <c r="G8345" s="422">
        <v>540000</v>
      </c>
      <c r="H8345" s="417" t="s">
        <v>2616</v>
      </c>
      <c r="I8345" s="417" t="s">
        <v>1392</v>
      </c>
      <c r="J8345" s="417" t="s">
        <v>19140</v>
      </c>
      <c r="K8345" s="417" t="s">
        <v>19147</v>
      </c>
      <c r="L8345" s="417"/>
      <c r="M8345" s="417" t="s">
        <v>28840</v>
      </c>
    </row>
    <row r="8346" spans="1:13" x14ac:dyDescent="0.25">
      <c r="A8346" s="417" t="s">
        <v>3385</v>
      </c>
      <c r="B8346" s="417" t="s">
        <v>2627</v>
      </c>
      <c r="C8346" s="417" t="s">
        <v>19148</v>
      </c>
      <c r="D8346" s="417" t="s">
        <v>88</v>
      </c>
      <c r="E8346" s="423">
        <v>0</v>
      </c>
      <c r="F8346" s="423">
        <v>0</v>
      </c>
      <c r="G8346" s="422">
        <v>-16000</v>
      </c>
      <c r="H8346" s="417" t="s">
        <v>2616</v>
      </c>
      <c r="I8346" s="417" t="s">
        <v>1392</v>
      </c>
      <c r="J8346" s="417" t="s">
        <v>19140</v>
      </c>
      <c r="K8346" s="417" t="s">
        <v>19149</v>
      </c>
      <c r="L8346" s="417"/>
      <c r="M8346" s="417" t="s">
        <v>28840</v>
      </c>
    </row>
    <row r="8347" spans="1:13" x14ac:dyDescent="0.25">
      <c r="A8347" s="417" t="s">
        <v>3385</v>
      </c>
      <c r="B8347" s="417" t="s">
        <v>2627</v>
      </c>
      <c r="C8347" s="417" t="s">
        <v>19150</v>
      </c>
      <c r="D8347" s="417" t="s">
        <v>88</v>
      </c>
      <c r="E8347" s="423">
        <v>0</v>
      </c>
      <c r="F8347" s="423">
        <v>0</v>
      </c>
      <c r="G8347" s="422">
        <v>16000</v>
      </c>
      <c r="H8347" s="417" t="s">
        <v>2616</v>
      </c>
      <c r="I8347" s="417" t="s">
        <v>1392</v>
      </c>
      <c r="J8347" s="417" t="s">
        <v>19140</v>
      </c>
      <c r="K8347" s="417" t="s">
        <v>19151</v>
      </c>
      <c r="L8347" s="417"/>
      <c r="M8347" s="417" t="s">
        <v>28840</v>
      </c>
    </row>
    <row r="8348" spans="1:13" x14ac:dyDescent="0.25">
      <c r="A8348" s="417" t="s">
        <v>3385</v>
      </c>
      <c r="B8348" s="417" t="s">
        <v>2627</v>
      </c>
      <c r="C8348" s="417" t="s">
        <v>19152</v>
      </c>
      <c r="D8348" s="417" t="s">
        <v>88</v>
      </c>
      <c r="E8348" s="423">
        <v>0</v>
      </c>
      <c r="F8348" s="423">
        <v>0</v>
      </c>
      <c r="G8348" s="422">
        <v>-2800</v>
      </c>
      <c r="H8348" s="417" t="s">
        <v>2616</v>
      </c>
      <c r="I8348" s="417" t="s">
        <v>1392</v>
      </c>
      <c r="J8348" s="417" t="s">
        <v>19140</v>
      </c>
      <c r="K8348" s="417" t="s">
        <v>19153</v>
      </c>
      <c r="L8348" s="417"/>
      <c r="M8348" s="417" t="s">
        <v>28840</v>
      </c>
    </row>
    <row r="8349" spans="1:13" x14ac:dyDescent="0.25">
      <c r="A8349" s="417" t="s">
        <v>3385</v>
      </c>
      <c r="B8349" s="417" t="s">
        <v>2627</v>
      </c>
      <c r="C8349" s="417" t="s">
        <v>19154</v>
      </c>
      <c r="D8349" s="417" t="s">
        <v>88</v>
      </c>
      <c r="E8349" s="423">
        <v>0</v>
      </c>
      <c r="F8349" s="423">
        <v>0</v>
      </c>
      <c r="G8349" s="422">
        <v>2800</v>
      </c>
      <c r="H8349" s="417" t="s">
        <v>2616</v>
      </c>
      <c r="I8349" s="417" t="s">
        <v>1392</v>
      </c>
      <c r="J8349" s="417" t="s">
        <v>19140</v>
      </c>
      <c r="K8349" s="417" t="s">
        <v>19155</v>
      </c>
      <c r="L8349" s="417"/>
      <c r="M8349" s="417" t="s">
        <v>28840</v>
      </c>
    </row>
    <row r="8350" spans="1:13" x14ac:dyDescent="0.25">
      <c r="A8350" s="417" t="s">
        <v>3385</v>
      </c>
      <c r="B8350" s="417" t="s">
        <v>2627</v>
      </c>
      <c r="C8350" s="417" t="s">
        <v>19156</v>
      </c>
      <c r="D8350" s="417" t="s">
        <v>88</v>
      </c>
      <c r="E8350" s="423">
        <v>0</v>
      </c>
      <c r="F8350" s="423">
        <v>0</v>
      </c>
      <c r="G8350" s="422">
        <v>-1300000</v>
      </c>
      <c r="H8350" s="417" t="s">
        <v>2616</v>
      </c>
      <c r="I8350" s="417" t="s">
        <v>1392</v>
      </c>
      <c r="J8350" s="417" t="s">
        <v>19140</v>
      </c>
      <c r="K8350" s="417" t="s">
        <v>19157</v>
      </c>
      <c r="L8350" s="417"/>
      <c r="M8350" s="417" t="s">
        <v>28840</v>
      </c>
    </row>
    <row r="8351" spans="1:13" x14ac:dyDescent="0.25">
      <c r="A8351" s="417" t="s">
        <v>3385</v>
      </c>
      <c r="B8351" s="417" t="s">
        <v>2627</v>
      </c>
      <c r="C8351" s="417" t="s">
        <v>19158</v>
      </c>
      <c r="D8351" s="417" t="s">
        <v>88</v>
      </c>
      <c r="E8351" s="423">
        <v>0</v>
      </c>
      <c r="F8351" s="423">
        <v>0</v>
      </c>
      <c r="G8351" s="422">
        <v>1300000</v>
      </c>
      <c r="H8351" s="417" t="s">
        <v>2616</v>
      </c>
      <c r="I8351" s="417" t="s">
        <v>1392</v>
      </c>
      <c r="J8351" s="417" t="s">
        <v>19140</v>
      </c>
      <c r="K8351" s="417" t="s">
        <v>19159</v>
      </c>
      <c r="L8351" s="417"/>
      <c r="M8351" s="417" t="s">
        <v>28840</v>
      </c>
    </row>
    <row r="8352" spans="1:13" x14ac:dyDescent="0.25">
      <c r="A8352" s="417" t="s">
        <v>3385</v>
      </c>
      <c r="B8352" s="417" t="s">
        <v>2627</v>
      </c>
      <c r="C8352" s="417" t="s">
        <v>19160</v>
      </c>
      <c r="D8352" s="417" t="s">
        <v>88</v>
      </c>
      <c r="E8352" s="423">
        <v>0</v>
      </c>
      <c r="F8352" s="423">
        <v>0</v>
      </c>
      <c r="G8352" s="422">
        <v>-410</v>
      </c>
      <c r="H8352" s="417" t="s">
        <v>2616</v>
      </c>
      <c r="I8352" s="417" t="s">
        <v>1392</v>
      </c>
      <c r="J8352" s="417" t="s">
        <v>19140</v>
      </c>
      <c r="K8352" s="417" t="s">
        <v>19161</v>
      </c>
      <c r="L8352" s="417"/>
      <c r="M8352" s="417" t="s">
        <v>28840</v>
      </c>
    </row>
    <row r="8353" spans="1:13" x14ac:dyDescent="0.25">
      <c r="A8353" s="417" t="s">
        <v>3385</v>
      </c>
      <c r="B8353" s="417" t="s">
        <v>2627</v>
      </c>
      <c r="C8353" s="417" t="s">
        <v>19162</v>
      </c>
      <c r="D8353" s="417" t="s">
        <v>88</v>
      </c>
      <c r="E8353" s="423">
        <v>0</v>
      </c>
      <c r="F8353" s="423">
        <v>0</v>
      </c>
      <c r="G8353" s="422">
        <v>410</v>
      </c>
      <c r="H8353" s="417" t="s">
        <v>2616</v>
      </c>
      <c r="I8353" s="417" t="s">
        <v>1392</v>
      </c>
      <c r="J8353" s="417" t="s">
        <v>19140</v>
      </c>
      <c r="K8353" s="417" t="s">
        <v>19163</v>
      </c>
      <c r="L8353" s="417"/>
      <c r="M8353" s="417" t="s">
        <v>28840</v>
      </c>
    </row>
    <row r="8354" spans="1:13" x14ac:dyDescent="0.25">
      <c r="A8354" s="417" t="s">
        <v>3385</v>
      </c>
      <c r="B8354" s="417" t="s">
        <v>2437</v>
      </c>
      <c r="C8354" s="417" t="s">
        <v>19164</v>
      </c>
      <c r="D8354" s="417" t="s">
        <v>88</v>
      </c>
      <c r="E8354" s="423">
        <v>3.7108356778936962</v>
      </c>
      <c r="F8354" s="423">
        <v>0.22476108257192329</v>
      </c>
      <c r="G8354" s="422">
        <v>7070.1252147481046</v>
      </c>
      <c r="H8354" s="417" t="s">
        <v>2616</v>
      </c>
      <c r="I8354" s="417" t="s">
        <v>1392</v>
      </c>
      <c r="J8354" s="417" t="s">
        <v>4414</v>
      </c>
      <c r="K8354" s="417" t="s">
        <v>19165</v>
      </c>
      <c r="L8354" s="417"/>
      <c r="M8354" s="417" t="s">
        <v>28840</v>
      </c>
    </row>
    <row r="8355" spans="1:13" x14ac:dyDescent="0.25">
      <c r="A8355" s="417" t="s">
        <v>3385</v>
      </c>
      <c r="B8355" s="417" t="s">
        <v>2627</v>
      </c>
      <c r="C8355" s="417" t="s">
        <v>19166</v>
      </c>
      <c r="D8355" s="417" t="s">
        <v>88</v>
      </c>
      <c r="E8355" s="423">
        <v>2.6347108684528462</v>
      </c>
      <c r="F8355" s="423">
        <v>4.516397117392959E-2</v>
      </c>
      <c r="G8355" s="422">
        <v>3776.1711599201649</v>
      </c>
      <c r="H8355" s="417" t="s">
        <v>2616</v>
      </c>
      <c r="I8355" s="417" t="s">
        <v>1392</v>
      </c>
      <c r="J8355" s="417" t="s">
        <v>3633</v>
      </c>
      <c r="K8355" s="417" t="s">
        <v>19167</v>
      </c>
      <c r="L8355" s="417"/>
      <c r="M8355" s="417" t="s">
        <v>28840</v>
      </c>
    </row>
    <row r="8356" spans="1:13" x14ac:dyDescent="0.25">
      <c r="A8356" s="417" t="s">
        <v>3385</v>
      </c>
      <c r="B8356" s="417" t="s">
        <v>2627</v>
      </c>
      <c r="C8356" s="417" t="s">
        <v>19168</v>
      </c>
      <c r="D8356" s="417" t="s">
        <v>88</v>
      </c>
      <c r="E8356" s="423">
        <v>20310.787498004102</v>
      </c>
      <c r="F8356" s="423">
        <v>1540.760247023504</v>
      </c>
      <c r="G8356" s="422">
        <v>128880320.23577841</v>
      </c>
      <c r="H8356" s="417" t="s">
        <v>2616</v>
      </c>
      <c r="I8356" s="417" t="s">
        <v>1392</v>
      </c>
      <c r="J8356" s="417" t="s">
        <v>3915</v>
      </c>
      <c r="K8356" s="417" t="s">
        <v>19169</v>
      </c>
      <c r="L8356" s="417"/>
      <c r="M8356" s="417" t="s">
        <v>28840</v>
      </c>
    </row>
    <row r="8357" spans="1:13" x14ac:dyDescent="0.25">
      <c r="A8357" s="417" t="s">
        <v>3385</v>
      </c>
      <c r="B8357" s="417" t="s">
        <v>2627</v>
      </c>
      <c r="C8357" s="417" t="s">
        <v>19170</v>
      </c>
      <c r="D8357" s="417" t="s">
        <v>88</v>
      </c>
      <c r="E8357" s="423">
        <v>25367.656743168289</v>
      </c>
      <c r="F8357" s="423">
        <v>1256.1904109300319</v>
      </c>
      <c r="G8357" s="422">
        <v>384317601.83768833</v>
      </c>
      <c r="H8357" s="417" t="s">
        <v>2616</v>
      </c>
      <c r="I8357" s="417" t="s">
        <v>1392</v>
      </c>
      <c r="J8357" s="417" t="s">
        <v>3915</v>
      </c>
      <c r="K8357" s="417" t="s">
        <v>19171</v>
      </c>
      <c r="L8357" s="417"/>
      <c r="M8357" s="417" t="s">
        <v>28840</v>
      </c>
    </row>
    <row r="8358" spans="1:13" x14ac:dyDescent="0.25">
      <c r="A8358" s="417" t="s">
        <v>3385</v>
      </c>
      <c r="B8358" s="417" t="s">
        <v>2627</v>
      </c>
      <c r="C8358" s="417" t="s">
        <v>19172</v>
      </c>
      <c r="D8358" s="417" t="s">
        <v>88</v>
      </c>
      <c r="E8358" s="423">
        <v>23257.692508434149</v>
      </c>
      <c r="F8358" s="423">
        <v>1980.819577509383</v>
      </c>
      <c r="G8358" s="422">
        <v>76916739.98113142</v>
      </c>
      <c r="H8358" s="417" t="s">
        <v>2616</v>
      </c>
      <c r="I8358" s="417" t="s">
        <v>1392</v>
      </c>
      <c r="J8358" s="417" t="s">
        <v>3915</v>
      </c>
      <c r="K8358" s="417" t="s">
        <v>19173</v>
      </c>
      <c r="L8358" s="417"/>
      <c r="M8358" s="417" t="s">
        <v>28840</v>
      </c>
    </row>
    <row r="8359" spans="1:13" x14ac:dyDescent="0.25">
      <c r="A8359" s="417" t="s">
        <v>3385</v>
      </c>
      <c r="B8359" s="417" t="s">
        <v>2627</v>
      </c>
      <c r="C8359" s="417" t="s">
        <v>19174</v>
      </c>
      <c r="D8359" s="417" t="s">
        <v>88</v>
      </c>
      <c r="E8359" s="423">
        <v>512.64099233315073</v>
      </c>
      <c r="F8359" s="423">
        <v>41.98878079457144</v>
      </c>
      <c r="G8359" s="422">
        <v>946974.32185409463</v>
      </c>
      <c r="H8359" s="417" t="s">
        <v>2616</v>
      </c>
      <c r="I8359" s="417" t="s">
        <v>1392</v>
      </c>
      <c r="J8359" s="417" t="s">
        <v>3915</v>
      </c>
      <c r="K8359" s="417" t="s">
        <v>19175</v>
      </c>
      <c r="L8359" s="417"/>
      <c r="M8359" s="417" t="s">
        <v>28840</v>
      </c>
    </row>
    <row r="8360" spans="1:13" x14ac:dyDescent="0.25">
      <c r="A8360" s="417" t="s">
        <v>3385</v>
      </c>
      <c r="B8360" s="417" t="s">
        <v>2627</v>
      </c>
      <c r="C8360" s="417" t="s">
        <v>19176</v>
      </c>
      <c r="D8360" s="417" t="s">
        <v>88</v>
      </c>
      <c r="E8360" s="423">
        <v>1.9459298249362449</v>
      </c>
      <c r="F8360" s="423">
        <v>2.9979161052522369E-2</v>
      </c>
      <c r="G8360" s="422">
        <v>4458.3873670270996</v>
      </c>
      <c r="H8360" s="417" t="s">
        <v>2616</v>
      </c>
      <c r="I8360" s="417" t="s">
        <v>1392</v>
      </c>
      <c r="J8360" s="417" t="s">
        <v>4054</v>
      </c>
      <c r="K8360" s="417" t="s">
        <v>19177</v>
      </c>
      <c r="L8360" s="417"/>
      <c r="M8360" s="417" t="s">
        <v>28840</v>
      </c>
    </row>
    <row r="8361" spans="1:13" x14ac:dyDescent="0.25">
      <c r="A8361" s="417" t="s">
        <v>3385</v>
      </c>
      <c r="B8361" s="417" t="s">
        <v>2627</v>
      </c>
      <c r="C8361" s="417" t="s">
        <v>19178</v>
      </c>
      <c r="D8361" s="417" t="s">
        <v>88</v>
      </c>
      <c r="E8361" s="423">
        <v>1.8931952810181829</v>
      </c>
      <c r="F8361" s="423">
        <v>2.485789629929204E-2</v>
      </c>
      <c r="G8361" s="422">
        <v>4357.5131817452238</v>
      </c>
      <c r="H8361" s="417" t="s">
        <v>2616</v>
      </c>
      <c r="I8361" s="417" t="s">
        <v>1392</v>
      </c>
      <c r="J8361" s="417" t="s">
        <v>4047</v>
      </c>
      <c r="K8361" s="417" t="s">
        <v>19179</v>
      </c>
      <c r="L8361" s="417"/>
      <c r="M8361" s="417" t="s">
        <v>28840</v>
      </c>
    </row>
    <row r="8362" spans="1:13" x14ac:dyDescent="0.25">
      <c r="A8362" s="417" t="s">
        <v>3385</v>
      </c>
      <c r="B8362" s="417" t="s">
        <v>2437</v>
      </c>
      <c r="C8362" s="417" t="s">
        <v>19180</v>
      </c>
      <c r="D8362" s="417" t="s">
        <v>4476</v>
      </c>
      <c r="E8362" s="423">
        <v>11.26089553286749</v>
      </c>
      <c r="F8362" s="423">
        <v>0.35814945159096778</v>
      </c>
      <c r="G8362" s="422">
        <v>24309.933007415999</v>
      </c>
      <c r="H8362" s="417" t="s">
        <v>2616</v>
      </c>
      <c r="I8362" s="417" t="s">
        <v>1392</v>
      </c>
      <c r="J8362" s="417" t="s">
        <v>2638</v>
      </c>
      <c r="K8362" s="417" t="s">
        <v>19181</v>
      </c>
      <c r="L8362" s="417"/>
      <c r="M8362" s="417" t="s">
        <v>28840</v>
      </c>
    </row>
    <row r="8363" spans="1:13" x14ac:dyDescent="0.25">
      <c r="A8363" s="417" t="s">
        <v>3385</v>
      </c>
      <c r="B8363" s="417" t="s">
        <v>2437</v>
      </c>
      <c r="C8363" s="417" t="s">
        <v>19182</v>
      </c>
      <c r="D8363" s="417" t="s">
        <v>989</v>
      </c>
      <c r="E8363" s="423">
        <v>171236748.1562559</v>
      </c>
      <c r="F8363" s="423">
        <v>43364927.659816608</v>
      </c>
      <c r="G8363" s="422">
        <v>455729177512.87238</v>
      </c>
      <c r="H8363" s="417" t="s">
        <v>2616</v>
      </c>
      <c r="I8363" s="417" t="s">
        <v>1392</v>
      </c>
      <c r="J8363" s="417" t="s">
        <v>2638</v>
      </c>
      <c r="K8363" s="417" t="s">
        <v>19183</v>
      </c>
      <c r="L8363" s="417"/>
      <c r="M8363" s="417" t="s">
        <v>28840</v>
      </c>
    </row>
    <row r="8364" spans="1:13" x14ac:dyDescent="0.25">
      <c r="A8364" s="417" t="s">
        <v>3385</v>
      </c>
      <c r="B8364" s="417" t="s">
        <v>2437</v>
      </c>
      <c r="C8364" s="417" t="s">
        <v>19184</v>
      </c>
      <c r="D8364" s="417" t="s">
        <v>88</v>
      </c>
      <c r="E8364" s="423">
        <v>0</v>
      </c>
      <c r="F8364" s="423">
        <v>0</v>
      </c>
      <c r="G8364" s="422">
        <v>80000</v>
      </c>
      <c r="H8364" s="417" t="s">
        <v>2616</v>
      </c>
      <c r="I8364" s="417" t="s">
        <v>1392</v>
      </c>
      <c r="J8364" s="417" t="s">
        <v>4342</v>
      </c>
      <c r="K8364" s="417" t="s">
        <v>19185</v>
      </c>
      <c r="L8364" s="417"/>
      <c r="M8364" s="417" t="s">
        <v>28840</v>
      </c>
    </row>
    <row r="8365" spans="1:13" x14ac:dyDescent="0.25">
      <c r="A8365" s="417" t="s">
        <v>3385</v>
      </c>
      <c r="B8365" s="417" t="s">
        <v>2437</v>
      </c>
      <c r="C8365" s="417" t="s">
        <v>19186</v>
      </c>
      <c r="D8365" s="417" t="s">
        <v>88</v>
      </c>
      <c r="E8365" s="423">
        <v>0</v>
      </c>
      <c r="F8365" s="423">
        <v>0</v>
      </c>
      <c r="G8365" s="422">
        <v>80000</v>
      </c>
      <c r="H8365" s="417" t="s">
        <v>2616</v>
      </c>
      <c r="I8365" s="417" t="s">
        <v>1392</v>
      </c>
      <c r="J8365" s="417" t="s">
        <v>4342</v>
      </c>
      <c r="K8365" s="417" t="s">
        <v>19187</v>
      </c>
      <c r="L8365" s="417"/>
      <c r="M8365" s="417" t="s">
        <v>28840</v>
      </c>
    </row>
    <row r="8366" spans="1:13" x14ac:dyDescent="0.25">
      <c r="A8366" s="417" t="s">
        <v>3385</v>
      </c>
      <c r="B8366" s="417" t="s">
        <v>2437</v>
      </c>
      <c r="C8366" s="417" t="s">
        <v>19188</v>
      </c>
      <c r="D8366" s="417" t="s">
        <v>4476</v>
      </c>
      <c r="E8366" s="423">
        <v>11.49702621122089</v>
      </c>
      <c r="F8366" s="423">
        <v>0.3695375983819188</v>
      </c>
      <c r="G8366" s="422">
        <v>27555.699276592179</v>
      </c>
      <c r="H8366" s="417" t="s">
        <v>2616</v>
      </c>
      <c r="I8366" s="417" t="s">
        <v>1392</v>
      </c>
      <c r="J8366" s="417" t="s">
        <v>4342</v>
      </c>
      <c r="K8366" s="417" t="s">
        <v>19189</v>
      </c>
      <c r="L8366" s="417"/>
      <c r="M8366" s="417" t="s">
        <v>28840</v>
      </c>
    </row>
    <row r="8367" spans="1:13" x14ac:dyDescent="0.25">
      <c r="A8367" s="417" t="s">
        <v>3385</v>
      </c>
      <c r="B8367" s="417" t="s">
        <v>2437</v>
      </c>
      <c r="C8367" s="417" t="s">
        <v>592</v>
      </c>
      <c r="D8367" s="417" t="s">
        <v>593</v>
      </c>
      <c r="E8367" s="423">
        <v>1.4759645268502859</v>
      </c>
      <c r="F8367" s="423">
        <v>4.3239167336098658E-2</v>
      </c>
      <c r="G8367" s="422">
        <v>3320.0246310338598</v>
      </c>
      <c r="H8367" s="417" t="s">
        <v>2616</v>
      </c>
      <c r="I8367" s="417"/>
      <c r="J8367" s="417" t="s">
        <v>2638</v>
      </c>
      <c r="K8367" s="417" t="s">
        <v>19190</v>
      </c>
      <c r="L8367" s="417"/>
      <c r="M8367" s="417" t="s">
        <v>28840</v>
      </c>
    </row>
    <row r="8368" spans="1:13" x14ac:dyDescent="0.25">
      <c r="A8368" s="417" t="s">
        <v>3385</v>
      </c>
      <c r="B8368" s="417" t="s">
        <v>2627</v>
      </c>
      <c r="C8368" s="417" t="s">
        <v>19191</v>
      </c>
      <c r="D8368" s="417" t="s">
        <v>989</v>
      </c>
      <c r="E8368" s="423">
        <v>55543127.07210815</v>
      </c>
      <c r="F8368" s="423">
        <v>12036771.92329617</v>
      </c>
      <c r="G8368" s="422">
        <v>142178469983.5589</v>
      </c>
      <c r="H8368" s="417" t="s">
        <v>2616</v>
      </c>
      <c r="I8368" s="417" t="s">
        <v>1392</v>
      </c>
      <c r="J8368" s="417" t="s">
        <v>11188</v>
      </c>
      <c r="K8368" s="417" t="s">
        <v>19192</v>
      </c>
      <c r="L8368" s="417"/>
      <c r="M8368" s="417" t="s">
        <v>28840</v>
      </c>
    </row>
    <row r="8369" spans="1:13" x14ac:dyDescent="0.25">
      <c r="A8369" s="417" t="s">
        <v>3385</v>
      </c>
      <c r="B8369" s="417" t="s">
        <v>2627</v>
      </c>
      <c r="C8369" s="417" t="s">
        <v>930</v>
      </c>
      <c r="D8369" s="417" t="s">
        <v>88</v>
      </c>
      <c r="E8369" s="423">
        <v>1.084619756446791</v>
      </c>
      <c r="F8369" s="423">
        <v>3.8309992267924982E-2</v>
      </c>
      <c r="G8369" s="422">
        <v>1705.6914188762939</v>
      </c>
      <c r="H8369" s="417" t="s">
        <v>2616</v>
      </c>
      <c r="I8369" s="417" t="s">
        <v>28841</v>
      </c>
      <c r="J8369" s="417" t="s">
        <v>5182</v>
      </c>
      <c r="K8369" s="417" t="s">
        <v>19193</v>
      </c>
      <c r="L8369" s="417"/>
      <c r="M8369" s="417" t="s">
        <v>28840</v>
      </c>
    </row>
    <row r="8370" spans="1:13" x14ac:dyDescent="0.25">
      <c r="A8370" s="417" t="s">
        <v>3385</v>
      </c>
      <c r="B8370" s="417" t="s">
        <v>2627</v>
      </c>
      <c r="C8370" s="417" t="s">
        <v>19194</v>
      </c>
      <c r="D8370" s="417" t="s">
        <v>88</v>
      </c>
      <c r="E8370" s="423">
        <v>1.0324846321960841</v>
      </c>
      <c r="F8370" s="423">
        <v>2.2547048E-2</v>
      </c>
      <c r="G8370" s="422">
        <v>1504.201400833964</v>
      </c>
      <c r="H8370" s="417" t="s">
        <v>2616</v>
      </c>
      <c r="I8370" s="417" t="s">
        <v>1392</v>
      </c>
      <c r="J8370" s="417" t="s">
        <v>19195</v>
      </c>
      <c r="K8370" s="417" t="s">
        <v>19196</v>
      </c>
      <c r="L8370" s="417"/>
      <c r="M8370" s="417" t="s">
        <v>28840</v>
      </c>
    </row>
    <row r="8371" spans="1:13" x14ac:dyDescent="0.25">
      <c r="A8371" s="417" t="s">
        <v>3385</v>
      </c>
      <c r="B8371" s="417" t="s">
        <v>2627</v>
      </c>
      <c r="C8371" s="417" t="s">
        <v>19197</v>
      </c>
      <c r="D8371" s="417" t="s">
        <v>88</v>
      </c>
      <c r="E8371" s="423">
        <v>1.351698529109697</v>
      </c>
      <c r="F8371" s="423">
        <v>3.86833896E-2</v>
      </c>
      <c r="G8371" s="422">
        <v>2028.183756136704</v>
      </c>
      <c r="H8371" s="417" t="s">
        <v>2616</v>
      </c>
      <c r="I8371" s="417" t="s">
        <v>1392</v>
      </c>
      <c r="J8371" s="417" t="s">
        <v>19195</v>
      </c>
      <c r="K8371" s="417" t="s">
        <v>19198</v>
      </c>
      <c r="L8371" s="417"/>
      <c r="M8371" s="417" t="s">
        <v>28840</v>
      </c>
    </row>
    <row r="8372" spans="1:13" x14ac:dyDescent="0.25">
      <c r="A8372" s="417" t="s">
        <v>3385</v>
      </c>
      <c r="B8372" s="417" t="s">
        <v>2627</v>
      </c>
      <c r="C8372" s="417" t="s">
        <v>19199</v>
      </c>
      <c r="D8372" s="417" t="s">
        <v>88</v>
      </c>
      <c r="E8372" s="423">
        <v>1.058368325276076</v>
      </c>
      <c r="F8372" s="423">
        <v>2.7837025200000001E-2</v>
      </c>
      <c r="G8372" s="422">
        <v>1552.0738918522941</v>
      </c>
      <c r="H8372" s="417" t="s">
        <v>2616</v>
      </c>
      <c r="I8372" s="417" t="s">
        <v>1392</v>
      </c>
      <c r="J8372" s="417" t="s">
        <v>19195</v>
      </c>
      <c r="K8372" s="417" t="s">
        <v>19200</v>
      </c>
      <c r="L8372" s="417"/>
      <c r="M8372" s="417" t="s">
        <v>28840</v>
      </c>
    </row>
    <row r="8373" spans="1:13" x14ac:dyDescent="0.25">
      <c r="A8373" s="417" t="s">
        <v>3385</v>
      </c>
      <c r="B8373" s="417" t="s">
        <v>2627</v>
      </c>
      <c r="C8373" s="417" t="s">
        <v>19201</v>
      </c>
      <c r="D8373" s="417" t="s">
        <v>88</v>
      </c>
      <c r="E8373" s="423">
        <v>1.1339027579166969</v>
      </c>
      <c r="F8373" s="423">
        <v>4.3088578504524258E-2</v>
      </c>
      <c r="G8373" s="422">
        <v>1791.8348694751289</v>
      </c>
      <c r="H8373" s="417" t="s">
        <v>2616</v>
      </c>
      <c r="I8373" s="417" t="s">
        <v>1392</v>
      </c>
      <c r="J8373" s="417" t="s">
        <v>5182</v>
      </c>
      <c r="K8373" s="417" t="s">
        <v>19202</v>
      </c>
      <c r="L8373" s="417"/>
      <c r="M8373" s="417" t="s">
        <v>28840</v>
      </c>
    </row>
    <row r="8374" spans="1:13" x14ac:dyDescent="0.25">
      <c r="A8374" s="417" t="s">
        <v>3385</v>
      </c>
      <c r="B8374" s="417" t="s">
        <v>2627</v>
      </c>
      <c r="C8374" s="417" t="s">
        <v>19203</v>
      </c>
      <c r="D8374" s="417" t="s">
        <v>88</v>
      </c>
      <c r="E8374" s="423">
        <v>0.61389896560029555</v>
      </c>
      <c r="F8374" s="423">
        <v>3.9146260326732199E-2</v>
      </c>
      <c r="G8374" s="422">
        <v>1155.2984091702699</v>
      </c>
      <c r="H8374" s="417" t="s">
        <v>2616</v>
      </c>
      <c r="I8374" s="417" t="s">
        <v>1392</v>
      </c>
      <c r="J8374" s="417" t="s">
        <v>4544</v>
      </c>
      <c r="K8374" s="417" t="s">
        <v>19204</v>
      </c>
      <c r="L8374" s="417"/>
      <c r="M8374" s="417" t="s">
        <v>28840</v>
      </c>
    </row>
    <row r="8375" spans="1:13" x14ac:dyDescent="0.25">
      <c r="A8375" s="417" t="s">
        <v>3385</v>
      </c>
      <c r="B8375" s="417" t="s">
        <v>2627</v>
      </c>
      <c r="C8375" s="417" t="s">
        <v>19205</v>
      </c>
      <c r="D8375" s="417" t="s">
        <v>88</v>
      </c>
      <c r="E8375" s="423">
        <v>0.61389896560029555</v>
      </c>
      <c r="F8375" s="423">
        <v>3.9146260326732199E-2</v>
      </c>
      <c r="G8375" s="422">
        <v>1155.2984091702699</v>
      </c>
      <c r="H8375" s="417" t="s">
        <v>2616</v>
      </c>
      <c r="I8375" s="417" t="s">
        <v>1392</v>
      </c>
      <c r="J8375" s="417" t="s">
        <v>3627</v>
      </c>
      <c r="K8375" s="417" t="s">
        <v>19206</v>
      </c>
      <c r="L8375" s="417"/>
      <c r="M8375" s="417" t="s">
        <v>28840</v>
      </c>
    </row>
    <row r="8376" spans="1:13" x14ac:dyDescent="0.25">
      <c r="A8376" s="417" t="s">
        <v>3385</v>
      </c>
      <c r="B8376" s="417" t="s">
        <v>2627</v>
      </c>
      <c r="C8376" s="417" t="s">
        <v>19207</v>
      </c>
      <c r="D8376" s="417" t="s">
        <v>563</v>
      </c>
      <c r="E8376" s="423">
        <v>66.752935759573816</v>
      </c>
      <c r="F8376" s="423">
        <v>2.596378637928241</v>
      </c>
      <c r="G8376" s="422">
        <v>157295.6456419777</v>
      </c>
      <c r="H8376" s="417" t="s">
        <v>2616</v>
      </c>
      <c r="I8376" s="417" t="s">
        <v>1392</v>
      </c>
      <c r="J8376" s="417" t="s">
        <v>3706</v>
      </c>
      <c r="K8376" s="417" t="s">
        <v>19208</v>
      </c>
      <c r="L8376" s="417"/>
      <c r="M8376" s="417" t="s">
        <v>28840</v>
      </c>
    </row>
    <row r="8377" spans="1:13" x14ac:dyDescent="0.25">
      <c r="A8377" s="417" t="s">
        <v>3385</v>
      </c>
      <c r="B8377" s="417" t="s">
        <v>2627</v>
      </c>
      <c r="C8377" s="417" t="s">
        <v>19209</v>
      </c>
      <c r="D8377" s="417" t="s">
        <v>563</v>
      </c>
      <c r="E8377" s="423">
        <v>66.752935759573816</v>
      </c>
      <c r="F8377" s="423">
        <v>2.596378637928241</v>
      </c>
      <c r="G8377" s="422">
        <v>157295.4619368389</v>
      </c>
      <c r="H8377" s="417" t="s">
        <v>2616</v>
      </c>
      <c r="I8377" s="417" t="s">
        <v>1392</v>
      </c>
      <c r="J8377" s="417" t="s">
        <v>3706</v>
      </c>
      <c r="K8377" s="417" t="s">
        <v>19210</v>
      </c>
      <c r="L8377" s="417"/>
      <c r="M8377" s="417" t="s">
        <v>28840</v>
      </c>
    </row>
    <row r="8378" spans="1:13" x14ac:dyDescent="0.25">
      <c r="A8378" s="417" t="s">
        <v>3385</v>
      </c>
      <c r="B8378" s="417" t="s">
        <v>3655</v>
      </c>
      <c r="C8378" s="417" t="s">
        <v>19211</v>
      </c>
      <c r="D8378" s="417" t="s">
        <v>989</v>
      </c>
      <c r="E8378" s="423">
        <v>73002.592114949017</v>
      </c>
      <c r="F8378" s="423">
        <v>7417.8728965200207</v>
      </c>
      <c r="G8378" s="422">
        <v>169947261.0832572</v>
      </c>
      <c r="H8378" s="417" t="s">
        <v>2616</v>
      </c>
      <c r="I8378" s="417" t="s">
        <v>1392</v>
      </c>
      <c r="J8378" s="417" t="s">
        <v>13907</v>
      </c>
      <c r="K8378" s="417" t="s">
        <v>19212</v>
      </c>
      <c r="L8378" s="417"/>
      <c r="M8378" s="417" t="s">
        <v>28840</v>
      </c>
    </row>
    <row r="8379" spans="1:13" x14ac:dyDescent="0.25">
      <c r="A8379" s="417" t="s">
        <v>3385</v>
      </c>
      <c r="B8379" s="417" t="s">
        <v>2627</v>
      </c>
      <c r="C8379" s="417" t="s">
        <v>19213</v>
      </c>
      <c r="D8379" s="417" t="s">
        <v>563</v>
      </c>
      <c r="E8379" s="423">
        <v>58.472181278646687</v>
      </c>
      <c r="F8379" s="423">
        <v>2.0014362666519272</v>
      </c>
      <c r="G8379" s="422">
        <v>123910.55337441139</v>
      </c>
      <c r="H8379" s="417" t="s">
        <v>2616</v>
      </c>
      <c r="I8379" s="417" t="s">
        <v>1392</v>
      </c>
      <c r="J8379" s="417" t="s">
        <v>3433</v>
      </c>
      <c r="K8379" s="417" t="s">
        <v>19214</v>
      </c>
      <c r="L8379" s="417"/>
      <c r="M8379" s="417" t="s">
        <v>28840</v>
      </c>
    </row>
    <row r="8380" spans="1:13" x14ac:dyDescent="0.25">
      <c r="A8380" s="417" t="s">
        <v>3385</v>
      </c>
      <c r="B8380" s="417" t="s">
        <v>2627</v>
      </c>
      <c r="C8380" s="417" t="s">
        <v>19215</v>
      </c>
      <c r="D8380" s="417" t="s">
        <v>88</v>
      </c>
      <c r="E8380" s="423">
        <v>0.35003585838904983</v>
      </c>
      <c r="F8380" s="423">
        <v>4.9185072389215474E-3</v>
      </c>
      <c r="G8380" s="422">
        <v>450.07739984510289</v>
      </c>
      <c r="H8380" s="417" t="s">
        <v>2616</v>
      </c>
      <c r="I8380" s="417" t="s">
        <v>1392</v>
      </c>
      <c r="J8380" s="417" t="s">
        <v>3616</v>
      </c>
      <c r="K8380" s="417" t="s">
        <v>19216</v>
      </c>
      <c r="L8380" s="417"/>
      <c r="M8380" s="417" t="s">
        <v>28840</v>
      </c>
    </row>
    <row r="8381" spans="1:13" x14ac:dyDescent="0.25">
      <c r="A8381" s="417" t="s">
        <v>3385</v>
      </c>
      <c r="B8381" s="417" t="s">
        <v>2627</v>
      </c>
      <c r="C8381" s="417" t="s">
        <v>19217</v>
      </c>
      <c r="D8381" s="417" t="s">
        <v>88</v>
      </c>
      <c r="E8381" s="423">
        <v>0.36315396594948729</v>
      </c>
      <c r="F8381" s="423">
        <v>6.2011764094651138E-3</v>
      </c>
      <c r="G8381" s="422">
        <v>474.88812598550618</v>
      </c>
      <c r="H8381" s="417" t="s">
        <v>2616</v>
      </c>
      <c r="I8381" s="417" t="s">
        <v>1392</v>
      </c>
      <c r="J8381" s="417" t="s">
        <v>3627</v>
      </c>
      <c r="K8381" s="417" t="s">
        <v>19218</v>
      </c>
      <c r="L8381" s="417"/>
      <c r="M8381" s="417" t="s">
        <v>28840</v>
      </c>
    </row>
    <row r="8382" spans="1:13" x14ac:dyDescent="0.25">
      <c r="A8382" s="417" t="s">
        <v>3385</v>
      </c>
      <c r="B8382" s="417" t="s">
        <v>2627</v>
      </c>
      <c r="C8382" s="417" t="s">
        <v>19219</v>
      </c>
      <c r="D8382" s="417" t="s">
        <v>88</v>
      </c>
      <c r="E8382" s="423">
        <v>1.400329378259431</v>
      </c>
      <c r="F8382" s="423">
        <v>0.82097953980628913</v>
      </c>
      <c r="G8382" s="422">
        <v>5348.8062262173107</v>
      </c>
      <c r="H8382" s="417" t="s">
        <v>2616</v>
      </c>
      <c r="I8382" s="417" t="s">
        <v>1392</v>
      </c>
      <c r="J8382" s="417" t="s">
        <v>3633</v>
      </c>
      <c r="K8382" s="417" t="s">
        <v>19220</v>
      </c>
      <c r="L8382" s="417"/>
      <c r="M8382" s="417" t="s">
        <v>28840</v>
      </c>
    </row>
    <row r="8383" spans="1:13" x14ac:dyDescent="0.25">
      <c r="A8383" s="417" t="s">
        <v>3385</v>
      </c>
      <c r="B8383" s="417" t="s">
        <v>2627</v>
      </c>
      <c r="C8383" s="417" t="s">
        <v>19221</v>
      </c>
      <c r="D8383" s="417" t="s">
        <v>83</v>
      </c>
      <c r="E8383" s="423">
        <v>9.1701375269952337</v>
      </c>
      <c r="F8383" s="423">
        <v>0.55038129319494555</v>
      </c>
      <c r="G8383" s="422">
        <v>107787.33368387489</v>
      </c>
      <c r="H8383" s="417" t="s">
        <v>2616</v>
      </c>
      <c r="I8383" s="417" t="s">
        <v>1392</v>
      </c>
      <c r="J8383" s="417" t="s">
        <v>3995</v>
      </c>
      <c r="K8383" s="417" t="s">
        <v>19222</v>
      </c>
      <c r="L8383" s="417"/>
      <c r="M8383" s="417" t="s">
        <v>28840</v>
      </c>
    </row>
    <row r="8384" spans="1:13" x14ac:dyDescent="0.25">
      <c r="A8384" s="417" t="s">
        <v>3385</v>
      </c>
      <c r="B8384" s="417" t="s">
        <v>2627</v>
      </c>
      <c r="C8384" s="417" t="s">
        <v>19223</v>
      </c>
      <c r="D8384" s="417" t="s">
        <v>83</v>
      </c>
      <c r="E8384" s="423">
        <v>6.9018476450848754</v>
      </c>
      <c r="F8384" s="423">
        <v>0.41164337730229322</v>
      </c>
      <c r="G8384" s="422">
        <v>44247.543494539437</v>
      </c>
      <c r="H8384" s="417" t="s">
        <v>2616</v>
      </c>
      <c r="I8384" s="417" t="s">
        <v>1392</v>
      </c>
      <c r="J8384" s="417" t="s">
        <v>4025</v>
      </c>
      <c r="K8384" s="417" t="s">
        <v>19224</v>
      </c>
      <c r="L8384" s="417"/>
      <c r="M8384" s="417" t="s">
        <v>28840</v>
      </c>
    </row>
    <row r="8385" spans="1:13" x14ac:dyDescent="0.25">
      <c r="A8385" s="417" t="s">
        <v>3385</v>
      </c>
      <c r="B8385" s="417" t="s">
        <v>2627</v>
      </c>
      <c r="C8385" s="417" t="s">
        <v>19225</v>
      </c>
      <c r="D8385" s="417" t="s">
        <v>83</v>
      </c>
      <c r="E8385" s="423">
        <v>225.90157096194761</v>
      </c>
      <c r="F8385" s="423">
        <v>2141.551832050287</v>
      </c>
      <c r="G8385" s="422">
        <v>121530008.65689451</v>
      </c>
      <c r="H8385" s="417" t="s">
        <v>2616</v>
      </c>
      <c r="I8385" s="417" t="s">
        <v>1392</v>
      </c>
      <c r="J8385" s="417" t="s">
        <v>3995</v>
      </c>
      <c r="K8385" s="417" t="s">
        <v>19226</v>
      </c>
      <c r="L8385" s="417"/>
      <c r="M8385" s="417" t="s">
        <v>28840</v>
      </c>
    </row>
    <row r="8386" spans="1:13" x14ac:dyDescent="0.25">
      <c r="A8386" s="417" t="s">
        <v>3385</v>
      </c>
      <c r="B8386" s="417" t="s">
        <v>2627</v>
      </c>
      <c r="C8386" s="417" t="s">
        <v>19227</v>
      </c>
      <c r="D8386" s="417" t="s">
        <v>83</v>
      </c>
      <c r="E8386" s="423">
        <v>109.43072423418531</v>
      </c>
      <c r="F8386" s="423">
        <v>1972.7226613692731</v>
      </c>
      <c r="G8386" s="422">
        <v>121281473.6591416</v>
      </c>
      <c r="H8386" s="417" t="s">
        <v>2616</v>
      </c>
      <c r="I8386" s="417" t="s">
        <v>1392</v>
      </c>
      <c r="J8386" s="417" t="s">
        <v>3995</v>
      </c>
      <c r="K8386" s="417" t="s">
        <v>19228</v>
      </c>
      <c r="L8386" s="417"/>
      <c r="M8386" s="417" t="s">
        <v>28840</v>
      </c>
    </row>
    <row r="8387" spans="1:13" x14ac:dyDescent="0.25">
      <c r="A8387" s="417" t="s">
        <v>3385</v>
      </c>
      <c r="B8387" s="417" t="s">
        <v>2627</v>
      </c>
      <c r="C8387" s="417" t="s">
        <v>19229</v>
      </c>
      <c r="D8387" s="417" t="s">
        <v>83</v>
      </c>
      <c r="E8387" s="423">
        <v>17.08467553983856</v>
      </c>
      <c r="F8387" s="423">
        <v>328.81091441041531</v>
      </c>
      <c r="G8387" s="422">
        <v>603109.2673556857</v>
      </c>
      <c r="H8387" s="417" t="s">
        <v>2616</v>
      </c>
      <c r="I8387" s="417" t="s">
        <v>1392</v>
      </c>
      <c r="J8387" s="417" t="s">
        <v>3995</v>
      </c>
      <c r="K8387" s="417" t="s">
        <v>19230</v>
      </c>
      <c r="L8387" s="417"/>
      <c r="M8387" s="417" t="s">
        <v>28840</v>
      </c>
    </row>
    <row r="8388" spans="1:13" x14ac:dyDescent="0.25">
      <c r="A8388" s="417" t="s">
        <v>3385</v>
      </c>
      <c r="B8388" s="417" t="s">
        <v>2627</v>
      </c>
      <c r="C8388" s="417" t="s">
        <v>19231</v>
      </c>
      <c r="D8388" s="417" t="s">
        <v>83</v>
      </c>
      <c r="E8388" s="423">
        <v>211.39661451915109</v>
      </c>
      <c r="F8388" s="423">
        <v>1308.533087721434</v>
      </c>
      <c r="G8388" s="422">
        <v>218312204.17107779</v>
      </c>
      <c r="H8388" s="417" t="s">
        <v>2616</v>
      </c>
      <c r="I8388" s="417" t="s">
        <v>1392</v>
      </c>
      <c r="J8388" s="417" t="s">
        <v>3995</v>
      </c>
      <c r="K8388" s="417" t="s">
        <v>19232</v>
      </c>
      <c r="L8388" s="417"/>
      <c r="M8388" s="417" t="s">
        <v>28840</v>
      </c>
    </row>
    <row r="8389" spans="1:13" x14ac:dyDescent="0.25">
      <c r="A8389" s="417" t="s">
        <v>3385</v>
      </c>
      <c r="B8389" s="417" t="s">
        <v>2627</v>
      </c>
      <c r="C8389" s="417" t="s">
        <v>19233</v>
      </c>
      <c r="D8389" s="417" t="s">
        <v>83</v>
      </c>
      <c r="E8389" s="423">
        <v>63.361483045409408</v>
      </c>
      <c r="F8389" s="423">
        <v>1183.5796424422181</v>
      </c>
      <c r="G8389" s="422">
        <v>217983484.88188779</v>
      </c>
      <c r="H8389" s="417" t="s">
        <v>2616</v>
      </c>
      <c r="I8389" s="417" t="s">
        <v>1392</v>
      </c>
      <c r="J8389" s="417" t="s">
        <v>3995</v>
      </c>
      <c r="K8389" s="417" t="s">
        <v>19234</v>
      </c>
      <c r="L8389" s="417"/>
      <c r="M8389" s="417" t="s">
        <v>28840</v>
      </c>
    </row>
    <row r="8390" spans="1:13" x14ac:dyDescent="0.25">
      <c r="A8390" s="417" t="s">
        <v>3385</v>
      </c>
      <c r="B8390" s="417" t="s">
        <v>2627</v>
      </c>
      <c r="C8390" s="417" t="s">
        <v>19235</v>
      </c>
      <c r="D8390" s="417" t="s">
        <v>83</v>
      </c>
      <c r="E8390" s="423">
        <v>209.1260119889117</v>
      </c>
      <c r="F8390" s="423">
        <v>1187.556635301187</v>
      </c>
      <c r="G8390" s="422">
        <v>1230111.464668321</v>
      </c>
      <c r="H8390" s="417" t="s">
        <v>2616</v>
      </c>
      <c r="I8390" s="417" t="s">
        <v>1392</v>
      </c>
      <c r="J8390" s="417" t="s">
        <v>3995</v>
      </c>
      <c r="K8390" s="417" t="s">
        <v>19236</v>
      </c>
      <c r="L8390" s="417"/>
      <c r="M8390" s="417" t="s">
        <v>28840</v>
      </c>
    </row>
    <row r="8391" spans="1:13" x14ac:dyDescent="0.25">
      <c r="A8391" s="417" t="s">
        <v>3385</v>
      </c>
      <c r="B8391" s="417" t="s">
        <v>2627</v>
      </c>
      <c r="C8391" s="417" t="s">
        <v>991</v>
      </c>
      <c r="D8391" s="417" t="s">
        <v>989</v>
      </c>
      <c r="E8391" s="423">
        <v>17.278457496112392</v>
      </c>
      <c r="F8391" s="423">
        <v>0.64045557409607934</v>
      </c>
      <c r="G8391" s="422">
        <v>98925.752281791283</v>
      </c>
      <c r="H8391" s="417" t="s">
        <v>2616</v>
      </c>
      <c r="I8391" s="417" t="s">
        <v>28841</v>
      </c>
      <c r="J8391" s="417" t="s">
        <v>4294</v>
      </c>
      <c r="K8391" s="417" t="s">
        <v>19237</v>
      </c>
      <c r="L8391" s="417"/>
      <c r="M8391" s="417" t="s">
        <v>28840</v>
      </c>
    </row>
    <row r="8392" spans="1:13" x14ac:dyDescent="0.25">
      <c r="A8392" s="417" t="s">
        <v>3385</v>
      </c>
      <c r="B8392" s="417" t="s">
        <v>3405</v>
      </c>
      <c r="C8392" s="417" t="s">
        <v>19238</v>
      </c>
      <c r="D8392" s="417" t="s">
        <v>989</v>
      </c>
      <c r="E8392" s="423">
        <v>10265682.043922359</v>
      </c>
      <c r="F8392" s="423">
        <v>451650.01116305438</v>
      </c>
      <c r="G8392" s="422">
        <v>21758002125.464569</v>
      </c>
      <c r="H8392" s="417" t="s">
        <v>2616</v>
      </c>
      <c r="I8392" s="417" t="s">
        <v>1392</v>
      </c>
      <c r="J8392" s="417" t="s">
        <v>19239</v>
      </c>
      <c r="K8392" s="417" t="s">
        <v>19240</v>
      </c>
      <c r="L8392" s="417"/>
      <c r="M8392" s="417" t="s">
        <v>28840</v>
      </c>
    </row>
    <row r="8393" spans="1:13" x14ac:dyDescent="0.25">
      <c r="A8393" s="417" t="s">
        <v>3385</v>
      </c>
      <c r="B8393" s="417" t="s">
        <v>3405</v>
      </c>
      <c r="C8393" s="417" t="s">
        <v>19241</v>
      </c>
      <c r="D8393" s="417" t="s">
        <v>989</v>
      </c>
      <c r="E8393" s="423">
        <v>10562391.052313549</v>
      </c>
      <c r="F8393" s="423">
        <v>475063.25155537581</v>
      </c>
      <c r="G8393" s="422">
        <v>21992436194.97456</v>
      </c>
      <c r="H8393" s="417" t="s">
        <v>2616</v>
      </c>
      <c r="I8393" s="417" t="s">
        <v>1392</v>
      </c>
      <c r="J8393" s="417" t="s">
        <v>19239</v>
      </c>
      <c r="K8393" s="417" t="s">
        <v>19242</v>
      </c>
      <c r="L8393" s="417"/>
      <c r="M8393" s="417" t="s">
        <v>28840</v>
      </c>
    </row>
    <row r="8394" spans="1:13" x14ac:dyDescent="0.25">
      <c r="A8394" s="417" t="s">
        <v>3385</v>
      </c>
      <c r="B8394" s="417" t="s">
        <v>2627</v>
      </c>
      <c r="C8394" s="417" t="s">
        <v>19243</v>
      </c>
      <c r="D8394" s="417" t="s">
        <v>88</v>
      </c>
      <c r="E8394" s="423">
        <v>0.98096266409570843</v>
      </c>
      <c r="F8394" s="423">
        <v>3.9483829843823301E-2</v>
      </c>
      <c r="G8394" s="422">
        <v>1654.8762547998581</v>
      </c>
      <c r="H8394" s="417" t="s">
        <v>2616</v>
      </c>
      <c r="I8394" s="417" t="s">
        <v>1392</v>
      </c>
      <c r="J8394" s="417" t="s">
        <v>3860</v>
      </c>
      <c r="K8394" s="417" t="s">
        <v>19244</v>
      </c>
      <c r="L8394" s="417"/>
      <c r="M8394" s="417" t="s">
        <v>28840</v>
      </c>
    </row>
    <row r="8395" spans="1:13" x14ac:dyDescent="0.25">
      <c r="A8395" s="417" t="s">
        <v>3385</v>
      </c>
      <c r="B8395" s="417" t="s">
        <v>2627</v>
      </c>
      <c r="C8395" s="417" t="s">
        <v>19245</v>
      </c>
      <c r="D8395" s="417" t="s">
        <v>88</v>
      </c>
      <c r="E8395" s="423">
        <v>0.49231414897465769</v>
      </c>
      <c r="F8395" s="423">
        <v>9.0131432726246949E-3</v>
      </c>
      <c r="G8395" s="422">
        <v>3969.1106507384038</v>
      </c>
      <c r="H8395" s="417" t="s">
        <v>2616</v>
      </c>
      <c r="I8395" s="417" t="s">
        <v>1392</v>
      </c>
      <c r="J8395" s="417" t="s">
        <v>4047</v>
      </c>
      <c r="K8395" s="417" t="s">
        <v>19246</v>
      </c>
      <c r="L8395" s="417"/>
      <c r="M8395" s="417" t="s">
        <v>28840</v>
      </c>
    </row>
    <row r="8396" spans="1:13" x14ac:dyDescent="0.25">
      <c r="A8396" s="417" t="s">
        <v>3385</v>
      </c>
      <c r="B8396" s="417" t="s">
        <v>2627</v>
      </c>
      <c r="C8396" s="417" t="s">
        <v>19247</v>
      </c>
      <c r="D8396" s="417" t="s">
        <v>88</v>
      </c>
      <c r="E8396" s="423">
        <v>0.35851742750441229</v>
      </c>
      <c r="F8396" s="423">
        <v>5.5676376595657547E-3</v>
      </c>
      <c r="G8396" s="422">
        <v>3261.4201178463031</v>
      </c>
      <c r="H8396" s="417" t="s">
        <v>2616</v>
      </c>
      <c r="I8396" s="417" t="s">
        <v>1392</v>
      </c>
      <c r="J8396" s="417" t="s">
        <v>4047</v>
      </c>
      <c r="K8396" s="417" t="s">
        <v>19248</v>
      </c>
      <c r="L8396" s="417"/>
      <c r="M8396" s="417" t="s">
        <v>28840</v>
      </c>
    </row>
    <row r="8397" spans="1:13" x14ac:dyDescent="0.25">
      <c r="A8397" s="417" t="s">
        <v>3385</v>
      </c>
      <c r="B8397" s="417" t="s">
        <v>2627</v>
      </c>
      <c r="C8397" s="417" t="s">
        <v>19249</v>
      </c>
      <c r="D8397" s="417" t="s">
        <v>88</v>
      </c>
      <c r="E8397" s="423">
        <v>0.29228528431690981</v>
      </c>
      <c r="F8397" s="423">
        <v>4.7915779552249174E-3</v>
      </c>
      <c r="G8397" s="422">
        <v>3368.3091805257109</v>
      </c>
      <c r="H8397" s="417" t="s">
        <v>2616</v>
      </c>
      <c r="I8397" s="417" t="s">
        <v>1392</v>
      </c>
      <c r="J8397" s="417" t="s">
        <v>4047</v>
      </c>
      <c r="K8397" s="417" t="s">
        <v>19250</v>
      </c>
      <c r="L8397" s="417"/>
      <c r="M8397" s="417" t="s">
        <v>28840</v>
      </c>
    </row>
    <row r="8398" spans="1:13" x14ac:dyDescent="0.25">
      <c r="A8398" s="417" t="s">
        <v>3385</v>
      </c>
      <c r="B8398" s="417" t="s">
        <v>2627</v>
      </c>
      <c r="C8398" s="417" t="s">
        <v>19251</v>
      </c>
      <c r="D8398" s="417" t="s">
        <v>88</v>
      </c>
      <c r="E8398" s="423">
        <v>0.40594889713531229</v>
      </c>
      <c r="F8398" s="423">
        <v>5.6441552792579341E-3</v>
      </c>
      <c r="G8398" s="422">
        <v>4463.7659523456859</v>
      </c>
      <c r="H8398" s="417" t="s">
        <v>2616</v>
      </c>
      <c r="I8398" s="417" t="s">
        <v>1392</v>
      </c>
      <c r="J8398" s="417" t="s">
        <v>4047</v>
      </c>
      <c r="K8398" s="417" t="s">
        <v>19252</v>
      </c>
      <c r="L8398" s="417"/>
      <c r="M8398" s="417" t="s">
        <v>28840</v>
      </c>
    </row>
    <row r="8399" spans="1:13" x14ac:dyDescent="0.25">
      <c r="A8399" s="417" t="s">
        <v>3385</v>
      </c>
      <c r="B8399" s="417" t="s">
        <v>2627</v>
      </c>
      <c r="C8399" s="417" t="s">
        <v>19253</v>
      </c>
      <c r="D8399" s="417" t="s">
        <v>88</v>
      </c>
      <c r="E8399" s="423">
        <v>0.46002589394042698</v>
      </c>
      <c r="F8399" s="423">
        <v>1.0071058702469229E-2</v>
      </c>
      <c r="G8399" s="422">
        <v>4571.0700325908383</v>
      </c>
      <c r="H8399" s="417" t="s">
        <v>2616</v>
      </c>
      <c r="I8399" s="417" t="s">
        <v>1392</v>
      </c>
      <c r="J8399" s="417" t="s">
        <v>11512</v>
      </c>
      <c r="K8399" s="417" t="s">
        <v>19254</v>
      </c>
      <c r="L8399" s="417"/>
      <c r="M8399" s="417" t="s">
        <v>28840</v>
      </c>
    </row>
    <row r="8400" spans="1:13" x14ac:dyDescent="0.25">
      <c r="A8400" s="417" t="s">
        <v>3385</v>
      </c>
      <c r="B8400" s="417" t="s">
        <v>2627</v>
      </c>
      <c r="C8400" s="417" t="s">
        <v>19255</v>
      </c>
      <c r="D8400" s="417" t="s">
        <v>88</v>
      </c>
      <c r="E8400" s="423">
        <v>0.32136894987301812</v>
      </c>
      <c r="F8400" s="423">
        <v>8.0968564471477263E-3</v>
      </c>
      <c r="G8400" s="422">
        <v>3434.05996729356</v>
      </c>
      <c r="H8400" s="417" t="s">
        <v>2616</v>
      </c>
      <c r="I8400" s="417" t="s">
        <v>1392</v>
      </c>
      <c r="J8400" s="417" t="s">
        <v>4054</v>
      </c>
      <c r="K8400" s="417" t="s">
        <v>19256</v>
      </c>
      <c r="L8400" s="417"/>
      <c r="M8400" s="417" t="s">
        <v>28840</v>
      </c>
    </row>
    <row r="8401" spans="1:13" x14ac:dyDescent="0.25">
      <c r="A8401" s="417" t="s">
        <v>3385</v>
      </c>
      <c r="B8401" s="417" t="s">
        <v>2627</v>
      </c>
      <c r="C8401" s="417" t="s">
        <v>19257</v>
      </c>
      <c r="D8401" s="417" t="s">
        <v>88</v>
      </c>
      <c r="E8401" s="423">
        <v>0.43404547820065409</v>
      </c>
      <c r="F8401" s="423">
        <v>8.9121509164338288E-3</v>
      </c>
      <c r="G8401" s="422">
        <v>4526.8451393035384</v>
      </c>
      <c r="H8401" s="417" t="s">
        <v>2616</v>
      </c>
      <c r="I8401" s="417" t="s">
        <v>1392</v>
      </c>
      <c r="J8401" s="417" t="s">
        <v>4054</v>
      </c>
      <c r="K8401" s="417" t="s">
        <v>19258</v>
      </c>
      <c r="L8401" s="417"/>
      <c r="M8401" s="417" t="s">
        <v>28840</v>
      </c>
    </row>
    <row r="8402" spans="1:13" x14ac:dyDescent="0.25">
      <c r="A8402" s="417" t="s">
        <v>3385</v>
      </c>
      <c r="B8402" s="417" t="s">
        <v>2627</v>
      </c>
      <c r="C8402" s="417" t="s">
        <v>19259</v>
      </c>
      <c r="D8402" s="417" t="s">
        <v>88</v>
      </c>
      <c r="E8402" s="423">
        <v>0.1065337166180359</v>
      </c>
      <c r="F8402" s="423">
        <v>2.588786355889204E-3</v>
      </c>
      <c r="G8402" s="422">
        <v>709.82899652161257</v>
      </c>
      <c r="H8402" s="417" t="s">
        <v>2616</v>
      </c>
      <c r="I8402" s="417" t="s">
        <v>1392</v>
      </c>
      <c r="J8402" s="417" t="s">
        <v>4047</v>
      </c>
      <c r="K8402" s="417" t="s">
        <v>19260</v>
      </c>
      <c r="L8402" s="417"/>
      <c r="M8402" s="417" t="s">
        <v>28840</v>
      </c>
    </row>
    <row r="8403" spans="1:13" x14ac:dyDescent="0.25">
      <c r="A8403" s="417" t="s">
        <v>3385</v>
      </c>
      <c r="B8403" s="417" t="s">
        <v>2627</v>
      </c>
      <c r="C8403" s="417" t="s">
        <v>19261</v>
      </c>
      <c r="D8403" s="417" t="s">
        <v>88</v>
      </c>
      <c r="E8403" s="423">
        <v>6.8571368294866722E-2</v>
      </c>
      <c r="F8403" s="423">
        <v>1.312783767173132E-3</v>
      </c>
      <c r="G8403" s="422">
        <v>596.55174138508289</v>
      </c>
      <c r="H8403" s="417" t="s">
        <v>2616</v>
      </c>
      <c r="I8403" s="417" t="s">
        <v>1392</v>
      </c>
      <c r="J8403" s="417" t="s">
        <v>4047</v>
      </c>
      <c r="K8403" s="417" t="s">
        <v>19262</v>
      </c>
      <c r="L8403" s="417"/>
      <c r="M8403" s="417" t="s">
        <v>28840</v>
      </c>
    </row>
    <row r="8404" spans="1:13" x14ac:dyDescent="0.25">
      <c r="A8404" s="417" t="s">
        <v>3385</v>
      </c>
      <c r="B8404" s="417" t="s">
        <v>2627</v>
      </c>
      <c r="C8404" s="417" t="s">
        <v>19263</v>
      </c>
      <c r="D8404" s="417" t="s">
        <v>88</v>
      </c>
      <c r="E8404" s="423">
        <v>5.7889308306171172E-2</v>
      </c>
      <c r="F8404" s="423">
        <v>1.1876248802676309E-3</v>
      </c>
      <c r="G8404" s="422">
        <v>613.33211028166181</v>
      </c>
      <c r="H8404" s="417" t="s">
        <v>2616</v>
      </c>
      <c r="I8404" s="417" t="s">
        <v>1392</v>
      </c>
      <c r="J8404" s="417" t="s">
        <v>4047</v>
      </c>
      <c r="K8404" s="417" t="s">
        <v>19264</v>
      </c>
      <c r="L8404" s="417"/>
      <c r="M8404" s="417" t="s">
        <v>28840</v>
      </c>
    </row>
    <row r="8405" spans="1:13" x14ac:dyDescent="0.25">
      <c r="A8405" s="417" t="s">
        <v>3385</v>
      </c>
      <c r="B8405" s="417" t="s">
        <v>2627</v>
      </c>
      <c r="C8405" s="417" t="s">
        <v>19265</v>
      </c>
      <c r="D8405" s="417" t="s">
        <v>88</v>
      </c>
      <c r="E8405" s="423">
        <v>5.201360716258624E-2</v>
      </c>
      <c r="F8405" s="423">
        <v>1.0057287231000449E-3</v>
      </c>
      <c r="G8405" s="422">
        <v>554.07825184145804</v>
      </c>
      <c r="H8405" s="417" t="s">
        <v>2616</v>
      </c>
      <c r="I8405" s="417" t="s">
        <v>1392</v>
      </c>
      <c r="J8405" s="417" t="s">
        <v>4047</v>
      </c>
      <c r="K8405" s="417" t="s">
        <v>19266</v>
      </c>
      <c r="L8405" s="417"/>
      <c r="M8405" s="417" t="s">
        <v>28840</v>
      </c>
    </row>
    <row r="8406" spans="1:13" x14ac:dyDescent="0.25">
      <c r="A8406" s="417" t="s">
        <v>3385</v>
      </c>
      <c r="B8406" s="417" t="s">
        <v>2627</v>
      </c>
      <c r="C8406" s="417" t="s">
        <v>19267</v>
      </c>
      <c r="D8406" s="417" t="s">
        <v>989</v>
      </c>
      <c r="E8406" s="423">
        <v>27923.28885755888</v>
      </c>
      <c r="F8406" s="423">
        <v>747.17385489180606</v>
      </c>
      <c r="G8406" s="422">
        <v>69488955.31122677</v>
      </c>
      <c r="H8406" s="417" t="s">
        <v>2616</v>
      </c>
      <c r="I8406" s="417" t="s">
        <v>1392</v>
      </c>
      <c r="J8406" s="417" t="s">
        <v>3809</v>
      </c>
      <c r="K8406" s="417" t="s">
        <v>19268</v>
      </c>
      <c r="L8406" s="417"/>
      <c r="M8406" s="417" t="s">
        <v>28840</v>
      </c>
    </row>
    <row r="8407" spans="1:13" x14ac:dyDescent="0.25">
      <c r="A8407" s="417" t="s">
        <v>3385</v>
      </c>
      <c r="B8407" s="417" t="s">
        <v>2437</v>
      </c>
      <c r="C8407" s="417" t="s">
        <v>19269</v>
      </c>
      <c r="D8407" s="417" t="s">
        <v>18938</v>
      </c>
      <c r="E8407" s="423">
        <v>1010.041294164487</v>
      </c>
      <c r="F8407" s="423">
        <v>50.821252086777271</v>
      </c>
      <c r="G8407" s="422">
        <v>2885490.129971127</v>
      </c>
      <c r="H8407" s="417" t="s">
        <v>2616</v>
      </c>
      <c r="I8407" s="417" t="s">
        <v>1392</v>
      </c>
      <c r="J8407" s="417" t="s">
        <v>5056</v>
      </c>
      <c r="K8407" s="417" t="s">
        <v>19270</v>
      </c>
      <c r="L8407" s="417"/>
      <c r="M8407" s="417" t="s">
        <v>28840</v>
      </c>
    </row>
    <row r="8408" spans="1:13" x14ac:dyDescent="0.25">
      <c r="A8408" s="417" t="s">
        <v>3385</v>
      </c>
      <c r="B8408" s="417" t="s">
        <v>2627</v>
      </c>
      <c r="C8408" s="417" t="s">
        <v>19271</v>
      </c>
      <c r="D8408" s="417" t="s">
        <v>88</v>
      </c>
      <c r="E8408" s="423">
        <v>1.2016222930768521</v>
      </c>
      <c r="F8408" s="423">
        <v>1.7523134800689261E-2</v>
      </c>
      <c r="G8408" s="422">
        <v>2179.707718934852</v>
      </c>
      <c r="H8408" s="417" t="s">
        <v>2616</v>
      </c>
      <c r="I8408" s="417" t="s">
        <v>1392</v>
      </c>
      <c r="J8408" s="417" t="s">
        <v>14271</v>
      </c>
      <c r="K8408" s="417" t="s">
        <v>19272</v>
      </c>
      <c r="L8408" s="417"/>
      <c r="M8408" s="417" t="s">
        <v>28840</v>
      </c>
    </row>
    <row r="8409" spans="1:13" x14ac:dyDescent="0.25">
      <c r="A8409" s="417" t="s">
        <v>3385</v>
      </c>
      <c r="B8409" s="417" t="s">
        <v>2627</v>
      </c>
      <c r="C8409" s="417" t="s">
        <v>916</v>
      </c>
      <c r="D8409" s="417" t="s">
        <v>88</v>
      </c>
      <c r="E8409" s="423">
        <v>0.1477311435856748</v>
      </c>
      <c r="F8409" s="423">
        <v>7.2002768527484112E-3</v>
      </c>
      <c r="G8409" s="422">
        <v>214.247670393384</v>
      </c>
      <c r="H8409" s="417" t="s">
        <v>2616</v>
      </c>
      <c r="I8409" s="417" t="s">
        <v>28841</v>
      </c>
      <c r="J8409" s="417" t="s">
        <v>4358</v>
      </c>
      <c r="K8409" s="417" t="s">
        <v>19273</v>
      </c>
      <c r="L8409" s="417"/>
      <c r="M8409" s="417" t="s">
        <v>28840</v>
      </c>
    </row>
    <row r="8410" spans="1:13" x14ac:dyDescent="0.25">
      <c r="A8410" s="417" t="s">
        <v>3385</v>
      </c>
      <c r="B8410" s="417" t="s">
        <v>2623</v>
      </c>
      <c r="C8410" s="417" t="s">
        <v>19274</v>
      </c>
      <c r="D8410" s="417" t="s">
        <v>88</v>
      </c>
      <c r="E8410" s="423">
        <v>8.2815456838036729E-3</v>
      </c>
      <c r="F8410" s="423">
        <v>4.2100322773035783E-4</v>
      </c>
      <c r="G8410" s="422">
        <v>27.917781151213688</v>
      </c>
      <c r="H8410" s="417" t="s">
        <v>2616</v>
      </c>
      <c r="I8410" s="417" t="s">
        <v>1392</v>
      </c>
      <c r="J8410" s="417" t="s">
        <v>4364</v>
      </c>
      <c r="K8410" s="417" t="s">
        <v>19275</v>
      </c>
      <c r="L8410" s="417"/>
      <c r="M8410" s="417" t="s">
        <v>28840</v>
      </c>
    </row>
    <row r="8411" spans="1:13" x14ac:dyDescent="0.25">
      <c r="A8411" s="417" t="s">
        <v>3385</v>
      </c>
      <c r="B8411" s="417" t="s">
        <v>2627</v>
      </c>
      <c r="C8411" s="417" t="s">
        <v>19276</v>
      </c>
      <c r="D8411" s="417" t="s">
        <v>88</v>
      </c>
      <c r="E8411" s="423">
        <v>2.5069432365282238E-3</v>
      </c>
      <c r="F8411" s="423">
        <v>1.3707462985845399E-4</v>
      </c>
      <c r="G8411" s="422">
        <v>34.432042493850808</v>
      </c>
      <c r="H8411" s="417" t="s">
        <v>2616</v>
      </c>
      <c r="I8411" s="417" t="s">
        <v>1392</v>
      </c>
      <c r="J8411" s="417" t="s">
        <v>3860</v>
      </c>
      <c r="K8411" s="417" t="s">
        <v>19277</v>
      </c>
      <c r="L8411" s="417"/>
      <c r="M8411" s="417" t="s">
        <v>28840</v>
      </c>
    </row>
    <row r="8412" spans="1:13" x14ac:dyDescent="0.25">
      <c r="A8412" s="417" t="s">
        <v>3385</v>
      </c>
      <c r="B8412" s="417" t="s">
        <v>2627</v>
      </c>
      <c r="C8412" s="417" t="s">
        <v>1118</v>
      </c>
      <c r="D8412" s="417" t="s">
        <v>88</v>
      </c>
      <c r="E8412" s="423">
        <v>3.0970131724407891E-3</v>
      </c>
      <c r="F8412" s="423">
        <v>1.9442904592266869E-4</v>
      </c>
      <c r="G8412" s="422">
        <v>35.550347026439347</v>
      </c>
      <c r="H8412" s="417" t="s">
        <v>2616</v>
      </c>
      <c r="I8412" s="417" t="s">
        <v>28841</v>
      </c>
      <c r="J8412" s="417" t="s">
        <v>3627</v>
      </c>
      <c r="K8412" s="417" t="s">
        <v>19278</v>
      </c>
      <c r="L8412" s="417"/>
      <c r="M8412" s="417" t="s">
        <v>28840</v>
      </c>
    </row>
    <row r="8413" spans="1:13" x14ac:dyDescent="0.25">
      <c r="A8413" s="417" t="s">
        <v>3385</v>
      </c>
      <c r="B8413" s="417" t="s">
        <v>2627</v>
      </c>
      <c r="C8413" s="417" t="s">
        <v>19279</v>
      </c>
      <c r="D8413" s="417" t="s">
        <v>88</v>
      </c>
      <c r="E8413" s="423">
        <v>3.0970131724407891E-3</v>
      </c>
      <c r="F8413" s="423">
        <v>1.9442904592266869E-4</v>
      </c>
      <c r="G8413" s="422">
        <v>19.422347026439351</v>
      </c>
      <c r="H8413" s="417" t="s">
        <v>2616</v>
      </c>
      <c r="I8413" s="417" t="s">
        <v>1392</v>
      </c>
      <c r="J8413" s="417" t="s">
        <v>3627</v>
      </c>
      <c r="K8413" s="417" t="s">
        <v>19280</v>
      </c>
      <c r="L8413" s="417"/>
      <c r="M8413" s="417" t="s">
        <v>28840</v>
      </c>
    </row>
    <row r="8414" spans="1:13" x14ac:dyDescent="0.25">
      <c r="A8414" s="417" t="s">
        <v>3385</v>
      </c>
      <c r="B8414" s="417" t="s">
        <v>2627</v>
      </c>
      <c r="C8414" s="417" t="s">
        <v>19281</v>
      </c>
      <c r="D8414" s="417" t="s">
        <v>88</v>
      </c>
      <c r="E8414" s="423">
        <v>1.586684798019006</v>
      </c>
      <c r="F8414" s="423">
        <v>0.23097663437828039</v>
      </c>
      <c r="G8414" s="422">
        <v>2663.9920147599601</v>
      </c>
      <c r="H8414" s="417" t="s">
        <v>2616</v>
      </c>
      <c r="I8414" s="417" t="s">
        <v>1392</v>
      </c>
      <c r="J8414" s="417" t="s">
        <v>4016</v>
      </c>
      <c r="K8414" s="417" t="s">
        <v>19282</v>
      </c>
      <c r="L8414" s="417"/>
      <c r="M8414" s="417" t="s">
        <v>28840</v>
      </c>
    </row>
    <row r="8415" spans="1:13" x14ac:dyDescent="0.25">
      <c r="A8415" s="417" t="s">
        <v>3385</v>
      </c>
      <c r="B8415" s="417" t="s">
        <v>2627</v>
      </c>
      <c r="C8415" s="417" t="s">
        <v>1009</v>
      </c>
      <c r="D8415" s="417" t="s">
        <v>88</v>
      </c>
      <c r="E8415" s="423">
        <v>2.2836408150476109</v>
      </c>
      <c r="F8415" s="423">
        <v>9.1248564834218351E-2</v>
      </c>
      <c r="G8415" s="422">
        <v>4617.700118876739</v>
      </c>
      <c r="H8415" s="417" t="s">
        <v>2616</v>
      </c>
      <c r="I8415" s="417" t="s">
        <v>28841</v>
      </c>
      <c r="J8415" s="417" t="s">
        <v>19283</v>
      </c>
      <c r="K8415" s="417" t="s">
        <v>19284</v>
      </c>
      <c r="L8415" s="417"/>
      <c r="M8415" s="417" t="s">
        <v>28840</v>
      </c>
    </row>
    <row r="8416" spans="1:13" x14ac:dyDescent="0.25">
      <c r="A8416" s="417" t="s">
        <v>3385</v>
      </c>
      <c r="B8416" s="417" t="s">
        <v>3655</v>
      </c>
      <c r="C8416" s="417" t="s">
        <v>19285</v>
      </c>
      <c r="D8416" s="417" t="s">
        <v>989</v>
      </c>
      <c r="E8416" s="423">
        <v>12943786.311086001</v>
      </c>
      <c r="F8416" s="423">
        <v>578389.41153803957</v>
      </c>
      <c r="G8416" s="422">
        <v>34727331542.101768</v>
      </c>
      <c r="H8416" s="417" t="s">
        <v>2616</v>
      </c>
      <c r="I8416" s="417" t="s">
        <v>1392</v>
      </c>
      <c r="J8416" s="417" t="s">
        <v>11811</v>
      </c>
      <c r="K8416" s="417" t="s">
        <v>19286</v>
      </c>
      <c r="L8416" s="417"/>
      <c r="M8416" s="417" t="s">
        <v>28840</v>
      </c>
    </row>
    <row r="8417" spans="1:13" x14ac:dyDescent="0.25">
      <c r="A8417" s="417" t="s">
        <v>3385</v>
      </c>
      <c r="B8417" s="417" t="s">
        <v>2627</v>
      </c>
      <c r="C8417" s="417" t="s">
        <v>19287</v>
      </c>
      <c r="D8417" s="417" t="s">
        <v>88</v>
      </c>
      <c r="E8417" s="423">
        <v>1.455883345746144E-2</v>
      </c>
      <c r="F8417" s="423">
        <v>1.0657620575169921E-3</v>
      </c>
      <c r="G8417" s="422">
        <v>85.398056434521067</v>
      </c>
      <c r="H8417" s="417" t="s">
        <v>2616</v>
      </c>
      <c r="I8417" s="417" t="s">
        <v>1392</v>
      </c>
      <c r="J8417" s="417" t="s">
        <v>4016</v>
      </c>
      <c r="K8417" s="417" t="s">
        <v>19288</v>
      </c>
      <c r="L8417" s="417"/>
      <c r="M8417" s="417" t="s">
        <v>28840</v>
      </c>
    </row>
    <row r="8418" spans="1:13" x14ac:dyDescent="0.25">
      <c r="A8418" s="417" t="s">
        <v>3385</v>
      </c>
      <c r="B8418" s="417" t="s">
        <v>2627</v>
      </c>
      <c r="C8418" s="417" t="s">
        <v>19289</v>
      </c>
      <c r="D8418" s="417" t="s">
        <v>88</v>
      </c>
      <c r="E8418" s="423">
        <v>1.5172603151470161E-2</v>
      </c>
      <c r="F8418" s="423">
        <v>1.0909252256785639E-3</v>
      </c>
      <c r="G8418" s="422">
        <v>85.638517026713913</v>
      </c>
      <c r="H8418" s="417" t="s">
        <v>2616</v>
      </c>
      <c r="I8418" s="417" t="s">
        <v>1392</v>
      </c>
      <c r="J8418" s="417" t="s">
        <v>4016</v>
      </c>
      <c r="K8418" s="417" t="s">
        <v>19290</v>
      </c>
      <c r="L8418" s="417"/>
      <c r="M8418" s="417" t="s">
        <v>28840</v>
      </c>
    </row>
    <row r="8419" spans="1:13" x14ac:dyDescent="0.25">
      <c r="A8419" s="417" t="s">
        <v>3385</v>
      </c>
      <c r="B8419" s="417" t="s">
        <v>2627</v>
      </c>
      <c r="C8419" s="417" t="s">
        <v>19291</v>
      </c>
      <c r="D8419" s="417" t="s">
        <v>88</v>
      </c>
      <c r="E8419" s="423">
        <v>1.8624416283499579E-2</v>
      </c>
      <c r="F8419" s="423">
        <v>1.4508837012225521E-3</v>
      </c>
      <c r="G8419" s="422">
        <v>97.102730942931615</v>
      </c>
      <c r="H8419" s="417" t="s">
        <v>2616</v>
      </c>
      <c r="I8419" s="417" t="s">
        <v>1392</v>
      </c>
      <c r="J8419" s="417" t="s">
        <v>4016</v>
      </c>
      <c r="K8419" s="417" t="s">
        <v>19292</v>
      </c>
      <c r="L8419" s="417"/>
      <c r="M8419" s="417" t="s">
        <v>28840</v>
      </c>
    </row>
    <row r="8420" spans="1:13" x14ac:dyDescent="0.25">
      <c r="A8420" s="417" t="s">
        <v>3385</v>
      </c>
      <c r="B8420" s="417" t="s">
        <v>2627</v>
      </c>
      <c r="C8420" s="417" t="s">
        <v>19293</v>
      </c>
      <c r="D8420" s="417" t="s">
        <v>88</v>
      </c>
      <c r="E8420" s="423">
        <v>1.886908634147616E-2</v>
      </c>
      <c r="F8420" s="423">
        <v>1.3472402733028289E-3</v>
      </c>
      <c r="G8420" s="422">
        <v>95.32576446208445</v>
      </c>
      <c r="H8420" s="417" t="s">
        <v>2616</v>
      </c>
      <c r="I8420" s="417" t="s">
        <v>1392</v>
      </c>
      <c r="J8420" s="417" t="s">
        <v>4016</v>
      </c>
      <c r="K8420" s="417" t="s">
        <v>19294</v>
      </c>
      <c r="L8420" s="417"/>
      <c r="M8420" s="417" t="s">
        <v>28840</v>
      </c>
    </row>
    <row r="8421" spans="1:13" x14ac:dyDescent="0.25">
      <c r="A8421" s="417" t="s">
        <v>3385</v>
      </c>
      <c r="B8421" s="417" t="s">
        <v>2627</v>
      </c>
      <c r="C8421" s="417" t="s">
        <v>19295</v>
      </c>
      <c r="D8421" s="417" t="s">
        <v>88</v>
      </c>
      <c r="E8421" s="423">
        <v>1.9826073000478579E-2</v>
      </c>
      <c r="F8421" s="423">
        <v>1.9626466917210409E-3</v>
      </c>
      <c r="G8421" s="422">
        <v>105.9788202653308</v>
      </c>
      <c r="H8421" s="417" t="s">
        <v>2616</v>
      </c>
      <c r="I8421" s="417" t="s">
        <v>1392</v>
      </c>
      <c r="J8421" s="417" t="s">
        <v>4016</v>
      </c>
      <c r="K8421" s="417" t="s">
        <v>19296</v>
      </c>
      <c r="L8421" s="417"/>
      <c r="M8421" s="417" t="s">
        <v>28840</v>
      </c>
    </row>
    <row r="8422" spans="1:13" x14ac:dyDescent="0.25">
      <c r="A8422" s="417" t="s">
        <v>3385</v>
      </c>
      <c r="B8422" s="417" t="s">
        <v>2627</v>
      </c>
      <c r="C8422" s="417" t="s">
        <v>19297</v>
      </c>
      <c r="D8422" s="417" t="s">
        <v>88</v>
      </c>
      <c r="E8422" s="423">
        <v>2.57398231149914E-2</v>
      </c>
      <c r="F8422" s="423">
        <v>2.2756060225457529E-3</v>
      </c>
      <c r="G8422" s="422">
        <v>109.0019216719452</v>
      </c>
      <c r="H8422" s="417" t="s">
        <v>2616</v>
      </c>
      <c r="I8422" s="417" t="s">
        <v>1392</v>
      </c>
      <c r="J8422" s="417" t="s">
        <v>4016</v>
      </c>
      <c r="K8422" s="417" t="s">
        <v>19298</v>
      </c>
      <c r="L8422" s="417"/>
      <c r="M8422" s="417" t="s">
        <v>28840</v>
      </c>
    </row>
    <row r="8423" spans="1:13" x14ac:dyDescent="0.25">
      <c r="A8423" s="417" t="s">
        <v>3385</v>
      </c>
      <c r="B8423" s="417" t="s">
        <v>2627</v>
      </c>
      <c r="C8423" s="417" t="s">
        <v>19299</v>
      </c>
      <c r="D8423" s="417" t="s">
        <v>83</v>
      </c>
      <c r="E8423" s="423">
        <v>12.137866594925431</v>
      </c>
      <c r="F8423" s="423">
        <v>1.0578625641716659</v>
      </c>
      <c r="G8423" s="422">
        <v>82935.141089125551</v>
      </c>
      <c r="H8423" s="417" t="s">
        <v>2616</v>
      </c>
      <c r="I8423" s="417" t="s">
        <v>1392</v>
      </c>
      <c r="J8423" s="417" t="s">
        <v>4016</v>
      </c>
      <c r="K8423" s="417" t="s">
        <v>19300</v>
      </c>
      <c r="L8423" s="417"/>
      <c r="M8423" s="417" t="s">
        <v>28840</v>
      </c>
    </row>
    <row r="8424" spans="1:13" x14ac:dyDescent="0.25">
      <c r="A8424" s="417" t="s">
        <v>3385</v>
      </c>
      <c r="B8424" s="417" t="s">
        <v>2627</v>
      </c>
      <c r="C8424" s="417" t="s">
        <v>19301</v>
      </c>
      <c r="D8424" s="417" t="s">
        <v>83</v>
      </c>
      <c r="E8424" s="423">
        <v>9.877033062486813</v>
      </c>
      <c r="F8424" s="423">
        <v>0.60616127128495567</v>
      </c>
      <c r="G8424" s="422">
        <v>53738.258005121381</v>
      </c>
      <c r="H8424" s="417" t="s">
        <v>2616</v>
      </c>
      <c r="I8424" s="417" t="s">
        <v>1392</v>
      </c>
      <c r="J8424" s="417" t="s">
        <v>4016</v>
      </c>
      <c r="K8424" s="417" t="s">
        <v>19302</v>
      </c>
      <c r="L8424" s="417"/>
      <c r="M8424" s="417" t="s">
        <v>28840</v>
      </c>
    </row>
    <row r="8425" spans="1:13" x14ac:dyDescent="0.25">
      <c r="A8425" s="417" t="s">
        <v>3385</v>
      </c>
      <c r="B8425" s="417" t="s">
        <v>2627</v>
      </c>
      <c r="C8425" s="417" t="s">
        <v>19303</v>
      </c>
      <c r="D8425" s="417" t="s">
        <v>83</v>
      </c>
      <c r="E8425" s="423">
        <v>10.54913997919377</v>
      </c>
      <c r="F8425" s="423">
        <v>0.8825124320677421</v>
      </c>
      <c r="G8425" s="422">
        <v>68167.684397472098</v>
      </c>
      <c r="H8425" s="417" t="s">
        <v>2616</v>
      </c>
      <c r="I8425" s="417" t="s">
        <v>1392</v>
      </c>
      <c r="J8425" s="417" t="s">
        <v>4016</v>
      </c>
      <c r="K8425" s="417" t="s">
        <v>19304</v>
      </c>
      <c r="L8425" s="417"/>
      <c r="M8425" s="417" t="s">
        <v>28840</v>
      </c>
    </row>
    <row r="8426" spans="1:13" x14ac:dyDescent="0.25">
      <c r="A8426" s="417" t="s">
        <v>3385</v>
      </c>
      <c r="B8426" s="417" t="s">
        <v>2627</v>
      </c>
      <c r="C8426" s="417" t="s">
        <v>19305</v>
      </c>
      <c r="D8426" s="417" t="s">
        <v>83</v>
      </c>
      <c r="E8426" s="423">
        <v>10.823725409661231</v>
      </c>
      <c r="F8426" s="423">
        <v>0.7878572989770376</v>
      </c>
      <c r="G8426" s="422">
        <v>65995.927784876578</v>
      </c>
      <c r="H8426" s="417" t="s">
        <v>2616</v>
      </c>
      <c r="I8426" s="417" t="s">
        <v>1392</v>
      </c>
      <c r="J8426" s="417" t="s">
        <v>4016</v>
      </c>
      <c r="K8426" s="417" t="s">
        <v>19306</v>
      </c>
      <c r="L8426" s="417"/>
      <c r="M8426" s="417" t="s">
        <v>28840</v>
      </c>
    </row>
    <row r="8427" spans="1:13" x14ac:dyDescent="0.25">
      <c r="A8427" s="417" t="s">
        <v>3385</v>
      </c>
      <c r="B8427" s="417" t="s">
        <v>2627</v>
      </c>
      <c r="C8427" s="417" t="s">
        <v>19307</v>
      </c>
      <c r="D8427" s="417" t="s">
        <v>83</v>
      </c>
      <c r="E8427" s="423">
        <v>12.17388321256866</v>
      </c>
      <c r="F8427" s="423">
        <v>0.97013632941860939</v>
      </c>
      <c r="G8427" s="422">
        <v>83706.933123522205</v>
      </c>
      <c r="H8427" s="417" t="s">
        <v>2616</v>
      </c>
      <c r="I8427" s="417" t="s">
        <v>1392</v>
      </c>
      <c r="J8427" s="417" t="s">
        <v>4016</v>
      </c>
      <c r="K8427" s="417" t="s">
        <v>19308</v>
      </c>
      <c r="L8427" s="417"/>
      <c r="M8427" s="417" t="s">
        <v>28840</v>
      </c>
    </row>
    <row r="8428" spans="1:13" x14ac:dyDescent="0.25">
      <c r="A8428" s="417" t="s">
        <v>3385</v>
      </c>
      <c r="B8428" s="417" t="s">
        <v>2627</v>
      </c>
      <c r="C8428" s="417" t="s">
        <v>19309</v>
      </c>
      <c r="D8428" s="417" t="s">
        <v>83</v>
      </c>
      <c r="E8428" s="423">
        <v>11.7918774270656</v>
      </c>
      <c r="F8428" s="423">
        <v>1.0573032399217099</v>
      </c>
      <c r="G8428" s="422">
        <v>75239.653690345935</v>
      </c>
      <c r="H8428" s="417" t="s">
        <v>2616</v>
      </c>
      <c r="I8428" s="417" t="s">
        <v>1392</v>
      </c>
      <c r="J8428" s="417" t="s">
        <v>4016</v>
      </c>
      <c r="K8428" s="417" t="s">
        <v>19310</v>
      </c>
      <c r="L8428" s="417"/>
      <c r="M8428" s="417" t="s">
        <v>28840</v>
      </c>
    </row>
    <row r="8429" spans="1:13" x14ac:dyDescent="0.25">
      <c r="A8429" s="417" t="s">
        <v>3385</v>
      </c>
      <c r="B8429" s="417" t="s">
        <v>2627</v>
      </c>
      <c r="C8429" s="417" t="s">
        <v>19311</v>
      </c>
      <c r="D8429" s="417" t="s">
        <v>83</v>
      </c>
      <c r="E8429" s="423">
        <v>11.24020346150118</v>
      </c>
      <c r="F8429" s="423">
        <v>0.63098343769721588</v>
      </c>
      <c r="G8429" s="422">
        <v>50971.472719088539</v>
      </c>
      <c r="H8429" s="417" t="s">
        <v>2616</v>
      </c>
      <c r="I8429" s="417" t="s">
        <v>1392</v>
      </c>
      <c r="J8429" s="417" t="s">
        <v>4016</v>
      </c>
      <c r="K8429" s="417" t="s">
        <v>19312</v>
      </c>
      <c r="L8429" s="417"/>
      <c r="M8429" s="417" t="s">
        <v>28840</v>
      </c>
    </row>
    <row r="8430" spans="1:13" x14ac:dyDescent="0.25">
      <c r="A8430" s="417" t="s">
        <v>3385</v>
      </c>
      <c r="B8430" s="417" t="s">
        <v>2627</v>
      </c>
      <c r="C8430" s="417" t="s">
        <v>19313</v>
      </c>
      <c r="D8430" s="417" t="s">
        <v>83</v>
      </c>
      <c r="E8430" s="423">
        <v>12.41295376187135</v>
      </c>
      <c r="F8430" s="423">
        <v>1.2231448262296749</v>
      </c>
      <c r="G8430" s="422">
        <v>60971.319046602817</v>
      </c>
      <c r="H8430" s="417" t="s">
        <v>2616</v>
      </c>
      <c r="I8430" s="417" t="s">
        <v>1392</v>
      </c>
      <c r="J8430" s="417" t="s">
        <v>4016</v>
      </c>
      <c r="K8430" s="417" t="s">
        <v>19314</v>
      </c>
      <c r="L8430" s="417"/>
      <c r="M8430" s="417" t="s">
        <v>28840</v>
      </c>
    </row>
    <row r="8431" spans="1:13" x14ac:dyDescent="0.25">
      <c r="A8431" s="417" t="s">
        <v>3385</v>
      </c>
      <c r="B8431" s="417" t="s">
        <v>2627</v>
      </c>
      <c r="C8431" s="417" t="s">
        <v>19315</v>
      </c>
      <c r="D8431" s="417" t="s">
        <v>83</v>
      </c>
      <c r="E8431" s="423">
        <v>12.41295376187135</v>
      </c>
      <c r="F8431" s="423">
        <v>1.2231448262296749</v>
      </c>
      <c r="G8431" s="422">
        <v>60962.919046602648</v>
      </c>
      <c r="H8431" s="417" t="s">
        <v>2616</v>
      </c>
      <c r="I8431" s="417" t="s">
        <v>1392</v>
      </c>
      <c r="J8431" s="417" t="s">
        <v>4016</v>
      </c>
      <c r="K8431" s="417" t="s">
        <v>19316</v>
      </c>
      <c r="L8431" s="417"/>
      <c r="M8431" s="417" t="s">
        <v>28840</v>
      </c>
    </row>
    <row r="8432" spans="1:13" x14ac:dyDescent="0.25">
      <c r="A8432" s="417" t="s">
        <v>3385</v>
      </c>
      <c r="B8432" s="417" t="s">
        <v>2627</v>
      </c>
      <c r="C8432" s="417" t="s">
        <v>19317</v>
      </c>
      <c r="D8432" s="417" t="s">
        <v>83</v>
      </c>
      <c r="E8432" s="423">
        <v>10.438007122047191</v>
      </c>
      <c r="F8432" s="423">
        <v>0.6999548124969952</v>
      </c>
      <c r="G8432" s="422">
        <v>52374.750913792443</v>
      </c>
      <c r="H8432" s="417" t="s">
        <v>2616</v>
      </c>
      <c r="I8432" s="417" t="s">
        <v>1392</v>
      </c>
      <c r="J8432" s="417" t="s">
        <v>4016</v>
      </c>
      <c r="K8432" s="417" t="s">
        <v>19318</v>
      </c>
      <c r="L8432" s="417"/>
      <c r="M8432" s="417" t="s">
        <v>28840</v>
      </c>
    </row>
    <row r="8433" spans="1:13" x14ac:dyDescent="0.25">
      <c r="A8433" s="417" t="s">
        <v>3385</v>
      </c>
      <c r="B8433" s="417" t="s">
        <v>2627</v>
      </c>
      <c r="C8433" s="417" t="s">
        <v>19319</v>
      </c>
      <c r="D8433" s="417" t="s">
        <v>83</v>
      </c>
      <c r="E8433" s="423">
        <v>9.2203317887277709</v>
      </c>
      <c r="F8433" s="423">
        <v>0.87364295302744011</v>
      </c>
      <c r="G8433" s="422">
        <v>58627.856021645777</v>
      </c>
      <c r="H8433" s="417" t="s">
        <v>2616</v>
      </c>
      <c r="I8433" s="417" t="s">
        <v>1392</v>
      </c>
      <c r="J8433" s="417" t="s">
        <v>4016</v>
      </c>
      <c r="K8433" s="417" t="s">
        <v>19320</v>
      </c>
      <c r="L8433" s="417"/>
      <c r="M8433" s="417" t="s">
        <v>28840</v>
      </c>
    </row>
    <row r="8434" spans="1:13" x14ac:dyDescent="0.25">
      <c r="A8434" s="417" t="s">
        <v>3385</v>
      </c>
      <c r="B8434" s="417" t="s">
        <v>2627</v>
      </c>
      <c r="C8434" s="417" t="s">
        <v>19321</v>
      </c>
      <c r="D8434" s="417" t="s">
        <v>83</v>
      </c>
      <c r="E8434" s="423">
        <v>10.050004700825371</v>
      </c>
      <c r="F8434" s="423">
        <v>0.52600045716720989</v>
      </c>
      <c r="G8434" s="422">
        <v>44180.480869794417</v>
      </c>
      <c r="H8434" s="417" t="s">
        <v>2616</v>
      </c>
      <c r="I8434" s="417" t="s">
        <v>1392</v>
      </c>
      <c r="J8434" s="417" t="s">
        <v>4016</v>
      </c>
      <c r="K8434" s="417" t="s">
        <v>19322</v>
      </c>
      <c r="L8434" s="417"/>
      <c r="M8434" s="417" t="s">
        <v>28840</v>
      </c>
    </row>
    <row r="8435" spans="1:13" x14ac:dyDescent="0.25">
      <c r="A8435" s="417" t="s">
        <v>3385</v>
      </c>
      <c r="B8435" s="417" t="s">
        <v>2627</v>
      </c>
      <c r="C8435" s="417" t="s">
        <v>19323</v>
      </c>
      <c r="D8435" s="417" t="s">
        <v>989</v>
      </c>
      <c r="E8435" s="423">
        <v>5021011.1633497952</v>
      </c>
      <c r="F8435" s="423">
        <v>472742.67454226728</v>
      </c>
      <c r="G8435" s="422">
        <v>11658344565.530861</v>
      </c>
      <c r="H8435" s="417" t="s">
        <v>2616</v>
      </c>
      <c r="I8435" s="417" t="s">
        <v>1392</v>
      </c>
      <c r="J8435" s="417" t="s">
        <v>4016</v>
      </c>
      <c r="K8435" s="417" t="s">
        <v>19324</v>
      </c>
      <c r="L8435" s="417"/>
      <c r="M8435" s="417" t="s">
        <v>28840</v>
      </c>
    </row>
    <row r="8436" spans="1:13" x14ac:dyDescent="0.25">
      <c r="A8436" s="417" t="s">
        <v>3385</v>
      </c>
      <c r="B8436" s="417" t="s">
        <v>2627</v>
      </c>
      <c r="C8436" s="417" t="s">
        <v>19325</v>
      </c>
      <c r="D8436" s="417" t="s">
        <v>989</v>
      </c>
      <c r="E8436" s="423">
        <v>9007089.9155320749</v>
      </c>
      <c r="F8436" s="423">
        <v>852147.08797773463</v>
      </c>
      <c r="G8436" s="422">
        <v>22100546425.2206</v>
      </c>
      <c r="H8436" s="417" t="s">
        <v>2616</v>
      </c>
      <c r="I8436" s="417" t="s">
        <v>1392</v>
      </c>
      <c r="J8436" s="417" t="s">
        <v>18364</v>
      </c>
      <c r="K8436" s="417" t="s">
        <v>19326</v>
      </c>
      <c r="L8436" s="417"/>
      <c r="M8436" s="417" t="s">
        <v>28840</v>
      </c>
    </row>
    <row r="8437" spans="1:13" x14ac:dyDescent="0.25">
      <c r="A8437" s="417" t="s">
        <v>3385</v>
      </c>
      <c r="B8437" s="417" t="s">
        <v>2627</v>
      </c>
      <c r="C8437" s="417" t="s">
        <v>19327</v>
      </c>
      <c r="D8437" s="417" t="s">
        <v>83</v>
      </c>
      <c r="E8437" s="423">
        <v>393.85600990073772</v>
      </c>
      <c r="F8437" s="423">
        <v>2685.055831618035</v>
      </c>
      <c r="G8437" s="422">
        <v>151870450.95745841</v>
      </c>
      <c r="H8437" s="417" t="s">
        <v>2616</v>
      </c>
      <c r="I8437" s="417" t="s">
        <v>1392</v>
      </c>
      <c r="J8437" s="417" t="s">
        <v>17481</v>
      </c>
      <c r="K8437" s="417" t="s">
        <v>19328</v>
      </c>
      <c r="L8437" s="417"/>
      <c r="M8437" s="417" t="s">
        <v>28840</v>
      </c>
    </row>
    <row r="8438" spans="1:13" x14ac:dyDescent="0.25">
      <c r="A8438" s="417" t="s">
        <v>3385</v>
      </c>
      <c r="B8438" s="417" t="s">
        <v>2627</v>
      </c>
      <c r="C8438" s="417" t="s">
        <v>19329</v>
      </c>
      <c r="D8438" s="417" t="s">
        <v>83</v>
      </c>
      <c r="E8438" s="423">
        <v>597.56560946799652</v>
      </c>
      <c r="F8438" s="423">
        <v>2648.3153664363299</v>
      </c>
      <c r="G8438" s="422">
        <v>3272300.393345315</v>
      </c>
      <c r="H8438" s="417" t="s">
        <v>2616</v>
      </c>
      <c r="I8438" s="417" t="s">
        <v>1392</v>
      </c>
      <c r="J8438" s="417" t="s">
        <v>17481</v>
      </c>
      <c r="K8438" s="417" t="s">
        <v>19330</v>
      </c>
      <c r="L8438" s="417"/>
      <c r="M8438" s="417" t="s">
        <v>28840</v>
      </c>
    </row>
    <row r="8439" spans="1:13" x14ac:dyDescent="0.25">
      <c r="A8439" s="417" t="s">
        <v>3385</v>
      </c>
      <c r="B8439" s="417" t="s">
        <v>2627</v>
      </c>
      <c r="C8439" s="417" t="s">
        <v>19331</v>
      </c>
      <c r="D8439" s="417" t="s">
        <v>83</v>
      </c>
      <c r="E8439" s="423">
        <v>682.0444034305857</v>
      </c>
      <c r="F8439" s="423">
        <v>2653.5836267739041</v>
      </c>
      <c r="G8439" s="422">
        <v>3450240.93053956</v>
      </c>
      <c r="H8439" s="417" t="s">
        <v>2616</v>
      </c>
      <c r="I8439" s="417" t="s">
        <v>1392</v>
      </c>
      <c r="J8439" s="417" t="s">
        <v>17481</v>
      </c>
      <c r="K8439" s="417" t="s">
        <v>19332</v>
      </c>
      <c r="L8439" s="417"/>
      <c r="M8439" s="417" t="s">
        <v>28840</v>
      </c>
    </row>
    <row r="8440" spans="1:13" x14ac:dyDescent="0.25">
      <c r="A8440" s="417" t="s">
        <v>3385</v>
      </c>
      <c r="B8440" s="417" t="s">
        <v>2627</v>
      </c>
      <c r="C8440" s="417" t="s">
        <v>19333</v>
      </c>
      <c r="D8440" s="417" t="s">
        <v>83</v>
      </c>
      <c r="E8440" s="423">
        <v>31.862865044906641</v>
      </c>
      <c r="F8440" s="423">
        <v>166.9486382387457</v>
      </c>
      <c r="G8440" s="422">
        <v>139401.7452517463</v>
      </c>
      <c r="H8440" s="417" t="s">
        <v>2616</v>
      </c>
      <c r="I8440" s="417" t="s">
        <v>1392</v>
      </c>
      <c r="J8440" s="417" t="s">
        <v>4025</v>
      </c>
      <c r="K8440" s="417" t="s">
        <v>19334</v>
      </c>
      <c r="L8440" s="417"/>
      <c r="M8440" s="417" t="s">
        <v>28840</v>
      </c>
    </row>
    <row r="8441" spans="1:13" x14ac:dyDescent="0.25">
      <c r="A8441" s="417" t="s">
        <v>3385</v>
      </c>
      <c r="B8441" s="417" t="s">
        <v>2627</v>
      </c>
      <c r="C8441" s="417" t="s">
        <v>19335</v>
      </c>
      <c r="D8441" s="417" t="s">
        <v>83</v>
      </c>
      <c r="E8441" s="423">
        <v>28.70848524521362</v>
      </c>
      <c r="F8441" s="423">
        <v>131.8507553453496</v>
      </c>
      <c r="G8441" s="422">
        <v>121271.2296918551</v>
      </c>
      <c r="H8441" s="417" t="s">
        <v>2616</v>
      </c>
      <c r="I8441" s="417" t="s">
        <v>1392</v>
      </c>
      <c r="J8441" s="417" t="s">
        <v>4025</v>
      </c>
      <c r="K8441" s="417" t="s">
        <v>19336</v>
      </c>
      <c r="L8441" s="417"/>
      <c r="M8441" s="417" t="s">
        <v>28840</v>
      </c>
    </row>
    <row r="8442" spans="1:13" x14ac:dyDescent="0.25">
      <c r="A8442" s="417" t="s">
        <v>3385</v>
      </c>
      <c r="B8442" s="417" t="s">
        <v>2627</v>
      </c>
      <c r="C8442" s="417" t="s">
        <v>19337</v>
      </c>
      <c r="D8442" s="417" t="s">
        <v>83</v>
      </c>
      <c r="E8442" s="423">
        <v>51.475795204607103</v>
      </c>
      <c r="F8442" s="423">
        <v>188.96199300572911</v>
      </c>
      <c r="G8442" s="422">
        <v>232629.4778410875</v>
      </c>
      <c r="H8442" s="417" t="s">
        <v>2616</v>
      </c>
      <c r="I8442" s="417" t="s">
        <v>1392</v>
      </c>
      <c r="J8442" s="417" t="s">
        <v>4016</v>
      </c>
      <c r="K8442" s="417" t="s">
        <v>19338</v>
      </c>
      <c r="L8442" s="417"/>
      <c r="M8442" s="417" t="s">
        <v>28840</v>
      </c>
    </row>
    <row r="8443" spans="1:13" x14ac:dyDescent="0.25">
      <c r="A8443" s="417" t="s">
        <v>3385</v>
      </c>
      <c r="B8443" s="417" t="s">
        <v>2627</v>
      </c>
      <c r="C8443" s="417" t="s">
        <v>19339</v>
      </c>
      <c r="D8443" s="417" t="s">
        <v>83</v>
      </c>
      <c r="E8443" s="423">
        <v>67.328185298686321</v>
      </c>
      <c r="F8443" s="423">
        <v>190.37548486163541</v>
      </c>
      <c r="G8443" s="422">
        <v>244084.41860275489</v>
      </c>
      <c r="H8443" s="417" t="s">
        <v>2616</v>
      </c>
      <c r="I8443" s="417" t="s">
        <v>1392</v>
      </c>
      <c r="J8443" s="417" t="s">
        <v>4016</v>
      </c>
      <c r="K8443" s="417" t="s">
        <v>19340</v>
      </c>
      <c r="L8443" s="417"/>
      <c r="M8443" s="417" t="s">
        <v>28840</v>
      </c>
    </row>
    <row r="8444" spans="1:13" x14ac:dyDescent="0.25">
      <c r="A8444" s="417" t="s">
        <v>3385</v>
      </c>
      <c r="B8444" s="417" t="s">
        <v>2627</v>
      </c>
      <c r="C8444" s="417" t="s">
        <v>19341</v>
      </c>
      <c r="D8444" s="417" t="s">
        <v>83</v>
      </c>
      <c r="E8444" s="423">
        <v>45.681231834531758</v>
      </c>
      <c r="F8444" s="423">
        <v>101.7538586266742</v>
      </c>
      <c r="G8444" s="422">
        <v>190765.4551375494</v>
      </c>
      <c r="H8444" s="417" t="s">
        <v>2616</v>
      </c>
      <c r="I8444" s="417" t="s">
        <v>1392</v>
      </c>
      <c r="J8444" s="417" t="s">
        <v>4016</v>
      </c>
      <c r="K8444" s="417" t="s">
        <v>19342</v>
      </c>
      <c r="L8444" s="417"/>
      <c r="M8444" s="417" t="s">
        <v>28840</v>
      </c>
    </row>
    <row r="8445" spans="1:13" x14ac:dyDescent="0.25">
      <c r="A8445" s="417" t="s">
        <v>3385</v>
      </c>
      <c r="B8445" s="417" t="s">
        <v>2627</v>
      </c>
      <c r="C8445" s="417" t="s">
        <v>19343</v>
      </c>
      <c r="D8445" s="417" t="s">
        <v>83</v>
      </c>
      <c r="E8445" s="423">
        <v>57.702043730135991</v>
      </c>
      <c r="F8445" s="423">
        <v>102.86355958149331</v>
      </c>
      <c r="G8445" s="422">
        <v>199295.96256775199</v>
      </c>
      <c r="H8445" s="417" t="s">
        <v>2616</v>
      </c>
      <c r="I8445" s="417" t="s">
        <v>1392</v>
      </c>
      <c r="J8445" s="417" t="s">
        <v>4016</v>
      </c>
      <c r="K8445" s="417" t="s">
        <v>19344</v>
      </c>
      <c r="L8445" s="417"/>
      <c r="M8445" s="417" t="s">
        <v>28840</v>
      </c>
    </row>
    <row r="8446" spans="1:13" x14ac:dyDescent="0.25">
      <c r="A8446" s="417" t="s">
        <v>3385</v>
      </c>
      <c r="B8446" s="417" t="s">
        <v>2627</v>
      </c>
      <c r="C8446" s="417" t="s">
        <v>19345</v>
      </c>
      <c r="D8446" s="417" t="s">
        <v>83</v>
      </c>
      <c r="E8446" s="423">
        <v>35.023186317324893</v>
      </c>
      <c r="F8446" s="423">
        <v>2.877194271550958</v>
      </c>
      <c r="G8446" s="422">
        <v>134350.66115358419</v>
      </c>
      <c r="H8446" s="417" t="s">
        <v>2616</v>
      </c>
      <c r="I8446" s="417" t="s">
        <v>1392</v>
      </c>
      <c r="J8446" s="417" t="s">
        <v>4016</v>
      </c>
      <c r="K8446" s="417" t="s">
        <v>19346</v>
      </c>
      <c r="L8446" s="417"/>
      <c r="M8446" s="417" t="s">
        <v>28840</v>
      </c>
    </row>
    <row r="8447" spans="1:13" x14ac:dyDescent="0.25">
      <c r="A8447" s="417" t="s">
        <v>3385</v>
      </c>
      <c r="B8447" s="417" t="s">
        <v>2627</v>
      </c>
      <c r="C8447" s="417" t="s">
        <v>19347</v>
      </c>
      <c r="D8447" s="417" t="s">
        <v>83</v>
      </c>
      <c r="E8447" s="423">
        <v>41.181802614995313</v>
      </c>
      <c r="F8447" s="423">
        <v>3.5445852898272681</v>
      </c>
      <c r="G8447" s="422">
        <v>138457.40382722541</v>
      </c>
      <c r="H8447" s="417" t="s">
        <v>2616</v>
      </c>
      <c r="I8447" s="417" t="s">
        <v>1392</v>
      </c>
      <c r="J8447" s="417" t="s">
        <v>4016</v>
      </c>
      <c r="K8447" s="417" t="s">
        <v>19348</v>
      </c>
      <c r="L8447" s="417"/>
      <c r="M8447" s="417" t="s">
        <v>28840</v>
      </c>
    </row>
    <row r="8448" spans="1:13" x14ac:dyDescent="0.25">
      <c r="A8448" s="417" t="s">
        <v>3385</v>
      </c>
      <c r="B8448" s="417" t="s">
        <v>2627</v>
      </c>
      <c r="C8448" s="417" t="s">
        <v>19349</v>
      </c>
      <c r="D8448" s="417" t="s">
        <v>83</v>
      </c>
      <c r="E8448" s="423">
        <v>44.702242411316412</v>
      </c>
      <c r="F8448" s="423">
        <v>179.0576455361192</v>
      </c>
      <c r="G8448" s="422">
        <v>211527.69610078921</v>
      </c>
      <c r="H8448" s="417" t="s">
        <v>2616</v>
      </c>
      <c r="I8448" s="417" t="s">
        <v>1392</v>
      </c>
      <c r="J8448" s="417" t="s">
        <v>4016</v>
      </c>
      <c r="K8448" s="417" t="s">
        <v>19350</v>
      </c>
      <c r="L8448" s="417"/>
      <c r="M8448" s="417" t="s">
        <v>28840</v>
      </c>
    </row>
    <row r="8449" spans="1:13" x14ac:dyDescent="0.25">
      <c r="A8449" s="417" t="s">
        <v>3385</v>
      </c>
      <c r="B8449" s="417" t="s">
        <v>2627</v>
      </c>
      <c r="C8449" s="417" t="s">
        <v>19351</v>
      </c>
      <c r="D8449" s="417" t="s">
        <v>83</v>
      </c>
      <c r="E8449" s="423">
        <v>58.274784843407858</v>
      </c>
      <c r="F8449" s="423">
        <v>180.3019849594767</v>
      </c>
      <c r="G8449" s="422">
        <v>221317.49077566789</v>
      </c>
      <c r="H8449" s="417" t="s">
        <v>2616</v>
      </c>
      <c r="I8449" s="417" t="s">
        <v>1392</v>
      </c>
      <c r="J8449" s="417" t="s">
        <v>4016</v>
      </c>
      <c r="K8449" s="417" t="s">
        <v>19352</v>
      </c>
      <c r="L8449" s="417"/>
      <c r="M8449" s="417" t="s">
        <v>28840</v>
      </c>
    </row>
    <row r="8450" spans="1:13" x14ac:dyDescent="0.25">
      <c r="A8450" s="417" t="s">
        <v>3385</v>
      </c>
      <c r="B8450" s="417" t="s">
        <v>2627</v>
      </c>
      <c r="C8450" s="417" t="s">
        <v>19353</v>
      </c>
      <c r="D8450" s="417" t="s">
        <v>83</v>
      </c>
      <c r="E8450" s="423">
        <v>40.360441467183598</v>
      </c>
      <c r="F8450" s="423">
        <v>119.5714109645611</v>
      </c>
      <c r="G8450" s="422">
        <v>181574.2089905164</v>
      </c>
      <c r="H8450" s="417" t="s">
        <v>2616</v>
      </c>
      <c r="I8450" s="417" t="s">
        <v>1392</v>
      </c>
      <c r="J8450" s="417" t="s">
        <v>4016</v>
      </c>
      <c r="K8450" s="417" t="s">
        <v>19354</v>
      </c>
      <c r="L8450" s="417"/>
      <c r="M8450" s="417" t="s">
        <v>28840</v>
      </c>
    </row>
    <row r="8451" spans="1:13" x14ac:dyDescent="0.25">
      <c r="A8451" s="417" t="s">
        <v>3385</v>
      </c>
      <c r="B8451" s="417" t="s">
        <v>2627</v>
      </c>
      <c r="C8451" s="417" t="s">
        <v>19355</v>
      </c>
      <c r="D8451" s="417" t="s">
        <v>83</v>
      </c>
      <c r="E8451" s="423">
        <v>51.256140537759627</v>
      </c>
      <c r="F8451" s="423">
        <v>120.6014319345438</v>
      </c>
      <c r="G8451" s="422">
        <v>189325.02884600271</v>
      </c>
      <c r="H8451" s="417" t="s">
        <v>2616</v>
      </c>
      <c r="I8451" s="417" t="s">
        <v>1392</v>
      </c>
      <c r="J8451" s="417" t="s">
        <v>4016</v>
      </c>
      <c r="K8451" s="417" t="s">
        <v>19356</v>
      </c>
      <c r="L8451" s="417"/>
      <c r="M8451" s="417" t="s">
        <v>28840</v>
      </c>
    </row>
    <row r="8452" spans="1:13" x14ac:dyDescent="0.25">
      <c r="A8452" s="417" t="s">
        <v>3385</v>
      </c>
      <c r="B8452" s="417" t="s">
        <v>2627</v>
      </c>
      <c r="C8452" s="417" t="s">
        <v>19357</v>
      </c>
      <c r="D8452" s="417" t="s">
        <v>83</v>
      </c>
      <c r="E8452" s="423">
        <v>57.298898170699267</v>
      </c>
      <c r="F8452" s="423">
        <v>122.9632391386494</v>
      </c>
      <c r="G8452" s="422">
        <v>190140.48895604839</v>
      </c>
      <c r="H8452" s="417" t="s">
        <v>2616</v>
      </c>
      <c r="I8452" s="417" t="s">
        <v>1392</v>
      </c>
      <c r="J8452" s="417" t="s">
        <v>4016</v>
      </c>
      <c r="K8452" s="417" t="s">
        <v>19358</v>
      </c>
      <c r="L8452" s="417"/>
      <c r="M8452" s="417" t="s">
        <v>28840</v>
      </c>
    </row>
    <row r="8453" spans="1:13" x14ac:dyDescent="0.25">
      <c r="A8453" s="417" t="s">
        <v>3385</v>
      </c>
      <c r="B8453" s="417" t="s">
        <v>2627</v>
      </c>
      <c r="C8453" s="417" t="s">
        <v>19359</v>
      </c>
      <c r="D8453" s="417" t="s">
        <v>83</v>
      </c>
      <c r="E8453" s="423">
        <v>49.180879067091979</v>
      </c>
      <c r="F8453" s="423">
        <v>120.7147246460074</v>
      </c>
      <c r="G8453" s="422">
        <v>187269.07010017461</v>
      </c>
      <c r="H8453" s="417" t="s">
        <v>2616</v>
      </c>
      <c r="I8453" s="417" t="s">
        <v>1392</v>
      </c>
      <c r="J8453" s="417" t="s">
        <v>4016</v>
      </c>
      <c r="K8453" s="417" t="s">
        <v>19360</v>
      </c>
      <c r="L8453" s="417"/>
      <c r="M8453" s="417" t="s">
        <v>28840</v>
      </c>
    </row>
    <row r="8454" spans="1:13" x14ac:dyDescent="0.25">
      <c r="A8454" s="417" t="s">
        <v>3385</v>
      </c>
      <c r="B8454" s="417" t="s">
        <v>2627</v>
      </c>
      <c r="C8454" s="417" t="s">
        <v>19361</v>
      </c>
      <c r="D8454" s="417" t="s">
        <v>83</v>
      </c>
      <c r="E8454" s="423">
        <v>58.416100610822447</v>
      </c>
      <c r="F8454" s="423">
        <v>121.0819151645136</v>
      </c>
      <c r="G8454" s="422">
        <v>185742.75261893371</v>
      </c>
      <c r="H8454" s="417" t="s">
        <v>2616</v>
      </c>
      <c r="I8454" s="417" t="s">
        <v>1392</v>
      </c>
      <c r="J8454" s="417" t="s">
        <v>4016</v>
      </c>
      <c r="K8454" s="417" t="s">
        <v>19362</v>
      </c>
      <c r="L8454" s="417"/>
      <c r="M8454" s="417" t="s">
        <v>28840</v>
      </c>
    </row>
    <row r="8455" spans="1:13" x14ac:dyDescent="0.25">
      <c r="A8455" s="417" t="s">
        <v>3385</v>
      </c>
      <c r="B8455" s="417" t="s">
        <v>2627</v>
      </c>
      <c r="C8455" s="417" t="s">
        <v>19363</v>
      </c>
      <c r="D8455" s="417" t="s">
        <v>83</v>
      </c>
      <c r="E8455" s="423">
        <v>44.828506413615763</v>
      </c>
      <c r="F8455" s="423">
        <v>66.708561583320289</v>
      </c>
      <c r="G8455" s="422">
        <v>158263.48475575441</v>
      </c>
      <c r="H8455" s="417" t="s">
        <v>2616</v>
      </c>
      <c r="I8455" s="417" t="s">
        <v>1392</v>
      </c>
      <c r="J8455" s="417" t="s">
        <v>4016</v>
      </c>
      <c r="K8455" s="417" t="s">
        <v>19364</v>
      </c>
      <c r="L8455" s="417"/>
      <c r="M8455" s="417" t="s">
        <v>28840</v>
      </c>
    </row>
    <row r="8456" spans="1:13" x14ac:dyDescent="0.25">
      <c r="A8456" s="417" t="s">
        <v>3385</v>
      </c>
      <c r="B8456" s="417" t="s">
        <v>2627</v>
      </c>
      <c r="C8456" s="417" t="s">
        <v>19365</v>
      </c>
      <c r="D8456" s="417" t="s">
        <v>83</v>
      </c>
      <c r="E8456" s="423">
        <v>51.521677519641081</v>
      </c>
      <c r="F8456" s="423">
        <v>66.899894878348235</v>
      </c>
      <c r="G8456" s="422">
        <v>155211.45289219951</v>
      </c>
      <c r="H8456" s="417" t="s">
        <v>2616</v>
      </c>
      <c r="I8456" s="417" t="s">
        <v>1392</v>
      </c>
      <c r="J8456" s="417" t="s">
        <v>4016</v>
      </c>
      <c r="K8456" s="417" t="s">
        <v>19366</v>
      </c>
      <c r="L8456" s="417"/>
      <c r="M8456" s="417" t="s">
        <v>28840</v>
      </c>
    </row>
    <row r="8457" spans="1:13" x14ac:dyDescent="0.25">
      <c r="A8457" s="417" t="s">
        <v>3385</v>
      </c>
      <c r="B8457" s="417" t="s">
        <v>2627</v>
      </c>
      <c r="C8457" s="417" t="s">
        <v>19367</v>
      </c>
      <c r="D8457" s="417" t="s">
        <v>83</v>
      </c>
      <c r="E8457" s="423">
        <v>35.494155248579297</v>
      </c>
      <c r="F8457" s="423">
        <v>3.2373765677727482</v>
      </c>
      <c r="G8457" s="422">
        <v>114517.7644983003</v>
      </c>
      <c r="H8457" s="417" t="s">
        <v>2616</v>
      </c>
      <c r="I8457" s="417" t="s">
        <v>1392</v>
      </c>
      <c r="J8457" s="417" t="s">
        <v>4016</v>
      </c>
      <c r="K8457" s="417" t="s">
        <v>19368</v>
      </c>
      <c r="L8457" s="417"/>
      <c r="M8457" s="417" t="s">
        <v>28840</v>
      </c>
    </row>
    <row r="8458" spans="1:13" x14ac:dyDescent="0.25">
      <c r="A8458" s="417" t="s">
        <v>3385</v>
      </c>
      <c r="B8458" s="417" t="s">
        <v>2627</v>
      </c>
      <c r="C8458" s="417" t="s">
        <v>19369</v>
      </c>
      <c r="D8458" s="417" t="s">
        <v>83</v>
      </c>
      <c r="E8458" s="423">
        <v>37.657088237787448</v>
      </c>
      <c r="F8458" s="423">
        <v>3.1173271983681099</v>
      </c>
      <c r="G8458" s="422">
        <v>108479.8671358167</v>
      </c>
      <c r="H8458" s="417" t="s">
        <v>2616</v>
      </c>
      <c r="I8458" s="417" t="s">
        <v>1392</v>
      </c>
      <c r="J8458" s="417" t="s">
        <v>4016</v>
      </c>
      <c r="K8458" s="417" t="s">
        <v>19370</v>
      </c>
      <c r="L8458" s="417"/>
      <c r="M8458" s="417" t="s">
        <v>28840</v>
      </c>
    </row>
    <row r="8459" spans="1:13" x14ac:dyDescent="0.25">
      <c r="A8459" s="417" t="s">
        <v>3385</v>
      </c>
      <c r="B8459" s="417" t="s">
        <v>2627</v>
      </c>
      <c r="C8459" s="417" t="s">
        <v>19371</v>
      </c>
      <c r="D8459" s="417" t="s">
        <v>83</v>
      </c>
      <c r="E8459" s="423">
        <v>49.86729465342998</v>
      </c>
      <c r="F8459" s="423">
        <v>117.0763958904937</v>
      </c>
      <c r="G8459" s="422">
        <v>172216.54434199899</v>
      </c>
      <c r="H8459" s="417" t="s">
        <v>2616</v>
      </c>
      <c r="I8459" s="417" t="s">
        <v>1392</v>
      </c>
      <c r="J8459" s="417" t="s">
        <v>4016</v>
      </c>
      <c r="K8459" s="417" t="s">
        <v>19372</v>
      </c>
      <c r="L8459" s="417"/>
      <c r="M8459" s="417" t="s">
        <v>28840</v>
      </c>
    </row>
    <row r="8460" spans="1:13" x14ac:dyDescent="0.25">
      <c r="A8460" s="417" t="s">
        <v>3385</v>
      </c>
      <c r="B8460" s="417" t="s">
        <v>2627</v>
      </c>
      <c r="C8460" s="417" t="s">
        <v>19373</v>
      </c>
      <c r="D8460" s="417" t="s">
        <v>83</v>
      </c>
      <c r="E8460" s="423">
        <v>42.936660240638368</v>
      </c>
      <c r="F8460" s="423">
        <v>115.15929374212701</v>
      </c>
      <c r="G8460" s="422">
        <v>169281.32529418959</v>
      </c>
      <c r="H8460" s="417" t="s">
        <v>2616</v>
      </c>
      <c r="I8460" s="417" t="s">
        <v>1392</v>
      </c>
      <c r="J8460" s="417" t="s">
        <v>4016</v>
      </c>
      <c r="K8460" s="417" t="s">
        <v>19374</v>
      </c>
      <c r="L8460" s="417"/>
      <c r="M8460" s="417" t="s">
        <v>28840</v>
      </c>
    </row>
    <row r="8461" spans="1:13" x14ac:dyDescent="0.25">
      <c r="A8461" s="417" t="s">
        <v>3385</v>
      </c>
      <c r="B8461" s="417" t="s">
        <v>2627</v>
      </c>
      <c r="C8461" s="417" t="s">
        <v>19375</v>
      </c>
      <c r="D8461" s="417" t="s">
        <v>83</v>
      </c>
      <c r="E8461" s="423">
        <v>50.278819583787687</v>
      </c>
      <c r="F8461" s="423">
        <v>115.4096574467834</v>
      </c>
      <c r="G8461" s="422">
        <v>166684.57578287309</v>
      </c>
      <c r="H8461" s="417" t="s">
        <v>2616</v>
      </c>
      <c r="I8461" s="417" t="s">
        <v>1392</v>
      </c>
      <c r="J8461" s="417" t="s">
        <v>4016</v>
      </c>
      <c r="K8461" s="417" t="s">
        <v>19376</v>
      </c>
      <c r="L8461" s="417"/>
      <c r="M8461" s="417" t="s">
        <v>28840</v>
      </c>
    </row>
    <row r="8462" spans="1:13" x14ac:dyDescent="0.25">
      <c r="A8462" s="417" t="s">
        <v>3385</v>
      </c>
      <c r="B8462" s="417" t="s">
        <v>2627</v>
      </c>
      <c r="C8462" s="417" t="s">
        <v>19377</v>
      </c>
      <c r="D8462" s="417" t="s">
        <v>83</v>
      </c>
      <c r="E8462" s="423">
        <v>39.327845714599832</v>
      </c>
      <c r="F8462" s="423">
        <v>77.849038785561831</v>
      </c>
      <c r="G8462" s="422">
        <v>147340.09443079701</v>
      </c>
      <c r="H8462" s="417" t="s">
        <v>2616</v>
      </c>
      <c r="I8462" s="417" t="s">
        <v>1392</v>
      </c>
      <c r="J8462" s="417" t="s">
        <v>4016</v>
      </c>
      <c r="K8462" s="417" t="s">
        <v>19378</v>
      </c>
      <c r="L8462" s="417"/>
      <c r="M8462" s="417" t="s">
        <v>28840</v>
      </c>
    </row>
    <row r="8463" spans="1:13" x14ac:dyDescent="0.25">
      <c r="A8463" s="417" t="s">
        <v>3385</v>
      </c>
      <c r="B8463" s="417" t="s">
        <v>2627</v>
      </c>
      <c r="C8463" s="417" t="s">
        <v>19379</v>
      </c>
      <c r="D8463" s="417" t="s">
        <v>83</v>
      </c>
      <c r="E8463" s="423">
        <v>44.880169029367657</v>
      </c>
      <c r="F8463" s="423">
        <v>77.980152842394631</v>
      </c>
      <c r="G8463" s="422">
        <v>143794.14538426991</v>
      </c>
      <c r="H8463" s="417" t="s">
        <v>2616</v>
      </c>
      <c r="I8463" s="417" t="s">
        <v>1392</v>
      </c>
      <c r="J8463" s="417" t="s">
        <v>4016</v>
      </c>
      <c r="K8463" s="417" t="s">
        <v>19380</v>
      </c>
      <c r="L8463" s="417"/>
      <c r="M8463" s="417" t="s">
        <v>28840</v>
      </c>
    </row>
    <row r="8464" spans="1:13" x14ac:dyDescent="0.25">
      <c r="A8464" s="417" t="s">
        <v>3385</v>
      </c>
      <c r="B8464" s="417" t="s">
        <v>2627</v>
      </c>
      <c r="C8464" s="417" t="s">
        <v>19381</v>
      </c>
      <c r="D8464" s="417" t="s">
        <v>83</v>
      </c>
      <c r="E8464" s="423">
        <v>52.315464037578387</v>
      </c>
      <c r="F8464" s="423">
        <v>156.59821425226281</v>
      </c>
      <c r="G8464" s="422">
        <v>228391.20498513171</v>
      </c>
      <c r="H8464" s="417" t="s">
        <v>2616</v>
      </c>
      <c r="I8464" s="417" t="s">
        <v>1392</v>
      </c>
      <c r="J8464" s="417" t="s">
        <v>4016</v>
      </c>
      <c r="K8464" s="417" t="s">
        <v>19382</v>
      </c>
      <c r="L8464" s="417"/>
      <c r="M8464" s="417" t="s">
        <v>28840</v>
      </c>
    </row>
    <row r="8465" spans="1:13" x14ac:dyDescent="0.25">
      <c r="A8465" s="417" t="s">
        <v>3385</v>
      </c>
      <c r="B8465" s="417" t="s">
        <v>2627</v>
      </c>
      <c r="C8465" s="417" t="s">
        <v>19383</v>
      </c>
      <c r="D8465" s="417" t="s">
        <v>83</v>
      </c>
      <c r="E8465" s="423">
        <v>69.285784623966435</v>
      </c>
      <c r="F8465" s="423">
        <v>158.08162986632081</v>
      </c>
      <c r="G8465" s="422">
        <v>240606.16150716311</v>
      </c>
      <c r="H8465" s="417" t="s">
        <v>2616</v>
      </c>
      <c r="I8465" s="417" t="s">
        <v>1392</v>
      </c>
      <c r="J8465" s="417" t="s">
        <v>4016</v>
      </c>
      <c r="K8465" s="417" t="s">
        <v>19384</v>
      </c>
      <c r="L8465" s="417"/>
      <c r="M8465" s="417" t="s">
        <v>28840</v>
      </c>
    </row>
    <row r="8466" spans="1:13" x14ac:dyDescent="0.25">
      <c r="A8466" s="417" t="s">
        <v>3385</v>
      </c>
      <c r="B8466" s="417" t="s">
        <v>2627</v>
      </c>
      <c r="C8466" s="417" t="s">
        <v>19385</v>
      </c>
      <c r="D8466" s="417" t="s">
        <v>83</v>
      </c>
      <c r="E8466" s="423">
        <v>47.222598802497266</v>
      </c>
      <c r="F8466" s="423">
        <v>85.428840521358651</v>
      </c>
      <c r="G8466" s="422">
        <v>192651.0518770215</v>
      </c>
      <c r="H8466" s="417" t="s">
        <v>2616</v>
      </c>
      <c r="I8466" s="417" t="s">
        <v>1392</v>
      </c>
      <c r="J8466" s="417" t="s">
        <v>4016</v>
      </c>
      <c r="K8466" s="417" t="s">
        <v>19386</v>
      </c>
      <c r="L8466" s="417"/>
      <c r="M8466" s="417" t="s">
        <v>28840</v>
      </c>
    </row>
    <row r="8467" spans="1:13" x14ac:dyDescent="0.25">
      <c r="A8467" s="417" t="s">
        <v>3385</v>
      </c>
      <c r="B8467" s="417" t="s">
        <v>2627</v>
      </c>
      <c r="C8467" s="417" t="s">
        <v>19387</v>
      </c>
      <c r="D8467" s="417" t="s">
        <v>83</v>
      </c>
      <c r="E8467" s="423">
        <v>60.826072504323321</v>
      </c>
      <c r="F8467" s="423">
        <v>86.646227918507535</v>
      </c>
      <c r="G8467" s="422">
        <v>202310.068557352</v>
      </c>
      <c r="H8467" s="417" t="s">
        <v>2616</v>
      </c>
      <c r="I8467" s="417" t="s">
        <v>1392</v>
      </c>
      <c r="J8467" s="417" t="s">
        <v>4016</v>
      </c>
      <c r="K8467" s="417" t="s">
        <v>19388</v>
      </c>
      <c r="L8467" s="417"/>
      <c r="M8467" s="417" t="s">
        <v>28840</v>
      </c>
    </row>
    <row r="8468" spans="1:13" x14ac:dyDescent="0.25">
      <c r="A8468" s="417" t="s">
        <v>3385</v>
      </c>
      <c r="B8468" s="417" t="s">
        <v>2627</v>
      </c>
      <c r="C8468" s="417" t="s">
        <v>19389</v>
      </c>
      <c r="D8468" s="417" t="s">
        <v>83</v>
      </c>
      <c r="E8468" s="423">
        <v>35.023186317324893</v>
      </c>
      <c r="F8468" s="423">
        <v>2.877194271550958</v>
      </c>
      <c r="G8468" s="422">
        <v>134347.72535358419</v>
      </c>
      <c r="H8468" s="417" t="s">
        <v>2616</v>
      </c>
      <c r="I8468" s="417" t="s">
        <v>1392</v>
      </c>
      <c r="J8468" s="417" t="s">
        <v>4016</v>
      </c>
      <c r="K8468" s="417" t="s">
        <v>19390</v>
      </c>
      <c r="L8468" s="417"/>
      <c r="M8468" s="417" t="s">
        <v>28840</v>
      </c>
    </row>
    <row r="8469" spans="1:13" x14ac:dyDescent="0.25">
      <c r="A8469" s="417" t="s">
        <v>3385</v>
      </c>
      <c r="B8469" s="417" t="s">
        <v>2627</v>
      </c>
      <c r="C8469" s="417" t="s">
        <v>19391</v>
      </c>
      <c r="D8469" s="417" t="s">
        <v>83</v>
      </c>
      <c r="E8469" s="423">
        <v>41.181802614995313</v>
      </c>
      <c r="F8469" s="423">
        <v>3.5445852898272681</v>
      </c>
      <c r="G8469" s="422">
        <v>138454.4680272254</v>
      </c>
      <c r="H8469" s="417" t="s">
        <v>2616</v>
      </c>
      <c r="I8469" s="417" t="s">
        <v>1392</v>
      </c>
      <c r="J8469" s="417" t="s">
        <v>4016</v>
      </c>
      <c r="K8469" s="417" t="s">
        <v>19392</v>
      </c>
      <c r="L8469" s="417"/>
      <c r="M8469" s="417" t="s">
        <v>28840</v>
      </c>
    </row>
    <row r="8470" spans="1:13" x14ac:dyDescent="0.25">
      <c r="A8470" s="417" t="s">
        <v>3385</v>
      </c>
      <c r="B8470" s="417" t="s">
        <v>2627</v>
      </c>
      <c r="C8470" s="417" t="s">
        <v>19393</v>
      </c>
      <c r="D8470" s="417" t="s">
        <v>83</v>
      </c>
      <c r="E8470" s="423">
        <v>43.297453179733047</v>
      </c>
      <c r="F8470" s="423">
        <v>143.89333037885149</v>
      </c>
      <c r="G8470" s="422">
        <v>198351.4849306414</v>
      </c>
      <c r="H8470" s="417" t="s">
        <v>2616</v>
      </c>
      <c r="I8470" s="417" t="s">
        <v>1392</v>
      </c>
      <c r="J8470" s="417" t="s">
        <v>4016</v>
      </c>
      <c r="K8470" s="417" t="s">
        <v>19394</v>
      </c>
      <c r="L8470" s="417"/>
      <c r="M8470" s="417" t="s">
        <v>28840</v>
      </c>
    </row>
    <row r="8471" spans="1:13" x14ac:dyDescent="0.25">
      <c r="A8471" s="417" t="s">
        <v>3385</v>
      </c>
      <c r="B8471" s="417" t="s">
        <v>2627</v>
      </c>
      <c r="C8471" s="417" t="s">
        <v>19395</v>
      </c>
      <c r="D8471" s="417" t="s">
        <v>83</v>
      </c>
      <c r="E8471" s="423">
        <v>55.816607274691357</v>
      </c>
      <c r="F8471" s="423">
        <v>145.05354910089551</v>
      </c>
      <c r="G8471" s="422">
        <v>207316.43661947301</v>
      </c>
      <c r="H8471" s="417" t="s">
        <v>2616</v>
      </c>
      <c r="I8471" s="417" t="s">
        <v>1392</v>
      </c>
      <c r="J8471" s="417" t="s">
        <v>4016</v>
      </c>
      <c r="K8471" s="417" t="s">
        <v>19396</v>
      </c>
      <c r="L8471" s="417"/>
      <c r="M8471" s="417" t="s">
        <v>28840</v>
      </c>
    </row>
    <row r="8472" spans="1:13" x14ac:dyDescent="0.25">
      <c r="A8472" s="417" t="s">
        <v>3385</v>
      </c>
      <c r="B8472" s="417" t="s">
        <v>2627</v>
      </c>
      <c r="C8472" s="417" t="s">
        <v>19397</v>
      </c>
      <c r="D8472" s="417" t="s">
        <v>83</v>
      </c>
      <c r="E8472" s="423">
        <v>39.419629402646827</v>
      </c>
      <c r="F8472" s="423">
        <v>96.662259905536956</v>
      </c>
      <c r="G8472" s="422">
        <v>172681.94325738691</v>
      </c>
      <c r="H8472" s="417" t="s">
        <v>2616</v>
      </c>
      <c r="I8472" s="417" t="s">
        <v>1392</v>
      </c>
      <c r="J8472" s="417" t="s">
        <v>4016</v>
      </c>
      <c r="K8472" s="417" t="s">
        <v>19398</v>
      </c>
      <c r="L8472" s="417"/>
      <c r="M8472" s="417" t="s">
        <v>28840</v>
      </c>
    </row>
    <row r="8473" spans="1:13" x14ac:dyDescent="0.25">
      <c r="A8473" s="417" t="s">
        <v>3385</v>
      </c>
      <c r="B8473" s="417" t="s">
        <v>2627</v>
      </c>
      <c r="C8473" s="417" t="s">
        <v>19399</v>
      </c>
      <c r="D8473" s="417" t="s">
        <v>83</v>
      </c>
      <c r="E8473" s="423">
        <v>49.620298131450063</v>
      </c>
      <c r="F8473" s="423">
        <v>97.636654753122642</v>
      </c>
      <c r="G8473" s="422">
        <v>179894.83505237591</v>
      </c>
      <c r="H8473" s="417" t="s">
        <v>2616</v>
      </c>
      <c r="I8473" s="417" t="s">
        <v>1392</v>
      </c>
      <c r="J8473" s="417" t="s">
        <v>4016</v>
      </c>
      <c r="K8473" s="417" t="s">
        <v>19400</v>
      </c>
      <c r="L8473" s="417"/>
      <c r="M8473" s="417" t="s">
        <v>28840</v>
      </c>
    </row>
    <row r="8474" spans="1:13" x14ac:dyDescent="0.25">
      <c r="A8474" s="417" t="s">
        <v>3385</v>
      </c>
      <c r="B8474" s="417" t="s">
        <v>2627</v>
      </c>
      <c r="C8474" s="417" t="s">
        <v>19401</v>
      </c>
      <c r="D8474" s="417" t="s">
        <v>83</v>
      </c>
      <c r="E8474" s="423">
        <v>50.74019359560932</v>
      </c>
      <c r="F8474" s="423">
        <v>103.9073284792878</v>
      </c>
      <c r="G8474" s="422">
        <v>187792.69559336299</v>
      </c>
      <c r="H8474" s="417" t="s">
        <v>2616</v>
      </c>
      <c r="I8474" s="417" t="s">
        <v>1392</v>
      </c>
      <c r="J8474" s="417" t="s">
        <v>4016</v>
      </c>
      <c r="K8474" s="417" t="s">
        <v>19402</v>
      </c>
      <c r="L8474" s="417"/>
      <c r="M8474" s="417" t="s">
        <v>28840</v>
      </c>
    </row>
    <row r="8475" spans="1:13" x14ac:dyDescent="0.25">
      <c r="A8475" s="417" t="s">
        <v>3385</v>
      </c>
      <c r="B8475" s="417" t="s">
        <v>2627</v>
      </c>
      <c r="C8475" s="417" t="s">
        <v>19403</v>
      </c>
      <c r="D8475" s="417" t="s">
        <v>83</v>
      </c>
      <c r="E8475" s="423">
        <v>61.014279665670607</v>
      </c>
      <c r="F8475" s="423">
        <v>104.3270281559459</v>
      </c>
      <c r="G8475" s="422">
        <v>186708.64883666579</v>
      </c>
      <c r="H8475" s="417" t="s">
        <v>2616</v>
      </c>
      <c r="I8475" s="417" t="s">
        <v>1392</v>
      </c>
      <c r="J8475" s="417" t="s">
        <v>4016</v>
      </c>
      <c r="K8475" s="417" t="s">
        <v>19404</v>
      </c>
      <c r="L8475" s="417"/>
      <c r="M8475" s="417" t="s">
        <v>28840</v>
      </c>
    </row>
    <row r="8476" spans="1:13" x14ac:dyDescent="0.25">
      <c r="A8476" s="417" t="s">
        <v>3385</v>
      </c>
      <c r="B8476" s="417" t="s">
        <v>2627</v>
      </c>
      <c r="C8476" s="417" t="s">
        <v>19405</v>
      </c>
      <c r="D8476" s="417" t="s">
        <v>83</v>
      </c>
      <c r="E8476" s="423">
        <v>46.434470388423883</v>
      </c>
      <c r="F8476" s="423">
        <v>57.352248354383008</v>
      </c>
      <c r="G8476" s="422">
        <v>161362.0848606893</v>
      </c>
      <c r="H8476" s="417" t="s">
        <v>2616</v>
      </c>
      <c r="I8476" s="417" t="s">
        <v>1392</v>
      </c>
      <c r="J8476" s="417" t="s">
        <v>4016</v>
      </c>
      <c r="K8476" s="417" t="s">
        <v>19406</v>
      </c>
      <c r="L8476" s="417"/>
      <c r="M8476" s="417" t="s">
        <v>28840</v>
      </c>
    </row>
    <row r="8477" spans="1:13" x14ac:dyDescent="0.25">
      <c r="A8477" s="417" t="s">
        <v>3385</v>
      </c>
      <c r="B8477" s="417" t="s">
        <v>2627</v>
      </c>
      <c r="C8477" s="417" t="s">
        <v>19407</v>
      </c>
      <c r="D8477" s="417" t="s">
        <v>83</v>
      </c>
      <c r="E8477" s="423">
        <v>54.538155683390627</v>
      </c>
      <c r="F8477" s="423">
        <v>57.626512790658822</v>
      </c>
      <c r="G8477" s="422">
        <v>159133.71814926501</v>
      </c>
      <c r="H8477" s="417" t="s">
        <v>2616</v>
      </c>
      <c r="I8477" s="417" t="s">
        <v>1392</v>
      </c>
      <c r="J8477" s="417" t="s">
        <v>4016</v>
      </c>
      <c r="K8477" s="417" t="s">
        <v>19408</v>
      </c>
      <c r="L8477" s="417"/>
      <c r="M8477" s="417" t="s">
        <v>28840</v>
      </c>
    </row>
    <row r="8478" spans="1:13" x14ac:dyDescent="0.25">
      <c r="A8478" s="417" t="s">
        <v>3385</v>
      </c>
      <c r="B8478" s="417" t="s">
        <v>2627</v>
      </c>
      <c r="C8478" s="417" t="s">
        <v>19409</v>
      </c>
      <c r="D8478" s="417" t="s">
        <v>83</v>
      </c>
      <c r="E8478" s="423">
        <v>35.494155248579297</v>
      </c>
      <c r="F8478" s="423">
        <v>3.2373765677727482</v>
      </c>
      <c r="G8478" s="422">
        <v>114516.8383983003</v>
      </c>
      <c r="H8478" s="417" t="s">
        <v>2616</v>
      </c>
      <c r="I8478" s="417" t="s">
        <v>1392</v>
      </c>
      <c r="J8478" s="417" t="s">
        <v>4016</v>
      </c>
      <c r="K8478" s="417" t="s">
        <v>19410</v>
      </c>
      <c r="L8478" s="417"/>
      <c r="M8478" s="417" t="s">
        <v>28840</v>
      </c>
    </row>
    <row r="8479" spans="1:13" x14ac:dyDescent="0.25">
      <c r="A8479" s="417" t="s">
        <v>3385</v>
      </c>
      <c r="B8479" s="417" t="s">
        <v>2627</v>
      </c>
      <c r="C8479" s="417" t="s">
        <v>19411</v>
      </c>
      <c r="D8479" s="417" t="s">
        <v>83</v>
      </c>
      <c r="E8479" s="423">
        <v>37.657088237787448</v>
      </c>
      <c r="F8479" s="423">
        <v>3.1173271983681099</v>
      </c>
      <c r="G8479" s="422">
        <v>108478.94103581669</v>
      </c>
      <c r="H8479" s="417" t="s">
        <v>2616</v>
      </c>
      <c r="I8479" s="417" t="s">
        <v>1392</v>
      </c>
      <c r="J8479" s="417" t="s">
        <v>4016</v>
      </c>
      <c r="K8479" s="417" t="s">
        <v>19412</v>
      </c>
      <c r="L8479" s="417"/>
      <c r="M8479" s="417" t="s">
        <v>28840</v>
      </c>
    </row>
    <row r="8480" spans="1:13" x14ac:dyDescent="0.25">
      <c r="A8480" s="417" t="s">
        <v>3385</v>
      </c>
      <c r="B8480" s="417" t="s">
        <v>2627</v>
      </c>
      <c r="C8480" s="417" t="s">
        <v>19413</v>
      </c>
      <c r="D8480" s="417" t="s">
        <v>83</v>
      </c>
      <c r="E8480" s="423">
        <v>48.198166884298587</v>
      </c>
      <c r="F8480" s="423">
        <v>95.286963528378166</v>
      </c>
      <c r="G8480" s="422">
        <v>156787.58872081281</v>
      </c>
      <c r="H8480" s="417" t="s">
        <v>2616</v>
      </c>
      <c r="I8480" s="417" t="s">
        <v>1392</v>
      </c>
      <c r="J8480" s="417" t="s">
        <v>4016</v>
      </c>
      <c r="K8480" s="417" t="s">
        <v>19414</v>
      </c>
      <c r="L8480" s="417"/>
      <c r="M8480" s="417" t="s">
        <v>28840</v>
      </c>
    </row>
    <row r="8481" spans="1:13" x14ac:dyDescent="0.25">
      <c r="A8481" s="417" t="s">
        <v>3385</v>
      </c>
      <c r="B8481" s="417" t="s">
        <v>2627</v>
      </c>
      <c r="C8481" s="417" t="s">
        <v>19415</v>
      </c>
      <c r="D8481" s="417" t="s">
        <v>83</v>
      </c>
      <c r="E8481" s="423">
        <v>41.862149237130183</v>
      </c>
      <c r="F8481" s="423">
        <v>95.110526255491081</v>
      </c>
      <c r="G8481" s="422">
        <v>160123.9882086346</v>
      </c>
      <c r="H8481" s="417" t="s">
        <v>2616</v>
      </c>
      <c r="I8481" s="417" t="s">
        <v>1392</v>
      </c>
      <c r="J8481" s="417" t="s">
        <v>4016</v>
      </c>
      <c r="K8481" s="417" t="s">
        <v>19416</v>
      </c>
      <c r="L8481" s="417"/>
      <c r="M8481" s="417" t="s">
        <v>28840</v>
      </c>
    </row>
    <row r="8482" spans="1:13" x14ac:dyDescent="0.25">
      <c r="A8482" s="417" t="s">
        <v>3385</v>
      </c>
      <c r="B8482" s="417" t="s">
        <v>2627</v>
      </c>
      <c r="C8482" s="417" t="s">
        <v>19417</v>
      </c>
      <c r="D8482" s="417" t="s">
        <v>83</v>
      </c>
      <c r="E8482" s="423">
        <v>38.594846791315042</v>
      </c>
      <c r="F8482" s="423">
        <v>64.347051010956605</v>
      </c>
      <c r="G8482" s="422">
        <v>141208.486049539</v>
      </c>
      <c r="H8482" s="417" t="s">
        <v>2616</v>
      </c>
      <c r="I8482" s="417" t="s">
        <v>1392</v>
      </c>
      <c r="J8482" s="417" t="s">
        <v>4016</v>
      </c>
      <c r="K8482" s="417" t="s">
        <v>19418</v>
      </c>
      <c r="L8482" s="417"/>
      <c r="M8482" s="417" t="s">
        <v>28840</v>
      </c>
    </row>
    <row r="8483" spans="1:13" x14ac:dyDescent="0.25">
      <c r="A8483" s="417" t="s">
        <v>3385</v>
      </c>
      <c r="B8483" s="417" t="s">
        <v>2627</v>
      </c>
      <c r="C8483" s="417" t="s">
        <v>19419</v>
      </c>
      <c r="D8483" s="417" t="s">
        <v>83</v>
      </c>
      <c r="E8483" s="423">
        <v>43.475899998054558</v>
      </c>
      <c r="F8483" s="423">
        <v>64.429333646522068</v>
      </c>
      <c r="G8483" s="422">
        <v>137206.7654078826</v>
      </c>
      <c r="H8483" s="417" t="s">
        <v>2616</v>
      </c>
      <c r="I8483" s="417" t="s">
        <v>1392</v>
      </c>
      <c r="J8483" s="417" t="s">
        <v>4016</v>
      </c>
      <c r="K8483" s="417" t="s">
        <v>19420</v>
      </c>
      <c r="L8483" s="417"/>
      <c r="M8483" s="417" t="s">
        <v>28840</v>
      </c>
    </row>
    <row r="8484" spans="1:13" x14ac:dyDescent="0.25">
      <c r="A8484" s="417" t="s">
        <v>3385</v>
      </c>
      <c r="B8484" s="417" t="s">
        <v>2627</v>
      </c>
      <c r="C8484" s="417" t="s">
        <v>19421</v>
      </c>
      <c r="D8484" s="417" t="s">
        <v>83</v>
      </c>
      <c r="E8484" s="423">
        <v>33.676140683712561</v>
      </c>
      <c r="F8484" s="423">
        <v>2.766532953253781</v>
      </c>
      <c r="G8484" s="422">
        <v>129178.13061727049</v>
      </c>
      <c r="H8484" s="417" t="s">
        <v>2616</v>
      </c>
      <c r="I8484" s="417" t="s">
        <v>1392</v>
      </c>
      <c r="J8484" s="417" t="s">
        <v>4016</v>
      </c>
      <c r="K8484" s="417" t="s">
        <v>19422</v>
      </c>
      <c r="L8484" s="417"/>
      <c r="M8484" s="417" t="s">
        <v>28840</v>
      </c>
    </row>
    <row r="8485" spans="1:13" x14ac:dyDescent="0.25">
      <c r="A8485" s="417" t="s">
        <v>3385</v>
      </c>
      <c r="B8485" s="417" t="s">
        <v>2627</v>
      </c>
      <c r="C8485" s="417" t="s">
        <v>19423</v>
      </c>
      <c r="D8485" s="417" t="s">
        <v>83</v>
      </c>
      <c r="E8485" s="423">
        <v>39.597887117283861</v>
      </c>
      <c r="F8485" s="423">
        <v>3.4082550863042509</v>
      </c>
      <c r="G8485" s="422">
        <v>133126.92154366209</v>
      </c>
      <c r="H8485" s="417" t="s">
        <v>2616</v>
      </c>
      <c r="I8485" s="417" t="s">
        <v>1392</v>
      </c>
      <c r="J8485" s="417" t="s">
        <v>4016</v>
      </c>
      <c r="K8485" s="417" t="s">
        <v>19424</v>
      </c>
      <c r="L8485" s="417"/>
      <c r="M8485" s="417" t="s">
        <v>28840</v>
      </c>
    </row>
    <row r="8486" spans="1:13" x14ac:dyDescent="0.25">
      <c r="A8486" s="417" t="s">
        <v>3385</v>
      </c>
      <c r="B8486" s="417" t="s">
        <v>2627</v>
      </c>
      <c r="C8486" s="417" t="s">
        <v>19425</v>
      </c>
      <c r="D8486" s="417" t="s">
        <v>88</v>
      </c>
      <c r="E8486" s="423">
        <v>9.5610686906575426E-2</v>
      </c>
      <c r="F8486" s="423">
        <v>0.24223715604495841</v>
      </c>
      <c r="G8486" s="422">
        <v>352.10339868745717</v>
      </c>
      <c r="H8486" s="417" t="s">
        <v>2616</v>
      </c>
      <c r="I8486" s="417" t="s">
        <v>1392</v>
      </c>
      <c r="J8486" s="417" t="s">
        <v>11052</v>
      </c>
      <c r="K8486" s="417" t="s">
        <v>19426</v>
      </c>
      <c r="L8486" s="417"/>
      <c r="M8486" s="417" t="s">
        <v>28840</v>
      </c>
    </row>
    <row r="8487" spans="1:13" x14ac:dyDescent="0.25">
      <c r="A8487" s="417" t="s">
        <v>3385</v>
      </c>
      <c r="B8487" s="417" t="s">
        <v>2627</v>
      </c>
      <c r="C8487" s="417" t="s">
        <v>1005</v>
      </c>
      <c r="D8487" s="417" t="s">
        <v>88</v>
      </c>
      <c r="E8487" s="423">
        <v>9.5610686914005594E-2</v>
      </c>
      <c r="F8487" s="423">
        <v>0.24223715604496129</v>
      </c>
      <c r="G8487" s="422">
        <v>335.43779879211388</v>
      </c>
      <c r="H8487" s="417" t="s">
        <v>2616</v>
      </c>
      <c r="I8487" s="417" t="s">
        <v>28841</v>
      </c>
      <c r="J8487" s="417" t="s">
        <v>11052</v>
      </c>
      <c r="K8487" s="417" t="s">
        <v>19427</v>
      </c>
      <c r="L8487" s="417"/>
      <c r="M8487" s="417" t="s">
        <v>28840</v>
      </c>
    </row>
    <row r="8488" spans="1:13" x14ac:dyDescent="0.25">
      <c r="A8488" s="417" t="s">
        <v>3385</v>
      </c>
      <c r="B8488" s="417" t="s">
        <v>2627</v>
      </c>
      <c r="C8488" s="417" t="s">
        <v>19428</v>
      </c>
      <c r="D8488" s="417" t="s">
        <v>88</v>
      </c>
      <c r="E8488" s="423">
        <v>0.10973801411107049</v>
      </c>
      <c r="F8488" s="423">
        <v>0.2602362772689113</v>
      </c>
      <c r="G8488" s="422">
        <v>392.96603039879909</v>
      </c>
      <c r="H8488" s="417" t="s">
        <v>2616</v>
      </c>
      <c r="I8488" s="417" t="s">
        <v>1392</v>
      </c>
      <c r="J8488" s="417" t="s">
        <v>11052</v>
      </c>
      <c r="K8488" s="417" t="s">
        <v>19429</v>
      </c>
      <c r="L8488" s="417"/>
      <c r="M8488" s="417" t="s">
        <v>28840</v>
      </c>
    </row>
    <row r="8489" spans="1:13" x14ac:dyDescent="0.25">
      <c r="A8489" s="417" t="s">
        <v>3385</v>
      </c>
      <c r="B8489" s="417" t="s">
        <v>2627</v>
      </c>
      <c r="C8489" s="417" t="s">
        <v>19430</v>
      </c>
      <c r="D8489" s="417" t="s">
        <v>88</v>
      </c>
      <c r="E8489" s="423">
        <v>0.1097380140903548</v>
      </c>
      <c r="F8489" s="423">
        <v>0.26023627726130749</v>
      </c>
      <c r="G8489" s="422">
        <v>376.30043021449859</v>
      </c>
      <c r="H8489" s="417" t="s">
        <v>2616</v>
      </c>
      <c r="I8489" s="417" t="s">
        <v>1392</v>
      </c>
      <c r="J8489" s="417" t="s">
        <v>11052</v>
      </c>
      <c r="K8489" s="417" t="s">
        <v>19431</v>
      </c>
      <c r="L8489" s="417"/>
      <c r="M8489" s="417" t="s">
        <v>28840</v>
      </c>
    </row>
    <row r="8490" spans="1:13" x14ac:dyDescent="0.25">
      <c r="A8490" s="417" t="s">
        <v>3385</v>
      </c>
      <c r="B8490" s="417" t="s">
        <v>2627</v>
      </c>
      <c r="C8490" s="417" t="s">
        <v>19432</v>
      </c>
      <c r="D8490" s="417" t="s">
        <v>88</v>
      </c>
      <c r="E8490" s="423">
        <v>7.7249423578475571E-2</v>
      </c>
      <c r="F8490" s="423">
        <v>0.25715282646868659</v>
      </c>
      <c r="G8490" s="422">
        <v>326.29121746777292</v>
      </c>
      <c r="H8490" s="417" t="s">
        <v>2616</v>
      </c>
      <c r="I8490" s="417" t="s">
        <v>1392</v>
      </c>
      <c r="J8490" s="417" t="s">
        <v>11052</v>
      </c>
      <c r="K8490" s="417" t="s">
        <v>19433</v>
      </c>
      <c r="L8490" s="417"/>
      <c r="M8490" s="417" t="s">
        <v>28840</v>
      </c>
    </row>
    <row r="8491" spans="1:13" x14ac:dyDescent="0.25">
      <c r="A8491" s="417" t="s">
        <v>3385</v>
      </c>
      <c r="B8491" s="417" t="s">
        <v>2627</v>
      </c>
      <c r="C8491" s="417" t="s">
        <v>19434</v>
      </c>
      <c r="D8491" s="417" t="s">
        <v>88</v>
      </c>
      <c r="E8491" s="423">
        <v>6.5207774450282877E-2</v>
      </c>
      <c r="F8491" s="423">
        <v>0.2393066731530292</v>
      </c>
      <c r="G8491" s="422">
        <v>286.95127342773208</v>
      </c>
      <c r="H8491" s="417" t="s">
        <v>2616</v>
      </c>
      <c r="I8491" s="417" t="s">
        <v>1392</v>
      </c>
      <c r="J8491" s="417" t="s">
        <v>11052</v>
      </c>
      <c r="K8491" s="417" t="s">
        <v>19435</v>
      </c>
      <c r="L8491" s="417"/>
      <c r="M8491" s="417" t="s">
        <v>28840</v>
      </c>
    </row>
    <row r="8492" spans="1:13" x14ac:dyDescent="0.25">
      <c r="A8492" s="417" t="s">
        <v>3385</v>
      </c>
      <c r="B8492" s="417" t="s">
        <v>2627</v>
      </c>
      <c r="C8492" s="417" t="s">
        <v>19436</v>
      </c>
      <c r="D8492" s="417" t="s">
        <v>88</v>
      </c>
      <c r="E8492" s="423">
        <v>8.3333599654026286E-2</v>
      </c>
      <c r="F8492" s="423">
        <v>0.12621152547901229</v>
      </c>
      <c r="G8492" s="422">
        <v>285.71713828972759</v>
      </c>
      <c r="H8492" s="417" t="s">
        <v>2616</v>
      </c>
      <c r="I8492" s="417" t="s">
        <v>1392</v>
      </c>
      <c r="J8492" s="417" t="s">
        <v>11052</v>
      </c>
      <c r="K8492" s="417" t="s">
        <v>19437</v>
      </c>
      <c r="L8492" s="417"/>
      <c r="M8492" s="417" t="s">
        <v>28840</v>
      </c>
    </row>
    <row r="8493" spans="1:13" x14ac:dyDescent="0.25">
      <c r="A8493" s="417" t="s">
        <v>3385</v>
      </c>
      <c r="B8493" s="417" t="s">
        <v>2627</v>
      </c>
      <c r="C8493" s="417" t="s">
        <v>19438</v>
      </c>
      <c r="D8493" s="417" t="s">
        <v>88</v>
      </c>
      <c r="E8493" s="423">
        <v>8.3333599602794572E-2</v>
      </c>
      <c r="F8493" s="423">
        <v>0.12621152546147801</v>
      </c>
      <c r="G8493" s="422">
        <v>269.7599381671746</v>
      </c>
      <c r="H8493" s="417" t="s">
        <v>2616</v>
      </c>
      <c r="I8493" s="417" t="s">
        <v>1392</v>
      </c>
      <c r="J8493" s="417" t="s">
        <v>11052</v>
      </c>
      <c r="K8493" s="417" t="s">
        <v>19439</v>
      </c>
      <c r="L8493" s="417"/>
      <c r="M8493" s="417" t="s">
        <v>28840</v>
      </c>
    </row>
    <row r="8494" spans="1:13" x14ac:dyDescent="0.25">
      <c r="A8494" s="417" t="s">
        <v>3385</v>
      </c>
      <c r="B8494" s="417" t="s">
        <v>2627</v>
      </c>
      <c r="C8494" s="417" t="s">
        <v>19440</v>
      </c>
      <c r="D8494" s="417" t="s">
        <v>88</v>
      </c>
      <c r="E8494" s="423">
        <v>5.5183831847108483E-2</v>
      </c>
      <c r="F8494" s="423">
        <v>0.1234637104132783</v>
      </c>
      <c r="G8494" s="422">
        <v>222.9803207631106</v>
      </c>
      <c r="H8494" s="417" t="s">
        <v>2616</v>
      </c>
      <c r="I8494" s="417" t="s">
        <v>1392</v>
      </c>
      <c r="J8494" s="417" t="s">
        <v>11052</v>
      </c>
      <c r="K8494" s="417" t="s">
        <v>19441</v>
      </c>
      <c r="L8494" s="417"/>
      <c r="M8494" s="417" t="s">
        <v>28840</v>
      </c>
    </row>
    <row r="8495" spans="1:13" x14ac:dyDescent="0.25">
      <c r="A8495" s="417" t="s">
        <v>3385</v>
      </c>
      <c r="B8495" s="417" t="s">
        <v>2627</v>
      </c>
      <c r="C8495" s="417" t="s">
        <v>19442</v>
      </c>
      <c r="D8495" s="417" t="s">
        <v>83</v>
      </c>
      <c r="E8495" s="423">
        <v>53.665390431165363</v>
      </c>
      <c r="F8495" s="423">
        <v>160.93540917991379</v>
      </c>
      <c r="G8495" s="422">
        <v>234123.0948534465</v>
      </c>
      <c r="H8495" s="417" t="s">
        <v>2616</v>
      </c>
      <c r="I8495" s="417" t="s">
        <v>1392</v>
      </c>
      <c r="J8495" s="417" t="s">
        <v>4016</v>
      </c>
      <c r="K8495" s="417" t="s">
        <v>19443</v>
      </c>
      <c r="L8495" s="417"/>
      <c r="M8495" s="417" t="s">
        <v>28840</v>
      </c>
    </row>
    <row r="8496" spans="1:13" x14ac:dyDescent="0.25">
      <c r="A8496" s="417" t="s">
        <v>3385</v>
      </c>
      <c r="B8496" s="417" t="s">
        <v>2627</v>
      </c>
      <c r="C8496" s="417" t="s">
        <v>19444</v>
      </c>
      <c r="D8496" s="417" t="s">
        <v>83</v>
      </c>
      <c r="E8496" s="423">
        <v>71.527808386390248</v>
      </c>
      <c r="F8496" s="423">
        <v>162.48812666555369</v>
      </c>
      <c r="G8496" s="422">
        <v>246986.2446945486</v>
      </c>
      <c r="H8496" s="417" t="s">
        <v>2616</v>
      </c>
      <c r="I8496" s="417" t="s">
        <v>1392</v>
      </c>
      <c r="J8496" s="417" t="s">
        <v>4016</v>
      </c>
      <c r="K8496" s="417" t="s">
        <v>19445</v>
      </c>
      <c r="L8496" s="417"/>
      <c r="M8496" s="417" t="s">
        <v>28840</v>
      </c>
    </row>
    <row r="8497" spans="1:13" x14ac:dyDescent="0.25">
      <c r="A8497" s="417" t="s">
        <v>3385</v>
      </c>
      <c r="B8497" s="417" t="s">
        <v>2627</v>
      </c>
      <c r="C8497" s="417" t="s">
        <v>19446</v>
      </c>
      <c r="D8497" s="417" t="s">
        <v>83</v>
      </c>
      <c r="E8497" s="423">
        <v>48.311552936745912</v>
      </c>
      <c r="F8497" s="423">
        <v>87.496406161038522</v>
      </c>
      <c r="G8497" s="422">
        <v>196982.40462800491</v>
      </c>
      <c r="H8497" s="417" t="s">
        <v>2616</v>
      </c>
      <c r="I8497" s="417" t="s">
        <v>1392</v>
      </c>
      <c r="J8497" s="417" t="s">
        <v>4016</v>
      </c>
      <c r="K8497" s="417" t="s">
        <v>19447</v>
      </c>
      <c r="L8497" s="417"/>
      <c r="M8497" s="417" t="s">
        <v>28840</v>
      </c>
    </row>
    <row r="8498" spans="1:13" x14ac:dyDescent="0.25">
      <c r="A8498" s="417" t="s">
        <v>3385</v>
      </c>
      <c r="B8498" s="417" t="s">
        <v>2627</v>
      </c>
      <c r="C8498" s="417" t="s">
        <v>19448</v>
      </c>
      <c r="D8498" s="417" t="s">
        <v>83</v>
      </c>
      <c r="E8498" s="423">
        <v>62.68271513965972</v>
      </c>
      <c r="F8498" s="423">
        <v>88.77275550614965</v>
      </c>
      <c r="G8498" s="422">
        <v>207196.7769317549</v>
      </c>
      <c r="H8498" s="417" t="s">
        <v>2616</v>
      </c>
      <c r="I8498" s="417" t="s">
        <v>1392</v>
      </c>
      <c r="J8498" s="417" t="s">
        <v>4016</v>
      </c>
      <c r="K8498" s="417" t="s">
        <v>19449</v>
      </c>
      <c r="L8498" s="417"/>
      <c r="M8498" s="417" t="s">
        <v>28840</v>
      </c>
    </row>
    <row r="8499" spans="1:13" x14ac:dyDescent="0.25">
      <c r="A8499" s="417" t="s">
        <v>3385</v>
      </c>
      <c r="B8499" s="417" t="s">
        <v>2627</v>
      </c>
      <c r="C8499" s="417" t="s">
        <v>19450</v>
      </c>
      <c r="D8499" s="417" t="s">
        <v>83</v>
      </c>
      <c r="E8499" s="423">
        <v>35.023186317324893</v>
      </c>
      <c r="F8499" s="423">
        <v>2.877194271550958</v>
      </c>
      <c r="G8499" s="422">
        <v>134347.72535358419</v>
      </c>
      <c r="H8499" s="417" t="s">
        <v>2616</v>
      </c>
      <c r="I8499" s="417" t="s">
        <v>1392</v>
      </c>
      <c r="J8499" s="417" t="s">
        <v>4016</v>
      </c>
      <c r="K8499" s="417" t="s">
        <v>19451</v>
      </c>
      <c r="L8499" s="417"/>
      <c r="M8499" s="417" t="s">
        <v>28840</v>
      </c>
    </row>
    <row r="8500" spans="1:13" x14ac:dyDescent="0.25">
      <c r="A8500" s="417" t="s">
        <v>3385</v>
      </c>
      <c r="B8500" s="417" t="s">
        <v>2627</v>
      </c>
      <c r="C8500" s="417" t="s">
        <v>19452</v>
      </c>
      <c r="D8500" s="417" t="s">
        <v>83</v>
      </c>
      <c r="E8500" s="423">
        <v>41.181802614995313</v>
      </c>
      <c r="F8500" s="423">
        <v>3.5445852898272681</v>
      </c>
      <c r="G8500" s="422">
        <v>138454.4680272254</v>
      </c>
      <c r="H8500" s="417" t="s">
        <v>2616</v>
      </c>
      <c r="I8500" s="417" t="s">
        <v>1392</v>
      </c>
      <c r="J8500" s="417" t="s">
        <v>4016</v>
      </c>
      <c r="K8500" s="417" t="s">
        <v>19453</v>
      </c>
      <c r="L8500" s="417"/>
      <c r="M8500" s="417" t="s">
        <v>28840</v>
      </c>
    </row>
    <row r="8501" spans="1:13" x14ac:dyDescent="0.25">
      <c r="A8501" s="417" t="s">
        <v>3385</v>
      </c>
      <c r="B8501" s="417" t="s">
        <v>2627</v>
      </c>
      <c r="C8501" s="417" t="s">
        <v>19454</v>
      </c>
      <c r="D8501" s="417" t="s">
        <v>83</v>
      </c>
      <c r="E8501" s="423">
        <v>43.297453177196807</v>
      </c>
      <c r="F8501" s="423">
        <v>143.89333037885319</v>
      </c>
      <c r="G8501" s="422">
        <v>198351.48496147699</v>
      </c>
      <c r="H8501" s="417" t="s">
        <v>2616</v>
      </c>
      <c r="I8501" s="417" t="s">
        <v>1392</v>
      </c>
      <c r="J8501" s="417" t="s">
        <v>4016</v>
      </c>
      <c r="K8501" s="417" t="s">
        <v>19455</v>
      </c>
      <c r="L8501" s="417"/>
      <c r="M8501" s="417" t="s">
        <v>28840</v>
      </c>
    </row>
    <row r="8502" spans="1:13" x14ac:dyDescent="0.25">
      <c r="A8502" s="417" t="s">
        <v>3385</v>
      </c>
      <c r="B8502" s="417" t="s">
        <v>2627</v>
      </c>
      <c r="C8502" s="417" t="s">
        <v>19456</v>
      </c>
      <c r="D8502" s="417" t="s">
        <v>83</v>
      </c>
      <c r="E8502" s="423">
        <v>55.816607274187668</v>
      </c>
      <c r="F8502" s="423">
        <v>145.0535491008057</v>
      </c>
      <c r="G8502" s="422">
        <v>207316.43662020279</v>
      </c>
      <c r="H8502" s="417" t="s">
        <v>2616</v>
      </c>
      <c r="I8502" s="417" t="s">
        <v>1392</v>
      </c>
      <c r="J8502" s="417" t="s">
        <v>4016</v>
      </c>
      <c r="K8502" s="417" t="s">
        <v>19457</v>
      </c>
      <c r="L8502" s="417"/>
      <c r="M8502" s="417" t="s">
        <v>28840</v>
      </c>
    </row>
    <row r="8503" spans="1:13" x14ac:dyDescent="0.25">
      <c r="A8503" s="417" t="s">
        <v>3385</v>
      </c>
      <c r="B8503" s="417" t="s">
        <v>2627</v>
      </c>
      <c r="C8503" s="417" t="s">
        <v>19458</v>
      </c>
      <c r="D8503" s="417" t="s">
        <v>83</v>
      </c>
      <c r="E8503" s="423">
        <v>39.419629402646827</v>
      </c>
      <c r="F8503" s="423">
        <v>96.662259905536956</v>
      </c>
      <c r="G8503" s="422">
        <v>172681.94325738691</v>
      </c>
      <c r="H8503" s="417" t="s">
        <v>2616</v>
      </c>
      <c r="I8503" s="417" t="s">
        <v>1392</v>
      </c>
      <c r="J8503" s="417" t="s">
        <v>4016</v>
      </c>
      <c r="K8503" s="417" t="s">
        <v>19459</v>
      </c>
      <c r="L8503" s="417"/>
      <c r="M8503" s="417" t="s">
        <v>28840</v>
      </c>
    </row>
    <row r="8504" spans="1:13" x14ac:dyDescent="0.25">
      <c r="A8504" s="417" t="s">
        <v>3385</v>
      </c>
      <c r="B8504" s="417" t="s">
        <v>2627</v>
      </c>
      <c r="C8504" s="417" t="s">
        <v>19460</v>
      </c>
      <c r="D8504" s="417" t="s">
        <v>83</v>
      </c>
      <c r="E8504" s="423">
        <v>49.620298131830651</v>
      </c>
      <c r="F8504" s="423">
        <v>97.636654753423784</v>
      </c>
      <c r="G8504" s="422">
        <v>179894.83506034871</v>
      </c>
      <c r="H8504" s="417" t="s">
        <v>2616</v>
      </c>
      <c r="I8504" s="417" t="s">
        <v>1392</v>
      </c>
      <c r="J8504" s="417" t="s">
        <v>4016</v>
      </c>
      <c r="K8504" s="417" t="s">
        <v>19461</v>
      </c>
      <c r="L8504" s="417"/>
      <c r="M8504" s="417" t="s">
        <v>28840</v>
      </c>
    </row>
    <row r="8505" spans="1:13" x14ac:dyDescent="0.25">
      <c r="A8505" s="417" t="s">
        <v>3385</v>
      </c>
      <c r="B8505" s="417" t="s">
        <v>2627</v>
      </c>
      <c r="C8505" s="417" t="s">
        <v>19462</v>
      </c>
      <c r="D8505" s="417" t="s">
        <v>83</v>
      </c>
      <c r="E8505" s="423">
        <v>51.623042856463307</v>
      </c>
      <c r="F8505" s="423">
        <v>105.82883972438751</v>
      </c>
      <c r="G8505" s="422">
        <v>191279.65998504171</v>
      </c>
      <c r="H8505" s="417" t="s">
        <v>2616</v>
      </c>
      <c r="I8505" s="417" t="s">
        <v>1392</v>
      </c>
      <c r="J8505" s="417" t="s">
        <v>4016</v>
      </c>
      <c r="K8505" s="417" t="s">
        <v>19463</v>
      </c>
      <c r="L8505" s="417"/>
      <c r="M8505" s="417" t="s">
        <v>28840</v>
      </c>
    </row>
    <row r="8506" spans="1:13" x14ac:dyDescent="0.25">
      <c r="A8506" s="417" t="s">
        <v>3385</v>
      </c>
      <c r="B8506" s="417" t="s">
        <v>2627</v>
      </c>
      <c r="C8506" s="417" t="s">
        <v>19464</v>
      </c>
      <c r="D8506" s="417" t="s">
        <v>83</v>
      </c>
      <c r="E8506" s="423">
        <v>62.540372093362059</v>
      </c>
      <c r="F8506" s="423">
        <v>106.2865634563781</v>
      </c>
      <c r="G8506" s="422">
        <v>190508.12949676611</v>
      </c>
      <c r="H8506" s="417" t="s">
        <v>2616</v>
      </c>
      <c r="I8506" s="417" t="s">
        <v>1392</v>
      </c>
      <c r="J8506" s="417" t="s">
        <v>4016</v>
      </c>
      <c r="K8506" s="417" t="s">
        <v>19465</v>
      </c>
      <c r="L8506" s="417"/>
      <c r="M8506" s="417" t="s">
        <v>28840</v>
      </c>
    </row>
    <row r="8507" spans="1:13" x14ac:dyDescent="0.25">
      <c r="A8507" s="417" t="s">
        <v>3385</v>
      </c>
      <c r="B8507" s="417" t="s">
        <v>2627</v>
      </c>
      <c r="C8507" s="417" t="s">
        <v>19466</v>
      </c>
      <c r="D8507" s="417" t="s">
        <v>83</v>
      </c>
      <c r="E8507" s="423">
        <v>47.480733035113651</v>
      </c>
      <c r="F8507" s="423">
        <v>58.680132481873443</v>
      </c>
      <c r="G8507" s="422">
        <v>164003.98954164179</v>
      </c>
      <c r="H8507" s="417" t="s">
        <v>2616</v>
      </c>
      <c r="I8507" s="417" t="s">
        <v>1392</v>
      </c>
      <c r="J8507" s="417" t="s">
        <v>4016</v>
      </c>
      <c r="K8507" s="417" t="s">
        <v>19467</v>
      </c>
      <c r="L8507" s="417"/>
      <c r="M8507" s="417" t="s">
        <v>28840</v>
      </c>
    </row>
    <row r="8508" spans="1:13" x14ac:dyDescent="0.25">
      <c r="A8508" s="417" t="s">
        <v>3385</v>
      </c>
      <c r="B8508" s="417" t="s">
        <v>2627</v>
      </c>
      <c r="C8508" s="417" t="s">
        <v>19468</v>
      </c>
      <c r="D8508" s="417" t="s">
        <v>83</v>
      </c>
      <c r="E8508" s="423">
        <v>55.978129859268883</v>
      </c>
      <c r="F8508" s="423">
        <v>58.955878856488361</v>
      </c>
      <c r="G8508" s="422">
        <v>161831.54025300371</v>
      </c>
      <c r="H8508" s="417" t="s">
        <v>2616</v>
      </c>
      <c r="I8508" s="417" t="s">
        <v>1392</v>
      </c>
      <c r="J8508" s="417" t="s">
        <v>4016</v>
      </c>
      <c r="K8508" s="417" t="s">
        <v>19469</v>
      </c>
      <c r="L8508" s="417"/>
      <c r="M8508" s="417" t="s">
        <v>28840</v>
      </c>
    </row>
    <row r="8509" spans="1:13" x14ac:dyDescent="0.25">
      <c r="A8509" s="417" t="s">
        <v>3385</v>
      </c>
      <c r="B8509" s="417" t="s">
        <v>2627</v>
      </c>
      <c r="C8509" s="417" t="s">
        <v>19470</v>
      </c>
      <c r="D8509" s="417" t="s">
        <v>83</v>
      </c>
      <c r="E8509" s="423">
        <v>35.494155248579297</v>
      </c>
      <c r="F8509" s="423">
        <v>3.2373765677727482</v>
      </c>
      <c r="G8509" s="422">
        <v>114516.8383983003</v>
      </c>
      <c r="H8509" s="417" t="s">
        <v>2616</v>
      </c>
      <c r="I8509" s="417" t="s">
        <v>1392</v>
      </c>
      <c r="J8509" s="417" t="s">
        <v>4016</v>
      </c>
      <c r="K8509" s="417" t="s">
        <v>19471</v>
      </c>
      <c r="L8509" s="417"/>
      <c r="M8509" s="417" t="s">
        <v>28840</v>
      </c>
    </row>
    <row r="8510" spans="1:13" x14ac:dyDescent="0.25">
      <c r="A8510" s="417" t="s">
        <v>3385</v>
      </c>
      <c r="B8510" s="417" t="s">
        <v>2627</v>
      </c>
      <c r="C8510" s="417" t="s">
        <v>19472</v>
      </c>
      <c r="D8510" s="417" t="s">
        <v>83</v>
      </c>
      <c r="E8510" s="423">
        <v>37.657088237787448</v>
      </c>
      <c r="F8510" s="423">
        <v>3.1173271983681099</v>
      </c>
      <c r="G8510" s="422">
        <v>108478.94103581669</v>
      </c>
      <c r="H8510" s="417" t="s">
        <v>2616</v>
      </c>
      <c r="I8510" s="417" t="s">
        <v>1392</v>
      </c>
      <c r="J8510" s="417" t="s">
        <v>4016</v>
      </c>
      <c r="K8510" s="417" t="s">
        <v>19473</v>
      </c>
      <c r="L8510" s="417"/>
      <c r="M8510" s="417" t="s">
        <v>28840</v>
      </c>
    </row>
    <row r="8511" spans="1:13" x14ac:dyDescent="0.25">
      <c r="A8511" s="417" t="s">
        <v>3385</v>
      </c>
      <c r="B8511" s="417" t="s">
        <v>2627</v>
      </c>
      <c r="C8511" s="417" t="s">
        <v>19474</v>
      </c>
      <c r="D8511" s="417" t="s">
        <v>83</v>
      </c>
      <c r="E8511" s="423">
        <v>41.862149198759987</v>
      </c>
      <c r="F8511" s="423">
        <v>95.110526254384396</v>
      </c>
      <c r="G8511" s="422">
        <v>160123.98811403781</v>
      </c>
      <c r="H8511" s="417" t="s">
        <v>2616</v>
      </c>
      <c r="I8511" s="417" t="s">
        <v>1392</v>
      </c>
      <c r="J8511" s="417" t="s">
        <v>4016</v>
      </c>
      <c r="K8511" s="417" t="s">
        <v>19475</v>
      </c>
      <c r="L8511" s="417"/>
      <c r="M8511" s="417" t="s">
        <v>28840</v>
      </c>
    </row>
    <row r="8512" spans="1:13" x14ac:dyDescent="0.25">
      <c r="A8512" s="417" t="s">
        <v>3385</v>
      </c>
      <c r="B8512" s="417" t="s">
        <v>2627</v>
      </c>
      <c r="C8512" s="417" t="s">
        <v>19476</v>
      </c>
      <c r="D8512" s="417" t="s">
        <v>83</v>
      </c>
      <c r="E8512" s="423">
        <v>48.198166905749709</v>
      </c>
      <c r="F8512" s="423">
        <v>95.286963529612137</v>
      </c>
      <c r="G8512" s="422">
        <v>156787.58875845169</v>
      </c>
      <c r="H8512" s="417" t="s">
        <v>2616</v>
      </c>
      <c r="I8512" s="417" t="s">
        <v>1392</v>
      </c>
      <c r="J8512" s="417" t="s">
        <v>4016</v>
      </c>
      <c r="K8512" s="417" t="s">
        <v>19477</v>
      </c>
      <c r="L8512" s="417"/>
      <c r="M8512" s="417" t="s">
        <v>28840</v>
      </c>
    </row>
    <row r="8513" spans="1:13" x14ac:dyDescent="0.25">
      <c r="A8513" s="417" t="s">
        <v>3385</v>
      </c>
      <c r="B8513" s="417" t="s">
        <v>2627</v>
      </c>
      <c r="C8513" s="417" t="s">
        <v>19478</v>
      </c>
      <c r="D8513" s="417" t="s">
        <v>83</v>
      </c>
      <c r="E8513" s="423">
        <v>38.60663587511965</v>
      </c>
      <c r="F8513" s="423">
        <v>64.348325195526741</v>
      </c>
      <c r="G8513" s="422">
        <v>141254.843878238</v>
      </c>
      <c r="H8513" s="417" t="s">
        <v>2616</v>
      </c>
      <c r="I8513" s="417" t="s">
        <v>1392</v>
      </c>
      <c r="J8513" s="417" t="s">
        <v>4016</v>
      </c>
      <c r="K8513" s="417" t="s">
        <v>19479</v>
      </c>
      <c r="L8513" s="417"/>
      <c r="M8513" s="417" t="s">
        <v>28840</v>
      </c>
    </row>
    <row r="8514" spans="1:13" x14ac:dyDescent="0.25">
      <c r="A8514" s="417" t="s">
        <v>3385</v>
      </c>
      <c r="B8514" s="417" t="s">
        <v>2627</v>
      </c>
      <c r="C8514" s="417" t="s">
        <v>19480</v>
      </c>
      <c r="D8514" s="417" t="s">
        <v>83</v>
      </c>
      <c r="E8514" s="423">
        <v>43.223052004188027</v>
      </c>
      <c r="F8514" s="423">
        <v>64.392128548639491</v>
      </c>
      <c r="G8514" s="422">
        <v>137018.3560449857</v>
      </c>
      <c r="H8514" s="417" t="s">
        <v>2616</v>
      </c>
      <c r="I8514" s="417" t="s">
        <v>1392</v>
      </c>
      <c r="J8514" s="417" t="s">
        <v>4016</v>
      </c>
      <c r="K8514" s="417" t="s">
        <v>19481</v>
      </c>
      <c r="L8514" s="417"/>
      <c r="M8514" s="417" t="s">
        <v>28840</v>
      </c>
    </row>
    <row r="8515" spans="1:13" x14ac:dyDescent="0.25">
      <c r="A8515" s="417" t="s">
        <v>3385</v>
      </c>
      <c r="B8515" s="417" t="s">
        <v>2627</v>
      </c>
      <c r="C8515" s="417" t="s">
        <v>19482</v>
      </c>
      <c r="D8515" s="417" t="s">
        <v>83</v>
      </c>
      <c r="E8515" s="423">
        <v>52.125117107850578</v>
      </c>
      <c r="F8515" s="423">
        <v>173.51742676654999</v>
      </c>
      <c r="G8515" s="422">
        <v>231484.76258225431</v>
      </c>
      <c r="H8515" s="417" t="s">
        <v>2616</v>
      </c>
      <c r="I8515" s="417" t="s">
        <v>1392</v>
      </c>
      <c r="J8515" s="417" t="s">
        <v>4016</v>
      </c>
      <c r="K8515" s="417" t="s">
        <v>19483</v>
      </c>
      <c r="L8515" s="417"/>
      <c r="M8515" s="417" t="s">
        <v>28840</v>
      </c>
    </row>
    <row r="8516" spans="1:13" x14ac:dyDescent="0.25">
      <c r="A8516" s="417" t="s">
        <v>3385</v>
      </c>
      <c r="B8516" s="417" t="s">
        <v>2627</v>
      </c>
      <c r="C8516" s="417" t="s">
        <v>19484</v>
      </c>
      <c r="D8516" s="417" t="s">
        <v>83</v>
      </c>
      <c r="E8516" s="423">
        <v>68.688129007105985</v>
      </c>
      <c r="F8516" s="423">
        <v>174.97766181984051</v>
      </c>
      <c r="G8516" s="422">
        <v>243429.9040304849</v>
      </c>
      <c r="H8516" s="417" t="s">
        <v>2616</v>
      </c>
      <c r="I8516" s="417" t="s">
        <v>1392</v>
      </c>
      <c r="J8516" s="417" t="s">
        <v>4016</v>
      </c>
      <c r="K8516" s="417" t="s">
        <v>19485</v>
      </c>
      <c r="L8516" s="417"/>
      <c r="M8516" s="417" t="s">
        <v>28840</v>
      </c>
    </row>
    <row r="8517" spans="1:13" x14ac:dyDescent="0.25">
      <c r="A8517" s="417" t="s">
        <v>3385</v>
      </c>
      <c r="B8517" s="417" t="s">
        <v>2627</v>
      </c>
      <c r="C8517" s="417" t="s">
        <v>19486</v>
      </c>
      <c r="D8517" s="417" t="s">
        <v>83</v>
      </c>
      <c r="E8517" s="423">
        <v>46.637037537186814</v>
      </c>
      <c r="F8517" s="423">
        <v>93.942835732755938</v>
      </c>
      <c r="G8517" s="422">
        <v>192444.58346644731</v>
      </c>
      <c r="H8517" s="417" t="s">
        <v>2616</v>
      </c>
      <c r="I8517" s="417" t="s">
        <v>1392</v>
      </c>
      <c r="J8517" s="417" t="s">
        <v>4016</v>
      </c>
      <c r="K8517" s="417" t="s">
        <v>19487</v>
      </c>
      <c r="L8517" s="417"/>
      <c r="M8517" s="417" t="s">
        <v>28840</v>
      </c>
    </row>
    <row r="8518" spans="1:13" x14ac:dyDescent="0.25">
      <c r="A8518" s="417" t="s">
        <v>3385</v>
      </c>
      <c r="B8518" s="417" t="s">
        <v>2627</v>
      </c>
      <c r="C8518" s="417" t="s">
        <v>19488</v>
      </c>
      <c r="D8518" s="417" t="s">
        <v>83</v>
      </c>
      <c r="E8518" s="423">
        <v>59.579687367007971</v>
      </c>
      <c r="F8518" s="423">
        <v>95.116403439887577</v>
      </c>
      <c r="G8518" s="422">
        <v>201633.75599101809</v>
      </c>
      <c r="H8518" s="417" t="s">
        <v>2616</v>
      </c>
      <c r="I8518" s="417" t="s">
        <v>1392</v>
      </c>
      <c r="J8518" s="417" t="s">
        <v>4016</v>
      </c>
      <c r="K8518" s="417" t="s">
        <v>19489</v>
      </c>
      <c r="L8518" s="417"/>
      <c r="M8518" s="417" t="s">
        <v>28840</v>
      </c>
    </row>
    <row r="8519" spans="1:13" x14ac:dyDescent="0.25">
      <c r="A8519" s="417" t="s">
        <v>3385</v>
      </c>
      <c r="B8519" s="417" t="s">
        <v>2627</v>
      </c>
      <c r="C8519" s="417" t="s">
        <v>19490</v>
      </c>
      <c r="D8519" s="417" t="s">
        <v>83</v>
      </c>
      <c r="E8519" s="423">
        <v>43.999847786336012</v>
      </c>
      <c r="F8519" s="423">
        <v>161.4754879573336</v>
      </c>
      <c r="G8519" s="422">
        <v>204939.5905414022</v>
      </c>
      <c r="H8519" s="417" t="s">
        <v>2616</v>
      </c>
      <c r="I8519" s="417" t="s">
        <v>1392</v>
      </c>
      <c r="J8519" s="417" t="s">
        <v>4016</v>
      </c>
      <c r="K8519" s="417" t="s">
        <v>19491</v>
      </c>
      <c r="L8519" s="417"/>
      <c r="M8519" s="417" t="s">
        <v>28840</v>
      </c>
    </row>
    <row r="8520" spans="1:13" x14ac:dyDescent="0.25">
      <c r="A8520" s="417" t="s">
        <v>3385</v>
      </c>
      <c r="B8520" s="417" t="s">
        <v>2627</v>
      </c>
      <c r="C8520" s="417" t="s">
        <v>19492</v>
      </c>
      <c r="D8520" s="417" t="s">
        <v>83</v>
      </c>
      <c r="E8520" s="423">
        <v>57.045696063147624</v>
      </c>
      <c r="F8520" s="423">
        <v>162.6777670302433</v>
      </c>
      <c r="G8520" s="422">
        <v>214316.963644706</v>
      </c>
      <c r="H8520" s="417" t="s">
        <v>2616</v>
      </c>
      <c r="I8520" s="417" t="s">
        <v>1392</v>
      </c>
      <c r="J8520" s="417" t="s">
        <v>4016</v>
      </c>
      <c r="K8520" s="417" t="s">
        <v>19493</v>
      </c>
      <c r="L8520" s="417"/>
      <c r="M8520" s="417" t="s">
        <v>28840</v>
      </c>
    </row>
    <row r="8521" spans="1:13" x14ac:dyDescent="0.25">
      <c r="A8521" s="417" t="s">
        <v>3385</v>
      </c>
      <c r="B8521" s="417" t="s">
        <v>2627</v>
      </c>
      <c r="C8521" s="417" t="s">
        <v>19494</v>
      </c>
      <c r="D8521" s="417" t="s">
        <v>83</v>
      </c>
      <c r="E8521" s="423">
        <v>38.916665612879363</v>
      </c>
      <c r="F8521" s="423">
        <v>87.068907202608798</v>
      </c>
      <c r="G8521" s="422">
        <v>168572.29957342701</v>
      </c>
      <c r="H8521" s="417" t="s">
        <v>2616</v>
      </c>
      <c r="I8521" s="417" t="s">
        <v>1392</v>
      </c>
      <c r="J8521" s="417" t="s">
        <v>4016</v>
      </c>
      <c r="K8521" s="417" t="s">
        <v>19495</v>
      </c>
      <c r="L8521" s="417"/>
      <c r="M8521" s="417" t="s">
        <v>28840</v>
      </c>
    </row>
    <row r="8522" spans="1:13" x14ac:dyDescent="0.25">
      <c r="A8522" s="417" t="s">
        <v>3385</v>
      </c>
      <c r="B8522" s="417" t="s">
        <v>2627</v>
      </c>
      <c r="C8522" s="417" t="s">
        <v>19496</v>
      </c>
      <c r="D8522" s="417" t="s">
        <v>83</v>
      </c>
      <c r="E8522" s="423">
        <v>48.586935984853021</v>
      </c>
      <c r="F8522" s="423">
        <v>88.0041517330571</v>
      </c>
      <c r="G8522" s="422">
        <v>175379.1327364622</v>
      </c>
      <c r="H8522" s="417" t="s">
        <v>2616</v>
      </c>
      <c r="I8522" s="417" t="s">
        <v>1392</v>
      </c>
      <c r="J8522" s="417" t="s">
        <v>4016</v>
      </c>
      <c r="K8522" s="417" t="s">
        <v>19497</v>
      </c>
      <c r="L8522" s="417"/>
      <c r="M8522" s="417" t="s">
        <v>28840</v>
      </c>
    </row>
    <row r="8523" spans="1:13" x14ac:dyDescent="0.25">
      <c r="A8523" s="417" t="s">
        <v>3385</v>
      </c>
      <c r="B8523" s="417" t="s">
        <v>2627</v>
      </c>
      <c r="C8523" s="417" t="s">
        <v>19498</v>
      </c>
      <c r="D8523" s="417" t="s">
        <v>83</v>
      </c>
      <c r="E8523" s="423">
        <v>49.009621420157792</v>
      </c>
      <c r="F8523" s="423">
        <v>103.13481415471441</v>
      </c>
      <c r="G8523" s="422">
        <v>160647.413621858</v>
      </c>
      <c r="H8523" s="417" t="s">
        <v>2616</v>
      </c>
      <c r="I8523" s="417" t="s">
        <v>1392</v>
      </c>
      <c r="J8523" s="417" t="s">
        <v>4016</v>
      </c>
      <c r="K8523" s="417" t="s">
        <v>19499</v>
      </c>
      <c r="L8523" s="417"/>
      <c r="M8523" s="417" t="s">
        <v>28840</v>
      </c>
    </row>
    <row r="8524" spans="1:13" x14ac:dyDescent="0.25">
      <c r="A8524" s="417" t="s">
        <v>3385</v>
      </c>
      <c r="B8524" s="417" t="s">
        <v>2627</v>
      </c>
      <c r="C8524" s="417" t="s">
        <v>19500</v>
      </c>
      <c r="D8524" s="417" t="s">
        <v>83</v>
      </c>
      <c r="E8524" s="423">
        <v>50.273316816039049</v>
      </c>
      <c r="F8524" s="423">
        <v>110.76965478157599</v>
      </c>
      <c r="G8524" s="422">
        <v>188146.3955421689</v>
      </c>
      <c r="H8524" s="417" t="s">
        <v>2616</v>
      </c>
      <c r="I8524" s="417" t="s">
        <v>1392</v>
      </c>
      <c r="J8524" s="417" t="s">
        <v>4016</v>
      </c>
      <c r="K8524" s="417" t="s">
        <v>19501</v>
      </c>
      <c r="L8524" s="417"/>
      <c r="M8524" s="417" t="s">
        <v>28840</v>
      </c>
    </row>
    <row r="8525" spans="1:13" x14ac:dyDescent="0.25">
      <c r="A8525" s="417" t="s">
        <v>3385</v>
      </c>
      <c r="B8525" s="417" t="s">
        <v>2627</v>
      </c>
      <c r="C8525" s="417" t="s">
        <v>19502</v>
      </c>
      <c r="D8525" s="417" t="s">
        <v>83</v>
      </c>
      <c r="E8525" s="423">
        <v>60.245164614853238</v>
      </c>
      <c r="F8525" s="423">
        <v>111.1749597337644</v>
      </c>
      <c r="G8525" s="422">
        <v>186939.86616636289</v>
      </c>
      <c r="H8525" s="417" t="s">
        <v>2616</v>
      </c>
      <c r="I8525" s="417" t="s">
        <v>1392</v>
      </c>
      <c r="J8525" s="417" t="s">
        <v>4016</v>
      </c>
      <c r="K8525" s="417" t="s">
        <v>19503</v>
      </c>
      <c r="L8525" s="417"/>
      <c r="M8525" s="417" t="s">
        <v>28840</v>
      </c>
    </row>
    <row r="8526" spans="1:13" x14ac:dyDescent="0.25">
      <c r="A8526" s="417" t="s">
        <v>3385</v>
      </c>
      <c r="B8526" s="417" t="s">
        <v>2627</v>
      </c>
      <c r="C8526" s="417" t="s">
        <v>19504</v>
      </c>
      <c r="D8526" s="417" t="s">
        <v>83</v>
      </c>
      <c r="E8526" s="423">
        <v>45.975546457044942</v>
      </c>
      <c r="F8526" s="423">
        <v>61.21367197415551</v>
      </c>
      <c r="G8526" s="422">
        <v>160576.3353833002</v>
      </c>
      <c r="H8526" s="417" t="s">
        <v>2616</v>
      </c>
      <c r="I8526" s="417" t="s">
        <v>1392</v>
      </c>
      <c r="J8526" s="417" t="s">
        <v>4016</v>
      </c>
      <c r="K8526" s="417" t="s">
        <v>19505</v>
      </c>
      <c r="L8526" s="417"/>
      <c r="M8526" s="417" t="s">
        <v>28840</v>
      </c>
    </row>
    <row r="8527" spans="1:13" x14ac:dyDescent="0.25">
      <c r="A8527" s="417" t="s">
        <v>3385</v>
      </c>
      <c r="B8527" s="417" t="s">
        <v>2627</v>
      </c>
      <c r="C8527" s="417" t="s">
        <v>19506</v>
      </c>
      <c r="D8527" s="417" t="s">
        <v>83</v>
      </c>
      <c r="E8527" s="423">
        <v>53.592125068756573</v>
      </c>
      <c r="F8527" s="423">
        <v>61.455830375954683</v>
      </c>
      <c r="G8527" s="422">
        <v>158035.68626502671</v>
      </c>
      <c r="H8527" s="417" t="s">
        <v>2616</v>
      </c>
      <c r="I8527" s="417" t="s">
        <v>1392</v>
      </c>
      <c r="J8527" s="417" t="s">
        <v>4016</v>
      </c>
      <c r="K8527" s="417" t="s">
        <v>19507</v>
      </c>
      <c r="L8527" s="417"/>
      <c r="M8527" s="417" t="s">
        <v>28840</v>
      </c>
    </row>
    <row r="8528" spans="1:13" x14ac:dyDescent="0.25">
      <c r="A8528" s="417" t="s">
        <v>3385</v>
      </c>
      <c r="B8528" s="417" t="s">
        <v>2627</v>
      </c>
      <c r="C8528" s="417" t="s">
        <v>19508</v>
      </c>
      <c r="D8528" s="417" t="s">
        <v>83</v>
      </c>
      <c r="E8528" s="423">
        <v>42.281208448092023</v>
      </c>
      <c r="F8528" s="423">
        <v>102.9295455733228</v>
      </c>
      <c r="G8528" s="422">
        <v>163695.34982171829</v>
      </c>
      <c r="H8528" s="417" t="s">
        <v>2616</v>
      </c>
      <c r="I8528" s="417" t="s">
        <v>1392</v>
      </c>
      <c r="J8528" s="417" t="s">
        <v>4016</v>
      </c>
      <c r="K8528" s="417" t="s">
        <v>19509</v>
      </c>
      <c r="L8528" s="417"/>
      <c r="M8528" s="417" t="s">
        <v>28840</v>
      </c>
    </row>
    <row r="8529" spans="1:13" x14ac:dyDescent="0.25">
      <c r="A8529" s="417" t="s">
        <v>3385</v>
      </c>
      <c r="B8529" s="417" t="s">
        <v>2627</v>
      </c>
      <c r="C8529" s="417" t="s">
        <v>19510</v>
      </c>
      <c r="D8529" s="417" t="s">
        <v>83</v>
      </c>
      <c r="E8529" s="423">
        <v>36.511356752559593</v>
      </c>
      <c r="F8529" s="423">
        <v>23.2999270043222</v>
      </c>
      <c r="G8529" s="422">
        <v>123287.6867196953</v>
      </c>
      <c r="H8529" s="417" t="s">
        <v>2616</v>
      </c>
      <c r="I8529" s="417" t="s">
        <v>1392</v>
      </c>
      <c r="J8529" s="417" t="s">
        <v>4016</v>
      </c>
      <c r="K8529" s="417" t="s">
        <v>19511</v>
      </c>
      <c r="L8529" s="417"/>
      <c r="M8529" s="417" t="s">
        <v>28840</v>
      </c>
    </row>
    <row r="8530" spans="1:13" x14ac:dyDescent="0.25">
      <c r="A8530" s="417" t="s">
        <v>3385</v>
      </c>
      <c r="B8530" s="417" t="s">
        <v>2627</v>
      </c>
      <c r="C8530" s="417" t="s">
        <v>19512</v>
      </c>
      <c r="D8530" s="417" t="s">
        <v>83</v>
      </c>
      <c r="E8530" s="423">
        <v>39.562353214261663</v>
      </c>
      <c r="F8530" s="423">
        <v>23.24502438240183</v>
      </c>
      <c r="G8530" s="422">
        <v>117909.2207272449</v>
      </c>
      <c r="H8530" s="417" t="s">
        <v>2616</v>
      </c>
      <c r="I8530" s="417" t="s">
        <v>1392</v>
      </c>
      <c r="J8530" s="417" t="s">
        <v>4016</v>
      </c>
      <c r="K8530" s="417" t="s">
        <v>19513</v>
      </c>
      <c r="L8530" s="417"/>
      <c r="M8530" s="417" t="s">
        <v>28840</v>
      </c>
    </row>
    <row r="8531" spans="1:13" x14ac:dyDescent="0.25">
      <c r="A8531" s="417" t="s">
        <v>3385</v>
      </c>
      <c r="B8531" s="417" t="s">
        <v>2627</v>
      </c>
      <c r="C8531" s="417" t="s">
        <v>19514</v>
      </c>
      <c r="D8531" s="417" t="s">
        <v>83</v>
      </c>
      <c r="E8531" s="423">
        <v>37.740259171969967</v>
      </c>
      <c r="F8531" s="423">
        <v>4.0893070374794691</v>
      </c>
      <c r="G8531" s="422">
        <v>113014.1289980321</v>
      </c>
      <c r="H8531" s="417" t="s">
        <v>2616</v>
      </c>
      <c r="I8531" s="417" t="s">
        <v>1392</v>
      </c>
      <c r="J8531" s="417" t="s">
        <v>4016</v>
      </c>
      <c r="K8531" s="417" t="s">
        <v>19515</v>
      </c>
      <c r="L8531" s="417"/>
      <c r="M8531" s="417" t="s">
        <v>28840</v>
      </c>
    </row>
    <row r="8532" spans="1:13" x14ac:dyDescent="0.25">
      <c r="A8532" s="417" t="s">
        <v>3385</v>
      </c>
      <c r="B8532" s="417" t="s">
        <v>2627</v>
      </c>
      <c r="C8532" s="417" t="s">
        <v>19516</v>
      </c>
      <c r="D8532" s="417" t="s">
        <v>83</v>
      </c>
      <c r="E8532" s="423">
        <v>34.12899543989824</v>
      </c>
      <c r="F8532" s="423">
        <v>3.112862084088047</v>
      </c>
      <c r="G8532" s="422">
        <v>110111.15719591139</v>
      </c>
      <c r="H8532" s="417" t="s">
        <v>2616</v>
      </c>
      <c r="I8532" s="417" t="s">
        <v>1392</v>
      </c>
      <c r="J8532" s="417" t="s">
        <v>4016</v>
      </c>
      <c r="K8532" s="417" t="s">
        <v>19517</v>
      </c>
      <c r="L8532" s="417"/>
      <c r="M8532" s="417" t="s">
        <v>28840</v>
      </c>
    </row>
    <row r="8533" spans="1:13" x14ac:dyDescent="0.25">
      <c r="A8533" s="417" t="s">
        <v>3385</v>
      </c>
      <c r="B8533" s="417" t="s">
        <v>2627</v>
      </c>
      <c r="C8533" s="417" t="s">
        <v>19518</v>
      </c>
      <c r="D8533" s="417" t="s">
        <v>83</v>
      </c>
      <c r="E8533" s="423">
        <v>36.208738720748308</v>
      </c>
      <c r="F8533" s="423">
        <v>2.9974299993738129</v>
      </c>
      <c r="G8533" s="422">
        <v>104305.4868183276</v>
      </c>
      <c r="H8533" s="417" t="s">
        <v>2616</v>
      </c>
      <c r="I8533" s="417" t="s">
        <v>1392</v>
      </c>
      <c r="J8533" s="417" t="s">
        <v>4016</v>
      </c>
      <c r="K8533" s="417" t="s">
        <v>19519</v>
      </c>
      <c r="L8533" s="417"/>
      <c r="M8533" s="417" t="s">
        <v>28840</v>
      </c>
    </row>
    <row r="8534" spans="1:13" x14ac:dyDescent="0.25">
      <c r="A8534" s="417" t="s">
        <v>3385</v>
      </c>
      <c r="B8534" s="417" t="s">
        <v>2627</v>
      </c>
      <c r="C8534" s="417" t="s">
        <v>1006</v>
      </c>
      <c r="D8534" s="417" t="s">
        <v>88</v>
      </c>
      <c r="E8534" s="423">
        <v>0.10624550761465409</v>
      </c>
      <c r="F8534" s="423">
        <v>0.22235806266807881</v>
      </c>
      <c r="G8534" s="422">
        <v>372.28102096534923</v>
      </c>
      <c r="H8534" s="417" t="s">
        <v>2616</v>
      </c>
      <c r="I8534" s="417" t="s">
        <v>28841</v>
      </c>
      <c r="J8534" s="417" t="s">
        <v>11052</v>
      </c>
      <c r="K8534" s="417" t="s">
        <v>19520</v>
      </c>
      <c r="L8534" s="417"/>
      <c r="M8534" s="417" t="s">
        <v>28840</v>
      </c>
    </row>
    <row r="8535" spans="1:13" x14ac:dyDescent="0.25">
      <c r="A8535" s="417" t="s">
        <v>3385</v>
      </c>
      <c r="B8535" s="417" t="s">
        <v>2627</v>
      </c>
      <c r="C8535" s="417" t="s">
        <v>19521</v>
      </c>
      <c r="D8535" s="417" t="s">
        <v>88</v>
      </c>
      <c r="E8535" s="423">
        <v>0.12515752419096529</v>
      </c>
      <c r="F8535" s="423">
        <v>0.2393062368340092</v>
      </c>
      <c r="G8535" s="422">
        <v>425.79254434861588</v>
      </c>
      <c r="H8535" s="417" t="s">
        <v>2616</v>
      </c>
      <c r="I8535" s="417" t="s">
        <v>1392</v>
      </c>
      <c r="J8535" s="417" t="s">
        <v>11052</v>
      </c>
      <c r="K8535" s="417" t="s">
        <v>19522</v>
      </c>
      <c r="L8535" s="417"/>
      <c r="M8535" s="417" t="s">
        <v>28840</v>
      </c>
    </row>
    <row r="8536" spans="1:13" x14ac:dyDescent="0.25">
      <c r="A8536" s="417" t="s">
        <v>3385</v>
      </c>
      <c r="B8536" s="417" t="s">
        <v>2627</v>
      </c>
      <c r="C8536" s="417" t="s">
        <v>19523</v>
      </c>
      <c r="D8536" s="417" t="s">
        <v>88</v>
      </c>
      <c r="E8536" s="423">
        <v>0.12515752420156079</v>
      </c>
      <c r="F8536" s="423">
        <v>0.2393062368150802</v>
      </c>
      <c r="G8536" s="422">
        <v>408.55574423174352</v>
      </c>
      <c r="H8536" s="417" t="s">
        <v>2616</v>
      </c>
      <c r="I8536" s="417" t="s">
        <v>1392</v>
      </c>
      <c r="J8536" s="417" t="s">
        <v>11052</v>
      </c>
      <c r="K8536" s="417" t="s">
        <v>19524</v>
      </c>
      <c r="L8536" s="417"/>
      <c r="M8536" s="417" t="s">
        <v>28840</v>
      </c>
    </row>
    <row r="8537" spans="1:13" x14ac:dyDescent="0.25">
      <c r="A8537" s="417" t="s">
        <v>3385</v>
      </c>
      <c r="B8537" s="417" t="s">
        <v>2627</v>
      </c>
      <c r="C8537" s="417" t="s">
        <v>19525</v>
      </c>
      <c r="D8537" s="417" t="s">
        <v>88</v>
      </c>
      <c r="E8537" s="423">
        <v>0.107987084539274</v>
      </c>
      <c r="F8537" s="423">
        <v>0.2379332184775782</v>
      </c>
      <c r="G8537" s="422">
        <v>387.12565882247821</v>
      </c>
      <c r="H8537" s="417" t="s">
        <v>2616</v>
      </c>
      <c r="I8537" s="417" t="s">
        <v>1392</v>
      </c>
      <c r="J8537" s="417" t="s">
        <v>11052</v>
      </c>
      <c r="K8537" s="417" t="s">
        <v>19526</v>
      </c>
      <c r="L8537" s="417"/>
      <c r="M8537" s="417" t="s">
        <v>28840</v>
      </c>
    </row>
    <row r="8538" spans="1:13" x14ac:dyDescent="0.25">
      <c r="A8538" s="417" t="s">
        <v>3385</v>
      </c>
      <c r="B8538" s="417" t="s">
        <v>2627</v>
      </c>
      <c r="C8538" s="417" t="s">
        <v>19527</v>
      </c>
      <c r="D8538" s="417" t="s">
        <v>88</v>
      </c>
      <c r="E8538" s="423">
        <v>8.877280052604998E-2</v>
      </c>
      <c r="F8538" s="423">
        <v>4.9241038685444979E-2</v>
      </c>
      <c r="G8538" s="422">
        <v>274.12236274546541</v>
      </c>
      <c r="H8538" s="417" t="s">
        <v>2616</v>
      </c>
      <c r="I8538" s="417" t="s">
        <v>1392</v>
      </c>
      <c r="J8538" s="417" t="s">
        <v>11052</v>
      </c>
      <c r="K8538" s="417" t="s">
        <v>19528</v>
      </c>
      <c r="L8538" s="417"/>
      <c r="M8538" s="417" t="s">
        <v>28840</v>
      </c>
    </row>
    <row r="8539" spans="1:13" x14ac:dyDescent="0.25">
      <c r="A8539" s="417" t="s">
        <v>3385</v>
      </c>
      <c r="B8539" s="417" t="s">
        <v>2627</v>
      </c>
      <c r="C8539" s="417" t="s">
        <v>19529</v>
      </c>
      <c r="D8539" s="417" t="s">
        <v>88</v>
      </c>
      <c r="E8539" s="423">
        <v>8.877280052604998E-2</v>
      </c>
      <c r="F8539" s="423">
        <v>4.9241038685444979E-2</v>
      </c>
      <c r="G8539" s="422">
        <v>257.59676274546541</v>
      </c>
      <c r="H8539" s="417" t="s">
        <v>2616</v>
      </c>
      <c r="I8539" s="417" t="s">
        <v>1392</v>
      </c>
      <c r="J8539" s="417" t="s">
        <v>11052</v>
      </c>
      <c r="K8539" s="417" t="s">
        <v>19530</v>
      </c>
      <c r="L8539" s="417"/>
      <c r="M8539" s="417" t="s">
        <v>28840</v>
      </c>
    </row>
    <row r="8540" spans="1:13" x14ac:dyDescent="0.25">
      <c r="A8540" s="417" t="s">
        <v>3385</v>
      </c>
      <c r="B8540" s="417" t="s">
        <v>2627</v>
      </c>
      <c r="C8540" s="417" t="s">
        <v>19531</v>
      </c>
      <c r="D8540" s="417" t="s">
        <v>88</v>
      </c>
      <c r="E8540" s="423">
        <v>0.1106676270634266</v>
      </c>
      <c r="F8540" s="423">
        <v>0.1276859084749393</v>
      </c>
      <c r="G8540" s="422">
        <v>352.58489803153958</v>
      </c>
      <c r="H8540" s="417" t="s">
        <v>2616</v>
      </c>
      <c r="I8540" s="417" t="s">
        <v>1392</v>
      </c>
      <c r="J8540" s="417" t="s">
        <v>11052</v>
      </c>
      <c r="K8540" s="417" t="s">
        <v>19532</v>
      </c>
      <c r="L8540" s="417"/>
      <c r="M8540" s="417" t="s">
        <v>28840</v>
      </c>
    </row>
    <row r="8541" spans="1:13" x14ac:dyDescent="0.25">
      <c r="A8541" s="417" t="s">
        <v>3385</v>
      </c>
      <c r="B8541" s="417" t="s">
        <v>2627</v>
      </c>
      <c r="C8541" s="417" t="s">
        <v>19533</v>
      </c>
      <c r="D8541" s="417" t="s">
        <v>88</v>
      </c>
      <c r="E8541" s="423">
        <v>0.1106676270935977</v>
      </c>
      <c r="F8541" s="423">
        <v>0.12768590847353639</v>
      </c>
      <c r="G8541" s="422">
        <v>336.05929785460461</v>
      </c>
      <c r="H8541" s="417" t="s">
        <v>2616</v>
      </c>
      <c r="I8541" s="417" t="s">
        <v>1392</v>
      </c>
      <c r="J8541" s="417" t="s">
        <v>11052</v>
      </c>
      <c r="K8541" s="417" t="s">
        <v>19534</v>
      </c>
      <c r="L8541" s="417"/>
      <c r="M8541" s="417" t="s">
        <v>28840</v>
      </c>
    </row>
    <row r="8542" spans="1:13" x14ac:dyDescent="0.25">
      <c r="A8542" s="417" t="s">
        <v>3385</v>
      </c>
      <c r="B8542" s="417" t="s">
        <v>2627</v>
      </c>
      <c r="C8542" s="417" t="s">
        <v>19535</v>
      </c>
      <c r="D8542" s="417" t="s">
        <v>88</v>
      </c>
      <c r="E8542" s="423">
        <v>9.4939503382886731E-2</v>
      </c>
      <c r="F8542" s="423">
        <v>0.12640623262694881</v>
      </c>
      <c r="G8542" s="422">
        <v>315.27733220470009</v>
      </c>
      <c r="H8542" s="417" t="s">
        <v>2616</v>
      </c>
      <c r="I8542" s="417" t="s">
        <v>1392</v>
      </c>
      <c r="J8542" s="417" t="s">
        <v>11052</v>
      </c>
      <c r="K8542" s="417" t="s">
        <v>19536</v>
      </c>
      <c r="L8542" s="417"/>
      <c r="M8542" s="417" t="s">
        <v>28840</v>
      </c>
    </row>
    <row r="8543" spans="1:13" x14ac:dyDescent="0.25">
      <c r="A8543" s="417" t="s">
        <v>3385</v>
      </c>
      <c r="B8543" s="417" t="s">
        <v>2627</v>
      </c>
      <c r="C8543" s="417" t="s">
        <v>19537</v>
      </c>
      <c r="D8543" s="417" t="s">
        <v>88</v>
      </c>
      <c r="E8543" s="423">
        <v>7.5395951705825262E-2</v>
      </c>
      <c r="F8543" s="423">
        <v>4.8114349264373503E-2</v>
      </c>
      <c r="G8543" s="422">
        <v>238.2762733148665</v>
      </c>
      <c r="H8543" s="417" t="s">
        <v>2616</v>
      </c>
      <c r="I8543" s="417" t="s">
        <v>1392</v>
      </c>
      <c r="J8543" s="417" t="s">
        <v>11052</v>
      </c>
      <c r="K8543" s="417" t="s">
        <v>19538</v>
      </c>
      <c r="L8543" s="417"/>
      <c r="M8543" s="417" t="s">
        <v>28840</v>
      </c>
    </row>
    <row r="8544" spans="1:13" x14ac:dyDescent="0.25">
      <c r="A8544" s="417" t="s">
        <v>3385</v>
      </c>
      <c r="B8544" s="417" t="s">
        <v>2627</v>
      </c>
      <c r="C8544" s="417" t="s">
        <v>19539</v>
      </c>
      <c r="D8544" s="417" t="s">
        <v>83</v>
      </c>
      <c r="E8544" s="423">
        <v>76.348399465394181</v>
      </c>
      <c r="F8544" s="423">
        <v>169.0551161505885</v>
      </c>
      <c r="G8544" s="422">
        <v>256193.65058385179</v>
      </c>
      <c r="H8544" s="417" t="s">
        <v>2616</v>
      </c>
      <c r="I8544" s="417" t="s">
        <v>1392</v>
      </c>
      <c r="J8544" s="417" t="s">
        <v>19540</v>
      </c>
      <c r="K8544" s="417" t="s">
        <v>19541</v>
      </c>
      <c r="L8544" s="417"/>
      <c r="M8544" s="417" t="s">
        <v>28840</v>
      </c>
    </row>
    <row r="8545" spans="1:13" x14ac:dyDescent="0.25">
      <c r="A8545" s="417" t="s">
        <v>3385</v>
      </c>
      <c r="B8545" s="417" t="s">
        <v>2627</v>
      </c>
      <c r="C8545" s="417" t="s">
        <v>19542</v>
      </c>
      <c r="D8545" s="417" t="s">
        <v>83</v>
      </c>
      <c r="E8545" s="423">
        <v>102.36871890074571</v>
      </c>
      <c r="F8545" s="423">
        <v>170.56943167418851</v>
      </c>
      <c r="G8545" s="422">
        <v>276545.60582257161</v>
      </c>
      <c r="H8545" s="417" t="s">
        <v>2616</v>
      </c>
      <c r="I8545" s="417" t="s">
        <v>1392</v>
      </c>
      <c r="J8545" s="417" t="s">
        <v>19540</v>
      </c>
      <c r="K8545" s="417" t="s">
        <v>19543</v>
      </c>
      <c r="L8545" s="417"/>
      <c r="M8545" s="417" t="s">
        <v>28840</v>
      </c>
    </row>
    <row r="8546" spans="1:13" x14ac:dyDescent="0.25">
      <c r="A8546" s="417" t="s">
        <v>3385</v>
      </c>
      <c r="B8546" s="417" t="s">
        <v>2627</v>
      </c>
      <c r="C8546" s="417" t="s">
        <v>19544</v>
      </c>
      <c r="D8546" s="417" t="s">
        <v>83</v>
      </c>
      <c r="E8546" s="423">
        <v>76.348399465394181</v>
      </c>
      <c r="F8546" s="423">
        <v>169.0551161505885</v>
      </c>
      <c r="G8546" s="422">
        <v>248269.6505838517</v>
      </c>
      <c r="H8546" s="417" t="s">
        <v>2616</v>
      </c>
      <c r="I8546" s="417" t="s">
        <v>1392</v>
      </c>
      <c r="J8546" s="417" t="s">
        <v>19540</v>
      </c>
      <c r="K8546" s="417" t="s">
        <v>19545</v>
      </c>
      <c r="L8546" s="417"/>
      <c r="M8546" s="417" t="s">
        <v>28840</v>
      </c>
    </row>
    <row r="8547" spans="1:13" x14ac:dyDescent="0.25">
      <c r="A8547" s="417" t="s">
        <v>3385</v>
      </c>
      <c r="B8547" s="417" t="s">
        <v>2627</v>
      </c>
      <c r="C8547" s="417" t="s">
        <v>19546</v>
      </c>
      <c r="D8547" s="417" t="s">
        <v>83</v>
      </c>
      <c r="E8547" s="423">
        <v>102.36871890074571</v>
      </c>
      <c r="F8547" s="423">
        <v>170.56943167418851</v>
      </c>
      <c r="G8547" s="422">
        <v>268229.60582257161</v>
      </c>
      <c r="H8547" s="417" t="s">
        <v>2616</v>
      </c>
      <c r="I8547" s="417" t="s">
        <v>1392</v>
      </c>
      <c r="J8547" s="417" t="s">
        <v>19540</v>
      </c>
      <c r="K8547" s="417" t="s">
        <v>19547</v>
      </c>
      <c r="L8547" s="417"/>
      <c r="M8547" s="417" t="s">
        <v>28840</v>
      </c>
    </row>
    <row r="8548" spans="1:13" x14ac:dyDescent="0.25">
      <c r="A8548" s="417" t="s">
        <v>3385</v>
      </c>
      <c r="B8548" s="417" t="s">
        <v>2627</v>
      </c>
      <c r="C8548" s="417" t="s">
        <v>19548</v>
      </c>
      <c r="D8548" s="417" t="s">
        <v>83</v>
      </c>
      <c r="E8548" s="423">
        <v>82.947801750952351</v>
      </c>
      <c r="F8548" s="423">
        <v>169.30052098672249</v>
      </c>
      <c r="G8548" s="422">
        <v>268253.6948607582</v>
      </c>
      <c r="H8548" s="417" t="s">
        <v>2616</v>
      </c>
      <c r="I8548" s="417" t="s">
        <v>1392</v>
      </c>
      <c r="J8548" s="417" t="s">
        <v>19540</v>
      </c>
      <c r="K8548" s="417" t="s">
        <v>19549</v>
      </c>
      <c r="L8548" s="417"/>
      <c r="M8548" s="417" t="s">
        <v>28840</v>
      </c>
    </row>
    <row r="8549" spans="1:13" x14ac:dyDescent="0.25">
      <c r="A8549" s="417" t="s">
        <v>3385</v>
      </c>
      <c r="B8549" s="417" t="s">
        <v>2627</v>
      </c>
      <c r="C8549" s="417" t="s">
        <v>19550</v>
      </c>
      <c r="D8549" s="417" t="s">
        <v>83</v>
      </c>
      <c r="E8549" s="423">
        <v>108.98527043551989</v>
      </c>
      <c r="F8549" s="423">
        <v>170.81681431792771</v>
      </c>
      <c r="G8549" s="422">
        <v>288623.63127552089</v>
      </c>
      <c r="H8549" s="417" t="s">
        <v>2616</v>
      </c>
      <c r="I8549" s="417" t="s">
        <v>1392</v>
      </c>
      <c r="J8549" s="417" t="s">
        <v>19540</v>
      </c>
      <c r="K8549" s="417" t="s">
        <v>19551</v>
      </c>
      <c r="L8549" s="417"/>
      <c r="M8549" s="417" t="s">
        <v>28840</v>
      </c>
    </row>
    <row r="8550" spans="1:13" x14ac:dyDescent="0.25">
      <c r="A8550" s="417" t="s">
        <v>3385</v>
      </c>
      <c r="B8550" s="417" t="s">
        <v>2627</v>
      </c>
      <c r="C8550" s="417" t="s">
        <v>19552</v>
      </c>
      <c r="D8550" s="417" t="s">
        <v>83</v>
      </c>
      <c r="E8550" s="423">
        <v>84.160040064719695</v>
      </c>
      <c r="F8550" s="423">
        <v>169.34575262045519</v>
      </c>
      <c r="G8550" s="422">
        <v>270469.09534642979</v>
      </c>
      <c r="H8550" s="417" t="s">
        <v>2616</v>
      </c>
      <c r="I8550" s="417" t="s">
        <v>1392</v>
      </c>
      <c r="J8550" s="417" t="s">
        <v>19540</v>
      </c>
      <c r="K8550" s="417" t="s">
        <v>19553</v>
      </c>
      <c r="L8550" s="417"/>
      <c r="M8550" s="417" t="s">
        <v>28840</v>
      </c>
    </row>
    <row r="8551" spans="1:13" x14ac:dyDescent="0.25">
      <c r="A8551" s="417" t="s">
        <v>3385</v>
      </c>
      <c r="B8551" s="417" t="s">
        <v>2627</v>
      </c>
      <c r="C8551" s="417" t="s">
        <v>19554</v>
      </c>
      <c r="D8551" s="417" t="s">
        <v>83</v>
      </c>
      <c r="E8551" s="423">
        <v>110.20057334035531</v>
      </c>
      <c r="F8551" s="423">
        <v>170.86240305537731</v>
      </c>
      <c r="G8551" s="422">
        <v>290842.15703429002</v>
      </c>
      <c r="H8551" s="417" t="s">
        <v>2616</v>
      </c>
      <c r="I8551" s="417" t="s">
        <v>1392</v>
      </c>
      <c r="J8551" s="417" t="s">
        <v>19540</v>
      </c>
      <c r="K8551" s="417" t="s">
        <v>19555</v>
      </c>
      <c r="L8551" s="417"/>
      <c r="M8551" s="417" t="s">
        <v>28840</v>
      </c>
    </row>
    <row r="8552" spans="1:13" x14ac:dyDescent="0.25">
      <c r="A8552" s="417" t="s">
        <v>3385</v>
      </c>
      <c r="B8552" s="417" t="s">
        <v>2627</v>
      </c>
      <c r="C8552" s="417" t="s">
        <v>19556</v>
      </c>
      <c r="D8552" s="417" t="s">
        <v>83</v>
      </c>
      <c r="E8552" s="423">
        <v>83.299593653156819</v>
      </c>
      <c r="F8552" s="423">
        <v>169.31364880962491</v>
      </c>
      <c r="G8552" s="422">
        <v>268896.60399888578</v>
      </c>
      <c r="H8552" s="417" t="s">
        <v>2616</v>
      </c>
      <c r="I8552" s="417" t="s">
        <v>1392</v>
      </c>
      <c r="J8552" s="417" t="s">
        <v>19540</v>
      </c>
      <c r="K8552" s="417" t="s">
        <v>19557</v>
      </c>
      <c r="L8552" s="417"/>
      <c r="M8552" s="417" t="s">
        <v>28840</v>
      </c>
    </row>
    <row r="8553" spans="1:13" x14ac:dyDescent="0.25">
      <c r="A8553" s="417" t="s">
        <v>3385</v>
      </c>
      <c r="B8553" s="417" t="s">
        <v>2627</v>
      </c>
      <c r="C8553" s="417" t="s">
        <v>19558</v>
      </c>
      <c r="D8553" s="417" t="s">
        <v>83</v>
      </c>
      <c r="E8553" s="423">
        <v>109.3378795189801</v>
      </c>
      <c r="F8553" s="423">
        <v>170.83004081518919</v>
      </c>
      <c r="G8553" s="422">
        <v>289267.31623865222</v>
      </c>
      <c r="H8553" s="417" t="s">
        <v>2616</v>
      </c>
      <c r="I8553" s="417" t="s">
        <v>1392</v>
      </c>
      <c r="J8553" s="417" t="s">
        <v>19540</v>
      </c>
      <c r="K8553" s="417" t="s">
        <v>19559</v>
      </c>
      <c r="L8553" s="417"/>
      <c r="M8553" s="417" t="s">
        <v>28840</v>
      </c>
    </row>
    <row r="8554" spans="1:13" x14ac:dyDescent="0.25">
      <c r="A8554" s="417" t="s">
        <v>3385</v>
      </c>
      <c r="B8554" s="417" t="s">
        <v>2627</v>
      </c>
      <c r="C8554" s="417" t="s">
        <v>19560</v>
      </c>
      <c r="D8554" s="417" t="s">
        <v>83</v>
      </c>
      <c r="E8554" s="423">
        <v>85.721852028515983</v>
      </c>
      <c r="F8554" s="423">
        <v>169.4040242587468</v>
      </c>
      <c r="G8554" s="422">
        <v>273323.35814538831</v>
      </c>
      <c r="H8554" s="417" t="s">
        <v>2616</v>
      </c>
      <c r="I8554" s="417" t="s">
        <v>1392</v>
      </c>
      <c r="J8554" s="417" t="s">
        <v>19540</v>
      </c>
      <c r="K8554" s="417" t="s">
        <v>19561</v>
      </c>
      <c r="L8554" s="417"/>
      <c r="M8554" s="417" t="s">
        <v>28840</v>
      </c>
    </row>
    <row r="8555" spans="1:13" x14ac:dyDescent="0.25">
      <c r="A8555" s="417" t="s">
        <v>3385</v>
      </c>
      <c r="B8555" s="417" t="s">
        <v>2627</v>
      </c>
      <c r="C8555" s="417" t="s">
        <v>19562</v>
      </c>
      <c r="D8555" s="417" t="s">
        <v>83</v>
      </c>
      <c r="E8555" s="423">
        <v>111.76626776900549</v>
      </c>
      <c r="F8555" s="423">
        <v>170.9211305078282</v>
      </c>
      <c r="G8555" s="422">
        <v>293700.3229411323</v>
      </c>
      <c r="H8555" s="417" t="s">
        <v>2616</v>
      </c>
      <c r="I8555" s="417" t="s">
        <v>1392</v>
      </c>
      <c r="J8555" s="417" t="s">
        <v>19540</v>
      </c>
      <c r="K8555" s="417" t="s">
        <v>19563</v>
      </c>
      <c r="L8555" s="417"/>
      <c r="M8555" s="417" t="s">
        <v>28840</v>
      </c>
    </row>
    <row r="8556" spans="1:13" x14ac:dyDescent="0.25">
      <c r="A8556" s="417" t="s">
        <v>3385</v>
      </c>
      <c r="B8556" s="417" t="s">
        <v>2627</v>
      </c>
      <c r="C8556" s="417" t="s">
        <v>19564</v>
      </c>
      <c r="D8556" s="417" t="s">
        <v>83</v>
      </c>
      <c r="E8556" s="423">
        <v>66.1840268038424</v>
      </c>
      <c r="F8556" s="423">
        <v>168.6750703289074</v>
      </c>
      <c r="G8556" s="422">
        <v>237617.36973151899</v>
      </c>
      <c r="H8556" s="417" t="s">
        <v>2616</v>
      </c>
      <c r="I8556" s="417" t="s">
        <v>1392</v>
      </c>
      <c r="J8556" s="417" t="s">
        <v>19540</v>
      </c>
      <c r="K8556" s="417" t="s">
        <v>19565</v>
      </c>
      <c r="L8556" s="417"/>
      <c r="M8556" s="417" t="s">
        <v>28840</v>
      </c>
    </row>
    <row r="8557" spans="1:13" x14ac:dyDescent="0.25">
      <c r="A8557" s="417" t="s">
        <v>3385</v>
      </c>
      <c r="B8557" s="417" t="s">
        <v>2627</v>
      </c>
      <c r="C8557" s="417" t="s">
        <v>19566</v>
      </c>
      <c r="D8557" s="417" t="s">
        <v>83</v>
      </c>
      <c r="E8557" s="423">
        <v>92.177935466295452</v>
      </c>
      <c r="F8557" s="423">
        <v>170.18634320496241</v>
      </c>
      <c r="G8557" s="422">
        <v>257941.96601405821</v>
      </c>
      <c r="H8557" s="417" t="s">
        <v>2616</v>
      </c>
      <c r="I8557" s="417" t="s">
        <v>1392</v>
      </c>
      <c r="J8557" s="417" t="s">
        <v>19540</v>
      </c>
      <c r="K8557" s="417" t="s">
        <v>19567</v>
      </c>
      <c r="L8557" s="417"/>
      <c r="M8557" s="417" t="s">
        <v>28840</v>
      </c>
    </row>
    <row r="8558" spans="1:13" x14ac:dyDescent="0.25">
      <c r="A8558" s="417" t="s">
        <v>3385</v>
      </c>
      <c r="B8558" s="417" t="s">
        <v>2627</v>
      </c>
      <c r="C8558" s="417" t="s">
        <v>19568</v>
      </c>
      <c r="D8558" s="417" t="s">
        <v>83</v>
      </c>
      <c r="E8558" s="423">
        <v>63.409566948025251</v>
      </c>
      <c r="F8558" s="423">
        <v>168.57155185156489</v>
      </c>
      <c r="G8558" s="422">
        <v>232546.9580467185</v>
      </c>
      <c r="H8558" s="417" t="s">
        <v>2616</v>
      </c>
      <c r="I8558" s="417" t="s">
        <v>1392</v>
      </c>
      <c r="J8558" s="417" t="s">
        <v>19540</v>
      </c>
      <c r="K8558" s="417" t="s">
        <v>19569</v>
      </c>
      <c r="L8558" s="417"/>
      <c r="M8558" s="417" t="s">
        <v>28840</v>
      </c>
    </row>
    <row r="8559" spans="1:13" x14ac:dyDescent="0.25">
      <c r="A8559" s="417" t="s">
        <v>3385</v>
      </c>
      <c r="B8559" s="417" t="s">
        <v>2627</v>
      </c>
      <c r="C8559" s="417" t="s">
        <v>19570</v>
      </c>
      <c r="D8559" s="417" t="s">
        <v>83</v>
      </c>
      <c r="E8559" s="423">
        <v>89.396529131633727</v>
      </c>
      <c r="F8559" s="423">
        <v>170.08201181513539</v>
      </c>
      <c r="G8559" s="422">
        <v>252864.52842420599</v>
      </c>
      <c r="H8559" s="417" t="s">
        <v>2616</v>
      </c>
      <c r="I8559" s="417" t="s">
        <v>1392</v>
      </c>
      <c r="J8559" s="417" t="s">
        <v>19540</v>
      </c>
      <c r="K8559" s="417" t="s">
        <v>19571</v>
      </c>
      <c r="L8559" s="417"/>
      <c r="M8559" s="417" t="s">
        <v>28840</v>
      </c>
    </row>
    <row r="8560" spans="1:13" x14ac:dyDescent="0.25">
      <c r="A8560" s="417" t="s">
        <v>3385</v>
      </c>
      <c r="B8560" s="417" t="s">
        <v>2437</v>
      </c>
      <c r="C8560" s="417" t="s">
        <v>19572</v>
      </c>
      <c r="D8560" s="417" t="s">
        <v>989</v>
      </c>
      <c r="E8560" s="423">
        <v>1002.701491939612</v>
      </c>
      <c r="F8560" s="423">
        <v>34.7587713205032</v>
      </c>
      <c r="G8560" s="422">
        <v>2375656.304936708</v>
      </c>
      <c r="H8560" s="417" t="s">
        <v>2616</v>
      </c>
      <c r="I8560" s="417" t="s">
        <v>1392</v>
      </c>
      <c r="J8560" s="417" t="s">
        <v>4167</v>
      </c>
      <c r="K8560" s="417" t="s">
        <v>19573</v>
      </c>
      <c r="L8560" s="417"/>
      <c r="M8560" s="417" t="s">
        <v>28840</v>
      </c>
    </row>
    <row r="8561" spans="1:13" x14ac:dyDescent="0.25">
      <c r="A8561" s="417" t="s">
        <v>3385</v>
      </c>
      <c r="B8561" s="417" t="s">
        <v>2437</v>
      </c>
      <c r="C8561" s="417" t="s">
        <v>19574</v>
      </c>
      <c r="D8561" s="417" t="s">
        <v>989</v>
      </c>
      <c r="E8561" s="423">
        <v>942.82427144946439</v>
      </c>
      <c r="F8561" s="423">
        <v>33.211644323324919</v>
      </c>
      <c r="G8561" s="422">
        <v>2312236.0807356611</v>
      </c>
      <c r="H8561" s="417" t="s">
        <v>2616</v>
      </c>
      <c r="I8561" s="417" t="s">
        <v>1392</v>
      </c>
      <c r="J8561" s="417" t="s">
        <v>4167</v>
      </c>
      <c r="K8561" s="417" t="s">
        <v>19575</v>
      </c>
      <c r="L8561" s="417"/>
      <c r="M8561" s="417" t="s">
        <v>28840</v>
      </c>
    </row>
    <row r="8562" spans="1:13" x14ac:dyDescent="0.25">
      <c r="A8562" s="417" t="s">
        <v>3385</v>
      </c>
      <c r="B8562" s="417" t="s">
        <v>2437</v>
      </c>
      <c r="C8562" s="417" t="s">
        <v>19576</v>
      </c>
      <c r="D8562" s="417" t="s">
        <v>989</v>
      </c>
      <c r="E8562" s="423">
        <v>975.67475369599038</v>
      </c>
      <c r="F8562" s="423">
        <v>35.299019926207968</v>
      </c>
      <c r="G8562" s="422">
        <v>2377606.1291237888</v>
      </c>
      <c r="H8562" s="417" t="s">
        <v>2616</v>
      </c>
      <c r="I8562" s="417" t="s">
        <v>1392</v>
      </c>
      <c r="J8562" s="417" t="s">
        <v>4167</v>
      </c>
      <c r="K8562" s="417" t="s">
        <v>19577</v>
      </c>
      <c r="L8562" s="417"/>
      <c r="M8562" s="417" t="s">
        <v>28840</v>
      </c>
    </row>
    <row r="8563" spans="1:13" x14ac:dyDescent="0.25">
      <c r="A8563" s="417" t="s">
        <v>3385</v>
      </c>
      <c r="B8563" s="417" t="s">
        <v>2437</v>
      </c>
      <c r="C8563" s="417" t="s">
        <v>19578</v>
      </c>
      <c r="D8563" s="417" t="s">
        <v>989</v>
      </c>
      <c r="E8563" s="423">
        <v>1373.5977520435661</v>
      </c>
      <c r="F8563" s="423">
        <v>48.370850167157428</v>
      </c>
      <c r="G8563" s="422">
        <v>3317033.1996076722</v>
      </c>
      <c r="H8563" s="417" t="s">
        <v>2616</v>
      </c>
      <c r="I8563" s="417" t="s">
        <v>1392</v>
      </c>
      <c r="J8563" s="417" t="s">
        <v>4167</v>
      </c>
      <c r="K8563" s="417" t="s">
        <v>19579</v>
      </c>
      <c r="L8563" s="417"/>
      <c r="M8563" s="417" t="s">
        <v>28840</v>
      </c>
    </row>
    <row r="8564" spans="1:13" x14ac:dyDescent="0.25">
      <c r="A8564" s="417" t="s">
        <v>3385</v>
      </c>
      <c r="B8564" s="417" t="s">
        <v>2437</v>
      </c>
      <c r="C8564" s="417" t="s">
        <v>19580</v>
      </c>
      <c r="D8564" s="417" t="s">
        <v>989</v>
      </c>
      <c r="E8564" s="423">
        <v>1288.2906191899849</v>
      </c>
      <c r="F8564" s="423">
        <v>46.166684787574532</v>
      </c>
      <c r="G8564" s="422">
        <v>3227998.259726705</v>
      </c>
      <c r="H8564" s="417" t="s">
        <v>2616</v>
      </c>
      <c r="I8564" s="417" t="s">
        <v>1392</v>
      </c>
      <c r="J8564" s="417" t="s">
        <v>4167</v>
      </c>
      <c r="K8564" s="417" t="s">
        <v>19581</v>
      </c>
      <c r="L8564" s="417"/>
      <c r="M8564" s="417" t="s">
        <v>28840</v>
      </c>
    </row>
    <row r="8565" spans="1:13" x14ac:dyDescent="0.25">
      <c r="A8565" s="417" t="s">
        <v>3385</v>
      </c>
      <c r="B8565" s="417" t="s">
        <v>2437</v>
      </c>
      <c r="C8565" s="417" t="s">
        <v>19582</v>
      </c>
      <c r="D8565" s="417" t="s">
        <v>989</v>
      </c>
      <c r="E8565" s="423">
        <v>1334.902250364059</v>
      </c>
      <c r="F8565" s="423">
        <v>49.139650387162852</v>
      </c>
      <c r="G8565" s="422">
        <v>3320555.112946575</v>
      </c>
      <c r="H8565" s="417" t="s">
        <v>2616</v>
      </c>
      <c r="I8565" s="417" t="s">
        <v>1392</v>
      </c>
      <c r="J8565" s="417" t="s">
        <v>4167</v>
      </c>
      <c r="K8565" s="417" t="s">
        <v>19583</v>
      </c>
      <c r="L8565" s="417"/>
      <c r="M8565" s="417" t="s">
        <v>28840</v>
      </c>
    </row>
    <row r="8566" spans="1:13" x14ac:dyDescent="0.25">
      <c r="A8566" s="417" t="s">
        <v>3385</v>
      </c>
      <c r="B8566" s="417" t="s">
        <v>2437</v>
      </c>
      <c r="C8566" s="417" t="s">
        <v>19584</v>
      </c>
      <c r="D8566" s="417" t="s">
        <v>989</v>
      </c>
      <c r="E8566" s="423">
        <v>392.15943934373558</v>
      </c>
      <c r="F8566" s="423">
        <v>11.35168076471667</v>
      </c>
      <c r="G8566" s="422">
        <v>767013.02903146856</v>
      </c>
      <c r="H8566" s="417" t="s">
        <v>2616</v>
      </c>
      <c r="I8566" s="417" t="s">
        <v>1392</v>
      </c>
      <c r="J8566" s="417" t="s">
        <v>4167</v>
      </c>
      <c r="K8566" s="417" t="s">
        <v>19585</v>
      </c>
      <c r="L8566" s="417"/>
      <c r="M8566" s="417" t="s">
        <v>28840</v>
      </c>
    </row>
    <row r="8567" spans="1:13" x14ac:dyDescent="0.25">
      <c r="A8567" s="417" t="s">
        <v>3385</v>
      </c>
      <c r="B8567" s="417" t="s">
        <v>2437</v>
      </c>
      <c r="C8567" s="417" t="s">
        <v>19586</v>
      </c>
      <c r="D8567" s="417" t="s">
        <v>989</v>
      </c>
      <c r="E8567" s="423">
        <v>391.32485577947642</v>
      </c>
      <c r="F8567" s="423">
        <v>11.31405300446249</v>
      </c>
      <c r="G8567" s="422">
        <v>765195.06169978669</v>
      </c>
      <c r="H8567" s="417" t="s">
        <v>2616</v>
      </c>
      <c r="I8567" s="417" t="s">
        <v>1392</v>
      </c>
      <c r="J8567" s="417" t="s">
        <v>4167</v>
      </c>
      <c r="K8567" s="417" t="s">
        <v>19587</v>
      </c>
      <c r="L8567" s="417"/>
      <c r="M8567" s="417" t="s">
        <v>28840</v>
      </c>
    </row>
    <row r="8568" spans="1:13" x14ac:dyDescent="0.25">
      <c r="A8568" s="417" t="s">
        <v>3385</v>
      </c>
      <c r="B8568" s="417" t="s">
        <v>2437</v>
      </c>
      <c r="C8568" s="417" t="s">
        <v>19588</v>
      </c>
      <c r="D8568" s="417" t="s">
        <v>989</v>
      </c>
      <c r="E8568" s="423">
        <v>390.92100269720493</v>
      </c>
      <c r="F8568" s="423">
        <v>11.289492125519841</v>
      </c>
      <c r="G8568" s="422">
        <v>764356.96727723815</v>
      </c>
      <c r="H8568" s="417" t="s">
        <v>2616</v>
      </c>
      <c r="I8568" s="417" t="s">
        <v>1392</v>
      </c>
      <c r="J8568" s="417" t="s">
        <v>4167</v>
      </c>
      <c r="K8568" s="417" t="s">
        <v>19589</v>
      </c>
      <c r="L8568" s="417"/>
      <c r="M8568" s="417" t="s">
        <v>28840</v>
      </c>
    </row>
    <row r="8569" spans="1:13" x14ac:dyDescent="0.25">
      <c r="A8569" s="417" t="s">
        <v>3385</v>
      </c>
      <c r="B8569" s="417" t="s">
        <v>2437</v>
      </c>
      <c r="C8569" s="417" t="s">
        <v>19590</v>
      </c>
      <c r="D8569" s="417" t="s">
        <v>989</v>
      </c>
      <c r="E8569" s="423">
        <v>532.17201661382478</v>
      </c>
      <c r="F8569" s="423">
        <v>15.990517643888669</v>
      </c>
      <c r="G8569" s="422">
        <v>1064833.3311394639</v>
      </c>
      <c r="H8569" s="417" t="s">
        <v>2616</v>
      </c>
      <c r="I8569" s="417" t="s">
        <v>1392</v>
      </c>
      <c r="J8569" s="417" t="s">
        <v>4167</v>
      </c>
      <c r="K8569" s="417" t="s">
        <v>19591</v>
      </c>
      <c r="L8569" s="417"/>
      <c r="M8569" s="417" t="s">
        <v>28840</v>
      </c>
    </row>
    <row r="8570" spans="1:13" x14ac:dyDescent="0.25">
      <c r="A8570" s="417" t="s">
        <v>3385</v>
      </c>
      <c r="B8570" s="417" t="s">
        <v>2437</v>
      </c>
      <c r="C8570" s="417" t="s">
        <v>19592</v>
      </c>
      <c r="D8570" s="417" t="s">
        <v>989</v>
      </c>
      <c r="E8570" s="423">
        <v>531.24873289986942</v>
      </c>
      <c r="F8570" s="423">
        <v>15.94440638242299</v>
      </c>
      <c r="G8570" s="422">
        <v>1062851.524646193</v>
      </c>
      <c r="H8570" s="417" t="s">
        <v>2616</v>
      </c>
      <c r="I8570" s="417" t="s">
        <v>1392</v>
      </c>
      <c r="J8570" s="417" t="s">
        <v>4167</v>
      </c>
      <c r="K8570" s="417" t="s">
        <v>19593</v>
      </c>
      <c r="L8570" s="417"/>
      <c r="M8570" s="417" t="s">
        <v>28840</v>
      </c>
    </row>
    <row r="8571" spans="1:13" x14ac:dyDescent="0.25">
      <c r="A8571" s="417" t="s">
        <v>3385</v>
      </c>
      <c r="B8571" s="417" t="s">
        <v>2437</v>
      </c>
      <c r="C8571" s="417" t="s">
        <v>19594</v>
      </c>
      <c r="D8571" s="417" t="s">
        <v>989</v>
      </c>
      <c r="E8571" s="423">
        <v>530.54719961487535</v>
      </c>
      <c r="F8571" s="423">
        <v>15.91950387604906</v>
      </c>
      <c r="G8571" s="422">
        <v>1061279.3155952729</v>
      </c>
      <c r="H8571" s="417" t="s">
        <v>2616</v>
      </c>
      <c r="I8571" s="417" t="s">
        <v>1392</v>
      </c>
      <c r="J8571" s="417" t="s">
        <v>4167</v>
      </c>
      <c r="K8571" s="417" t="s">
        <v>19595</v>
      </c>
      <c r="L8571" s="417"/>
      <c r="M8571" s="417" t="s">
        <v>28840</v>
      </c>
    </row>
    <row r="8572" spans="1:13" x14ac:dyDescent="0.25">
      <c r="A8572" s="417" t="s">
        <v>3385</v>
      </c>
      <c r="B8572" s="417" t="s">
        <v>2437</v>
      </c>
      <c r="C8572" s="417" t="s">
        <v>19596</v>
      </c>
      <c r="D8572" s="417" t="s">
        <v>989</v>
      </c>
      <c r="E8572" s="423">
        <v>293.15390405957982</v>
      </c>
      <c r="F8572" s="423">
        <v>8.9972675339394943</v>
      </c>
      <c r="G8572" s="422">
        <v>623063.05237090215</v>
      </c>
      <c r="H8572" s="417" t="s">
        <v>2616</v>
      </c>
      <c r="I8572" s="417" t="s">
        <v>1392</v>
      </c>
      <c r="J8572" s="417" t="s">
        <v>2638</v>
      </c>
      <c r="K8572" s="417" t="s">
        <v>19597</v>
      </c>
      <c r="L8572" s="417"/>
      <c r="M8572" s="417" t="s">
        <v>28840</v>
      </c>
    </row>
    <row r="8573" spans="1:13" x14ac:dyDescent="0.25">
      <c r="A8573" s="417" t="s">
        <v>3385</v>
      </c>
      <c r="B8573" s="417" t="s">
        <v>2627</v>
      </c>
      <c r="C8573" s="417" t="s">
        <v>19598</v>
      </c>
      <c r="D8573" s="417" t="s">
        <v>989</v>
      </c>
      <c r="E8573" s="423">
        <v>5262885.2644684454</v>
      </c>
      <c r="F8573" s="423">
        <v>1605802.6659923969</v>
      </c>
      <c r="G8573" s="422">
        <v>15482001595.25383</v>
      </c>
      <c r="H8573" s="417" t="s">
        <v>2616</v>
      </c>
      <c r="I8573" s="417" t="s">
        <v>1392</v>
      </c>
      <c r="J8573" s="417" t="s">
        <v>4297</v>
      </c>
      <c r="K8573" s="417" t="s">
        <v>19599</v>
      </c>
      <c r="L8573" s="417"/>
      <c r="M8573" s="417" t="s">
        <v>28840</v>
      </c>
    </row>
    <row r="8574" spans="1:13" x14ac:dyDescent="0.25">
      <c r="A8574" s="417" t="s">
        <v>3385</v>
      </c>
      <c r="B8574" s="417" t="s">
        <v>2627</v>
      </c>
      <c r="C8574" s="417" t="s">
        <v>19600</v>
      </c>
      <c r="D8574" s="417" t="s">
        <v>88</v>
      </c>
      <c r="E8574" s="423">
        <v>5.673085078446829</v>
      </c>
      <c r="F8574" s="423">
        <v>0.1060679842390245</v>
      </c>
      <c r="G8574" s="422">
        <v>13413.24021116009</v>
      </c>
      <c r="H8574" s="417" t="s">
        <v>2616</v>
      </c>
      <c r="I8574" s="417" t="s">
        <v>1392</v>
      </c>
      <c r="J8574" s="417" t="s">
        <v>3627</v>
      </c>
      <c r="K8574" s="417" t="s">
        <v>19601</v>
      </c>
      <c r="L8574" s="417"/>
      <c r="M8574" s="417" t="s">
        <v>28840</v>
      </c>
    </row>
    <row r="8575" spans="1:13" x14ac:dyDescent="0.25">
      <c r="A8575" s="417" t="s">
        <v>3385</v>
      </c>
      <c r="B8575" s="417" t="s">
        <v>2627</v>
      </c>
      <c r="C8575" s="417" t="s">
        <v>19602</v>
      </c>
      <c r="D8575" s="417" t="s">
        <v>88</v>
      </c>
      <c r="E8575" s="423">
        <v>1.5395650721766021</v>
      </c>
      <c r="F8575" s="423">
        <v>7.5358978022738138E-2</v>
      </c>
      <c r="G8575" s="422">
        <v>13236.554687392279</v>
      </c>
      <c r="H8575" s="417" t="s">
        <v>2616</v>
      </c>
      <c r="I8575" s="417" t="s">
        <v>1392</v>
      </c>
      <c r="J8575" s="417" t="s">
        <v>3627</v>
      </c>
      <c r="K8575" s="417" t="s">
        <v>19603</v>
      </c>
      <c r="L8575" s="417"/>
      <c r="M8575" s="417" t="s">
        <v>28840</v>
      </c>
    </row>
    <row r="8576" spans="1:13" x14ac:dyDescent="0.25">
      <c r="A8576" s="417" t="s">
        <v>3385</v>
      </c>
      <c r="B8576" s="417" t="s">
        <v>2627</v>
      </c>
      <c r="C8576" s="417" t="s">
        <v>19604</v>
      </c>
      <c r="D8576" s="417" t="s">
        <v>88</v>
      </c>
      <c r="E8576" s="423">
        <v>2.5186000000000002</v>
      </c>
      <c r="F8576" s="423">
        <v>0</v>
      </c>
      <c r="G8576" s="422">
        <v>5073.3104800000001</v>
      </c>
      <c r="H8576" s="417" t="s">
        <v>2616</v>
      </c>
      <c r="I8576" s="417" t="s">
        <v>1392</v>
      </c>
      <c r="J8576" s="417" t="s">
        <v>3627</v>
      </c>
      <c r="K8576" s="417" t="s">
        <v>19605</v>
      </c>
      <c r="L8576" s="417"/>
      <c r="M8576" s="417" t="s">
        <v>28840</v>
      </c>
    </row>
    <row r="8577" spans="1:13" x14ac:dyDescent="0.25">
      <c r="A8577" s="417" t="s">
        <v>3385</v>
      </c>
      <c r="B8577" s="417" t="s">
        <v>2627</v>
      </c>
      <c r="C8577" s="417" t="s">
        <v>19606</v>
      </c>
      <c r="D8577" s="417" t="s">
        <v>88</v>
      </c>
      <c r="E8577" s="423">
        <v>5.5512784983645602</v>
      </c>
      <c r="F8577" s="423">
        <v>7.5359037295393981E-4</v>
      </c>
      <c r="G8577" s="422">
        <v>8179.5024495168254</v>
      </c>
      <c r="H8577" s="417" t="s">
        <v>2616</v>
      </c>
      <c r="I8577" s="417" t="s">
        <v>1392</v>
      </c>
      <c r="J8577" s="417" t="s">
        <v>3627</v>
      </c>
      <c r="K8577" s="417" t="s">
        <v>19607</v>
      </c>
      <c r="L8577" s="417"/>
      <c r="M8577" s="417" t="s">
        <v>28840</v>
      </c>
    </row>
    <row r="8578" spans="1:13" x14ac:dyDescent="0.25">
      <c r="A8578" s="417" t="s">
        <v>3385</v>
      </c>
      <c r="B8578" s="417" t="s">
        <v>2627</v>
      </c>
      <c r="C8578" s="417" t="s">
        <v>19608</v>
      </c>
      <c r="D8578" s="417" t="s">
        <v>4315</v>
      </c>
      <c r="E8578" s="423">
        <v>0.21734235705806529</v>
      </c>
      <c r="F8578" s="423">
        <v>6.0053871099976586E-3</v>
      </c>
      <c r="G8578" s="422">
        <v>364.44617814879382</v>
      </c>
      <c r="H8578" s="417" t="s">
        <v>2616</v>
      </c>
      <c r="I8578" s="417" t="s">
        <v>1392</v>
      </c>
      <c r="J8578" s="417" t="s">
        <v>3667</v>
      </c>
      <c r="K8578" s="417" t="s">
        <v>19609</v>
      </c>
      <c r="L8578" s="417"/>
      <c r="M8578" s="417" t="s">
        <v>28840</v>
      </c>
    </row>
    <row r="8579" spans="1:13" x14ac:dyDescent="0.25">
      <c r="A8579" s="417" t="s">
        <v>3385</v>
      </c>
      <c r="B8579" s="417" t="s">
        <v>2627</v>
      </c>
      <c r="C8579" s="417" t="s">
        <v>944</v>
      </c>
      <c r="D8579" s="417" t="s">
        <v>88</v>
      </c>
      <c r="E8579" s="423">
        <v>0.49699736199907468</v>
      </c>
      <c r="F8579" s="423">
        <v>3.5771760540729549E-3</v>
      </c>
      <c r="G8579" s="422">
        <v>903.05829617651091</v>
      </c>
      <c r="H8579" s="417" t="s">
        <v>2616</v>
      </c>
      <c r="I8579" s="417" t="s">
        <v>28841</v>
      </c>
      <c r="J8579" s="417" t="s">
        <v>3749</v>
      </c>
      <c r="K8579" s="417" t="s">
        <v>19610</v>
      </c>
      <c r="L8579" s="417"/>
      <c r="M8579" s="417" t="s">
        <v>28840</v>
      </c>
    </row>
    <row r="8580" spans="1:13" x14ac:dyDescent="0.25">
      <c r="A8580" s="417" t="s">
        <v>3385</v>
      </c>
      <c r="B8580" s="417" t="s">
        <v>2627</v>
      </c>
      <c r="C8580" s="417" t="s">
        <v>19611</v>
      </c>
      <c r="D8580" s="417" t="s">
        <v>88</v>
      </c>
      <c r="E8580" s="423">
        <v>0.51940096315365303</v>
      </c>
      <c r="F8580" s="423">
        <v>5.8341593072673706E-3</v>
      </c>
      <c r="G8580" s="422">
        <v>919.86688963902202</v>
      </c>
      <c r="H8580" s="417" t="s">
        <v>2616</v>
      </c>
      <c r="I8580" s="417" t="s">
        <v>1392</v>
      </c>
      <c r="J8580" s="417" t="s">
        <v>3749</v>
      </c>
      <c r="K8580" s="417" t="s">
        <v>19612</v>
      </c>
      <c r="L8580" s="417"/>
      <c r="M8580" s="417" t="s">
        <v>28840</v>
      </c>
    </row>
    <row r="8581" spans="1:13" x14ac:dyDescent="0.25">
      <c r="A8581" s="417" t="s">
        <v>3385</v>
      </c>
      <c r="B8581" s="417" t="s">
        <v>3655</v>
      </c>
      <c r="C8581" s="417" t="s">
        <v>19613</v>
      </c>
      <c r="D8581" s="417" t="s">
        <v>88</v>
      </c>
      <c r="E8581" s="423">
        <v>0.71261935729449</v>
      </c>
      <c r="F8581" s="423">
        <v>6.2892847326770293E-2</v>
      </c>
      <c r="G8581" s="422">
        <v>1489.804030332233</v>
      </c>
      <c r="H8581" s="417" t="s">
        <v>2616</v>
      </c>
      <c r="I8581" s="417" t="s">
        <v>1392</v>
      </c>
      <c r="J8581" s="417" t="s">
        <v>4549</v>
      </c>
      <c r="K8581" s="417" t="s">
        <v>19614</v>
      </c>
      <c r="L8581" s="417"/>
      <c r="M8581" s="417" t="s">
        <v>28840</v>
      </c>
    </row>
    <row r="8582" spans="1:13" x14ac:dyDescent="0.25">
      <c r="A8582" s="417" t="s">
        <v>3385</v>
      </c>
      <c r="B8582" s="417" t="s">
        <v>3655</v>
      </c>
      <c r="C8582" s="417" t="s">
        <v>19615</v>
      </c>
      <c r="D8582" s="417" t="s">
        <v>88</v>
      </c>
      <c r="E8582" s="423">
        <v>0.195822915826625</v>
      </c>
      <c r="F8582" s="423">
        <v>6.1619608988517423E-3</v>
      </c>
      <c r="G8582" s="422">
        <v>309.10834825127802</v>
      </c>
      <c r="H8582" s="417" t="s">
        <v>2616</v>
      </c>
      <c r="I8582" s="417" t="s">
        <v>1392</v>
      </c>
      <c r="J8582" s="417" t="s">
        <v>4549</v>
      </c>
      <c r="K8582" s="417" t="s">
        <v>19616</v>
      </c>
      <c r="L8582" s="417"/>
      <c r="M8582" s="417" t="s">
        <v>28840</v>
      </c>
    </row>
    <row r="8583" spans="1:13" x14ac:dyDescent="0.25">
      <c r="A8583" s="417" t="s">
        <v>3385</v>
      </c>
      <c r="B8583" s="417" t="s">
        <v>3655</v>
      </c>
      <c r="C8583" s="417" t="s">
        <v>19617</v>
      </c>
      <c r="D8583" s="417" t="s">
        <v>563</v>
      </c>
      <c r="E8583" s="423">
        <v>5.421743800756305</v>
      </c>
      <c r="F8583" s="423">
        <v>0.16381959906857399</v>
      </c>
      <c r="G8583" s="422">
        <v>9973.6080435145777</v>
      </c>
      <c r="H8583" s="417" t="s">
        <v>2616</v>
      </c>
      <c r="I8583" s="417" t="s">
        <v>1392</v>
      </c>
      <c r="J8583" s="417" t="s">
        <v>3902</v>
      </c>
      <c r="K8583" s="417" t="s">
        <v>19618</v>
      </c>
      <c r="L8583" s="417"/>
      <c r="M8583" s="417" t="s">
        <v>28840</v>
      </c>
    </row>
    <row r="8584" spans="1:13" x14ac:dyDescent="0.25">
      <c r="A8584" s="417" t="s">
        <v>3385</v>
      </c>
      <c r="B8584" s="417" t="s">
        <v>3655</v>
      </c>
      <c r="C8584" s="417" t="s">
        <v>19619</v>
      </c>
      <c r="D8584" s="417" t="s">
        <v>563</v>
      </c>
      <c r="E8584" s="423">
        <v>1.519944942876976</v>
      </c>
      <c r="F8584" s="423">
        <v>0.1232844031123831</v>
      </c>
      <c r="G8584" s="422">
        <v>33363.809166442559</v>
      </c>
      <c r="H8584" s="417" t="s">
        <v>2616</v>
      </c>
      <c r="I8584" s="417" t="s">
        <v>1392</v>
      </c>
      <c r="J8584" s="417" t="s">
        <v>3902</v>
      </c>
      <c r="K8584" s="417" t="s">
        <v>19620</v>
      </c>
      <c r="L8584" s="417"/>
      <c r="M8584" s="417" t="s">
        <v>28840</v>
      </c>
    </row>
    <row r="8585" spans="1:13" x14ac:dyDescent="0.25">
      <c r="A8585" s="417" t="s">
        <v>3385</v>
      </c>
      <c r="B8585" s="417" t="s">
        <v>3655</v>
      </c>
      <c r="C8585" s="417" t="s">
        <v>19621</v>
      </c>
      <c r="D8585" s="417" t="s">
        <v>563</v>
      </c>
      <c r="E8585" s="423">
        <v>1.224109581511946</v>
      </c>
      <c r="F8585" s="423">
        <v>5.4347302352449389E-2</v>
      </c>
      <c r="G8585" s="422">
        <v>3091.627358058654</v>
      </c>
      <c r="H8585" s="417" t="s">
        <v>2616</v>
      </c>
      <c r="I8585" s="417" t="s">
        <v>1392</v>
      </c>
      <c r="J8585" s="417" t="s">
        <v>3902</v>
      </c>
      <c r="K8585" s="417" t="s">
        <v>19622</v>
      </c>
      <c r="L8585" s="417"/>
      <c r="M8585" s="417" t="s">
        <v>28840</v>
      </c>
    </row>
    <row r="8586" spans="1:13" x14ac:dyDescent="0.25">
      <c r="A8586" s="417" t="s">
        <v>3385</v>
      </c>
      <c r="B8586" s="417" t="s">
        <v>3655</v>
      </c>
      <c r="C8586" s="417" t="s">
        <v>19623</v>
      </c>
      <c r="D8586" s="417" t="s">
        <v>563</v>
      </c>
      <c r="E8586" s="423">
        <v>0.57009537137489996</v>
      </c>
      <c r="F8586" s="423">
        <v>8.4844962888950604E-2</v>
      </c>
      <c r="G8586" s="422">
        <v>963.41844076168729</v>
      </c>
      <c r="H8586" s="417" t="s">
        <v>2616</v>
      </c>
      <c r="I8586" s="417" t="s">
        <v>1392</v>
      </c>
      <c r="J8586" s="417" t="s">
        <v>3902</v>
      </c>
      <c r="K8586" s="417" t="s">
        <v>19624</v>
      </c>
      <c r="L8586" s="417"/>
      <c r="M8586" s="417" t="s">
        <v>28840</v>
      </c>
    </row>
    <row r="8587" spans="1:13" x14ac:dyDescent="0.25">
      <c r="A8587" s="417" t="s">
        <v>3385</v>
      </c>
      <c r="B8587" s="417" t="s">
        <v>3655</v>
      </c>
      <c r="C8587" s="417" t="s">
        <v>19625</v>
      </c>
      <c r="D8587" s="417" t="s">
        <v>563</v>
      </c>
      <c r="E8587" s="423">
        <v>1.9904843432027861</v>
      </c>
      <c r="F8587" s="423">
        <v>0.2525530990110163</v>
      </c>
      <c r="G8587" s="422">
        <v>5427.245732263631</v>
      </c>
      <c r="H8587" s="417" t="s">
        <v>2616</v>
      </c>
      <c r="I8587" s="417" t="s">
        <v>1392</v>
      </c>
      <c r="J8587" s="417" t="s">
        <v>3902</v>
      </c>
      <c r="K8587" s="417" t="s">
        <v>19626</v>
      </c>
      <c r="L8587" s="417"/>
      <c r="M8587" s="417" t="s">
        <v>28840</v>
      </c>
    </row>
    <row r="8588" spans="1:13" x14ac:dyDescent="0.25">
      <c r="A8588" s="417" t="s">
        <v>3385</v>
      </c>
      <c r="B8588" s="417" t="s">
        <v>2437</v>
      </c>
      <c r="C8588" s="417" t="s">
        <v>19627</v>
      </c>
      <c r="D8588" s="417" t="s">
        <v>563</v>
      </c>
      <c r="E8588" s="423">
        <v>2.1980357947456488</v>
      </c>
      <c r="F8588" s="423">
        <v>0.12793006272385549</v>
      </c>
      <c r="G8588" s="422">
        <v>3769.794749360613</v>
      </c>
      <c r="H8588" s="417" t="s">
        <v>2616</v>
      </c>
      <c r="I8588" s="417" t="s">
        <v>1392</v>
      </c>
      <c r="J8588" s="417" t="s">
        <v>3845</v>
      </c>
      <c r="K8588" s="417" t="s">
        <v>19628</v>
      </c>
      <c r="L8588" s="417"/>
      <c r="M8588" s="417" t="s">
        <v>28840</v>
      </c>
    </row>
    <row r="8589" spans="1:13" x14ac:dyDescent="0.25">
      <c r="A8589" s="417" t="s">
        <v>3385</v>
      </c>
      <c r="B8589" s="417" t="s">
        <v>3655</v>
      </c>
      <c r="C8589" s="417" t="s">
        <v>19629</v>
      </c>
      <c r="D8589" s="417" t="s">
        <v>563</v>
      </c>
      <c r="E8589" s="423">
        <v>0.51608217708183268</v>
      </c>
      <c r="F8589" s="423">
        <v>6.0742823851924921E-2</v>
      </c>
      <c r="G8589" s="422">
        <v>6200.2968388883</v>
      </c>
      <c r="H8589" s="417" t="s">
        <v>2616</v>
      </c>
      <c r="I8589" s="417" t="s">
        <v>1392</v>
      </c>
      <c r="J8589" s="417" t="s">
        <v>3902</v>
      </c>
      <c r="K8589" s="417" t="s">
        <v>19630</v>
      </c>
      <c r="L8589" s="417"/>
      <c r="M8589" s="417" t="s">
        <v>28840</v>
      </c>
    </row>
    <row r="8590" spans="1:13" x14ac:dyDescent="0.25">
      <c r="A8590" s="417" t="s">
        <v>3385</v>
      </c>
      <c r="B8590" s="417" t="s">
        <v>2627</v>
      </c>
      <c r="C8590" s="417" t="s">
        <v>19631</v>
      </c>
      <c r="D8590" s="417" t="s">
        <v>88</v>
      </c>
      <c r="E8590" s="423">
        <v>2.175431803643511</v>
      </c>
      <c r="F8590" s="423">
        <v>0.1443669856292274</v>
      </c>
      <c r="G8590" s="422">
        <v>4879.1000109125007</v>
      </c>
      <c r="H8590" s="417" t="s">
        <v>2616</v>
      </c>
      <c r="I8590" s="417" t="s">
        <v>1392</v>
      </c>
      <c r="J8590" s="417" t="s">
        <v>3742</v>
      </c>
      <c r="K8590" s="417" t="s">
        <v>19632</v>
      </c>
      <c r="L8590" s="417"/>
      <c r="M8590" s="417" t="s">
        <v>28840</v>
      </c>
    </row>
    <row r="8591" spans="1:13" x14ac:dyDescent="0.25">
      <c r="A8591" s="417" t="s">
        <v>3385</v>
      </c>
      <c r="B8591" s="417" t="s">
        <v>2437</v>
      </c>
      <c r="C8591" s="417" t="s">
        <v>19633</v>
      </c>
      <c r="D8591" s="417" t="s">
        <v>989</v>
      </c>
      <c r="E8591" s="423">
        <v>59974.63539211583</v>
      </c>
      <c r="F8591" s="423">
        <v>3634.6933789683831</v>
      </c>
      <c r="G8591" s="422">
        <v>113780457.0139966</v>
      </c>
      <c r="H8591" s="417" t="s">
        <v>2616</v>
      </c>
      <c r="I8591" s="417" t="s">
        <v>1392</v>
      </c>
      <c r="J8591" s="417" t="s">
        <v>4167</v>
      </c>
      <c r="K8591" s="417" t="s">
        <v>19634</v>
      </c>
      <c r="L8591" s="417"/>
      <c r="M8591" s="417" t="s">
        <v>28840</v>
      </c>
    </row>
    <row r="8592" spans="1:13" x14ac:dyDescent="0.25">
      <c r="A8592" s="417" t="s">
        <v>3385</v>
      </c>
      <c r="B8592" s="417" t="s">
        <v>2437</v>
      </c>
      <c r="C8592" s="417" t="s">
        <v>19635</v>
      </c>
      <c r="D8592" s="417" t="s">
        <v>88</v>
      </c>
      <c r="E8592" s="423">
        <v>3.2021365193862268</v>
      </c>
      <c r="F8592" s="423">
        <v>0.1497194042790726</v>
      </c>
      <c r="G8592" s="422">
        <v>5566.853483107433</v>
      </c>
      <c r="H8592" s="417" t="s">
        <v>2616</v>
      </c>
      <c r="I8592" s="417" t="s">
        <v>1392</v>
      </c>
      <c r="J8592" s="417" t="s">
        <v>3871</v>
      </c>
      <c r="K8592" s="417" t="s">
        <v>19636</v>
      </c>
      <c r="L8592" s="417"/>
      <c r="M8592" s="417" t="s">
        <v>28840</v>
      </c>
    </row>
    <row r="8593" spans="1:13" x14ac:dyDescent="0.25">
      <c r="A8593" s="417" t="s">
        <v>3385</v>
      </c>
      <c r="B8593" s="417" t="s">
        <v>2437</v>
      </c>
      <c r="C8593" s="417" t="s">
        <v>19637</v>
      </c>
      <c r="D8593" s="417" t="s">
        <v>88</v>
      </c>
      <c r="E8593" s="423">
        <v>2.587106732471991</v>
      </c>
      <c r="F8593" s="423">
        <v>0.1234718738387415</v>
      </c>
      <c r="G8593" s="422">
        <v>4603.3839859241134</v>
      </c>
      <c r="H8593" s="417" t="s">
        <v>2616</v>
      </c>
      <c r="I8593" s="417" t="s">
        <v>1392</v>
      </c>
      <c r="J8593" s="417" t="s">
        <v>3871</v>
      </c>
      <c r="K8593" s="417" t="s">
        <v>19638</v>
      </c>
      <c r="L8593" s="417"/>
      <c r="M8593" s="417" t="s">
        <v>28840</v>
      </c>
    </row>
    <row r="8594" spans="1:13" x14ac:dyDescent="0.25">
      <c r="A8594" s="417" t="s">
        <v>3385</v>
      </c>
      <c r="B8594" s="417" t="s">
        <v>2627</v>
      </c>
      <c r="C8594" s="417" t="s">
        <v>19639</v>
      </c>
      <c r="D8594" s="417" t="s">
        <v>88</v>
      </c>
      <c r="E8594" s="423">
        <v>5.3952718122693142</v>
      </c>
      <c r="F8594" s="423">
        <v>0.13300409608173761</v>
      </c>
      <c r="G8594" s="422">
        <v>8067.4158156511266</v>
      </c>
      <c r="H8594" s="417" t="s">
        <v>2616</v>
      </c>
      <c r="I8594" s="417" t="s">
        <v>1392</v>
      </c>
      <c r="J8594" s="417" t="s">
        <v>3896</v>
      </c>
      <c r="K8594" s="417" t="s">
        <v>19640</v>
      </c>
      <c r="L8594" s="417"/>
      <c r="M8594" s="417" t="s">
        <v>28840</v>
      </c>
    </row>
    <row r="8595" spans="1:13" x14ac:dyDescent="0.25">
      <c r="A8595" s="417" t="s">
        <v>3385</v>
      </c>
      <c r="B8595" s="417" t="s">
        <v>2627</v>
      </c>
      <c r="C8595" s="417" t="s">
        <v>19641</v>
      </c>
      <c r="D8595" s="417" t="s">
        <v>88</v>
      </c>
      <c r="E8595" s="423">
        <v>3.2213924546934458</v>
      </c>
      <c r="F8595" s="423">
        <v>0.15162784077158031</v>
      </c>
      <c r="G8595" s="422">
        <v>5605.5853706969356</v>
      </c>
      <c r="H8595" s="417" t="s">
        <v>2616</v>
      </c>
      <c r="I8595" s="417" t="s">
        <v>1392</v>
      </c>
      <c r="J8595" s="417" t="s">
        <v>3899</v>
      </c>
      <c r="K8595" s="417" t="s">
        <v>19642</v>
      </c>
      <c r="L8595" s="417"/>
      <c r="M8595" s="417" t="s">
        <v>28840</v>
      </c>
    </row>
    <row r="8596" spans="1:13" x14ac:dyDescent="0.25">
      <c r="A8596" s="417" t="s">
        <v>3385</v>
      </c>
      <c r="B8596" s="417" t="s">
        <v>2437</v>
      </c>
      <c r="C8596" s="417" t="s">
        <v>19643</v>
      </c>
      <c r="D8596" s="417" t="s">
        <v>88</v>
      </c>
      <c r="E8596" s="423">
        <v>2.587106732471991</v>
      </c>
      <c r="F8596" s="423">
        <v>0.1234718738387415</v>
      </c>
      <c r="G8596" s="422">
        <v>4603.3839859241134</v>
      </c>
      <c r="H8596" s="417" t="s">
        <v>2616</v>
      </c>
      <c r="I8596" s="417" t="s">
        <v>1392</v>
      </c>
      <c r="J8596" s="417" t="s">
        <v>3871</v>
      </c>
      <c r="K8596" s="417" t="s">
        <v>19644</v>
      </c>
      <c r="L8596" s="417"/>
      <c r="M8596" s="417" t="s">
        <v>28840</v>
      </c>
    </row>
    <row r="8597" spans="1:13" x14ac:dyDescent="0.25">
      <c r="A8597" s="417" t="s">
        <v>3385</v>
      </c>
      <c r="B8597" s="417" t="s">
        <v>2627</v>
      </c>
      <c r="C8597" s="417" t="s">
        <v>19645</v>
      </c>
      <c r="D8597" s="417" t="s">
        <v>989</v>
      </c>
      <c r="E8597" s="423">
        <v>432.79258919592911</v>
      </c>
      <c r="F8597" s="423">
        <v>16.666995275401892</v>
      </c>
      <c r="G8597" s="422">
        <v>2158160.6140820649</v>
      </c>
      <c r="H8597" s="417" t="s">
        <v>2616</v>
      </c>
      <c r="I8597" s="417" t="s">
        <v>1392</v>
      </c>
      <c r="J8597" s="417" t="s">
        <v>4294</v>
      </c>
      <c r="K8597" s="417" t="s">
        <v>19646</v>
      </c>
      <c r="L8597" s="417"/>
      <c r="M8597" s="417" t="s">
        <v>28840</v>
      </c>
    </row>
    <row r="8598" spans="1:13" x14ac:dyDescent="0.25">
      <c r="A8598" s="417" t="s">
        <v>3385</v>
      </c>
      <c r="B8598" s="417" t="s">
        <v>3655</v>
      </c>
      <c r="C8598" s="417" t="s">
        <v>19647</v>
      </c>
      <c r="D8598" s="417" t="s">
        <v>3936</v>
      </c>
      <c r="E8598" s="423">
        <v>644695.54863451747</v>
      </c>
      <c r="F8598" s="423">
        <v>22804.69677589809</v>
      </c>
      <c r="G8598" s="422">
        <v>1222367969.59567</v>
      </c>
      <c r="H8598" s="417" t="s">
        <v>2616</v>
      </c>
      <c r="I8598" s="417" t="s">
        <v>1392</v>
      </c>
      <c r="J8598" s="417" t="s">
        <v>11811</v>
      </c>
      <c r="K8598" s="417" t="s">
        <v>19648</v>
      </c>
      <c r="L8598" s="417"/>
      <c r="M8598" s="417" t="s">
        <v>28840</v>
      </c>
    </row>
    <row r="8599" spans="1:13" x14ac:dyDescent="0.25">
      <c r="A8599" s="417" t="s">
        <v>3385</v>
      </c>
      <c r="B8599" s="417" t="s">
        <v>3655</v>
      </c>
      <c r="C8599" s="417" t="s">
        <v>19649</v>
      </c>
      <c r="D8599" s="417" t="s">
        <v>3936</v>
      </c>
      <c r="E8599" s="423">
        <v>611689.51069897076</v>
      </c>
      <c r="F8599" s="423">
        <v>21963.28632387122</v>
      </c>
      <c r="G8599" s="422">
        <v>1174808796.481705</v>
      </c>
      <c r="H8599" s="417" t="s">
        <v>2616</v>
      </c>
      <c r="I8599" s="417" t="s">
        <v>1392</v>
      </c>
      <c r="J8599" s="417" t="s">
        <v>11811</v>
      </c>
      <c r="K8599" s="417" t="s">
        <v>19650</v>
      </c>
      <c r="L8599" s="417"/>
      <c r="M8599" s="417" t="s">
        <v>28840</v>
      </c>
    </row>
    <row r="8600" spans="1:13" x14ac:dyDescent="0.25">
      <c r="A8600" s="417" t="s">
        <v>3385</v>
      </c>
      <c r="B8600" s="417" t="s">
        <v>3655</v>
      </c>
      <c r="C8600" s="417" t="s">
        <v>19651</v>
      </c>
      <c r="D8600" s="417" t="s">
        <v>3936</v>
      </c>
      <c r="E8600" s="423">
        <v>576290.71687158814</v>
      </c>
      <c r="F8600" s="423">
        <v>20999.333228634161</v>
      </c>
      <c r="G8600" s="422">
        <v>1120214536.8193259</v>
      </c>
      <c r="H8600" s="417" t="s">
        <v>2616</v>
      </c>
      <c r="I8600" s="417" t="s">
        <v>1392</v>
      </c>
      <c r="J8600" s="417" t="s">
        <v>11811</v>
      </c>
      <c r="K8600" s="417" t="s">
        <v>19652</v>
      </c>
      <c r="L8600" s="417"/>
      <c r="M8600" s="417" t="s">
        <v>28840</v>
      </c>
    </row>
    <row r="8601" spans="1:13" x14ac:dyDescent="0.25">
      <c r="A8601" s="417" t="s">
        <v>3385</v>
      </c>
      <c r="B8601" s="417" t="s">
        <v>3655</v>
      </c>
      <c r="C8601" s="417" t="s">
        <v>19653</v>
      </c>
      <c r="D8601" s="417" t="s">
        <v>3936</v>
      </c>
      <c r="E8601" s="423">
        <v>544432.54942003381</v>
      </c>
      <c r="F8601" s="423">
        <v>20095.56492984014</v>
      </c>
      <c r="G8601" s="422">
        <v>1068940312.060619</v>
      </c>
      <c r="H8601" s="417" t="s">
        <v>2616</v>
      </c>
      <c r="I8601" s="417" t="s">
        <v>1392</v>
      </c>
      <c r="J8601" s="417" t="s">
        <v>11811</v>
      </c>
      <c r="K8601" s="417" t="s">
        <v>19654</v>
      </c>
      <c r="L8601" s="417"/>
      <c r="M8601" s="417" t="s">
        <v>28840</v>
      </c>
    </row>
    <row r="8602" spans="1:13" x14ac:dyDescent="0.25">
      <c r="A8602" s="417" t="s">
        <v>3385</v>
      </c>
      <c r="B8602" s="417" t="s">
        <v>3655</v>
      </c>
      <c r="C8602" s="417" t="s">
        <v>19655</v>
      </c>
      <c r="D8602" s="417" t="s">
        <v>3936</v>
      </c>
      <c r="E8602" s="423">
        <v>506793.59280165349</v>
      </c>
      <c r="F8602" s="423">
        <v>19029.709081907651</v>
      </c>
      <c r="G8602" s="422">
        <v>1006828373.352664</v>
      </c>
      <c r="H8602" s="417" t="s">
        <v>2616</v>
      </c>
      <c r="I8602" s="417" t="s">
        <v>1392</v>
      </c>
      <c r="J8602" s="417" t="s">
        <v>11811</v>
      </c>
      <c r="K8602" s="417" t="s">
        <v>19656</v>
      </c>
      <c r="L8602" s="417"/>
      <c r="M8602" s="417" t="s">
        <v>28840</v>
      </c>
    </row>
    <row r="8603" spans="1:13" x14ac:dyDescent="0.25">
      <c r="A8603" s="417" t="s">
        <v>3385</v>
      </c>
      <c r="B8603" s="417" t="s">
        <v>2627</v>
      </c>
      <c r="C8603" s="417" t="s">
        <v>19657</v>
      </c>
      <c r="D8603" s="417" t="s">
        <v>88</v>
      </c>
      <c r="E8603" s="423">
        <v>2.4953080944778109E-2</v>
      </c>
      <c r="F8603" s="423">
        <v>6.0999536785218689E-2</v>
      </c>
      <c r="G8603" s="422">
        <v>149.8041407832209</v>
      </c>
      <c r="H8603" s="417" t="s">
        <v>2616</v>
      </c>
      <c r="I8603" s="417" t="s">
        <v>1392</v>
      </c>
      <c r="J8603" s="417" t="s">
        <v>4016</v>
      </c>
      <c r="K8603" s="417" t="s">
        <v>19658</v>
      </c>
      <c r="L8603" s="417"/>
      <c r="M8603" s="417" t="s">
        <v>28840</v>
      </c>
    </row>
    <row r="8604" spans="1:13" x14ac:dyDescent="0.25">
      <c r="A8604" s="417" t="s">
        <v>3385</v>
      </c>
      <c r="B8604" s="417" t="s">
        <v>2627</v>
      </c>
      <c r="C8604" s="417" t="s">
        <v>19659</v>
      </c>
      <c r="D8604" s="417" t="s">
        <v>88</v>
      </c>
      <c r="E8604" s="423">
        <v>3.8419749354576607E-2</v>
      </c>
      <c r="F8604" s="423">
        <v>6.2044620380117911E-2</v>
      </c>
      <c r="G8604" s="422">
        <v>159.57905967671331</v>
      </c>
      <c r="H8604" s="417" t="s">
        <v>2616</v>
      </c>
      <c r="I8604" s="417" t="s">
        <v>1392</v>
      </c>
      <c r="J8604" s="417" t="s">
        <v>4016</v>
      </c>
      <c r="K8604" s="417" t="s">
        <v>19660</v>
      </c>
      <c r="L8604" s="417"/>
      <c r="M8604" s="417" t="s">
        <v>28840</v>
      </c>
    </row>
    <row r="8605" spans="1:13" x14ac:dyDescent="0.25">
      <c r="A8605" s="417" t="s">
        <v>3385</v>
      </c>
      <c r="B8605" s="417" t="s">
        <v>2627</v>
      </c>
      <c r="C8605" s="417" t="s">
        <v>19661</v>
      </c>
      <c r="D8605" s="417" t="s">
        <v>88</v>
      </c>
      <c r="E8605" s="423">
        <v>2.1828621388768531E-2</v>
      </c>
      <c r="F8605" s="423">
        <v>6.0240661283184789E-2</v>
      </c>
      <c r="G8605" s="422">
        <v>134.50784667046159</v>
      </c>
      <c r="H8605" s="417" t="s">
        <v>2616</v>
      </c>
      <c r="I8605" s="417" t="s">
        <v>1392</v>
      </c>
      <c r="J8605" s="417" t="s">
        <v>4016</v>
      </c>
      <c r="K8605" s="417" t="s">
        <v>19662</v>
      </c>
      <c r="L8605" s="417"/>
      <c r="M8605" s="417" t="s">
        <v>28840</v>
      </c>
    </row>
    <row r="8606" spans="1:13" x14ac:dyDescent="0.25">
      <c r="A8606" s="417" t="s">
        <v>3385</v>
      </c>
      <c r="B8606" s="417" t="s">
        <v>2627</v>
      </c>
      <c r="C8606" s="417" t="s">
        <v>19663</v>
      </c>
      <c r="D8606" s="417" t="s">
        <v>88</v>
      </c>
      <c r="E8606" s="423">
        <v>2.8857202555242441E-2</v>
      </c>
      <c r="F8606" s="423">
        <v>6.0855785474872859E-2</v>
      </c>
      <c r="G8606" s="422">
        <v>139.555758673496</v>
      </c>
      <c r="H8606" s="417" t="s">
        <v>2616</v>
      </c>
      <c r="I8606" s="417" t="s">
        <v>1392</v>
      </c>
      <c r="J8606" s="417" t="s">
        <v>4016</v>
      </c>
      <c r="K8606" s="417" t="s">
        <v>19664</v>
      </c>
      <c r="L8606" s="417"/>
      <c r="M8606" s="417" t="s">
        <v>28840</v>
      </c>
    </row>
    <row r="8607" spans="1:13" x14ac:dyDescent="0.25">
      <c r="A8607" s="417" t="s">
        <v>3385</v>
      </c>
      <c r="B8607" s="417" t="s">
        <v>2627</v>
      </c>
      <c r="C8607" s="417" t="s">
        <v>19665</v>
      </c>
      <c r="D8607" s="417" t="s">
        <v>88</v>
      </c>
      <c r="E8607" s="423">
        <v>2.176921648843546E-2</v>
      </c>
      <c r="F8607" s="423">
        <v>7.9904431113045821E-2</v>
      </c>
      <c r="G8607" s="422">
        <v>139.12925114954231</v>
      </c>
      <c r="H8607" s="417" t="s">
        <v>2616</v>
      </c>
      <c r="I8607" s="417" t="s">
        <v>1392</v>
      </c>
      <c r="J8607" s="417" t="s">
        <v>4016</v>
      </c>
      <c r="K8607" s="417" t="s">
        <v>19666</v>
      </c>
      <c r="L8607" s="417"/>
      <c r="M8607" s="417" t="s">
        <v>28840</v>
      </c>
    </row>
    <row r="8608" spans="1:13" x14ac:dyDescent="0.25">
      <c r="A8608" s="417" t="s">
        <v>3385</v>
      </c>
      <c r="B8608" s="417" t="s">
        <v>2627</v>
      </c>
      <c r="C8608" s="417" t="s">
        <v>19667</v>
      </c>
      <c r="D8608" s="417" t="s">
        <v>88</v>
      </c>
      <c r="E8608" s="423">
        <v>2.8474283806333819E-2</v>
      </c>
      <c r="F8608" s="423">
        <v>8.0502254510514432E-2</v>
      </c>
      <c r="G8608" s="422">
        <v>143.974355000223</v>
      </c>
      <c r="H8608" s="417" t="s">
        <v>2616</v>
      </c>
      <c r="I8608" s="417" t="s">
        <v>1392</v>
      </c>
      <c r="J8608" s="417" t="s">
        <v>4016</v>
      </c>
      <c r="K8608" s="417" t="s">
        <v>19668</v>
      </c>
      <c r="L8608" s="417"/>
      <c r="M8608" s="417" t="s">
        <v>28840</v>
      </c>
    </row>
    <row r="8609" spans="1:13" x14ac:dyDescent="0.25">
      <c r="A8609" s="417" t="s">
        <v>3385</v>
      </c>
      <c r="B8609" s="417" t="s">
        <v>2627</v>
      </c>
      <c r="C8609" s="417" t="s">
        <v>19669</v>
      </c>
      <c r="D8609" s="417" t="s">
        <v>88</v>
      </c>
      <c r="E8609" s="423">
        <v>1.9364833011495299E-2</v>
      </c>
      <c r="F8609" s="423">
        <v>4.3107276535370977E-2</v>
      </c>
      <c r="G8609" s="422">
        <v>122.1721981830058</v>
      </c>
      <c r="H8609" s="417" t="s">
        <v>2616</v>
      </c>
      <c r="I8609" s="417" t="s">
        <v>1392</v>
      </c>
      <c r="J8609" s="417" t="s">
        <v>4016</v>
      </c>
      <c r="K8609" s="417" t="s">
        <v>19670</v>
      </c>
      <c r="L8609" s="417"/>
      <c r="M8609" s="417" t="s">
        <v>28840</v>
      </c>
    </row>
    <row r="8610" spans="1:13" x14ac:dyDescent="0.25">
      <c r="A8610" s="417" t="s">
        <v>3385</v>
      </c>
      <c r="B8610" s="417" t="s">
        <v>2627</v>
      </c>
      <c r="C8610" s="417" t="s">
        <v>19671</v>
      </c>
      <c r="D8610" s="417" t="s">
        <v>88</v>
      </c>
      <c r="E8610" s="423">
        <v>2.4458549792062089E-2</v>
      </c>
      <c r="F8610" s="423">
        <v>4.3577534995722297E-2</v>
      </c>
      <c r="G8610" s="422">
        <v>125.78685314596819</v>
      </c>
      <c r="H8610" s="417" t="s">
        <v>2616</v>
      </c>
      <c r="I8610" s="417" t="s">
        <v>1392</v>
      </c>
      <c r="J8610" s="417" t="s">
        <v>4016</v>
      </c>
      <c r="K8610" s="417" t="s">
        <v>19672</v>
      </c>
      <c r="L8610" s="417"/>
      <c r="M8610" s="417" t="s">
        <v>28840</v>
      </c>
    </row>
    <row r="8611" spans="1:13" x14ac:dyDescent="0.25">
      <c r="A8611" s="417" t="s">
        <v>3385</v>
      </c>
      <c r="B8611" s="417" t="s">
        <v>2627</v>
      </c>
      <c r="C8611" s="417" t="s">
        <v>19673</v>
      </c>
      <c r="D8611" s="417" t="s">
        <v>88</v>
      </c>
      <c r="E8611" s="423">
        <v>2.2185209824411758E-2</v>
      </c>
      <c r="F8611" s="423">
        <v>6.6409120538527586E-2</v>
      </c>
      <c r="G8611" s="422">
        <v>137.4748923414837</v>
      </c>
      <c r="H8611" s="417" t="s">
        <v>2616</v>
      </c>
      <c r="I8611" s="417" t="s">
        <v>1392</v>
      </c>
      <c r="J8611" s="417" t="s">
        <v>4016</v>
      </c>
      <c r="K8611" s="417" t="s">
        <v>19674</v>
      </c>
      <c r="L8611" s="417"/>
      <c r="M8611" s="417" t="s">
        <v>28840</v>
      </c>
    </row>
    <row r="8612" spans="1:13" x14ac:dyDescent="0.25">
      <c r="A8612" s="417" t="s">
        <v>3385</v>
      </c>
      <c r="B8612" s="417" t="s">
        <v>2627</v>
      </c>
      <c r="C8612" s="417" t="s">
        <v>19675</v>
      </c>
      <c r="D8612" s="417" t="s">
        <v>88</v>
      </c>
      <c r="E8612" s="423">
        <v>2.938000391578029E-2</v>
      </c>
      <c r="F8612" s="423">
        <v>6.7038073162499781E-2</v>
      </c>
      <c r="G8612" s="422">
        <v>142.65355934099659</v>
      </c>
      <c r="H8612" s="417" t="s">
        <v>2616</v>
      </c>
      <c r="I8612" s="417" t="s">
        <v>1392</v>
      </c>
      <c r="J8612" s="417" t="s">
        <v>4016</v>
      </c>
      <c r="K8612" s="417" t="s">
        <v>19676</v>
      </c>
      <c r="L8612" s="417"/>
      <c r="M8612" s="417" t="s">
        <v>28840</v>
      </c>
    </row>
    <row r="8613" spans="1:13" x14ac:dyDescent="0.25">
      <c r="A8613" s="417" t="s">
        <v>3385</v>
      </c>
      <c r="B8613" s="417" t="s">
        <v>2627</v>
      </c>
      <c r="C8613" s="417" t="s">
        <v>19677</v>
      </c>
      <c r="D8613" s="417" t="s">
        <v>88</v>
      </c>
      <c r="E8613" s="423">
        <v>2.0034501697969911E-2</v>
      </c>
      <c r="F8613" s="423">
        <v>3.6245080767753228E-2</v>
      </c>
      <c r="G8613" s="422">
        <v>122.8882547820541</v>
      </c>
      <c r="H8613" s="417" t="s">
        <v>2616</v>
      </c>
      <c r="I8613" s="417" t="s">
        <v>1392</v>
      </c>
      <c r="J8613" s="417" t="s">
        <v>4016</v>
      </c>
      <c r="K8613" s="417" t="s">
        <v>19678</v>
      </c>
      <c r="L8613" s="417"/>
      <c r="M8613" s="417" t="s">
        <v>28840</v>
      </c>
    </row>
    <row r="8614" spans="1:13" x14ac:dyDescent="0.25">
      <c r="A8614" s="417" t="s">
        <v>3385</v>
      </c>
      <c r="B8614" s="417" t="s">
        <v>2627</v>
      </c>
      <c r="C8614" s="417" t="s">
        <v>19679</v>
      </c>
      <c r="D8614" s="417" t="s">
        <v>88</v>
      </c>
      <c r="E8614" s="423">
        <v>2.5805758480478239E-2</v>
      </c>
      <c r="F8614" s="423">
        <v>3.6761579080119101E-2</v>
      </c>
      <c r="G8614" s="422">
        <v>126.9860478734774</v>
      </c>
      <c r="H8614" s="417" t="s">
        <v>2616</v>
      </c>
      <c r="I8614" s="417" t="s">
        <v>1392</v>
      </c>
      <c r="J8614" s="417" t="s">
        <v>4016</v>
      </c>
      <c r="K8614" s="417" t="s">
        <v>19680</v>
      </c>
      <c r="L8614" s="417"/>
      <c r="M8614" s="417" t="s">
        <v>28840</v>
      </c>
    </row>
    <row r="8615" spans="1:13" x14ac:dyDescent="0.25">
      <c r="A8615" s="417" t="s">
        <v>3385</v>
      </c>
      <c r="B8615" s="417" t="s">
        <v>2627</v>
      </c>
      <c r="C8615" s="417" t="s">
        <v>19681</v>
      </c>
      <c r="D8615" s="417" t="s">
        <v>88</v>
      </c>
      <c r="E8615" s="423">
        <v>2.2680778687993289E-2</v>
      </c>
      <c r="F8615" s="423">
        <v>6.8000096679936756E-2</v>
      </c>
      <c r="G8615" s="422">
        <v>139.70096099493111</v>
      </c>
      <c r="H8615" s="417" t="s">
        <v>2616</v>
      </c>
      <c r="I8615" s="417" t="s">
        <v>1392</v>
      </c>
      <c r="J8615" s="417" t="s">
        <v>4016</v>
      </c>
      <c r="K8615" s="417" t="s">
        <v>19682</v>
      </c>
      <c r="L8615" s="417"/>
      <c r="M8615" s="417" t="s">
        <v>28840</v>
      </c>
    </row>
    <row r="8616" spans="1:13" x14ac:dyDescent="0.25">
      <c r="A8616" s="417" t="s">
        <v>3385</v>
      </c>
      <c r="B8616" s="417" t="s">
        <v>2627</v>
      </c>
      <c r="C8616" s="417" t="s">
        <v>19683</v>
      </c>
      <c r="D8616" s="417" t="s">
        <v>88</v>
      </c>
      <c r="E8616" s="423">
        <v>3.0230960934144631E-2</v>
      </c>
      <c r="F8616" s="423">
        <v>6.8656349019235133E-2</v>
      </c>
      <c r="G8616" s="422">
        <v>145.13806672484071</v>
      </c>
      <c r="H8616" s="417" t="s">
        <v>2616</v>
      </c>
      <c r="I8616" s="417" t="s">
        <v>1392</v>
      </c>
      <c r="J8616" s="417" t="s">
        <v>4016</v>
      </c>
      <c r="K8616" s="417" t="s">
        <v>19684</v>
      </c>
      <c r="L8616" s="417"/>
      <c r="M8616" s="417" t="s">
        <v>28840</v>
      </c>
    </row>
    <row r="8617" spans="1:13" x14ac:dyDescent="0.25">
      <c r="A8617" s="417" t="s">
        <v>3385</v>
      </c>
      <c r="B8617" s="417" t="s">
        <v>2627</v>
      </c>
      <c r="C8617" s="417" t="s">
        <v>19685</v>
      </c>
      <c r="D8617" s="417" t="s">
        <v>88</v>
      </c>
      <c r="E8617" s="423">
        <v>2.0491022758614408E-2</v>
      </c>
      <c r="F8617" s="423">
        <v>3.7130614738570232E-2</v>
      </c>
      <c r="G8617" s="422">
        <v>124.7942207034823</v>
      </c>
      <c r="H8617" s="417" t="s">
        <v>2616</v>
      </c>
      <c r="I8617" s="417" t="s">
        <v>1392</v>
      </c>
      <c r="J8617" s="417" t="s">
        <v>4016</v>
      </c>
      <c r="K8617" s="417" t="s">
        <v>19686</v>
      </c>
      <c r="L8617" s="417"/>
      <c r="M8617" s="417" t="s">
        <v>28840</v>
      </c>
    </row>
    <row r="8618" spans="1:13" x14ac:dyDescent="0.25">
      <c r="A8618" s="417" t="s">
        <v>3385</v>
      </c>
      <c r="B8618" s="417" t="s">
        <v>2627</v>
      </c>
      <c r="C8618" s="417" t="s">
        <v>19687</v>
      </c>
      <c r="D8618" s="417" t="s">
        <v>88</v>
      </c>
      <c r="E8618" s="423">
        <v>2.658531196882406E-2</v>
      </c>
      <c r="F8618" s="423">
        <v>3.7671888174318047E-2</v>
      </c>
      <c r="G8618" s="422">
        <v>129.12578905041011</v>
      </c>
      <c r="H8618" s="417" t="s">
        <v>2616</v>
      </c>
      <c r="I8618" s="417" t="s">
        <v>1392</v>
      </c>
      <c r="J8618" s="417" t="s">
        <v>4016</v>
      </c>
      <c r="K8618" s="417" t="s">
        <v>19688</v>
      </c>
      <c r="L8618" s="417"/>
      <c r="M8618" s="417" t="s">
        <v>28840</v>
      </c>
    </row>
    <row r="8619" spans="1:13" x14ac:dyDescent="0.25">
      <c r="A8619" s="417" t="s">
        <v>3385</v>
      </c>
      <c r="B8619" s="417" t="s">
        <v>2627</v>
      </c>
      <c r="C8619" s="417" t="s">
        <v>19689</v>
      </c>
      <c r="D8619" s="417" t="s">
        <v>88</v>
      </c>
      <c r="E8619" s="423">
        <v>3.4640885077089893E-2</v>
      </c>
      <c r="F8619" s="423">
        <v>6.4013595840614626E-2</v>
      </c>
      <c r="G8619" s="422">
        <v>165.95614666156229</v>
      </c>
      <c r="H8619" s="417" t="s">
        <v>2616</v>
      </c>
      <c r="I8619" s="417" t="s">
        <v>1392</v>
      </c>
      <c r="J8619" s="417" t="s">
        <v>4016</v>
      </c>
      <c r="K8619" s="417" t="s">
        <v>19690</v>
      </c>
      <c r="L8619" s="417"/>
      <c r="M8619" s="417" t="s">
        <v>28840</v>
      </c>
    </row>
    <row r="8620" spans="1:13" x14ac:dyDescent="0.25">
      <c r="A8620" s="417" t="s">
        <v>3385</v>
      </c>
      <c r="B8620" s="417" t="s">
        <v>2627</v>
      </c>
      <c r="C8620" s="417" t="s">
        <v>19691</v>
      </c>
      <c r="D8620" s="417" t="s">
        <v>88</v>
      </c>
      <c r="E8620" s="423">
        <v>4.1337729332868271E-2</v>
      </c>
      <c r="F8620" s="423">
        <v>6.4271945912072165E-2</v>
      </c>
      <c r="G8620" s="422">
        <v>164.9076644750499</v>
      </c>
      <c r="H8620" s="417" t="s">
        <v>2616</v>
      </c>
      <c r="I8620" s="417" t="s">
        <v>1392</v>
      </c>
      <c r="J8620" s="417" t="s">
        <v>4016</v>
      </c>
      <c r="K8620" s="417" t="s">
        <v>19692</v>
      </c>
      <c r="L8620" s="417"/>
      <c r="M8620" s="417" t="s">
        <v>28840</v>
      </c>
    </row>
    <row r="8621" spans="1:13" x14ac:dyDescent="0.25">
      <c r="A8621" s="417" t="s">
        <v>3385</v>
      </c>
      <c r="B8621" s="417" t="s">
        <v>2627</v>
      </c>
      <c r="C8621" s="417" t="s">
        <v>19693</v>
      </c>
      <c r="D8621" s="417" t="s">
        <v>88</v>
      </c>
      <c r="E8621" s="423">
        <v>3.4650378099606707E-2</v>
      </c>
      <c r="F8621" s="423">
        <v>8.5077984352388253E-2</v>
      </c>
      <c r="G8621" s="422">
        <v>172.11386822928711</v>
      </c>
      <c r="H8621" s="417" t="s">
        <v>2616</v>
      </c>
      <c r="I8621" s="417" t="s">
        <v>1392</v>
      </c>
      <c r="J8621" s="417" t="s">
        <v>4016</v>
      </c>
      <c r="K8621" s="417" t="s">
        <v>19694</v>
      </c>
      <c r="L8621" s="417"/>
      <c r="M8621" s="417" t="s">
        <v>28840</v>
      </c>
    </row>
    <row r="8622" spans="1:13" x14ac:dyDescent="0.25">
      <c r="A8622" s="417" t="s">
        <v>3385</v>
      </c>
      <c r="B8622" s="417" t="s">
        <v>2627</v>
      </c>
      <c r="C8622" s="417" t="s">
        <v>19695</v>
      </c>
      <c r="D8622" s="417" t="s">
        <v>88</v>
      </c>
      <c r="E8622" s="423">
        <v>4.1153773237562072E-2</v>
      </c>
      <c r="F8622" s="423">
        <v>8.5336405050651348E-2</v>
      </c>
      <c r="G8622" s="422">
        <v>171.03395254419181</v>
      </c>
      <c r="H8622" s="417" t="s">
        <v>2616</v>
      </c>
      <c r="I8622" s="417" t="s">
        <v>1392</v>
      </c>
      <c r="J8622" s="417" t="s">
        <v>4016</v>
      </c>
      <c r="K8622" s="417" t="s">
        <v>19696</v>
      </c>
      <c r="L8622" s="417"/>
      <c r="M8622" s="417" t="s">
        <v>28840</v>
      </c>
    </row>
    <row r="8623" spans="1:13" x14ac:dyDescent="0.25">
      <c r="A8623" s="417" t="s">
        <v>3385</v>
      </c>
      <c r="B8623" s="417" t="s">
        <v>2627</v>
      </c>
      <c r="C8623" s="417" t="s">
        <v>19697</v>
      </c>
      <c r="D8623" s="417" t="s">
        <v>88</v>
      </c>
      <c r="E8623" s="423">
        <v>3.1487184231235317E-2</v>
      </c>
      <c r="F8623" s="423">
        <v>4.6840813905745612E-2</v>
      </c>
      <c r="G8623" s="422">
        <v>144.36984803847099</v>
      </c>
      <c r="H8623" s="417" t="s">
        <v>2616</v>
      </c>
      <c r="I8623" s="417" t="s">
        <v>1392</v>
      </c>
      <c r="J8623" s="417" t="s">
        <v>4016</v>
      </c>
      <c r="K8623" s="417" t="s">
        <v>19698</v>
      </c>
      <c r="L8623" s="417"/>
      <c r="M8623" s="417" t="s">
        <v>28840</v>
      </c>
    </row>
    <row r="8624" spans="1:13" x14ac:dyDescent="0.25">
      <c r="A8624" s="417" t="s">
        <v>3385</v>
      </c>
      <c r="B8624" s="417" t="s">
        <v>2627</v>
      </c>
      <c r="C8624" s="417" t="s">
        <v>19699</v>
      </c>
      <c r="D8624" s="417" t="s">
        <v>88</v>
      </c>
      <c r="E8624" s="423">
        <v>3.6187786189475893E-2</v>
      </c>
      <c r="F8624" s="423">
        <v>4.6975157897762972E-2</v>
      </c>
      <c r="G8624" s="422">
        <v>142.22566094294879</v>
      </c>
      <c r="H8624" s="417" t="s">
        <v>2616</v>
      </c>
      <c r="I8624" s="417" t="s">
        <v>1392</v>
      </c>
      <c r="J8624" s="417" t="s">
        <v>4016</v>
      </c>
      <c r="K8624" s="417" t="s">
        <v>19700</v>
      </c>
      <c r="L8624" s="417"/>
      <c r="M8624" s="417" t="s">
        <v>28840</v>
      </c>
    </row>
    <row r="8625" spans="1:13" x14ac:dyDescent="0.25">
      <c r="A8625" s="417" t="s">
        <v>3385</v>
      </c>
      <c r="B8625" s="417" t="s">
        <v>2627</v>
      </c>
      <c r="C8625" s="417" t="s">
        <v>19701</v>
      </c>
      <c r="D8625" s="417" t="s">
        <v>88</v>
      </c>
      <c r="E8625" s="423">
        <v>3.5493149154967457E-2</v>
      </c>
      <c r="F8625" s="423">
        <v>7.2643728685805903E-2</v>
      </c>
      <c r="G8625" s="422">
        <v>171.6219764584757</v>
      </c>
      <c r="H8625" s="417" t="s">
        <v>2616</v>
      </c>
      <c r="I8625" s="417" t="s">
        <v>1392</v>
      </c>
      <c r="J8625" s="417" t="s">
        <v>4016</v>
      </c>
      <c r="K8625" s="417" t="s">
        <v>19702</v>
      </c>
      <c r="L8625" s="417"/>
      <c r="M8625" s="417" t="s">
        <v>28840</v>
      </c>
    </row>
    <row r="8626" spans="1:13" x14ac:dyDescent="0.25">
      <c r="A8626" s="417" t="s">
        <v>3385</v>
      </c>
      <c r="B8626" s="417" t="s">
        <v>2627</v>
      </c>
      <c r="C8626" s="417" t="s">
        <v>19703</v>
      </c>
      <c r="D8626" s="417" t="s">
        <v>88</v>
      </c>
      <c r="E8626" s="423">
        <v>4.2693431157503361E-2</v>
      </c>
      <c r="F8626" s="423">
        <v>7.2938327602022276E-2</v>
      </c>
      <c r="G8626" s="422">
        <v>170.8773154344162</v>
      </c>
      <c r="H8626" s="417" t="s">
        <v>2616</v>
      </c>
      <c r="I8626" s="417" t="s">
        <v>1392</v>
      </c>
      <c r="J8626" s="417" t="s">
        <v>4016</v>
      </c>
      <c r="K8626" s="417" t="s">
        <v>19704</v>
      </c>
      <c r="L8626" s="417"/>
      <c r="M8626" s="417" t="s">
        <v>28840</v>
      </c>
    </row>
    <row r="8627" spans="1:13" x14ac:dyDescent="0.25">
      <c r="A8627" s="417" t="s">
        <v>3385</v>
      </c>
      <c r="B8627" s="417" t="s">
        <v>2627</v>
      </c>
      <c r="C8627" s="417" t="s">
        <v>19705</v>
      </c>
      <c r="D8627" s="417" t="s">
        <v>88</v>
      </c>
      <c r="E8627" s="423">
        <v>3.2602122780037573E-2</v>
      </c>
      <c r="F8627" s="423">
        <v>4.0255185384259887E-2</v>
      </c>
      <c r="G8627" s="422">
        <v>152.62360305610389</v>
      </c>
      <c r="H8627" s="417" t="s">
        <v>2616</v>
      </c>
      <c r="I8627" s="417" t="s">
        <v>1392</v>
      </c>
      <c r="J8627" s="417" t="s">
        <v>4016</v>
      </c>
      <c r="K8627" s="417" t="s">
        <v>19706</v>
      </c>
      <c r="L8627" s="417"/>
      <c r="M8627" s="417" t="s">
        <v>28840</v>
      </c>
    </row>
    <row r="8628" spans="1:13" x14ac:dyDescent="0.25">
      <c r="A8628" s="417" t="s">
        <v>3385</v>
      </c>
      <c r="B8628" s="417" t="s">
        <v>2627</v>
      </c>
      <c r="C8628" s="417" t="s">
        <v>19707</v>
      </c>
      <c r="D8628" s="417" t="s">
        <v>88</v>
      </c>
      <c r="E8628" s="423">
        <v>3.8298351492882923E-2</v>
      </c>
      <c r="F8628" s="423">
        <v>4.0448227699160288E-2</v>
      </c>
      <c r="G8628" s="422">
        <v>151.0651602675251</v>
      </c>
      <c r="H8628" s="417" t="s">
        <v>2616</v>
      </c>
      <c r="I8628" s="417" t="s">
        <v>1392</v>
      </c>
      <c r="J8628" s="417" t="s">
        <v>4016</v>
      </c>
      <c r="K8628" s="417" t="s">
        <v>19708</v>
      </c>
      <c r="L8628" s="417"/>
      <c r="M8628" s="417" t="s">
        <v>28840</v>
      </c>
    </row>
    <row r="8629" spans="1:13" x14ac:dyDescent="0.25">
      <c r="A8629" s="417" t="s">
        <v>3385</v>
      </c>
      <c r="B8629" s="417" t="s">
        <v>2627</v>
      </c>
      <c r="C8629" s="417" t="s">
        <v>19709</v>
      </c>
      <c r="D8629" s="417" t="s">
        <v>88</v>
      </c>
      <c r="E8629" s="423">
        <v>3.627106208880701E-2</v>
      </c>
      <c r="F8629" s="423">
        <v>7.4367486285695866E-2</v>
      </c>
      <c r="G8629" s="422">
        <v>174.45130567509059</v>
      </c>
      <c r="H8629" s="417" t="s">
        <v>2616</v>
      </c>
      <c r="I8629" s="417" t="s">
        <v>1392</v>
      </c>
      <c r="J8629" s="417" t="s">
        <v>4016</v>
      </c>
      <c r="K8629" s="417" t="s">
        <v>19710</v>
      </c>
      <c r="L8629" s="417"/>
      <c r="M8629" s="417" t="s">
        <v>28840</v>
      </c>
    </row>
    <row r="8630" spans="1:13" x14ac:dyDescent="0.25">
      <c r="A8630" s="417" t="s">
        <v>3385</v>
      </c>
      <c r="B8630" s="417" t="s">
        <v>2627</v>
      </c>
      <c r="C8630" s="417" t="s">
        <v>19711</v>
      </c>
      <c r="D8630" s="417" t="s">
        <v>88</v>
      </c>
      <c r="E8630" s="423">
        <v>4.3935890029208453E-2</v>
      </c>
      <c r="F8630" s="423">
        <v>7.4688668605096015E-2</v>
      </c>
      <c r="G8630" s="422">
        <v>173.9039337541823</v>
      </c>
      <c r="H8630" s="417" t="s">
        <v>2616</v>
      </c>
      <c r="I8630" s="417" t="s">
        <v>1392</v>
      </c>
      <c r="J8630" s="417" t="s">
        <v>4016</v>
      </c>
      <c r="K8630" s="417" t="s">
        <v>19712</v>
      </c>
      <c r="L8630" s="417"/>
      <c r="M8630" s="417" t="s">
        <v>28840</v>
      </c>
    </row>
    <row r="8631" spans="1:13" x14ac:dyDescent="0.25">
      <c r="A8631" s="417" t="s">
        <v>3385</v>
      </c>
      <c r="B8631" s="417" t="s">
        <v>2627</v>
      </c>
      <c r="C8631" s="417" t="s">
        <v>19713</v>
      </c>
      <c r="D8631" s="417" t="s">
        <v>88</v>
      </c>
      <c r="E8631" s="423">
        <v>3.3316118971286057E-2</v>
      </c>
      <c r="F8631" s="423">
        <v>4.1181550452420737E-2</v>
      </c>
      <c r="G8631" s="422">
        <v>156.71438244326049</v>
      </c>
      <c r="H8631" s="417" t="s">
        <v>2616</v>
      </c>
      <c r="I8631" s="417" t="s">
        <v>1392</v>
      </c>
      <c r="J8631" s="417" t="s">
        <v>4016</v>
      </c>
      <c r="K8631" s="417" t="s">
        <v>19714</v>
      </c>
      <c r="L8631" s="417"/>
      <c r="M8631" s="417" t="s">
        <v>28840</v>
      </c>
    </row>
    <row r="8632" spans="1:13" x14ac:dyDescent="0.25">
      <c r="A8632" s="417" t="s">
        <v>3385</v>
      </c>
      <c r="B8632" s="417" t="s">
        <v>2627</v>
      </c>
      <c r="C8632" s="417" t="s">
        <v>19715</v>
      </c>
      <c r="D8632" s="417" t="s">
        <v>88</v>
      </c>
      <c r="E8632" s="423">
        <v>3.9276021356530008E-2</v>
      </c>
      <c r="F8632" s="423">
        <v>4.1374853380386122E-2</v>
      </c>
      <c r="G8632" s="422">
        <v>155.18778704930889</v>
      </c>
      <c r="H8632" s="417" t="s">
        <v>2616</v>
      </c>
      <c r="I8632" s="417" t="s">
        <v>1392</v>
      </c>
      <c r="J8632" s="417" t="s">
        <v>4016</v>
      </c>
      <c r="K8632" s="417" t="s">
        <v>19716</v>
      </c>
      <c r="L8632" s="417"/>
      <c r="M8632" s="417" t="s">
        <v>28840</v>
      </c>
    </row>
    <row r="8633" spans="1:13" x14ac:dyDescent="0.25">
      <c r="A8633" s="417" t="s">
        <v>3385</v>
      </c>
      <c r="B8633" s="417" t="s">
        <v>2627</v>
      </c>
      <c r="C8633" s="417" t="s">
        <v>19717</v>
      </c>
      <c r="D8633" s="417" t="s">
        <v>88</v>
      </c>
      <c r="E8633" s="423">
        <v>4.0415316046168638E-2</v>
      </c>
      <c r="F8633" s="423">
        <v>6.5416102140260182E-2</v>
      </c>
      <c r="G8633" s="422">
        <v>194.22580205141989</v>
      </c>
      <c r="H8633" s="417" t="s">
        <v>2616</v>
      </c>
      <c r="I8633" s="417" t="s">
        <v>1392</v>
      </c>
      <c r="J8633" s="417" t="s">
        <v>4016</v>
      </c>
      <c r="K8633" s="417" t="s">
        <v>19718</v>
      </c>
      <c r="L8633" s="417"/>
      <c r="M8633" s="417" t="s">
        <v>28840</v>
      </c>
    </row>
    <row r="8634" spans="1:13" x14ac:dyDescent="0.25">
      <c r="A8634" s="417" t="s">
        <v>3385</v>
      </c>
      <c r="B8634" s="417" t="s">
        <v>2627</v>
      </c>
      <c r="C8634" s="417" t="s">
        <v>19719</v>
      </c>
      <c r="D8634" s="417" t="s">
        <v>88</v>
      </c>
      <c r="E8634" s="423">
        <v>5.9010631008863078E-2</v>
      </c>
      <c r="F8634" s="423">
        <v>6.6469076324317311E-2</v>
      </c>
      <c r="G8634" s="422">
        <v>201.91347867451549</v>
      </c>
      <c r="H8634" s="417" t="s">
        <v>2616</v>
      </c>
      <c r="I8634" s="417" t="s">
        <v>1392</v>
      </c>
      <c r="J8634" s="417" t="s">
        <v>4016</v>
      </c>
      <c r="K8634" s="417" t="s">
        <v>19720</v>
      </c>
      <c r="L8634" s="417"/>
      <c r="M8634" s="417" t="s">
        <v>28840</v>
      </c>
    </row>
    <row r="8635" spans="1:13" x14ac:dyDescent="0.25">
      <c r="A8635" s="417" t="s">
        <v>3385</v>
      </c>
      <c r="B8635" s="417" t="s">
        <v>3655</v>
      </c>
      <c r="C8635" s="417" t="s">
        <v>19721</v>
      </c>
      <c r="D8635" s="417" t="s">
        <v>563</v>
      </c>
      <c r="E8635" s="423">
        <v>170.91164936915041</v>
      </c>
      <c r="F8635" s="423">
        <v>152.7162005189025</v>
      </c>
      <c r="G8635" s="422">
        <v>421497.99596921651</v>
      </c>
      <c r="H8635" s="417" t="s">
        <v>2616</v>
      </c>
      <c r="I8635" s="417" t="s">
        <v>1392</v>
      </c>
      <c r="J8635" s="417" t="s">
        <v>3657</v>
      </c>
      <c r="K8635" s="417" t="s">
        <v>19722</v>
      </c>
      <c r="L8635" s="417"/>
      <c r="M8635" s="417" t="s">
        <v>28840</v>
      </c>
    </row>
    <row r="8636" spans="1:13" x14ac:dyDescent="0.25">
      <c r="A8636" s="417" t="s">
        <v>3385</v>
      </c>
      <c r="B8636" s="417" t="s">
        <v>2627</v>
      </c>
      <c r="C8636" s="417" t="s">
        <v>19723</v>
      </c>
      <c r="D8636" s="417" t="s">
        <v>563</v>
      </c>
      <c r="E8636" s="423">
        <v>163.84947338126611</v>
      </c>
      <c r="F8636" s="423">
        <v>8.8596095728256046</v>
      </c>
      <c r="G8636" s="422">
        <v>292350.98610740749</v>
      </c>
      <c r="H8636" s="417" t="s">
        <v>2616</v>
      </c>
      <c r="I8636" s="417" t="s">
        <v>1392</v>
      </c>
      <c r="J8636" s="417" t="s">
        <v>4138</v>
      </c>
      <c r="K8636" s="417" t="s">
        <v>19724</v>
      </c>
      <c r="L8636" s="417"/>
      <c r="M8636" s="417" t="s">
        <v>28840</v>
      </c>
    </row>
    <row r="8637" spans="1:13" x14ac:dyDescent="0.25">
      <c r="A8637" s="417" t="s">
        <v>3385</v>
      </c>
      <c r="B8637" s="417" t="s">
        <v>2627</v>
      </c>
      <c r="C8637" s="417" t="s">
        <v>19725</v>
      </c>
      <c r="D8637" s="417" t="s">
        <v>563</v>
      </c>
      <c r="E8637" s="423">
        <v>150.0714763266711</v>
      </c>
      <c r="F8637" s="423">
        <v>7.4782647968217928</v>
      </c>
      <c r="G8637" s="422">
        <v>265556.15123063693</v>
      </c>
      <c r="H8637" s="417" t="s">
        <v>2616</v>
      </c>
      <c r="I8637" s="417" t="s">
        <v>1392</v>
      </c>
      <c r="J8637" s="417" t="s">
        <v>4138</v>
      </c>
      <c r="K8637" s="417" t="s">
        <v>19726</v>
      </c>
      <c r="L8637" s="417"/>
      <c r="M8637" s="417" t="s">
        <v>28840</v>
      </c>
    </row>
    <row r="8638" spans="1:13" x14ac:dyDescent="0.25">
      <c r="A8638" s="417" t="s">
        <v>3385</v>
      </c>
      <c r="B8638" s="417" t="s">
        <v>2627</v>
      </c>
      <c r="C8638" s="417" t="s">
        <v>19727</v>
      </c>
      <c r="D8638" s="417" t="s">
        <v>563</v>
      </c>
      <c r="E8638" s="423">
        <v>80.108732595033999</v>
      </c>
      <c r="F8638" s="423">
        <v>3.7699884850664702</v>
      </c>
      <c r="G8638" s="422">
        <v>139818.8538799079</v>
      </c>
      <c r="H8638" s="417" t="s">
        <v>2616</v>
      </c>
      <c r="I8638" s="417" t="s">
        <v>1392</v>
      </c>
      <c r="J8638" s="417" t="s">
        <v>4138</v>
      </c>
      <c r="K8638" s="417" t="s">
        <v>19728</v>
      </c>
      <c r="L8638" s="417"/>
      <c r="M8638" s="417" t="s">
        <v>28840</v>
      </c>
    </row>
    <row r="8639" spans="1:13" x14ac:dyDescent="0.25">
      <c r="A8639" s="417" t="s">
        <v>3385</v>
      </c>
      <c r="B8639" s="417" t="s">
        <v>2627</v>
      </c>
      <c r="C8639" s="417" t="s">
        <v>19729</v>
      </c>
      <c r="D8639" s="417" t="s">
        <v>563</v>
      </c>
      <c r="E8639" s="423">
        <v>108.5904751371783</v>
      </c>
      <c r="F8639" s="423">
        <v>5.3276535180841504</v>
      </c>
      <c r="G8639" s="422">
        <v>191425.33183877281</v>
      </c>
      <c r="H8639" s="417" t="s">
        <v>2616</v>
      </c>
      <c r="I8639" s="417" t="s">
        <v>1392</v>
      </c>
      <c r="J8639" s="417" t="s">
        <v>4138</v>
      </c>
      <c r="K8639" s="417" t="s">
        <v>19730</v>
      </c>
      <c r="L8639" s="417"/>
      <c r="M8639" s="417" t="s">
        <v>28840</v>
      </c>
    </row>
    <row r="8640" spans="1:13" x14ac:dyDescent="0.25">
      <c r="A8640" s="417" t="s">
        <v>3385</v>
      </c>
      <c r="B8640" s="417" t="s">
        <v>2627</v>
      </c>
      <c r="C8640" s="417" t="s">
        <v>19731</v>
      </c>
      <c r="D8640" s="417" t="s">
        <v>563</v>
      </c>
      <c r="E8640" s="423">
        <v>67.155751196693146</v>
      </c>
      <c r="F8640" s="423">
        <v>3.419735300077078</v>
      </c>
      <c r="G8640" s="422">
        <v>119473.3822713733</v>
      </c>
      <c r="H8640" s="417" t="s">
        <v>2616</v>
      </c>
      <c r="I8640" s="417" t="s">
        <v>1392</v>
      </c>
      <c r="J8640" s="417" t="s">
        <v>4138</v>
      </c>
      <c r="K8640" s="417" t="s">
        <v>19732</v>
      </c>
      <c r="L8640" s="417"/>
      <c r="M8640" s="417" t="s">
        <v>28840</v>
      </c>
    </row>
    <row r="8641" spans="1:13" x14ac:dyDescent="0.25">
      <c r="A8641" s="417" t="s">
        <v>3385</v>
      </c>
      <c r="B8641" s="417" t="s">
        <v>2627</v>
      </c>
      <c r="C8641" s="417" t="s">
        <v>19733</v>
      </c>
      <c r="D8641" s="417" t="s">
        <v>563</v>
      </c>
      <c r="E8641" s="423">
        <v>85.284430575499698</v>
      </c>
      <c r="F8641" s="423">
        <v>4.1724370436543818</v>
      </c>
      <c r="G8641" s="422">
        <v>150238.26167445909</v>
      </c>
      <c r="H8641" s="417" t="s">
        <v>2616</v>
      </c>
      <c r="I8641" s="417" t="s">
        <v>1392</v>
      </c>
      <c r="J8641" s="417" t="s">
        <v>4138</v>
      </c>
      <c r="K8641" s="417" t="s">
        <v>19734</v>
      </c>
      <c r="L8641" s="417"/>
      <c r="M8641" s="417" t="s">
        <v>28840</v>
      </c>
    </row>
    <row r="8642" spans="1:13" x14ac:dyDescent="0.25">
      <c r="A8642" s="417" t="s">
        <v>3385</v>
      </c>
      <c r="B8642" s="417" t="s">
        <v>3655</v>
      </c>
      <c r="C8642" s="417" t="s">
        <v>19735</v>
      </c>
      <c r="D8642" s="417" t="s">
        <v>88</v>
      </c>
      <c r="E8642" s="423">
        <v>0.43957038800022641</v>
      </c>
      <c r="F8642" s="423">
        <v>2.6933309196952981E-2</v>
      </c>
      <c r="G8642" s="422">
        <v>1445.3710327109</v>
      </c>
      <c r="H8642" s="417" t="s">
        <v>2616</v>
      </c>
      <c r="I8642" s="417" t="s">
        <v>1392</v>
      </c>
      <c r="J8642" s="417" t="s">
        <v>4549</v>
      </c>
      <c r="K8642" s="417" t="s">
        <v>19736</v>
      </c>
      <c r="L8642" s="417"/>
      <c r="M8642" s="417" t="s">
        <v>28840</v>
      </c>
    </row>
    <row r="8643" spans="1:13" x14ac:dyDescent="0.25">
      <c r="A8643" s="417" t="s">
        <v>3385</v>
      </c>
      <c r="B8643" s="417" t="s">
        <v>3655</v>
      </c>
      <c r="C8643" s="417" t="s">
        <v>19737</v>
      </c>
      <c r="D8643" s="417" t="s">
        <v>88</v>
      </c>
      <c r="E8643" s="423">
        <v>0.42952249296782458</v>
      </c>
      <c r="F8643" s="423">
        <v>2.7320531207069249E-2</v>
      </c>
      <c r="G8643" s="422">
        <v>989.78944009843678</v>
      </c>
      <c r="H8643" s="417" t="s">
        <v>2616</v>
      </c>
      <c r="I8643" s="417" t="s">
        <v>1392</v>
      </c>
      <c r="J8643" s="417" t="s">
        <v>4549</v>
      </c>
      <c r="K8643" s="417" t="s">
        <v>19738</v>
      </c>
      <c r="L8643" s="417"/>
      <c r="M8643" s="417" t="s">
        <v>28840</v>
      </c>
    </row>
    <row r="8644" spans="1:13" x14ac:dyDescent="0.25">
      <c r="A8644" s="417" t="s">
        <v>3385</v>
      </c>
      <c r="B8644" s="417" t="s">
        <v>3655</v>
      </c>
      <c r="C8644" s="417" t="s">
        <v>19739</v>
      </c>
      <c r="D8644" s="417" t="s">
        <v>88</v>
      </c>
      <c r="E8644" s="423">
        <v>0.30211247976333749</v>
      </c>
      <c r="F8644" s="423">
        <v>3.092464434536155E-2</v>
      </c>
      <c r="G8644" s="422">
        <v>3466.3746608508391</v>
      </c>
      <c r="H8644" s="417" t="s">
        <v>2616</v>
      </c>
      <c r="I8644" s="417" t="s">
        <v>1392</v>
      </c>
      <c r="J8644" s="417" t="s">
        <v>4549</v>
      </c>
      <c r="K8644" s="417" t="s">
        <v>19740</v>
      </c>
      <c r="L8644" s="417"/>
      <c r="M8644" s="417" t="s">
        <v>28840</v>
      </c>
    </row>
    <row r="8645" spans="1:13" x14ac:dyDescent="0.25">
      <c r="A8645" s="417" t="s">
        <v>3385</v>
      </c>
      <c r="B8645" s="417" t="s">
        <v>3655</v>
      </c>
      <c r="C8645" s="417" t="s">
        <v>19741</v>
      </c>
      <c r="D8645" s="417" t="s">
        <v>88</v>
      </c>
      <c r="E8645" s="423">
        <v>0.37877747979186599</v>
      </c>
      <c r="F8645" s="423">
        <v>1.33862319746283E-2</v>
      </c>
      <c r="G8645" s="422">
        <v>688.41740461801805</v>
      </c>
      <c r="H8645" s="417" t="s">
        <v>2616</v>
      </c>
      <c r="I8645" s="417" t="s">
        <v>1392</v>
      </c>
      <c r="J8645" s="417" t="s">
        <v>4549</v>
      </c>
      <c r="K8645" s="417" t="s">
        <v>19742</v>
      </c>
      <c r="L8645" s="417"/>
      <c r="M8645" s="417" t="s">
        <v>28840</v>
      </c>
    </row>
    <row r="8646" spans="1:13" x14ac:dyDescent="0.25">
      <c r="A8646" s="417" t="s">
        <v>3385</v>
      </c>
      <c r="B8646" s="417" t="s">
        <v>2623</v>
      </c>
      <c r="C8646" s="417" t="s">
        <v>19743</v>
      </c>
      <c r="D8646" s="417" t="s">
        <v>88</v>
      </c>
      <c r="E8646" s="423">
        <v>9.1303205620383195E-3</v>
      </c>
      <c r="F8646" s="423">
        <v>1.4508265251039799E-3</v>
      </c>
      <c r="G8646" s="422">
        <v>37.156773627987278</v>
      </c>
      <c r="H8646" s="417" t="s">
        <v>2616</v>
      </c>
      <c r="I8646" s="417" t="s">
        <v>1392</v>
      </c>
      <c r="J8646" s="417" t="s">
        <v>5849</v>
      </c>
      <c r="K8646" s="417" t="s">
        <v>19744</v>
      </c>
      <c r="L8646" s="417"/>
      <c r="M8646" s="417" t="s">
        <v>28840</v>
      </c>
    </row>
    <row r="8647" spans="1:13" x14ac:dyDescent="0.25">
      <c r="A8647" s="417" t="s">
        <v>3385</v>
      </c>
      <c r="B8647" s="417" t="s">
        <v>2627</v>
      </c>
      <c r="C8647" s="417" t="s">
        <v>19745</v>
      </c>
      <c r="D8647" s="417" t="s">
        <v>88</v>
      </c>
      <c r="E8647" s="423">
        <v>5.1815764350869972E-2</v>
      </c>
      <c r="F8647" s="423">
        <v>1.029174345627883E-3</v>
      </c>
      <c r="G8647" s="422">
        <v>386.33118664677528</v>
      </c>
      <c r="H8647" s="417" t="s">
        <v>2616</v>
      </c>
      <c r="I8647" s="417" t="s">
        <v>1392</v>
      </c>
      <c r="J8647" s="417" t="s">
        <v>4047</v>
      </c>
      <c r="K8647" s="417" t="s">
        <v>19746</v>
      </c>
      <c r="L8647" s="417"/>
      <c r="M8647" s="417" t="s">
        <v>28840</v>
      </c>
    </row>
    <row r="8648" spans="1:13" x14ac:dyDescent="0.25">
      <c r="A8648" s="417" t="s">
        <v>3385</v>
      </c>
      <c r="B8648" s="417" t="s">
        <v>2627</v>
      </c>
      <c r="C8648" s="417" t="s">
        <v>19747</v>
      </c>
      <c r="D8648" s="417" t="s">
        <v>88</v>
      </c>
      <c r="E8648" s="423">
        <v>3.7203492039492879E-2</v>
      </c>
      <c r="F8648" s="423">
        <v>9.5740762869769055E-4</v>
      </c>
      <c r="G8648" s="422">
        <v>246.0082252418749</v>
      </c>
      <c r="H8648" s="417" t="s">
        <v>2616</v>
      </c>
      <c r="I8648" s="417" t="s">
        <v>1392</v>
      </c>
      <c r="J8648" s="417" t="s">
        <v>4047</v>
      </c>
      <c r="K8648" s="417" t="s">
        <v>19748</v>
      </c>
      <c r="L8648" s="417"/>
      <c r="M8648" s="417" t="s">
        <v>28840</v>
      </c>
    </row>
    <row r="8649" spans="1:13" x14ac:dyDescent="0.25">
      <c r="A8649" s="417" t="s">
        <v>3385</v>
      </c>
      <c r="B8649" s="417" t="s">
        <v>2627</v>
      </c>
      <c r="C8649" s="417" t="s">
        <v>19749</v>
      </c>
      <c r="D8649" s="417" t="s">
        <v>88</v>
      </c>
      <c r="E8649" s="423">
        <v>28.204112143514919</v>
      </c>
      <c r="F8649" s="423">
        <v>3.3226562433885509</v>
      </c>
      <c r="G8649" s="422">
        <v>43591.213076879067</v>
      </c>
      <c r="H8649" s="417" t="s">
        <v>2616</v>
      </c>
      <c r="I8649" s="417" t="s">
        <v>1392</v>
      </c>
      <c r="J8649" s="417" t="s">
        <v>3396</v>
      </c>
      <c r="K8649" s="417" t="s">
        <v>19750</v>
      </c>
      <c r="L8649" s="417"/>
      <c r="M8649" s="417" t="s">
        <v>28840</v>
      </c>
    </row>
    <row r="8650" spans="1:13" x14ac:dyDescent="0.25">
      <c r="A8650" s="417" t="s">
        <v>3385</v>
      </c>
      <c r="B8650" s="417" t="s">
        <v>2627</v>
      </c>
      <c r="C8650" s="417" t="s">
        <v>19751</v>
      </c>
      <c r="D8650" s="417" t="s">
        <v>989</v>
      </c>
      <c r="E8650" s="423">
        <v>762.7423660336641</v>
      </c>
      <c r="F8650" s="423">
        <v>52.05475847857663</v>
      </c>
      <c r="G8650" s="422">
        <v>1671321.8518644699</v>
      </c>
      <c r="H8650" s="417" t="s">
        <v>2616</v>
      </c>
      <c r="I8650" s="417" t="s">
        <v>1392</v>
      </c>
      <c r="J8650" s="417" t="s">
        <v>7714</v>
      </c>
      <c r="K8650" s="417" t="s">
        <v>19752</v>
      </c>
      <c r="L8650" s="417"/>
      <c r="M8650" s="417" t="s">
        <v>28840</v>
      </c>
    </row>
    <row r="8651" spans="1:13" x14ac:dyDescent="0.25">
      <c r="A8651" s="417" t="s">
        <v>3385</v>
      </c>
      <c r="B8651" s="417" t="s">
        <v>2627</v>
      </c>
      <c r="C8651" s="417" t="s">
        <v>19753</v>
      </c>
      <c r="D8651" s="417" t="s">
        <v>83</v>
      </c>
      <c r="E8651" s="423">
        <v>0.16644948991608591</v>
      </c>
      <c r="F8651" s="423">
        <v>1.0318877207095281E-2</v>
      </c>
      <c r="G8651" s="422">
        <v>368.2585132746371</v>
      </c>
      <c r="H8651" s="417" t="s">
        <v>2616</v>
      </c>
      <c r="I8651" s="417" t="s">
        <v>1392</v>
      </c>
      <c r="J8651" s="417" t="s">
        <v>7714</v>
      </c>
      <c r="K8651" s="417" t="s">
        <v>19754</v>
      </c>
      <c r="L8651" s="417"/>
      <c r="M8651" s="417" t="s">
        <v>28840</v>
      </c>
    </row>
    <row r="8652" spans="1:13" x14ac:dyDescent="0.25">
      <c r="A8652" s="417" t="s">
        <v>3385</v>
      </c>
      <c r="B8652" s="417" t="s">
        <v>2627</v>
      </c>
      <c r="C8652" s="417" t="s">
        <v>19755</v>
      </c>
      <c r="D8652" s="417" t="s">
        <v>989</v>
      </c>
      <c r="E8652" s="423">
        <v>299.60589395020878</v>
      </c>
      <c r="F8652" s="423">
        <v>18.57392117097174</v>
      </c>
      <c r="G8652" s="422">
        <v>662860.91836264764</v>
      </c>
      <c r="H8652" s="417" t="s">
        <v>2616</v>
      </c>
      <c r="I8652" s="417" t="s">
        <v>1392</v>
      </c>
      <c r="J8652" s="417" t="s">
        <v>7714</v>
      </c>
      <c r="K8652" s="417" t="s">
        <v>19756</v>
      </c>
      <c r="L8652" s="417"/>
      <c r="M8652" s="417" t="s">
        <v>28840</v>
      </c>
    </row>
    <row r="8653" spans="1:13" x14ac:dyDescent="0.25">
      <c r="A8653" s="417" t="s">
        <v>3385</v>
      </c>
      <c r="B8653" s="417" t="s">
        <v>2627</v>
      </c>
      <c r="C8653" s="417" t="s">
        <v>19757</v>
      </c>
      <c r="D8653" s="417" t="s">
        <v>989</v>
      </c>
      <c r="E8653" s="423">
        <v>368.91582750739411</v>
      </c>
      <c r="F8653" s="423">
        <v>23.5143050787532</v>
      </c>
      <c r="G8653" s="422">
        <v>806066.55586975964</v>
      </c>
      <c r="H8653" s="417" t="s">
        <v>2616</v>
      </c>
      <c r="I8653" s="417" t="s">
        <v>1392</v>
      </c>
      <c r="J8653" s="417" t="s">
        <v>7714</v>
      </c>
      <c r="K8653" s="417" t="s">
        <v>19758</v>
      </c>
      <c r="L8653" s="417"/>
      <c r="M8653" s="417" t="s">
        <v>28840</v>
      </c>
    </row>
    <row r="8654" spans="1:13" x14ac:dyDescent="0.25">
      <c r="A8654" s="417" t="s">
        <v>3385</v>
      </c>
      <c r="B8654" s="417" t="s">
        <v>2627</v>
      </c>
      <c r="C8654" s="417" t="s">
        <v>19759</v>
      </c>
      <c r="D8654" s="417" t="s">
        <v>83</v>
      </c>
      <c r="E8654" s="423">
        <v>7.2951761946537644E-2</v>
      </c>
      <c r="F8654" s="423">
        <v>4.8269064260604566E-3</v>
      </c>
      <c r="G8654" s="422">
        <v>157.42853470562969</v>
      </c>
      <c r="H8654" s="417" t="s">
        <v>2616</v>
      </c>
      <c r="I8654" s="417" t="s">
        <v>1392</v>
      </c>
      <c r="J8654" s="417" t="s">
        <v>7714</v>
      </c>
      <c r="K8654" s="417" t="s">
        <v>19760</v>
      </c>
      <c r="L8654" s="417"/>
      <c r="M8654" s="417" t="s">
        <v>28840</v>
      </c>
    </row>
    <row r="8655" spans="1:13" x14ac:dyDescent="0.25">
      <c r="A8655" s="417" t="s">
        <v>3385</v>
      </c>
      <c r="B8655" s="417" t="s">
        <v>2627</v>
      </c>
      <c r="C8655" s="417" t="s">
        <v>19761</v>
      </c>
      <c r="D8655" s="417" t="s">
        <v>989</v>
      </c>
      <c r="E8655" s="423">
        <v>488.77488610634822</v>
      </c>
      <c r="F8655" s="423">
        <v>32.340083710670903</v>
      </c>
      <c r="G8655" s="422">
        <v>1054772.384518998</v>
      </c>
      <c r="H8655" s="417" t="s">
        <v>2616</v>
      </c>
      <c r="I8655" s="417" t="s">
        <v>1392</v>
      </c>
      <c r="J8655" s="417" t="s">
        <v>7714</v>
      </c>
      <c r="K8655" s="417" t="s">
        <v>19762</v>
      </c>
      <c r="L8655" s="417"/>
      <c r="M8655" s="417" t="s">
        <v>28840</v>
      </c>
    </row>
    <row r="8656" spans="1:13" x14ac:dyDescent="0.25">
      <c r="A8656" s="417" t="s">
        <v>3385</v>
      </c>
      <c r="B8656" s="417" t="s">
        <v>2627</v>
      </c>
      <c r="C8656" s="417" t="s">
        <v>19763</v>
      </c>
      <c r="D8656" s="417" t="s">
        <v>989</v>
      </c>
      <c r="E8656" s="423">
        <v>28.64043748227391</v>
      </c>
      <c r="F8656" s="423">
        <v>1.078680262898986</v>
      </c>
      <c r="G8656" s="422">
        <v>79129.262808737869</v>
      </c>
      <c r="H8656" s="417" t="s">
        <v>2616</v>
      </c>
      <c r="I8656" s="417" t="s">
        <v>1392</v>
      </c>
      <c r="J8656" s="417" t="s">
        <v>3667</v>
      </c>
      <c r="K8656" s="417" t="s">
        <v>19764</v>
      </c>
      <c r="L8656" s="417"/>
      <c r="M8656" s="417" t="s">
        <v>28840</v>
      </c>
    </row>
    <row r="8657" spans="1:13" x14ac:dyDescent="0.25">
      <c r="A8657" s="417" t="s">
        <v>3385</v>
      </c>
      <c r="B8657" s="417" t="s">
        <v>2627</v>
      </c>
      <c r="C8657" s="417" t="s">
        <v>19765</v>
      </c>
      <c r="D8657" s="417" t="s">
        <v>989</v>
      </c>
      <c r="E8657" s="423">
        <v>62.104938343646033</v>
      </c>
      <c r="F8657" s="423">
        <v>2.2898074173374892</v>
      </c>
      <c r="G8657" s="422">
        <v>143563.2950823782</v>
      </c>
      <c r="H8657" s="417" t="s">
        <v>2616</v>
      </c>
      <c r="I8657" s="417" t="s">
        <v>1392</v>
      </c>
      <c r="J8657" s="417" t="s">
        <v>3667</v>
      </c>
      <c r="K8657" s="417" t="s">
        <v>19766</v>
      </c>
      <c r="L8657" s="417"/>
      <c r="M8657" s="417" t="s">
        <v>28840</v>
      </c>
    </row>
    <row r="8658" spans="1:13" x14ac:dyDescent="0.25">
      <c r="A8658" s="417" t="s">
        <v>3385</v>
      </c>
      <c r="B8658" s="417" t="s">
        <v>2627</v>
      </c>
      <c r="C8658" s="417" t="s">
        <v>941</v>
      </c>
      <c r="D8658" s="417" t="s">
        <v>88</v>
      </c>
      <c r="E8658" s="423">
        <v>2.2592005561943639E-2</v>
      </c>
      <c r="F8658" s="423">
        <v>1.9925873071669059E-4</v>
      </c>
      <c r="G8658" s="422">
        <v>60.350592628376219</v>
      </c>
      <c r="H8658" s="417" t="s">
        <v>2616</v>
      </c>
      <c r="I8658" s="417" t="s">
        <v>28841</v>
      </c>
      <c r="J8658" s="417" t="s">
        <v>3742</v>
      </c>
      <c r="K8658" s="417" t="s">
        <v>19767</v>
      </c>
      <c r="L8658" s="417"/>
      <c r="M8658" s="417" t="s">
        <v>28840</v>
      </c>
    </row>
    <row r="8659" spans="1:13" x14ac:dyDescent="0.25">
      <c r="A8659" s="417" t="s">
        <v>3385</v>
      </c>
      <c r="B8659" s="417" t="s">
        <v>2627</v>
      </c>
      <c r="C8659" s="417" t="s">
        <v>19768</v>
      </c>
      <c r="D8659" s="417" t="s">
        <v>88</v>
      </c>
      <c r="E8659" s="423">
        <v>0.87536601486300125</v>
      </c>
      <c r="F8659" s="423">
        <v>3.180336851049044E-2</v>
      </c>
      <c r="G8659" s="422">
        <v>1536.97560433689</v>
      </c>
      <c r="H8659" s="417" t="s">
        <v>2616</v>
      </c>
      <c r="I8659" s="417" t="s">
        <v>1392</v>
      </c>
      <c r="J8659" s="417" t="s">
        <v>3619</v>
      </c>
      <c r="K8659" s="417" t="s">
        <v>19769</v>
      </c>
      <c r="L8659" s="417"/>
      <c r="M8659" s="417" t="s">
        <v>28840</v>
      </c>
    </row>
    <row r="8660" spans="1:13" x14ac:dyDescent="0.25">
      <c r="A8660" s="417" t="s">
        <v>3385</v>
      </c>
      <c r="B8660" s="417" t="s">
        <v>2627</v>
      </c>
      <c r="C8660" s="417" t="s">
        <v>19770</v>
      </c>
      <c r="D8660" s="417" t="s">
        <v>88</v>
      </c>
      <c r="E8660" s="423">
        <v>1.092806932949461</v>
      </c>
      <c r="F8660" s="423">
        <v>3.9703325248447108E-2</v>
      </c>
      <c r="G8660" s="422">
        <v>1918.760344383345</v>
      </c>
      <c r="H8660" s="417" t="s">
        <v>2616</v>
      </c>
      <c r="I8660" s="417" t="s">
        <v>1392</v>
      </c>
      <c r="J8660" s="417" t="s">
        <v>3619</v>
      </c>
      <c r="K8660" s="417" t="s">
        <v>19771</v>
      </c>
      <c r="L8660" s="417"/>
      <c r="M8660" s="417" t="s">
        <v>28840</v>
      </c>
    </row>
    <row r="8661" spans="1:13" x14ac:dyDescent="0.25">
      <c r="A8661" s="417" t="s">
        <v>3385</v>
      </c>
      <c r="B8661" s="417" t="s">
        <v>2627</v>
      </c>
      <c r="C8661" s="417" t="s">
        <v>19772</v>
      </c>
      <c r="D8661" s="417" t="s">
        <v>88</v>
      </c>
      <c r="E8661" s="423">
        <v>5.0758376995834418</v>
      </c>
      <c r="F8661" s="423">
        <v>0.37423396308103157</v>
      </c>
      <c r="G8661" s="422">
        <v>8623.1332189035911</v>
      </c>
      <c r="H8661" s="417" t="s">
        <v>2616</v>
      </c>
      <c r="I8661" s="417" t="s">
        <v>1392</v>
      </c>
      <c r="J8661" s="417" t="s">
        <v>3742</v>
      </c>
      <c r="K8661" s="417" t="s">
        <v>19773</v>
      </c>
      <c r="L8661" s="417"/>
      <c r="M8661" s="417" t="s">
        <v>28840</v>
      </c>
    </row>
    <row r="8662" spans="1:13" x14ac:dyDescent="0.25">
      <c r="A8662" s="417" t="s">
        <v>3385</v>
      </c>
      <c r="B8662" s="417" t="s">
        <v>3655</v>
      </c>
      <c r="C8662" s="417" t="s">
        <v>19774</v>
      </c>
      <c r="D8662" s="417" t="s">
        <v>88</v>
      </c>
      <c r="E8662" s="423">
        <v>0.53675193692067369</v>
      </c>
      <c r="F8662" s="423">
        <v>3.7627272275564783E-2</v>
      </c>
      <c r="G8662" s="422">
        <v>1163.6584241741309</v>
      </c>
      <c r="H8662" s="417" t="s">
        <v>2616</v>
      </c>
      <c r="I8662" s="417" t="s">
        <v>1392</v>
      </c>
      <c r="J8662" s="417" t="s">
        <v>19775</v>
      </c>
      <c r="K8662" s="417" t="s">
        <v>19776</v>
      </c>
      <c r="L8662" s="417"/>
      <c r="M8662" s="417" t="s">
        <v>28840</v>
      </c>
    </row>
    <row r="8663" spans="1:13" x14ac:dyDescent="0.25">
      <c r="A8663" s="417" t="s">
        <v>3385</v>
      </c>
      <c r="B8663" s="417" t="s">
        <v>2627</v>
      </c>
      <c r="C8663" s="417" t="s">
        <v>19777</v>
      </c>
      <c r="D8663" s="417" t="s">
        <v>88</v>
      </c>
      <c r="E8663" s="423">
        <v>1.4883205662056249</v>
      </c>
      <c r="F8663" s="423">
        <v>0.41858569281564872</v>
      </c>
      <c r="G8663" s="422">
        <v>2722.587592911937</v>
      </c>
      <c r="H8663" s="417" t="s">
        <v>2616</v>
      </c>
      <c r="I8663" s="417" t="s">
        <v>1392</v>
      </c>
      <c r="J8663" s="417" t="s">
        <v>3742</v>
      </c>
      <c r="K8663" s="417" t="s">
        <v>19778</v>
      </c>
      <c r="L8663" s="417"/>
      <c r="M8663" s="417" t="s">
        <v>28840</v>
      </c>
    </row>
    <row r="8664" spans="1:13" x14ac:dyDescent="0.25">
      <c r="A8664" s="417" t="s">
        <v>3385</v>
      </c>
      <c r="B8664" s="417" t="s">
        <v>2627</v>
      </c>
      <c r="C8664" s="417" t="s">
        <v>19779</v>
      </c>
      <c r="D8664" s="417" t="s">
        <v>88</v>
      </c>
      <c r="E8664" s="423">
        <v>66.05962042144327</v>
      </c>
      <c r="F8664" s="423">
        <v>2.437923561013696</v>
      </c>
      <c r="G8664" s="422">
        <v>86789.892304929701</v>
      </c>
      <c r="H8664" s="417" t="s">
        <v>2616</v>
      </c>
      <c r="I8664" s="417" t="s">
        <v>1392</v>
      </c>
      <c r="J8664" s="417" t="s">
        <v>3742</v>
      </c>
      <c r="K8664" s="417" t="s">
        <v>19780</v>
      </c>
      <c r="L8664" s="417"/>
      <c r="M8664" s="417" t="s">
        <v>28840</v>
      </c>
    </row>
    <row r="8665" spans="1:13" x14ac:dyDescent="0.25">
      <c r="A8665" s="417" t="s">
        <v>3385</v>
      </c>
      <c r="B8665" s="417" t="s">
        <v>2627</v>
      </c>
      <c r="C8665" s="417" t="s">
        <v>19781</v>
      </c>
      <c r="D8665" s="417" t="s">
        <v>88</v>
      </c>
      <c r="E8665" s="423">
        <v>109.4942516730338</v>
      </c>
      <c r="F8665" s="423">
        <v>4.9554386473233594</v>
      </c>
      <c r="G8665" s="422">
        <v>181333.22898400269</v>
      </c>
      <c r="H8665" s="417" t="s">
        <v>2616</v>
      </c>
      <c r="I8665" s="417" t="s">
        <v>1392</v>
      </c>
      <c r="J8665" s="417" t="s">
        <v>19782</v>
      </c>
      <c r="K8665" s="417" t="s">
        <v>19783</v>
      </c>
      <c r="L8665" s="417"/>
      <c r="M8665" s="417" t="s">
        <v>28840</v>
      </c>
    </row>
    <row r="8666" spans="1:13" x14ac:dyDescent="0.25">
      <c r="A8666" s="417" t="s">
        <v>3385</v>
      </c>
      <c r="B8666" s="417" t="s">
        <v>2627</v>
      </c>
      <c r="C8666" s="417" t="s">
        <v>19784</v>
      </c>
      <c r="D8666" s="417" t="s">
        <v>88</v>
      </c>
      <c r="E8666" s="423">
        <v>137.1443782196306</v>
      </c>
      <c r="F8666" s="423">
        <v>5.1787517798561771</v>
      </c>
      <c r="G8666" s="422">
        <v>191224.3331111318</v>
      </c>
      <c r="H8666" s="417" t="s">
        <v>2616</v>
      </c>
      <c r="I8666" s="417" t="s">
        <v>1392</v>
      </c>
      <c r="J8666" s="417" t="s">
        <v>19782</v>
      </c>
      <c r="K8666" s="417" t="s">
        <v>19785</v>
      </c>
      <c r="L8666" s="417"/>
      <c r="M8666" s="417" t="s">
        <v>28840</v>
      </c>
    </row>
    <row r="8667" spans="1:13" x14ac:dyDescent="0.25">
      <c r="A8667" s="417" t="s">
        <v>3385</v>
      </c>
      <c r="B8667" s="417" t="s">
        <v>2627</v>
      </c>
      <c r="C8667" s="417" t="s">
        <v>19786</v>
      </c>
      <c r="D8667" s="417" t="s">
        <v>88</v>
      </c>
      <c r="E8667" s="423">
        <v>91.849656525650232</v>
      </c>
      <c r="F8667" s="423">
        <v>2.7189386357899661</v>
      </c>
      <c r="G8667" s="422">
        <v>121846.6434429222</v>
      </c>
      <c r="H8667" s="417" t="s">
        <v>2616</v>
      </c>
      <c r="I8667" s="417" t="s">
        <v>1392</v>
      </c>
      <c r="J8667" s="417" t="s">
        <v>19782</v>
      </c>
      <c r="K8667" s="417" t="s">
        <v>19787</v>
      </c>
      <c r="L8667" s="417"/>
      <c r="M8667" s="417" t="s">
        <v>28840</v>
      </c>
    </row>
    <row r="8668" spans="1:13" x14ac:dyDescent="0.25">
      <c r="A8668" s="417" t="s">
        <v>3385</v>
      </c>
      <c r="B8668" s="417" t="s">
        <v>2627</v>
      </c>
      <c r="C8668" s="417" t="s">
        <v>19788</v>
      </c>
      <c r="D8668" s="417" t="s">
        <v>88</v>
      </c>
      <c r="E8668" s="423">
        <v>85.684816356055279</v>
      </c>
      <c r="F8668" s="423">
        <v>3.979918817722103</v>
      </c>
      <c r="G8668" s="422">
        <v>137932.92718948031</v>
      </c>
      <c r="H8668" s="417" t="s">
        <v>2616</v>
      </c>
      <c r="I8668" s="417" t="s">
        <v>1392</v>
      </c>
      <c r="J8668" s="417" t="s">
        <v>19782</v>
      </c>
      <c r="K8668" s="417" t="s">
        <v>19789</v>
      </c>
      <c r="L8668" s="417"/>
      <c r="M8668" s="417" t="s">
        <v>28840</v>
      </c>
    </row>
    <row r="8669" spans="1:13" x14ac:dyDescent="0.25">
      <c r="A8669" s="417" t="s">
        <v>3385</v>
      </c>
      <c r="B8669" s="417" t="s">
        <v>2627</v>
      </c>
      <c r="C8669" s="417" t="s">
        <v>19790</v>
      </c>
      <c r="D8669" s="417" t="s">
        <v>88</v>
      </c>
      <c r="E8669" s="423">
        <v>37.897277548731729</v>
      </c>
      <c r="F8669" s="423">
        <v>3.1009144434697768</v>
      </c>
      <c r="G8669" s="422">
        <v>61727.848621228048</v>
      </c>
      <c r="H8669" s="417" t="s">
        <v>2616</v>
      </c>
      <c r="I8669" s="417" t="s">
        <v>1392</v>
      </c>
      <c r="J8669" s="417" t="s">
        <v>19782</v>
      </c>
      <c r="K8669" s="417" t="s">
        <v>19791</v>
      </c>
      <c r="L8669" s="417"/>
      <c r="M8669" s="417" t="s">
        <v>28840</v>
      </c>
    </row>
    <row r="8670" spans="1:13" x14ac:dyDescent="0.25">
      <c r="A8670" s="417" t="s">
        <v>3385</v>
      </c>
      <c r="B8670" s="417" t="s">
        <v>2627</v>
      </c>
      <c r="C8670" s="417" t="s">
        <v>19792</v>
      </c>
      <c r="D8670" s="417" t="s">
        <v>88</v>
      </c>
      <c r="E8670" s="423">
        <v>46.612868312141472</v>
      </c>
      <c r="F8670" s="423">
        <v>3.1713049329255618</v>
      </c>
      <c r="G8670" s="422">
        <v>64845.621544504131</v>
      </c>
      <c r="H8670" s="417" t="s">
        <v>2616</v>
      </c>
      <c r="I8670" s="417" t="s">
        <v>1392</v>
      </c>
      <c r="J8670" s="417" t="s">
        <v>19782</v>
      </c>
      <c r="K8670" s="417" t="s">
        <v>19793</v>
      </c>
      <c r="L8670" s="417"/>
      <c r="M8670" s="417" t="s">
        <v>28840</v>
      </c>
    </row>
    <row r="8671" spans="1:13" x14ac:dyDescent="0.25">
      <c r="A8671" s="417" t="s">
        <v>3385</v>
      </c>
      <c r="B8671" s="417" t="s">
        <v>2627</v>
      </c>
      <c r="C8671" s="417" t="s">
        <v>19794</v>
      </c>
      <c r="D8671" s="417" t="s">
        <v>88</v>
      </c>
      <c r="E8671" s="423">
        <v>28.907043353194549</v>
      </c>
      <c r="F8671" s="423">
        <v>2.425609700209078</v>
      </c>
      <c r="G8671" s="422">
        <v>39052.815651169767</v>
      </c>
      <c r="H8671" s="417" t="s">
        <v>2616</v>
      </c>
      <c r="I8671" s="417" t="s">
        <v>1392</v>
      </c>
      <c r="J8671" s="417" t="s">
        <v>19782</v>
      </c>
      <c r="K8671" s="417" t="s">
        <v>19795</v>
      </c>
      <c r="L8671" s="417"/>
      <c r="M8671" s="417" t="s">
        <v>28840</v>
      </c>
    </row>
    <row r="8672" spans="1:13" x14ac:dyDescent="0.25">
      <c r="A8672" s="417" t="s">
        <v>3385</v>
      </c>
      <c r="B8672" s="417" t="s">
        <v>2627</v>
      </c>
      <c r="C8672" s="417" t="s">
        <v>19796</v>
      </c>
      <c r="D8672" s="417" t="s">
        <v>88</v>
      </c>
      <c r="E8672" s="423">
        <v>30.39231030210038</v>
      </c>
      <c r="F8672" s="423">
        <v>2.7934210411739531</v>
      </c>
      <c r="G8672" s="422">
        <v>48047.648358782149</v>
      </c>
      <c r="H8672" s="417" t="s">
        <v>2616</v>
      </c>
      <c r="I8672" s="417" t="s">
        <v>1392</v>
      </c>
      <c r="J8672" s="417" t="s">
        <v>19782</v>
      </c>
      <c r="K8672" s="417" t="s">
        <v>19797</v>
      </c>
      <c r="L8672" s="417"/>
      <c r="M8672" s="417" t="s">
        <v>28840</v>
      </c>
    </row>
    <row r="8673" spans="1:13" x14ac:dyDescent="0.25">
      <c r="A8673" s="417" t="s">
        <v>3385</v>
      </c>
      <c r="B8673" s="417" t="s">
        <v>2627</v>
      </c>
      <c r="C8673" s="417" t="s">
        <v>19798</v>
      </c>
      <c r="D8673" s="417" t="s">
        <v>88</v>
      </c>
      <c r="E8673" s="423">
        <v>46.951060674320267</v>
      </c>
      <c r="F8673" s="423">
        <v>3.8022022667681141</v>
      </c>
      <c r="G8673" s="422">
        <v>79341.54552632969</v>
      </c>
      <c r="H8673" s="417" t="s">
        <v>2616</v>
      </c>
      <c r="I8673" s="417" t="s">
        <v>1392</v>
      </c>
      <c r="J8673" s="417" t="s">
        <v>19782</v>
      </c>
      <c r="K8673" s="417" t="s">
        <v>19799</v>
      </c>
      <c r="L8673" s="417"/>
      <c r="M8673" s="417" t="s">
        <v>28840</v>
      </c>
    </row>
    <row r="8674" spans="1:13" x14ac:dyDescent="0.25">
      <c r="A8674" s="417" t="s">
        <v>3385</v>
      </c>
      <c r="B8674" s="417" t="s">
        <v>2627</v>
      </c>
      <c r="C8674" s="417" t="s">
        <v>19800</v>
      </c>
      <c r="D8674" s="417" t="s">
        <v>88</v>
      </c>
      <c r="E8674" s="423">
        <v>50.941281520903743</v>
      </c>
      <c r="F8674" s="423">
        <v>3.8826059485977908</v>
      </c>
      <c r="G8674" s="422">
        <v>76284.887139287952</v>
      </c>
      <c r="H8674" s="417" t="s">
        <v>2616</v>
      </c>
      <c r="I8674" s="417" t="s">
        <v>1392</v>
      </c>
      <c r="J8674" s="417" t="s">
        <v>19782</v>
      </c>
      <c r="K8674" s="417" t="s">
        <v>19801</v>
      </c>
      <c r="L8674" s="417"/>
      <c r="M8674" s="417" t="s">
        <v>28840</v>
      </c>
    </row>
    <row r="8675" spans="1:13" x14ac:dyDescent="0.25">
      <c r="A8675" s="417" t="s">
        <v>3385</v>
      </c>
      <c r="B8675" s="417" t="s">
        <v>2627</v>
      </c>
      <c r="C8675" s="417" t="s">
        <v>19802</v>
      </c>
      <c r="D8675" s="417" t="s">
        <v>88</v>
      </c>
      <c r="E8675" s="423">
        <v>31.913443181760758</v>
      </c>
      <c r="F8675" s="423">
        <v>4.4282014617055037</v>
      </c>
      <c r="G8675" s="422">
        <v>51444.891637228393</v>
      </c>
      <c r="H8675" s="417" t="s">
        <v>2616</v>
      </c>
      <c r="I8675" s="417" t="s">
        <v>1392</v>
      </c>
      <c r="J8675" s="417" t="s">
        <v>19782</v>
      </c>
      <c r="K8675" s="417" t="s">
        <v>19803</v>
      </c>
      <c r="L8675" s="417"/>
      <c r="M8675" s="417" t="s">
        <v>28840</v>
      </c>
    </row>
    <row r="8676" spans="1:13" x14ac:dyDescent="0.25">
      <c r="A8676" s="417" t="s">
        <v>3385</v>
      </c>
      <c r="B8676" s="417" t="s">
        <v>2627</v>
      </c>
      <c r="C8676" s="417" t="s">
        <v>19804</v>
      </c>
      <c r="D8676" s="417" t="s">
        <v>88</v>
      </c>
      <c r="E8676" s="423">
        <v>31.861085179941711</v>
      </c>
      <c r="F8676" s="423">
        <v>3.2970159093907001</v>
      </c>
      <c r="G8676" s="422">
        <v>53354.379487971542</v>
      </c>
      <c r="H8676" s="417" t="s">
        <v>2616</v>
      </c>
      <c r="I8676" s="417" t="s">
        <v>1392</v>
      </c>
      <c r="J8676" s="417" t="s">
        <v>19782</v>
      </c>
      <c r="K8676" s="417" t="s">
        <v>19805</v>
      </c>
      <c r="L8676" s="417"/>
      <c r="M8676" s="417" t="s">
        <v>28840</v>
      </c>
    </row>
    <row r="8677" spans="1:13" x14ac:dyDescent="0.25">
      <c r="A8677" s="417" t="s">
        <v>3385</v>
      </c>
      <c r="B8677" s="417" t="s">
        <v>2627</v>
      </c>
      <c r="C8677" s="417" t="s">
        <v>19806</v>
      </c>
      <c r="D8677" s="417" t="s">
        <v>88</v>
      </c>
      <c r="E8677" s="423">
        <v>42.326951417643272</v>
      </c>
      <c r="F8677" s="423">
        <v>3.457177879053106</v>
      </c>
      <c r="G8677" s="422">
        <v>69087.090341076415</v>
      </c>
      <c r="H8677" s="417" t="s">
        <v>2616</v>
      </c>
      <c r="I8677" s="417" t="s">
        <v>1392</v>
      </c>
      <c r="J8677" s="417" t="s">
        <v>19782</v>
      </c>
      <c r="K8677" s="417" t="s">
        <v>19807</v>
      </c>
      <c r="L8677" s="417"/>
      <c r="M8677" s="417" t="s">
        <v>28840</v>
      </c>
    </row>
    <row r="8678" spans="1:13" x14ac:dyDescent="0.25">
      <c r="A8678" s="417" t="s">
        <v>3385</v>
      </c>
      <c r="B8678" s="417" t="s">
        <v>2627</v>
      </c>
      <c r="C8678" s="417" t="s">
        <v>19808</v>
      </c>
      <c r="D8678" s="417" t="s">
        <v>88</v>
      </c>
      <c r="E8678" s="423">
        <v>45.210462704311247</v>
      </c>
      <c r="F8678" s="423">
        <v>3.5286433455222102</v>
      </c>
      <c r="G8678" s="422">
        <v>65589.318925308122</v>
      </c>
      <c r="H8678" s="417" t="s">
        <v>2616</v>
      </c>
      <c r="I8678" s="417" t="s">
        <v>1392</v>
      </c>
      <c r="J8678" s="417" t="s">
        <v>19782</v>
      </c>
      <c r="K8678" s="417" t="s">
        <v>19809</v>
      </c>
      <c r="L8678" s="417"/>
      <c r="M8678" s="417" t="s">
        <v>28840</v>
      </c>
    </row>
    <row r="8679" spans="1:13" x14ac:dyDescent="0.25">
      <c r="A8679" s="417" t="s">
        <v>3385</v>
      </c>
      <c r="B8679" s="417" t="s">
        <v>2627</v>
      </c>
      <c r="C8679" s="417" t="s">
        <v>19810</v>
      </c>
      <c r="D8679" s="417" t="s">
        <v>88</v>
      </c>
      <c r="E8679" s="423">
        <v>29.280509541502159</v>
      </c>
      <c r="F8679" s="423">
        <v>3.9475124467670142</v>
      </c>
      <c r="G8679" s="422">
        <v>43578.137692956203</v>
      </c>
      <c r="H8679" s="417" t="s">
        <v>2616</v>
      </c>
      <c r="I8679" s="417" t="s">
        <v>1392</v>
      </c>
      <c r="J8679" s="417" t="s">
        <v>19782</v>
      </c>
      <c r="K8679" s="417" t="s">
        <v>19811</v>
      </c>
      <c r="L8679" s="417"/>
      <c r="M8679" s="417" t="s">
        <v>28840</v>
      </c>
    </row>
    <row r="8680" spans="1:13" x14ac:dyDescent="0.25">
      <c r="A8680" s="417" t="s">
        <v>3385</v>
      </c>
      <c r="B8680" s="417" t="s">
        <v>2627</v>
      </c>
      <c r="C8680" s="417" t="s">
        <v>19812</v>
      </c>
      <c r="D8680" s="417" t="s">
        <v>88</v>
      </c>
      <c r="E8680" s="423">
        <v>28.18995997768031</v>
      </c>
      <c r="F8680" s="423">
        <v>2.9910371690472761</v>
      </c>
      <c r="G8680" s="422">
        <v>44802.198321463889</v>
      </c>
      <c r="H8680" s="417" t="s">
        <v>2616</v>
      </c>
      <c r="I8680" s="417" t="s">
        <v>1392</v>
      </c>
      <c r="J8680" s="417" t="s">
        <v>19782</v>
      </c>
      <c r="K8680" s="417" t="s">
        <v>19813</v>
      </c>
      <c r="L8680" s="417"/>
      <c r="M8680" s="417" t="s">
        <v>28840</v>
      </c>
    </row>
    <row r="8681" spans="1:13" x14ac:dyDescent="0.25">
      <c r="A8681" s="417" t="s">
        <v>3385</v>
      </c>
      <c r="B8681" s="417" t="s">
        <v>2627</v>
      </c>
      <c r="C8681" s="417" t="s">
        <v>19814</v>
      </c>
      <c r="D8681" s="417" t="s">
        <v>88</v>
      </c>
      <c r="E8681" s="423">
        <v>36.232500822830843</v>
      </c>
      <c r="F8681" s="423">
        <v>3.1866486560034541</v>
      </c>
      <c r="G8681" s="422">
        <v>57201.091503478681</v>
      </c>
      <c r="H8681" s="417" t="s">
        <v>2616</v>
      </c>
      <c r="I8681" s="417" t="s">
        <v>1392</v>
      </c>
      <c r="J8681" s="417" t="s">
        <v>19782</v>
      </c>
      <c r="K8681" s="417" t="s">
        <v>19815</v>
      </c>
      <c r="L8681" s="417"/>
      <c r="M8681" s="417" t="s">
        <v>28840</v>
      </c>
    </row>
    <row r="8682" spans="1:13" x14ac:dyDescent="0.25">
      <c r="A8682" s="417" t="s">
        <v>3385</v>
      </c>
      <c r="B8682" s="417" t="s">
        <v>2627</v>
      </c>
      <c r="C8682" s="417" t="s">
        <v>19816</v>
      </c>
      <c r="D8682" s="417" t="s">
        <v>88</v>
      </c>
      <c r="E8682" s="423">
        <v>42.940741781757623</v>
      </c>
      <c r="F8682" s="423">
        <v>3.2408270064385092</v>
      </c>
      <c r="G8682" s="422">
        <v>59600.787923679003</v>
      </c>
      <c r="H8682" s="417" t="s">
        <v>2616</v>
      </c>
      <c r="I8682" s="417" t="s">
        <v>1392</v>
      </c>
      <c r="J8682" s="417" t="s">
        <v>19782</v>
      </c>
      <c r="K8682" s="417" t="s">
        <v>19817</v>
      </c>
      <c r="L8682" s="417"/>
      <c r="M8682" s="417" t="s">
        <v>28840</v>
      </c>
    </row>
    <row r="8683" spans="1:13" x14ac:dyDescent="0.25">
      <c r="A8683" s="417" t="s">
        <v>3385</v>
      </c>
      <c r="B8683" s="417" t="s">
        <v>2627</v>
      </c>
      <c r="C8683" s="417" t="s">
        <v>19818</v>
      </c>
      <c r="D8683" s="417" t="s">
        <v>88</v>
      </c>
      <c r="E8683" s="423">
        <v>19.729832904387202</v>
      </c>
      <c r="F8683" s="423">
        <v>2.6727225825365308</v>
      </c>
      <c r="G8683" s="422">
        <v>28221.841984118601</v>
      </c>
      <c r="H8683" s="417" t="s">
        <v>2616</v>
      </c>
      <c r="I8683" s="417" t="s">
        <v>1392</v>
      </c>
      <c r="J8683" s="417" t="s">
        <v>19782</v>
      </c>
      <c r="K8683" s="417" t="s">
        <v>19819</v>
      </c>
      <c r="L8683" s="417"/>
      <c r="M8683" s="417" t="s">
        <v>28840</v>
      </c>
    </row>
    <row r="8684" spans="1:13" x14ac:dyDescent="0.25">
      <c r="A8684" s="417" t="s">
        <v>3385</v>
      </c>
      <c r="B8684" s="417" t="s">
        <v>2627</v>
      </c>
      <c r="C8684" s="417" t="s">
        <v>19820</v>
      </c>
      <c r="D8684" s="417" t="s">
        <v>88</v>
      </c>
      <c r="E8684" s="423">
        <v>30.456056028914151</v>
      </c>
      <c r="F8684" s="423">
        <v>2.949976241110277</v>
      </c>
      <c r="G8684" s="422">
        <v>46671.675561516073</v>
      </c>
      <c r="H8684" s="417" t="s">
        <v>2616</v>
      </c>
      <c r="I8684" s="417" t="s">
        <v>1392</v>
      </c>
      <c r="J8684" s="417" t="s">
        <v>19782</v>
      </c>
      <c r="K8684" s="417" t="s">
        <v>19821</v>
      </c>
      <c r="L8684" s="417"/>
      <c r="M8684" s="417" t="s">
        <v>28840</v>
      </c>
    </row>
    <row r="8685" spans="1:13" x14ac:dyDescent="0.25">
      <c r="A8685" s="417" t="s">
        <v>3385</v>
      </c>
      <c r="B8685" s="417" t="s">
        <v>2627</v>
      </c>
      <c r="C8685" s="417" t="s">
        <v>19822</v>
      </c>
      <c r="D8685" s="417" t="s">
        <v>88</v>
      </c>
      <c r="E8685" s="423">
        <v>42.314161802354768</v>
      </c>
      <c r="F8685" s="423">
        <v>3.4559282284135389</v>
      </c>
      <c r="G8685" s="422">
        <v>69060.983903131157</v>
      </c>
      <c r="H8685" s="417" t="s">
        <v>2616</v>
      </c>
      <c r="I8685" s="417" t="s">
        <v>1392</v>
      </c>
      <c r="J8685" s="417" t="s">
        <v>19782</v>
      </c>
      <c r="K8685" s="417" t="s">
        <v>19823</v>
      </c>
      <c r="L8685" s="417"/>
      <c r="M8685" s="417" t="s">
        <v>28840</v>
      </c>
    </row>
    <row r="8686" spans="1:13" x14ac:dyDescent="0.25">
      <c r="A8686" s="417" t="s">
        <v>3385</v>
      </c>
      <c r="B8686" s="417" t="s">
        <v>2627</v>
      </c>
      <c r="C8686" s="417" t="s">
        <v>19824</v>
      </c>
      <c r="D8686" s="417" t="s">
        <v>88</v>
      </c>
      <c r="E8686" s="423">
        <v>52.026328747862017</v>
      </c>
      <c r="F8686" s="423">
        <v>3.5343674582161322</v>
      </c>
      <c r="G8686" s="422">
        <v>72535.255784755806</v>
      </c>
      <c r="H8686" s="417" t="s">
        <v>2616</v>
      </c>
      <c r="I8686" s="417" t="s">
        <v>1392</v>
      </c>
      <c r="J8686" s="417" t="s">
        <v>19782</v>
      </c>
      <c r="K8686" s="417" t="s">
        <v>19825</v>
      </c>
      <c r="L8686" s="417"/>
      <c r="M8686" s="417" t="s">
        <v>28840</v>
      </c>
    </row>
    <row r="8687" spans="1:13" x14ac:dyDescent="0.25">
      <c r="A8687" s="417" t="s">
        <v>3385</v>
      </c>
      <c r="B8687" s="417" t="s">
        <v>2627</v>
      </c>
      <c r="C8687" s="417" t="s">
        <v>19826</v>
      </c>
      <c r="D8687" s="417" t="s">
        <v>88</v>
      </c>
      <c r="E8687" s="423">
        <v>29.267719941826851</v>
      </c>
      <c r="F8687" s="423">
        <v>3.946262799725377</v>
      </c>
      <c r="G8687" s="422">
        <v>43552.031303836338</v>
      </c>
      <c r="H8687" s="417" t="s">
        <v>2616</v>
      </c>
      <c r="I8687" s="417" t="s">
        <v>1392</v>
      </c>
      <c r="J8687" s="417" t="s">
        <v>19782</v>
      </c>
      <c r="K8687" s="417" t="s">
        <v>19827</v>
      </c>
      <c r="L8687" s="417"/>
      <c r="M8687" s="417" t="s">
        <v>28840</v>
      </c>
    </row>
    <row r="8688" spans="1:13" x14ac:dyDescent="0.25">
      <c r="A8688" s="417" t="s">
        <v>3385</v>
      </c>
      <c r="B8688" s="417" t="s">
        <v>2627</v>
      </c>
      <c r="C8688" s="417" t="s">
        <v>19828</v>
      </c>
      <c r="D8688" s="417" t="s">
        <v>88</v>
      </c>
      <c r="E8688" s="423">
        <v>28.177170362856749</v>
      </c>
      <c r="F8688" s="423">
        <v>2.989787518605036</v>
      </c>
      <c r="G8688" s="422">
        <v>44776.09188692928</v>
      </c>
      <c r="H8688" s="417" t="s">
        <v>2616</v>
      </c>
      <c r="I8688" s="417" t="s">
        <v>1392</v>
      </c>
      <c r="J8688" s="417" t="s">
        <v>19782</v>
      </c>
      <c r="K8688" s="417" t="s">
        <v>19829</v>
      </c>
      <c r="L8688" s="417"/>
      <c r="M8688" s="417" t="s">
        <v>28840</v>
      </c>
    </row>
    <row r="8689" spans="1:13" x14ac:dyDescent="0.25">
      <c r="A8689" s="417" t="s">
        <v>3385</v>
      </c>
      <c r="B8689" s="417" t="s">
        <v>2627</v>
      </c>
      <c r="C8689" s="417" t="s">
        <v>19830</v>
      </c>
      <c r="D8689" s="417" t="s">
        <v>989</v>
      </c>
      <c r="E8689" s="423">
        <v>958503595.0202564</v>
      </c>
      <c r="F8689" s="423">
        <v>217173221.36784431</v>
      </c>
      <c r="G8689" s="422">
        <v>2365861412844.4692</v>
      </c>
      <c r="H8689" s="417" t="s">
        <v>2616</v>
      </c>
      <c r="I8689" s="417" t="s">
        <v>1392</v>
      </c>
      <c r="J8689" s="417" t="s">
        <v>19831</v>
      </c>
      <c r="K8689" s="417" t="s">
        <v>19832</v>
      </c>
      <c r="L8689" s="417"/>
      <c r="M8689" s="417" t="s">
        <v>28840</v>
      </c>
    </row>
    <row r="8690" spans="1:13" x14ac:dyDescent="0.25">
      <c r="A8690" s="417" t="s">
        <v>3385</v>
      </c>
      <c r="B8690" s="417" t="s">
        <v>2627</v>
      </c>
      <c r="C8690" s="417" t="s">
        <v>19833</v>
      </c>
      <c r="D8690" s="417" t="s">
        <v>88</v>
      </c>
      <c r="E8690" s="423">
        <v>1.014271392860556</v>
      </c>
      <c r="F8690" s="423">
        <v>4.4192127327101302E-2</v>
      </c>
      <c r="G8690" s="422">
        <v>1811.469041281551</v>
      </c>
      <c r="H8690" s="417" t="s">
        <v>2616</v>
      </c>
      <c r="I8690" s="417" t="s">
        <v>1392</v>
      </c>
      <c r="J8690" s="417" t="s">
        <v>3619</v>
      </c>
      <c r="K8690" s="417" t="s">
        <v>19834</v>
      </c>
      <c r="L8690" s="417"/>
      <c r="M8690" s="417" t="s">
        <v>28840</v>
      </c>
    </row>
    <row r="8691" spans="1:13" x14ac:dyDescent="0.25">
      <c r="A8691" s="417" t="s">
        <v>3385</v>
      </c>
      <c r="B8691" s="417" t="s">
        <v>2627</v>
      </c>
      <c r="C8691" s="417" t="s">
        <v>19835</v>
      </c>
      <c r="D8691" s="417" t="s">
        <v>88</v>
      </c>
      <c r="E8691" s="423">
        <v>1.1533280046707159</v>
      </c>
      <c r="F8691" s="423">
        <v>5.0250868223775967E-2</v>
      </c>
      <c r="G8691" s="422">
        <v>2059.821454937708</v>
      </c>
      <c r="H8691" s="417" t="s">
        <v>2616</v>
      </c>
      <c r="I8691" s="417" t="s">
        <v>1392</v>
      </c>
      <c r="J8691" s="417" t="s">
        <v>3619</v>
      </c>
      <c r="K8691" s="417" t="s">
        <v>19836</v>
      </c>
      <c r="L8691" s="417"/>
      <c r="M8691" s="417" t="s">
        <v>28840</v>
      </c>
    </row>
    <row r="8692" spans="1:13" x14ac:dyDescent="0.25">
      <c r="A8692" s="417" t="s">
        <v>3385</v>
      </c>
      <c r="B8692" s="417" t="s">
        <v>2627</v>
      </c>
      <c r="C8692" s="417" t="s">
        <v>981</v>
      </c>
      <c r="D8692" s="417" t="s">
        <v>88</v>
      </c>
      <c r="E8692" s="423">
        <v>2.7924226739733071</v>
      </c>
      <c r="F8692" s="423">
        <v>0.2461521982268717</v>
      </c>
      <c r="G8692" s="422">
        <v>4603.9227270828496</v>
      </c>
      <c r="H8692" s="417" t="s">
        <v>2616</v>
      </c>
      <c r="I8692" s="417" t="s">
        <v>28841</v>
      </c>
      <c r="J8692" s="417" t="s">
        <v>3742</v>
      </c>
      <c r="K8692" s="417" t="s">
        <v>19837</v>
      </c>
      <c r="L8692" s="417"/>
      <c r="M8692" s="417" t="s">
        <v>28840</v>
      </c>
    </row>
    <row r="8693" spans="1:13" x14ac:dyDescent="0.25">
      <c r="A8693" s="417" t="s">
        <v>3385</v>
      </c>
      <c r="B8693" s="417" t="s">
        <v>2627</v>
      </c>
      <c r="C8693" s="417" t="s">
        <v>1108</v>
      </c>
      <c r="D8693" s="417" t="s">
        <v>88</v>
      </c>
      <c r="E8693" s="423">
        <v>116.0405841304249</v>
      </c>
      <c r="F8693" s="423">
        <v>4.0257523391669459</v>
      </c>
      <c r="G8693" s="422">
        <v>1548902.4348299999</v>
      </c>
      <c r="H8693" s="417" t="s">
        <v>2616</v>
      </c>
      <c r="I8693" s="417" t="s">
        <v>28841</v>
      </c>
      <c r="J8693" s="417" t="s">
        <v>3915</v>
      </c>
      <c r="K8693" s="417" t="s">
        <v>19838</v>
      </c>
      <c r="L8693" s="417"/>
      <c r="M8693" s="417" t="s">
        <v>28840</v>
      </c>
    </row>
    <row r="8694" spans="1:13" x14ac:dyDescent="0.25">
      <c r="A8694" s="417" t="s">
        <v>3385</v>
      </c>
      <c r="B8694" s="417" t="s">
        <v>2627</v>
      </c>
      <c r="C8694" s="417" t="s">
        <v>19839</v>
      </c>
      <c r="D8694" s="417" t="s">
        <v>88</v>
      </c>
      <c r="E8694" s="423">
        <v>939.9396146644674</v>
      </c>
      <c r="F8694" s="423">
        <v>40.747848993240773</v>
      </c>
      <c r="G8694" s="422">
        <v>3183983.7770249238</v>
      </c>
      <c r="H8694" s="417" t="s">
        <v>2616</v>
      </c>
      <c r="I8694" s="417" t="s">
        <v>1392</v>
      </c>
      <c r="J8694" s="417" t="s">
        <v>3915</v>
      </c>
      <c r="K8694" s="417" t="s">
        <v>19840</v>
      </c>
      <c r="L8694" s="417"/>
      <c r="M8694" s="417" t="s">
        <v>28840</v>
      </c>
    </row>
    <row r="8695" spans="1:13" x14ac:dyDescent="0.25">
      <c r="A8695" s="417" t="s">
        <v>3385</v>
      </c>
      <c r="B8695" s="417" t="s">
        <v>2627</v>
      </c>
      <c r="C8695" s="417" t="s">
        <v>19841</v>
      </c>
      <c r="D8695" s="417" t="s">
        <v>88</v>
      </c>
      <c r="E8695" s="423">
        <v>508.7002554964966</v>
      </c>
      <c r="F8695" s="423">
        <v>20.513059593948839</v>
      </c>
      <c r="G8695" s="422">
        <v>2477081.4357796558</v>
      </c>
      <c r="H8695" s="417" t="s">
        <v>2616</v>
      </c>
      <c r="I8695" s="417" t="s">
        <v>1392</v>
      </c>
      <c r="J8695" s="417" t="s">
        <v>3915</v>
      </c>
      <c r="K8695" s="417" t="s">
        <v>19842</v>
      </c>
      <c r="L8695" s="417"/>
      <c r="M8695" s="417" t="s">
        <v>28840</v>
      </c>
    </row>
    <row r="8696" spans="1:13" x14ac:dyDescent="0.25">
      <c r="A8696" s="417" t="s">
        <v>3385</v>
      </c>
      <c r="B8696" s="417" t="s">
        <v>2627</v>
      </c>
      <c r="C8696" s="417" t="s">
        <v>19843</v>
      </c>
      <c r="D8696" s="417" t="s">
        <v>88</v>
      </c>
      <c r="E8696" s="423">
        <v>113.0555290272741</v>
      </c>
      <c r="F8696" s="423">
        <v>8.0481039970887398</v>
      </c>
      <c r="G8696" s="422">
        <v>1927073.9841669849</v>
      </c>
      <c r="H8696" s="417" t="s">
        <v>2616</v>
      </c>
      <c r="I8696" s="417" t="s">
        <v>1392</v>
      </c>
      <c r="J8696" s="417" t="s">
        <v>3915</v>
      </c>
      <c r="K8696" s="417" t="s">
        <v>19844</v>
      </c>
      <c r="L8696" s="417"/>
      <c r="M8696" s="417" t="s">
        <v>28840</v>
      </c>
    </row>
    <row r="8697" spans="1:13" x14ac:dyDescent="0.25">
      <c r="A8697" s="417" t="s">
        <v>3385</v>
      </c>
      <c r="B8697" s="417" t="s">
        <v>2627</v>
      </c>
      <c r="C8697" s="417" t="s">
        <v>19845</v>
      </c>
      <c r="D8697" s="417" t="s">
        <v>88</v>
      </c>
      <c r="E8697" s="423">
        <v>958.78578074905045</v>
      </c>
      <c r="F8697" s="423">
        <v>17.21548580199827</v>
      </c>
      <c r="G8697" s="422">
        <v>2971782.395126923</v>
      </c>
      <c r="H8697" s="417" t="s">
        <v>2616</v>
      </c>
      <c r="I8697" s="417" t="s">
        <v>1392</v>
      </c>
      <c r="J8697" s="417" t="s">
        <v>3915</v>
      </c>
      <c r="K8697" s="417" t="s">
        <v>19846</v>
      </c>
      <c r="L8697" s="417"/>
      <c r="M8697" s="417" t="s">
        <v>28840</v>
      </c>
    </row>
    <row r="8698" spans="1:13" x14ac:dyDescent="0.25">
      <c r="A8698" s="417" t="s">
        <v>3385</v>
      </c>
      <c r="B8698" s="417" t="s">
        <v>2627</v>
      </c>
      <c r="C8698" s="417" t="s">
        <v>19847</v>
      </c>
      <c r="D8698" s="417" t="s">
        <v>88</v>
      </c>
      <c r="E8698" s="423">
        <v>51.292159998081978</v>
      </c>
      <c r="F8698" s="423">
        <v>9.5558718567996017</v>
      </c>
      <c r="G8698" s="422">
        <v>1674454.2761460759</v>
      </c>
      <c r="H8698" s="417" t="s">
        <v>2616</v>
      </c>
      <c r="I8698" s="417" t="s">
        <v>1392</v>
      </c>
      <c r="J8698" s="417" t="s">
        <v>3915</v>
      </c>
      <c r="K8698" s="417" t="s">
        <v>19848</v>
      </c>
      <c r="L8698" s="417"/>
      <c r="M8698" s="417" t="s">
        <v>28840</v>
      </c>
    </row>
    <row r="8699" spans="1:13" x14ac:dyDescent="0.25">
      <c r="A8699" s="417" t="s">
        <v>3385</v>
      </c>
      <c r="B8699" s="417" t="s">
        <v>2627</v>
      </c>
      <c r="C8699" s="417" t="s">
        <v>19849</v>
      </c>
      <c r="D8699" s="417" t="s">
        <v>88</v>
      </c>
      <c r="E8699" s="423">
        <v>140.5606423176051</v>
      </c>
      <c r="F8699" s="423">
        <v>11.03817596107324</v>
      </c>
      <c r="G8699" s="422">
        <v>1897209.1440007279</v>
      </c>
      <c r="H8699" s="417" t="s">
        <v>2616</v>
      </c>
      <c r="I8699" s="417" t="s">
        <v>1392</v>
      </c>
      <c r="J8699" s="417" t="s">
        <v>3915</v>
      </c>
      <c r="K8699" s="417" t="s">
        <v>19850</v>
      </c>
      <c r="L8699" s="417"/>
      <c r="M8699" s="417" t="s">
        <v>28840</v>
      </c>
    </row>
    <row r="8700" spans="1:13" x14ac:dyDescent="0.25">
      <c r="A8700" s="417" t="s">
        <v>3385</v>
      </c>
      <c r="B8700" s="417" t="s">
        <v>2627</v>
      </c>
      <c r="C8700" s="417" t="s">
        <v>19851</v>
      </c>
      <c r="D8700" s="417" t="s">
        <v>88</v>
      </c>
      <c r="E8700" s="423">
        <v>16.978159693153799</v>
      </c>
      <c r="F8700" s="423">
        <v>0.98006385587676925</v>
      </c>
      <c r="G8700" s="422">
        <v>2349612.8052805709</v>
      </c>
      <c r="H8700" s="417" t="s">
        <v>2616</v>
      </c>
      <c r="I8700" s="417" t="s">
        <v>1392</v>
      </c>
      <c r="J8700" s="417" t="s">
        <v>3915</v>
      </c>
      <c r="K8700" s="417" t="s">
        <v>19852</v>
      </c>
      <c r="L8700" s="417"/>
      <c r="M8700" s="417" t="s">
        <v>28840</v>
      </c>
    </row>
    <row r="8701" spans="1:13" x14ac:dyDescent="0.25">
      <c r="A8701" s="417" t="s">
        <v>3385</v>
      </c>
      <c r="B8701" s="417" t="s">
        <v>2627</v>
      </c>
      <c r="C8701" s="417" t="s">
        <v>19853</v>
      </c>
      <c r="D8701" s="417" t="s">
        <v>88</v>
      </c>
      <c r="E8701" s="423">
        <v>49.501932723256949</v>
      </c>
      <c r="F8701" s="423">
        <v>2.219058835651921</v>
      </c>
      <c r="G8701" s="422">
        <v>1713049.425322741</v>
      </c>
      <c r="H8701" s="417" t="s">
        <v>2616</v>
      </c>
      <c r="I8701" s="417" t="s">
        <v>1392</v>
      </c>
      <c r="J8701" s="417" t="s">
        <v>3915</v>
      </c>
      <c r="K8701" s="417" t="s">
        <v>19854</v>
      </c>
      <c r="L8701" s="417"/>
      <c r="M8701" s="417" t="s">
        <v>28840</v>
      </c>
    </row>
    <row r="8702" spans="1:13" x14ac:dyDescent="0.25">
      <c r="A8702" s="417" t="s">
        <v>3385</v>
      </c>
      <c r="B8702" s="417" t="s">
        <v>2627</v>
      </c>
      <c r="C8702" s="417" t="s">
        <v>19855</v>
      </c>
      <c r="D8702" s="417" t="s">
        <v>88</v>
      </c>
      <c r="E8702" s="423">
        <v>15.7092593872864</v>
      </c>
      <c r="F8702" s="423">
        <v>0.18156589478482721</v>
      </c>
      <c r="G8702" s="422">
        <v>41821.88527208539</v>
      </c>
      <c r="H8702" s="417" t="s">
        <v>2616</v>
      </c>
      <c r="I8702" s="417" t="s">
        <v>1392</v>
      </c>
      <c r="J8702" s="417" t="s">
        <v>3915</v>
      </c>
      <c r="K8702" s="417" t="s">
        <v>19856</v>
      </c>
      <c r="L8702" s="417"/>
      <c r="M8702" s="417" t="s">
        <v>28840</v>
      </c>
    </row>
    <row r="8703" spans="1:13" x14ac:dyDescent="0.25">
      <c r="A8703" s="417" t="s">
        <v>3385</v>
      </c>
      <c r="B8703" s="417" t="s">
        <v>2627</v>
      </c>
      <c r="C8703" s="417" t="s">
        <v>19857</v>
      </c>
      <c r="D8703" s="417" t="s">
        <v>563</v>
      </c>
      <c r="E8703" s="423">
        <v>211.71149097656291</v>
      </c>
      <c r="F8703" s="423">
        <v>12.1613328489826</v>
      </c>
      <c r="G8703" s="422">
        <v>359460.53509409941</v>
      </c>
      <c r="H8703" s="417" t="s">
        <v>2616</v>
      </c>
      <c r="I8703" s="417" t="s">
        <v>1392</v>
      </c>
      <c r="J8703" s="417" t="s">
        <v>5692</v>
      </c>
      <c r="K8703" s="417" t="s">
        <v>19858</v>
      </c>
      <c r="L8703" s="417"/>
      <c r="M8703" s="417" t="s">
        <v>28840</v>
      </c>
    </row>
    <row r="8704" spans="1:13" x14ac:dyDescent="0.25">
      <c r="A8704" s="417" t="s">
        <v>3385</v>
      </c>
      <c r="B8704" s="417" t="s">
        <v>2627</v>
      </c>
      <c r="C8704" s="417" t="s">
        <v>19859</v>
      </c>
      <c r="D8704" s="417" t="s">
        <v>563</v>
      </c>
      <c r="E8704" s="423">
        <v>45.259414486224642</v>
      </c>
      <c r="F8704" s="423">
        <v>3.2778128248643328</v>
      </c>
      <c r="G8704" s="422">
        <v>107105.6997383374</v>
      </c>
      <c r="H8704" s="417" t="s">
        <v>2616</v>
      </c>
      <c r="I8704" s="417" t="s">
        <v>1392</v>
      </c>
      <c r="J8704" s="417" t="s">
        <v>3433</v>
      </c>
      <c r="K8704" s="417" t="s">
        <v>19860</v>
      </c>
      <c r="L8704" s="417"/>
      <c r="M8704" s="417" t="s">
        <v>28840</v>
      </c>
    </row>
    <row r="8705" spans="1:13" x14ac:dyDescent="0.25">
      <c r="A8705" s="417" t="s">
        <v>3385</v>
      </c>
      <c r="B8705" s="417" t="s">
        <v>2627</v>
      </c>
      <c r="C8705" s="417" t="s">
        <v>19861</v>
      </c>
      <c r="D8705" s="417" t="s">
        <v>563</v>
      </c>
      <c r="E8705" s="423">
        <v>50.738552321615508</v>
      </c>
      <c r="F8705" s="423">
        <v>3.3506376500712589</v>
      </c>
      <c r="G8705" s="422">
        <v>97881.401826419824</v>
      </c>
      <c r="H8705" s="417" t="s">
        <v>2616</v>
      </c>
      <c r="I8705" s="417" t="s">
        <v>1392</v>
      </c>
      <c r="J8705" s="417" t="s">
        <v>3433</v>
      </c>
      <c r="K8705" s="417" t="s">
        <v>19862</v>
      </c>
      <c r="L8705" s="417"/>
      <c r="M8705" s="417" t="s">
        <v>28840</v>
      </c>
    </row>
    <row r="8706" spans="1:13" x14ac:dyDescent="0.25">
      <c r="A8706" s="417" t="s">
        <v>3385</v>
      </c>
      <c r="B8706" s="417" t="s">
        <v>2627</v>
      </c>
      <c r="C8706" s="417" t="s">
        <v>19863</v>
      </c>
      <c r="D8706" s="417" t="s">
        <v>563</v>
      </c>
      <c r="E8706" s="423">
        <v>30.696716778663511</v>
      </c>
      <c r="F8706" s="423">
        <v>4.0319344380195092</v>
      </c>
      <c r="G8706" s="422">
        <v>75138.385590469217</v>
      </c>
      <c r="H8706" s="417" t="s">
        <v>2616</v>
      </c>
      <c r="I8706" s="417" t="s">
        <v>1392</v>
      </c>
      <c r="J8706" s="417" t="s">
        <v>3433</v>
      </c>
      <c r="K8706" s="417" t="s">
        <v>19864</v>
      </c>
      <c r="L8706" s="417"/>
      <c r="M8706" s="417" t="s">
        <v>28840</v>
      </c>
    </row>
    <row r="8707" spans="1:13" x14ac:dyDescent="0.25">
      <c r="A8707" s="417" t="s">
        <v>3385</v>
      </c>
      <c r="B8707" s="417" t="s">
        <v>2627</v>
      </c>
      <c r="C8707" s="417" t="s">
        <v>19865</v>
      </c>
      <c r="D8707" s="417" t="s">
        <v>563</v>
      </c>
      <c r="E8707" s="423">
        <v>33.586437676894768</v>
      </c>
      <c r="F8707" s="423">
        <v>2.867071251925295</v>
      </c>
      <c r="G8707" s="422">
        <v>78202.716571023993</v>
      </c>
      <c r="H8707" s="417" t="s">
        <v>2616</v>
      </c>
      <c r="I8707" s="417" t="s">
        <v>1392</v>
      </c>
      <c r="J8707" s="417" t="s">
        <v>3433</v>
      </c>
      <c r="K8707" s="417" t="s">
        <v>19866</v>
      </c>
      <c r="L8707" s="417"/>
      <c r="M8707" s="417" t="s">
        <v>28840</v>
      </c>
    </row>
    <row r="8708" spans="1:13" x14ac:dyDescent="0.25">
      <c r="A8708" s="417" t="s">
        <v>3385</v>
      </c>
      <c r="B8708" s="417" t="s">
        <v>2627</v>
      </c>
      <c r="C8708" s="417" t="s">
        <v>19867</v>
      </c>
      <c r="D8708" s="417" t="s">
        <v>563</v>
      </c>
      <c r="E8708" s="423">
        <v>50.026985609899462</v>
      </c>
      <c r="F8708" s="423">
        <v>3.3416117636288631</v>
      </c>
      <c r="G8708" s="422">
        <v>99142.498112970439</v>
      </c>
      <c r="H8708" s="417" t="s">
        <v>2616</v>
      </c>
      <c r="I8708" s="417" t="s">
        <v>1392</v>
      </c>
      <c r="J8708" s="417" t="s">
        <v>3433</v>
      </c>
      <c r="K8708" s="417" t="s">
        <v>19868</v>
      </c>
      <c r="L8708" s="417"/>
      <c r="M8708" s="417" t="s">
        <v>28840</v>
      </c>
    </row>
    <row r="8709" spans="1:13" x14ac:dyDescent="0.25">
      <c r="A8709" s="417" t="s">
        <v>3385</v>
      </c>
      <c r="B8709" s="417" t="s">
        <v>2627</v>
      </c>
      <c r="C8709" s="417" t="s">
        <v>19869</v>
      </c>
      <c r="D8709" s="417" t="s">
        <v>563</v>
      </c>
      <c r="E8709" s="423">
        <v>34.76083783255433</v>
      </c>
      <c r="F8709" s="423">
        <v>3.8949715413461958</v>
      </c>
      <c r="G8709" s="422">
        <v>79768.821478222962</v>
      </c>
      <c r="H8709" s="417" t="s">
        <v>2616</v>
      </c>
      <c r="I8709" s="417" t="s">
        <v>1392</v>
      </c>
      <c r="J8709" s="417" t="s">
        <v>3433</v>
      </c>
      <c r="K8709" s="417" t="s">
        <v>19870</v>
      </c>
      <c r="L8709" s="417"/>
      <c r="M8709" s="417" t="s">
        <v>28840</v>
      </c>
    </row>
    <row r="8710" spans="1:13" x14ac:dyDescent="0.25">
      <c r="A8710" s="417" t="s">
        <v>3385</v>
      </c>
      <c r="B8710" s="417" t="s">
        <v>2627</v>
      </c>
      <c r="C8710" s="417" t="s">
        <v>19871</v>
      </c>
      <c r="D8710" s="417" t="s">
        <v>563</v>
      </c>
      <c r="E8710" s="423">
        <v>50.800179620538287</v>
      </c>
      <c r="F8710" s="423">
        <v>3.3519058397593402</v>
      </c>
      <c r="G8710" s="422">
        <v>98027.738379046088</v>
      </c>
      <c r="H8710" s="417" t="s">
        <v>2616</v>
      </c>
      <c r="I8710" s="417" t="s">
        <v>1392</v>
      </c>
      <c r="J8710" s="417" t="s">
        <v>3433</v>
      </c>
      <c r="K8710" s="417" t="s">
        <v>19872</v>
      </c>
      <c r="L8710" s="417"/>
      <c r="M8710" s="417" t="s">
        <v>28840</v>
      </c>
    </row>
    <row r="8711" spans="1:13" x14ac:dyDescent="0.25">
      <c r="A8711" s="417" t="s">
        <v>3385</v>
      </c>
      <c r="B8711" s="417" t="s">
        <v>2627</v>
      </c>
      <c r="C8711" s="417" t="s">
        <v>19873</v>
      </c>
      <c r="D8711" s="417" t="s">
        <v>88</v>
      </c>
      <c r="E8711" s="423">
        <v>21.06202350267635</v>
      </c>
      <c r="F8711" s="423">
        <v>0.59335717352635631</v>
      </c>
      <c r="G8711" s="422">
        <v>55682.97079710698</v>
      </c>
      <c r="H8711" s="417" t="s">
        <v>2616</v>
      </c>
      <c r="I8711" s="417" t="s">
        <v>1392</v>
      </c>
      <c r="J8711" s="417" t="s">
        <v>3899</v>
      </c>
      <c r="K8711" s="417" t="s">
        <v>19874</v>
      </c>
      <c r="L8711" s="417"/>
      <c r="M8711" s="417" t="s">
        <v>28840</v>
      </c>
    </row>
    <row r="8712" spans="1:13" x14ac:dyDescent="0.25">
      <c r="A8712" s="417" t="s">
        <v>3385</v>
      </c>
      <c r="B8712" s="417" t="s">
        <v>2627</v>
      </c>
      <c r="C8712" s="417" t="s">
        <v>19875</v>
      </c>
      <c r="D8712" s="417" t="s">
        <v>88</v>
      </c>
      <c r="E8712" s="423">
        <v>3.962006871655317</v>
      </c>
      <c r="F8712" s="423">
        <v>0.15681142688624289</v>
      </c>
      <c r="G8712" s="422">
        <v>14322.050591684671</v>
      </c>
      <c r="H8712" s="417" t="s">
        <v>2616</v>
      </c>
      <c r="I8712" s="417" t="s">
        <v>1392</v>
      </c>
      <c r="J8712" s="417" t="s">
        <v>3970</v>
      </c>
      <c r="K8712" s="417" t="s">
        <v>19876</v>
      </c>
      <c r="L8712" s="417"/>
      <c r="M8712" s="417" t="s">
        <v>28840</v>
      </c>
    </row>
    <row r="8713" spans="1:13" x14ac:dyDescent="0.25">
      <c r="A8713" s="417" t="s">
        <v>3385</v>
      </c>
      <c r="B8713" s="417" t="s">
        <v>2627</v>
      </c>
      <c r="C8713" s="417" t="s">
        <v>19877</v>
      </c>
      <c r="D8713" s="417" t="s">
        <v>88</v>
      </c>
      <c r="E8713" s="423">
        <v>21.517471088102219</v>
      </c>
      <c r="F8713" s="423">
        <v>0.65641623674820659</v>
      </c>
      <c r="G8713" s="422">
        <v>53102.449235629821</v>
      </c>
      <c r="H8713" s="417" t="s">
        <v>2616</v>
      </c>
      <c r="I8713" s="417" t="s">
        <v>1392</v>
      </c>
      <c r="J8713" s="417" t="s">
        <v>3899</v>
      </c>
      <c r="K8713" s="417" t="s">
        <v>19878</v>
      </c>
      <c r="L8713" s="417"/>
      <c r="M8713" s="417" t="s">
        <v>28840</v>
      </c>
    </row>
    <row r="8714" spans="1:13" x14ac:dyDescent="0.25">
      <c r="A8714" s="417" t="s">
        <v>3385</v>
      </c>
      <c r="B8714" s="417" t="s">
        <v>2627</v>
      </c>
      <c r="C8714" s="417" t="s">
        <v>19879</v>
      </c>
      <c r="D8714" s="417" t="s">
        <v>989</v>
      </c>
      <c r="E8714" s="423">
        <v>36.879283110805133</v>
      </c>
      <c r="F8714" s="423">
        <v>16.525071844225518</v>
      </c>
      <c r="G8714" s="422">
        <v>91231.819650928141</v>
      </c>
      <c r="H8714" s="417" t="s">
        <v>2616</v>
      </c>
      <c r="I8714" s="417" t="s">
        <v>1392</v>
      </c>
      <c r="J8714" s="417" t="s">
        <v>7714</v>
      </c>
      <c r="K8714" s="417" t="s">
        <v>19880</v>
      </c>
      <c r="L8714" s="417"/>
      <c r="M8714" s="417" t="s">
        <v>28840</v>
      </c>
    </row>
    <row r="8715" spans="1:13" x14ac:dyDescent="0.25">
      <c r="A8715" s="417" t="s">
        <v>3385</v>
      </c>
      <c r="B8715" s="417" t="s">
        <v>2627</v>
      </c>
      <c r="C8715" s="417" t="s">
        <v>19881</v>
      </c>
      <c r="D8715" s="417" t="s">
        <v>88</v>
      </c>
      <c r="E8715" s="423">
        <v>2.200346417938309</v>
      </c>
      <c r="F8715" s="423">
        <v>0.1985405945324992</v>
      </c>
      <c r="G8715" s="422">
        <v>6676.5000479061446</v>
      </c>
      <c r="H8715" s="417" t="s">
        <v>2616</v>
      </c>
      <c r="I8715" s="417" t="s">
        <v>1392</v>
      </c>
      <c r="J8715" s="417" t="s">
        <v>3825</v>
      </c>
      <c r="K8715" s="417" t="s">
        <v>19882</v>
      </c>
      <c r="L8715" s="417"/>
      <c r="M8715" s="417" t="s">
        <v>28840</v>
      </c>
    </row>
    <row r="8716" spans="1:13" x14ac:dyDescent="0.25">
      <c r="A8716" s="417" t="s">
        <v>3385</v>
      </c>
      <c r="B8716" s="417" t="s">
        <v>2627</v>
      </c>
      <c r="C8716" s="417" t="s">
        <v>19883</v>
      </c>
      <c r="D8716" s="417" t="s">
        <v>989</v>
      </c>
      <c r="E8716" s="423">
        <v>40.678191271901113</v>
      </c>
      <c r="F8716" s="423">
        <v>3.6663501772447979</v>
      </c>
      <c r="G8716" s="422">
        <v>102628.1861091388</v>
      </c>
      <c r="H8716" s="417" t="s">
        <v>2616</v>
      </c>
      <c r="I8716" s="417" t="s">
        <v>1392</v>
      </c>
      <c r="J8716" s="417" t="s">
        <v>3798</v>
      </c>
      <c r="K8716" s="417" t="s">
        <v>19884</v>
      </c>
      <c r="L8716" s="417"/>
      <c r="M8716" s="417" t="s">
        <v>28840</v>
      </c>
    </row>
    <row r="8717" spans="1:13" x14ac:dyDescent="0.25">
      <c r="A8717" s="417" t="s">
        <v>3385</v>
      </c>
      <c r="B8717" s="417" t="s">
        <v>2627</v>
      </c>
      <c r="C8717" s="417" t="s">
        <v>19885</v>
      </c>
      <c r="D8717" s="417" t="s">
        <v>989</v>
      </c>
      <c r="E8717" s="423">
        <v>30.159553998199069</v>
      </c>
      <c r="F8717" s="423">
        <v>3.5218612597820429</v>
      </c>
      <c r="G8717" s="422">
        <v>46010.091000943357</v>
      </c>
      <c r="H8717" s="417" t="s">
        <v>2616</v>
      </c>
      <c r="I8717" s="417" t="s">
        <v>1392</v>
      </c>
      <c r="J8717" s="417" t="s">
        <v>3798</v>
      </c>
      <c r="K8717" s="417" t="s">
        <v>19886</v>
      </c>
      <c r="L8717" s="417"/>
      <c r="M8717" s="417" t="s">
        <v>28840</v>
      </c>
    </row>
    <row r="8718" spans="1:13" x14ac:dyDescent="0.25">
      <c r="A8718" s="417" t="s">
        <v>3385</v>
      </c>
      <c r="B8718" s="417" t="s">
        <v>2627</v>
      </c>
      <c r="C8718" s="417" t="s">
        <v>19887</v>
      </c>
      <c r="D8718" s="417" t="s">
        <v>88</v>
      </c>
      <c r="E8718" s="423">
        <v>0.3373600567941501</v>
      </c>
      <c r="F8718" s="423">
        <v>3.0433706359190679E-3</v>
      </c>
      <c r="G8718" s="422">
        <v>1107.7160567105591</v>
      </c>
      <c r="H8718" s="417" t="s">
        <v>2616</v>
      </c>
      <c r="I8718" s="417" t="s">
        <v>1392</v>
      </c>
      <c r="J8718" s="417" t="s">
        <v>18062</v>
      </c>
      <c r="K8718" s="417" t="s">
        <v>19888</v>
      </c>
      <c r="L8718" s="417"/>
      <c r="M8718" s="417" t="s">
        <v>28840</v>
      </c>
    </row>
    <row r="8719" spans="1:13" x14ac:dyDescent="0.25">
      <c r="A8719" s="417" t="s">
        <v>3385</v>
      </c>
      <c r="B8719" s="417" t="s">
        <v>2627</v>
      </c>
      <c r="C8719" s="417" t="s">
        <v>19889</v>
      </c>
      <c r="D8719" s="417" t="s">
        <v>88</v>
      </c>
      <c r="E8719" s="423">
        <v>0.61729576518704665</v>
      </c>
      <c r="F8719" s="423">
        <v>1.036725826818412E-2</v>
      </c>
      <c r="G8719" s="422">
        <v>1845.937065949558</v>
      </c>
      <c r="H8719" s="417" t="s">
        <v>2616</v>
      </c>
      <c r="I8719" s="417" t="s">
        <v>1392</v>
      </c>
      <c r="J8719" s="417" t="s">
        <v>3772</v>
      </c>
      <c r="K8719" s="417" t="s">
        <v>19890</v>
      </c>
      <c r="L8719" s="417"/>
      <c r="M8719" s="417" t="s">
        <v>28840</v>
      </c>
    </row>
    <row r="8720" spans="1:13" x14ac:dyDescent="0.25">
      <c r="A8720" s="417" t="s">
        <v>3385</v>
      </c>
      <c r="B8720" s="417" t="s">
        <v>2627</v>
      </c>
      <c r="C8720" s="417" t="s">
        <v>19891</v>
      </c>
      <c r="D8720" s="417" t="s">
        <v>989</v>
      </c>
      <c r="E8720" s="423">
        <v>55004.323614462031</v>
      </c>
      <c r="F8720" s="423">
        <v>2350.1056896397972</v>
      </c>
      <c r="G8720" s="422">
        <v>113855178.4267575</v>
      </c>
      <c r="H8720" s="417" t="s">
        <v>2616</v>
      </c>
      <c r="I8720" s="417" t="s">
        <v>1392</v>
      </c>
      <c r="J8720" s="417" t="s">
        <v>4016</v>
      </c>
      <c r="K8720" s="417" t="s">
        <v>19892</v>
      </c>
      <c r="L8720" s="417"/>
      <c r="M8720" s="417" t="s">
        <v>28840</v>
      </c>
    </row>
    <row r="8721" spans="1:13" x14ac:dyDescent="0.25">
      <c r="A8721" s="417" t="s">
        <v>3385</v>
      </c>
      <c r="B8721" s="417" t="s">
        <v>2627</v>
      </c>
      <c r="C8721" s="417" t="s">
        <v>19893</v>
      </c>
      <c r="D8721" s="417" t="s">
        <v>4427</v>
      </c>
      <c r="E8721" s="423">
        <v>57.735658716599957</v>
      </c>
      <c r="F8721" s="423">
        <v>2.1290458683194289</v>
      </c>
      <c r="G8721" s="422">
        <v>85947.682425611783</v>
      </c>
      <c r="H8721" s="417" t="s">
        <v>2616</v>
      </c>
      <c r="I8721" s="417" t="s">
        <v>1392</v>
      </c>
      <c r="J8721" s="417" t="s">
        <v>4016</v>
      </c>
      <c r="K8721" s="417" t="s">
        <v>19894</v>
      </c>
      <c r="L8721" s="417"/>
      <c r="M8721" s="417" t="s">
        <v>28840</v>
      </c>
    </row>
    <row r="8722" spans="1:13" x14ac:dyDescent="0.25">
      <c r="A8722" s="417" t="s">
        <v>3385</v>
      </c>
      <c r="B8722" s="417" t="s">
        <v>2627</v>
      </c>
      <c r="C8722" s="417" t="s">
        <v>19895</v>
      </c>
      <c r="D8722" s="417" t="s">
        <v>88</v>
      </c>
      <c r="E8722" s="423">
        <v>1.6292713328633201E-2</v>
      </c>
      <c r="F8722" s="423">
        <v>1.2202365188669091E-3</v>
      </c>
      <c r="G8722" s="422">
        <v>90.602617980385929</v>
      </c>
      <c r="H8722" s="417" t="s">
        <v>2616</v>
      </c>
      <c r="I8722" s="417" t="s">
        <v>1392</v>
      </c>
      <c r="J8722" s="417" t="s">
        <v>4016</v>
      </c>
      <c r="K8722" s="417" t="s">
        <v>19896</v>
      </c>
      <c r="L8722" s="417"/>
      <c r="M8722" s="417" t="s">
        <v>28840</v>
      </c>
    </row>
    <row r="8723" spans="1:13" x14ac:dyDescent="0.25">
      <c r="A8723" s="417" t="s">
        <v>3385</v>
      </c>
      <c r="B8723" s="417" t="s">
        <v>2627</v>
      </c>
      <c r="C8723" s="417" t="s">
        <v>19897</v>
      </c>
      <c r="D8723" s="417" t="s">
        <v>88</v>
      </c>
      <c r="E8723" s="423">
        <v>1.8386736928861801E-2</v>
      </c>
      <c r="F8723" s="423">
        <v>1.702416752546205E-3</v>
      </c>
      <c r="G8723" s="422">
        <v>93.29564558728454</v>
      </c>
      <c r="H8723" s="417" t="s">
        <v>2616</v>
      </c>
      <c r="I8723" s="417" t="s">
        <v>1392</v>
      </c>
      <c r="J8723" s="417" t="s">
        <v>4016</v>
      </c>
      <c r="K8723" s="417" t="s">
        <v>19898</v>
      </c>
      <c r="L8723" s="417"/>
      <c r="M8723" s="417" t="s">
        <v>28840</v>
      </c>
    </row>
    <row r="8724" spans="1:13" x14ac:dyDescent="0.25">
      <c r="A8724" s="417" t="s">
        <v>3385</v>
      </c>
      <c r="B8724" s="417" t="s">
        <v>2627</v>
      </c>
      <c r="C8724" s="417" t="s">
        <v>19899</v>
      </c>
      <c r="D8724" s="417" t="s">
        <v>88</v>
      </c>
      <c r="E8724" s="423">
        <v>2.3989987856656549E-2</v>
      </c>
      <c r="F8724" s="423">
        <v>2.4832153974375499E-3</v>
      </c>
      <c r="G8724" s="422">
        <v>109.26685566332419</v>
      </c>
      <c r="H8724" s="417" t="s">
        <v>2616</v>
      </c>
      <c r="I8724" s="417" t="s">
        <v>1392</v>
      </c>
      <c r="J8724" s="417" t="s">
        <v>4016</v>
      </c>
      <c r="K8724" s="417" t="s">
        <v>19900</v>
      </c>
      <c r="L8724" s="417"/>
      <c r="M8724" s="417" t="s">
        <v>28840</v>
      </c>
    </row>
    <row r="8725" spans="1:13" x14ac:dyDescent="0.25">
      <c r="A8725" s="417" t="s">
        <v>3385</v>
      </c>
      <c r="B8725" s="417" t="s">
        <v>2627</v>
      </c>
      <c r="C8725" s="417" t="s">
        <v>19901</v>
      </c>
      <c r="D8725" s="417" t="s">
        <v>88</v>
      </c>
      <c r="E8725" s="423">
        <v>2.1805744400808989E-2</v>
      </c>
      <c r="F8725" s="423">
        <v>1.769343658440239E-3</v>
      </c>
      <c r="G8725" s="422">
        <v>106.31510022569471</v>
      </c>
      <c r="H8725" s="417" t="s">
        <v>2616</v>
      </c>
      <c r="I8725" s="417" t="s">
        <v>1392</v>
      </c>
      <c r="J8725" s="417" t="s">
        <v>4016</v>
      </c>
      <c r="K8725" s="417" t="s">
        <v>19902</v>
      </c>
      <c r="L8725" s="417"/>
      <c r="M8725" s="417" t="s">
        <v>28840</v>
      </c>
    </row>
    <row r="8726" spans="1:13" x14ac:dyDescent="0.25">
      <c r="A8726" s="417" t="s">
        <v>3385</v>
      </c>
      <c r="B8726" s="417" t="s">
        <v>2627</v>
      </c>
      <c r="C8726" s="417" t="s">
        <v>19903</v>
      </c>
      <c r="D8726" s="417" t="s">
        <v>88</v>
      </c>
      <c r="E8726" s="423">
        <v>2.3462190358498811E-2</v>
      </c>
      <c r="F8726" s="423">
        <v>2.1078142440229481E-3</v>
      </c>
      <c r="G8726" s="422">
        <v>106.0772371238845</v>
      </c>
      <c r="H8726" s="417" t="s">
        <v>2616</v>
      </c>
      <c r="I8726" s="417" t="s">
        <v>1392</v>
      </c>
      <c r="J8726" s="417" t="s">
        <v>4016</v>
      </c>
      <c r="K8726" s="417" t="s">
        <v>19904</v>
      </c>
      <c r="L8726" s="417"/>
      <c r="M8726" s="417" t="s">
        <v>28840</v>
      </c>
    </row>
    <row r="8727" spans="1:13" x14ac:dyDescent="0.25">
      <c r="A8727" s="417" t="s">
        <v>3385</v>
      </c>
      <c r="B8727" s="417" t="s">
        <v>3655</v>
      </c>
      <c r="C8727" s="417" t="s">
        <v>19905</v>
      </c>
      <c r="D8727" s="417" t="s">
        <v>989</v>
      </c>
      <c r="E8727" s="423">
        <v>3331506.3305641511</v>
      </c>
      <c r="F8727" s="423">
        <v>144284.21787777991</v>
      </c>
      <c r="G8727" s="422">
        <v>8593698284.4896011</v>
      </c>
      <c r="H8727" s="417" t="s">
        <v>2616</v>
      </c>
      <c r="I8727" s="417" t="s">
        <v>1392</v>
      </c>
      <c r="J8727" s="417" t="s">
        <v>11811</v>
      </c>
      <c r="K8727" s="417" t="s">
        <v>19906</v>
      </c>
      <c r="L8727" s="417"/>
      <c r="M8727" s="417" t="s">
        <v>28840</v>
      </c>
    </row>
    <row r="8728" spans="1:13" x14ac:dyDescent="0.25">
      <c r="A8728" s="417" t="s">
        <v>3385</v>
      </c>
      <c r="B8728" s="417" t="s">
        <v>2627</v>
      </c>
      <c r="C8728" s="417" t="s">
        <v>19907</v>
      </c>
      <c r="D8728" s="417" t="s">
        <v>563</v>
      </c>
      <c r="E8728" s="423">
        <v>21.55361105413629</v>
      </c>
      <c r="F8728" s="423">
        <v>0.76229523202276339</v>
      </c>
      <c r="G8728" s="422">
        <v>38876.563283639269</v>
      </c>
      <c r="H8728" s="417" t="s">
        <v>2616</v>
      </c>
      <c r="I8728" s="417" t="s">
        <v>1392</v>
      </c>
      <c r="J8728" s="417" t="s">
        <v>3433</v>
      </c>
      <c r="K8728" s="417" t="s">
        <v>19908</v>
      </c>
      <c r="L8728" s="417"/>
      <c r="M8728" s="417" t="s">
        <v>28840</v>
      </c>
    </row>
    <row r="8729" spans="1:13" x14ac:dyDescent="0.25">
      <c r="A8729" s="417" t="s">
        <v>3385</v>
      </c>
      <c r="B8729" s="417" t="s">
        <v>2627</v>
      </c>
      <c r="C8729" s="417" t="s">
        <v>19909</v>
      </c>
      <c r="D8729" s="417" t="s">
        <v>563</v>
      </c>
      <c r="E8729" s="423">
        <v>20.687127342435851</v>
      </c>
      <c r="F8729" s="423">
        <v>0.77315027483145593</v>
      </c>
      <c r="G8729" s="422">
        <v>41752.504545436459</v>
      </c>
      <c r="H8729" s="417" t="s">
        <v>2616</v>
      </c>
      <c r="I8729" s="417" t="s">
        <v>1392</v>
      </c>
      <c r="J8729" s="417" t="s">
        <v>3433</v>
      </c>
      <c r="K8729" s="417" t="s">
        <v>19910</v>
      </c>
      <c r="L8729" s="417"/>
      <c r="M8729" s="417" t="s">
        <v>28840</v>
      </c>
    </row>
    <row r="8730" spans="1:13" x14ac:dyDescent="0.25">
      <c r="A8730" s="417" t="s">
        <v>3385</v>
      </c>
      <c r="B8730" s="417" t="s">
        <v>2627</v>
      </c>
      <c r="C8730" s="417" t="s">
        <v>19911</v>
      </c>
      <c r="D8730" s="417" t="s">
        <v>563</v>
      </c>
      <c r="E8730" s="423">
        <v>13.8466808349321</v>
      </c>
      <c r="F8730" s="423">
        <v>0.60166659198363681</v>
      </c>
      <c r="G8730" s="422">
        <v>28178.5850038645</v>
      </c>
      <c r="H8730" s="417" t="s">
        <v>2616</v>
      </c>
      <c r="I8730" s="417" t="s">
        <v>1392</v>
      </c>
      <c r="J8730" s="417" t="s">
        <v>3433</v>
      </c>
      <c r="K8730" s="417" t="s">
        <v>19912</v>
      </c>
      <c r="L8730" s="417"/>
      <c r="M8730" s="417" t="s">
        <v>28840</v>
      </c>
    </row>
    <row r="8731" spans="1:13" x14ac:dyDescent="0.25">
      <c r="A8731" s="417" t="s">
        <v>3385</v>
      </c>
      <c r="B8731" s="417" t="s">
        <v>2627</v>
      </c>
      <c r="C8731" s="417" t="s">
        <v>19913</v>
      </c>
      <c r="D8731" s="417" t="s">
        <v>83</v>
      </c>
      <c r="E8731" s="423">
        <v>7.4660164791673038</v>
      </c>
      <c r="F8731" s="423">
        <v>0.68651732648368402</v>
      </c>
      <c r="G8731" s="422">
        <v>39371.286708997912</v>
      </c>
      <c r="H8731" s="417" t="s">
        <v>2616</v>
      </c>
      <c r="I8731" s="417" t="s">
        <v>1392</v>
      </c>
      <c r="J8731" s="417" t="s">
        <v>4823</v>
      </c>
      <c r="K8731" s="417" t="s">
        <v>19914</v>
      </c>
      <c r="L8731" s="417"/>
      <c r="M8731" s="417" t="s">
        <v>28840</v>
      </c>
    </row>
    <row r="8732" spans="1:13" x14ac:dyDescent="0.25">
      <c r="A8732" s="417" t="s">
        <v>3385</v>
      </c>
      <c r="B8732" s="417" t="s">
        <v>3405</v>
      </c>
      <c r="C8732" s="417" t="s">
        <v>19915</v>
      </c>
      <c r="D8732" s="417" t="s">
        <v>73</v>
      </c>
      <c r="E8732" s="423">
        <v>6.9517196343690064E-3</v>
      </c>
      <c r="F8732" s="423">
        <v>0.314208924357462</v>
      </c>
      <c r="G8732" s="422">
        <v>220.32009234136021</v>
      </c>
      <c r="H8732" s="417" t="s">
        <v>2616</v>
      </c>
      <c r="I8732" s="417" t="s">
        <v>1392</v>
      </c>
      <c r="J8732" s="417" t="s">
        <v>4245</v>
      </c>
      <c r="K8732" s="417" t="s">
        <v>19916</v>
      </c>
      <c r="L8732" s="417"/>
      <c r="M8732" s="417" t="s">
        <v>28840</v>
      </c>
    </row>
    <row r="8733" spans="1:13" x14ac:dyDescent="0.25">
      <c r="A8733" s="417" t="s">
        <v>3385</v>
      </c>
      <c r="B8733" s="417" t="s">
        <v>3405</v>
      </c>
      <c r="C8733" s="417" t="s">
        <v>19917</v>
      </c>
      <c r="D8733" s="417" t="s">
        <v>73</v>
      </c>
      <c r="E8733" s="423">
        <v>6.7180723047597984E-3</v>
      </c>
      <c r="F8733" s="423">
        <v>0.31411060432241772</v>
      </c>
      <c r="G8733" s="422">
        <v>261.0526513351229</v>
      </c>
      <c r="H8733" s="417" t="s">
        <v>2616</v>
      </c>
      <c r="I8733" s="417" t="s">
        <v>1392</v>
      </c>
      <c r="J8733" s="417" t="s">
        <v>4245</v>
      </c>
      <c r="K8733" s="417" t="s">
        <v>19918</v>
      </c>
      <c r="L8733" s="417"/>
      <c r="M8733" s="417" t="s">
        <v>28840</v>
      </c>
    </row>
    <row r="8734" spans="1:13" x14ac:dyDescent="0.25">
      <c r="A8734" s="417" t="s">
        <v>3385</v>
      </c>
      <c r="B8734" s="417" t="s">
        <v>3405</v>
      </c>
      <c r="C8734" s="417" t="s">
        <v>19919</v>
      </c>
      <c r="D8734" s="417" t="s">
        <v>73</v>
      </c>
      <c r="E8734" s="423">
        <v>7.3904903482549817E-3</v>
      </c>
      <c r="F8734" s="423">
        <v>0.31447234589052031</v>
      </c>
      <c r="G8734" s="422">
        <v>206.9716404757452</v>
      </c>
      <c r="H8734" s="417" t="s">
        <v>2616</v>
      </c>
      <c r="I8734" s="417" t="s">
        <v>1392</v>
      </c>
      <c r="J8734" s="417" t="s">
        <v>4245</v>
      </c>
      <c r="K8734" s="417" t="s">
        <v>19920</v>
      </c>
      <c r="L8734" s="417"/>
      <c r="M8734" s="417" t="s">
        <v>28840</v>
      </c>
    </row>
    <row r="8735" spans="1:13" x14ac:dyDescent="0.25">
      <c r="A8735" s="417" t="s">
        <v>3385</v>
      </c>
      <c r="B8735" s="417" t="s">
        <v>3405</v>
      </c>
      <c r="C8735" s="417" t="s">
        <v>19921</v>
      </c>
      <c r="D8735" s="417" t="s">
        <v>73</v>
      </c>
      <c r="E8735" s="423">
        <v>6.8491482413628726E-3</v>
      </c>
      <c r="F8735" s="423">
        <v>0.31412636873330818</v>
      </c>
      <c r="G8735" s="422">
        <v>206.6272743536056</v>
      </c>
      <c r="H8735" s="417" t="s">
        <v>2616</v>
      </c>
      <c r="I8735" s="417" t="s">
        <v>1392</v>
      </c>
      <c r="J8735" s="417" t="s">
        <v>4245</v>
      </c>
      <c r="K8735" s="417" t="s">
        <v>19922</v>
      </c>
      <c r="L8735" s="417"/>
      <c r="M8735" s="417" t="s">
        <v>28840</v>
      </c>
    </row>
    <row r="8736" spans="1:13" x14ac:dyDescent="0.25">
      <c r="A8736" s="417" t="s">
        <v>3385</v>
      </c>
      <c r="B8736" s="417" t="s">
        <v>3655</v>
      </c>
      <c r="C8736" s="417" t="s">
        <v>19923</v>
      </c>
      <c r="D8736" s="417" t="s">
        <v>83</v>
      </c>
      <c r="E8736" s="423">
        <v>1.3117547465988011</v>
      </c>
      <c r="F8736" s="423">
        <v>6.1397146939971781E-2</v>
      </c>
      <c r="G8736" s="422">
        <v>2544.078933493814</v>
      </c>
      <c r="H8736" s="417" t="s">
        <v>2616</v>
      </c>
      <c r="I8736" s="417" t="s">
        <v>1392</v>
      </c>
      <c r="J8736" s="417" t="s">
        <v>3918</v>
      </c>
      <c r="K8736" s="417" t="s">
        <v>19924</v>
      </c>
      <c r="L8736" s="417"/>
      <c r="M8736" s="417" t="s">
        <v>28840</v>
      </c>
    </row>
    <row r="8737" spans="1:13" x14ac:dyDescent="0.25">
      <c r="A8737" s="417" t="s">
        <v>3385</v>
      </c>
      <c r="B8737" s="417" t="s">
        <v>3655</v>
      </c>
      <c r="C8737" s="417" t="s">
        <v>19925</v>
      </c>
      <c r="D8737" s="417" t="s">
        <v>83</v>
      </c>
      <c r="E8737" s="423">
        <v>153.47542264450581</v>
      </c>
      <c r="F8737" s="423">
        <v>10.16348495336684</v>
      </c>
      <c r="G8737" s="422">
        <v>325672.66191404109</v>
      </c>
      <c r="H8737" s="417" t="s">
        <v>2616</v>
      </c>
      <c r="I8737" s="417" t="s">
        <v>1392</v>
      </c>
      <c r="J8737" s="417" t="s">
        <v>3657</v>
      </c>
      <c r="K8737" s="417" t="s">
        <v>19926</v>
      </c>
      <c r="L8737" s="417"/>
      <c r="M8737" s="417" t="s">
        <v>28840</v>
      </c>
    </row>
    <row r="8738" spans="1:13" x14ac:dyDescent="0.25">
      <c r="A8738" s="417" t="s">
        <v>3385</v>
      </c>
      <c r="B8738" s="417" t="s">
        <v>3655</v>
      </c>
      <c r="C8738" s="417" t="s">
        <v>19927</v>
      </c>
      <c r="D8738" s="417" t="s">
        <v>83</v>
      </c>
      <c r="E8738" s="423">
        <v>4.1704156434560338E-2</v>
      </c>
      <c r="F8738" s="423">
        <v>9.0289047744367724E-3</v>
      </c>
      <c r="G8738" s="422">
        <v>189.7305424582386</v>
      </c>
      <c r="H8738" s="417" t="s">
        <v>2616</v>
      </c>
      <c r="I8738" s="417" t="s">
        <v>1392</v>
      </c>
      <c r="J8738" s="417" t="s">
        <v>7685</v>
      </c>
      <c r="K8738" s="417" t="s">
        <v>19928</v>
      </c>
      <c r="L8738" s="417"/>
      <c r="M8738" s="417" t="s">
        <v>28840</v>
      </c>
    </row>
    <row r="8739" spans="1:13" x14ac:dyDescent="0.25">
      <c r="A8739" s="417" t="s">
        <v>3385</v>
      </c>
      <c r="B8739" s="417" t="s">
        <v>2437</v>
      </c>
      <c r="C8739" s="417" t="s">
        <v>19929</v>
      </c>
      <c r="D8739" s="417" t="s">
        <v>88</v>
      </c>
      <c r="E8739" s="423">
        <v>4.1839401991596903</v>
      </c>
      <c r="F8739" s="423">
        <v>9.3928807613339493E-2</v>
      </c>
      <c r="G8739" s="422">
        <v>8498.8089365051092</v>
      </c>
      <c r="H8739" s="417" t="s">
        <v>2616</v>
      </c>
      <c r="I8739" s="417" t="s">
        <v>1392</v>
      </c>
      <c r="J8739" s="417" t="s">
        <v>4009</v>
      </c>
      <c r="K8739" s="417" t="s">
        <v>19930</v>
      </c>
      <c r="L8739" s="417"/>
      <c r="M8739" s="417" t="s">
        <v>28840</v>
      </c>
    </row>
    <row r="8740" spans="1:13" x14ac:dyDescent="0.25">
      <c r="A8740" s="417" t="s">
        <v>3385</v>
      </c>
      <c r="B8740" s="417" t="s">
        <v>3405</v>
      </c>
      <c r="C8740" s="417" t="s">
        <v>19931</v>
      </c>
      <c r="D8740" s="417" t="s">
        <v>989</v>
      </c>
      <c r="E8740" s="423">
        <v>374503.72979092132</v>
      </c>
      <c r="F8740" s="423">
        <v>15759.235704326609</v>
      </c>
      <c r="G8740" s="422">
        <v>789428408.09869111</v>
      </c>
      <c r="H8740" s="417" t="s">
        <v>2616</v>
      </c>
      <c r="I8740" s="417" t="s">
        <v>1392</v>
      </c>
      <c r="J8740" s="417" t="s">
        <v>19089</v>
      </c>
      <c r="K8740" s="417" t="s">
        <v>19932</v>
      </c>
      <c r="L8740" s="417"/>
      <c r="M8740" s="417" t="s">
        <v>28840</v>
      </c>
    </row>
    <row r="8741" spans="1:13" x14ac:dyDescent="0.25">
      <c r="A8741" s="417" t="s">
        <v>3385</v>
      </c>
      <c r="B8741" s="417" t="s">
        <v>3405</v>
      </c>
      <c r="C8741" s="417" t="s">
        <v>19933</v>
      </c>
      <c r="D8741" s="417" t="s">
        <v>989</v>
      </c>
      <c r="E8741" s="423">
        <v>376172.51313633937</v>
      </c>
      <c r="F8741" s="423">
        <v>16200.0176222025</v>
      </c>
      <c r="G8741" s="422">
        <v>792106513.21908152</v>
      </c>
      <c r="H8741" s="417" t="s">
        <v>2616</v>
      </c>
      <c r="I8741" s="417" t="s">
        <v>1392</v>
      </c>
      <c r="J8741" s="417" t="s">
        <v>19089</v>
      </c>
      <c r="K8741" s="417" t="s">
        <v>19934</v>
      </c>
      <c r="L8741" s="417"/>
      <c r="M8741" s="417" t="s">
        <v>28840</v>
      </c>
    </row>
    <row r="8742" spans="1:13" x14ac:dyDescent="0.25">
      <c r="A8742" s="417" t="s">
        <v>3385</v>
      </c>
      <c r="B8742" s="417" t="s">
        <v>3405</v>
      </c>
      <c r="C8742" s="417" t="s">
        <v>19935</v>
      </c>
      <c r="D8742" s="417" t="s">
        <v>989</v>
      </c>
      <c r="E8742" s="423">
        <v>173114.88737563681</v>
      </c>
      <c r="F8742" s="423">
        <v>4466.1720782645216</v>
      </c>
      <c r="G8742" s="422">
        <v>438888385.46371847</v>
      </c>
      <c r="H8742" s="417" t="s">
        <v>2616</v>
      </c>
      <c r="I8742" s="417" t="s">
        <v>1392</v>
      </c>
      <c r="J8742" s="417" t="s">
        <v>19089</v>
      </c>
      <c r="K8742" s="417" t="s">
        <v>19936</v>
      </c>
      <c r="L8742" s="417"/>
      <c r="M8742" s="417" t="s">
        <v>28840</v>
      </c>
    </row>
    <row r="8743" spans="1:13" x14ac:dyDescent="0.25">
      <c r="A8743" s="417" t="s">
        <v>3385</v>
      </c>
      <c r="B8743" s="417" t="s">
        <v>3405</v>
      </c>
      <c r="C8743" s="417" t="s">
        <v>19937</v>
      </c>
      <c r="D8743" s="417" t="s">
        <v>989</v>
      </c>
      <c r="E8743" s="423">
        <v>173975.38066428629</v>
      </c>
      <c r="F8743" s="423">
        <v>4633.7583053755152</v>
      </c>
      <c r="G8743" s="422">
        <v>440025289.42820328</v>
      </c>
      <c r="H8743" s="417" t="s">
        <v>2616</v>
      </c>
      <c r="I8743" s="417" t="s">
        <v>1392</v>
      </c>
      <c r="J8743" s="417" t="s">
        <v>19089</v>
      </c>
      <c r="K8743" s="417" t="s">
        <v>19938</v>
      </c>
      <c r="L8743" s="417"/>
      <c r="M8743" s="417" t="s">
        <v>28840</v>
      </c>
    </row>
    <row r="8744" spans="1:13" x14ac:dyDescent="0.25">
      <c r="A8744" s="417" t="s">
        <v>3385</v>
      </c>
      <c r="B8744" s="417" t="s">
        <v>2627</v>
      </c>
      <c r="C8744" s="417" t="s">
        <v>19939</v>
      </c>
      <c r="D8744" s="417" t="s">
        <v>989</v>
      </c>
      <c r="E8744" s="423">
        <v>31.559523997222058</v>
      </c>
      <c r="F8744" s="423">
        <v>1.182333289508652</v>
      </c>
      <c r="G8744" s="422">
        <v>92078.966980861005</v>
      </c>
      <c r="H8744" s="417" t="s">
        <v>2616</v>
      </c>
      <c r="I8744" s="417" t="s">
        <v>1392</v>
      </c>
      <c r="J8744" s="417" t="s">
        <v>3699</v>
      </c>
      <c r="K8744" s="417" t="s">
        <v>19940</v>
      </c>
      <c r="L8744" s="417"/>
      <c r="M8744" s="417" t="s">
        <v>28840</v>
      </c>
    </row>
    <row r="8745" spans="1:13" x14ac:dyDescent="0.25">
      <c r="A8745" s="417" t="s">
        <v>3385</v>
      </c>
      <c r="B8745" s="417" t="s">
        <v>2627</v>
      </c>
      <c r="C8745" s="417" t="s">
        <v>19941</v>
      </c>
      <c r="D8745" s="417" t="s">
        <v>989</v>
      </c>
      <c r="E8745" s="423">
        <v>25.99026501517292</v>
      </c>
      <c r="F8745" s="423">
        <v>0.99750889944481003</v>
      </c>
      <c r="G8745" s="422">
        <v>81645.37482472448</v>
      </c>
      <c r="H8745" s="417" t="s">
        <v>2616</v>
      </c>
      <c r="I8745" s="417" t="s">
        <v>1392</v>
      </c>
      <c r="J8745" s="417" t="s">
        <v>3699</v>
      </c>
      <c r="K8745" s="417" t="s">
        <v>19942</v>
      </c>
      <c r="L8745" s="417"/>
      <c r="M8745" s="417" t="s">
        <v>28840</v>
      </c>
    </row>
    <row r="8746" spans="1:13" x14ac:dyDescent="0.25">
      <c r="A8746" s="417" t="s">
        <v>3385</v>
      </c>
      <c r="B8746" s="417" t="s">
        <v>2627</v>
      </c>
      <c r="C8746" s="417" t="s">
        <v>19943</v>
      </c>
      <c r="D8746" s="417" t="s">
        <v>989</v>
      </c>
      <c r="E8746" s="423">
        <v>17.932740401424329</v>
      </c>
      <c r="F8746" s="423">
        <v>0.78994952946780894</v>
      </c>
      <c r="G8746" s="422">
        <v>43134.330304703253</v>
      </c>
      <c r="H8746" s="417" t="s">
        <v>2616</v>
      </c>
      <c r="I8746" s="417" t="s">
        <v>1392</v>
      </c>
      <c r="J8746" s="417" t="s">
        <v>3699</v>
      </c>
      <c r="K8746" s="417" t="s">
        <v>19944</v>
      </c>
      <c r="L8746" s="417"/>
      <c r="M8746" s="417" t="s">
        <v>28840</v>
      </c>
    </row>
    <row r="8747" spans="1:13" x14ac:dyDescent="0.25">
      <c r="A8747" s="417" t="s">
        <v>3385</v>
      </c>
      <c r="B8747" s="417" t="s">
        <v>2437</v>
      </c>
      <c r="C8747" s="417" t="s">
        <v>19945</v>
      </c>
      <c r="D8747" s="417" t="s">
        <v>73</v>
      </c>
      <c r="E8747" s="423">
        <v>9.9561235783385243E-2</v>
      </c>
      <c r="F8747" s="423">
        <v>6.1415135171261201E-4</v>
      </c>
      <c r="G8747" s="422">
        <v>126.215032216753</v>
      </c>
      <c r="H8747" s="417" t="s">
        <v>2616</v>
      </c>
      <c r="I8747" s="417" t="s">
        <v>1392</v>
      </c>
      <c r="J8747" s="417" t="s">
        <v>19946</v>
      </c>
      <c r="K8747" s="417" t="s">
        <v>19947</v>
      </c>
      <c r="L8747" s="417"/>
      <c r="M8747" s="417" t="s">
        <v>28840</v>
      </c>
    </row>
    <row r="8748" spans="1:13" x14ac:dyDescent="0.25">
      <c r="A8748" s="417" t="s">
        <v>3385</v>
      </c>
      <c r="B8748" s="417" t="s">
        <v>2437</v>
      </c>
      <c r="C8748" s="417" t="s">
        <v>19948</v>
      </c>
      <c r="D8748" s="417" t="s">
        <v>88</v>
      </c>
      <c r="E8748" s="423">
        <v>11.94734829327934</v>
      </c>
      <c r="F8748" s="423">
        <v>7.3698162491147107E-2</v>
      </c>
      <c r="G8748" s="422">
        <v>15145.803861975241</v>
      </c>
      <c r="H8748" s="417" t="s">
        <v>2616</v>
      </c>
      <c r="I8748" s="417" t="s">
        <v>1392</v>
      </c>
      <c r="J8748" s="417" t="s">
        <v>19946</v>
      </c>
      <c r="K8748" s="417" t="s">
        <v>19949</v>
      </c>
      <c r="L8748" s="417"/>
      <c r="M8748" s="417" t="s">
        <v>28840</v>
      </c>
    </row>
    <row r="8749" spans="1:13" x14ac:dyDescent="0.25">
      <c r="A8749" s="417" t="s">
        <v>3385</v>
      </c>
      <c r="B8749" s="417" t="s">
        <v>2627</v>
      </c>
      <c r="C8749" s="417" t="s">
        <v>978</v>
      </c>
      <c r="D8749" s="417" t="s">
        <v>88</v>
      </c>
      <c r="E8749" s="423">
        <v>1.6605390558760169</v>
      </c>
      <c r="F8749" s="423">
        <v>1.0704031580144959</v>
      </c>
      <c r="G8749" s="422">
        <v>6555.6685929117029</v>
      </c>
      <c r="H8749" s="417" t="s">
        <v>2616</v>
      </c>
      <c r="I8749" s="417" t="s">
        <v>28841</v>
      </c>
      <c r="J8749" s="417" t="s">
        <v>3695</v>
      </c>
      <c r="K8749" s="417" t="s">
        <v>19950</v>
      </c>
      <c r="L8749" s="417"/>
      <c r="M8749" s="417" t="s">
        <v>28840</v>
      </c>
    </row>
    <row r="8750" spans="1:13" x14ac:dyDescent="0.25">
      <c r="A8750" s="417" t="s">
        <v>3385</v>
      </c>
      <c r="B8750" s="417" t="s">
        <v>2627</v>
      </c>
      <c r="C8750" s="417" t="s">
        <v>19951</v>
      </c>
      <c r="D8750" s="417" t="s">
        <v>88</v>
      </c>
      <c r="E8750" s="423">
        <v>0.41639490307842841</v>
      </c>
      <c r="F8750" s="423">
        <v>2.1309742406400149E-2</v>
      </c>
      <c r="G8750" s="422">
        <v>699.86729348366885</v>
      </c>
      <c r="H8750" s="417" t="s">
        <v>2616</v>
      </c>
      <c r="I8750" s="417" t="s">
        <v>1392</v>
      </c>
      <c r="J8750" s="417" t="s">
        <v>3742</v>
      </c>
      <c r="K8750" s="417" t="s">
        <v>19952</v>
      </c>
      <c r="L8750" s="417"/>
      <c r="M8750" s="417" t="s">
        <v>28840</v>
      </c>
    </row>
    <row r="8751" spans="1:13" x14ac:dyDescent="0.25">
      <c r="A8751" s="417" t="s">
        <v>3385</v>
      </c>
      <c r="B8751" s="417" t="s">
        <v>2627</v>
      </c>
      <c r="C8751" s="417" t="s">
        <v>19953</v>
      </c>
      <c r="D8751" s="417" t="s">
        <v>88</v>
      </c>
      <c r="E8751" s="423">
        <v>2.1192521484508648</v>
      </c>
      <c r="F8751" s="423">
        <v>8.2082266216012306E-2</v>
      </c>
      <c r="G8751" s="422">
        <v>12178.63670678535</v>
      </c>
      <c r="H8751" s="417" t="s">
        <v>2616</v>
      </c>
      <c r="I8751" s="417" t="s">
        <v>1392</v>
      </c>
      <c r="J8751" s="417" t="s">
        <v>3742</v>
      </c>
      <c r="K8751" s="417" t="s">
        <v>19954</v>
      </c>
      <c r="L8751" s="417"/>
      <c r="M8751" s="417" t="s">
        <v>28840</v>
      </c>
    </row>
    <row r="8752" spans="1:13" x14ac:dyDescent="0.25">
      <c r="A8752" s="417" t="s">
        <v>3385</v>
      </c>
      <c r="B8752" s="417" t="s">
        <v>2627</v>
      </c>
      <c r="C8752" s="417" t="s">
        <v>19955</v>
      </c>
      <c r="D8752" s="417" t="s">
        <v>88</v>
      </c>
      <c r="E8752" s="423">
        <v>8.135702056367268E-2</v>
      </c>
      <c r="F8752" s="423">
        <v>2.7728449854936819E-3</v>
      </c>
      <c r="G8752" s="422">
        <v>422.68718676973162</v>
      </c>
      <c r="H8752" s="417" t="s">
        <v>2616</v>
      </c>
      <c r="I8752" s="417" t="s">
        <v>1392</v>
      </c>
      <c r="J8752" s="417" t="s">
        <v>3742</v>
      </c>
      <c r="K8752" s="417" t="s">
        <v>19956</v>
      </c>
      <c r="L8752" s="417"/>
      <c r="M8752" s="417" t="s">
        <v>28840</v>
      </c>
    </row>
    <row r="8753" spans="1:13" x14ac:dyDescent="0.25">
      <c r="A8753" s="417" t="s">
        <v>3385</v>
      </c>
      <c r="B8753" s="417" t="s">
        <v>2627</v>
      </c>
      <c r="C8753" s="417" t="s">
        <v>19957</v>
      </c>
      <c r="D8753" s="417" t="s">
        <v>88</v>
      </c>
      <c r="E8753" s="423">
        <v>0.95630871230193493</v>
      </c>
      <c r="F8753" s="423">
        <v>3.537911939877722E-2</v>
      </c>
      <c r="G8753" s="422">
        <v>1660.6296672709859</v>
      </c>
      <c r="H8753" s="417" t="s">
        <v>2616</v>
      </c>
      <c r="I8753" s="417" t="s">
        <v>1392</v>
      </c>
      <c r="J8753" s="417" t="s">
        <v>3742</v>
      </c>
      <c r="K8753" s="417" t="s">
        <v>19958</v>
      </c>
      <c r="L8753" s="417"/>
      <c r="M8753" s="417" t="s">
        <v>28840</v>
      </c>
    </row>
    <row r="8754" spans="1:13" x14ac:dyDescent="0.25">
      <c r="A8754" s="417" t="s">
        <v>3385</v>
      </c>
      <c r="B8754" s="417" t="s">
        <v>2627</v>
      </c>
      <c r="C8754" s="417" t="s">
        <v>19959</v>
      </c>
      <c r="D8754" s="417" t="s">
        <v>88</v>
      </c>
      <c r="E8754" s="423">
        <v>1.7328253260211419</v>
      </c>
      <c r="F8754" s="423">
        <v>0.21966460254133099</v>
      </c>
      <c r="G8754" s="422">
        <v>3973.2205669591631</v>
      </c>
      <c r="H8754" s="417" t="s">
        <v>2616</v>
      </c>
      <c r="I8754" s="417" t="s">
        <v>1392</v>
      </c>
      <c r="J8754" s="417" t="s">
        <v>3742</v>
      </c>
      <c r="K8754" s="417" t="s">
        <v>19960</v>
      </c>
      <c r="L8754" s="417"/>
      <c r="M8754" s="417" t="s">
        <v>28840</v>
      </c>
    </row>
    <row r="8755" spans="1:13" x14ac:dyDescent="0.25">
      <c r="A8755" s="417" t="s">
        <v>3385</v>
      </c>
      <c r="B8755" s="417" t="s">
        <v>2627</v>
      </c>
      <c r="C8755" s="417" t="s">
        <v>19961</v>
      </c>
      <c r="D8755" s="417" t="s">
        <v>88</v>
      </c>
      <c r="E8755" s="423">
        <v>8.7869805201110998E-2</v>
      </c>
      <c r="F8755" s="423">
        <v>7.7762494003321978E-3</v>
      </c>
      <c r="G8755" s="422">
        <v>182.08076562373449</v>
      </c>
      <c r="H8755" s="417" t="s">
        <v>2616</v>
      </c>
      <c r="I8755" s="417" t="s">
        <v>1392</v>
      </c>
      <c r="J8755" s="417" t="s">
        <v>3742</v>
      </c>
      <c r="K8755" s="417" t="s">
        <v>19962</v>
      </c>
      <c r="L8755" s="417"/>
      <c r="M8755" s="417" t="s">
        <v>28840</v>
      </c>
    </row>
    <row r="8756" spans="1:13" x14ac:dyDescent="0.25">
      <c r="A8756" s="417" t="s">
        <v>3385</v>
      </c>
      <c r="B8756" s="417" t="s">
        <v>2627</v>
      </c>
      <c r="C8756" s="417" t="s">
        <v>19963</v>
      </c>
      <c r="D8756" s="417" t="s">
        <v>88</v>
      </c>
      <c r="E8756" s="423">
        <v>0.1294838622014329</v>
      </c>
      <c r="F8756" s="423">
        <v>1.244426192597451E-2</v>
      </c>
      <c r="G8756" s="422">
        <v>268.78366820747829</v>
      </c>
      <c r="H8756" s="417" t="s">
        <v>2616</v>
      </c>
      <c r="I8756" s="417" t="s">
        <v>1392</v>
      </c>
      <c r="J8756" s="417" t="s">
        <v>3742</v>
      </c>
      <c r="K8756" s="417" t="s">
        <v>19964</v>
      </c>
      <c r="L8756" s="417"/>
      <c r="M8756" s="417" t="s">
        <v>28840</v>
      </c>
    </row>
    <row r="8757" spans="1:13" x14ac:dyDescent="0.25">
      <c r="A8757" s="417" t="s">
        <v>3385</v>
      </c>
      <c r="B8757" s="417" t="s">
        <v>2627</v>
      </c>
      <c r="C8757" s="417" t="s">
        <v>19965</v>
      </c>
      <c r="D8757" s="417" t="s">
        <v>88</v>
      </c>
      <c r="E8757" s="423">
        <v>5.3996828759193862</v>
      </c>
      <c r="F8757" s="423">
        <v>9.0365514903936101E-2</v>
      </c>
      <c r="G8757" s="422">
        <v>7803.0873493325371</v>
      </c>
      <c r="H8757" s="417" t="s">
        <v>2616</v>
      </c>
      <c r="I8757" s="417" t="s">
        <v>1392</v>
      </c>
      <c r="J8757" s="417" t="s">
        <v>3742</v>
      </c>
      <c r="K8757" s="417" t="s">
        <v>19966</v>
      </c>
      <c r="L8757" s="417"/>
      <c r="M8757" s="417" t="s">
        <v>28840</v>
      </c>
    </row>
    <row r="8758" spans="1:13" x14ac:dyDescent="0.25">
      <c r="A8758" s="417" t="s">
        <v>3385</v>
      </c>
      <c r="B8758" s="417" t="s">
        <v>2627</v>
      </c>
      <c r="C8758" s="417" t="s">
        <v>19967</v>
      </c>
      <c r="D8758" s="417" t="s">
        <v>88</v>
      </c>
      <c r="E8758" s="423">
        <v>4.7917240847753666</v>
      </c>
      <c r="F8758" s="423">
        <v>8.7468665945819882E-2</v>
      </c>
      <c r="G8758" s="422">
        <v>38838.454019711113</v>
      </c>
      <c r="H8758" s="417" t="s">
        <v>2616</v>
      </c>
      <c r="I8758" s="417" t="s">
        <v>1392</v>
      </c>
      <c r="J8758" s="417" t="s">
        <v>3742</v>
      </c>
      <c r="K8758" s="417" t="s">
        <v>19968</v>
      </c>
      <c r="L8758" s="417"/>
      <c r="M8758" s="417" t="s">
        <v>28840</v>
      </c>
    </row>
    <row r="8759" spans="1:13" x14ac:dyDescent="0.25">
      <c r="A8759" s="417" t="s">
        <v>3385</v>
      </c>
      <c r="B8759" s="417" t="s">
        <v>2627</v>
      </c>
      <c r="C8759" s="417" t="s">
        <v>19969</v>
      </c>
      <c r="D8759" s="417" t="s">
        <v>88</v>
      </c>
      <c r="E8759" s="423">
        <v>2.7403314109149819</v>
      </c>
      <c r="F8759" s="423">
        <v>0.173247618590705</v>
      </c>
      <c r="G8759" s="422">
        <v>9589.4875295203547</v>
      </c>
      <c r="H8759" s="417" t="s">
        <v>2616</v>
      </c>
      <c r="I8759" s="417" t="s">
        <v>1392</v>
      </c>
      <c r="J8759" s="417" t="s">
        <v>3742</v>
      </c>
      <c r="K8759" s="417" t="s">
        <v>19970</v>
      </c>
      <c r="L8759" s="417"/>
      <c r="M8759" s="417" t="s">
        <v>28840</v>
      </c>
    </row>
    <row r="8760" spans="1:13" x14ac:dyDescent="0.25">
      <c r="A8760" s="417" t="s">
        <v>3385</v>
      </c>
      <c r="B8760" s="417" t="s">
        <v>2627</v>
      </c>
      <c r="C8760" s="417" t="s">
        <v>19971</v>
      </c>
      <c r="D8760" s="417" t="s">
        <v>88</v>
      </c>
      <c r="E8760" s="423">
        <v>0.519444805116967</v>
      </c>
      <c r="F8760" s="423">
        <v>1.811655816714499E-2</v>
      </c>
      <c r="G8760" s="422">
        <v>877.18569462005701</v>
      </c>
      <c r="H8760" s="417" t="s">
        <v>2616</v>
      </c>
      <c r="I8760" s="417" t="s">
        <v>1392</v>
      </c>
      <c r="J8760" s="417" t="s">
        <v>3396</v>
      </c>
      <c r="K8760" s="417" t="s">
        <v>19972</v>
      </c>
      <c r="L8760" s="417"/>
      <c r="M8760" s="417" t="s">
        <v>28840</v>
      </c>
    </row>
    <row r="8761" spans="1:13" x14ac:dyDescent="0.25">
      <c r="A8761" s="417" t="s">
        <v>3385</v>
      </c>
      <c r="B8761" s="417" t="s">
        <v>2627</v>
      </c>
      <c r="C8761" s="417" t="s">
        <v>934</v>
      </c>
      <c r="D8761" s="417" t="s">
        <v>88</v>
      </c>
      <c r="E8761" s="423">
        <v>0.6812020267184673</v>
      </c>
      <c r="F8761" s="423">
        <v>8.0400278939195102E-2</v>
      </c>
      <c r="G8761" s="422">
        <v>1441.0619489286919</v>
      </c>
      <c r="H8761" s="417" t="s">
        <v>2616</v>
      </c>
      <c r="I8761" s="417" t="s">
        <v>28841</v>
      </c>
      <c r="J8761" s="417" t="s">
        <v>3742</v>
      </c>
      <c r="K8761" s="417" t="s">
        <v>19973</v>
      </c>
      <c r="L8761" s="417"/>
      <c r="M8761" s="417" t="s">
        <v>28840</v>
      </c>
    </row>
    <row r="8762" spans="1:13" x14ac:dyDescent="0.25">
      <c r="A8762" s="417" t="s">
        <v>3385</v>
      </c>
      <c r="B8762" s="417" t="s">
        <v>2627</v>
      </c>
      <c r="C8762" s="417" t="s">
        <v>19974</v>
      </c>
      <c r="D8762" s="417" t="s">
        <v>88</v>
      </c>
      <c r="E8762" s="423">
        <v>0.57229020308359269</v>
      </c>
      <c r="F8762" s="423">
        <v>6.6707407663870691E-2</v>
      </c>
      <c r="G8762" s="422">
        <v>1209.0431443672319</v>
      </c>
      <c r="H8762" s="417" t="s">
        <v>2616</v>
      </c>
      <c r="I8762" s="417" t="s">
        <v>1392</v>
      </c>
      <c r="J8762" s="417" t="s">
        <v>3742</v>
      </c>
      <c r="K8762" s="417" t="s">
        <v>19975</v>
      </c>
      <c r="L8762" s="417"/>
      <c r="M8762" s="417" t="s">
        <v>28840</v>
      </c>
    </row>
    <row r="8763" spans="1:13" x14ac:dyDescent="0.25">
      <c r="A8763" s="417" t="s">
        <v>3385</v>
      </c>
      <c r="B8763" s="417" t="s">
        <v>2627</v>
      </c>
      <c r="C8763" s="417" t="s">
        <v>19976</v>
      </c>
      <c r="D8763" s="417" t="s">
        <v>88</v>
      </c>
      <c r="E8763" s="423">
        <v>0.61188339149056958</v>
      </c>
      <c r="F8763" s="423">
        <v>7.175904356419241E-2</v>
      </c>
      <c r="G8763" s="422">
        <v>2052.3308535527281</v>
      </c>
      <c r="H8763" s="417" t="s">
        <v>2616</v>
      </c>
      <c r="I8763" s="417" t="s">
        <v>1392</v>
      </c>
      <c r="J8763" s="417" t="s">
        <v>3742</v>
      </c>
      <c r="K8763" s="417" t="s">
        <v>19977</v>
      </c>
      <c r="L8763" s="417"/>
      <c r="M8763" s="417" t="s">
        <v>28840</v>
      </c>
    </row>
    <row r="8764" spans="1:13" x14ac:dyDescent="0.25">
      <c r="A8764" s="417" t="s">
        <v>3385</v>
      </c>
      <c r="B8764" s="417" t="s">
        <v>2627</v>
      </c>
      <c r="C8764" s="417" t="s">
        <v>19978</v>
      </c>
      <c r="D8764" s="417" t="s">
        <v>88</v>
      </c>
      <c r="E8764" s="423">
        <v>0.61970032838469091</v>
      </c>
      <c r="F8764" s="423">
        <v>7.270868378193758E-2</v>
      </c>
      <c r="G8764" s="422">
        <v>1728.2190896128709</v>
      </c>
      <c r="H8764" s="417" t="s">
        <v>2616</v>
      </c>
      <c r="I8764" s="417" t="s">
        <v>1392</v>
      </c>
      <c r="J8764" s="417" t="s">
        <v>3742</v>
      </c>
      <c r="K8764" s="417" t="s">
        <v>19979</v>
      </c>
      <c r="L8764" s="417"/>
      <c r="M8764" s="417" t="s">
        <v>28840</v>
      </c>
    </row>
    <row r="8765" spans="1:13" x14ac:dyDescent="0.25">
      <c r="A8765" s="417" t="s">
        <v>3385</v>
      </c>
      <c r="B8765" s="417" t="s">
        <v>2627</v>
      </c>
      <c r="C8765" s="417" t="s">
        <v>942</v>
      </c>
      <c r="D8765" s="417" t="s">
        <v>88</v>
      </c>
      <c r="E8765" s="423">
        <v>0.60095029812097822</v>
      </c>
      <c r="F8765" s="423">
        <v>5.3346273506511499E-2</v>
      </c>
      <c r="G8765" s="422">
        <v>1399.872110095203</v>
      </c>
      <c r="H8765" s="417" t="s">
        <v>2616</v>
      </c>
      <c r="I8765" s="417" t="s">
        <v>28841</v>
      </c>
      <c r="J8765" s="417" t="s">
        <v>3742</v>
      </c>
      <c r="K8765" s="417" t="s">
        <v>19980</v>
      </c>
      <c r="L8765" s="417"/>
      <c r="M8765" s="417" t="s">
        <v>28840</v>
      </c>
    </row>
    <row r="8766" spans="1:13" x14ac:dyDescent="0.25">
      <c r="A8766" s="417" t="s">
        <v>3385</v>
      </c>
      <c r="B8766" s="417" t="s">
        <v>2627</v>
      </c>
      <c r="C8766" s="417" t="s">
        <v>19981</v>
      </c>
      <c r="D8766" s="417" t="s">
        <v>88</v>
      </c>
      <c r="E8766" s="423">
        <v>0.88728765679196864</v>
      </c>
      <c r="F8766" s="423">
        <v>7.0330937339264599E-2</v>
      </c>
      <c r="G8766" s="422">
        <v>2881.430795809455</v>
      </c>
      <c r="H8766" s="417" t="s">
        <v>2616</v>
      </c>
      <c r="I8766" s="417" t="s">
        <v>1392</v>
      </c>
      <c r="J8766" s="417" t="s">
        <v>18448</v>
      </c>
      <c r="K8766" s="417" t="s">
        <v>19982</v>
      </c>
      <c r="L8766" s="417"/>
      <c r="M8766" s="417" t="s">
        <v>28840</v>
      </c>
    </row>
    <row r="8767" spans="1:13" x14ac:dyDescent="0.25">
      <c r="A8767" s="417" t="s">
        <v>3385</v>
      </c>
      <c r="B8767" s="417" t="s">
        <v>2627</v>
      </c>
      <c r="C8767" s="417" t="s">
        <v>19983</v>
      </c>
      <c r="D8767" s="417" t="s">
        <v>88</v>
      </c>
      <c r="E8767" s="423">
        <v>3.2922896073075871</v>
      </c>
      <c r="F8767" s="423">
        <v>0.26159234916961349</v>
      </c>
      <c r="G8767" s="422">
        <v>6911.8703450259227</v>
      </c>
      <c r="H8767" s="417" t="s">
        <v>2616</v>
      </c>
      <c r="I8767" s="417" t="s">
        <v>1392</v>
      </c>
      <c r="J8767" s="417" t="s">
        <v>3396</v>
      </c>
      <c r="K8767" s="417" t="s">
        <v>19984</v>
      </c>
      <c r="L8767" s="417"/>
      <c r="M8767" s="417" t="s">
        <v>28840</v>
      </c>
    </row>
    <row r="8768" spans="1:13" x14ac:dyDescent="0.25">
      <c r="A8768" s="417" t="s">
        <v>3385</v>
      </c>
      <c r="B8768" s="417" t="s">
        <v>2627</v>
      </c>
      <c r="C8768" s="417" t="s">
        <v>19985</v>
      </c>
      <c r="D8768" s="417" t="s">
        <v>88</v>
      </c>
      <c r="E8768" s="423">
        <v>3.7087312673203612</v>
      </c>
      <c r="F8768" s="423">
        <v>7.0908799999999994E-2</v>
      </c>
      <c r="G8768" s="422">
        <v>6272.7756169748654</v>
      </c>
      <c r="H8768" s="417" t="s">
        <v>2616</v>
      </c>
      <c r="I8768" s="417" t="s">
        <v>1392</v>
      </c>
      <c r="J8768" s="417" t="s">
        <v>19986</v>
      </c>
      <c r="K8768" s="417" t="s">
        <v>19987</v>
      </c>
      <c r="L8768" s="417"/>
      <c r="M8768" s="417" t="s">
        <v>28840</v>
      </c>
    </row>
    <row r="8769" spans="1:13" x14ac:dyDescent="0.25">
      <c r="A8769" s="417" t="s">
        <v>3385</v>
      </c>
      <c r="B8769" s="417" t="s">
        <v>2627</v>
      </c>
      <c r="C8769" s="417" t="s">
        <v>19988</v>
      </c>
      <c r="D8769" s="417" t="s">
        <v>88</v>
      </c>
      <c r="E8769" s="423">
        <v>1.627430309492486</v>
      </c>
      <c r="F8769" s="423">
        <v>3.8469299999999998E-2</v>
      </c>
      <c r="G8769" s="422">
        <v>2926.400863412744</v>
      </c>
      <c r="H8769" s="417" t="s">
        <v>2616</v>
      </c>
      <c r="I8769" s="417" t="s">
        <v>1392</v>
      </c>
      <c r="J8769" s="417" t="s">
        <v>19986</v>
      </c>
      <c r="K8769" s="417" t="s">
        <v>19989</v>
      </c>
      <c r="L8769" s="417"/>
      <c r="M8769" s="417" t="s">
        <v>28840</v>
      </c>
    </row>
    <row r="8770" spans="1:13" x14ac:dyDescent="0.25">
      <c r="A8770" s="417" t="s">
        <v>3385</v>
      </c>
      <c r="B8770" s="417" t="s">
        <v>2627</v>
      </c>
      <c r="C8770" s="417" t="s">
        <v>19990</v>
      </c>
      <c r="D8770" s="417" t="s">
        <v>88</v>
      </c>
      <c r="E8770" s="423">
        <v>1.6123231494191359</v>
      </c>
      <c r="F8770" s="423">
        <v>8.3640599999999996E-2</v>
      </c>
      <c r="G8770" s="422">
        <v>3090.3154870668309</v>
      </c>
      <c r="H8770" s="417" t="s">
        <v>2616</v>
      </c>
      <c r="I8770" s="417" t="s">
        <v>1392</v>
      </c>
      <c r="J8770" s="417" t="s">
        <v>19986</v>
      </c>
      <c r="K8770" s="417" t="s">
        <v>19991</v>
      </c>
      <c r="L8770" s="417"/>
      <c r="M8770" s="417" t="s">
        <v>28840</v>
      </c>
    </row>
    <row r="8771" spans="1:13" x14ac:dyDescent="0.25">
      <c r="A8771" s="417" t="s">
        <v>3385</v>
      </c>
      <c r="B8771" s="417" t="s">
        <v>2627</v>
      </c>
      <c r="C8771" s="417" t="s">
        <v>19992</v>
      </c>
      <c r="D8771" s="417" t="s">
        <v>88</v>
      </c>
      <c r="E8771" s="423">
        <v>2.4472866569514982</v>
      </c>
      <c r="F8771" s="423">
        <v>0.30576725719416381</v>
      </c>
      <c r="G8771" s="422">
        <v>6316.7755368586404</v>
      </c>
      <c r="H8771" s="417" t="s">
        <v>2616</v>
      </c>
      <c r="I8771" s="417" t="s">
        <v>1392</v>
      </c>
      <c r="J8771" s="417" t="s">
        <v>3742</v>
      </c>
      <c r="K8771" s="417" t="s">
        <v>19993</v>
      </c>
      <c r="L8771" s="417"/>
      <c r="M8771" s="417" t="s">
        <v>28840</v>
      </c>
    </row>
    <row r="8772" spans="1:13" x14ac:dyDescent="0.25">
      <c r="A8772" s="417" t="s">
        <v>3385</v>
      </c>
      <c r="B8772" s="417" t="s">
        <v>2627</v>
      </c>
      <c r="C8772" s="417" t="s">
        <v>19994</v>
      </c>
      <c r="D8772" s="417" t="s">
        <v>88</v>
      </c>
      <c r="E8772" s="423">
        <v>1.0023433185291639</v>
      </c>
      <c r="F8772" s="423">
        <v>8.3492075623964074E-2</v>
      </c>
      <c r="G8772" s="422">
        <v>2037.202105522814</v>
      </c>
      <c r="H8772" s="417" t="s">
        <v>2616</v>
      </c>
      <c r="I8772" s="417" t="s">
        <v>1392</v>
      </c>
      <c r="J8772" s="417" t="s">
        <v>3742</v>
      </c>
      <c r="K8772" s="417" t="s">
        <v>19995</v>
      </c>
      <c r="L8772" s="417"/>
      <c r="M8772" s="417" t="s">
        <v>28840</v>
      </c>
    </row>
    <row r="8773" spans="1:13" x14ac:dyDescent="0.25">
      <c r="A8773" s="417" t="s">
        <v>3385</v>
      </c>
      <c r="B8773" s="417" t="s">
        <v>2627</v>
      </c>
      <c r="C8773" s="417" t="s">
        <v>19996</v>
      </c>
      <c r="D8773" s="417" t="s">
        <v>88</v>
      </c>
      <c r="E8773" s="423">
        <v>2.8565561492077758</v>
      </c>
      <c r="F8773" s="423">
        <v>8.3965348572908854E-2</v>
      </c>
      <c r="G8773" s="422">
        <v>9898.6175667129191</v>
      </c>
      <c r="H8773" s="417" t="s">
        <v>2616</v>
      </c>
      <c r="I8773" s="417" t="s">
        <v>1392</v>
      </c>
      <c r="J8773" s="417" t="s">
        <v>3742</v>
      </c>
      <c r="K8773" s="417" t="s">
        <v>19997</v>
      </c>
      <c r="L8773" s="417"/>
      <c r="M8773" s="417" t="s">
        <v>28840</v>
      </c>
    </row>
    <row r="8774" spans="1:13" x14ac:dyDescent="0.25">
      <c r="A8774" s="417" t="s">
        <v>3385</v>
      </c>
      <c r="B8774" s="417" t="s">
        <v>2627</v>
      </c>
      <c r="C8774" s="417" t="s">
        <v>19998</v>
      </c>
      <c r="D8774" s="417" t="s">
        <v>88</v>
      </c>
      <c r="E8774" s="423">
        <v>1.090039495488683</v>
      </c>
      <c r="F8774" s="423">
        <v>2.9599238647686821E-2</v>
      </c>
      <c r="G8774" s="422">
        <v>1609.831349931668</v>
      </c>
      <c r="H8774" s="417" t="s">
        <v>2616</v>
      </c>
      <c r="I8774" s="417" t="s">
        <v>1392</v>
      </c>
      <c r="J8774" s="417" t="s">
        <v>3742</v>
      </c>
      <c r="K8774" s="417" t="s">
        <v>19999</v>
      </c>
      <c r="L8774" s="417"/>
      <c r="M8774" s="417" t="s">
        <v>28840</v>
      </c>
    </row>
    <row r="8775" spans="1:13" x14ac:dyDescent="0.25">
      <c r="A8775" s="417" t="s">
        <v>3385</v>
      </c>
      <c r="B8775" s="417" t="s">
        <v>2627</v>
      </c>
      <c r="C8775" s="417" t="s">
        <v>20000</v>
      </c>
      <c r="D8775" s="417" t="s">
        <v>88</v>
      </c>
      <c r="E8775" s="423">
        <v>0.84061274574415756</v>
      </c>
      <c r="F8775" s="423">
        <v>2.012451973255357E-2</v>
      </c>
      <c r="G8775" s="422">
        <v>1210.1570660413249</v>
      </c>
      <c r="H8775" s="417" t="s">
        <v>2616</v>
      </c>
      <c r="I8775" s="417" t="s">
        <v>1392</v>
      </c>
      <c r="J8775" s="417" t="s">
        <v>3742</v>
      </c>
      <c r="K8775" s="417" t="s">
        <v>20001</v>
      </c>
      <c r="L8775" s="417"/>
      <c r="M8775" s="417" t="s">
        <v>28840</v>
      </c>
    </row>
    <row r="8776" spans="1:13" x14ac:dyDescent="0.25">
      <c r="A8776" s="417" t="s">
        <v>3385</v>
      </c>
      <c r="B8776" s="417" t="s">
        <v>2627</v>
      </c>
      <c r="C8776" s="417" t="s">
        <v>20002</v>
      </c>
      <c r="D8776" s="417" t="s">
        <v>88</v>
      </c>
      <c r="E8776" s="423">
        <v>0.5236413734527976</v>
      </c>
      <c r="F8776" s="423">
        <v>4.3250728475986017E-2</v>
      </c>
      <c r="G8776" s="422">
        <v>1195.089550952483</v>
      </c>
      <c r="H8776" s="417" t="s">
        <v>2616</v>
      </c>
      <c r="I8776" s="417" t="s">
        <v>1392</v>
      </c>
      <c r="J8776" s="417" t="s">
        <v>3742</v>
      </c>
      <c r="K8776" s="417" t="s">
        <v>20003</v>
      </c>
      <c r="L8776" s="417"/>
      <c r="M8776" s="417" t="s">
        <v>28840</v>
      </c>
    </row>
    <row r="8777" spans="1:13" x14ac:dyDescent="0.25">
      <c r="A8777" s="417" t="s">
        <v>3385</v>
      </c>
      <c r="B8777" s="417" t="s">
        <v>2627</v>
      </c>
      <c r="C8777" s="417" t="s">
        <v>20004</v>
      </c>
      <c r="D8777" s="417" t="s">
        <v>88</v>
      </c>
      <c r="E8777" s="423">
        <v>1.359037713174708</v>
      </c>
      <c r="F8777" s="423">
        <v>6.2707390174437758E-2</v>
      </c>
      <c r="G8777" s="422">
        <v>2384.863165709236</v>
      </c>
      <c r="H8777" s="417" t="s">
        <v>2616</v>
      </c>
      <c r="I8777" s="417" t="s">
        <v>1392</v>
      </c>
      <c r="J8777" s="417" t="s">
        <v>3742</v>
      </c>
      <c r="K8777" s="417" t="s">
        <v>20005</v>
      </c>
      <c r="L8777" s="417"/>
      <c r="M8777" s="417" t="s">
        <v>28840</v>
      </c>
    </row>
    <row r="8778" spans="1:13" x14ac:dyDescent="0.25">
      <c r="A8778" s="417" t="s">
        <v>3385</v>
      </c>
      <c r="B8778" s="417" t="s">
        <v>2627</v>
      </c>
      <c r="C8778" s="417" t="s">
        <v>20006</v>
      </c>
      <c r="D8778" s="417" t="s">
        <v>88</v>
      </c>
      <c r="E8778" s="423">
        <v>0.66820828586676151</v>
      </c>
      <c r="F8778" s="423">
        <v>4.0520180318963053E-2</v>
      </c>
      <c r="G8778" s="422">
        <v>1759.295021139819</v>
      </c>
      <c r="H8778" s="417" t="s">
        <v>2616</v>
      </c>
      <c r="I8778" s="417" t="s">
        <v>1392</v>
      </c>
      <c r="J8778" s="417" t="s">
        <v>3742</v>
      </c>
      <c r="K8778" s="417" t="s">
        <v>20007</v>
      </c>
      <c r="L8778" s="417"/>
      <c r="M8778" s="417" t="s">
        <v>28840</v>
      </c>
    </row>
    <row r="8779" spans="1:13" x14ac:dyDescent="0.25">
      <c r="A8779" s="417" t="s">
        <v>3385</v>
      </c>
      <c r="B8779" s="417" t="s">
        <v>2627</v>
      </c>
      <c r="C8779" s="417" t="s">
        <v>20008</v>
      </c>
      <c r="D8779" s="417" t="s">
        <v>88</v>
      </c>
      <c r="E8779" s="423">
        <v>0.46595809281181161</v>
      </c>
      <c r="F8779" s="423">
        <v>1.897704999693452E-2</v>
      </c>
      <c r="G8779" s="422">
        <v>850.95986330653477</v>
      </c>
      <c r="H8779" s="417" t="s">
        <v>2616</v>
      </c>
      <c r="I8779" s="417" t="s">
        <v>1392</v>
      </c>
      <c r="J8779" s="417" t="s">
        <v>3742</v>
      </c>
      <c r="K8779" s="417" t="s">
        <v>20009</v>
      </c>
      <c r="L8779" s="417"/>
      <c r="M8779" s="417" t="s">
        <v>28840</v>
      </c>
    </row>
    <row r="8780" spans="1:13" x14ac:dyDescent="0.25">
      <c r="A8780" s="417" t="s">
        <v>3385</v>
      </c>
      <c r="B8780" s="417" t="s">
        <v>2627</v>
      </c>
      <c r="C8780" s="417" t="s">
        <v>20010</v>
      </c>
      <c r="D8780" s="417" t="s">
        <v>88</v>
      </c>
      <c r="E8780" s="423">
        <v>8.4580676932661608E-2</v>
      </c>
      <c r="F8780" s="423">
        <v>8.5545491117629512E-3</v>
      </c>
      <c r="G8780" s="422">
        <v>173.89314277637479</v>
      </c>
      <c r="H8780" s="417" t="s">
        <v>2616</v>
      </c>
      <c r="I8780" s="417" t="s">
        <v>1392</v>
      </c>
      <c r="J8780" s="417" t="s">
        <v>3742</v>
      </c>
      <c r="K8780" s="417" t="s">
        <v>20011</v>
      </c>
      <c r="L8780" s="417"/>
      <c r="M8780" s="417" t="s">
        <v>28840</v>
      </c>
    </row>
    <row r="8781" spans="1:13" x14ac:dyDescent="0.25">
      <c r="A8781" s="417" t="s">
        <v>3385</v>
      </c>
      <c r="B8781" s="417" t="s">
        <v>2627</v>
      </c>
      <c r="C8781" s="417" t="s">
        <v>20012</v>
      </c>
      <c r="D8781" s="417" t="s">
        <v>88</v>
      </c>
      <c r="E8781" s="423">
        <v>0.3643833756454915</v>
      </c>
      <c r="F8781" s="423">
        <v>1.999328423129022E-2</v>
      </c>
      <c r="G8781" s="422">
        <v>612.75345428532262</v>
      </c>
      <c r="H8781" s="417" t="s">
        <v>2616</v>
      </c>
      <c r="I8781" s="417" t="s">
        <v>1392</v>
      </c>
      <c r="J8781" s="417" t="s">
        <v>3742</v>
      </c>
      <c r="K8781" s="417" t="s">
        <v>20013</v>
      </c>
      <c r="L8781" s="417"/>
      <c r="M8781" s="417" t="s">
        <v>28840</v>
      </c>
    </row>
    <row r="8782" spans="1:13" x14ac:dyDescent="0.25">
      <c r="A8782" s="417" t="s">
        <v>3385</v>
      </c>
      <c r="B8782" s="417" t="s">
        <v>2627</v>
      </c>
      <c r="C8782" s="417" t="s">
        <v>20014</v>
      </c>
      <c r="D8782" s="417" t="s">
        <v>88</v>
      </c>
      <c r="E8782" s="423">
        <v>3.5210428205190092</v>
      </c>
      <c r="F8782" s="423">
        <v>0.25605267795279701</v>
      </c>
      <c r="G8782" s="422">
        <v>7762.2013406375136</v>
      </c>
      <c r="H8782" s="417" t="s">
        <v>2616</v>
      </c>
      <c r="I8782" s="417" t="s">
        <v>1392</v>
      </c>
      <c r="J8782" s="417" t="s">
        <v>3742</v>
      </c>
      <c r="K8782" s="417" t="s">
        <v>20015</v>
      </c>
      <c r="L8782" s="417"/>
      <c r="M8782" s="417" t="s">
        <v>28840</v>
      </c>
    </row>
    <row r="8783" spans="1:13" x14ac:dyDescent="0.25">
      <c r="A8783" s="417" t="s">
        <v>3385</v>
      </c>
      <c r="B8783" s="417" t="s">
        <v>2627</v>
      </c>
      <c r="C8783" s="417" t="s">
        <v>20016</v>
      </c>
      <c r="D8783" s="417" t="s">
        <v>88</v>
      </c>
      <c r="E8783" s="423">
        <v>3.2922492869406779</v>
      </c>
      <c r="F8783" s="423">
        <v>0.26158984797225587</v>
      </c>
      <c r="G8783" s="422">
        <v>6911.7903014338417</v>
      </c>
      <c r="H8783" s="417" t="s">
        <v>2616</v>
      </c>
      <c r="I8783" s="417" t="s">
        <v>1392</v>
      </c>
      <c r="J8783" s="417" t="s">
        <v>3742</v>
      </c>
      <c r="K8783" s="417" t="s">
        <v>20017</v>
      </c>
      <c r="L8783" s="417"/>
      <c r="M8783" s="417" t="s">
        <v>28840</v>
      </c>
    </row>
    <row r="8784" spans="1:13" x14ac:dyDescent="0.25">
      <c r="A8784" s="417" t="s">
        <v>3385</v>
      </c>
      <c r="B8784" s="417" t="s">
        <v>2627</v>
      </c>
      <c r="C8784" s="417" t="s">
        <v>20018</v>
      </c>
      <c r="D8784" s="417" t="s">
        <v>88</v>
      </c>
      <c r="E8784" s="423">
        <v>5.8560172466974931</v>
      </c>
      <c r="F8784" s="423">
        <v>0.16636864289003461</v>
      </c>
      <c r="G8784" s="422">
        <v>19060.411021003951</v>
      </c>
      <c r="H8784" s="417" t="s">
        <v>2616</v>
      </c>
      <c r="I8784" s="417" t="s">
        <v>1392</v>
      </c>
      <c r="J8784" s="417" t="s">
        <v>18448</v>
      </c>
      <c r="K8784" s="417" t="s">
        <v>20019</v>
      </c>
      <c r="L8784" s="417"/>
      <c r="M8784" s="417" t="s">
        <v>28840</v>
      </c>
    </row>
    <row r="8785" spans="1:13" x14ac:dyDescent="0.25">
      <c r="A8785" s="417" t="s">
        <v>3385</v>
      </c>
      <c r="B8785" s="417" t="s">
        <v>3405</v>
      </c>
      <c r="C8785" s="417" t="s">
        <v>20020</v>
      </c>
      <c r="D8785" s="417" t="s">
        <v>989</v>
      </c>
      <c r="E8785" s="423">
        <v>88289.598488232732</v>
      </c>
      <c r="F8785" s="423">
        <v>3816.502198078842</v>
      </c>
      <c r="G8785" s="422">
        <v>189521925.10191631</v>
      </c>
      <c r="H8785" s="417" t="s">
        <v>2616</v>
      </c>
      <c r="I8785" s="417" t="s">
        <v>1392</v>
      </c>
      <c r="J8785" s="417" t="s">
        <v>3588</v>
      </c>
      <c r="K8785" s="417" t="s">
        <v>20021</v>
      </c>
      <c r="L8785" s="417"/>
      <c r="M8785" s="417" t="s">
        <v>28840</v>
      </c>
    </row>
    <row r="8786" spans="1:13" x14ac:dyDescent="0.25">
      <c r="A8786" s="417" t="s">
        <v>3385</v>
      </c>
      <c r="B8786" s="417" t="s">
        <v>3405</v>
      </c>
      <c r="C8786" s="417" t="s">
        <v>20022</v>
      </c>
      <c r="D8786" s="417" t="s">
        <v>989</v>
      </c>
      <c r="E8786" s="423">
        <v>73516.003870498651</v>
      </c>
      <c r="F8786" s="423">
        <v>3337.4054134179928</v>
      </c>
      <c r="G8786" s="422">
        <v>157726318.3201575</v>
      </c>
      <c r="H8786" s="417" t="s">
        <v>2616</v>
      </c>
      <c r="I8786" s="417" t="s">
        <v>1392</v>
      </c>
      <c r="J8786" s="417" t="s">
        <v>3588</v>
      </c>
      <c r="K8786" s="417" t="s">
        <v>20023</v>
      </c>
      <c r="L8786" s="417"/>
      <c r="M8786" s="417" t="s">
        <v>28840</v>
      </c>
    </row>
    <row r="8787" spans="1:13" x14ac:dyDescent="0.25">
      <c r="A8787" s="417" t="s">
        <v>3385</v>
      </c>
      <c r="B8787" s="417" t="s">
        <v>2627</v>
      </c>
      <c r="C8787" s="417" t="s">
        <v>20024</v>
      </c>
      <c r="D8787" s="417" t="s">
        <v>88</v>
      </c>
      <c r="E8787" s="423">
        <v>11.413196082345751</v>
      </c>
      <c r="F8787" s="423">
        <v>0.80979987507757845</v>
      </c>
      <c r="G8787" s="422">
        <v>65173.270395400767</v>
      </c>
      <c r="H8787" s="417" t="s">
        <v>2616</v>
      </c>
      <c r="I8787" s="417" t="s">
        <v>1392</v>
      </c>
      <c r="J8787" s="417" t="s">
        <v>3703</v>
      </c>
      <c r="K8787" s="417" t="s">
        <v>20025</v>
      </c>
      <c r="L8787" s="417"/>
      <c r="M8787" s="417" t="s">
        <v>28840</v>
      </c>
    </row>
    <row r="8788" spans="1:13" x14ac:dyDescent="0.25">
      <c r="A8788" s="417" t="s">
        <v>3385</v>
      </c>
      <c r="B8788" s="417" t="s">
        <v>2627</v>
      </c>
      <c r="C8788" s="417" t="s">
        <v>20026</v>
      </c>
      <c r="D8788" s="417" t="s">
        <v>83</v>
      </c>
      <c r="E8788" s="423">
        <v>0</v>
      </c>
      <c r="F8788" s="423">
        <v>0</v>
      </c>
      <c r="G8788" s="422">
        <v>25704</v>
      </c>
      <c r="H8788" s="417" t="s">
        <v>2616</v>
      </c>
      <c r="I8788" s="417" t="s">
        <v>1392</v>
      </c>
      <c r="J8788" s="417" t="s">
        <v>3998</v>
      </c>
      <c r="K8788" s="417" t="s">
        <v>20027</v>
      </c>
      <c r="L8788" s="417"/>
      <c r="M8788" s="417" t="s">
        <v>28840</v>
      </c>
    </row>
    <row r="8789" spans="1:13" x14ac:dyDescent="0.25">
      <c r="A8789" s="417" t="s">
        <v>3385</v>
      </c>
      <c r="B8789" s="417" t="s">
        <v>2627</v>
      </c>
      <c r="C8789" s="417" t="s">
        <v>20028</v>
      </c>
      <c r="D8789" s="417" t="s">
        <v>83</v>
      </c>
      <c r="E8789" s="423">
        <v>0</v>
      </c>
      <c r="F8789" s="423">
        <v>0</v>
      </c>
      <c r="G8789" s="422">
        <v>25704</v>
      </c>
      <c r="H8789" s="417" t="s">
        <v>2616</v>
      </c>
      <c r="I8789" s="417" t="s">
        <v>1392</v>
      </c>
      <c r="J8789" s="417" t="s">
        <v>3998</v>
      </c>
      <c r="K8789" s="417" t="s">
        <v>20029</v>
      </c>
      <c r="L8789" s="417"/>
      <c r="M8789" s="417" t="s">
        <v>28840</v>
      </c>
    </row>
    <row r="8790" spans="1:13" x14ac:dyDescent="0.25">
      <c r="A8790" s="417" t="s">
        <v>3385</v>
      </c>
      <c r="B8790" s="417" t="s">
        <v>2627</v>
      </c>
      <c r="C8790" s="417" t="s">
        <v>20030</v>
      </c>
      <c r="D8790" s="417" t="s">
        <v>83</v>
      </c>
      <c r="E8790" s="423">
        <v>0.58283453769096583</v>
      </c>
      <c r="F8790" s="423">
        <v>3.9560704071785448E-2</v>
      </c>
      <c r="G8790" s="422">
        <v>5611.443684720095</v>
      </c>
      <c r="H8790" s="417" t="s">
        <v>2616</v>
      </c>
      <c r="I8790" s="417" t="s">
        <v>1392</v>
      </c>
      <c r="J8790" s="417" t="s">
        <v>4025</v>
      </c>
      <c r="K8790" s="417" t="s">
        <v>20031</v>
      </c>
      <c r="L8790" s="417"/>
      <c r="M8790" s="417" t="s">
        <v>28840</v>
      </c>
    </row>
    <row r="8791" spans="1:13" x14ac:dyDescent="0.25">
      <c r="A8791" s="417" t="s">
        <v>3385</v>
      </c>
      <c r="B8791" s="417" t="s">
        <v>2627</v>
      </c>
      <c r="C8791" s="417" t="s">
        <v>20032</v>
      </c>
      <c r="D8791" s="417" t="s">
        <v>83</v>
      </c>
      <c r="E8791" s="423">
        <v>0</v>
      </c>
      <c r="F8791" s="423">
        <v>0</v>
      </c>
      <c r="G8791" s="422">
        <v>25132.799999999999</v>
      </c>
      <c r="H8791" s="417" t="s">
        <v>2616</v>
      </c>
      <c r="I8791" s="417" t="s">
        <v>1392</v>
      </c>
      <c r="J8791" s="417" t="s">
        <v>4025</v>
      </c>
      <c r="K8791" s="417" t="s">
        <v>20033</v>
      </c>
      <c r="L8791" s="417"/>
      <c r="M8791" s="417" t="s">
        <v>28840</v>
      </c>
    </row>
    <row r="8792" spans="1:13" x14ac:dyDescent="0.25">
      <c r="A8792" s="417" t="s">
        <v>3385</v>
      </c>
      <c r="B8792" s="417" t="s">
        <v>2627</v>
      </c>
      <c r="C8792" s="417" t="s">
        <v>20034</v>
      </c>
      <c r="D8792" s="417" t="s">
        <v>563</v>
      </c>
      <c r="E8792" s="423">
        <v>110.74378638047109</v>
      </c>
      <c r="F8792" s="423">
        <v>6.0906801752618289</v>
      </c>
      <c r="G8792" s="422">
        <v>161799.45921163881</v>
      </c>
      <c r="H8792" s="417" t="s">
        <v>2616</v>
      </c>
      <c r="I8792" s="417" t="s">
        <v>1392</v>
      </c>
      <c r="J8792" s="417" t="s">
        <v>4138</v>
      </c>
      <c r="K8792" s="417" t="s">
        <v>20035</v>
      </c>
      <c r="L8792" s="417"/>
      <c r="M8792" s="417" t="s">
        <v>28840</v>
      </c>
    </row>
    <row r="8793" spans="1:13" x14ac:dyDescent="0.25">
      <c r="A8793" s="417" t="s">
        <v>3385</v>
      </c>
      <c r="B8793" s="417" t="s">
        <v>2627</v>
      </c>
      <c r="C8793" s="417" t="s">
        <v>20036</v>
      </c>
      <c r="D8793" s="417" t="s">
        <v>563</v>
      </c>
      <c r="E8793" s="423">
        <v>120.69342189921529</v>
      </c>
      <c r="F8793" s="423">
        <v>6.6478256902119757</v>
      </c>
      <c r="G8793" s="422">
        <v>175069.62939209031</v>
      </c>
      <c r="H8793" s="417" t="s">
        <v>2616</v>
      </c>
      <c r="I8793" s="417" t="s">
        <v>1392</v>
      </c>
      <c r="J8793" s="417" t="s">
        <v>4138</v>
      </c>
      <c r="K8793" s="417" t="s">
        <v>20037</v>
      </c>
      <c r="L8793" s="417"/>
      <c r="M8793" s="417" t="s">
        <v>28840</v>
      </c>
    </row>
    <row r="8794" spans="1:13" x14ac:dyDescent="0.25">
      <c r="A8794" s="417" t="s">
        <v>3385</v>
      </c>
      <c r="B8794" s="417" t="s">
        <v>2627</v>
      </c>
      <c r="C8794" s="417" t="s">
        <v>20038</v>
      </c>
      <c r="D8794" s="417" t="s">
        <v>563</v>
      </c>
      <c r="E8794" s="423">
        <v>107.8727638514937</v>
      </c>
      <c r="F8794" s="423">
        <v>5.9083941801573552</v>
      </c>
      <c r="G8794" s="422">
        <v>159651.93976056069</v>
      </c>
      <c r="H8794" s="417" t="s">
        <v>2616</v>
      </c>
      <c r="I8794" s="417" t="s">
        <v>1392</v>
      </c>
      <c r="J8794" s="417" t="s">
        <v>4138</v>
      </c>
      <c r="K8794" s="417" t="s">
        <v>20039</v>
      </c>
      <c r="L8794" s="417"/>
      <c r="M8794" s="417" t="s">
        <v>28840</v>
      </c>
    </row>
    <row r="8795" spans="1:13" x14ac:dyDescent="0.25">
      <c r="A8795" s="417" t="s">
        <v>3385</v>
      </c>
      <c r="B8795" s="417" t="s">
        <v>2627</v>
      </c>
      <c r="C8795" s="417" t="s">
        <v>20040</v>
      </c>
      <c r="D8795" s="417" t="s">
        <v>563</v>
      </c>
      <c r="E8795" s="423">
        <v>105.7293261581478</v>
      </c>
      <c r="F8795" s="423">
        <v>5.7993230995920246</v>
      </c>
      <c r="G8795" s="422">
        <v>155187.49062355221</v>
      </c>
      <c r="H8795" s="417" t="s">
        <v>2616</v>
      </c>
      <c r="I8795" s="417" t="s">
        <v>1392</v>
      </c>
      <c r="J8795" s="417" t="s">
        <v>4138</v>
      </c>
      <c r="K8795" s="417" t="s">
        <v>20041</v>
      </c>
      <c r="L8795" s="417"/>
      <c r="M8795" s="417" t="s">
        <v>28840</v>
      </c>
    </row>
    <row r="8796" spans="1:13" x14ac:dyDescent="0.25">
      <c r="A8796" s="417" t="s">
        <v>3385</v>
      </c>
      <c r="B8796" s="417" t="s">
        <v>2627</v>
      </c>
      <c r="C8796" s="417" t="s">
        <v>20042</v>
      </c>
      <c r="D8796" s="417" t="s">
        <v>563</v>
      </c>
      <c r="E8796" s="423">
        <v>108.6794700283548</v>
      </c>
      <c r="F8796" s="423">
        <v>6.0071666415688112</v>
      </c>
      <c r="G8796" s="422">
        <v>157289.04781374009</v>
      </c>
      <c r="H8796" s="417" t="s">
        <v>2616</v>
      </c>
      <c r="I8796" s="417" t="s">
        <v>1392</v>
      </c>
      <c r="J8796" s="417" t="s">
        <v>4138</v>
      </c>
      <c r="K8796" s="417" t="s">
        <v>20043</v>
      </c>
      <c r="L8796" s="417"/>
      <c r="M8796" s="417" t="s">
        <v>28840</v>
      </c>
    </row>
    <row r="8797" spans="1:13" x14ac:dyDescent="0.25">
      <c r="A8797" s="417" t="s">
        <v>3385</v>
      </c>
      <c r="B8797" s="417" t="s">
        <v>3405</v>
      </c>
      <c r="C8797" s="417" t="s">
        <v>20044</v>
      </c>
      <c r="D8797" s="417" t="s">
        <v>989</v>
      </c>
      <c r="E8797" s="423">
        <v>1399962.265251939</v>
      </c>
      <c r="F8797" s="423">
        <v>476423.5110886466</v>
      </c>
      <c r="G8797" s="422">
        <v>4098163427.675127</v>
      </c>
      <c r="H8797" s="417" t="s">
        <v>2616</v>
      </c>
      <c r="I8797" s="417" t="s">
        <v>1392</v>
      </c>
      <c r="J8797" s="417" t="s">
        <v>10869</v>
      </c>
      <c r="K8797" s="417" t="s">
        <v>20045</v>
      </c>
      <c r="L8797" s="417"/>
      <c r="M8797" s="417" t="s">
        <v>28840</v>
      </c>
    </row>
    <row r="8798" spans="1:13" x14ac:dyDescent="0.25">
      <c r="A8798" s="417" t="s">
        <v>3385</v>
      </c>
      <c r="B8798" s="417" t="s">
        <v>2627</v>
      </c>
      <c r="C8798" s="417" t="s">
        <v>20046</v>
      </c>
      <c r="D8798" s="417" t="s">
        <v>88</v>
      </c>
      <c r="E8798" s="423">
        <v>4.6823481138067056</v>
      </c>
      <c r="F8798" s="423">
        <v>0.42961969118330412</v>
      </c>
      <c r="G8798" s="422">
        <v>8475.5789691936607</v>
      </c>
      <c r="H8798" s="417" t="s">
        <v>2616</v>
      </c>
      <c r="I8798" s="417" t="s">
        <v>1392</v>
      </c>
      <c r="J8798" s="417" t="s">
        <v>11080</v>
      </c>
      <c r="K8798" s="417" t="s">
        <v>20047</v>
      </c>
      <c r="L8798" s="417"/>
      <c r="M8798" s="417" t="s">
        <v>28840</v>
      </c>
    </row>
    <row r="8799" spans="1:13" x14ac:dyDescent="0.25">
      <c r="A8799" s="417" t="s">
        <v>3385</v>
      </c>
      <c r="B8799" s="417" t="s">
        <v>2627</v>
      </c>
      <c r="C8799" s="417" t="s">
        <v>20048</v>
      </c>
      <c r="D8799" s="417" t="s">
        <v>88</v>
      </c>
      <c r="E8799" s="423">
        <v>1.1087899299754209</v>
      </c>
      <c r="F8799" s="423">
        <v>3.2819524003342211E-2</v>
      </c>
      <c r="G8799" s="422">
        <v>1713.918710795951</v>
      </c>
      <c r="H8799" s="417" t="s">
        <v>2616</v>
      </c>
      <c r="I8799" s="417" t="s">
        <v>1392</v>
      </c>
      <c r="J8799" s="417" t="s">
        <v>11080</v>
      </c>
      <c r="K8799" s="417" t="s">
        <v>20049</v>
      </c>
      <c r="L8799" s="417"/>
      <c r="M8799" s="417" t="s">
        <v>28840</v>
      </c>
    </row>
    <row r="8800" spans="1:13" x14ac:dyDescent="0.25">
      <c r="A8800" s="417" t="s">
        <v>3385</v>
      </c>
      <c r="B8800" s="417" t="s">
        <v>3405</v>
      </c>
      <c r="C8800" s="417" t="s">
        <v>20050</v>
      </c>
      <c r="D8800" s="417" t="s">
        <v>989</v>
      </c>
      <c r="E8800" s="423">
        <v>12027.57059816071</v>
      </c>
      <c r="F8800" s="423">
        <v>660.86382041349657</v>
      </c>
      <c r="G8800" s="422">
        <v>28170854.803621668</v>
      </c>
      <c r="H8800" s="417" t="s">
        <v>2616</v>
      </c>
      <c r="I8800" s="417" t="s">
        <v>1392</v>
      </c>
      <c r="J8800" s="417" t="s">
        <v>3414</v>
      </c>
      <c r="K8800" s="417" t="s">
        <v>20051</v>
      </c>
      <c r="L8800" s="417"/>
      <c r="M8800" s="417" t="s">
        <v>28840</v>
      </c>
    </row>
    <row r="8801" spans="1:13" x14ac:dyDescent="0.25">
      <c r="A8801" s="417" t="s">
        <v>3385</v>
      </c>
      <c r="B8801" s="417" t="s">
        <v>3405</v>
      </c>
      <c r="C8801" s="417" t="s">
        <v>20052</v>
      </c>
      <c r="D8801" s="417" t="s">
        <v>989</v>
      </c>
      <c r="E8801" s="423">
        <v>9576.6222828050886</v>
      </c>
      <c r="F8801" s="423">
        <v>551.86043107531168</v>
      </c>
      <c r="G8801" s="422">
        <v>22985738.916727751</v>
      </c>
      <c r="H8801" s="417" t="s">
        <v>2616</v>
      </c>
      <c r="I8801" s="417" t="s">
        <v>1392</v>
      </c>
      <c r="J8801" s="417" t="s">
        <v>3414</v>
      </c>
      <c r="K8801" s="417" t="s">
        <v>20053</v>
      </c>
      <c r="L8801" s="417"/>
      <c r="M8801" s="417" t="s">
        <v>28840</v>
      </c>
    </row>
    <row r="8802" spans="1:13" x14ac:dyDescent="0.25">
      <c r="A8802" s="417" t="s">
        <v>3385</v>
      </c>
      <c r="B8802" s="417" t="s">
        <v>3405</v>
      </c>
      <c r="C8802" s="417" t="s">
        <v>20054</v>
      </c>
      <c r="D8802" s="417" t="s">
        <v>989</v>
      </c>
      <c r="E8802" s="423">
        <v>2033.60086854479</v>
      </c>
      <c r="F8802" s="423">
        <v>195.8944900377343</v>
      </c>
      <c r="G8802" s="422">
        <v>4816196.159194001</v>
      </c>
      <c r="H8802" s="417" t="s">
        <v>2616</v>
      </c>
      <c r="I8802" s="417" t="s">
        <v>1392</v>
      </c>
      <c r="J8802" s="417" t="s">
        <v>10869</v>
      </c>
      <c r="K8802" s="417" t="s">
        <v>20055</v>
      </c>
      <c r="L8802" s="417"/>
      <c r="M8802" s="417" t="s">
        <v>28840</v>
      </c>
    </row>
    <row r="8803" spans="1:13" x14ac:dyDescent="0.25">
      <c r="A8803" s="417" t="s">
        <v>3385</v>
      </c>
      <c r="B8803" s="417" t="s">
        <v>3405</v>
      </c>
      <c r="C8803" s="417" t="s">
        <v>20056</v>
      </c>
      <c r="D8803" s="417" t="s">
        <v>989</v>
      </c>
      <c r="E8803" s="423">
        <v>2113.133574479662</v>
      </c>
      <c r="F8803" s="423">
        <v>113.9052735763599</v>
      </c>
      <c r="G8803" s="422">
        <v>5495614.6314643295</v>
      </c>
      <c r="H8803" s="417" t="s">
        <v>2616</v>
      </c>
      <c r="I8803" s="417" t="s">
        <v>1392</v>
      </c>
      <c r="J8803" s="417" t="s">
        <v>10869</v>
      </c>
      <c r="K8803" s="417" t="s">
        <v>20057</v>
      </c>
      <c r="L8803" s="417"/>
      <c r="M8803" s="417" t="s">
        <v>28840</v>
      </c>
    </row>
    <row r="8804" spans="1:13" x14ac:dyDescent="0.25">
      <c r="A8804" s="417" t="s">
        <v>3385</v>
      </c>
      <c r="B8804" s="417" t="s">
        <v>3405</v>
      </c>
      <c r="C8804" s="417" t="s">
        <v>20058</v>
      </c>
      <c r="D8804" s="417" t="s">
        <v>989</v>
      </c>
      <c r="E8804" s="423">
        <v>2878.8471676314889</v>
      </c>
      <c r="F8804" s="423">
        <v>159.4012838951119</v>
      </c>
      <c r="G8804" s="422">
        <v>7800511.1316530723</v>
      </c>
      <c r="H8804" s="417" t="s">
        <v>2616</v>
      </c>
      <c r="I8804" s="417" t="s">
        <v>1392</v>
      </c>
      <c r="J8804" s="417" t="s">
        <v>10869</v>
      </c>
      <c r="K8804" s="417" t="s">
        <v>20059</v>
      </c>
      <c r="L8804" s="417"/>
      <c r="M8804" s="417" t="s">
        <v>28840</v>
      </c>
    </row>
    <row r="8805" spans="1:13" x14ac:dyDescent="0.25">
      <c r="A8805" s="417" t="s">
        <v>3385</v>
      </c>
      <c r="B8805" s="417" t="s">
        <v>3405</v>
      </c>
      <c r="C8805" s="417" t="s">
        <v>20060</v>
      </c>
      <c r="D8805" s="417" t="s">
        <v>989</v>
      </c>
      <c r="E8805" s="423">
        <v>4131.2683062920023</v>
      </c>
      <c r="F8805" s="423">
        <v>218.72734951646311</v>
      </c>
      <c r="G8805" s="422">
        <v>9464214.7972481977</v>
      </c>
      <c r="H8805" s="417" t="s">
        <v>2616</v>
      </c>
      <c r="I8805" s="417" t="s">
        <v>1392</v>
      </c>
      <c r="J8805" s="417" t="s">
        <v>10869</v>
      </c>
      <c r="K8805" s="417" t="s">
        <v>20061</v>
      </c>
      <c r="L8805" s="417"/>
      <c r="M8805" s="417" t="s">
        <v>28840</v>
      </c>
    </row>
    <row r="8806" spans="1:13" x14ac:dyDescent="0.25">
      <c r="A8806" s="417" t="s">
        <v>3385</v>
      </c>
      <c r="B8806" s="417" t="s">
        <v>3405</v>
      </c>
      <c r="C8806" s="417" t="s">
        <v>20062</v>
      </c>
      <c r="D8806" s="417" t="s">
        <v>989</v>
      </c>
      <c r="E8806" s="423">
        <v>4229.6738886402154</v>
      </c>
      <c r="F8806" s="423">
        <v>238.78739859770121</v>
      </c>
      <c r="G8806" s="422">
        <v>11470094.45434425</v>
      </c>
      <c r="H8806" s="417" t="s">
        <v>2616</v>
      </c>
      <c r="I8806" s="417" t="s">
        <v>1392</v>
      </c>
      <c r="J8806" s="417" t="s">
        <v>10869</v>
      </c>
      <c r="K8806" s="417" t="s">
        <v>20063</v>
      </c>
      <c r="L8806" s="417"/>
      <c r="M8806" s="417" t="s">
        <v>28840</v>
      </c>
    </row>
    <row r="8807" spans="1:13" x14ac:dyDescent="0.25">
      <c r="A8807" s="417" t="s">
        <v>3385</v>
      </c>
      <c r="B8807" s="417" t="s">
        <v>3405</v>
      </c>
      <c r="C8807" s="417" t="s">
        <v>20064</v>
      </c>
      <c r="D8807" s="417" t="s">
        <v>989</v>
      </c>
      <c r="E8807" s="423">
        <v>3882.942339147598</v>
      </c>
      <c r="F8807" s="423">
        <v>223.560797552092</v>
      </c>
      <c r="G8807" s="422">
        <v>10735194.62582683</v>
      </c>
      <c r="H8807" s="417" t="s">
        <v>2616</v>
      </c>
      <c r="I8807" s="417" t="s">
        <v>1392</v>
      </c>
      <c r="J8807" s="417" t="s">
        <v>10869</v>
      </c>
      <c r="K8807" s="417" t="s">
        <v>20065</v>
      </c>
      <c r="L8807" s="417"/>
      <c r="M8807" s="417" t="s">
        <v>28840</v>
      </c>
    </row>
    <row r="8808" spans="1:13" x14ac:dyDescent="0.25">
      <c r="A8808" s="417" t="s">
        <v>3385</v>
      </c>
      <c r="B8808" s="417" t="s">
        <v>3405</v>
      </c>
      <c r="C8808" s="417" t="s">
        <v>20066</v>
      </c>
      <c r="D8808" s="417" t="s">
        <v>989</v>
      </c>
      <c r="E8808" s="423">
        <v>1273.266445171399</v>
      </c>
      <c r="F8808" s="423">
        <v>64.866354415983182</v>
      </c>
      <c r="G8808" s="422">
        <v>3281114.2413973189</v>
      </c>
      <c r="H8808" s="417" t="s">
        <v>2616</v>
      </c>
      <c r="I8808" s="417" t="s">
        <v>1392</v>
      </c>
      <c r="J8808" s="417" t="s">
        <v>10869</v>
      </c>
      <c r="K8808" s="417" t="s">
        <v>20067</v>
      </c>
      <c r="L8808" s="417"/>
      <c r="M8808" s="417" t="s">
        <v>28840</v>
      </c>
    </row>
    <row r="8809" spans="1:13" x14ac:dyDescent="0.25">
      <c r="A8809" s="417" t="s">
        <v>3385</v>
      </c>
      <c r="B8809" s="417" t="s">
        <v>3405</v>
      </c>
      <c r="C8809" s="417" t="s">
        <v>20068</v>
      </c>
      <c r="D8809" s="417" t="s">
        <v>989</v>
      </c>
      <c r="E8809" s="423">
        <v>9105.6589101717618</v>
      </c>
      <c r="F8809" s="423">
        <v>547.18510527346575</v>
      </c>
      <c r="G8809" s="422">
        <v>28464045.96428388</v>
      </c>
      <c r="H8809" s="417" t="s">
        <v>2616</v>
      </c>
      <c r="I8809" s="417" t="s">
        <v>1392</v>
      </c>
      <c r="J8809" s="417" t="s">
        <v>10869</v>
      </c>
      <c r="K8809" s="417" t="s">
        <v>20069</v>
      </c>
      <c r="L8809" s="417"/>
      <c r="M8809" s="417" t="s">
        <v>28840</v>
      </c>
    </row>
    <row r="8810" spans="1:13" x14ac:dyDescent="0.25">
      <c r="A8810" s="417" t="s">
        <v>3385</v>
      </c>
      <c r="B8810" s="417" t="s">
        <v>2627</v>
      </c>
      <c r="C8810" s="417" t="s">
        <v>20070</v>
      </c>
      <c r="D8810" s="417" t="s">
        <v>989</v>
      </c>
      <c r="E8810" s="423">
        <v>164863.16907899469</v>
      </c>
      <c r="F8810" s="423">
        <v>53006.246290952309</v>
      </c>
      <c r="G8810" s="422">
        <v>442120924.37402052</v>
      </c>
      <c r="H8810" s="417" t="s">
        <v>2616</v>
      </c>
      <c r="I8810" s="417" t="s">
        <v>1392</v>
      </c>
      <c r="J8810" s="417" t="s">
        <v>3711</v>
      </c>
      <c r="K8810" s="417" t="s">
        <v>20071</v>
      </c>
      <c r="L8810" s="417"/>
      <c r="M8810" s="417" t="s">
        <v>28840</v>
      </c>
    </row>
    <row r="8811" spans="1:13" x14ac:dyDescent="0.25">
      <c r="A8811" s="417" t="s">
        <v>3385</v>
      </c>
      <c r="B8811" s="417" t="s">
        <v>2627</v>
      </c>
      <c r="C8811" s="417" t="s">
        <v>20072</v>
      </c>
      <c r="D8811" s="417" t="s">
        <v>88</v>
      </c>
      <c r="E8811" s="423">
        <v>8.277867682172241</v>
      </c>
      <c r="F8811" s="423">
        <v>0.56624321904941533</v>
      </c>
      <c r="G8811" s="422">
        <v>47339.245448603608</v>
      </c>
      <c r="H8811" s="417" t="s">
        <v>2616</v>
      </c>
      <c r="I8811" s="417" t="s">
        <v>1392</v>
      </c>
      <c r="J8811" s="417" t="s">
        <v>3703</v>
      </c>
      <c r="K8811" s="417" t="s">
        <v>20073</v>
      </c>
      <c r="L8811" s="417"/>
      <c r="M8811" s="417" t="s">
        <v>28840</v>
      </c>
    </row>
    <row r="8812" spans="1:13" x14ac:dyDescent="0.25">
      <c r="A8812" s="417" t="s">
        <v>3385</v>
      </c>
      <c r="B8812" s="417" t="s">
        <v>2627</v>
      </c>
      <c r="C8812" s="417" t="s">
        <v>20074</v>
      </c>
      <c r="D8812" s="417" t="s">
        <v>88</v>
      </c>
      <c r="E8812" s="423">
        <v>16.498935302599509</v>
      </c>
      <c r="F8812" s="423">
        <v>0.98101729622338674</v>
      </c>
      <c r="G8812" s="422">
        <v>129752.43770626459</v>
      </c>
      <c r="H8812" s="417" t="s">
        <v>2616</v>
      </c>
      <c r="I8812" s="417" t="s">
        <v>1392</v>
      </c>
      <c r="J8812" s="417" t="s">
        <v>3703</v>
      </c>
      <c r="K8812" s="417" t="s">
        <v>20075</v>
      </c>
      <c r="L8812" s="417"/>
      <c r="M8812" s="417" t="s">
        <v>28840</v>
      </c>
    </row>
    <row r="8813" spans="1:13" x14ac:dyDescent="0.25">
      <c r="A8813" s="417" t="s">
        <v>3385</v>
      </c>
      <c r="B8813" s="417" t="s">
        <v>2627</v>
      </c>
      <c r="C8813" s="417" t="s">
        <v>20076</v>
      </c>
      <c r="D8813" s="417" t="s">
        <v>88</v>
      </c>
      <c r="E8813" s="423">
        <v>13.7063430756993</v>
      </c>
      <c r="F8813" s="423">
        <v>0.73425751647569393</v>
      </c>
      <c r="G8813" s="422">
        <v>58498.825838940589</v>
      </c>
      <c r="H8813" s="417" t="s">
        <v>2616</v>
      </c>
      <c r="I8813" s="417" t="s">
        <v>1392</v>
      </c>
      <c r="J8813" s="417" t="s">
        <v>3703</v>
      </c>
      <c r="K8813" s="417" t="s">
        <v>20077</v>
      </c>
      <c r="L8813" s="417"/>
      <c r="M8813" s="417" t="s">
        <v>28840</v>
      </c>
    </row>
    <row r="8814" spans="1:13" x14ac:dyDescent="0.25">
      <c r="A8814" s="417" t="s">
        <v>3385</v>
      </c>
      <c r="B8814" s="417" t="s">
        <v>2627</v>
      </c>
      <c r="C8814" s="417" t="s">
        <v>20078</v>
      </c>
      <c r="D8814" s="417" t="s">
        <v>88</v>
      </c>
      <c r="E8814" s="423">
        <v>21.843826268212599</v>
      </c>
      <c r="F8814" s="423">
        <v>1.1526751557823669</v>
      </c>
      <c r="G8814" s="422">
        <v>136488.60994571881</v>
      </c>
      <c r="H8814" s="417" t="s">
        <v>2616</v>
      </c>
      <c r="I8814" s="417" t="s">
        <v>1392</v>
      </c>
      <c r="J8814" s="417" t="s">
        <v>3703</v>
      </c>
      <c r="K8814" s="417" t="s">
        <v>20079</v>
      </c>
      <c r="L8814" s="417"/>
      <c r="M8814" s="417" t="s">
        <v>28840</v>
      </c>
    </row>
    <row r="8815" spans="1:13" x14ac:dyDescent="0.25">
      <c r="A8815" s="417" t="s">
        <v>3385</v>
      </c>
      <c r="B8815" s="417" t="s">
        <v>2627</v>
      </c>
      <c r="C8815" s="417" t="s">
        <v>1119</v>
      </c>
      <c r="D8815" s="417" t="s">
        <v>88</v>
      </c>
      <c r="E8815" s="423">
        <v>0.93950867091930024</v>
      </c>
      <c r="F8815" s="423">
        <v>2.405044685232383</v>
      </c>
      <c r="G8815" s="422">
        <v>2332.7461669571499</v>
      </c>
      <c r="H8815" s="417" t="s">
        <v>2616</v>
      </c>
      <c r="I8815" s="417" t="s">
        <v>28841</v>
      </c>
      <c r="J8815" s="417" t="s">
        <v>5179</v>
      </c>
      <c r="K8815" s="417" t="s">
        <v>20080</v>
      </c>
      <c r="L8815" s="417"/>
      <c r="M8815" s="417" t="s">
        <v>28840</v>
      </c>
    </row>
    <row r="8816" spans="1:13" x14ac:dyDescent="0.25">
      <c r="A8816" s="417" t="s">
        <v>3385</v>
      </c>
      <c r="B8816" s="417" t="s">
        <v>3655</v>
      </c>
      <c r="C8816" s="417" t="s">
        <v>20081</v>
      </c>
      <c r="D8816" s="417" t="s">
        <v>88</v>
      </c>
      <c r="E8816" s="423">
        <v>3.4757888491596649E-3</v>
      </c>
      <c r="F8816" s="423">
        <v>1.504662502038793E-4</v>
      </c>
      <c r="G8816" s="422">
        <v>6.6389565844823002</v>
      </c>
      <c r="H8816" s="417" t="s">
        <v>2616</v>
      </c>
      <c r="I8816" s="417" t="s">
        <v>1392</v>
      </c>
      <c r="J8816" s="417" t="s">
        <v>3918</v>
      </c>
      <c r="K8816" s="417" t="s">
        <v>20082</v>
      </c>
      <c r="L8816" s="417"/>
      <c r="M8816" s="417" t="s">
        <v>28840</v>
      </c>
    </row>
    <row r="8817" spans="1:13" x14ac:dyDescent="0.25">
      <c r="A8817" s="417" t="s">
        <v>3385</v>
      </c>
      <c r="B8817" s="417" t="s">
        <v>2627</v>
      </c>
      <c r="C8817" s="417" t="s">
        <v>20083</v>
      </c>
      <c r="D8817" s="417" t="s">
        <v>989</v>
      </c>
      <c r="E8817" s="423">
        <v>16.059802168439781</v>
      </c>
      <c r="F8817" s="423">
        <v>0.60375424270903</v>
      </c>
      <c r="G8817" s="422">
        <v>36295.49877632624</v>
      </c>
      <c r="H8817" s="417" t="s">
        <v>2616</v>
      </c>
      <c r="I8817" s="417" t="s">
        <v>1392</v>
      </c>
      <c r="J8817" s="417" t="s">
        <v>3899</v>
      </c>
      <c r="K8817" s="417" t="s">
        <v>20084</v>
      </c>
      <c r="L8817" s="417"/>
      <c r="M8817" s="417" t="s">
        <v>28840</v>
      </c>
    </row>
    <row r="8818" spans="1:13" x14ac:dyDescent="0.25">
      <c r="A8818" s="417" t="s">
        <v>3385</v>
      </c>
      <c r="B8818" s="417" t="s">
        <v>2627</v>
      </c>
      <c r="C8818" s="417" t="s">
        <v>1122</v>
      </c>
      <c r="D8818" s="417" t="s">
        <v>88</v>
      </c>
      <c r="E8818" s="423">
        <v>0.76549207673205444</v>
      </c>
      <c r="F8818" s="423">
        <v>2.098130690289588</v>
      </c>
      <c r="G8818" s="422">
        <v>1947.6531744444051</v>
      </c>
      <c r="H8818" s="417" t="s">
        <v>2616</v>
      </c>
      <c r="I8818" s="417" t="s">
        <v>28841</v>
      </c>
      <c r="J8818" s="417" t="s">
        <v>5179</v>
      </c>
      <c r="K8818" s="417" t="s">
        <v>20085</v>
      </c>
      <c r="L8818" s="417"/>
      <c r="M8818" s="417" t="s">
        <v>28840</v>
      </c>
    </row>
    <row r="8819" spans="1:13" x14ac:dyDescent="0.25">
      <c r="A8819" s="417" t="s">
        <v>3385</v>
      </c>
      <c r="B8819" s="417" t="s">
        <v>2627</v>
      </c>
      <c r="C8819" s="417" t="s">
        <v>20086</v>
      </c>
      <c r="D8819" s="417" t="s">
        <v>88</v>
      </c>
      <c r="E8819" s="423">
        <v>7.3927992537991247E-2</v>
      </c>
      <c r="F8819" s="423">
        <v>0.1121191793892805</v>
      </c>
      <c r="G8819" s="422">
        <v>274.0594064643721</v>
      </c>
      <c r="H8819" s="417" t="s">
        <v>2616</v>
      </c>
      <c r="I8819" s="417" t="s">
        <v>1392</v>
      </c>
      <c r="J8819" s="417" t="s">
        <v>3627</v>
      </c>
      <c r="K8819" s="417" t="s">
        <v>20087</v>
      </c>
      <c r="L8819" s="417"/>
      <c r="M8819" s="417" t="s">
        <v>28840</v>
      </c>
    </row>
    <row r="8820" spans="1:13" x14ac:dyDescent="0.25">
      <c r="A8820" s="417" t="s">
        <v>3385</v>
      </c>
      <c r="B8820" s="417" t="s">
        <v>2627</v>
      </c>
      <c r="C8820" s="417" t="s">
        <v>20088</v>
      </c>
      <c r="D8820" s="417" t="s">
        <v>88</v>
      </c>
      <c r="E8820" s="423">
        <v>7.3927992537991247E-2</v>
      </c>
      <c r="F8820" s="423">
        <v>0.1121191793892805</v>
      </c>
      <c r="G8820" s="422">
        <v>245.49380646437211</v>
      </c>
      <c r="H8820" s="417" t="s">
        <v>2616</v>
      </c>
      <c r="I8820" s="417" t="s">
        <v>1392</v>
      </c>
      <c r="J8820" s="417" t="s">
        <v>3627</v>
      </c>
      <c r="K8820" s="417" t="s">
        <v>20089</v>
      </c>
      <c r="L8820" s="417"/>
      <c r="M8820" s="417" t="s">
        <v>28840</v>
      </c>
    </row>
    <row r="8821" spans="1:13" x14ac:dyDescent="0.25">
      <c r="A8821" s="417" t="s">
        <v>3385</v>
      </c>
      <c r="B8821" s="417" t="s">
        <v>2627</v>
      </c>
      <c r="C8821" s="417" t="s">
        <v>20090</v>
      </c>
      <c r="D8821" s="417" t="s">
        <v>88</v>
      </c>
      <c r="E8821" s="423">
        <v>6.079370735529651E-2</v>
      </c>
      <c r="F8821" s="423">
        <v>4.2214567033332713E-2</v>
      </c>
      <c r="G8821" s="422">
        <v>180.62507042740549</v>
      </c>
      <c r="H8821" s="417" t="s">
        <v>2616</v>
      </c>
      <c r="I8821" s="417" t="s">
        <v>1392</v>
      </c>
      <c r="J8821" s="417" t="s">
        <v>3627</v>
      </c>
      <c r="K8821" s="417" t="s">
        <v>20091</v>
      </c>
      <c r="L8821" s="417"/>
      <c r="M8821" s="417" t="s">
        <v>28840</v>
      </c>
    </row>
    <row r="8822" spans="1:13" x14ac:dyDescent="0.25">
      <c r="A8822" s="417" t="s">
        <v>3385</v>
      </c>
      <c r="B8822" s="417" t="s">
        <v>2627</v>
      </c>
      <c r="C8822" s="417" t="s">
        <v>20092</v>
      </c>
      <c r="D8822" s="417" t="s">
        <v>88</v>
      </c>
      <c r="E8822" s="423">
        <v>8.2872188256322477E-2</v>
      </c>
      <c r="F8822" s="423">
        <v>0.22200216569509351</v>
      </c>
      <c r="G8822" s="422">
        <v>349.11638443237467</v>
      </c>
      <c r="H8822" s="417" t="s">
        <v>2616</v>
      </c>
      <c r="I8822" s="417" t="s">
        <v>1392</v>
      </c>
      <c r="J8822" s="417" t="s">
        <v>3627</v>
      </c>
      <c r="K8822" s="417" t="s">
        <v>20093</v>
      </c>
      <c r="L8822" s="417"/>
      <c r="M8822" s="417" t="s">
        <v>28840</v>
      </c>
    </row>
    <row r="8823" spans="1:13" x14ac:dyDescent="0.25">
      <c r="A8823" s="417" t="s">
        <v>3385</v>
      </c>
      <c r="B8823" s="417" t="s">
        <v>2627</v>
      </c>
      <c r="C8823" s="417" t="s">
        <v>20094</v>
      </c>
      <c r="D8823" s="417" t="s">
        <v>88</v>
      </c>
      <c r="E8823" s="423">
        <v>8.2872188256322477E-2</v>
      </c>
      <c r="F8823" s="423">
        <v>0.22200216569509351</v>
      </c>
      <c r="G8823" s="422">
        <v>320.55078443237483</v>
      </c>
      <c r="H8823" s="417" t="s">
        <v>2616</v>
      </c>
      <c r="I8823" s="417" t="s">
        <v>1392</v>
      </c>
      <c r="J8823" s="417" t="s">
        <v>3627</v>
      </c>
      <c r="K8823" s="417" t="s">
        <v>20095</v>
      </c>
      <c r="L8823" s="417"/>
      <c r="M8823" s="417" t="s">
        <v>28840</v>
      </c>
    </row>
    <row r="8824" spans="1:13" x14ac:dyDescent="0.25">
      <c r="A8824" s="417" t="s">
        <v>3385</v>
      </c>
      <c r="B8824" s="417" t="s">
        <v>2627</v>
      </c>
      <c r="C8824" s="417" t="s">
        <v>20096</v>
      </c>
      <c r="D8824" s="417" t="s">
        <v>88</v>
      </c>
      <c r="E8824" s="423">
        <v>6.079370735529651E-2</v>
      </c>
      <c r="F8824" s="423">
        <v>4.2214567033332713E-2</v>
      </c>
      <c r="G8824" s="422">
        <v>209.19067042740551</v>
      </c>
      <c r="H8824" s="417" t="s">
        <v>2616</v>
      </c>
      <c r="I8824" s="417" t="s">
        <v>1392</v>
      </c>
      <c r="J8824" s="417" t="s">
        <v>3627</v>
      </c>
      <c r="K8824" s="417" t="s">
        <v>20097</v>
      </c>
      <c r="L8824" s="417"/>
      <c r="M8824" s="417" t="s">
        <v>28840</v>
      </c>
    </row>
    <row r="8825" spans="1:13" x14ac:dyDescent="0.25">
      <c r="A8825" s="417" t="s">
        <v>3385</v>
      </c>
      <c r="B8825" s="417" t="s">
        <v>2437</v>
      </c>
      <c r="C8825" s="417" t="s">
        <v>20098</v>
      </c>
      <c r="D8825" s="417" t="s">
        <v>88</v>
      </c>
      <c r="E8825" s="423">
        <v>1.330479996158227E-2</v>
      </c>
      <c r="F8825" s="423">
        <v>3.2003979827623908E-3</v>
      </c>
      <c r="G8825" s="422">
        <v>60.032436326539212</v>
      </c>
      <c r="H8825" s="417" t="s">
        <v>2616</v>
      </c>
      <c r="I8825" s="417" t="s">
        <v>1392</v>
      </c>
      <c r="J8825" s="417" t="s">
        <v>4944</v>
      </c>
      <c r="K8825" s="417" t="s">
        <v>20099</v>
      </c>
      <c r="L8825" s="417"/>
      <c r="M8825" s="417" t="s">
        <v>28840</v>
      </c>
    </row>
    <row r="8826" spans="1:13" x14ac:dyDescent="0.25">
      <c r="A8826" s="417" t="s">
        <v>3385</v>
      </c>
      <c r="B8826" s="417" t="s">
        <v>2627</v>
      </c>
      <c r="C8826" s="417" t="s">
        <v>20100</v>
      </c>
      <c r="D8826" s="417" t="s">
        <v>88</v>
      </c>
      <c r="E8826" s="423">
        <v>2.4795012432617169</v>
      </c>
      <c r="F8826" s="423">
        <v>2.5770449682815111E-2</v>
      </c>
      <c r="G8826" s="422">
        <v>4982.6430544663954</v>
      </c>
      <c r="H8826" s="417" t="s">
        <v>2616</v>
      </c>
      <c r="I8826" s="417" t="s">
        <v>1392</v>
      </c>
      <c r="J8826" s="417" t="s">
        <v>3396</v>
      </c>
      <c r="K8826" s="417" t="s">
        <v>20101</v>
      </c>
      <c r="L8826" s="417"/>
      <c r="M8826" s="417" t="s">
        <v>28840</v>
      </c>
    </row>
    <row r="8827" spans="1:13" x14ac:dyDescent="0.25">
      <c r="A8827" s="417" t="s">
        <v>3385</v>
      </c>
      <c r="B8827" s="417" t="s">
        <v>3655</v>
      </c>
      <c r="C8827" s="417" t="s">
        <v>20102</v>
      </c>
      <c r="D8827" s="417" t="s">
        <v>989</v>
      </c>
      <c r="E8827" s="423">
        <v>305448.65413525992</v>
      </c>
      <c r="F8827" s="423">
        <v>5701.9965095206608</v>
      </c>
      <c r="G8827" s="422">
        <v>1094097593.9533091</v>
      </c>
      <c r="H8827" s="417" t="s">
        <v>2616</v>
      </c>
      <c r="I8827" s="417" t="s">
        <v>1392</v>
      </c>
      <c r="J8827" s="417" t="s">
        <v>11811</v>
      </c>
      <c r="K8827" s="417" t="s">
        <v>20103</v>
      </c>
      <c r="L8827" s="417"/>
      <c r="M8827" s="417" t="s">
        <v>28840</v>
      </c>
    </row>
    <row r="8828" spans="1:13" x14ac:dyDescent="0.25">
      <c r="A8828" s="417" t="s">
        <v>3385</v>
      </c>
      <c r="B8828" s="417" t="s">
        <v>3405</v>
      </c>
      <c r="C8828" s="417" t="s">
        <v>20104</v>
      </c>
      <c r="D8828" s="417" t="s">
        <v>989</v>
      </c>
      <c r="E8828" s="423">
        <v>3361.288546255641</v>
      </c>
      <c r="F8828" s="423">
        <v>103.1653831782837</v>
      </c>
      <c r="G8828" s="422">
        <v>6656859.5331961811</v>
      </c>
      <c r="H8828" s="417" t="s">
        <v>2616</v>
      </c>
      <c r="I8828" s="417" t="s">
        <v>1392</v>
      </c>
      <c r="J8828" s="417" t="s">
        <v>3588</v>
      </c>
      <c r="K8828" s="417" t="s">
        <v>20105</v>
      </c>
      <c r="L8828" s="417"/>
      <c r="M8828" s="417" t="s">
        <v>28840</v>
      </c>
    </row>
    <row r="8829" spans="1:13" x14ac:dyDescent="0.25">
      <c r="A8829" s="417" t="s">
        <v>3385</v>
      </c>
      <c r="B8829" s="417" t="s">
        <v>3405</v>
      </c>
      <c r="C8829" s="417" t="s">
        <v>20106</v>
      </c>
      <c r="D8829" s="417" t="s">
        <v>83</v>
      </c>
      <c r="E8829" s="423">
        <v>2.508367543505412</v>
      </c>
      <c r="F8829" s="423">
        <v>1.038598460393214E-4</v>
      </c>
      <c r="G8829" s="422">
        <v>5325.9631497250557</v>
      </c>
      <c r="H8829" s="417" t="s">
        <v>2616</v>
      </c>
      <c r="I8829" s="417" t="s">
        <v>1392</v>
      </c>
      <c r="J8829" s="417" t="s">
        <v>14617</v>
      </c>
      <c r="K8829" s="417" t="s">
        <v>20107</v>
      </c>
      <c r="L8829" s="417"/>
      <c r="M8829" s="417" t="s">
        <v>28840</v>
      </c>
    </row>
    <row r="8830" spans="1:13" x14ac:dyDescent="0.25">
      <c r="A8830" s="417" t="s">
        <v>3385</v>
      </c>
      <c r="B8830" s="417" t="s">
        <v>3405</v>
      </c>
      <c r="C8830" s="417" t="s">
        <v>20108</v>
      </c>
      <c r="D8830" s="417" t="s">
        <v>73</v>
      </c>
      <c r="E8830" s="423">
        <v>6.779371739203828E-2</v>
      </c>
      <c r="F8830" s="423">
        <v>2.8070228659302389E-6</v>
      </c>
      <c r="G8830" s="422">
        <v>143.9449499925575</v>
      </c>
      <c r="H8830" s="417" t="s">
        <v>2616</v>
      </c>
      <c r="I8830" s="417" t="s">
        <v>1392</v>
      </c>
      <c r="J8830" s="417" t="s">
        <v>14617</v>
      </c>
      <c r="K8830" s="417" t="s">
        <v>20109</v>
      </c>
      <c r="L8830" s="417"/>
      <c r="M8830" s="417" t="s">
        <v>28840</v>
      </c>
    </row>
    <row r="8831" spans="1:13" x14ac:dyDescent="0.25">
      <c r="A8831" s="417" t="s">
        <v>3385</v>
      </c>
      <c r="B8831" s="417" t="s">
        <v>3655</v>
      </c>
      <c r="C8831" s="417" t="s">
        <v>20110</v>
      </c>
      <c r="D8831" s="417" t="s">
        <v>1052</v>
      </c>
      <c r="E8831" s="423">
        <v>24.707847497747309</v>
      </c>
      <c r="F8831" s="423">
        <v>1.43522309833807</v>
      </c>
      <c r="G8831" s="422">
        <v>47091.805101639482</v>
      </c>
      <c r="H8831" s="417" t="s">
        <v>2616</v>
      </c>
      <c r="I8831" s="417" t="s">
        <v>1392</v>
      </c>
      <c r="J8831" s="417" t="s">
        <v>3918</v>
      </c>
      <c r="K8831" s="417" t="s">
        <v>20111</v>
      </c>
      <c r="L8831" s="417"/>
      <c r="M8831" s="417" t="s">
        <v>28840</v>
      </c>
    </row>
    <row r="8832" spans="1:13" x14ac:dyDescent="0.25">
      <c r="A8832" s="417" t="s">
        <v>3385</v>
      </c>
      <c r="B8832" s="417" t="s">
        <v>3655</v>
      </c>
      <c r="C8832" s="417" t="s">
        <v>20112</v>
      </c>
      <c r="D8832" s="417" t="s">
        <v>88</v>
      </c>
      <c r="E8832" s="423">
        <v>0.86528080514949579</v>
      </c>
      <c r="F8832" s="423">
        <v>1.178389158326903E-2</v>
      </c>
      <c r="G8832" s="422">
        <v>1095.464115347876</v>
      </c>
      <c r="H8832" s="417" t="s">
        <v>2616</v>
      </c>
      <c r="I8832" s="417" t="s">
        <v>1392</v>
      </c>
      <c r="J8832" s="417" t="s">
        <v>17189</v>
      </c>
      <c r="K8832" s="417" t="s">
        <v>20113</v>
      </c>
      <c r="L8832" s="417"/>
      <c r="M8832" s="417" t="s">
        <v>28840</v>
      </c>
    </row>
    <row r="8833" spans="1:13" x14ac:dyDescent="0.25">
      <c r="A8833" s="417" t="s">
        <v>3385</v>
      </c>
      <c r="B8833" s="417" t="s">
        <v>3655</v>
      </c>
      <c r="C8833" s="417" t="s">
        <v>20114</v>
      </c>
      <c r="D8833" s="417" t="s">
        <v>88</v>
      </c>
      <c r="E8833" s="423">
        <v>0.73037226163699809</v>
      </c>
      <c r="F8833" s="423">
        <v>1.2368277603400941E-3</v>
      </c>
      <c r="G8833" s="422">
        <v>776.68441875902965</v>
      </c>
      <c r="H8833" s="417" t="s">
        <v>2616</v>
      </c>
      <c r="I8833" s="417" t="s">
        <v>1392</v>
      </c>
      <c r="J8833" s="417" t="s">
        <v>17189</v>
      </c>
      <c r="K8833" s="417" t="s">
        <v>20115</v>
      </c>
      <c r="L8833" s="417"/>
      <c r="M8833" s="417" t="s">
        <v>28840</v>
      </c>
    </row>
    <row r="8834" spans="1:13" x14ac:dyDescent="0.25">
      <c r="A8834" s="417" t="s">
        <v>3385</v>
      </c>
      <c r="B8834" s="417" t="s">
        <v>2627</v>
      </c>
      <c r="C8834" s="417" t="s">
        <v>20116</v>
      </c>
      <c r="D8834" s="417" t="s">
        <v>88</v>
      </c>
      <c r="E8834" s="423">
        <v>1.2490804142020331</v>
      </c>
      <c r="F8834" s="423">
        <v>1.212065028253294E-2</v>
      </c>
      <c r="G8834" s="422">
        <v>11317.75595285594</v>
      </c>
      <c r="H8834" s="417" t="s">
        <v>2616</v>
      </c>
      <c r="I8834" s="417" t="s">
        <v>1392</v>
      </c>
      <c r="J8834" s="417" t="s">
        <v>4047</v>
      </c>
      <c r="K8834" s="417" t="s">
        <v>20117</v>
      </c>
      <c r="L8834" s="417"/>
      <c r="M8834" s="417" t="s">
        <v>28840</v>
      </c>
    </row>
    <row r="8835" spans="1:13" x14ac:dyDescent="0.25">
      <c r="A8835" s="417" t="s">
        <v>3385</v>
      </c>
      <c r="B8835" s="417" t="s">
        <v>2627</v>
      </c>
      <c r="C8835" s="417" t="s">
        <v>20118</v>
      </c>
      <c r="D8835" s="417" t="s">
        <v>88</v>
      </c>
      <c r="E8835" s="423">
        <v>1.0943321317131529</v>
      </c>
      <c r="F8835" s="423">
        <v>1.058218134647171E-2</v>
      </c>
      <c r="G8835" s="422">
        <v>6089.8215810668662</v>
      </c>
      <c r="H8835" s="417" t="s">
        <v>2616</v>
      </c>
      <c r="I8835" s="417" t="s">
        <v>1392</v>
      </c>
      <c r="J8835" s="417" t="s">
        <v>4047</v>
      </c>
      <c r="K8835" s="417" t="s">
        <v>20119</v>
      </c>
      <c r="L8835" s="417"/>
      <c r="M8835" s="417" t="s">
        <v>28840</v>
      </c>
    </row>
    <row r="8836" spans="1:13" x14ac:dyDescent="0.25">
      <c r="A8836" s="417" t="s">
        <v>3385</v>
      </c>
      <c r="B8836" s="417" t="s">
        <v>2627</v>
      </c>
      <c r="C8836" s="417" t="s">
        <v>20120</v>
      </c>
      <c r="D8836" s="417" t="s">
        <v>88</v>
      </c>
      <c r="E8836" s="423">
        <v>1.761353678932053</v>
      </c>
      <c r="F8836" s="423">
        <v>4.7102166657455348E-2</v>
      </c>
      <c r="G8836" s="422">
        <v>12324.13120236473</v>
      </c>
      <c r="H8836" s="417" t="s">
        <v>2616</v>
      </c>
      <c r="I8836" s="417" t="s">
        <v>1392</v>
      </c>
      <c r="J8836" s="417" t="s">
        <v>5227</v>
      </c>
      <c r="K8836" s="417" t="s">
        <v>20121</v>
      </c>
      <c r="L8836" s="417"/>
      <c r="M8836" s="417" t="s">
        <v>28840</v>
      </c>
    </row>
    <row r="8837" spans="1:13" x14ac:dyDescent="0.25">
      <c r="A8837" s="417" t="s">
        <v>3385</v>
      </c>
      <c r="B8837" s="417" t="s">
        <v>2627</v>
      </c>
      <c r="C8837" s="417" t="s">
        <v>1059</v>
      </c>
      <c r="D8837" s="417" t="s">
        <v>88</v>
      </c>
      <c r="E8837" s="423">
        <v>1.3092528235428731</v>
      </c>
      <c r="F8837" s="423">
        <v>1.1404658985196631E-2</v>
      </c>
      <c r="G8837" s="422">
        <v>6062.7580835741946</v>
      </c>
      <c r="H8837" s="417" t="s">
        <v>2616</v>
      </c>
      <c r="I8837" s="417" t="s">
        <v>28841</v>
      </c>
      <c r="J8837" s="417" t="s">
        <v>18969</v>
      </c>
      <c r="K8837" s="417" t="s">
        <v>20122</v>
      </c>
      <c r="L8837" s="417"/>
      <c r="M8837" s="417" t="s">
        <v>28840</v>
      </c>
    </row>
    <row r="8838" spans="1:13" x14ac:dyDescent="0.25">
      <c r="A8838" s="417" t="s">
        <v>3385</v>
      </c>
      <c r="B8838" s="417" t="s">
        <v>2627</v>
      </c>
      <c r="C8838" s="417" t="s">
        <v>20123</v>
      </c>
      <c r="D8838" s="417" t="s">
        <v>88</v>
      </c>
      <c r="E8838" s="423">
        <v>0.44196494120443391</v>
      </c>
      <c r="F8838" s="423">
        <v>5.6680719992456739E-2</v>
      </c>
      <c r="G8838" s="422">
        <v>4082.4292933997999</v>
      </c>
      <c r="H8838" s="417" t="s">
        <v>2616</v>
      </c>
      <c r="I8838" s="417" t="s">
        <v>1392</v>
      </c>
      <c r="J8838" s="417" t="s">
        <v>18969</v>
      </c>
      <c r="K8838" s="417" t="s">
        <v>20124</v>
      </c>
      <c r="L8838" s="417"/>
      <c r="M8838" s="417" t="s">
        <v>28840</v>
      </c>
    </row>
    <row r="8839" spans="1:13" x14ac:dyDescent="0.25">
      <c r="A8839" s="417" t="s">
        <v>3385</v>
      </c>
      <c r="B8839" s="417" t="s">
        <v>2627</v>
      </c>
      <c r="C8839" s="417" t="s">
        <v>20125</v>
      </c>
      <c r="D8839" s="417" t="s">
        <v>88</v>
      </c>
      <c r="E8839" s="423">
        <v>3.628585093810639</v>
      </c>
      <c r="F8839" s="423">
        <v>0.45972347516713652</v>
      </c>
      <c r="G8839" s="422">
        <v>16613.616862278621</v>
      </c>
      <c r="H8839" s="417" t="s">
        <v>2616</v>
      </c>
      <c r="I8839" s="417" t="s">
        <v>1392</v>
      </c>
      <c r="J8839" s="417" t="s">
        <v>4823</v>
      </c>
      <c r="K8839" s="417" t="s">
        <v>20126</v>
      </c>
      <c r="L8839" s="417"/>
      <c r="M8839" s="417" t="s">
        <v>28840</v>
      </c>
    </row>
    <row r="8840" spans="1:13" x14ac:dyDescent="0.25">
      <c r="A8840" s="417" t="s">
        <v>3385</v>
      </c>
      <c r="B8840" s="417" t="s">
        <v>2627</v>
      </c>
      <c r="C8840" s="417" t="s">
        <v>20127</v>
      </c>
      <c r="D8840" s="417" t="s">
        <v>88</v>
      </c>
      <c r="E8840" s="423">
        <v>1.0636006899852499</v>
      </c>
      <c r="F8840" s="423">
        <v>0.1014842855850446</v>
      </c>
      <c r="G8840" s="422">
        <v>8859.655665675049</v>
      </c>
      <c r="H8840" s="417" t="s">
        <v>2616</v>
      </c>
      <c r="I8840" s="417" t="s">
        <v>1392</v>
      </c>
      <c r="J8840" s="417" t="s">
        <v>4823</v>
      </c>
      <c r="K8840" s="417" t="s">
        <v>20128</v>
      </c>
      <c r="L8840" s="417"/>
      <c r="M8840" s="417" t="s">
        <v>28840</v>
      </c>
    </row>
    <row r="8841" spans="1:13" x14ac:dyDescent="0.25">
      <c r="A8841" s="417" t="s">
        <v>3385</v>
      </c>
      <c r="B8841" s="417" t="s">
        <v>2627</v>
      </c>
      <c r="C8841" s="417" t="s">
        <v>20129</v>
      </c>
      <c r="D8841" s="417" t="s">
        <v>88</v>
      </c>
      <c r="E8841" s="423">
        <v>1.2150264976989951</v>
      </c>
      <c r="F8841" s="423">
        <v>0.1108177582498413</v>
      </c>
      <c r="G8841" s="422">
        <v>9240.5342525711221</v>
      </c>
      <c r="H8841" s="417" t="s">
        <v>2616</v>
      </c>
      <c r="I8841" s="417" t="s">
        <v>1392</v>
      </c>
      <c r="J8841" s="417" t="s">
        <v>4823</v>
      </c>
      <c r="K8841" s="417" t="s">
        <v>20130</v>
      </c>
      <c r="L8841" s="417"/>
      <c r="M8841" s="417" t="s">
        <v>28840</v>
      </c>
    </row>
    <row r="8842" spans="1:13" x14ac:dyDescent="0.25">
      <c r="A8842" s="417" t="s">
        <v>3385</v>
      </c>
      <c r="B8842" s="417" t="s">
        <v>2627</v>
      </c>
      <c r="C8842" s="417" t="s">
        <v>1067</v>
      </c>
      <c r="D8842" s="417" t="s">
        <v>88</v>
      </c>
      <c r="E8842" s="423">
        <v>3.6201669376468941</v>
      </c>
      <c r="F8842" s="423">
        <v>0.39346585910194137</v>
      </c>
      <c r="G8842" s="422">
        <v>17170.05338333414</v>
      </c>
      <c r="H8842" s="417" t="s">
        <v>2616</v>
      </c>
      <c r="I8842" s="417" t="s">
        <v>28841</v>
      </c>
      <c r="J8842" s="417" t="s">
        <v>5227</v>
      </c>
      <c r="K8842" s="417" t="s">
        <v>20131</v>
      </c>
      <c r="L8842" s="417"/>
      <c r="M8842" s="417" t="s">
        <v>28840</v>
      </c>
    </row>
    <row r="8843" spans="1:13" x14ac:dyDescent="0.25">
      <c r="A8843" s="417" t="s">
        <v>3385</v>
      </c>
      <c r="B8843" s="417" t="s">
        <v>2627</v>
      </c>
      <c r="C8843" s="417" t="s">
        <v>20132</v>
      </c>
      <c r="D8843" s="417" t="s">
        <v>88</v>
      </c>
      <c r="E8843" s="423">
        <v>0.89705576788011088</v>
      </c>
      <c r="F8843" s="423">
        <v>1.7301986167623549E-2</v>
      </c>
      <c r="G8843" s="422">
        <v>8957.7746524135746</v>
      </c>
      <c r="H8843" s="417" t="s">
        <v>2616</v>
      </c>
      <c r="I8843" s="417" t="s">
        <v>1392</v>
      </c>
      <c r="J8843" s="417" t="s">
        <v>5227</v>
      </c>
      <c r="K8843" s="417" t="s">
        <v>20133</v>
      </c>
      <c r="L8843" s="417"/>
      <c r="M8843" s="417" t="s">
        <v>28840</v>
      </c>
    </row>
    <row r="8844" spans="1:13" x14ac:dyDescent="0.25">
      <c r="A8844" s="417" t="s">
        <v>3385</v>
      </c>
      <c r="B8844" s="417" t="s">
        <v>2627</v>
      </c>
      <c r="C8844" s="417" t="s">
        <v>1063</v>
      </c>
      <c r="D8844" s="417" t="s">
        <v>88</v>
      </c>
      <c r="E8844" s="423">
        <v>1.514253124365224</v>
      </c>
      <c r="F8844" s="423">
        <v>5.246654423056339E-3</v>
      </c>
      <c r="G8844" s="422">
        <v>7493.4899057366119</v>
      </c>
      <c r="H8844" s="417" t="s">
        <v>2616</v>
      </c>
      <c r="I8844" s="417" t="s">
        <v>28841</v>
      </c>
      <c r="J8844" s="417" t="s">
        <v>4047</v>
      </c>
      <c r="K8844" s="417" t="s">
        <v>20134</v>
      </c>
      <c r="L8844" s="417"/>
      <c r="M8844" s="417" t="s">
        <v>28840</v>
      </c>
    </row>
    <row r="8845" spans="1:13" x14ac:dyDescent="0.25">
      <c r="A8845" s="417" t="s">
        <v>3385</v>
      </c>
      <c r="B8845" s="417" t="s">
        <v>2627</v>
      </c>
      <c r="C8845" s="417" t="s">
        <v>20135</v>
      </c>
      <c r="D8845" s="417" t="s">
        <v>88</v>
      </c>
      <c r="E8845" s="423">
        <v>0.36366551069818909</v>
      </c>
      <c r="F8845" s="423">
        <v>4.4600079903418417E-3</v>
      </c>
      <c r="G8845" s="422">
        <v>4666.4637165138547</v>
      </c>
      <c r="H8845" s="417" t="s">
        <v>2616</v>
      </c>
      <c r="I8845" s="417" t="s">
        <v>1392</v>
      </c>
      <c r="J8845" s="417" t="s">
        <v>4047</v>
      </c>
      <c r="K8845" s="417" t="s">
        <v>20136</v>
      </c>
      <c r="L8845" s="417"/>
      <c r="M8845" s="417" t="s">
        <v>28840</v>
      </c>
    </row>
    <row r="8846" spans="1:13" x14ac:dyDescent="0.25">
      <c r="A8846" s="417" t="s">
        <v>3385</v>
      </c>
      <c r="B8846" s="417" t="s">
        <v>2627</v>
      </c>
      <c r="C8846" s="417" t="s">
        <v>20137</v>
      </c>
      <c r="D8846" s="417" t="s">
        <v>989</v>
      </c>
      <c r="E8846" s="423">
        <v>0.44786225073597391</v>
      </c>
      <c r="F8846" s="423">
        <v>1.9241190000473082E-2</v>
      </c>
      <c r="G8846" s="422">
        <v>1483.287835815609</v>
      </c>
      <c r="H8846" s="417" t="s">
        <v>2616</v>
      </c>
      <c r="I8846" s="417" t="s">
        <v>1392</v>
      </c>
      <c r="J8846" s="417" t="s">
        <v>3699</v>
      </c>
      <c r="K8846" s="417" t="s">
        <v>20138</v>
      </c>
      <c r="L8846" s="417"/>
      <c r="M8846" s="417" t="s">
        <v>28840</v>
      </c>
    </row>
    <row r="8847" spans="1:13" x14ac:dyDescent="0.25">
      <c r="A8847" s="417" t="s">
        <v>3385</v>
      </c>
      <c r="B8847" s="417" t="s">
        <v>2627</v>
      </c>
      <c r="C8847" s="417" t="s">
        <v>20139</v>
      </c>
      <c r="D8847" s="417" t="s">
        <v>989</v>
      </c>
      <c r="E8847" s="423">
        <v>1.5502924063633849</v>
      </c>
      <c r="F8847" s="423">
        <v>6.6604119228673639E-2</v>
      </c>
      <c r="G8847" s="422">
        <v>5134.4578938507902</v>
      </c>
      <c r="H8847" s="417" t="s">
        <v>2616</v>
      </c>
      <c r="I8847" s="417" t="s">
        <v>1392</v>
      </c>
      <c r="J8847" s="417" t="s">
        <v>3699</v>
      </c>
      <c r="K8847" s="417" t="s">
        <v>20140</v>
      </c>
      <c r="L8847" s="417"/>
      <c r="M8847" s="417" t="s">
        <v>28840</v>
      </c>
    </row>
    <row r="8848" spans="1:13" x14ac:dyDescent="0.25">
      <c r="A8848" s="417" t="s">
        <v>3385</v>
      </c>
      <c r="B8848" s="417" t="s">
        <v>2627</v>
      </c>
      <c r="C8848" s="417" t="s">
        <v>20141</v>
      </c>
      <c r="D8848" s="417" t="s">
        <v>989</v>
      </c>
      <c r="E8848" s="423">
        <v>2.067430422077885</v>
      </c>
      <c r="F8848" s="423">
        <v>8.22791874218535E-2</v>
      </c>
      <c r="G8848" s="422">
        <v>4891.4452643948334</v>
      </c>
      <c r="H8848" s="417" t="s">
        <v>2616</v>
      </c>
      <c r="I8848" s="417" t="s">
        <v>1392</v>
      </c>
      <c r="J8848" s="417" t="s">
        <v>3699</v>
      </c>
      <c r="K8848" s="417" t="s">
        <v>20142</v>
      </c>
      <c r="L8848" s="417"/>
      <c r="M8848" s="417" t="s">
        <v>28840</v>
      </c>
    </row>
    <row r="8849" spans="1:13" x14ac:dyDescent="0.25">
      <c r="A8849" s="417" t="s">
        <v>3385</v>
      </c>
      <c r="B8849" s="417" t="s">
        <v>2627</v>
      </c>
      <c r="C8849" s="417" t="s">
        <v>20143</v>
      </c>
      <c r="D8849" s="417" t="s">
        <v>989</v>
      </c>
      <c r="E8849" s="423">
        <v>10.11054233945122</v>
      </c>
      <c r="F8849" s="423">
        <v>0.40143256625186741</v>
      </c>
      <c r="G8849" s="422">
        <v>23822.768739005922</v>
      </c>
      <c r="H8849" s="417" t="s">
        <v>2616</v>
      </c>
      <c r="I8849" s="417" t="s">
        <v>1392</v>
      </c>
      <c r="J8849" s="417" t="s">
        <v>3699</v>
      </c>
      <c r="K8849" s="417" t="s">
        <v>20144</v>
      </c>
      <c r="L8849" s="417"/>
      <c r="M8849" s="417" t="s">
        <v>28840</v>
      </c>
    </row>
    <row r="8850" spans="1:13" x14ac:dyDescent="0.25">
      <c r="A8850" s="417" t="s">
        <v>3385</v>
      </c>
      <c r="B8850" s="417" t="s">
        <v>2437</v>
      </c>
      <c r="C8850" s="417" t="s">
        <v>20145</v>
      </c>
      <c r="D8850" s="417" t="s">
        <v>88</v>
      </c>
      <c r="E8850" s="423">
        <v>2.586234190784916</v>
      </c>
      <c r="F8850" s="423">
        <v>1.7958802114914178E-2</v>
      </c>
      <c r="G8850" s="422">
        <v>3662.7885070294128</v>
      </c>
      <c r="H8850" s="417" t="s">
        <v>2616</v>
      </c>
      <c r="I8850" s="417" t="s">
        <v>1392</v>
      </c>
      <c r="J8850" s="417" t="s">
        <v>4531</v>
      </c>
      <c r="K8850" s="417" t="s">
        <v>20146</v>
      </c>
      <c r="L8850" s="417"/>
      <c r="M8850" s="417" t="s">
        <v>28840</v>
      </c>
    </row>
    <row r="8851" spans="1:13" x14ac:dyDescent="0.25">
      <c r="A8851" s="417" t="s">
        <v>3385</v>
      </c>
      <c r="B8851" s="417" t="s">
        <v>2627</v>
      </c>
      <c r="C8851" s="417" t="s">
        <v>20147</v>
      </c>
      <c r="D8851" s="417" t="s">
        <v>563</v>
      </c>
      <c r="E8851" s="423">
        <v>22.902498234793811</v>
      </c>
      <c r="F8851" s="423">
        <v>1.171742384326099</v>
      </c>
      <c r="G8851" s="422">
        <v>55285.670160646543</v>
      </c>
      <c r="H8851" s="417" t="s">
        <v>2616</v>
      </c>
      <c r="I8851" s="417" t="s">
        <v>1392</v>
      </c>
      <c r="J8851" s="417" t="s">
        <v>7714</v>
      </c>
      <c r="K8851" s="417" t="s">
        <v>20148</v>
      </c>
      <c r="L8851" s="417"/>
      <c r="M8851" s="417" t="s">
        <v>28840</v>
      </c>
    </row>
    <row r="8852" spans="1:13" x14ac:dyDescent="0.25">
      <c r="A8852" s="417" t="s">
        <v>3385</v>
      </c>
      <c r="B8852" s="417" t="s">
        <v>2627</v>
      </c>
      <c r="C8852" s="417" t="s">
        <v>20149</v>
      </c>
      <c r="D8852" s="417" t="s">
        <v>563</v>
      </c>
      <c r="E8852" s="423">
        <v>27.600728441761859</v>
      </c>
      <c r="F8852" s="423">
        <v>1.408487258860861</v>
      </c>
      <c r="G8852" s="422">
        <v>66672.12205586709</v>
      </c>
      <c r="H8852" s="417" t="s">
        <v>2616</v>
      </c>
      <c r="I8852" s="417" t="s">
        <v>1392</v>
      </c>
      <c r="J8852" s="417" t="s">
        <v>7714</v>
      </c>
      <c r="K8852" s="417" t="s">
        <v>20150</v>
      </c>
      <c r="L8852" s="417"/>
      <c r="M8852" s="417" t="s">
        <v>28840</v>
      </c>
    </row>
    <row r="8853" spans="1:13" x14ac:dyDescent="0.25">
      <c r="A8853" s="417" t="s">
        <v>3385</v>
      </c>
      <c r="B8853" s="417" t="s">
        <v>2627</v>
      </c>
      <c r="C8853" s="417" t="s">
        <v>20151</v>
      </c>
      <c r="D8853" s="417" t="s">
        <v>563</v>
      </c>
      <c r="E8853" s="423">
        <v>36.996702338622093</v>
      </c>
      <c r="F8853" s="423">
        <v>1.8819540973267039</v>
      </c>
      <c r="G8853" s="422">
        <v>89443.831803059962</v>
      </c>
      <c r="H8853" s="417" t="s">
        <v>2616</v>
      </c>
      <c r="I8853" s="417" t="s">
        <v>1392</v>
      </c>
      <c r="J8853" s="417" t="s">
        <v>7714</v>
      </c>
      <c r="K8853" s="417" t="s">
        <v>20152</v>
      </c>
      <c r="L8853" s="417"/>
      <c r="M8853" s="417" t="s">
        <v>28840</v>
      </c>
    </row>
    <row r="8854" spans="1:13" x14ac:dyDescent="0.25">
      <c r="A8854" s="417" t="s">
        <v>3385</v>
      </c>
      <c r="B8854" s="417" t="s">
        <v>2627</v>
      </c>
      <c r="C8854" s="417" t="s">
        <v>20153</v>
      </c>
      <c r="D8854" s="417" t="s">
        <v>563</v>
      </c>
      <c r="E8854" s="423">
        <v>46.392647109203459</v>
      </c>
      <c r="F8854" s="423">
        <v>2.355417409515784</v>
      </c>
      <c r="G8854" s="422">
        <v>112215.48093356191</v>
      </c>
      <c r="H8854" s="417" t="s">
        <v>2616</v>
      </c>
      <c r="I8854" s="417" t="s">
        <v>1392</v>
      </c>
      <c r="J8854" s="417" t="s">
        <v>7714</v>
      </c>
      <c r="K8854" s="417" t="s">
        <v>20154</v>
      </c>
      <c r="L8854" s="417"/>
      <c r="M8854" s="417" t="s">
        <v>28840</v>
      </c>
    </row>
    <row r="8855" spans="1:13" x14ac:dyDescent="0.25">
      <c r="A8855" s="417" t="s">
        <v>3385</v>
      </c>
      <c r="B8855" s="417" t="s">
        <v>2627</v>
      </c>
      <c r="C8855" s="417" t="s">
        <v>20155</v>
      </c>
      <c r="D8855" s="417" t="s">
        <v>4315</v>
      </c>
      <c r="E8855" s="423">
        <v>9.1626072708755011</v>
      </c>
      <c r="F8855" s="423">
        <v>0.29476164202068322</v>
      </c>
      <c r="G8855" s="422">
        <v>31350.882449959641</v>
      </c>
      <c r="H8855" s="417" t="s">
        <v>2616</v>
      </c>
      <c r="I8855" s="417" t="s">
        <v>1392</v>
      </c>
      <c r="J8855" s="417" t="s">
        <v>3667</v>
      </c>
      <c r="K8855" s="417" t="s">
        <v>20156</v>
      </c>
      <c r="L8855" s="417"/>
      <c r="M8855" s="417" t="s">
        <v>28840</v>
      </c>
    </row>
    <row r="8856" spans="1:13" x14ac:dyDescent="0.25">
      <c r="A8856" s="417" t="s">
        <v>3385</v>
      </c>
      <c r="B8856" s="417" t="s">
        <v>2627</v>
      </c>
      <c r="C8856" s="417" t="s">
        <v>20157</v>
      </c>
      <c r="D8856" s="417" t="s">
        <v>4315</v>
      </c>
      <c r="E8856" s="423">
        <v>28.273310464903361</v>
      </c>
      <c r="F8856" s="423">
        <v>0.91019987944078951</v>
      </c>
      <c r="G8856" s="422">
        <v>97314.022422338545</v>
      </c>
      <c r="H8856" s="417" t="s">
        <v>2616</v>
      </c>
      <c r="I8856" s="417" t="s">
        <v>1392</v>
      </c>
      <c r="J8856" s="417" t="s">
        <v>3667</v>
      </c>
      <c r="K8856" s="417" t="s">
        <v>20158</v>
      </c>
      <c r="L8856" s="417"/>
      <c r="M8856" s="417" t="s">
        <v>28840</v>
      </c>
    </row>
    <row r="8857" spans="1:13" x14ac:dyDescent="0.25">
      <c r="A8857" s="417" t="s">
        <v>3385</v>
      </c>
      <c r="B8857" s="417" t="s">
        <v>2627</v>
      </c>
      <c r="C8857" s="417" t="s">
        <v>20159</v>
      </c>
      <c r="D8857" s="417" t="s">
        <v>563</v>
      </c>
      <c r="E8857" s="423">
        <v>15.114920693311319</v>
      </c>
      <c r="F8857" s="423">
        <v>0.91871389905311851</v>
      </c>
      <c r="G8857" s="422">
        <v>43571.491534334527</v>
      </c>
      <c r="H8857" s="417" t="s">
        <v>2616</v>
      </c>
      <c r="I8857" s="417" t="s">
        <v>1392</v>
      </c>
      <c r="J8857" s="417" t="s">
        <v>7714</v>
      </c>
      <c r="K8857" s="417" t="s">
        <v>20160</v>
      </c>
      <c r="L8857" s="417"/>
      <c r="M8857" s="417" t="s">
        <v>28840</v>
      </c>
    </row>
    <row r="8858" spans="1:13" x14ac:dyDescent="0.25">
      <c r="A8858" s="417" t="s">
        <v>3385</v>
      </c>
      <c r="B8858" s="417" t="s">
        <v>2627</v>
      </c>
      <c r="C8858" s="417" t="s">
        <v>20161</v>
      </c>
      <c r="D8858" s="417" t="s">
        <v>563</v>
      </c>
      <c r="E8858" s="423">
        <v>17.418737626753341</v>
      </c>
      <c r="F8858" s="423">
        <v>1.0781955750843959</v>
      </c>
      <c r="G8858" s="422">
        <v>48035.333126199657</v>
      </c>
      <c r="H8858" s="417" t="s">
        <v>2616</v>
      </c>
      <c r="I8858" s="417" t="s">
        <v>1392</v>
      </c>
      <c r="J8858" s="417" t="s">
        <v>7714</v>
      </c>
      <c r="K8858" s="417" t="s">
        <v>20162</v>
      </c>
      <c r="L8858" s="417"/>
      <c r="M8858" s="417" t="s">
        <v>28840</v>
      </c>
    </row>
    <row r="8859" spans="1:13" x14ac:dyDescent="0.25">
      <c r="A8859" s="417" t="s">
        <v>3385</v>
      </c>
      <c r="B8859" s="417" t="s">
        <v>2627</v>
      </c>
      <c r="C8859" s="417" t="s">
        <v>20163</v>
      </c>
      <c r="D8859" s="417" t="s">
        <v>563</v>
      </c>
      <c r="E8859" s="423">
        <v>21.994912780646079</v>
      </c>
      <c r="F8859" s="423">
        <v>1.3961666965485711</v>
      </c>
      <c r="G8859" s="422">
        <v>56770.286221137168</v>
      </c>
      <c r="H8859" s="417" t="s">
        <v>2616</v>
      </c>
      <c r="I8859" s="417" t="s">
        <v>1392</v>
      </c>
      <c r="J8859" s="417" t="s">
        <v>7714</v>
      </c>
      <c r="K8859" s="417" t="s">
        <v>20164</v>
      </c>
      <c r="L8859" s="417"/>
      <c r="M8859" s="417" t="s">
        <v>28840</v>
      </c>
    </row>
    <row r="8860" spans="1:13" x14ac:dyDescent="0.25">
      <c r="A8860" s="417" t="s">
        <v>3385</v>
      </c>
      <c r="B8860" s="417" t="s">
        <v>2627</v>
      </c>
      <c r="C8860" s="417" t="s">
        <v>20165</v>
      </c>
      <c r="D8860" s="417" t="s">
        <v>563</v>
      </c>
      <c r="E8860" s="423">
        <v>26.54991278704588</v>
      </c>
      <c r="F8860" s="423">
        <v>1.7134686495551901</v>
      </c>
      <c r="G8860" s="422">
        <v>65377.45787517813</v>
      </c>
      <c r="H8860" s="417" t="s">
        <v>2616</v>
      </c>
      <c r="I8860" s="417" t="s">
        <v>1392</v>
      </c>
      <c r="J8860" s="417" t="s">
        <v>7714</v>
      </c>
      <c r="K8860" s="417" t="s">
        <v>20166</v>
      </c>
      <c r="L8860" s="417"/>
      <c r="M8860" s="417" t="s">
        <v>28840</v>
      </c>
    </row>
    <row r="8861" spans="1:13" x14ac:dyDescent="0.25">
      <c r="A8861" s="417" t="s">
        <v>3385</v>
      </c>
      <c r="B8861" s="417" t="s">
        <v>2627</v>
      </c>
      <c r="C8861" s="417" t="s">
        <v>20167</v>
      </c>
      <c r="D8861" s="417" t="s">
        <v>88</v>
      </c>
      <c r="E8861" s="423">
        <v>2.3746174911797941E-2</v>
      </c>
      <c r="F8861" s="423">
        <v>1.3206264776492191E-3</v>
      </c>
      <c r="G8861" s="422">
        <v>276.24581962659562</v>
      </c>
      <c r="H8861" s="417" t="s">
        <v>2616</v>
      </c>
      <c r="I8861" s="417" t="s">
        <v>1392</v>
      </c>
      <c r="J8861" s="417" t="s">
        <v>3860</v>
      </c>
      <c r="K8861" s="417" t="s">
        <v>20168</v>
      </c>
      <c r="L8861" s="417"/>
      <c r="M8861" s="417" t="s">
        <v>28840</v>
      </c>
    </row>
    <row r="8862" spans="1:13" x14ac:dyDescent="0.25">
      <c r="A8862" s="417" t="s">
        <v>3385</v>
      </c>
      <c r="B8862" s="417" t="s">
        <v>2627</v>
      </c>
      <c r="C8862" s="417" t="s">
        <v>20169</v>
      </c>
      <c r="D8862" s="417" t="s">
        <v>88</v>
      </c>
      <c r="E8862" s="423">
        <v>0.12580736427266651</v>
      </c>
      <c r="F8862" s="423">
        <v>3.248209861992341E-3</v>
      </c>
      <c r="G8862" s="422">
        <v>277.48608344788522</v>
      </c>
      <c r="H8862" s="417" t="s">
        <v>2616</v>
      </c>
      <c r="I8862" s="417" t="s">
        <v>1392</v>
      </c>
      <c r="J8862" s="417" t="s">
        <v>4016</v>
      </c>
      <c r="K8862" s="417" t="s">
        <v>20170</v>
      </c>
      <c r="L8862" s="417"/>
      <c r="M8862" s="417" t="s">
        <v>28840</v>
      </c>
    </row>
    <row r="8863" spans="1:13" x14ac:dyDescent="0.25">
      <c r="A8863" s="417" t="s">
        <v>3385</v>
      </c>
      <c r="B8863" s="417" t="s">
        <v>3655</v>
      </c>
      <c r="C8863" s="417" t="s">
        <v>20171</v>
      </c>
      <c r="D8863" s="417" t="s">
        <v>83</v>
      </c>
      <c r="E8863" s="423">
        <v>9722605.884040324</v>
      </c>
      <c r="F8863" s="423">
        <v>1051430.9890361689</v>
      </c>
      <c r="G8863" s="422">
        <v>26149012420.479038</v>
      </c>
      <c r="H8863" s="417" t="s">
        <v>2616</v>
      </c>
      <c r="I8863" s="417" t="s">
        <v>1392</v>
      </c>
      <c r="J8863" s="417" t="s">
        <v>14207</v>
      </c>
      <c r="K8863" s="417" t="s">
        <v>20172</v>
      </c>
      <c r="L8863" s="417"/>
      <c r="M8863" s="417" t="s">
        <v>28840</v>
      </c>
    </row>
    <row r="8864" spans="1:13" x14ac:dyDescent="0.25">
      <c r="A8864" s="417" t="s">
        <v>3385</v>
      </c>
      <c r="B8864" s="417" t="s">
        <v>2437</v>
      </c>
      <c r="C8864" s="417" t="s">
        <v>20173</v>
      </c>
      <c r="D8864" s="417" t="s">
        <v>989</v>
      </c>
      <c r="E8864" s="423">
        <v>8.9682825655223706</v>
      </c>
      <c r="F8864" s="423">
        <v>0.32602175356787361</v>
      </c>
      <c r="G8864" s="422">
        <v>46080.977739001668</v>
      </c>
      <c r="H8864" s="417" t="s">
        <v>2616</v>
      </c>
      <c r="I8864" s="417" t="s">
        <v>1392</v>
      </c>
      <c r="J8864" s="417" t="s">
        <v>3845</v>
      </c>
      <c r="K8864" s="417" t="s">
        <v>20174</v>
      </c>
      <c r="L8864" s="417"/>
      <c r="M8864" s="417" t="s">
        <v>28840</v>
      </c>
    </row>
    <row r="8865" spans="1:13" x14ac:dyDescent="0.25">
      <c r="A8865" s="417" t="s">
        <v>3385</v>
      </c>
      <c r="B8865" s="417" t="s">
        <v>3405</v>
      </c>
      <c r="C8865" s="417" t="s">
        <v>20175</v>
      </c>
      <c r="D8865" s="417" t="s">
        <v>989</v>
      </c>
      <c r="E8865" s="423">
        <v>92.37763188114549</v>
      </c>
      <c r="F8865" s="423">
        <v>3.010432484076857</v>
      </c>
      <c r="G8865" s="422">
        <v>425414.99369520659</v>
      </c>
      <c r="H8865" s="417" t="s">
        <v>2616</v>
      </c>
      <c r="I8865" s="417" t="s">
        <v>1392</v>
      </c>
      <c r="J8865" s="417" t="s">
        <v>3588</v>
      </c>
      <c r="K8865" s="417" t="s">
        <v>20176</v>
      </c>
      <c r="L8865" s="417"/>
      <c r="M8865" s="417" t="s">
        <v>28840</v>
      </c>
    </row>
    <row r="8866" spans="1:13" x14ac:dyDescent="0.25">
      <c r="A8866" s="417" t="s">
        <v>3385</v>
      </c>
      <c r="B8866" s="417" t="s">
        <v>3405</v>
      </c>
      <c r="C8866" s="417" t="s">
        <v>20177</v>
      </c>
      <c r="D8866" s="417" t="s">
        <v>989</v>
      </c>
      <c r="E8866" s="423">
        <v>12646.474307276751</v>
      </c>
      <c r="F8866" s="423">
        <v>533.41287996447545</v>
      </c>
      <c r="G8866" s="422">
        <v>22927301.441195071</v>
      </c>
      <c r="H8866" s="417" t="s">
        <v>2616</v>
      </c>
      <c r="I8866" s="417" t="s">
        <v>1392</v>
      </c>
      <c r="J8866" s="417" t="s">
        <v>3588</v>
      </c>
      <c r="K8866" s="417" t="s">
        <v>20178</v>
      </c>
      <c r="L8866" s="417"/>
      <c r="M8866" s="417" t="s">
        <v>28840</v>
      </c>
    </row>
    <row r="8867" spans="1:13" x14ac:dyDescent="0.25">
      <c r="A8867" s="417" t="s">
        <v>3385</v>
      </c>
      <c r="B8867" s="417" t="s">
        <v>2627</v>
      </c>
      <c r="C8867" s="417" t="s">
        <v>20179</v>
      </c>
      <c r="D8867" s="417" t="s">
        <v>88</v>
      </c>
      <c r="E8867" s="423">
        <v>2.9634677284464002</v>
      </c>
      <c r="F8867" s="423">
        <v>0.15294658946940859</v>
      </c>
      <c r="G8867" s="422">
        <v>5436.3445514408804</v>
      </c>
      <c r="H8867" s="417" t="s">
        <v>2616</v>
      </c>
      <c r="I8867" s="417" t="s">
        <v>1392</v>
      </c>
      <c r="J8867" s="417" t="s">
        <v>3627</v>
      </c>
      <c r="K8867" s="417" t="s">
        <v>20180</v>
      </c>
      <c r="L8867" s="417"/>
      <c r="M8867" s="417" t="s">
        <v>28840</v>
      </c>
    </row>
    <row r="8868" spans="1:13" x14ac:dyDescent="0.25">
      <c r="A8868" s="417" t="s">
        <v>3385</v>
      </c>
      <c r="B8868" s="417" t="s">
        <v>3405</v>
      </c>
      <c r="C8868" s="417" t="s">
        <v>20181</v>
      </c>
      <c r="D8868" s="417" t="s">
        <v>88</v>
      </c>
      <c r="E8868" s="423">
        <v>3.6193418135631483E-2</v>
      </c>
      <c r="F8868" s="423">
        <v>6.2389641063287956E-4</v>
      </c>
      <c r="G8868" s="422">
        <v>57.974245220895931</v>
      </c>
      <c r="H8868" s="417" t="s">
        <v>2616</v>
      </c>
      <c r="I8868" s="417" t="s">
        <v>1392</v>
      </c>
      <c r="J8868" s="417" t="s">
        <v>20182</v>
      </c>
      <c r="K8868" s="417" t="s">
        <v>20183</v>
      </c>
      <c r="L8868" s="417"/>
      <c r="M8868" s="417" t="s">
        <v>28840</v>
      </c>
    </row>
    <row r="8869" spans="1:13" x14ac:dyDescent="0.25">
      <c r="A8869" s="417" t="s">
        <v>3385</v>
      </c>
      <c r="B8869" s="417" t="s">
        <v>3405</v>
      </c>
      <c r="C8869" s="417" t="s">
        <v>20184</v>
      </c>
      <c r="D8869" s="417" t="s">
        <v>88</v>
      </c>
      <c r="E8869" s="423">
        <v>0.25964871942800227</v>
      </c>
      <c r="F8869" s="423">
        <v>1.136258329439858E-3</v>
      </c>
      <c r="G8869" s="422">
        <v>326.88777993783151</v>
      </c>
      <c r="H8869" s="417" t="s">
        <v>2616</v>
      </c>
      <c r="I8869" s="417" t="s">
        <v>1392</v>
      </c>
      <c r="J8869" s="417" t="s">
        <v>20182</v>
      </c>
      <c r="K8869" s="417" t="s">
        <v>20185</v>
      </c>
      <c r="L8869" s="417"/>
      <c r="M8869" s="417" t="s">
        <v>28840</v>
      </c>
    </row>
    <row r="8870" spans="1:13" x14ac:dyDescent="0.25">
      <c r="A8870" s="417" t="s">
        <v>3385</v>
      </c>
      <c r="B8870" s="417" t="s">
        <v>2627</v>
      </c>
      <c r="C8870" s="417" t="s">
        <v>20186</v>
      </c>
      <c r="D8870" s="417" t="s">
        <v>563</v>
      </c>
      <c r="E8870" s="423">
        <v>44.132101295897122</v>
      </c>
      <c r="F8870" s="423">
        <v>1.30569864936284</v>
      </c>
      <c r="G8870" s="422">
        <v>113137.978845903</v>
      </c>
      <c r="H8870" s="417" t="s">
        <v>2616</v>
      </c>
      <c r="I8870" s="417" t="s">
        <v>1392</v>
      </c>
      <c r="J8870" s="417" t="s">
        <v>3798</v>
      </c>
      <c r="K8870" s="417" t="s">
        <v>20187</v>
      </c>
      <c r="L8870" s="417"/>
      <c r="M8870" s="417" t="s">
        <v>28840</v>
      </c>
    </row>
    <row r="8871" spans="1:13" x14ac:dyDescent="0.25">
      <c r="A8871" s="417" t="s">
        <v>3385</v>
      </c>
      <c r="B8871" s="417" t="s">
        <v>2627</v>
      </c>
      <c r="C8871" s="417" t="s">
        <v>20188</v>
      </c>
      <c r="D8871" s="417" t="s">
        <v>563</v>
      </c>
      <c r="E8871" s="423">
        <v>45.105712014099197</v>
      </c>
      <c r="F8871" s="423">
        <v>1.3833405936946639</v>
      </c>
      <c r="G8871" s="422">
        <v>115557.46385478821</v>
      </c>
      <c r="H8871" s="417" t="s">
        <v>2616</v>
      </c>
      <c r="I8871" s="417" t="s">
        <v>1392</v>
      </c>
      <c r="J8871" s="417" t="s">
        <v>3798</v>
      </c>
      <c r="K8871" s="417" t="s">
        <v>20189</v>
      </c>
      <c r="L8871" s="417"/>
      <c r="M8871" s="417" t="s">
        <v>28840</v>
      </c>
    </row>
    <row r="8872" spans="1:13" x14ac:dyDescent="0.25">
      <c r="A8872" s="417" t="s">
        <v>3385</v>
      </c>
      <c r="B8872" s="417" t="s">
        <v>2437</v>
      </c>
      <c r="C8872" s="417" t="s">
        <v>20190</v>
      </c>
      <c r="D8872" s="417" t="s">
        <v>989</v>
      </c>
      <c r="E8872" s="423">
        <v>1054.1485435492309</v>
      </c>
      <c r="F8872" s="423">
        <v>157.36948661756389</v>
      </c>
      <c r="G8872" s="422">
        <v>2232224.4015871971</v>
      </c>
      <c r="H8872" s="417" t="s">
        <v>2616</v>
      </c>
      <c r="I8872" s="417" t="s">
        <v>1392</v>
      </c>
      <c r="J8872" s="417" t="s">
        <v>5056</v>
      </c>
      <c r="K8872" s="417" t="s">
        <v>20191</v>
      </c>
      <c r="L8872" s="417"/>
      <c r="M8872" s="417" t="s">
        <v>28840</v>
      </c>
    </row>
    <row r="8873" spans="1:13" x14ac:dyDescent="0.25">
      <c r="A8873" s="417" t="s">
        <v>3385</v>
      </c>
      <c r="B8873" s="417" t="s">
        <v>2627</v>
      </c>
      <c r="C8873" s="417" t="s">
        <v>20192</v>
      </c>
      <c r="D8873" s="417" t="s">
        <v>88</v>
      </c>
      <c r="E8873" s="423">
        <v>2.649515683496527</v>
      </c>
      <c r="F8873" s="423">
        <v>7.2926995201075137E-2</v>
      </c>
      <c r="G8873" s="422">
        <v>5441.2799784256913</v>
      </c>
      <c r="H8873" s="417" t="s">
        <v>2616</v>
      </c>
      <c r="I8873" s="417" t="s">
        <v>1392</v>
      </c>
      <c r="J8873" s="417" t="s">
        <v>4347</v>
      </c>
      <c r="K8873" s="417" t="s">
        <v>20193</v>
      </c>
      <c r="L8873" s="417"/>
      <c r="M8873" s="417" t="s">
        <v>28840</v>
      </c>
    </row>
    <row r="8874" spans="1:13" x14ac:dyDescent="0.25">
      <c r="A8874" s="417" t="s">
        <v>3385</v>
      </c>
      <c r="B8874" s="417" t="s">
        <v>3655</v>
      </c>
      <c r="C8874" s="417" t="s">
        <v>20194</v>
      </c>
      <c r="D8874" s="417" t="s">
        <v>88</v>
      </c>
      <c r="E8874" s="423">
        <v>1.548268565585198</v>
      </c>
      <c r="F8874" s="423">
        <v>0.17719470118893491</v>
      </c>
      <c r="G8874" s="422">
        <v>2713.8757795877418</v>
      </c>
      <c r="H8874" s="417" t="s">
        <v>2616</v>
      </c>
      <c r="I8874" s="417" t="s">
        <v>1392</v>
      </c>
      <c r="J8874" s="417" t="s">
        <v>3754</v>
      </c>
      <c r="K8874" s="417" t="s">
        <v>20195</v>
      </c>
      <c r="L8874" s="417"/>
      <c r="M8874" s="417" t="s">
        <v>28840</v>
      </c>
    </row>
    <row r="8875" spans="1:13" x14ac:dyDescent="0.25">
      <c r="A8875" s="417" t="s">
        <v>3385</v>
      </c>
      <c r="B8875" s="417" t="s">
        <v>2627</v>
      </c>
      <c r="C8875" s="417" t="s">
        <v>20196</v>
      </c>
      <c r="D8875" s="417" t="s">
        <v>88</v>
      </c>
      <c r="E8875" s="423">
        <v>2.400121728424105</v>
      </c>
      <c r="F8875" s="423">
        <v>6.3206826885132711E-2</v>
      </c>
      <c r="G8875" s="422">
        <v>6952.3999549220489</v>
      </c>
      <c r="H8875" s="417" t="s">
        <v>2616</v>
      </c>
      <c r="I8875" s="417" t="s">
        <v>1392</v>
      </c>
      <c r="J8875" s="417" t="s">
        <v>3627</v>
      </c>
      <c r="K8875" s="417" t="s">
        <v>20197</v>
      </c>
      <c r="L8875" s="417"/>
      <c r="M8875" s="417" t="s">
        <v>28840</v>
      </c>
    </row>
    <row r="8876" spans="1:13" x14ac:dyDescent="0.25">
      <c r="A8876" s="417" t="s">
        <v>3385</v>
      </c>
      <c r="B8876" s="417" t="s">
        <v>2627</v>
      </c>
      <c r="C8876" s="417" t="s">
        <v>20198</v>
      </c>
      <c r="D8876" s="417" t="s">
        <v>88</v>
      </c>
      <c r="E8876" s="423">
        <v>1.640351186665499</v>
      </c>
      <c r="F8876" s="423">
        <v>5.6511319192273472E-2</v>
      </c>
      <c r="G8876" s="422">
        <v>5481.1554408234124</v>
      </c>
      <c r="H8876" s="417" t="s">
        <v>2616</v>
      </c>
      <c r="I8876" s="417" t="s">
        <v>1392</v>
      </c>
      <c r="J8876" s="417" t="s">
        <v>3627</v>
      </c>
      <c r="K8876" s="417" t="s">
        <v>20199</v>
      </c>
      <c r="L8876" s="417"/>
      <c r="M8876" s="417" t="s">
        <v>28840</v>
      </c>
    </row>
    <row r="8877" spans="1:13" x14ac:dyDescent="0.25">
      <c r="A8877" s="417" t="s">
        <v>3385</v>
      </c>
      <c r="B8877" s="417" t="s">
        <v>2627</v>
      </c>
      <c r="C8877" s="417" t="s">
        <v>20200</v>
      </c>
      <c r="D8877" s="417" t="s">
        <v>88</v>
      </c>
      <c r="E8877" s="423">
        <v>2.9003467568028598</v>
      </c>
      <c r="F8877" s="423">
        <v>4.2301124508539442E-2</v>
      </c>
      <c r="G8877" s="422">
        <v>5331.4082917928999</v>
      </c>
      <c r="H8877" s="417" t="s">
        <v>2616</v>
      </c>
      <c r="I8877" s="417" t="s">
        <v>1392</v>
      </c>
      <c r="J8877" s="417" t="s">
        <v>3627</v>
      </c>
      <c r="K8877" s="417" t="s">
        <v>20201</v>
      </c>
      <c r="L8877" s="417"/>
      <c r="M8877" s="417" t="s">
        <v>28840</v>
      </c>
    </row>
    <row r="8878" spans="1:13" x14ac:dyDescent="0.25">
      <c r="A8878" s="417" t="s">
        <v>3385</v>
      </c>
      <c r="B8878" s="417" t="s">
        <v>2627</v>
      </c>
      <c r="C8878" s="417" t="s">
        <v>20202</v>
      </c>
      <c r="D8878" s="417" t="s">
        <v>88</v>
      </c>
      <c r="E8878" s="423">
        <v>1.65526053759915</v>
      </c>
      <c r="F8878" s="423">
        <v>4.8359942030959988E-2</v>
      </c>
      <c r="G8878" s="422">
        <v>3235.6344121689799</v>
      </c>
      <c r="H8878" s="417" t="s">
        <v>2616</v>
      </c>
      <c r="I8878" s="417" t="s">
        <v>1392</v>
      </c>
      <c r="J8878" s="417" t="s">
        <v>3627</v>
      </c>
      <c r="K8878" s="417" t="s">
        <v>20203</v>
      </c>
      <c r="L8878" s="417"/>
      <c r="M8878" s="417" t="s">
        <v>28840</v>
      </c>
    </row>
    <row r="8879" spans="1:13" x14ac:dyDescent="0.25">
      <c r="A8879" s="417" t="s">
        <v>3385</v>
      </c>
      <c r="B8879" s="417" t="s">
        <v>2627</v>
      </c>
      <c r="C8879" s="417" t="s">
        <v>20204</v>
      </c>
      <c r="D8879" s="417" t="s">
        <v>88</v>
      </c>
      <c r="E8879" s="423">
        <v>0.93558713083426814</v>
      </c>
      <c r="F8879" s="423">
        <v>4.1677168109011738E-2</v>
      </c>
      <c r="G8879" s="422">
        <v>1835.7302625666789</v>
      </c>
      <c r="H8879" s="417" t="s">
        <v>2616</v>
      </c>
      <c r="I8879" s="417" t="s">
        <v>1392</v>
      </c>
      <c r="J8879" s="417" t="s">
        <v>3627</v>
      </c>
      <c r="K8879" s="417" t="s">
        <v>20205</v>
      </c>
      <c r="L8879" s="417"/>
      <c r="M8879" s="417" t="s">
        <v>28840</v>
      </c>
    </row>
    <row r="8880" spans="1:13" x14ac:dyDescent="0.25">
      <c r="A8880" s="417" t="s">
        <v>3385</v>
      </c>
      <c r="B8880" s="417" t="s">
        <v>2627</v>
      </c>
      <c r="C8880" s="417" t="s">
        <v>20206</v>
      </c>
      <c r="D8880" s="417" t="s">
        <v>88</v>
      </c>
      <c r="E8880" s="423">
        <v>0.89548999566428777</v>
      </c>
      <c r="F8880" s="423">
        <v>4.1664434309016299E-2</v>
      </c>
      <c r="G8880" s="422">
        <v>1764.389896289259</v>
      </c>
      <c r="H8880" s="417" t="s">
        <v>2616</v>
      </c>
      <c r="I8880" s="417" t="s">
        <v>1392</v>
      </c>
      <c r="J8880" s="417" t="s">
        <v>3627</v>
      </c>
      <c r="K8880" s="417" t="s">
        <v>20207</v>
      </c>
      <c r="L8880" s="417"/>
      <c r="M8880" s="417" t="s">
        <v>28840</v>
      </c>
    </row>
    <row r="8881" spans="1:13" x14ac:dyDescent="0.25">
      <c r="A8881" s="417" t="s">
        <v>3385</v>
      </c>
      <c r="B8881" s="417" t="s">
        <v>2627</v>
      </c>
      <c r="C8881" s="417" t="s">
        <v>20208</v>
      </c>
      <c r="D8881" s="417" t="s">
        <v>88</v>
      </c>
      <c r="E8881" s="423">
        <v>2.5158244056711809</v>
      </c>
      <c r="F8881" s="423">
        <v>5.8506059231266873E-2</v>
      </c>
      <c r="G8881" s="422">
        <v>4981.7792357908793</v>
      </c>
      <c r="H8881" s="417" t="s">
        <v>2616</v>
      </c>
      <c r="I8881" s="417" t="s">
        <v>1392</v>
      </c>
      <c r="J8881" s="417" t="s">
        <v>3627</v>
      </c>
      <c r="K8881" s="417" t="s">
        <v>20209</v>
      </c>
      <c r="L8881" s="417"/>
      <c r="M8881" s="417" t="s">
        <v>28840</v>
      </c>
    </row>
    <row r="8882" spans="1:13" x14ac:dyDescent="0.25">
      <c r="A8882" s="417" t="s">
        <v>3385</v>
      </c>
      <c r="B8882" s="417" t="s">
        <v>2627</v>
      </c>
      <c r="C8882" s="417" t="s">
        <v>20210</v>
      </c>
      <c r="D8882" s="417" t="s">
        <v>88</v>
      </c>
      <c r="E8882" s="423">
        <v>2.5158244056711809</v>
      </c>
      <c r="F8882" s="423">
        <v>5.8506059231266873E-2</v>
      </c>
      <c r="G8882" s="422">
        <v>4981.7225357908792</v>
      </c>
      <c r="H8882" s="417" t="s">
        <v>2616</v>
      </c>
      <c r="I8882" s="417" t="s">
        <v>1392</v>
      </c>
      <c r="J8882" s="417" t="s">
        <v>3627</v>
      </c>
      <c r="K8882" s="417" t="s">
        <v>20211</v>
      </c>
      <c r="L8882" s="417"/>
      <c r="M8882" s="417" t="s">
        <v>28840</v>
      </c>
    </row>
    <row r="8883" spans="1:13" x14ac:dyDescent="0.25">
      <c r="A8883" s="417" t="s">
        <v>3385</v>
      </c>
      <c r="B8883" s="417" t="s">
        <v>2627</v>
      </c>
      <c r="C8883" s="417" t="s">
        <v>20212</v>
      </c>
      <c r="D8883" s="417" t="s">
        <v>88</v>
      </c>
      <c r="E8883" s="423">
        <v>1.0784445596257519</v>
      </c>
      <c r="F8883" s="423">
        <v>4.8888705379644133E-2</v>
      </c>
      <c r="G8883" s="422">
        <v>2143.6989524495052</v>
      </c>
      <c r="H8883" s="417" t="s">
        <v>2616</v>
      </c>
      <c r="I8883" s="417" t="s">
        <v>1392</v>
      </c>
      <c r="J8883" s="417" t="s">
        <v>3627</v>
      </c>
      <c r="K8883" s="417" t="s">
        <v>20213</v>
      </c>
      <c r="L8883" s="417"/>
      <c r="M8883" s="417" t="s">
        <v>28840</v>
      </c>
    </row>
    <row r="8884" spans="1:13" x14ac:dyDescent="0.25">
      <c r="A8884" s="417" t="s">
        <v>3385</v>
      </c>
      <c r="B8884" s="417" t="s">
        <v>2627</v>
      </c>
      <c r="C8884" s="417" t="s">
        <v>20214</v>
      </c>
      <c r="D8884" s="417" t="s">
        <v>88</v>
      </c>
      <c r="E8884" s="423">
        <v>4.1047323398503934</v>
      </c>
      <c r="F8884" s="423">
        <v>0.10645443426547579</v>
      </c>
      <c r="G8884" s="422">
        <v>14891.26606703122</v>
      </c>
      <c r="H8884" s="417" t="s">
        <v>2616</v>
      </c>
      <c r="I8884" s="417" t="s">
        <v>1392</v>
      </c>
      <c r="J8884" s="417" t="s">
        <v>3627</v>
      </c>
      <c r="K8884" s="417" t="s">
        <v>20215</v>
      </c>
      <c r="L8884" s="417"/>
      <c r="M8884" s="417" t="s">
        <v>28840</v>
      </c>
    </row>
    <row r="8885" spans="1:13" x14ac:dyDescent="0.25">
      <c r="A8885" s="417" t="s">
        <v>3385</v>
      </c>
      <c r="B8885" s="417" t="s">
        <v>2627</v>
      </c>
      <c r="C8885" s="417" t="s">
        <v>20216</v>
      </c>
      <c r="D8885" s="417" t="s">
        <v>88</v>
      </c>
      <c r="E8885" s="423">
        <v>4.1047323398503934</v>
      </c>
      <c r="F8885" s="423">
        <v>0.10645443426547579</v>
      </c>
      <c r="G8885" s="422">
        <v>14805.02736703122</v>
      </c>
      <c r="H8885" s="417" t="s">
        <v>2616</v>
      </c>
      <c r="I8885" s="417" t="s">
        <v>1392</v>
      </c>
      <c r="J8885" s="417" t="s">
        <v>3627</v>
      </c>
      <c r="K8885" s="417" t="s">
        <v>20217</v>
      </c>
      <c r="L8885" s="417"/>
      <c r="M8885" s="417" t="s">
        <v>28840</v>
      </c>
    </row>
    <row r="8886" spans="1:13" x14ac:dyDescent="0.25">
      <c r="A8886" s="417" t="s">
        <v>3385</v>
      </c>
      <c r="B8886" s="417" t="s">
        <v>2627</v>
      </c>
      <c r="C8886" s="417" t="s">
        <v>20218</v>
      </c>
      <c r="D8886" s="417" t="s">
        <v>88</v>
      </c>
      <c r="E8886" s="423">
        <v>2.667352493783345</v>
      </c>
      <c r="F8886" s="423">
        <v>9.6837080424429012E-2</v>
      </c>
      <c r="G8886" s="422">
        <v>12053.18578440987</v>
      </c>
      <c r="H8886" s="417" t="s">
        <v>2616</v>
      </c>
      <c r="I8886" s="417" t="s">
        <v>1392</v>
      </c>
      <c r="J8886" s="417" t="s">
        <v>3627</v>
      </c>
      <c r="K8886" s="417" t="s">
        <v>20219</v>
      </c>
      <c r="L8886" s="417"/>
      <c r="M8886" s="417" t="s">
        <v>28840</v>
      </c>
    </row>
    <row r="8887" spans="1:13" x14ac:dyDescent="0.25">
      <c r="A8887" s="417" t="s">
        <v>3385</v>
      </c>
      <c r="B8887" s="417" t="s">
        <v>2627</v>
      </c>
      <c r="C8887" s="417" t="s">
        <v>20220</v>
      </c>
      <c r="D8887" s="417" t="s">
        <v>88</v>
      </c>
      <c r="E8887" s="423">
        <v>4.5063667752127072</v>
      </c>
      <c r="F8887" s="423">
        <v>0.1046697498766955</v>
      </c>
      <c r="G8887" s="422">
        <v>10688.85026449014</v>
      </c>
      <c r="H8887" s="417" t="s">
        <v>2616</v>
      </c>
      <c r="I8887" s="417" t="s">
        <v>1392</v>
      </c>
      <c r="J8887" s="417" t="s">
        <v>4544</v>
      </c>
      <c r="K8887" s="417" t="s">
        <v>20221</v>
      </c>
      <c r="L8887" s="417"/>
      <c r="M8887" s="417" t="s">
        <v>28840</v>
      </c>
    </row>
    <row r="8888" spans="1:13" x14ac:dyDescent="0.25">
      <c r="A8888" s="417" t="s">
        <v>3385</v>
      </c>
      <c r="B8888" s="417" t="s">
        <v>2627</v>
      </c>
      <c r="C8888" s="417" t="s">
        <v>20222</v>
      </c>
      <c r="D8888" s="417" t="s">
        <v>88</v>
      </c>
      <c r="E8888" s="423">
        <v>2.6022570991344032</v>
      </c>
      <c r="F8888" s="423">
        <v>3.9500529182349121E-2</v>
      </c>
      <c r="G8888" s="422">
        <v>5317.0117246572154</v>
      </c>
      <c r="H8888" s="417" t="s">
        <v>2616</v>
      </c>
      <c r="I8888" s="417" t="s">
        <v>1392</v>
      </c>
      <c r="J8888" s="417" t="s">
        <v>4544</v>
      </c>
      <c r="K8888" s="417" t="s">
        <v>20223</v>
      </c>
      <c r="L8888" s="417"/>
      <c r="M8888" s="417" t="s">
        <v>28840</v>
      </c>
    </row>
    <row r="8889" spans="1:13" x14ac:dyDescent="0.25">
      <c r="A8889" s="417" t="s">
        <v>3385</v>
      </c>
      <c r="B8889" s="417" t="s">
        <v>2627</v>
      </c>
      <c r="C8889" s="417" t="s">
        <v>20224</v>
      </c>
      <c r="D8889" s="417" t="s">
        <v>88</v>
      </c>
      <c r="E8889" s="423">
        <v>2.4099902490148968</v>
      </c>
      <c r="F8889" s="423">
        <v>2.7243856242445349E-2</v>
      </c>
      <c r="G8889" s="422">
        <v>4513.4370080478384</v>
      </c>
      <c r="H8889" s="417" t="s">
        <v>2616</v>
      </c>
      <c r="I8889" s="417" t="s">
        <v>1392</v>
      </c>
      <c r="J8889" s="417" t="s">
        <v>3772</v>
      </c>
      <c r="K8889" s="417" t="s">
        <v>20225</v>
      </c>
      <c r="L8889" s="417"/>
      <c r="M8889" s="417" t="s">
        <v>28840</v>
      </c>
    </row>
    <row r="8890" spans="1:13" x14ac:dyDescent="0.25">
      <c r="A8890" s="417" t="s">
        <v>3385</v>
      </c>
      <c r="B8890" s="417" t="s">
        <v>2627</v>
      </c>
      <c r="C8890" s="417" t="s">
        <v>20226</v>
      </c>
      <c r="D8890" s="417" t="s">
        <v>88</v>
      </c>
      <c r="E8890" s="423">
        <v>0.37238664656833342</v>
      </c>
      <c r="F8890" s="423">
        <v>2.967994149577315E-2</v>
      </c>
      <c r="G8890" s="422">
        <v>1215.045667950845</v>
      </c>
      <c r="H8890" s="417" t="s">
        <v>2616</v>
      </c>
      <c r="I8890" s="417" t="s">
        <v>1392</v>
      </c>
      <c r="J8890" s="417" t="s">
        <v>3772</v>
      </c>
      <c r="K8890" s="417" t="s">
        <v>20227</v>
      </c>
      <c r="L8890" s="417"/>
      <c r="M8890" s="417" t="s">
        <v>28840</v>
      </c>
    </row>
    <row r="8891" spans="1:13" x14ac:dyDescent="0.25">
      <c r="A8891" s="417" t="s">
        <v>3385</v>
      </c>
      <c r="B8891" s="417" t="s">
        <v>2627</v>
      </c>
      <c r="C8891" s="417" t="s">
        <v>20228</v>
      </c>
      <c r="D8891" s="417" t="s">
        <v>88</v>
      </c>
      <c r="E8891" s="423">
        <v>0.3245234396615706</v>
      </c>
      <c r="F8891" s="423">
        <v>2.7297822637514551E-2</v>
      </c>
      <c r="G8891" s="422">
        <v>1086.8545899338951</v>
      </c>
      <c r="H8891" s="417" t="s">
        <v>2616</v>
      </c>
      <c r="I8891" s="417" t="s">
        <v>1392</v>
      </c>
      <c r="J8891" s="417" t="s">
        <v>3772</v>
      </c>
      <c r="K8891" s="417" t="s">
        <v>20229</v>
      </c>
      <c r="L8891" s="417"/>
      <c r="M8891" s="417" t="s">
        <v>28840</v>
      </c>
    </row>
    <row r="8892" spans="1:13" x14ac:dyDescent="0.25">
      <c r="A8892" s="417" t="s">
        <v>3385</v>
      </c>
      <c r="B8892" s="417" t="s">
        <v>2627</v>
      </c>
      <c r="C8892" s="417" t="s">
        <v>20230</v>
      </c>
      <c r="D8892" s="417" t="s">
        <v>88</v>
      </c>
      <c r="E8892" s="423">
        <v>0.32454395713446349</v>
      </c>
      <c r="F8892" s="423">
        <v>2.92915218381288E-2</v>
      </c>
      <c r="G8892" s="422">
        <v>931.9337322013514</v>
      </c>
      <c r="H8892" s="417" t="s">
        <v>2616</v>
      </c>
      <c r="I8892" s="417" t="s">
        <v>1392</v>
      </c>
      <c r="J8892" s="417" t="s">
        <v>3772</v>
      </c>
      <c r="K8892" s="417" t="s">
        <v>20231</v>
      </c>
      <c r="L8892" s="417"/>
      <c r="M8892" s="417" t="s">
        <v>28840</v>
      </c>
    </row>
    <row r="8893" spans="1:13" x14ac:dyDescent="0.25">
      <c r="A8893" s="417" t="s">
        <v>3385</v>
      </c>
      <c r="B8893" s="417" t="s">
        <v>2627</v>
      </c>
      <c r="C8893" s="417" t="s">
        <v>1078</v>
      </c>
      <c r="D8893" s="417" t="s">
        <v>88</v>
      </c>
      <c r="E8893" s="423">
        <v>3.4777587569263191</v>
      </c>
      <c r="F8893" s="423">
        <v>0.11005883148104439</v>
      </c>
      <c r="G8893" s="422">
        <v>10779.956443437441</v>
      </c>
      <c r="H8893" s="417" t="s">
        <v>2616</v>
      </c>
      <c r="I8893" s="417" t="s">
        <v>28841</v>
      </c>
      <c r="J8893" s="417" t="s">
        <v>4544</v>
      </c>
      <c r="K8893" s="417" t="s">
        <v>20232</v>
      </c>
      <c r="L8893" s="417"/>
      <c r="M8893" s="417" t="s">
        <v>28840</v>
      </c>
    </row>
    <row r="8894" spans="1:13" x14ac:dyDescent="0.25">
      <c r="A8894" s="417" t="s">
        <v>3385</v>
      </c>
      <c r="B8894" s="417" t="s">
        <v>2627</v>
      </c>
      <c r="C8894" s="417" t="s">
        <v>20233</v>
      </c>
      <c r="D8894" s="417" t="s">
        <v>88</v>
      </c>
      <c r="E8894" s="423">
        <v>0.34671006105782243</v>
      </c>
      <c r="F8894" s="423">
        <v>2.028689551229839E-2</v>
      </c>
      <c r="G8894" s="422">
        <v>827.57385562374645</v>
      </c>
      <c r="H8894" s="417" t="s">
        <v>2616</v>
      </c>
      <c r="I8894" s="417" t="s">
        <v>1392</v>
      </c>
      <c r="J8894" s="417" t="s">
        <v>3772</v>
      </c>
      <c r="K8894" s="417" t="s">
        <v>20234</v>
      </c>
      <c r="L8894" s="417"/>
      <c r="M8894" s="417" t="s">
        <v>28840</v>
      </c>
    </row>
    <row r="8895" spans="1:13" x14ac:dyDescent="0.25">
      <c r="A8895" s="417" t="s">
        <v>3385</v>
      </c>
      <c r="B8895" s="417" t="s">
        <v>2627</v>
      </c>
      <c r="C8895" s="417" t="s">
        <v>20235</v>
      </c>
      <c r="D8895" s="417" t="s">
        <v>88</v>
      </c>
      <c r="E8895" s="423">
        <v>0.29645589213548612</v>
      </c>
      <c r="F8895" s="423">
        <v>2.1982789338603061E-2</v>
      </c>
      <c r="G8895" s="422">
        <v>545.53208090092994</v>
      </c>
      <c r="H8895" s="417" t="s">
        <v>2616</v>
      </c>
      <c r="I8895" s="417" t="s">
        <v>1392</v>
      </c>
      <c r="J8895" s="417" t="s">
        <v>3772</v>
      </c>
      <c r="K8895" s="417" t="s">
        <v>20236</v>
      </c>
      <c r="L8895" s="417"/>
      <c r="M8895" s="417" t="s">
        <v>28840</v>
      </c>
    </row>
    <row r="8896" spans="1:13" x14ac:dyDescent="0.25">
      <c r="A8896" s="417" t="s">
        <v>3385</v>
      </c>
      <c r="B8896" s="417" t="s">
        <v>2627</v>
      </c>
      <c r="C8896" s="417" t="s">
        <v>20237</v>
      </c>
      <c r="D8896" s="417" t="s">
        <v>88</v>
      </c>
      <c r="E8896" s="423">
        <v>0.93883261142652608</v>
      </c>
      <c r="F8896" s="423">
        <v>4.1038398737676271E-2</v>
      </c>
      <c r="G8896" s="422">
        <v>2049.9856508121939</v>
      </c>
      <c r="H8896" s="417" t="s">
        <v>2616</v>
      </c>
      <c r="I8896" s="417" t="s">
        <v>1392</v>
      </c>
      <c r="J8896" s="417" t="s">
        <v>3772</v>
      </c>
      <c r="K8896" s="417" t="s">
        <v>20238</v>
      </c>
      <c r="L8896" s="417"/>
      <c r="M8896" s="417" t="s">
        <v>28840</v>
      </c>
    </row>
    <row r="8897" spans="1:13" x14ac:dyDescent="0.25">
      <c r="A8897" s="417" t="s">
        <v>3385</v>
      </c>
      <c r="B8897" s="417" t="s">
        <v>2627</v>
      </c>
      <c r="C8897" s="417" t="s">
        <v>20239</v>
      </c>
      <c r="D8897" s="417" t="s">
        <v>88</v>
      </c>
      <c r="E8897" s="423">
        <v>0.54889557152107138</v>
      </c>
      <c r="F8897" s="423">
        <v>3.0646450010279831E-2</v>
      </c>
      <c r="G8897" s="422">
        <v>1175.0851577212429</v>
      </c>
      <c r="H8897" s="417" t="s">
        <v>2616</v>
      </c>
      <c r="I8897" s="417" t="s">
        <v>1392</v>
      </c>
      <c r="J8897" s="417" t="s">
        <v>3772</v>
      </c>
      <c r="K8897" s="417" t="s">
        <v>20240</v>
      </c>
      <c r="L8897" s="417"/>
      <c r="M8897" s="417" t="s">
        <v>28840</v>
      </c>
    </row>
    <row r="8898" spans="1:13" x14ac:dyDescent="0.25">
      <c r="A8898" s="417" t="s">
        <v>3385</v>
      </c>
      <c r="B8898" s="417" t="s">
        <v>2627</v>
      </c>
      <c r="C8898" s="417" t="s">
        <v>20241</v>
      </c>
      <c r="D8898" s="417" t="s">
        <v>88</v>
      </c>
      <c r="E8898" s="423">
        <v>0.2659176887483084</v>
      </c>
      <c r="F8898" s="423">
        <v>2.358928843028282E-2</v>
      </c>
      <c r="G8898" s="422">
        <v>739.35265912885859</v>
      </c>
      <c r="H8898" s="417" t="s">
        <v>2616</v>
      </c>
      <c r="I8898" s="417" t="s">
        <v>1392</v>
      </c>
      <c r="J8898" s="417" t="s">
        <v>3772</v>
      </c>
      <c r="K8898" s="417" t="s">
        <v>20242</v>
      </c>
      <c r="L8898" s="417"/>
      <c r="M8898" s="417" t="s">
        <v>28840</v>
      </c>
    </row>
    <row r="8899" spans="1:13" x14ac:dyDescent="0.25">
      <c r="A8899" s="417" t="s">
        <v>3385</v>
      </c>
      <c r="B8899" s="417" t="s">
        <v>2627</v>
      </c>
      <c r="C8899" s="417" t="s">
        <v>1086</v>
      </c>
      <c r="D8899" s="417" t="s">
        <v>88</v>
      </c>
      <c r="E8899" s="423">
        <v>2.1370469258992459</v>
      </c>
      <c r="F8899" s="423">
        <v>4.5119827255856969E-2</v>
      </c>
      <c r="G8899" s="422">
        <v>4293.3618308882906</v>
      </c>
      <c r="H8899" s="417" t="s">
        <v>2616</v>
      </c>
      <c r="I8899" s="417" t="s">
        <v>28841</v>
      </c>
      <c r="J8899" s="417" t="s">
        <v>4544</v>
      </c>
      <c r="K8899" s="417" t="s">
        <v>20243</v>
      </c>
      <c r="L8899" s="417"/>
      <c r="M8899" s="417" t="s">
        <v>28840</v>
      </c>
    </row>
    <row r="8900" spans="1:13" x14ac:dyDescent="0.25">
      <c r="A8900" s="417" t="s">
        <v>3385</v>
      </c>
      <c r="B8900" s="417" t="s">
        <v>2627</v>
      </c>
      <c r="C8900" s="417" t="s">
        <v>1087</v>
      </c>
      <c r="D8900" s="417" t="s">
        <v>88</v>
      </c>
      <c r="E8900" s="423">
        <v>0.84342916350994901</v>
      </c>
      <c r="F8900" s="423">
        <v>3.9541757383855979E-2</v>
      </c>
      <c r="G8900" s="422">
        <v>1683.948094237905</v>
      </c>
      <c r="H8900" s="417" t="s">
        <v>2616</v>
      </c>
      <c r="I8900" s="417" t="s">
        <v>28841</v>
      </c>
      <c r="J8900" s="417" t="s">
        <v>3627</v>
      </c>
      <c r="K8900" s="417" t="s">
        <v>20244</v>
      </c>
      <c r="L8900" s="417"/>
      <c r="M8900" s="417" t="s">
        <v>28840</v>
      </c>
    </row>
    <row r="8901" spans="1:13" x14ac:dyDescent="0.25">
      <c r="A8901" s="417" t="s">
        <v>3385</v>
      </c>
      <c r="B8901" s="417" t="s">
        <v>2623</v>
      </c>
      <c r="C8901" s="417" t="s">
        <v>20245</v>
      </c>
      <c r="D8901" s="417" t="s">
        <v>88</v>
      </c>
      <c r="E8901" s="423">
        <v>0</v>
      </c>
      <c r="F8901" s="423">
        <v>0</v>
      </c>
      <c r="G8901" s="422">
        <v>0</v>
      </c>
      <c r="H8901" s="417" t="s">
        <v>2616</v>
      </c>
      <c r="I8901" s="417" t="s">
        <v>1392</v>
      </c>
      <c r="J8901" s="417" t="s">
        <v>20246</v>
      </c>
      <c r="K8901" s="417" t="s">
        <v>20247</v>
      </c>
      <c r="L8901" s="417"/>
      <c r="M8901" s="417" t="s">
        <v>28840</v>
      </c>
    </row>
    <row r="8902" spans="1:13" x14ac:dyDescent="0.25">
      <c r="A8902" s="417" t="s">
        <v>3385</v>
      </c>
      <c r="B8902" s="417" t="s">
        <v>2627</v>
      </c>
      <c r="C8902" s="417" t="s">
        <v>20248</v>
      </c>
      <c r="D8902" s="417" t="s">
        <v>88</v>
      </c>
      <c r="E8902" s="423">
        <v>4.2841771494185563</v>
      </c>
      <c r="F8902" s="423">
        <v>0.14623120547210791</v>
      </c>
      <c r="G8902" s="422">
        <v>26780.85484964573</v>
      </c>
      <c r="H8902" s="417" t="s">
        <v>2616</v>
      </c>
      <c r="I8902" s="417" t="s">
        <v>1392</v>
      </c>
      <c r="J8902" s="417" t="s">
        <v>3860</v>
      </c>
      <c r="K8902" s="417" t="s">
        <v>20249</v>
      </c>
      <c r="L8902" s="417"/>
      <c r="M8902" s="417" t="s">
        <v>28840</v>
      </c>
    </row>
    <row r="8903" spans="1:13" x14ac:dyDescent="0.25">
      <c r="A8903" s="417" t="s">
        <v>3385</v>
      </c>
      <c r="B8903" s="417" t="s">
        <v>3405</v>
      </c>
      <c r="C8903" s="417" t="s">
        <v>20250</v>
      </c>
      <c r="D8903" s="417" t="s">
        <v>989</v>
      </c>
      <c r="E8903" s="423">
        <v>2524.169117920982</v>
      </c>
      <c r="F8903" s="423">
        <v>81.973896028371442</v>
      </c>
      <c r="G8903" s="422">
        <v>4620556.1426198799</v>
      </c>
      <c r="H8903" s="417" t="s">
        <v>2616</v>
      </c>
      <c r="I8903" s="417" t="s">
        <v>1392</v>
      </c>
      <c r="J8903" s="417" t="s">
        <v>20251</v>
      </c>
      <c r="K8903" s="417" t="s">
        <v>20252</v>
      </c>
      <c r="L8903" s="417"/>
      <c r="M8903" s="417" t="s">
        <v>28840</v>
      </c>
    </row>
    <row r="8904" spans="1:13" x14ac:dyDescent="0.25">
      <c r="A8904" s="417" t="s">
        <v>3385</v>
      </c>
      <c r="B8904" s="417" t="s">
        <v>2627</v>
      </c>
      <c r="C8904" s="417" t="s">
        <v>20253</v>
      </c>
      <c r="D8904" s="417" t="s">
        <v>4315</v>
      </c>
      <c r="E8904" s="423">
        <v>9.3200128020850652</v>
      </c>
      <c r="F8904" s="423">
        <v>0.38417301561516443</v>
      </c>
      <c r="G8904" s="422">
        <v>36356.799636246193</v>
      </c>
      <c r="H8904" s="417" t="s">
        <v>2616</v>
      </c>
      <c r="I8904" s="417" t="s">
        <v>1392</v>
      </c>
      <c r="J8904" s="417" t="s">
        <v>4138</v>
      </c>
      <c r="K8904" s="417" t="s">
        <v>20254</v>
      </c>
      <c r="L8904" s="417"/>
      <c r="M8904" s="417" t="s">
        <v>28840</v>
      </c>
    </row>
    <row r="8905" spans="1:13" x14ac:dyDescent="0.25">
      <c r="A8905" s="417" t="s">
        <v>3385</v>
      </c>
      <c r="B8905" s="417" t="s">
        <v>2627</v>
      </c>
      <c r="C8905" s="417" t="s">
        <v>20255</v>
      </c>
      <c r="D8905" s="417" t="s">
        <v>4315</v>
      </c>
      <c r="E8905" s="423">
        <v>5.1626980680269856</v>
      </c>
      <c r="F8905" s="423">
        <v>0.25805801382896493</v>
      </c>
      <c r="G8905" s="422">
        <v>26769.490968682439</v>
      </c>
      <c r="H8905" s="417" t="s">
        <v>2616</v>
      </c>
      <c r="I8905" s="417" t="s">
        <v>1392</v>
      </c>
      <c r="J8905" s="417" t="s">
        <v>4138</v>
      </c>
      <c r="K8905" s="417" t="s">
        <v>20256</v>
      </c>
      <c r="L8905" s="417"/>
      <c r="M8905" s="417" t="s">
        <v>28840</v>
      </c>
    </row>
    <row r="8906" spans="1:13" x14ac:dyDescent="0.25">
      <c r="A8906" s="417" t="s">
        <v>3385</v>
      </c>
      <c r="B8906" s="417" t="s">
        <v>2627</v>
      </c>
      <c r="C8906" s="417" t="s">
        <v>20257</v>
      </c>
      <c r="D8906" s="417" t="s">
        <v>4315</v>
      </c>
      <c r="E8906" s="423">
        <v>7.2414078336886947</v>
      </c>
      <c r="F8906" s="423">
        <v>0.32111683555926179</v>
      </c>
      <c r="G8906" s="422">
        <v>31563.226760854908</v>
      </c>
      <c r="H8906" s="417" t="s">
        <v>2616</v>
      </c>
      <c r="I8906" s="417" t="s">
        <v>1392</v>
      </c>
      <c r="J8906" s="417" t="s">
        <v>4138</v>
      </c>
      <c r="K8906" s="417" t="s">
        <v>20258</v>
      </c>
      <c r="L8906" s="417"/>
      <c r="M8906" s="417" t="s">
        <v>28840</v>
      </c>
    </row>
    <row r="8907" spans="1:13" x14ac:dyDescent="0.25">
      <c r="A8907" s="417" t="s">
        <v>3385</v>
      </c>
      <c r="B8907" s="417" t="s">
        <v>2627</v>
      </c>
      <c r="C8907" s="417" t="s">
        <v>20259</v>
      </c>
      <c r="D8907" s="417" t="s">
        <v>88</v>
      </c>
      <c r="E8907" s="423">
        <v>0.58548446221164907</v>
      </c>
      <c r="F8907" s="423">
        <v>0.1089824122329843</v>
      </c>
      <c r="G8907" s="422">
        <v>1432.7857047995469</v>
      </c>
      <c r="H8907" s="417" t="s">
        <v>2616</v>
      </c>
      <c r="I8907" s="417" t="s">
        <v>1392</v>
      </c>
      <c r="J8907" s="417" t="s">
        <v>20260</v>
      </c>
      <c r="K8907" s="417" t="s">
        <v>20261</v>
      </c>
      <c r="L8907" s="417"/>
      <c r="M8907" s="417" t="s">
        <v>28840</v>
      </c>
    </row>
    <row r="8908" spans="1:13" x14ac:dyDescent="0.25">
      <c r="A8908" s="417" t="s">
        <v>3385</v>
      </c>
      <c r="B8908" s="417" t="s">
        <v>2627</v>
      </c>
      <c r="C8908" s="417" t="s">
        <v>20262</v>
      </c>
      <c r="D8908" s="417" t="s">
        <v>88</v>
      </c>
      <c r="E8908" s="423">
        <v>4.8319908235020137E-2</v>
      </c>
      <c r="F8908" s="423">
        <v>6.1119243303509154E-3</v>
      </c>
      <c r="G8908" s="422">
        <v>123.9241663805666</v>
      </c>
      <c r="H8908" s="417" t="s">
        <v>2616</v>
      </c>
      <c r="I8908" s="417" t="s">
        <v>1392</v>
      </c>
      <c r="J8908" s="417" t="s">
        <v>3825</v>
      </c>
      <c r="K8908" s="417" t="s">
        <v>20263</v>
      </c>
      <c r="L8908" s="417"/>
      <c r="M8908" s="417" t="s">
        <v>28840</v>
      </c>
    </row>
    <row r="8909" spans="1:13" x14ac:dyDescent="0.25">
      <c r="A8909" s="417" t="s">
        <v>3385</v>
      </c>
      <c r="B8909" s="417" t="s">
        <v>3405</v>
      </c>
      <c r="C8909" s="417" t="s">
        <v>20264</v>
      </c>
      <c r="D8909" s="417" t="s">
        <v>989</v>
      </c>
      <c r="E8909" s="423">
        <v>4227.4674940498071</v>
      </c>
      <c r="F8909" s="423">
        <v>115.9496044889772</v>
      </c>
      <c r="G8909" s="422">
        <v>8298971.0692127207</v>
      </c>
      <c r="H8909" s="417" t="s">
        <v>2616</v>
      </c>
      <c r="I8909" s="417" t="s">
        <v>1392</v>
      </c>
      <c r="J8909" s="417" t="s">
        <v>3588</v>
      </c>
      <c r="K8909" s="417" t="s">
        <v>20265</v>
      </c>
      <c r="L8909" s="417"/>
      <c r="M8909" s="417" t="s">
        <v>28840</v>
      </c>
    </row>
    <row r="8910" spans="1:13" x14ac:dyDescent="0.25">
      <c r="A8910" s="417" t="s">
        <v>3385</v>
      </c>
      <c r="B8910" s="417" t="s">
        <v>3405</v>
      </c>
      <c r="C8910" s="417" t="s">
        <v>20266</v>
      </c>
      <c r="D8910" s="417" t="s">
        <v>989</v>
      </c>
      <c r="E8910" s="423">
        <v>1720.6598121255331</v>
      </c>
      <c r="F8910" s="423">
        <v>46.767322469775053</v>
      </c>
      <c r="G8910" s="422">
        <v>3043709.1704800981</v>
      </c>
      <c r="H8910" s="417" t="s">
        <v>2616</v>
      </c>
      <c r="I8910" s="417" t="s">
        <v>1392</v>
      </c>
      <c r="J8910" s="417" t="s">
        <v>3588</v>
      </c>
      <c r="K8910" s="417" t="s">
        <v>20267</v>
      </c>
      <c r="L8910" s="417"/>
      <c r="M8910" s="417" t="s">
        <v>28840</v>
      </c>
    </row>
    <row r="8911" spans="1:13" x14ac:dyDescent="0.25">
      <c r="A8911" s="417" t="s">
        <v>3385</v>
      </c>
      <c r="B8911" s="417" t="s">
        <v>2627</v>
      </c>
      <c r="C8911" s="417" t="s">
        <v>20268</v>
      </c>
      <c r="D8911" s="417" t="s">
        <v>989</v>
      </c>
      <c r="E8911" s="423">
        <v>4.7899657957962614</v>
      </c>
      <c r="F8911" s="423">
        <v>0.18798615764679669</v>
      </c>
      <c r="G8911" s="422">
        <v>14785.419942446089</v>
      </c>
      <c r="H8911" s="417" t="s">
        <v>2616</v>
      </c>
      <c r="I8911" s="417" t="s">
        <v>1392</v>
      </c>
      <c r="J8911" s="417" t="s">
        <v>4294</v>
      </c>
      <c r="K8911" s="417" t="s">
        <v>20269</v>
      </c>
      <c r="L8911" s="417"/>
      <c r="M8911" s="417" t="s">
        <v>28840</v>
      </c>
    </row>
    <row r="8912" spans="1:13" x14ac:dyDescent="0.25">
      <c r="A8912" s="417" t="s">
        <v>3385</v>
      </c>
      <c r="B8912" s="417" t="s">
        <v>2437</v>
      </c>
      <c r="C8912" s="417" t="s">
        <v>20270</v>
      </c>
      <c r="D8912" s="417" t="s">
        <v>989</v>
      </c>
      <c r="E8912" s="423">
        <v>7072.4196732381943</v>
      </c>
      <c r="F8912" s="423">
        <v>400.53522228597319</v>
      </c>
      <c r="G8912" s="422">
        <v>21361542.04792982</v>
      </c>
      <c r="H8912" s="417" t="s">
        <v>2616</v>
      </c>
      <c r="I8912" s="417" t="s">
        <v>1392</v>
      </c>
      <c r="J8912" s="417" t="s">
        <v>4167</v>
      </c>
      <c r="K8912" s="417" t="s">
        <v>20271</v>
      </c>
      <c r="L8912" s="417"/>
      <c r="M8912" s="417" t="s">
        <v>28840</v>
      </c>
    </row>
    <row r="8913" spans="1:13" x14ac:dyDescent="0.25">
      <c r="A8913" s="417" t="s">
        <v>3385</v>
      </c>
      <c r="B8913" s="417" t="s">
        <v>2627</v>
      </c>
      <c r="C8913" s="417" t="s">
        <v>20272</v>
      </c>
      <c r="D8913" s="417" t="s">
        <v>989</v>
      </c>
      <c r="E8913" s="423">
        <v>3297263.381656419</v>
      </c>
      <c r="F8913" s="423">
        <v>1060124.9258201839</v>
      </c>
      <c r="G8913" s="422">
        <v>7761758490.4540377</v>
      </c>
      <c r="H8913" s="417" t="s">
        <v>2616</v>
      </c>
      <c r="I8913" s="417" t="s">
        <v>1392</v>
      </c>
      <c r="J8913" s="417" t="s">
        <v>10922</v>
      </c>
      <c r="K8913" s="417" t="s">
        <v>20273</v>
      </c>
      <c r="L8913" s="417"/>
      <c r="M8913" s="417" t="s">
        <v>28840</v>
      </c>
    </row>
    <row r="8914" spans="1:13" x14ac:dyDescent="0.25">
      <c r="A8914" s="417" t="s">
        <v>3385</v>
      </c>
      <c r="B8914" s="417" t="s">
        <v>2437</v>
      </c>
      <c r="C8914" s="417" t="s">
        <v>20274</v>
      </c>
      <c r="D8914" s="417" t="s">
        <v>88</v>
      </c>
      <c r="E8914" s="423">
        <v>4.393389225658221</v>
      </c>
      <c r="F8914" s="423">
        <v>0.18437253134467629</v>
      </c>
      <c r="G8914" s="422">
        <v>7408.1485671132205</v>
      </c>
      <c r="H8914" s="417" t="s">
        <v>2616</v>
      </c>
      <c r="I8914" s="417" t="s">
        <v>1392</v>
      </c>
      <c r="J8914" s="417" t="s">
        <v>3871</v>
      </c>
      <c r="K8914" s="417" t="s">
        <v>20275</v>
      </c>
      <c r="L8914" s="417"/>
      <c r="M8914" s="417" t="s">
        <v>28840</v>
      </c>
    </row>
    <row r="8915" spans="1:13" x14ac:dyDescent="0.25">
      <c r="A8915" s="417" t="s">
        <v>3385</v>
      </c>
      <c r="B8915" s="417" t="s">
        <v>2437</v>
      </c>
      <c r="C8915" s="417" t="s">
        <v>20276</v>
      </c>
      <c r="D8915" s="417" t="s">
        <v>73</v>
      </c>
      <c r="E8915" s="423">
        <v>2.088704993154643E-4</v>
      </c>
      <c r="F8915" s="423">
        <v>5.8747590215017612E-5</v>
      </c>
      <c r="G8915" s="422">
        <v>3.289939938783438</v>
      </c>
      <c r="H8915" s="417" t="s">
        <v>2616</v>
      </c>
      <c r="I8915" s="417" t="s">
        <v>1392</v>
      </c>
      <c r="J8915" s="417" t="s">
        <v>10772</v>
      </c>
      <c r="K8915" s="417" t="s">
        <v>20277</v>
      </c>
      <c r="L8915" s="417"/>
      <c r="M8915" s="417" t="s">
        <v>28840</v>
      </c>
    </row>
    <row r="8916" spans="1:13" x14ac:dyDescent="0.25">
      <c r="A8916" s="417" t="s">
        <v>3385</v>
      </c>
      <c r="B8916" s="417" t="s">
        <v>2627</v>
      </c>
      <c r="C8916" s="417" t="s">
        <v>20278</v>
      </c>
      <c r="D8916" s="417" t="s">
        <v>88</v>
      </c>
      <c r="E8916" s="423">
        <v>8.9311972954236915E-2</v>
      </c>
      <c r="F8916" s="423">
        <v>1.4441600833124491E-3</v>
      </c>
      <c r="G8916" s="422">
        <v>724.54401692049771</v>
      </c>
      <c r="H8916" s="417" t="s">
        <v>2616</v>
      </c>
      <c r="I8916" s="417" t="s">
        <v>1392</v>
      </c>
      <c r="J8916" s="417" t="s">
        <v>4047</v>
      </c>
      <c r="K8916" s="417" t="s">
        <v>20279</v>
      </c>
      <c r="L8916" s="417"/>
      <c r="M8916" s="417" t="s">
        <v>28840</v>
      </c>
    </row>
    <row r="8917" spans="1:13" x14ac:dyDescent="0.25">
      <c r="A8917" s="417" t="s">
        <v>3385</v>
      </c>
      <c r="B8917" s="417" t="s">
        <v>2627</v>
      </c>
      <c r="C8917" s="417" t="s">
        <v>20280</v>
      </c>
      <c r="D8917" s="417" t="s">
        <v>88</v>
      </c>
      <c r="E8917" s="423">
        <v>6.0022055927572843E-2</v>
      </c>
      <c r="F8917" s="423">
        <v>1.078615646396102E-3</v>
      </c>
      <c r="G8917" s="422">
        <v>700.24542336346576</v>
      </c>
      <c r="H8917" s="417" t="s">
        <v>2616</v>
      </c>
      <c r="I8917" s="417" t="s">
        <v>1392</v>
      </c>
      <c r="J8917" s="417" t="s">
        <v>4047</v>
      </c>
      <c r="K8917" s="417" t="s">
        <v>20281</v>
      </c>
      <c r="L8917" s="417"/>
      <c r="M8917" s="417" t="s">
        <v>28840</v>
      </c>
    </row>
    <row r="8918" spans="1:13" x14ac:dyDescent="0.25">
      <c r="A8918" s="417" t="s">
        <v>3385</v>
      </c>
      <c r="B8918" s="417" t="s">
        <v>2437</v>
      </c>
      <c r="C8918" s="417" t="s">
        <v>20282</v>
      </c>
      <c r="D8918" s="417" t="s">
        <v>73</v>
      </c>
      <c r="E8918" s="423">
        <v>4.2346049991810993E-3</v>
      </c>
      <c r="F8918" s="423">
        <v>5.3568010169689209E-4</v>
      </c>
      <c r="G8918" s="422">
        <v>14.4412761296542</v>
      </c>
      <c r="H8918" s="417" t="s">
        <v>2616</v>
      </c>
      <c r="I8918" s="417" t="s">
        <v>1392</v>
      </c>
      <c r="J8918" s="417" t="s">
        <v>10772</v>
      </c>
      <c r="K8918" s="417" t="s">
        <v>20283</v>
      </c>
      <c r="L8918" s="417"/>
      <c r="M8918" s="417" t="s">
        <v>28840</v>
      </c>
    </row>
    <row r="8919" spans="1:13" x14ac:dyDescent="0.25">
      <c r="A8919" s="417" t="s">
        <v>3385</v>
      </c>
      <c r="B8919" s="417" t="s">
        <v>2627</v>
      </c>
      <c r="C8919" s="417" t="s">
        <v>20284</v>
      </c>
      <c r="D8919" s="417" t="s">
        <v>88</v>
      </c>
      <c r="E8919" s="423">
        <v>9.626858069872217E-2</v>
      </c>
      <c r="F8919" s="423">
        <v>2.2405602540317422E-3</v>
      </c>
      <c r="G8919" s="422">
        <v>2760.8699932524032</v>
      </c>
      <c r="H8919" s="417" t="s">
        <v>2616</v>
      </c>
      <c r="I8919" s="417" t="s">
        <v>1392</v>
      </c>
      <c r="J8919" s="417" t="s">
        <v>4047</v>
      </c>
      <c r="K8919" s="417" t="s">
        <v>20285</v>
      </c>
      <c r="L8919" s="417"/>
      <c r="M8919" s="417" t="s">
        <v>28840</v>
      </c>
    </row>
    <row r="8920" spans="1:13" x14ac:dyDescent="0.25">
      <c r="A8920" s="417" t="s">
        <v>3385</v>
      </c>
      <c r="B8920" s="417" t="s">
        <v>2627</v>
      </c>
      <c r="C8920" s="417" t="s">
        <v>20286</v>
      </c>
      <c r="D8920" s="417" t="s">
        <v>88</v>
      </c>
      <c r="E8920" s="423">
        <v>2.6194586494164431</v>
      </c>
      <c r="F8920" s="423">
        <v>0.1007823449226353</v>
      </c>
      <c r="G8920" s="422">
        <v>4298.6531425947942</v>
      </c>
      <c r="H8920" s="417" t="s">
        <v>2616</v>
      </c>
      <c r="I8920" s="417" t="s">
        <v>1392</v>
      </c>
      <c r="J8920" s="417" t="s">
        <v>11552</v>
      </c>
      <c r="K8920" s="417" t="s">
        <v>20287</v>
      </c>
      <c r="L8920" s="417"/>
      <c r="M8920" s="417" t="s">
        <v>28840</v>
      </c>
    </row>
    <row r="8921" spans="1:13" x14ac:dyDescent="0.25">
      <c r="A8921" s="417" t="s">
        <v>3385</v>
      </c>
      <c r="B8921" s="417" t="s">
        <v>2627</v>
      </c>
      <c r="C8921" s="417" t="s">
        <v>20288</v>
      </c>
      <c r="D8921" s="417" t="s">
        <v>88</v>
      </c>
      <c r="E8921" s="423">
        <v>55.469595151525489</v>
      </c>
      <c r="F8921" s="423">
        <v>3.2764992440861278E-2</v>
      </c>
      <c r="G8921" s="422">
        <v>57705.472368001858</v>
      </c>
      <c r="H8921" s="417" t="s">
        <v>2616</v>
      </c>
      <c r="I8921" s="417" t="s">
        <v>1392</v>
      </c>
      <c r="J8921" s="417" t="s">
        <v>11552</v>
      </c>
      <c r="K8921" s="417" t="s">
        <v>20289</v>
      </c>
      <c r="L8921" s="417"/>
      <c r="M8921" s="417" t="s">
        <v>28840</v>
      </c>
    </row>
    <row r="8922" spans="1:13" x14ac:dyDescent="0.25">
      <c r="A8922" s="417" t="s">
        <v>3385</v>
      </c>
      <c r="B8922" s="417" t="s">
        <v>2627</v>
      </c>
      <c r="C8922" s="417" t="s">
        <v>20290</v>
      </c>
      <c r="D8922" s="417" t="s">
        <v>88</v>
      </c>
      <c r="E8922" s="423">
        <v>383.19733035524979</v>
      </c>
      <c r="F8922" s="423">
        <v>9.842974732519448E-2</v>
      </c>
      <c r="G8922" s="422">
        <v>393140.29089687078</v>
      </c>
      <c r="H8922" s="417" t="s">
        <v>2616</v>
      </c>
      <c r="I8922" s="417" t="s">
        <v>1392</v>
      </c>
      <c r="J8922" s="417" t="s">
        <v>11552</v>
      </c>
      <c r="K8922" s="417" t="s">
        <v>20291</v>
      </c>
      <c r="L8922" s="417"/>
      <c r="M8922" s="417" t="s">
        <v>28840</v>
      </c>
    </row>
    <row r="8923" spans="1:13" x14ac:dyDescent="0.25">
      <c r="A8923" s="417" t="s">
        <v>3385</v>
      </c>
      <c r="B8923" s="417" t="s">
        <v>2627</v>
      </c>
      <c r="C8923" s="417" t="s">
        <v>20292</v>
      </c>
      <c r="D8923" s="417" t="s">
        <v>88</v>
      </c>
      <c r="E8923" s="423">
        <v>55.515165125278934</v>
      </c>
      <c r="F8923" s="423">
        <v>3.4019020120642778E-2</v>
      </c>
      <c r="G8923" s="422">
        <v>57749.555379560901</v>
      </c>
      <c r="H8923" s="417" t="s">
        <v>2616</v>
      </c>
      <c r="I8923" s="417" t="s">
        <v>1392</v>
      </c>
      <c r="J8923" s="417" t="s">
        <v>11552</v>
      </c>
      <c r="K8923" s="417" t="s">
        <v>20293</v>
      </c>
      <c r="L8923" s="417"/>
      <c r="M8923" s="417" t="s">
        <v>28840</v>
      </c>
    </row>
    <row r="8924" spans="1:13" x14ac:dyDescent="0.25">
      <c r="A8924" s="417" t="s">
        <v>3385</v>
      </c>
      <c r="B8924" s="417" t="s">
        <v>2627</v>
      </c>
      <c r="C8924" s="417" t="s">
        <v>20294</v>
      </c>
      <c r="D8924" s="417" t="s">
        <v>989</v>
      </c>
      <c r="E8924" s="423">
        <v>6.0091744963248709E-3</v>
      </c>
      <c r="F8924" s="423">
        <v>1.3359688660542031E-4</v>
      </c>
      <c r="G8924" s="422">
        <v>16.18250970567242</v>
      </c>
      <c r="H8924" s="417" t="s">
        <v>2616</v>
      </c>
      <c r="I8924" s="417" t="s">
        <v>1392</v>
      </c>
      <c r="J8924" s="417" t="s">
        <v>3948</v>
      </c>
      <c r="K8924" s="417" t="s">
        <v>20295</v>
      </c>
      <c r="L8924" s="417"/>
      <c r="M8924" s="417" t="s">
        <v>28840</v>
      </c>
    </row>
    <row r="8925" spans="1:13" x14ac:dyDescent="0.25">
      <c r="A8925" s="417" t="s">
        <v>3385</v>
      </c>
      <c r="B8925" s="417" t="s">
        <v>2627</v>
      </c>
      <c r="C8925" s="417" t="s">
        <v>20296</v>
      </c>
      <c r="D8925" s="417" t="s">
        <v>989</v>
      </c>
      <c r="E8925" s="423">
        <v>2.7572834168079529E-3</v>
      </c>
      <c r="F8925" s="423">
        <v>6.2564609902999669E-6</v>
      </c>
      <c r="G8925" s="422">
        <v>3.9192627116532561</v>
      </c>
      <c r="H8925" s="417" t="s">
        <v>2616</v>
      </c>
      <c r="I8925" s="417" t="s">
        <v>1392</v>
      </c>
      <c r="J8925" s="417" t="s">
        <v>3948</v>
      </c>
      <c r="K8925" s="417" t="s">
        <v>20297</v>
      </c>
      <c r="L8925" s="417"/>
      <c r="M8925" s="417" t="s">
        <v>28840</v>
      </c>
    </row>
    <row r="8926" spans="1:13" x14ac:dyDescent="0.25">
      <c r="A8926" s="417" t="s">
        <v>3385</v>
      </c>
      <c r="B8926" s="417" t="s">
        <v>3655</v>
      </c>
      <c r="C8926" s="417" t="s">
        <v>20298</v>
      </c>
      <c r="D8926" s="417" t="s">
        <v>88</v>
      </c>
      <c r="E8926" s="423">
        <v>0.79052983629092477</v>
      </c>
      <c r="F8926" s="423">
        <v>0.16576450608488999</v>
      </c>
      <c r="G8926" s="422">
        <v>1616.5694928996641</v>
      </c>
      <c r="H8926" s="417" t="s">
        <v>2616</v>
      </c>
      <c r="I8926" s="417" t="s">
        <v>1392</v>
      </c>
      <c r="J8926" s="417" t="s">
        <v>4473</v>
      </c>
      <c r="K8926" s="417" t="s">
        <v>20299</v>
      </c>
      <c r="L8926" s="417"/>
      <c r="M8926" s="417" t="s">
        <v>28840</v>
      </c>
    </row>
    <row r="8927" spans="1:13" x14ac:dyDescent="0.25">
      <c r="A8927" s="417" t="s">
        <v>3385</v>
      </c>
      <c r="B8927" s="417" t="s">
        <v>2627</v>
      </c>
      <c r="C8927" s="417" t="s">
        <v>20300</v>
      </c>
      <c r="D8927" s="417" t="s">
        <v>83</v>
      </c>
      <c r="E8927" s="423">
        <v>90.710522463942539</v>
      </c>
      <c r="F8927" s="423">
        <v>180.50120779302199</v>
      </c>
      <c r="G8927" s="422">
        <v>261932.72608472541</v>
      </c>
      <c r="H8927" s="417" t="s">
        <v>2616</v>
      </c>
      <c r="I8927" s="417" t="s">
        <v>1392</v>
      </c>
      <c r="J8927" s="417" t="s">
        <v>4016</v>
      </c>
      <c r="K8927" s="417" t="s">
        <v>20301</v>
      </c>
      <c r="L8927" s="417"/>
      <c r="M8927" s="417" t="s">
        <v>28840</v>
      </c>
    </row>
    <row r="8928" spans="1:13" x14ac:dyDescent="0.25">
      <c r="A8928" s="417" t="s">
        <v>3385</v>
      </c>
      <c r="B8928" s="417" t="s">
        <v>2627</v>
      </c>
      <c r="C8928" s="417" t="s">
        <v>20302</v>
      </c>
      <c r="D8928" s="417" t="s">
        <v>83</v>
      </c>
      <c r="E8928" s="423">
        <v>90.710522462802331</v>
      </c>
      <c r="F8928" s="423">
        <v>180.50120779305939</v>
      </c>
      <c r="G8928" s="422">
        <v>253608.6872815715</v>
      </c>
      <c r="H8928" s="417" t="s">
        <v>2616</v>
      </c>
      <c r="I8928" s="417" t="s">
        <v>1392</v>
      </c>
      <c r="J8928" s="417" t="s">
        <v>4016</v>
      </c>
      <c r="K8928" s="417" t="s">
        <v>20303</v>
      </c>
      <c r="L8928" s="417"/>
      <c r="M8928" s="417" t="s">
        <v>28840</v>
      </c>
    </row>
    <row r="8929" spans="1:13" x14ac:dyDescent="0.25">
      <c r="A8929" s="417" t="s">
        <v>3385</v>
      </c>
      <c r="B8929" s="417" t="s">
        <v>2627</v>
      </c>
      <c r="C8929" s="417" t="s">
        <v>20304</v>
      </c>
      <c r="D8929" s="417" t="s">
        <v>83</v>
      </c>
      <c r="E8929" s="423">
        <v>85.687451439895156</v>
      </c>
      <c r="F8929" s="423">
        <v>180.11762119234351</v>
      </c>
      <c r="G8929" s="422">
        <v>252022.16800054681</v>
      </c>
      <c r="H8929" s="417" t="s">
        <v>2616</v>
      </c>
      <c r="I8929" s="417" t="s">
        <v>1392</v>
      </c>
      <c r="J8929" s="417" t="s">
        <v>4016</v>
      </c>
      <c r="K8929" s="417" t="s">
        <v>20305</v>
      </c>
      <c r="L8929" s="417"/>
      <c r="M8929" s="417" t="s">
        <v>28840</v>
      </c>
    </row>
    <row r="8930" spans="1:13" x14ac:dyDescent="0.25">
      <c r="A8930" s="417" t="s">
        <v>3385</v>
      </c>
      <c r="B8930" s="417" t="s">
        <v>2627</v>
      </c>
      <c r="C8930" s="417" t="s">
        <v>20306</v>
      </c>
      <c r="D8930" s="417" t="s">
        <v>88</v>
      </c>
      <c r="E8930" s="423">
        <v>7.9560004199687701E-2</v>
      </c>
      <c r="F8930" s="423">
        <v>9.7469459817295617E-4</v>
      </c>
      <c r="G8930" s="422">
        <v>201.81571476908371</v>
      </c>
      <c r="H8930" s="417" t="s">
        <v>2616</v>
      </c>
      <c r="I8930" s="417" t="s">
        <v>1392</v>
      </c>
      <c r="J8930" s="417" t="s">
        <v>4303</v>
      </c>
      <c r="K8930" s="417" t="s">
        <v>20307</v>
      </c>
      <c r="L8930" s="417"/>
      <c r="M8930" s="417" t="s">
        <v>28840</v>
      </c>
    </row>
    <row r="8931" spans="1:13" x14ac:dyDescent="0.25">
      <c r="A8931" s="417" t="s">
        <v>3385</v>
      </c>
      <c r="B8931" s="417" t="s">
        <v>2627</v>
      </c>
      <c r="C8931" s="417" t="s">
        <v>1013</v>
      </c>
      <c r="D8931" s="417" t="s">
        <v>88</v>
      </c>
      <c r="E8931" s="423">
        <v>4.1975454607551326</v>
      </c>
      <c r="F8931" s="423">
        <v>1.9961241264139382E-2</v>
      </c>
      <c r="G8931" s="422">
        <v>5566.4780851806427</v>
      </c>
      <c r="H8931" s="417" t="s">
        <v>2616</v>
      </c>
      <c r="I8931" s="417" t="s">
        <v>28841</v>
      </c>
      <c r="J8931" s="417" t="s">
        <v>3629</v>
      </c>
      <c r="K8931" s="417" t="s">
        <v>20308</v>
      </c>
      <c r="L8931" s="417"/>
      <c r="M8931" s="417" t="s">
        <v>28840</v>
      </c>
    </row>
    <row r="8932" spans="1:13" x14ac:dyDescent="0.25">
      <c r="A8932" s="417" t="s">
        <v>3385</v>
      </c>
      <c r="B8932" s="417" t="s">
        <v>2627</v>
      </c>
      <c r="C8932" s="417" t="s">
        <v>20309</v>
      </c>
      <c r="D8932" s="417" t="s">
        <v>88</v>
      </c>
      <c r="E8932" s="423">
        <v>4.5762722530093063</v>
      </c>
      <c r="F8932" s="423">
        <v>3.2592062762349071E-2</v>
      </c>
      <c r="G8932" s="422">
        <v>6050.5614187350047</v>
      </c>
      <c r="H8932" s="417" t="s">
        <v>2616</v>
      </c>
      <c r="I8932" s="417" t="s">
        <v>1392</v>
      </c>
      <c r="J8932" s="417" t="s">
        <v>3396</v>
      </c>
      <c r="K8932" s="417" t="s">
        <v>20310</v>
      </c>
      <c r="L8932" s="417"/>
      <c r="M8932" s="417" t="s">
        <v>28840</v>
      </c>
    </row>
    <row r="8933" spans="1:13" x14ac:dyDescent="0.25">
      <c r="A8933" s="417" t="s">
        <v>3385</v>
      </c>
      <c r="B8933" s="417" t="s">
        <v>2627</v>
      </c>
      <c r="C8933" s="417" t="s">
        <v>20311</v>
      </c>
      <c r="D8933" s="417" t="s">
        <v>989</v>
      </c>
      <c r="E8933" s="423">
        <v>928219.37406371464</v>
      </c>
      <c r="F8933" s="423">
        <v>39015.575482578257</v>
      </c>
      <c r="G8933" s="422">
        <v>2813530136.1139598</v>
      </c>
      <c r="H8933" s="417" t="s">
        <v>2616</v>
      </c>
      <c r="I8933" s="417" t="s">
        <v>1392</v>
      </c>
      <c r="J8933" s="417" t="s">
        <v>3937</v>
      </c>
      <c r="K8933" s="417" t="s">
        <v>20312</v>
      </c>
      <c r="L8933" s="417"/>
      <c r="M8933" s="417" t="s">
        <v>28840</v>
      </c>
    </row>
    <row r="8934" spans="1:13" x14ac:dyDescent="0.25">
      <c r="A8934" s="417" t="s">
        <v>3385</v>
      </c>
      <c r="B8934" s="417" t="s">
        <v>2627</v>
      </c>
      <c r="C8934" s="417" t="s">
        <v>20313</v>
      </c>
      <c r="D8934" s="417" t="s">
        <v>989</v>
      </c>
      <c r="E8934" s="423">
        <v>1927526.7608460521</v>
      </c>
      <c r="F8934" s="423">
        <v>144813.77362181831</v>
      </c>
      <c r="G8934" s="422">
        <v>5878619569.3199177</v>
      </c>
      <c r="H8934" s="417" t="s">
        <v>2616</v>
      </c>
      <c r="I8934" s="417" t="s">
        <v>1392</v>
      </c>
      <c r="J8934" s="417" t="s">
        <v>3937</v>
      </c>
      <c r="K8934" s="417" t="s">
        <v>20314</v>
      </c>
      <c r="L8934" s="417"/>
      <c r="M8934" s="417" t="s">
        <v>28840</v>
      </c>
    </row>
    <row r="8935" spans="1:13" x14ac:dyDescent="0.25">
      <c r="A8935" s="417" t="s">
        <v>3385</v>
      </c>
      <c r="B8935" s="417" t="s">
        <v>2627</v>
      </c>
      <c r="C8935" s="417" t="s">
        <v>20315</v>
      </c>
      <c r="D8935" s="417" t="s">
        <v>989</v>
      </c>
      <c r="E8935" s="423">
        <v>24275333.930089012</v>
      </c>
      <c r="F8935" s="423">
        <v>665356.36590919062</v>
      </c>
      <c r="G8935" s="422">
        <v>54131400480.748238</v>
      </c>
      <c r="H8935" s="417" t="s">
        <v>2616</v>
      </c>
      <c r="I8935" s="417" t="s">
        <v>1392</v>
      </c>
      <c r="J8935" s="417" t="s">
        <v>3937</v>
      </c>
      <c r="K8935" s="417" t="s">
        <v>20316</v>
      </c>
      <c r="L8935" s="417"/>
      <c r="M8935" s="417" t="s">
        <v>28840</v>
      </c>
    </row>
    <row r="8936" spans="1:13" x14ac:dyDescent="0.25">
      <c r="A8936" s="417" t="s">
        <v>3385</v>
      </c>
      <c r="B8936" s="417" t="s">
        <v>2627</v>
      </c>
      <c r="C8936" s="417" t="s">
        <v>20317</v>
      </c>
      <c r="D8936" s="417" t="s">
        <v>989</v>
      </c>
      <c r="E8936" s="423">
        <v>19133358.758161061</v>
      </c>
      <c r="F8936" s="423">
        <v>587709.39430430951</v>
      </c>
      <c r="G8936" s="422">
        <v>40949363989.308121</v>
      </c>
      <c r="H8936" s="417" t="s">
        <v>2616</v>
      </c>
      <c r="I8936" s="417" t="s">
        <v>1392</v>
      </c>
      <c r="J8936" s="417" t="s">
        <v>3937</v>
      </c>
      <c r="K8936" s="417" t="s">
        <v>20318</v>
      </c>
      <c r="L8936" s="417"/>
      <c r="M8936" s="417" t="s">
        <v>28840</v>
      </c>
    </row>
    <row r="8937" spans="1:13" x14ac:dyDescent="0.25">
      <c r="A8937" s="417" t="s">
        <v>3385</v>
      </c>
      <c r="B8937" s="417" t="s">
        <v>2627</v>
      </c>
      <c r="C8937" s="417" t="s">
        <v>20319</v>
      </c>
      <c r="D8937" s="417" t="s">
        <v>989</v>
      </c>
      <c r="E8937" s="423">
        <v>7803533.1680429261</v>
      </c>
      <c r="F8937" s="423">
        <v>228024.29829993629</v>
      </c>
      <c r="G8937" s="422">
        <v>18225682777.97385</v>
      </c>
      <c r="H8937" s="417" t="s">
        <v>2616</v>
      </c>
      <c r="I8937" s="417" t="s">
        <v>1392</v>
      </c>
      <c r="J8937" s="417" t="s">
        <v>3937</v>
      </c>
      <c r="K8937" s="417" t="s">
        <v>20320</v>
      </c>
      <c r="L8937" s="417"/>
      <c r="M8937" s="417" t="s">
        <v>28840</v>
      </c>
    </row>
    <row r="8938" spans="1:13" x14ac:dyDescent="0.25">
      <c r="A8938" s="417" t="s">
        <v>3385</v>
      </c>
      <c r="B8938" s="417" t="s">
        <v>2627</v>
      </c>
      <c r="C8938" s="417" t="s">
        <v>20321</v>
      </c>
      <c r="D8938" s="417" t="s">
        <v>88</v>
      </c>
      <c r="E8938" s="423">
        <v>1.054511910932108E-2</v>
      </c>
      <c r="F8938" s="423">
        <v>3.2294353890021429E-4</v>
      </c>
      <c r="G8938" s="422">
        <v>46.06439228000761</v>
      </c>
      <c r="H8938" s="417" t="s">
        <v>2616</v>
      </c>
      <c r="I8938" s="417" t="s">
        <v>1392</v>
      </c>
      <c r="J8938" s="417" t="s">
        <v>4047</v>
      </c>
      <c r="K8938" s="417" t="s">
        <v>20322</v>
      </c>
      <c r="L8938" s="417"/>
      <c r="M8938" s="417" t="s">
        <v>28840</v>
      </c>
    </row>
    <row r="8939" spans="1:13" x14ac:dyDescent="0.25">
      <c r="A8939" s="417" t="s">
        <v>3385</v>
      </c>
      <c r="B8939" s="417" t="s">
        <v>2627</v>
      </c>
      <c r="C8939" s="417" t="s">
        <v>20323</v>
      </c>
      <c r="D8939" s="417" t="s">
        <v>88</v>
      </c>
      <c r="E8939" s="423">
        <v>1.934537473750368</v>
      </c>
      <c r="F8939" s="423">
        <v>5.4069942045434187E-2</v>
      </c>
      <c r="G8939" s="422">
        <v>8864.8909135409904</v>
      </c>
      <c r="H8939" s="417" t="s">
        <v>2616</v>
      </c>
      <c r="I8939" s="417" t="s">
        <v>1392</v>
      </c>
      <c r="J8939" s="417" t="s">
        <v>4054</v>
      </c>
      <c r="K8939" s="417" t="s">
        <v>20324</v>
      </c>
      <c r="L8939" s="417"/>
      <c r="M8939" s="417" t="s">
        <v>28840</v>
      </c>
    </row>
    <row r="8940" spans="1:13" x14ac:dyDescent="0.25">
      <c r="A8940" s="417" t="s">
        <v>3385</v>
      </c>
      <c r="B8940" s="417" t="s">
        <v>2627</v>
      </c>
      <c r="C8940" s="417" t="s">
        <v>20325</v>
      </c>
      <c r="D8940" s="417" t="s">
        <v>88</v>
      </c>
      <c r="E8940" s="423">
        <v>4.9305674894123797E-2</v>
      </c>
      <c r="F8940" s="423">
        <v>6.4340318509511379E-4</v>
      </c>
      <c r="G8940" s="422">
        <v>287.06422528269752</v>
      </c>
      <c r="H8940" s="417" t="s">
        <v>2616</v>
      </c>
      <c r="I8940" s="417" t="s">
        <v>1392</v>
      </c>
      <c r="J8940" s="417" t="s">
        <v>4047</v>
      </c>
      <c r="K8940" s="417" t="s">
        <v>20326</v>
      </c>
      <c r="L8940" s="417"/>
      <c r="M8940" s="417" t="s">
        <v>28840</v>
      </c>
    </row>
    <row r="8941" spans="1:13" x14ac:dyDescent="0.25">
      <c r="A8941" s="417" t="s">
        <v>3385</v>
      </c>
      <c r="B8941" s="417" t="s">
        <v>2627</v>
      </c>
      <c r="C8941" s="417" t="s">
        <v>20327</v>
      </c>
      <c r="D8941" s="417" t="s">
        <v>88</v>
      </c>
      <c r="E8941" s="423">
        <v>3.6431524017635671E-2</v>
      </c>
      <c r="F8941" s="423">
        <v>5.8794630051696992E-4</v>
      </c>
      <c r="G8941" s="422">
        <v>253.56991955149269</v>
      </c>
      <c r="H8941" s="417" t="s">
        <v>2616</v>
      </c>
      <c r="I8941" s="417" t="s">
        <v>1392</v>
      </c>
      <c r="J8941" s="417" t="s">
        <v>4047</v>
      </c>
      <c r="K8941" s="417" t="s">
        <v>20328</v>
      </c>
      <c r="L8941" s="417"/>
      <c r="M8941" s="417" t="s">
        <v>28840</v>
      </c>
    </row>
    <row r="8942" spans="1:13" x14ac:dyDescent="0.25">
      <c r="A8942" s="417" t="s">
        <v>3385</v>
      </c>
      <c r="B8942" s="417" t="s">
        <v>2627</v>
      </c>
      <c r="C8942" s="417" t="s">
        <v>20329</v>
      </c>
      <c r="D8942" s="417" t="s">
        <v>989</v>
      </c>
      <c r="E8942" s="423">
        <v>5345000.0225524195</v>
      </c>
      <c r="F8942" s="423">
        <v>224067.70781856371</v>
      </c>
      <c r="G8942" s="422">
        <v>16433184496.041719</v>
      </c>
      <c r="H8942" s="417" t="s">
        <v>2616</v>
      </c>
      <c r="I8942" s="417" t="s">
        <v>1392</v>
      </c>
      <c r="J8942" s="417" t="s">
        <v>20330</v>
      </c>
      <c r="K8942" s="417" t="s">
        <v>20331</v>
      </c>
      <c r="L8942" s="417"/>
      <c r="M8942" s="417" t="s">
        <v>28840</v>
      </c>
    </row>
    <row r="8943" spans="1:13" x14ac:dyDescent="0.25">
      <c r="A8943" s="417" t="s">
        <v>3385</v>
      </c>
      <c r="B8943" s="417" t="s">
        <v>2627</v>
      </c>
      <c r="C8943" s="417" t="s">
        <v>1069</v>
      </c>
      <c r="D8943" s="417" t="s">
        <v>88</v>
      </c>
      <c r="E8943" s="423">
        <v>0.21381767931588419</v>
      </c>
      <c r="F8943" s="423">
        <v>1.6692890118510759</v>
      </c>
      <c r="G8943" s="422">
        <v>10187.0020275799</v>
      </c>
      <c r="H8943" s="417" t="s">
        <v>2616</v>
      </c>
      <c r="I8943" s="417" t="s">
        <v>28841</v>
      </c>
      <c r="J8943" s="417" t="s">
        <v>20332</v>
      </c>
      <c r="K8943" s="417" t="s">
        <v>20333</v>
      </c>
      <c r="L8943" s="417"/>
      <c r="M8943" s="417" t="s">
        <v>28840</v>
      </c>
    </row>
    <row r="8944" spans="1:13" x14ac:dyDescent="0.25">
      <c r="A8944" s="417" t="s">
        <v>3385</v>
      </c>
      <c r="B8944" s="417" t="s">
        <v>2627</v>
      </c>
      <c r="C8944" s="417" t="s">
        <v>20334</v>
      </c>
      <c r="D8944" s="417" t="s">
        <v>88</v>
      </c>
      <c r="E8944" s="423">
        <v>2.2182022451186421E-2</v>
      </c>
      <c r="F8944" s="423">
        <v>5.7630468236332538E-4</v>
      </c>
      <c r="G8944" s="422">
        <v>1404.5134875275321</v>
      </c>
      <c r="H8944" s="417" t="s">
        <v>2616</v>
      </c>
      <c r="I8944" s="417" t="s">
        <v>1392</v>
      </c>
      <c r="J8944" s="417" t="s">
        <v>4047</v>
      </c>
      <c r="K8944" s="417" t="s">
        <v>20335</v>
      </c>
      <c r="L8944" s="417"/>
      <c r="M8944" s="417" t="s">
        <v>28840</v>
      </c>
    </row>
    <row r="8945" spans="1:13" x14ac:dyDescent="0.25">
      <c r="A8945" s="417" t="s">
        <v>3385</v>
      </c>
      <c r="B8945" s="417" t="s">
        <v>2627</v>
      </c>
      <c r="C8945" s="417" t="s">
        <v>20336</v>
      </c>
      <c r="D8945" s="417" t="s">
        <v>88</v>
      </c>
      <c r="E8945" s="423">
        <v>0.71083279195151605</v>
      </c>
      <c r="F8945" s="423">
        <v>2.165817366916758</v>
      </c>
      <c r="G8945" s="422">
        <v>1906.596836918452</v>
      </c>
      <c r="H8945" s="417" t="s">
        <v>2616</v>
      </c>
      <c r="I8945" s="417" t="s">
        <v>1392</v>
      </c>
      <c r="J8945" s="417" t="s">
        <v>20260</v>
      </c>
      <c r="K8945" s="417" t="s">
        <v>20337</v>
      </c>
      <c r="L8945" s="417"/>
      <c r="M8945" s="417" t="s">
        <v>28840</v>
      </c>
    </row>
    <row r="8946" spans="1:13" x14ac:dyDescent="0.25">
      <c r="A8946" s="417" t="s">
        <v>3385</v>
      </c>
      <c r="B8946" s="417" t="s">
        <v>2627</v>
      </c>
      <c r="C8946" s="417" t="s">
        <v>20338</v>
      </c>
      <c r="D8946" s="417" t="s">
        <v>88</v>
      </c>
      <c r="E8946" s="423">
        <v>0.72841575235563782</v>
      </c>
      <c r="F8946" s="423">
        <v>2.1677454393615911</v>
      </c>
      <c r="G8946" s="422">
        <v>1939.2191599793709</v>
      </c>
      <c r="H8946" s="417" t="s">
        <v>2616</v>
      </c>
      <c r="I8946" s="417" t="s">
        <v>1392</v>
      </c>
      <c r="J8946" s="417" t="s">
        <v>20260</v>
      </c>
      <c r="K8946" s="417" t="s">
        <v>20339</v>
      </c>
      <c r="L8946" s="417"/>
      <c r="M8946" s="417" t="s">
        <v>28840</v>
      </c>
    </row>
    <row r="8947" spans="1:13" x14ac:dyDescent="0.25">
      <c r="A8947" s="417" t="s">
        <v>3385</v>
      </c>
      <c r="B8947" s="417" t="s">
        <v>2627</v>
      </c>
      <c r="C8947" s="417" t="s">
        <v>1131</v>
      </c>
      <c r="D8947" s="417" t="s">
        <v>88</v>
      </c>
      <c r="E8947" s="423">
        <v>0.46323618525156762</v>
      </c>
      <c r="F8947" s="423">
        <v>2.2379691173443028</v>
      </c>
      <c r="G8947" s="422">
        <v>1406.534928216422</v>
      </c>
      <c r="H8947" s="417" t="s">
        <v>2616</v>
      </c>
      <c r="I8947" s="417" t="s">
        <v>28841</v>
      </c>
      <c r="J8947" s="417" t="s">
        <v>20260</v>
      </c>
      <c r="K8947" s="417" t="s">
        <v>20340</v>
      </c>
      <c r="L8947" s="417"/>
      <c r="M8947" s="417" t="s">
        <v>28840</v>
      </c>
    </row>
    <row r="8948" spans="1:13" x14ac:dyDescent="0.25">
      <c r="A8948" s="417" t="s">
        <v>3385</v>
      </c>
      <c r="B8948" s="417" t="s">
        <v>2627</v>
      </c>
      <c r="C8948" s="417" t="s">
        <v>20341</v>
      </c>
      <c r="D8948" s="417" t="s">
        <v>88</v>
      </c>
      <c r="E8948" s="423">
        <v>0.36997003576830079</v>
      </c>
      <c r="F8948" s="423">
        <v>2.5017826308607591</v>
      </c>
      <c r="G8948" s="422">
        <v>2365.689122202647</v>
      </c>
      <c r="H8948" s="417" t="s">
        <v>2616</v>
      </c>
      <c r="I8948" s="417" t="s">
        <v>1392</v>
      </c>
      <c r="J8948" s="417" t="s">
        <v>20260</v>
      </c>
      <c r="K8948" s="417" t="s">
        <v>20342</v>
      </c>
      <c r="L8948" s="417"/>
      <c r="M8948" s="417" t="s">
        <v>28840</v>
      </c>
    </row>
    <row r="8949" spans="1:13" x14ac:dyDescent="0.25">
      <c r="A8949" s="417" t="s">
        <v>3385</v>
      </c>
      <c r="B8949" s="417" t="s">
        <v>2627</v>
      </c>
      <c r="C8949" s="417" t="s">
        <v>20343</v>
      </c>
      <c r="D8949" s="417" t="s">
        <v>88</v>
      </c>
      <c r="E8949" s="423">
        <v>0.55816929401778648</v>
      </c>
      <c r="F8949" s="423">
        <v>2.511509122134187</v>
      </c>
      <c r="G8949" s="422">
        <v>2774.403437546453</v>
      </c>
      <c r="H8949" s="417" t="s">
        <v>2616</v>
      </c>
      <c r="I8949" s="417" t="s">
        <v>1392</v>
      </c>
      <c r="J8949" s="417" t="s">
        <v>20260</v>
      </c>
      <c r="K8949" s="417" t="s">
        <v>20344</v>
      </c>
      <c r="L8949" s="417"/>
      <c r="M8949" s="417" t="s">
        <v>28840</v>
      </c>
    </row>
    <row r="8950" spans="1:13" x14ac:dyDescent="0.25">
      <c r="A8950" s="417" t="s">
        <v>3385</v>
      </c>
      <c r="B8950" s="417" t="s">
        <v>2627</v>
      </c>
      <c r="C8950" s="417" t="s">
        <v>20345</v>
      </c>
      <c r="D8950" s="417" t="s">
        <v>88</v>
      </c>
      <c r="E8950" s="423">
        <v>0.39449462092829202</v>
      </c>
      <c r="F8950" s="423">
        <v>2.2873729018892561</v>
      </c>
      <c r="G8950" s="422">
        <v>1239.7437223057329</v>
      </c>
      <c r="H8950" s="417" t="s">
        <v>2616</v>
      </c>
      <c r="I8950" s="417" t="s">
        <v>1392</v>
      </c>
      <c r="J8950" s="417" t="s">
        <v>20260</v>
      </c>
      <c r="K8950" s="417" t="s">
        <v>20346</v>
      </c>
      <c r="L8950" s="417"/>
      <c r="M8950" s="417" t="s">
        <v>28840</v>
      </c>
    </row>
    <row r="8951" spans="1:13" x14ac:dyDescent="0.25">
      <c r="A8951" s="417" t="s">
        <v>3385</v>
      </c>
      <c r="B8951" s="417" t="s">
        <v>2627</v>
      </c>
      <c r="C8951" s="417" t="s">
        <v>1130</v>
      </c>
      <c r="D8951" s="417" t="s">
        <v>88</v>
      </c>
      <c r="E8951" s="423">
        <v>0.32417311738183169</v>
      </c>
      <c r="F8951" s="423">
        <v>0.164139633811001</v>
      </c>
      <c r="G8951" s="422">
        <v>1132.94373205282</v>
      </c>
      <c r="H8951" s="417" t="s">
        <v>2616</v>
      </c>
      <c r="I8951" s="417" t="s">
        <v>28841</v>
      </c>
      <c r="J8951" s="417" t="s">
        <v>20260</v>
      </c>
      <c r="K8951" s="417" t="s">
        <v>20347</v>
      </c>
      <c r="L8951" s="417"/>
      <c r="M8951" s="417" t="s">
        <v>28840</v>
      </c>
    </row>
    <row r="8952" spans="1:13" x14ac:dyDescent="0.25">
      <c r="A8952" s="417" t="s">
        <v>3385</v>
      </c>
      <c r="B8952" s="417" t="s">
        <v>2627</v>
      </c>
      <c r="C8952" s="417" t="s">
        <v>20348</v>
      </c>
      <c r="D8952" s="417" t="s">
        <v>88</v>
      </c>
      <c r="E8952" s="423">
        <v>0.76618149265114288</v>
      </c>
      <c r="F8952" s="423">
        <v>1.305068673014673</v>
      </c>
      <c r="G8952" s="422">
        <v>2460.2939047696209</v>
      </c>
      <c r="H8952" s="417" t="s">
        <v>2616</v>
      </c>
      <c r="I8952" s="417" t="s">
        <v>1392</v>
      </c>
      <c r="J8952" s="417" t="s">
        <v>20260</v>
      </c>
      <c r="K8952" s="417" t="s">
        <v>20349</v>
      </c>
      <c r="L8952" s="417"/>
      <c r="M8952" s="417" t="s">
        <v>28840</v>
      </c>
    </row>
    <row r="8953" spans="1:13" x14ac:dyDescent="0.25">
      <c r="A8953" s="417" t="s">
        <v>3385</v>
      </c>
      <c r="B8953" s="417" t="s">
        <v>2627</v>
      </c>
      <c r="C8953" s="417" t="s">
        <v>943</v>
      </c>
      <c r="D8953" s="417" t="s">
        <v>88</v>
      </c>
      <c r="E8953" s="423">
        <v>1.021794390484992</v>
      </c>
      <c r="F8953" s="423">
        <v>7.6537461902739579E-2</v>
      </c>
      <c r="G8953" s="422">
        <v>2477.3517796472538</v>
      </c>
      <c r="H8953" s="417" t="s">
        <v>2616</v>
      </c>
      <c r="I8953" s="417" t="s">
        <v>28841</v>
      </c>
      <c r="J8953" s="417" t="s">
        <v>3742</v>
      </c>
      <c r="K8953" s="417" t="s">
        <v>20350</v>
      </c>
      <c r="L8953" s="417"/>
      <c r="M8953" s="417" t="s">
        <v>28840</v>
      </c>
    </row>
    <row r="8954" spans="1:13" x14ac:dyDescent="0.25">
      <c r="A8954" s="417" t="s">
        <v>3385</v>
      </c>
      <c r="B8954" s="417" t="s">
        <v>2627</v>
      </c>
      <c r="C8954" s="417" t="s">
        <v>960</v>
      </c>
      <c r="D8954" s="417" t="s">
        <v>88</v>
      </c>
      <c r="E8954" s="423">
        <v>0.43674697710233118</v>
      </c>
      <c r="F8954" s="423">
        <v>2.0017046770566899E-2</v>
      </c>
      <c r="G8954" s="422">
        <v>1391.2014093490129</v>
      </c>
      <c r="H8954" s="417" t="s">
        <v>2616</v>
      </c>
      <c r="I8954" s="417" t="s">
        <v>28841</v>
      </c>
      <c r="J8954" s="417" t="s">
        <v>3932</v>
      </c>
      <c r="K8954" s="417" t="s">
        <v>20351</v>
      </c>
      <c r="L8954" s="417"/>
      <c r="M8954" s="417" t="s">
        <v>28840</v>
      </c>
    </row>
    <row r="8955" spans="1:13" x14ac:dyDescent="0.25">
      <c r="A8955" s="417" t="s">
        <v>3385</v>
      </c>
      <c r="B8955" s="417" t="s">
        <v>2627</v>
      </c>
      <c r="C8955" s="417" t="s">
        <v>20352</v>
      </c>
      <c r="D8955" s="417" t="s">
        <v>88</v>
      </c>
      <c r="E8955" s="423">
        <v>126.8635218307446</v>
      </c>
      <c r="F8955" s="423">
        <v>0.56740765694354423</v>
      </c>
      <c r="G8955" s="422">
        <v>131550.17711796719</v>
      </c>
      <c r="H8955" s="417" t="s">
        <v>2616</v>
      </c>
      <c r="I8955" s="417" t="s">
        <v>1392</v>
      </c>
      <c r="J8955" s="417" t="s">
        <v>3932</v>
      </c>
      <c r="K8955" s="417" t="s">
        <v>20353</v>
      </c>
      <c r="L8955" s="417"/>
      <c r="M8955" s="417" t="s">
        <v>28840</v>
      </c>
    </row>
    <row r="8956" spans="1:13" x14ac:dyDescent="0.25">
      <c r="A8956" s="417" t="s">
        <v>3385</v>
      </c>
      <c r="B8956" s="417" t="s">
        <v>2627</v>
      </c>
      <c r="C8956" s="417" t="s">
        <v>20354</v>
      </c>
      <c r="D8956" s="417" t="s">
        <v>88</v>
      </c>
      <c r="E8956" s="423">
        <v>0.35798317832568582</v>
      </c>
      <c r="F8956" s="423">
        <v>2.6553819627843749E-2</v>
      </c>
      <c r="G8956" s="422">
        <v>898.48751827814579</v>
      </c>
      <c r="H8956" s="417" t="s">
        <v>2616</v>
      </c>
      <c r="I8956" s="417" t="s">
        <v>1392</v>
      </c>
      <c r="J8956" s="417" t="s">
        <v>3932</v>
      </c>
      <c r="K8956" s="417" t="s">
        <v>20355</v>
      </c>
      <c r="L8956" s="417"/>
      <c r="M8956" s="417" t="s">
        <v>28840</v>
      </c>
    </row>
    <row r="8957" spans="1:13" x14ac:dyDescent="0.25">
      <c r="A8957" s="417" t="s">
        <v>3385</v>
      </c>
      <c r="B8957" s="417" t="s">
        <v>2627</v>
      </c>
      <c r="C8957" s="417" t="s">
        <v>20356</v>
      </c>
      <c r="D8957" s="417" t="s">
        <v>88</v>
      </c>
      <c r="E8957" s="423">
        <v>0.1673383632055816</v>
      </c>
      <c r="F8957" s="423">
        <v>4.9320075627856133E-2</v>
      </c>
      <c r="G8957" s="422">
        <v>346.54823230499642</v>
      </c>
      <c r="H8957" s="417" t="s">
        <v>2616</v>
      </c>
      <c r="I8957" s="417" t="s">
        <v>1392</v>
      </c>
      <c r="J8957" s="417" t="s">
        <v>4333</v>
      </c>
      <c r="K8957" s="417" t="s">
        <v>20357</v>
      </c>
      <c r="L8957" s="417"/>
      <c r="M8957" s="417" t="s">
        <v>28840</v>
      </c>
    </row>
    <row r="8958" spans="1:13" x14ac:dyDescent="0.25">
      <c r="A8958" s="417" t="s">
        <v>3385</v>
      </c>
      <c r="B8958" s="417" t="s">
        <v>2627</v>
      </c>
      <c r="C8958" s="417" t="s">
        <v>946</v>
      </c>
      <c r="D8958" s="417" t="s">
        <v>88</v>
      </c>
      <c r="E8958" s="423">
        <v>0.15308425311269139</v>
      </c>
      <c r="F8958" s="423">
        <v>6.6031853380460496E-3</v>
      </c>
      <c r="G8958" s="422">
        <v>391.40110700211261</v>
      </c>
      <c r="H8958" s="417" t="s">
        <v>2616</v>
      </c>
      <c r="I8958" s="417" t="s">
        <v>28841</v>
      </c>
      <c r="J8958" s="417" t="s">
        <v>4333</v>
      </c>
      <c r="K8958" s="417" t="s">
        <v>20358</v>
      </c>
      <c r="L8958" s="417"/>
      <c r="M8958" s="417" t="s">
        <v>28840</v>
      </c>
    </row>
    <row r="8959" spans="1:13" x14ac:dyDescent="0.25">
      <c r="A8959" s="417" t="s">
        <v>3385</v>
      </c>
      <c r="B8959" s="417" t="s">
        <v>2627</v>
      </c>
      <c r="C8959" s="417" t="s">
        <v>20359</v>
      </c>
      <c r="D8959" s="417" t="s">
        <v>88</v>
      </c>
      <c r="E8959" s="423">
        <v>0.97588144995380055</v>
      </c>
      <c r="F8959" s="423">
        <v>1.346860959372516E-2</v>
      </c>
      <c r="G8959" s="422">
        <v>15026.46996964525</v>
      </c>
      <c r="H8959" s="417" t="s">
        <v>2616</v>
      </c>
      <c r="I8959" s="417" t="s">
        <v>1392</v>
      </c>
      <c r="J8959" s="417" t="s">
        <v>4047</v>
      </c>
      <c r="K8959" s="417" t="s">
        <v>20360</v>
      </c>
      <c r="L8959" s="417"/>
      <c r="M8959" s="417" t="s">
        <v>28840</v>
      </c>
    </row>
    <row r="8960" spans="1:13" x14ac:dyDescent="0.25">
      <c r="A8960" s="417" t="s">
        <v>3385</v>
      </c>
      <c r="B8960" s="417" t="s">
        <v>2627</v>
      </c>
      <c r="C8960" s="417" t="s">
        <v>20361</v>
      </c>
      <c r="D8960" s="417" t="s">
        <v>989</v>
      </c>
      <c r="E8960" s="423">
        <v>9.5179734177715414</v>
      </c>
      <c r="F8960" s="423">
        <v>0.32136607731017308</v>
      </c>
      <c r="G8960" s="422">
        <v>27636.571478543701</v>
      </c>
      <c r="H8960" s="417" t="s">
        <v>2616</v>
      </c>
      <c r="I8960" s="417" t="s">
        <v>1392</v>
      </c>
      <c r="J8960" s="417" t="s">
        <v>3667</v>
      </c>
      <c r="K8960" s="417" t="s">
        <v>20362</v>
      </c>
      <c r="L8960" s="417"/>
      <c r="M8960" s="417" t="s">
        <v>28840</v>
      </c>
    </row>
    <row r="8961" spans="1:13" x14ac:dyDescent="0.25">
      <c r="A8961" s="417" t="s">
        <v>3385</v>
      </c>
      <c r="B8961" s="417" t="s">
        <v>3405</v>
      </c>
      <c r="C8961" s="417" t="s">
        <v>20363</v>
      </c>
      <c r="D8961" s="417" t="s">
        <v>989</v>
      </c>
      <c r="E8961" s="423">
        <v>3472.5837154861902</v>
      </c>
      <c r="F8961" s="423">
        <v>162.23818495130811</v>
      </c>
      <c r="G8961" s="422">
        <v>5616361.0155808358</v>
      </c>
      <c r="H8961" s="417" t="s">
        <v>2616</v>
      </c>
      <c r="I8961" s="417" t="s">
        <v>1392</v>
      </c>
      <c r="J8961" s="417" t="s">
        <v>3588</v>
      </c>
      <c r="K8961" s="417" t="s">
        <v>20364</v>
      </c>
      <c r="L8961" s="417"/>
      <c r="M8961" s="417" t="s">
        <v>28840</v>
      </c>
    </row>
    <row r="8962" spans="1:13" x14ac:dyDescent="0.25">
      <c r="A8962" s="417" t="s">
        <v>3385</v>
      </c>
      <c r="B8962" s="417" t="s">
        <v>3655</v>
      </c>
      <c r="C8962" s="417" t="s">
        <v>20365</v>
      </c>
      <c r="D8962" s="417" t="s">
        <v>88</v>
      </c>
      <c r="E8962" s="423">
        <v>5.8116578027300483E-2</v>
      </c>
      <c r="F8962" s="423">
        <v>7.1961120270207981E-3</v>
      </c>
      <c r="G8962" s="422">
        <v>123.20902806695931</v>
      </c>
      <c r="H8962" s="417" t="s">
        <v>2616</v>
      </c>
      <c r="I8962" s="417" t="s">
        <v>1392</v>
      </c>
      <c r="J8962" s="417" t="s">
        <v>4549</v>
      </c>
      <c r="K8962" s="417" t="s">
        <v>20366</v>
      </c>
      <c r="L8962" s="417"/>
      <c r="M8962" s="417" t="s">
        <v>28840</v>
      </c>
    </row>
    <row r="8963" spans="1:13" x14ac:dyDescent="0.25">
      <c r="A8963" s="417" t="s">
        <v>3385</v>
      </c>
      <c r="B8963" s="417" t="s">
        <v>3655</v>
      </c>
      <c r="C8963" s="417" t="s">
        <v>20367</v>
      </c>
      <c r="D8963" s="417" t="s">
        <v>88</v>
      </c>
      <c r="E8963" s="423">
        <v>0.24255277823280319</v>
      </c>
      <c r="F8963" s="423">
        <v>7.9903148930049947E-3</v>
      </c>
      <c r="G8963" s="422">
        <v>350.17172157223848</v>
      </c>
      <c r="H8963" s="417" t="s">
        <v>2616</v>
      </c>
      <c r="I8963" s="417" t="s">
        <v>1392</v>
      </c>
      <c r="J8963" s="417" t="s">
        <v>4549</v>
      </c>
      <c r="K8963" s="417" t="s">
        <v>20368</v>
      </c>
      <c r="L8963" s="417"/>
      <c r="M8963" s="417" t="s">
        <v>28840</v>
      </c>
    </row>
    <row r="8964" spans="1:13" x14ac:dyDescent="0.25">
      <c r="A8964" s="417" t="s">
        <v>3385</v>
      </c>
      <c r="B8964" s="417" t="s">
        <v>2627</v>
      </c>
      <c r="C8964" s="417" t="s">
        <v>20369</v>
      </c>
      <c r="D8964" s="417" t="s">
        <v>563</v>
      </c>
      <c r="E8964" s="423">
        <v>4.1051108835542802</v>
      </c>
      <c r="F8964" s="423">
        <v>7.9684361557427391E-2</v>
      </c>
      <c r="G8964" s="422">
        <v>11076.17875537186</v>
      </c>
      <c r="H8964" s="417" t="s">
        <v>2616</v>
      </c>
      <c r="I8964" s="417" t="s">
        <v>1392</v>
      </c>
      <c r="J8964" s="417" t="s">
        <v>7620</v>
      </c>
      <c r="K8964" s="417" t="s">
        <v>20370</v>
      </c>
      <c r="L8964" s="417"/>
      <c r="M8964" s="417" t="s">
        <v>28840</v>
      </c>
    </row>
    <row r="8965" spans="1:13" x14ac:dyDescent="0.25">
      <c r="A8965" s="417" t="s">
        <v>3385</v>
      </c>
      <c r="B8965" s="417" t="s">
        <v>2627</v>
      </c>
      <c r="C8965" s="417" t="s">
        <v>20371</v>
      </c>
      <c r="D8965" s="417" t="s">
        <v>563</v>
      </c>
      <c r="E8965" s="423">
        <v>4.0510444452400476</v>
      </c>
      <c r="F8965" s="423">
        <v>7.3409242900315877E-2</v>
      </c>
      <c r="G8965" s="422">
        <v>7689.738576326441</v>
      </c>
      <c r="H8965" s="417" t="s">
        <v>2616</v>
      </c>
      <c r="I8965" s="417" t="s">
        <v>1392</v>
      </c>
      <c r="J8965" s="417" t="s">
        <v>7620</v>
      </c>
      <c r="K8965" s="417" t="s">
        <v>20372</v>
      </c>
      <c r="L8965" s="417"/>
      <c r="M8965" s="417" t="s">
        <v>28840</v>
      </c>
    </row>
    <row r="8966" spans="1:13" x14ac:dyDescent="0.25">
      <c r="A8966" s="417" t="s">
        <v>3385</v>
      </c>
      <c r="B8966" s="417" t="s">
        <v>2627</v>
      </c>
      <c r="C8966" s="417" t="s">
        <v>20373</v>
      </c>
      <c r="D8966" s="417" t="s">
        <v>563</v>
      </c>
      <c r="E8966" s="423">
        <v>3.3765109917213159</v>
      </c>
      <c r="F8966" s="423">
        <v>7.0792685462085003E-2</v>
      </c>
      <c r="G8966" s="422">
        <v>6250.8665051208527</v>
      </c>
      <c r="H8966" s="417" t="s">
        <v>2616</v>
      </c>
      <c r="I8966" s="417" t="s">
        <v>1392</v>
      </c>
      <c r="J8966" s="417" t="s">
        <v>7620</v>
      </c>
      <c r="K8966" s="417" t="s">
        <v>20374</v>
      </c>
      <c r="L8966" s="417"/>
      <c r="M8966" s="417" t="s">
        <v>28840</v>
      </c>
    </row>
    <row r="8967" spans="1:13" x14ac:dyDescent="0.25">
      <c r="A8967" s="417" t="s">
        <v>3385</v>
      </c>
      <c r="B8967" s="417" t="s">
        <v>2627</v>
      </c>
      <c r="C8967" s="417" t="s">
        <v>20375</v>
      </c>
      <c r="D8967" s="417" t="s">
        <v>563</v>
      </c>
      <c r="E8967" s="423">
        <v>4.9941297991405396</v>
      </c>
      <c r="F8967" s="423">
        <v>9.3385365199526144E-2</v>
      </c>
      <c r="G8967" s="422">
        <v>9291.5204986219469</v>
      </c>
      <c r="H8967" s="417" t="s">
        <v>2616</v>
      </c>
      <c r="I8967" s="417" t="s">
        <v>1392</v>
      </c>
      <c r="J8967" s="417" t="s">
        <v>7620</v>
      </c>
      <c r="K8967" s="417" t="s">
        <v>20376</v>
      </c>
      <c r="L8967" s="417"/>
      <c r="M8967" s="417" t="s">
        <v>28840</v>
      </c>
    </row>
    <row r="8968" spans="1:13" x14ac:dyDescent="0.25">
      <c r="A8968" s="417" t="s">
        <v>3385</v>
      </c>
      <c r="B8968" s="417" t="s">
        <v>2627</v>
      </c>
      <c r="C8968" s="417" t="s">
        <v>20377</v>
      </c>
      <c r="D8968" s="417" t="s">
        <v>563</v>
      </c>
      <c r="E8968" s="423">
        <v>11.05429227626508</v>
      </c>
      <c r="F8968" s="423">
        <v>0.2388082978055317</v>
      </c>
      <c r="G8968" s="422">
        <v>25724.024711021611</v>
      </c>
      <c r="H8968" s="417" t="s">
        <v>2616</v>
      </c>
      <c r="I8968" s="417" t="s">
        <v>1392</v>
      </c>
      <c r="J8968" s="417" t="s">
        <v>6259</v>
      </c>
      <c r="K8968" s="417" t="s">
        <v>20378</v>
      </c>
      <c r="L8968" s="417"/>
      <c r="M8968" s="417" t="s">
        <v>28840</v>
      </c>
    </row>
    <row r="8969" spans="1:13" x14ac:dyDescent="0.25">
      <c r="A8969" s="417" t="s">
        <v>3385</v>
      </c>
      <c r="B8969" s="417" t="s">
        <v>2627</v>
      </c>
      <c r="C8969" s="417" t="s">
        <v>20379</v>
      </c>
      <c r="D8969" s="417" t="s">
        <v>563</v>
      </c>
      <c r="E8969" s="423">
        <v>1.785756614294993</v>
      </c>
      <c r="F8969" s="423">
        <v>3.857786584307149E-2</v>
      </c>
      <c r="G8969" s="422">
        <v>4155.5609019375634</v>
      </c>
      <c r="H8969" s="417" t="s">
        <v>2616</v>
      </c>
      <c r="I8969" s="417" t="s">
        <v>1392</v>
      </c>
      <c r="J8969" s="417" t="s">
        <v>6259</v>
      </c>
      <c r="K8969" s="417" t="s">
        <v>20380</v>
      </c>
      <c r="L8969" s="417"/>
      <c r="M8969" s="417" t="s">
        <v>28840</v>
      </c>
    </row>
    <row r="8970" spans="1:13" x14ac:dyDescent="0.25">
      <c r="A8970" s="417" t="s">
        <v>3385</v>
      </c>
      <c r="B8970" s="417" t="s">
        <v>2627</v>
      </c>
      <c r="C8970" s="417" t="s">
        <v>20381</v>
      </c>
      <c r="D8970" s="417" t="s">
        <v>563</v>
      </c>
      <c r="E8970" s="423">
        <v>17.35074593111058</v>
      </c>
      <c r="F8970" s="423">
        <v>0.46499487946005852</v>
      </c>
      <c r="G8970" s="422">
        <v>42559.522148393196</v>
      </c>
      <c r="H8970" s="417" t="s">
        <v>2616</v>
      </c>
      <c r="I8970" s="417" t="s">
        <v>1392</v>
      </c>
      <c r="J8970" s="417" t="s">
        <v>6259</v>
      </c>
      <c r="K8970" s="417" t="s">
        <v>20382</v>
      </c>
      <c r="L8970" s="417"/>
      <c r="M8970" s="417" t="s">
        <v>28840</v>
      </c>
    </row>
    <row r="8971" spans="1:13" x14ac:dyDescent="0.25">
      <c r="A8971" s="417" t="s">
        <v>3385</v>
      </c>
      <c r="B8971" s="417" t="s">
        <v>2627</v>
      </c>
      <c r="C8971" s="417" t="s">
        <v>20383</v>
      </c>
      <c r="D8971" s="417" t="s">
        <v>563</v>
      </c>
      <c r="E8971" s="423">
        <v>2.802887662594129</v>
      </c>
      <c r="F8971" s="423">
        <v>7.5116549583473025E-2</v>
      </c>
      <c r="G8971" s="422">
        <v>6875.1860488915718</v>
      </c>
      <c r="H8971" s="417" t="s">
        <v>2616</v>
      </c>
      <c r="I8971" s="417" t="s">
        <v>1392</v>
      </c>
      <c r="J8971" s="417" t="s">
        <v>6259</v>
      </c>
      <c r="K8971" s="417" t="s">
        <v>20384</v>
      </c>
      <c r="L8971" s="417"/>
      <c r="M8971" s="417" t="s">
        <v>28840</v>
      </c>
    </row>
    <row r="8972" spans="1:13" x14ac:dyDescent="0.25">
      <c r="A8972" s="417" t="s">
        <v>3385</v>
      </c>
      <c r="B8972" s="417" t="s">
        <v>2627</v>
      </c>
      <c r="C8972" s="417" t="s">
        <v>20385</v>
      </c>
      <c r="D8972" s="417" t="s">
        <v>563</v>
      </c>
      <c r="E8972" s="423">
        <v>16.375901022436061</v>
      </c>
      <c r="F8972" s="423">
        <v>0.36735573835827823</v>
      </c>
      <c r="G8972" s="422">
        <v>37500.219294417067</v>
      </c>
      <c r="H8972" s="417" t="s">
        <v>2616</v>
      </c>
      <c r="I8972" s="417" t="s">
        <v>1392</v>
      </c>
      <c r="J8972" s="417" t="s">
        <v>6259</v>
      </c>
      <c r="K8972" s="417" t="s">
        <v>20386</v>
      </c>
      <c r="L8972" s="417"/>
      <c r="M8972" s="417" t="s">
        <v>28840</v>
      </c>
    </row>
    <row r="8973" spans="1:13" x14ac:dyDescent="0.25">
      <c r="A8973" s="417" t="s">
        <v>3385</v>
      </c>
      <c r="B8973" s="417" t="s">
        <v>2627</v>
      </c>
      <c r="C8973" s="417" t="s">
        <v>20387</v>
      </c>
      <c r="D8973" s="417" t="s">
        <v>563</v>
      </c>
      <c r="E8973" s="423">
        <v>2.6454818226795189</v>
      </c>
      <c r="F8973" s="423">
        <v>5.934524874374747E-2</v>
      </c>
      <c r="G8973" s="422">
        <v>6058.0591936174587</v>
      </c>
      <c r="H8973" s="417" t="s">
        <v>2616</v>
      </c>
      <c r="I8973" s="417" t="s">
        <v>1392</v>
      </c>
      <c r="J8973" s="417" t="s">
        <v>6259</v>
      </c>
      <c r="K8973" s="417" t="s">
        <v>20388</v>
      </c>
      <c r="L8973" s="417"/>
      <c r="M8973" s="417" t="s">
        <v>28840</v>
      </c>
    </row>
    <row r="8974" spans="1:13" x14ac:dyDescent="0.25">
      <c r="A8974" s="417" t="s">
        <v>3385</v>
      </c>
      <c r="B8974" s="417" t="s">
        <v>2627</v>
      </c>
      <c r="C8974" s="417" t="s">
        <v>20389</v>
      </c>
      <c r="D8974" s="417" t="s">
        <v>563</v>
      </c>
      <c r="E8974" s="423">
        <v>22.263602871828262</v>
      </c>
      <c r="F8974" s="423">
        <v>0.58491989895826624</v>
      </c>
      <c r="G8974" s="422">
        <v>55363.671322905117</v>
      </c>
      <c r="H8974" s="417" t="s">
        <v>2616</v>
      </c>
      <c r="I8974" s="417" t="s">
        <v>1392</v>
      </c>
      <c r="J8974" s="417" t="s">
        <v>6259</v>
      </c>
      <c r="K8974" s="417" t="s">
        <v>20390</v>
      </c>
      <c r="L8974" s="417"/>
      <c r="M8974" s="417" t="s">
        <v>28840</v>
      </c>
    </row>
    <row r="8975" spans="1:13" x14ac:dyDescent="0.25">
      <c r="A8975" s="417" t="s">
        <v>3385</v>
      </c>
      <c r="B8975" s="417" t="s">
        <v>2627</v>
      </c>
      <c r="C8975" s="417" t="s">
        <v>20391</v>
      </c>
      <c r="D8975" s="417" t="s">
        <v>563</v>
      </c>
      <c r="E8975" s="423">
        <v>3.5965845022472518</v>
      </c>
      <c r="F8975" s="423">
        <v>9.4491162929666334E-2</v>
      </c>
      <c r="G8975" s="422">
        <v>8943.7631872363236</v>
      </c>
      <c r="H8975" s="417" t="s">
        <v>2616</v>
      </c>
      <c r="I8975" s="417" t="s">
        <v>1392</v>
      </c>
      <c r="J8975" s="417" t="s">
        <v>6259</v>
      </c>
      <c r="K8975" s="417" t="s">
        <v>20392</v>
      </c>
      <c r="L8975" s="417"/>
      <c r="M8975" s="417" t="s">
        <v>28840</v>
      </c>
    </row>
    <row r="8976" spans="1:13" x14ac:dyDescent="0.25">
      <c r="A8976" s="417" t="s">
        <v>3385</v>
      </c>
      <c r="B8976" s="417" t="s">
        <v>2437</v>
      </c>
      <c r="C8976" s="417" t="s">
        <v>20393</v>
      </c>
      <c r="D8976" s="417" t="s">
        <v>88</v>
      </c>
      <c r="E8976" s="423">
        <v>2.0195696946187458</v>
      </c>
      <c r="F8976" s="423">
        <v>9.1402477471671323E-2</v>
      </c>
      <c r="G8976" s="422">
        <v>4356.2926153641974</v>
      </c>
      <c r="H8976" s="417" t="s">
        <v>2616</v>
      </c>
      <c r="I8976" s="417" t="s">
        <v>1392</v>
      </c>
      <c r="J8976" s="417" t="s">
        <v>4414</v>
      </c>
      <c r="K8976" s="417" t="s">
        <v>20394</v>
      </c>
      <c r="L8976" s="417"/>
      <c r="M8976" s="417" t="s">
        <v>28840</v>
      </c>
    </row>
    <row r="8977" spans="1:13" x14ac:dyDescent="0.25">
      <c r="A8977" s="417" t="s">
        <v>3385</v>
      </c>
      <c r="B8977" s="417" t="s">
        <v>3655</v>
      </c>
      <c r="C8977" s="417" t="s">
        <v>20395</v>
      </c>
      <c r="D8977" s="417" t="s">
        <v>1052</v>
      </c>
      <c r="E8977" s="423">
        <v>17.390797158956651</v>
      </c>
      <c r="F8977" s="423">
        <v>1.079061580779102</v>
      </c>
      <c r="G8977" s="422">
        <v>33156.509741067697</v>
      </c>
      <c r="H8977" s="417" t="s">
        <v>2616</v>
      </c>
      <c r="I8977" s="417" t="s">
        <v>1392</v>
      </c>
      <c r="J8977" s="417" t="s">
        <v>3918</v>
      </c>
      <c r="K8977" s="417" t="s">
        <v>20396</v>
      </c>
      <c r="L8977" s="417"/>
      <c r="M8977" s="417" t="s">
        <v>28840</v>
      </c>
    </row>
    <row r="8978" spans="1:13" x14ac:dyDescent="0.25">
      <c r="A8978" s="417" t="s">
        <v>3385</v>
      </c>
      <c r="B8978" s="417" t="s">
        <v>3405</v>
      </c>
      <c r="C8978" s="417" t="s">
        <v>20397</v>
      </c>
      <c r="D8978" s="417" t="s">
        <v>73</v>
      </c>
      <c r="E8978" s="423">
        <v>6.7069577392038254E-2</v>
      </c>
      <c r="F8978" s="423">
        <v>2.8070228659302389E-6</v>
      </c>
      <c r="G8978" s="422">
        <v>78.328949992557483</v>
      </c>
      <c r="H8978" s="417" t="s">
        <v>2616</v>
      </c>
      <c r="I8978" s="417" t="s">
        <v>1392</v>
      </c>
      <c r="J8978" s="417" t="s">
        <v>4300</v>
      </c>
      <c r="K8978" s="417" t="s">
        <v>20398</v>
      </c>
      <c r="L8978" s="417"/>
      <c r="M8978" s="417" t="s">
        <v>28840</v>
      </c>
    </row>
    <row r="8979" spans="1:13" x14ac:dyDescent="0.25">
      <c r="A8979" s="417" t="s">
        <v>3385</v>
      </c>
      <c r="B8979" s="417" t="s">
        <v>2627</v>
      </c>
      <c r="C8979" s="417" t="s">
        <v>20399</v>
      </c>
      <c r="D8979" s="417" t="s">
        <v>88</v>
      </c>
      <c r="E8979" s="423">
        <v>0.28009520337176408</v>
      </c>
      <c r="F8979" s="423">
        <v>8.4517210671532471E-3</v>
      </c>
      <c r="G8979" s="422">
        <v>2665.222827914914</v>
      </c>
      <c r="H8979" s="417" t="s">
        <v>2616</v>
      </c>
      <c r="I8979" s="417" t="s">
        <v>1392</v>
      </c>
      <c r="J8979" s="417" t="s">
        <v>4047</v>
      </c>
      <c r="K8979" s="417" t="s">
        <v>20400</v>
      </c>
      <c r="L8979" s="417"/>
      <c r="M8979" s="417" t="s">
        <v>28840</v>
      </c>
    </row>
    <row r="8980" spans="1:13" x14ac:dyDescent="0.25">
      <c r="A8980" s="417" t="s">
        <v>3385</v>
      </c>
      <c r="B8980" s="417" t="s">
        <v>2627</v>
      </c>
      <c r="C8980" s="417" t="s">
        <v>20401</v>
      </c>
      <c r="D8980" s="417" t="s">
        <v>88</v>
      </c>
      <c r="E8980" s="423">
        <v>3.0049857786218721E-2</v>
      </c>
      <c r="F8980" s="423">
        <v>9.067477628575786E-4</v>
      </c>
      <c r="G8980" s="422">
        <v>294.35392659389112</v>
      </c>
      <c r="H8980" s="417" t="s">
        <v>2616</v>
      </c>
      <c r="I8980" s="417" t="s">
        <v>1392</v>
      </c>
      <c r="J8980" s="417" t="s">
        <v>4047</v>
      </c>
      <c r="K8980" s="417" t="s">
        <v>20402</v>
      </c>
      <c r="L8980" s="417"/>
      <c r="M8980" s="417" t="s">
        <v>28840</v>
      </c>
    </row>
    <row r="8981" spans="1:13" x14ac:dyDescent="0.25">
      <c r="A8981" s="417" t="s">
        <v>3385</v>
      </c>
      <c r="B8981" s="417" t="s">
        <v>2627</v>
      </c>
      <c r="C8981" s="417" t="s">
        <v>20403</v>
      </c>
      <c r="D8981" s="417" t="s">
        <v>83</v>
      </c>
      <c r="E8981" s="423">
        <v>0.22347794209600291</v>
      </c>
      <c r="F8981" s="423">
        <v>2.3485192816569971E-4</v>
      </c>
      <c r="G8981" s="422">
        <v>372.04141280338649</v>
      </c>
      <c r="H8981" s="417" t="s">
        <v>2616</v>
      </c>
      <c r="I8981" s="417" t="s">
        <v>1392</v>
      </c>
      <c r="J8981" s="417" t="s">
        <v>7702</v>
      </c>
      <c r="K8981" s="417" t="s">
        <v>20404</v>
      </c>
      <c r="L8981" s="417"/>
      <c r="M8981" s="417" t="s">
        <v>28840</v>
      </c>
    </row>
    <row r="8982" spans="1:13" x14ac:dyDescent="0.25">
      <c r="A8982" s="417" t="s">
        <v>3385</v>
      </c>
      <c r="B8982" s="417" t="s">
        <v>2627</v>
      </c>
      <c r="C8982" s="417" t="s">
        <v>20405</v>
      </c>
      <c r="D8982" s="417" t="s">
        <v>989</v>
      </c>
      <c r="E8982" s="423">
        <v>373.77024520253769</v>
      </c>
      <c r="F8982" s="423">
        <v>13.361131271029031</v>
      </c>
      <c r="G8982" s="422">
        <v>1867582.117816353</v>
      </c>
      <c r="H8982" s="417" t="s">
        <v>2616</v>
      </c>
      <c r="I8982" s="417" t="s">
        <v>1392</v>
      </c>
      <c r="J8982" s="417" t="s">
        <v>4294</v>
      </c>
      <c r="K8982" s="417" t="s">
        <v>20406</v>
      </c>
      <c r="L8982" s="417"/>
      <c r="M8982" s="417" t="s">
        <v>28840</v>
      </c>
    </row>
    <row r="8983" spans="1:13" x14ac:dyDescent="0.25">
      <c r="A8983" s="417" t="s">
        <v>3385</v>
      </c>
      <c r="B8983" s="417" t="s">
        <v>2627</v>
      </c>
      <c r="C8983" s="417" t="s">
        <v>20407</v>
      </c>
      <c r="D8983" s="417" t="s">
        <v>88</v>
      </c>
      <c r="E8983" s="423">
        <v>11.998618992563509</v>
      </c>
      <c r="F8983" s="423">
        <v>0.80993140587515977</v>
      </c>
      <c r="G8983" s="422">
        <v>99390.699136161827</v>
      </c>
      <c r="H8983" s="417" t="s">
        <v>2616</v>
      </c>
      <c r="I8983" s="417" t="s">
        <v>1392</v>
      </c>
      <c r="J8983" s="417" t="s">
        <v>3896</v>
      </c>
      <c r="K8983" s="417" t="s">
        <v>20408</v>
      </c>
      <c r="L8983" s="417"/>
      <c r="M8983" s="417" t="s">
        <v>28840</v>
      </c>
    </row>
    <row r="8984" spans="1:13" x14ac:dyDescent="0.25">
      <c r="A8984" s="417" t="s">
        <v>3385</v>
      </c>
      <c r="B8984" s="417" t="s">
        <v>2627</v>
      </c>
      <c r="C8984" s="417" t="s">
        <v>20409</v>
      </c>
      <c r="D8984" s="417" t="s">
        <v>989</v>
      </c>
      <c r="E8984" s="423">
        <v>455672.79658405943</v>
      </c>
      <c r="F8984" s="423">
        <v>14205.48482921204</v>
      </c>
      <c r="G8984" s="422">
        <v>941519247.35718262</v>
      </c>
      <c r="H8984" s="417" t="s">
        <v>2616</v>
      </c>
      <c r="I8984" s="417" t="s">
        <v>1392</v>
      </c>
      <c r="J8984" s="417" t="s">
        <v>3836</v>
      </c>
      <c r="K8984" s="417" t="s">
        <v>20410</v>
      </c>
      <c r="L8984" s="417"/>
      <c r="M8984" s="417" t="s">
        <v>28840</v>
      </c>
    </row>
    <row r="8985" spans="1:13" x14ac:dyDescent="0.25">
      <c r="A8985" s="417" t="s">
        <v>3385</v>
      </c>
      <c r="B8985" s="417" t="s">
        <v>2627</v>
      </c>
      <c r="C8985" s="417" t="s">
        <v>20411</v>
      </c>
      <c r="D8985" s="417" t="s">
        <v>83</v>
      </c>
      <c r="E8985" s="423">
        <v>3.0581642336022931E-2</v>
      </c>
      <c r="F8985" s="423">
        <v>0.37654016165292392</v>
      </c>
      <c r="G8985" s="422">
        <v>100.4208296820118</v>
      </c>
      <c r="H8985" s="417" t="s">
        <v>2616</v>
      </c>
      <c r="I8985" s="417" t="s">
        <v>1392</v>
      </c>
      <c r="J8985" s="417" t="s">
        <v>4210</v>
      </c>
      <c r="K8985" s="417" t="s">
        <v>20412</v>
      </c>
      <c r="L8985" s="417"/>
      <c r="M8985" s="417" t="s">
        <v>28840</v>
      </c>
    </row>
    <row r="8986" spans="1:13" x14ac:dyDescent="0.25">
      <c r="A8986" s="417" t="s">
        <v>3385</v>
      </c>
      <c r="B8986" s="417" t="s">
        <v>2627</v>
      </c>
      <c r="C8986" s="417" t="s">
        <v>20413</v>
      </c>
      <c r="D8986" s="417" t="s">
        <v>83</v>
      </c>
      <c r="E8986" s="423">
        <v>3.9094427297278647E-2</v>
      </c>
      <c r="F8986" s="423">
        <v>0.32489466551014201</v>
      </c>
      <c r="G8986" s="422">
        <v>118.62467608149871</v>
      </c>
      <c r="H8986" s="417" t="s">
        <v>2616</v>
      </c>
      <c r="I8986" s="417" t="s">
        <v>1392</v>
      </c>
      <c r="J8986" s="417" t="s">
        <v>4210</v>
      </c>
      <c r="K8986" s="417" t="s">
        <v>20414</v>
      </c>
      <c r="L8986" s="417"/>
      <c r="M8986" s="417" t="s">
        <v>28840</v>
      </c>
    </row>
    <row r="8987" spans="1:13" x14ac:dyDescent="0.25">
      <c r="A8987" s="417" t="s">
        <v>3385</v>
      </c>
      <c r="B8987" s="417" t="s">
        <v>2627</v>
      </c>
      <c r="C8987" s="417" t="s">
        <v>20415</v>
      </c>
      <c r="D8987" s="417" t="s">
        <v>83</v>
      </c>
      <c r="E8987" s="423">
        <v>3.4838034518603747E-2</v>
      </c>
      <c r="F8987" s="423">
        <v>0.35071741358339248</v>
      </c>
      <c r="G8987" s="422">
        <v>109.5227523312489</v>
      </c>
      <c r="H8987" s="417" t="s">
        <v>2616</v>
      </c>
      <c r="I8987" s="417" t="s">
        <v>1392</v>
      </c>
      <c r="J8987" s="417" t="s">
        <v>4210</v>
      </c>
      <c r="K8987" s="417" t="s">
        <v>20416</v>
      </c>
      <c r="L8987" s="417"/>
      <c r="M8987" s="417" t="s">
        <v>28840</v>
      </c>
    </row>
    <row r="8988" spans="1:13" x14ac:dyDescent="0.25">
      <c r="A8988" s="417" t="s">
        <v>3385</v>
      </c>
      <c r="B8988" s="417" t="s">
        <v>2627</v>
      </c>
      <c r="C8988" s="417" t="s">
        <v>20417</v>
      </c>
      <c r="D8988" s="417" t="s">
        <v>88</v>
      </c>
      <c r="E8988" s="423">
        <v>4.5783188147212179</v>
      </c>
      <c r="F8988" s="423">
        <v>0.87061182311169538</v>
      </c>
      <c r="G8988" s="422">
        <v>17534.858375241329</v>
      </c>
      <c r="H8988" s="417" t="s">
        <v>2616</v>
      </c>
      <c r="I8988" s="417" t="s">
        <v>1392</v>
      </c>
      <c r="J8988" s="417" t="s">
        <v>13043</v>
      </c>
      <c r="K8988" s="417" t="s">
        <v>20418</v>
      </c>
      <c r="L8988" s="417"/>
      <c r="M8988" s="417" t="s">
        <v>28840</v>
      </c>
    </row>
    <row r="8989" spans="1:13" x14ac:dyDescent="0.25">
      <c r="A8989" s="417" t="s">
        <v>3385</v>
      </c>
      <c r="B8989" s="417" t="s">
        <v>2627</v>
      </c>
      <c r="C8989" s="417" t="s">
        <v>20419</v>
      </c>
      <c r="D8989" s="417" t="s">
        <v>88</v>
      </c>
      <c r="E8989" s="423">
        <v>4.852122020275182</v>
      </c>
      <c r="F8989" s="423">
        <v>0.88228803813932621</v>
      </c>
      <c r="G8989" s="422">
        <v>18371.314312021521</v>
      </c>
      <c r="H8989" s="417" t="s">
        <v>2616</v>
      </c>
      <c r="I8989" s="417" t="s">
        <v>1392</v>
      </c>
      <c r="J8989" s="417" t="s">
        <v>13043</v>
      </c>
      <c r="K8989" s="417" t="s">
        <v>20420</v>
      </c>
      <c r="L8989" s="417"/>
      <c r="M8989" s="417" t="s">
        <v>28840</v>
      </c>
    </row>
    <row r="8990" spans="1:13" x14ac:dyDescent="0.25">
      <c r="A8990" s="417" t="s">
        <v>3385</v>
      </c>
      <c r="B8990" s="417" t="s">
        <v>2627</v>
      </c>
      <c r="C8990" s="417" t="s">
        <v>20421</v>
      </c>
      <c r="D8990" s="417" t="s">
        <v>88</v>
      </c>
      <c r="E8990" s="423">
        <v>4.539153591971206</v>
      </c>
      <c r="F8990" s="423">
        <v>1.1060685784209641</v>
      </c>
      <c r="G8990" s="422">
        <v>17543.907343844501</v>
      </c>
      <c r="H8990" s="417" t="s">
        <v>2616</v>
      </c>
      <c r="I8990" s="417" t="s">
        <v>1392</v>
      </c>
      <c r="J8990" s="417" t="s">
        <v>13043</v>
      </c>
      <c r="K8990" s="417" t="s">
        <v>20422</v>
      </c>
      <c r="L8990" s="417"/>
      <c r="M8990" s="417" t="s">
        <v>28840</v>
      </c>
    </row>
    <row r="8991" spans="1:13" x14ac:dyDescent="0.25">
      <c r="A8991" s="417" t="s">
        <v>3385</v>
      </c>
      <c r="B8991" s="417" t="s">
        <v>2627</v>
      </c>
      <c r="C8991" s="417" t="s">
        <v>20423</v>
      </c>
      <c r="D8991" s="417" t="s">
        <v>88</v>
      </c>
      <c r="E8991" s="423">
        <v>3.6873953717215988</v>
      </c>
      <c r="F8991" s="423">
        <v>1.1023411682503399</v>
      </c>
      <c r="G8991" s="422">
        <v>16471.576555218689</v>
      </c>
      <c r="H8991" s="417" t="s">
        <v>2616</v>
      </c>
      <c r="I8991" s="417" t="s">
        <v>1392</v>
      </c>
      <c r="J8991" s="417" t="s">
        <v>13043</v>
      </c>
      <c r="K8991" s="417" t="s">
        <v>20424</v>
      </c>
      <c r="L8991" s="417"/>
      <c r="M8991" s="417" t="s">
        <v>28840</v>
      </c>
    </row>
    <row r="8992" spans="1:13" x14ac:dyDescent="0.25">
      <c r="A8992" s="417" t="s">
        <v>3385</v>
      </c>
      <c r="B8992" s="417" t="s">
        <v>2627</v>
      </c>
      <c r="C8992" s="417" t="s">
        <v>20425</v>
      </c>
      <c r="D8992" s="417" t="s">
        <v>88</v>
      </c>
      <c r="E8992" s="423">
        <v>2.8640912460165211</v>
      </c>
      <c r="F8992" s="423">
        <v>0.30850015832521283</v>
      </c>
      <c r="G8992" s="422">
        <v>7616.7739429382209</v>
      </c>
      <c r="H8992" s="417" t="s">
        <v>2616</v>
      </c>
      <c r="I8992" s="417" t="s">
        <v>1392</v>
      </c>
      <c r="J8992" s="417" t="s">
        <v>13043</v>
      </c>
      <c r="K8992" s="417" t="s">
        <v>20426</v>
      </c>
      <c r="L8992" s="417"/>
      <c r="M8992" s="417" t="s">
        <v>28840</v>
      </c>
    </row>
    <row r="8993" spans="1:13" x14ac:dyDescent="0.25">
      <c r="A8993" s="417" t="s">
        <v>3385</v>
      </c>
      <c r="B8993" s="417" t="s">
        <v>2627</v>
      </c>
      <c r="C8993" s="417" t="s">
        <v>20427</v>
      </c>
      <c r="D8993" s="417" t="s">
        <v>88</v>
      </c>
      <c r="E8993" s="423">
        <v>4.2415812422576673</v>
      </c>
      <c r="F8993" s="423">
        <v>0.6761760133347452</v>
      </c>
      <c r="G8993" s="422">
        <v>15054.930739242211</v>
      </c>
      <c r="H8993" s="417" t="s">
        <v>2616</v>
      </c>
      <c r="I8993" s="417" t="s">
        <v>1392</v>
      </c>
      <c r="J8993" s="417" t="s">
        <v>13043</v>
      </c>
      <c r="K8993" s="417" t="s">
        <v>20428</v>
      </c>
      <c r="L8993" s="417"/>
      <c r="M8993" s="417" t="s">
        <v>28840</v>
      </c>
    </row>
    <row r="8994" spans="1:13" x14ac:dyDescent="0.25">
      <c r="A8994" s="417" t="s">
        <v>3385</v>
      </c>
      <c r="B8994" s="417" t="s">
        <v>2627</v>
      </c>
      <c r="C8994" s="417" t="s">
        <v>20429</v>
      </c>
      <c r="D8994" s="417" t="s">
        <v>88</v>
      </c>
      <c r="E8994" s="423">
        <v>4.515384104131221</v>
      </c>
      <c r="F8994" s="423">
        <v>0.68785203427680996</v>
      </c>
      <c r="G8994" s="422">
        <v>15891.3842764977</v>
      </c>
      <c r="H8994" s="417" t="s">
        <v>2616</v>
      </c>
      <c r="I8994" s="417" t="s">
        <v>1392</v>
      </c>
      <c r="J8994" s="417" t="s">
        <v>13043</v>
      </c>
      <c r="K8994" s="417" t="s">
        <v>20430</v>
      </c>
      <c r="L8994" s="417"/>
      <c r="M8994" s="417" t="s">
        <v>28840</v>
      </c>
    </row>
    <row r="8995" spans="1:13" x14ac:dyDescent="0.25">
      <c r="A8995" s="417" t="s">
        <v>3385</v>
      </c>
      <c r="B8995" s="417" t="s">
        <v>2627</v>
      </c>
      <c r="C8995" s="417" t="s">
        <v>20431</v>
      </c>
      <c r="D8995" s="417" t="s">
        <v>88</v>
      </c>
      <c r="E8995" s="423">
        <v>4.2024160124397287</v>
      </c>
      <c r="F8995" s="423">
        <v>0.91163276861178333</v>
      </c>
      <c r="G8995" s="422">
        <v>15063.979761182691</v>
      </c>
      <c r="H8995" s="417" t="s">
        <v>2616</v>
      </c>
      <c r="I8995" s="417" t="s">
        <v>1392</v>
      </c>
      <c r="J8995" s="417" t="s">
        <v>13043</v>
      </c>
      <c r="K8995" s="417" t="s">
        <v>20432</v>
      </c>
      <c r="L8995" s="417"/>
      <c r="M8995" s="417" t="s">
        <v>28840</v>
      </c>
    </row>
    <row r="8996" spans="1:13" x14ac:dyDescent="0.25">
      <c r="A8996" s="417" t="s">
        <v>3385</v>
      </c>
      <c r="B8996" s="417" t="s">
        <v>2627</v>
      </c>
      <c r="C8996" s="417" t="s">
        <v>20433</v>
      </c>
      <c r="D8996" s="417" t="s">
        <v>88</v>
      </c>
      <c r="E8996" s="423">
        <v>3.3506577989603898</v>
      </c>
      <c r="F8996" s="423">
        <v>0.9079053582808696</v>
      </c>
      <c r="G8996" s="422">
        <v>13991.64891031303</v>
      </c>
      <c r="H8996" s="417" t="s">
        <v>2616</v>
      </c>
      <c r="I8996" s="417" t="s">
        <v>1392</v>
      </c>
      <c r="J8996" s="417" t="s">
        <v>13043</v>
      </c>
      <c r="K8996" s="417" t="s">
        <v>20434</v>
      </c>
      <c r="L8996" s="417"/>
      <c r="M8996" s="417" t="s">
        <v>28840</v>
      </c>
    </row>
    <row r="8997" spans="1:13" x14ac:dyDescent="0.25">
      <c r="A8997" s="417" t="s">
        <v>3385</v>
      </c>
      <c r="B8997" s="417" t="s">
        <v>2627</v>
      </c>
      <c r="C8997" s="417" t="s">
        <v>20435</v>
      </c>
      <c r="D8997" s="417" t="s">
        <v>88</v>
      </c>
      <c r="E8997" s="423">
        <v>2.534510243691241</v>
      </c>
      <c r="F8997" s="423">
        <v>0.1161297910072249</v>
      </c>
      <c r="G8997" s="422">
        <v>5175.5602306689343</v>
      </c>
      <c r="H8997" s="417" t="s">
        <v>2616</v>
      </c>
      <c r="I8997" s="417" t="s">
        <v>1392</v>
      </c>
      <c r="J8997" s="417" t="s">
        <v>13043</v>
      </c>
      <c r="K8997" s="417" t="s">
        <v>20436</v>
      </c>
      <c r="L8997" s="417"/>
      <c r="M8997" s="417" t="s">
        <v>28840</v>
      </c>
    </row>
    <row r="8998" spans="1:13" x14ac:dyDescent="0.25">
      <c r="A8998" s="417" t="s">
        <v>3385</v>
      </c>
      <c r="B8998" s="417" t="s">
        <v>2627</v>
      </c>
      <c r="C8998" s="417" t="s">
        <v>1014</v>
      </c>
      <c r="D8998" s="417" t="s">
        <v>88</v>
      </c>
      <c r="E8998" s="423">
        <v>2.8660839749477578</v>
      </c>
      <c r="F8998" s="423">
        <v>0.1453722854781222</v>
      </c>
      <c r="G8998" s="422">
        <v>5165.4981507587736</v>
      </c>
      <c r="H8998" s="417" t="s">
        <v>2616</v>
      </c>
      <c r="I8998" s="417" t="s">
        <v>28841</v>
      </c>
      <c r="J8998" s="417" t="s">
        <v>3629</v>
      </c>
      <c r="K8998" s="417" t="s">
        <v>20437</v>
      </c>
      <c r="L8998" s="417"/>
      <c r="M8998" s="417" t="s">
        <v>28840</v>
      </c>
    </row>
    <row r="8999" spans="1:13" x14ac:dyDescent="0.25">
      <c r="A8999" s="417" t="s">
        <v>3385</v>
      </c>
      <c r="B8999" s="417" t="s">
        <v>2627</v>
      </c>
      <c r="C8999" s="417" t="s">
        <v>20438</v>
      </c>
      <c r="D8999" s="417" t="s">
        <v>88</v>
      </c>
      <c r="E8999" s="423">
        <v>0.32081116702498552</v>
      </c>
      <c r="F8999" s="423">
        <v>2.3659393055633581E-3</v>
      </c>
      <c r="G8999" s="422">
        <v>435.7520508520488</v>
      </c>
      <c r="H8999" s="417" t="s">
        <v>2616</v>
      </c>
      <c r="I8999" s="417" t="s">
        <v>1392</v>
      </c>
      <c r="J8999" s="417" t="s">
        <v>3945</v>
      </c>
      <c r="K8999" s="417" t="s">
        <v>20439</v>
      </c>
      <c r="L8999" s="417"/>
      <c r="M8999" s="417" t="s">
        <v>28840</v>
      </c>
    </row>
    <row r="9000" spans="1:13" x14ac:dyDescent="0.25">
      <c r="A9000" s="417" t="s">
        <v>3385</v>
      </c>
      <c r="B9000" s="417" t="s">
        <v>2437</v>
      </c>
      <c r="C9000" s="417" t="s">
        <v>20440</v>
      </c>
      <c r="D9000" s="417" t="s">
        <v>88</v>
      </c>
      <c r="E9000" s="423">
        <v>5.4143874830208381</v>
      </c>
      <c r="F9000" s="423">
        <v>8.0292580312221307E-2</v>
      </c>
      <c r="G9000" s="422">
        <v>11466.562776650529</v>
      </c>
      <c r="H9000" s="417" t="s">
        <v>2616</v>
      </c>
      <c r="I9000" s="417" t="s">
        <v>1392</v>
      </c>
      <c r="J9000" s="417" t="s">
        <v>3871</v>
      </c>
      <c r="K9000" s="417" t="s">
        <v>20441</v>
      </c>
      <c r="L9000" s="417"/>
      <c r="M9000" s="417" t="s">
        <v>28840</v>
      </c>
    </row>
    <row r="9001" spans="1:13" x14ac:dyDescent="0.25">
      <c r="A9001" s="417" t="s">
        <v>3385</v>
      </c>
      <c r="B9001" s="417" t="s">
        <v>2437</v>
      </c>
      <c r="C9001" s="417" t="s">
        <v>20442</v>
      </c>
      <c r="D9001" s="417" t="s">
        <v>88</v>
      </c>
      <c r="E9001" s="423">
        <v>3.2874513667450298</v>
      </c>
      <c r="F9001" s="423">
        <v>0.19980962165941929</v>
      </c>
      <c r="G9001" s="422">
        <v>74378.455852582789</v>
      </c>
      <c r="H9001" s="417" t="s">
        <v>2616</v>
      </c>
      <c r="I9001" s="417" t="s">
        <v>1392</v>
      </c>
      <c r="J9001" s="417" t="s">
        <v>3871</v>
      </c>
      <c r="K9001" s="417" t="s">
        <v>20443</v>
      </c>
      <c r="L9001" s="417"/>
      <c r="M9001" s="417" t="s">
        <v>28840</v>
      </c>
    </row>
    <row r="9002" spans="1:13" x14ac:dyDescent="0.25">
      <c r="A9002" s="417" t="s">
        <v>3385</v>
      </c>
      <c r="B9002" s="417" t="s">
        <v>2627</v>
      </c>
      <c r="C9002" s="417" t="s">
        <v>20444</v>
      </c>
      <c r="D9002" s="417" t="s">
        <v>989</v>
      </c>
      <c r="E9002" s="423">
        <v>50.411670089244417</v>
      </c>
      <c r="F9002" s="423">
        <v>1.7466981395500421</v>
      </c>
      <c r="G9002" s="422">
        <v>130929.754559589</v>
      </c>
      <c r="H9002" s="417" t="s">
        <v>2616</v>
      </c>
      <c r="I9002" s="417" t="s">
        <v>1392</v>
      </c>
      <c r="J9002" s="417" t="s">
        <v>3699</v>
      </c>
      <c r="K9002" s="417" t="s">
        <v>20445</v>
      </c>
      <c r="L9002" s="417"/>
      <c r="M9002" s="417" t="s">
        <v>28840</v>
      </c>
    </row>
    <row r="9003" spans="1:13" x14ac:dyDescent="0.25">
      <c r="A9003" s="417" t="s">
        <v>3385</v>
      </c>
      <c r="B9003" s="417" t="s">
        <v>2623</v>
      </c>
      <c r="C9003" s="417" t="s">
        <v>20446</v>
      </c>
      <c r="D9003" s="417" t="s">
        <v>83</v>
      </c>
      <c r="E9003" s="423">
        <v>0</v>
      </c>
      <c r="F9003" s="423">
        <v>0</v>
      </c>
      <c r="G9003" s="422">
        <v>1896483.73013</v>
      </c>
      <c r="H9003" s="417" t="s">
        <v>2616</v>
      </c>
      <c r="I9003" s="417" t="s">
        <v>1392</v>
      </c>
      <c r="J9003" s="417" t="s">
        <v>7337</v>
      </c>
      <c r="K9003" s="417" t="s">
        <v>20447</v>
      </c>
      <c r="L9003" s="417"/>
      <c r="M9003" s="417" t="s">
        <v>28840</v>
      </c>
    </row>
    <row r="9004" spans="1:13" x14ac:dyDescent="0.25">
      <c r="A9004" s="417" t="s">
        <v>3385</v>
      </c>
      <c r="B9004" s="417" t="s">
        <v>2623</v>
      </c>
      <c r="C9004" s="417" t="s">
        <v>20448</v>
      </c>
      <c r="D9004" s="417" t="s">
        <v>88</v>
      </c>
      <c r="E9004" s="423">
        <v>0.55064264072700253</v>
      </c>
      <c r="F9004" s="423">
        <v>2.0205753351632171E-2</v>
      </c>
      <c r="G9004" s="422">
        <v>805.99388830327393</v>
      </c>
      <c r="H9004" s="417" t="s">
        <v>2616</v>
      </c>
      <c r="I9004" s="417" t="s">
        <v>1392</v>
      </c>
      <c r="J9004" s="417" t="s">
        <v>2624</v>
      </c>
      <c r="K9004" s="417" t="s">
        <v>20449</v>
      </c>
      <c r="L9004" s="417"/>
      <c r="M9004" s="417" t="s">
        <v>28840</v>
      </c>
    </row>
    <row r="9005" spans="1:13" x14ac:dyDescent="0.25">
      <c r="A9005" s="417" t="s">
        <v>3385</v>
      </c>
      <c r="B9005" s="417" t="s">
        <v>2623</v>
      </c>
      <c r="C9005" s="417" t="s">
        <v>20450</v>
      </c>
      <c r="D9005" s="417" t="s">
        <v>88</v>
      </c>
      <c r="E9005" s="423">
        <v>0.35275492422689519</v>
      </c>
      <c r="F9005" s="423">
        <v>3.8659500218430717E-2</v>
      </c>
      <c r="G9005" s="422">
        <v>708.64139491097239</v>
      </c>
      <c r="H9005" s="417" t="s">
        <v>2616</v>
      </c>
      <c r="I9005" s="417" t="s">
        <v>1392</v>
      </c>
      <c r="J9005" s="417" t="s">
        <v>2624</v>
      </c>
      <c r="K9005" s="417" t="s">
        <v>20451</v>
      </c>
      <c r="L9005" s="417"/>
      <c r="M9005" s="417" t="s">
        <v>28840</v>
      </c>
    </row>
    <row r="9006" spans="1:13" x14ac:dyDescent="0.25">
      <c r="A9006" s="417" t="s">
        <v>3385</v>
      </c>
      <c r="B9006" s="417" t="s">
        <v>2627</v>
      </c>
      <c r="C9006" s="417" t="s">
        <v>20452</v>
      </c>
      <c r="D9006" s="417" t="s">
        <v>88</v>
      </c>
      <c r="E9006" s="423">
        <v>0.7228931010244577</v>
      </c>
      <c r="F9006" s="423">
        <v>1.17870174756686E-2</v>
      </c>
      <c r="G9006" s="422">
        <v>1001.336198037017</v>
      </c>
      <c r="H9006" s="417" t="s">
        <v>2616</v>
      </c>
      <c r="I9006" s="417" t="s">
        <v>1392</v>
      </c>
      <c r="J9006" s="417" t="s">
        <v>20453</v>
      </c>
      <c r="K9006" s="417" t="s">
        <v>20454</v>
      </c>
      <c r="L9006" s="417"/>
      <c r="M9006" s="417" t="s">
        <v>28840</v>
      </c>
    </row>
    <row r="9007" spans="1:13" x14ac:dyDescent="0.25">
      <c r="A9007" s="417" t="s">
        <v>3385</v>
      </c>
      <c r="B9007" s="417" t="s">
        <v>2627</v>
      </c>
      <c r="C9007" s="417" t="s">
        <v>1109</v>
      </c>
      <c r="D9007" s="417" t="s">
        <v>88</v>
      </c>
      <c r="E9007" s="423">
        <v>219.2803445318753</v>
      </c>
      <c r="F9007" s="423">
        <v>15.99786473355941</v>
      </c>
      <c r="G9007" s="422">
        <v>492027.70137147378</v>
      </c>
      <c r="H9007" s="417" t="s">
        <v>2616</v>
      </c>
      <c r="I9007" s="417" t="s">
        <v>28841</v>
      </c>
      <c r="J9007" s="417" t="s">
        <v>3915</v>
      </c>
      <c r="K9007" s="417" t="s">
        <v>20455</v>
      </c>
      <c r="L9007" s="417"/>
      <c r="M9007" s="417" t="s">
        <v>28840</v>
      </c>
    </row>
    <row r="9008" spans="1:13" x14ac:dyDescent="0.25">
      <c r="A9008" s="417" t="s">
        <v>3385</v>
      </c>
      <c r="B9008" s="417" t="s">
        <v>2627</v>
      </c>
      <c r="C9008" s="417" t="s">
        <v>1135</v>
      </c>
      <c r="D9008" s="417" t="s">
        <v>88</v>
      </c>
      <c r="E9008" s="423">
        <v>1.3472513049225511E-4</v>
      </c>
      <c r="F9008" s="423">
        <v>3.3002880648933958E-5</v>
      </c>
      <c r="G9008" s="422">
        <v>0.4936003625641962</v>
      </c>
      <c r="H9008" s="417" t="s">
        <v>2616</v>
      </c>
      <c r="I9008" s="417" t="s">
        <v>28841</v>
      </c>
      <c r="J9008" s="417" t="s">
        <v>20456</v>
      </c>
      <c r="K9008" s="417" t="s">
        <v>20457</v>
      </c>
      <c r="L9008" s="417"/>
      <c r="M9008" s="417" t="s">
        <v>28840</v>
      </c>
    </row>
    <row r="9009" spans="1:13" x14ac:dyDescent="0.25">
      <c r="A9009" s="417" t="s">
        <v>3385</v>
      </c>
      <c r="B9009" s="417" t="s">
        <v>2627</v>
      </c>
      <c r="C9009" s="417" t="s">
        <v>20458</v>
      </c>
      <c r="D9009" s="417" t="s">
        <v>88</v>
      </c>
      <c r="E9009" s="423">
        <v>2.0318770190733441E-4</v>
      </c>
      <c r="F9009" s="423">
        <v>3.6961953272569078E-5</v>
      </c>
      <c r="G9009" s="422">
        <v>0.52937760561755343</v>
      </c>
      <c r="H9009" s="417" t="s">
        <v>2616</v>
      </c>
      <c r="I9009" s="417" t="s">
        <v>1392</v>
      </c>
      <c r="J9009" s="417" t="s">
        <v>20456</v>
      </c>
      <c r="K9009" s="417" t="s">
        <v>20459</v>
      </c>
      <c r="L9009" s="417"/>
      <c r="M9009" s="417" t="s">
        <v>28840</v>
      </c>
    </row>
    <row r="9010" spans="1:13" x14ac:dyDescent="0.25">
      <c r="A9010" s="417" t="s">
        <v>3385</v>
      </c>
      <c r="B9010" s="417" t="s">
        <v>2627</v>
      </c>
      <c r="C9010" s="417" t="s">
        <v>20460</v>
      </c>
      <c r="D9010" s="417" t="s">
        <v>88</v>
      </c>
      <c r="E9010" s="423">
        <v>9.6783621862303604E-4</v>
      </c>
      <c r="F9010" s="423">
        <v>7.8451710656569654E-5</v>
      </c>
      <c r="G9010" s="422">
        <v>2.2740200211057182</v>
      </c>
      <c r="H9010" s="417" t="s">
        <v>2616</v>
      </c>
      <c r="I9010" s="417" t="s">
        <v>1392</v>
      </c>
      <c r="J9010" s="417" t="s">
        <v>13181</v>
      </c>
      <c r="K9010" s="417" t="s">
        <v>20461</v>
      </c>
      <c r="L9010" s="417"/>
      <c r="M9010" s="417" t="s">
        <v>28840</v>
      </c>
    </row>
    <row r="9011" spans="1:13" x14ac:dyDescent="0.25">
      <c r="A9011" s="417" t="s">
        <v>3385</v>
      </c>
      <c r="B9011" s="417" t="s">
        <v>2627</v>
      </c>
      <c r="C9011" s="417" t="s">
        <v>20462</v>
      </c>
      <c r="D9011" s="417" t="s">
        <v>88</v>
      </c>
      <c r="E9011" s="423">
        <v>1.3472441194250311E-4</v>
      </c>
      <c r="F9011" s="423">
        <v>3.3002924861579093E-5</v>
      </c>
      <c r="G9011" s="422">
        <v>0.38186161502329641</v>
      </c>
      <c r="H9011" s="417" t="s">
        <v>2616</v>
      </c>
      <c r="I9011" s="417" t="s">
        <v>1392</v>
      </c>
      <c r="J9011" s="417" t="s">
        <v>20456</v>
      </c>
      <c r="K9011" s="417" t="s">
        <v>20463</v>
      </c>
      <c r="L9011" s="417"/>
      <c r="M9011" s="417" t="s">
        <v>28840</v>
      </c>
    </row>
    <row r="9012" spans="1:13" x14ac:dyDescent="0.25">
      <c r="A9012" s="417" t="s">
        <v>3385</v>
      </c>
      <c r="B9012" s="417" t="s">
        <v>2627</v>
      </c>
      <c r="C9012" s="417" t="s">
        <v>20464</v>
      </c>
      <c r="D9012" s="417" t="s">
        <v>88</v>
      </c>
      <c r="E9012" s="423">
        <v>2.0318663524258461E-4</v>
      </c>
      <c r="F9012" s="423">
        <v>3.6961908689218957E-5</v>
      </c>
      <c r="G9012" s="422">
        <v>0.41763812168867798</v>
      </c>
      <c r="H9012" s="417" t="s">
        <v>2616</v>
      </c>
      <c r="I9012" s="417" t="s">
        <v>1392</v>
      </c>
      <c r="J9012" s="417" t="s">
        <v>20456</v>
      </c>
      <c r="K9012" s="417" t="s">
        <v>20465</v>
      </c>
      <c r="L9012" s="417"/>
      <c r="M9012" s="417" t="s">
        <v>28840</v>
      </c>
    </row>
    <row r="9013" spans="1:13" x14ac:dyDescent="0.25">
      <c r="A9013" s="417" t="s">
        <v>3385</v>
      </c>
      <c r="B9013" s="417" t="s">
        <v>2627</v>
      </c>
      <c r="C9013" s="417" t="s">
        <v>20466</v>
      </c>
      <c r="D9013" s="417" t="s">
        <v>88</v>
      </c>
      <c r="E9013" s="423">
        <v>2.0318663526046229E-4</v>
      </c>
      <c r="F9013" s="423">
        <v>3.696190869277678E-5</v>
      </c>
      <c r="G9013" s="422">
        <v>0.41763812166124192</v>
      </c>
      <c r="H9013" s="417" t="s">
        <v>2616</v>
      </c>
      <c r="I9013" s="417" t="s">
        <v>1392</v>
      </c>
      <c r="J9013" s="417" t="s">
        <v>20456</v>
      </c>
      <c r="K9013" s="417" t="s">
        <v>20467</v>
      </c>
      <c r="L9013" s="417"/>
      <c r="M9013" s="417" t="s">
        <v>28840</v>
      </c>
    </row>
    <row r="9014" spans="1:13" x14ac:dyDescent="0.25">
      <c r="A9014" s="417" t="s">
        <v>3385</v>
      </c>
      <c r="B9014" s="417" t="s">
        <v>2627</v>
      </c>
      <c r="C9014" s="417" t="s">
        <v>20468</v>
      </c>
      <c r="D9014" s="417" t="s">
        <v>88</v>
      </c>
      <c r="E9014" s="423">
        <v>1.721603458213233E-4</v>
      </c>
      <c r="F9014" s="423">
        <v>4.3605707726456297E-5</v>
      </c>
      <c r="G9014" s="422">
        <v>0.35660089985442611</v>
      </c>
      <c r="H9014" s="417" t="s">
        <v>2616</v>
      </c>
      <c r="I9014" s="417" t="s">
        <v>1392</v>
      </c>
      <c r="J9014" s="417" t="s">
        <v>13181</v>
      </c>
      <c r="K9014" s="417" t="s">
        <v>20469</v>
      </c>
      <c r="L9014" s="417"/>
      <c r="M9014" s="417" t="s">
        <v>28840</v>
      </c>
    </row>
    <row r="9015" spans="1:13" x14ac:dyDescent="0.25">
      <c r="A9015" s="417" t="s">
        <v>3385</v>
      </c>
      <c r="B9015" s="417" t="s">
        <v>2627</v>
      </c>
      <c r="C9015" s="417" t="s">
        <v>20470</v>
      </c>
      <c r="D9015" s="417" t="s">
        <v>88</v>
      </c>
      <c r="E9015" s="423">
        <v>3.5722893430576547E-4</v>
      </c>
      <c r="F9015" s="423">
        <v>2.7957416889135589E-5</v>
      </c>
      <c r="G9015" s="422">
        <v>0.53180044156176154</v>
      </c>
      <c r="H9015" s="417" t="s">
        <v>2616</v>
      </c>
      <c r="I9015" s="417" t="s">
        <v>1392</v>
      </c>
      <c r="J9015" s="417" t="s">
        <v>13181</v>
      </c>
      <c r="K9015" s="417" t="s">
        <v>20471</v>
      </c>
      <c r="L9015" s="417"/>
      <c r="M9015" s="417" t="s">
        <v>28840</v>
      </c>
    </row>
    <row r="9016" spans="1:13" x14ac:dyDescent="0.25">
      <c r="A9016" s="417" t="s">
        <v>3385</v>
      </c>
      <c r="B9016" s="417" t="s">
        <v>2627</v>
      </c>
      <c r="C9016" s="417" t="s">
        <v>20472</v>
      </c>
      <c r="D9016" s="417" t="s">
        <v>88</v>
      </c>
      <c r="E9016" s="423">
        <v>4.2968338353318398E-4</v>
      </c>
      <c r="F9016" s="423">
        <v>2.946210957549773E-5</v>
      </c>
      <c r="G9016" s="422">
        <v>0.63245161994756782</v>
      </c>
      <c r="H9016" s="417" t="s">
        <v>2616</v>
      </c>
      <c r="I9016" s="417" t="s">
        <v>1392</v>
      </c>
      <c r="J9016" s="417" t="s">
        <v>13181</v>
      </c>
      <c r="K9016" s="417" t="s">
        <v>20473</v>
      </c>
      <c r="L9016" s="417"/>
      <c r="M9016" s="417" t="s">
        <v>28840</v>
      </c>
    </row>
    <row r="9017" spans="1:13" x14ac:dyDescent="0.25">
      <c r="A9017" s="417" t="s">
        <v>3385</v>
      </c>
      <c r="B9017" s="417" t="s">
        <v>2627</v>
      </c>
      <c r="C9017" s="417" t="s">
        <v>20474</v>
      </c>
      <c r="D9017" s="417" t="s">
        <v>88</v>
      </c>
      <c r="E9017" s="423">
        <v>1.627966890216426E-4</v>
      </c>
      <c r="F9017" s="423">
        <v>3.5769941248387428E-5</v>
      </c>
      <c r="G9017" s="422">
        <v>0.38427871051814899</v>
      </c>
      <c r="H9017" s="417" t="s">
        <v>2616</v>
      </c>
      <c r="I9017" s="417" t="s">
        <v>1392</v>
      </c>
      <c r="J9017" s="417" t="s">
        <v>13181</v>
      </c>
      <c r="K9017" s="417" t="s">
        <v>20475</v>
      </c>
      <c r="L9017" s="417"/>
      <c r="M9017" s="417" t="s">
        <v>28840</v>
      </c>
    </row>
    <row r="9018" spans="1:13" x14ac:dyDescent="0.25">
      <c r="A9018" s="417" t="s">
        <v>3385</v>
      </c>
      <c r="B9018" s="417" t="s">
        <v>2627</v>
      </c>
      <c r="C9018" s="417" t="s">
        <v>20476</v>
      </c>
      <c r="D9018" s="417" t="s">
        <v>88</v>
      </c>
      <c r="E9018" s="423">
        <v>1.347441062923769E-4</v>
      </c>
      <c r="F9018" s="423">
        <v>5.0037455371053408E-5</v>
      </c>
      <c r="G9018" s="422">
        <v>0.27459202598263449</v>
      </c>
      <c r="H9018" s="417" t="s">
        <v>2616</v>
      </c>
      <c r="I9018" s="417" t="s">
        <v>1392</v>
      </c>
      <c r="J9018" s="417" t="s">
        <v>13181</v>
      </c>
      <c r="K9018" s="417" t="s">
        <v>20477</v>
      </c>
      <c r="L9018" s="417"/>
      <c r="M9018" s="417" t="s">
        <v>28840</v>
      </c>
    </row>
    <row r="9019" spans="1:13" x14ac:dyDescent="0.25">
      <c r="A9019" s="417" t="s">
        <v>3385</v>
      </c>
      <c r="B9019" s="417" t="s">
        <v>2627</v>
      </c>
      <c r="C9019" s="417" t="s">
        <v>20478</v>
      </c>
      <c r="D9019" s="417" t="s">
        <v>88</v>
      </c>
      <c r="E9019" s="423">
        <v>1.5869250414252619E-4</v>
      </c>
      <c r="F9019" s="423">
        <v>2.821552069067409E-5</v>
      </c>
      <c r="G9019" s="422">
        <v>0.31945455903000042</v>
      </c>
      <c r="H9019" s="417" t="s">
        <v>2616</v>
      </c>
      <c r="I9019" s="417" t="s">
        <v>1392</v>
      </c>
      <c r="J9019" s="417" t="s">
        <v>13181</v>
      </c>
      <c r="K9019" s="417" t="s">
        <v>20479</v>
      </c>
      <c r="L9019" s="417"/>
      <c r="M9019" s="417" t="s">
        <v>28840</v>
      </c>
    </row>
    <row r="9020" spans="1:13" x14ac:dyDescent="0.25">
      <c r="A9020" s="417" t="s">
        <v>3385</v>
      </c>
      <c r="B9020" s="417" t="s">
        <v>2627</v>
      </c>
      <c r="C9020" s="417" t="s">
        <v>20480</v>
      </c>
      <c r="D9020" s="417" t="s">
        <v>88</v>
      </c>
      <c r="E9020" s="423">
        <v>1.3121892478502699E-4</v>
      </c>
      <c r="F9020" s="423">
        <v>3.2147343259071492E-5</v>
      </c>
      <c r="G9020" s="422">
        <v>0.36475215983955478</v>
      </c>
      <c r="H9020" s="417" t="s">
        <v>2616</v>
      </c>
      <c r="I9020" s="417" t="s">
        <v>1392</v>
      </c>
      <c r="J9020" s="417" t="s">
        <v>13181</v>
      </c>
      <c r="K9020" s="417" t="s">
        <v>20481</v>
      </c>
      <c r="L9020" s="417"/>
      <c r="M9020" s="417" t="s">
        <v>28840</v>
      </c>
    </row>
    <row r="9021" spans="1:13" x14ac:dyDescent="0.25">
      <c r="A9021" s="417" t="s">
        <v>3385</v>
      </c>
      <c r="B9021" s="417" t="s">
        <v>2627</v>
      </c>
      <c r="C9021" s="417" t="s">
        <v>20482</v>
      </c>
      <c r="D9021" s="417" t="s">
        <v>88</v>
      </c>
      <c r="E9021" s="423">
        <v>2.200782731815595E-4</v>
      </c>
      <c r="F9021" s="423">
        <v>4.2760231181392813E-5</v>
      </c>
      <c r="G9021" s="422">
        <v>0.36855229409441159</v>
      </c>
      <c r="H9021" s="417" t="s">
        <v>2616</v>
      </c>
      <c r="I9021" s="417" t="s">
        <v>1392</v>
      </c>
      <c r="J9021" s="417" t="s">
        <v>13181</v>
      </c>
      <c r="K9021" s="417" t="s">
        <v>20483</v>
      </c>
      <c r="L9021" s="417"/>
      <c r="M9021" s="417" t="s">
        <v>28840</v>
      </c>
    </row>
    <row r="9022" spans="1:13" x14ac:dyDescent="0.25">
      <c r="A9022" s="417" t="s">
        <v>3385</v>
      </c>
      <c r="B9022" s="417" t="s">
        <v>2627</v>
      </c>
      <c r="C9022" s="417" t="s">
        <v>20484</v>
      </c>
      <c r="D9022" s="417" t="s">
        <v>88</v>
      </c>
      <c r="E9022" s="423">
        <v>2.5079802178971792E-4</v>
      </c>
      <c r="F9022" s="423">
        <v>2.63281195369142E-5</v>
      </c>
      <c r="G9022" s="422">
        <v>0.39960481279344751</v>
      </c>
      <c r="H9022" s="417" t="s">
        <v>2616</v>
      </c>
      <c r="I9022" s="417" t="s">
        <v>1392</v>
      </c>
      <c r="J9022" s="417" t="s">
        <v>13181</v>
      </c>
      <c r="K9022" s="417" t="s">
        <v>20485</v>
      </c>
      <c r="L9022" s="417"/>
      <c r="M9022" s="417" t="s">
        <v>28840</v>
      </c>
    </row>
    <row r="9023" spans="1:13" x14ac:dyDescent="0.25">
      <c r="A9023" s="417" t="s">
        <v>3385</v>
      </c>
      <c r="B9023" s="417" t="s">
        <v>2627</v>
      </c>
      <c r="C9023" s="417" t="s">
        <v>20486</v>
      </c>
      <c r="D9023" s="417" t="s">
        <v>88</v>
      </c>
      <c r="E9023" s="423">
        <v>3.7575962081838219E-4</v>
      </c>
      <c r="F9023" s="423">
        <v>2.9891575704955851E-5</v>
      </c>
      <c r="G9023" s="422">
        <v>0.57520182025194921</v>
      </c>
      <c r="H9023" s="417" t="s">
        <v>2616</v>
      </c>
      <c r="I9023" s="417" t="s">
        <v>1392</v>
      </c>
      <c r="J9023" s="417" t="s">
        <v>13181</v>
      </c>
      <c r="K9023" s="417" t="s">
        <v>20487</v>
      </c>
      <c r="L9023" s="417"/>
      <c r="M9023" s="417" t="s">
        <v>28840</v>
      </c>
    </row>
    <row r="9024" spans="1:13" x14ac:dyDescent="0.25">
      <c r="A9024" s="417" t="s">
        <v>3385</v>
      </c>
      <c r="B9024" s="417" t="s">
        <v>2627</v>
      </c>
      <c r="C9024" s="417" t="s">
        <v>20488</v>
      </c>
      <c r="D9024" s="417" t="s">
        <v>88</v>
      </c>
      <c r="E9024" s="423">
        <v>2.039713800537439E-4</v>
      </c>
      <c r="F9024" s="423">
        <v>2.7080024209280591E-5</v>
      </c>
      <c r="G9024" s="422">
        <v>0.3457497009699359</v>
      </c>
      <c r="H9024" s="417" t="s">
        <v>2616</v>
      </c>
      <c r="I9024" s="417" t="s">
        <v>1392</v>
      </c>
      <c r="J9024" s="417" t="s">
        <v>13181</v>
      </c>
      <c r="K9024" s="417" t="s">
        <v>20489</v>
      </c>
      <c r="L9024" s="417"/>
      <c r="M9024" s="417" t="s">
        <v>28840</v>
      </c>
    </row>
    <row r="9025" spans="1:13" x14ac:dyDescent="0.25">
      <c r="A9025" s="417" t="s">
        <v>3385</v>
      </c>
      <c r="B9025" s="417" t="s">
        <v>2627</v>
      </c>
      <c r="C9025" s="417" t="s">
        <v>20490</v>
      </c>
      <c r="D9025" s="417" t="s">
        <v>88</v>
      </c>
      <c r="E9025" s="423">
        <v>2.9083495953005319E-4</v>
      </c>
      <c r="F9025" s="423">
        <v>4.4664797780426787E-5</v>
      </c>
      <c r="G9025" s="422">
        <v>0.52891483682186269</v>
      </c>
      <c r="H9025" s="417" t="s">
        <v>2616</v>
      </c>
      <c r="I9025" s="417" t="s">
        <v>1392</v>
      </c>
      <c r="J9025" s="417" t="s">
        <v>13181</v>
      </c>
      <c r="K9025" s="417" t="s">
        <v>20491</v>
      </c>
      <c r="L9025" s="417"/>
      <c r="M9025" s="417" t="s">
        <v>28840</v>
      </c>
    </row>
    <row r="9026" spans="1:13" x14ac:dyDescent="0.25">
      <c r="A9026" s="417" t="s">
        <v>3385</v>
      </c>
      <c r="B9026" s="417" t="s">
        <v>2627</v>
      </c>
      <c r="C9026" s="417" t="s">
        <v>20492</v>
      </c>
      <c r="D9026" s="417" t="s">
        <v>88</v>
      </c>
      <c r="E9026" s="423">
        <v>2.6424940778459991E-4</v>
      </c>
      <c r="F9026" s="423">
        <v>4.6183190022634971E-5</v>
      </c>
      <c r="G9026" s="422">
        <v>0.46515132087281358</v>
      </c>
      <c r="H9026" s="417" t="s">
        <v>2616</v>
      </c>
      <c r="I9026" s="417" t="s">
        <v>1392</v>
      </c>
      <c r="J9026" s="417" t="s">
        <v>13181</v>
      </c>
      <c r="K9026" s="417" t="s">
        <v>20493</v>
      </c>
      <c r="L9026" s="417"/>
      <c r="M9026" s="417" t="s">
        <v>28840</v>
      </c>
    </row>
    <row r="9027" spans="1:13" x14ac:dyDescent="0.25">
      <c r="A9027" s="417" t="s">
        <v>3385</v>
      </c>
      <c r="B9027" s="417" t="s">
        <v>2627</v>
      </c>
      <c r="C9027" s="417" t="s">
        <v>20494</v>
      </c>
      <c r="D9027" s="417" t="s">
        <v>88</v>
      </c>
      <c r="E9027" s="423">
        <v>1.4530543429271529E-4</v>
      </c>
      <c r="F9027" s="423">
        <v>6.0690491616546331E-5</v>
      </c>
      <c r="G9027" s="422">
        <v>0.29318818558767129</v>
      </c>
      <c r="H9027" s="417" t="s">
        <v>2616</v>
      </c>
      <c r="I9027" s="417" t="s">
        <v>1392</v>
      </c>
      <c r="J9027" s="417" t="s">
        <v>13181</v>
      </c>
      <c r="K9027" s="417" t="s">
        <v>20495</v>
      </c>
      <c r="L9027" s="417"/>
      <c r="M9027" s="417" t="s">
        <v>28840</v>
      </c>
    </row>
    <row r="9028" spans="1:13" x14ac:dyDescent="0.25">
      <c r="A9028" s="417" t="s">
        <v>3385</v>
      </c>
      <c r="B9028" s="417" t="s">
        <v>2627</v>
      </c>
      <c r="C9028" s="417" t="s">
        <v>20496</v>
      </c>
      <c r="D9028" s="417" t="s">
        <v>88</v>
      </c>
      <c r="E9028" s="423">
        <v>1.7682897628825089E-4</v>
      </c>
      <c r="F9028" s="423">
        <v>2.9808963027108691E-5</v>
      </c>
      <c r="G9028" s="422">
        <v>0.38678543597262272</v>
      </c>
      <c r="H9028" s="417" t="s">
        <v>2616</v>
      </c>
      <c r="I9028" s="417" t="s">
        <v>1392</v>
      </c>
      <c r="J9028" s="417" t="s">
        <v>13181</v>
      </c>
      <c r="K9028" s="417" t="s">
        <v>20497</v>
      </c>
      <c r="L9028" s="417"/>
      <c r="M9028" s="417" t="s">
        <v>28840</v>
      </c>
    </row>
    <row r="9029" spans="1:13" x14ac:dyDescent="0.25">
      <c r="A9029" s="417" t="s">
        <v>3385</v>
      </c>
      <c r="B9029" s="417" t="s">
        <v>2627</v>
      </c>
      <c r="C9029" s="417" t="s">
        <v>20498</v>
      </c>
      <c r="D9029" s="417" t="s">
        <v>88</v>
      </c>
      <c r="E9029" s="423">
        <v>1.4098518033308339E-4</v>
      </c>
      <c r="F9029" s="423">
        <v>5.8542667581370693E-5</v>
      </c>
      <c r="G9029" s="422">
        <v>0.35595851830830338</v>
      </c>
      <c r="H9029" s="417" t="s">
        <v>2616</v>
      </c>
      <c r="I9029" s="417" t="s">
        <v>1392</v>
      </c>
      <c r="J9029" s="417" t="s">
        <v>13181</v>
      </c>
      <c r="K9029" s="417" t="s">
        <v>20499</v>
      </c>
      <c r="L9029" s="417"/>
      <c r="M9029" s="417" t="s">
        <v>28840</v>
      </c>
    </row>
    <row r="9030" spans="1:13" x14ac:dyDescent="0.25">
      <c r="A9030" s="417" t="s">
        <v>3385</v>
      </c>
      <c r="B9030" s="417" t="s">
        <v>2627</v>
      </c>
      <c r="C9030" s="417" t="s">
        <v>20500</v>
      </c>
      <c r="D9030" s="417" t="s">
        <v>88</v>
      </c>
      <c r="E9030" s="423">
        <v>1.24827093116337E-4</v>
      </c>
      <c r="F9030" s="423">
        <v>2.9258143045991702E-5</v>
      </c>
      <c r="G9030" s="422">
        <v>0.45328420861721908</v>
      </c>
      <c r="H9030" s="417" t="s">
        <v>2616</v>
      </c>
      <c r="I9030" s="417" t="s">
        <v>1392</v>
      </c>
      <c r="J9030" s="417" t="s">
        <v>13181</v>
      </c>
      <c r="K9030" s="417" t="s">
        <v>20501</v>
      </c>
      <c r="L9030" s="417"/>
      <c r="M9030" s="417" t="s">
        <v>28840</v>
      </c>
    </row>
    <row r="9031" spans="1:13" x14ac:dyDescent="0.25">
      <c r="A9031" s="417" t="s">
        <v>3385</v>
      </c>
      <c r="B9031" s="417" t="s">
        <v>2627</v>
      </c>
      <c r="C9031" s="417" t="s">
        <v>20502</v>
      </c>
      <c r="D9031" s="417" t="s">
        <v>88</v>
      </c>
      <c r="E9031" s="423">
        <v>1.7376753632995161E-4</v>
      </c>
      <c r="F9031" s="423">
        <v>5.1712871476405663E-5</v>
      </c>
      <c r="G9031" s="422">
        <v>0.36764566292985101</v>
      </c>
      <c r="H9031" s="417" t="s">
        <v>2616</v>
      </c>
      <c r="I9031" s="417" t="s">
        <v>1392</v>
      </c>
      <c r="J9031" s="417" t="s">
        <v>13181</v>
      </c>
      <c r="K9031" s="417" t="s">
        <v>20503</v>
      </c>
      <c r="L9031" s="417"/>
      <c r="M9031" s="417" t="s">
        <v>28840</v>
      </c>
    </row>
    <row r="9032" spans="1:13" x14ac:dyDescent="0.25">
      <c r="A9032" s="417" t="s">
        <v>3385</v>
      </c>
      <c r="B9032" s="417" t="s">
        <v>2627</v>
      </c>
      <c r="C9032" s="417" t="s">
        <v>20504</v>
      </c>
      <c r="D9032" s="417" t="s">
        <v>88</v>
      </c>
      <c r="E9032" s="423">
        <v>2.5188105397470472E-4</v>
      </c>
      <c r="F9032" s="423">
        <v>2.71504264433245E-5</v>
      </c>
      <c r="G9032" s="422">
        <v>0.41816192253054357</v>
      </c>
      <c r="H9032" s="417" t="s">
        <v>2616</v>
      </c>
      <c r="I9032" s="417" t="s">
        <v>1392</v>
      </c>
      <c r="J9032" s="417" t="s">
        <v>13181</v>
      </c>
      <c r="K9032" s="417" t="s">
        <v>20505</v>
      </c>
      <c r="L9032" s="417"/>
      <c r="M9032" s="417" t="s">
        <v>28840</v>
      </c>
    </row>
    <row r="9033" spans="1:13" x14ac:dyDescent="0.25">
      <c r="A9033" s="417" t="s">
        <v>3385</v>
      </c>
      <c r="B9033" s="417" t="s">
        <v>2627</v>
      </c>
      <c r="C9033" s="417" t="s">
        <v>20506</v>
      </c>
      <c r="D9033" s="417" t="s">
        <v>88</v>
      </c>
      <c r="E9033" s="423">
        <v>2.2568631387840339E-4</v>
      </c>
      <c r="F9033" s="423">
        <v>3.5173981792636011E-5</v>
      </c>
      <c r="G9033" s="422">
        <v>0.39427589206568131</v>
      </c>
      <c r="H9033" s="417" t="s">
        <v>2616</v>
      </c>
      <c r="I9033" s="417" t="s">
        <v>1392</v>
      </c>
      <c r="J9033" s="417" t="s">
        <v>13181</v>
      </c>
      <c r="K9033" s="417" t="s">
        <v>20507</v>
      </c>
      <c r="L9033" s="417"/>
      <c r="M9033" s="417" t="s">
        <v>28840</v>
      </c>
    </row>
    <row r="9034" spans="1:13" x14ac:dyDescent="0.25">
      <c r="A9034" s="417" t="s">
        <v>3385</v>
      </c>
      <c r="B9034" s="417" t="s">
        <v>2627</v>
      </c>
      <c r="C9034" s="417" t="s">
        <v>20508</v>
      </c>
      <c r="D9034" s="417" t="s">
        <v>88</v>
      </c>
      <c r="E9034" s="423">
        <v>1.9539248755566361E-4</v>
      </c>
      <c r="F9034" s="423">
        <v>3.6844395534303317E-5</v>
      </c>
      <c r="G9034" s="422">
        <v>0.43099667204327707</v>
      </c>
      <c r="H9034" s="417" t="s">
        <v>2616</v>
      </c>
      <c r="I9034" s="417" t="s">
        <v>1392</v>
      </c>
      <c r="J9034" s="417" t="s">
        <v>13181</v>
      </c>
      <c r="K9034" s="417" t="s">
        <v>20509</v>
      </c>
      <c r="L9034" s="417"/>
      <c r="M9034" s="417" t="s">
        <v>28840</v>
      </c>
    </row>
    <row r="9035" spans="1:13" x14ac:dyDescent="0.25">
      <c r="A9035" s="417" t="s">
        <v>3385</v>
      </c>
      <c r="B9035" s="417" t="s">
        <v>2627</v>
      </c>
      <c r="C9035" s="417" t="s">
        <v>20510</v>
      </c>
      <c r="D9035" s="417" t="s">
        <v>88</v>
      </c>
      <c r="E9035" s="423">
        <v>2.212921168259074E-4</v>
      </c>
      <c r="F9035" s="423">
        <v>3.1709655124530549E-5</v>
      </c>
      <c r="G9035" s="422">
        <v>0.37741492907794272</v>
      </c>
      <c r="H9035" s="417" t="s">
        <v>2616</v>
      </c>
      <c r="I9035" s="417" t="s">
        <v>1392</v>
      </c>
      <c r="J9035" s="417" t="s">
        <v>13181</v>
      </c>
      <c r="K9035" s="417" t="s">
        <v>20511</v>
      </c>
      <c r="L9035" s="417"/>
      <c r="M9035" s="417" t="s">
        <v>28840</v>
      </c>
    </row>
    <row r="9036" spans="1:13" x14ac:dyDescent="0.25">
      <c r="A9036" s="417" t="s">
        <v>3385</v>
      </c>
      <c r="B9036" s="417" t="s">
        <v>2627</v>
      </c>
      <c r="C9036" s="417" t="s">
        <v>20512</v>
      </c>
      <c r="D9036" s="417" t="s">
        <v>88</v>
      </c>
      <c r="E9036" s="423">
        <v>3.1936699623978068E-4</v>
      </c>
      <c r="F9036" s="423">
        <v>2.430467404933497E-5</v>
      </c>
      <c r="G9036" s="422">
        <v>0.48017659452431027</v>
      </c>
      <c r="H9036" s="417" t="s">
        <v>2616</v>
      </c>
      <c r="I9036" s="417" t="s">
        <v>1392</v>
      </c>
      <c r="J9036" s="417" t="s">
        <v>13181</v>
      </c>
      <c r="K9036" s="417" t="s">
        <v>20513</v>
      </c>
      <c r="L9036" s="417"/>
      <c r="M9036" s="417" t="s">
        <v>28840</v>
      </c>
    </row>
    <row r="9037" spans="1:13" x14ac:dyDescent="0.25">
      <c r="A9037" s="417" t="s">
        <v>3385</v>
      </c>
      <c r="B9037" s="417" t="s">
        <v>2627</v>
      </c>
      <c r="C9037" s="417" t="s">
        <v>20514</v>
      </c>
      <c r="D9037" s="417" t="s">
        <v>88</v>
      </c>
      <c r="E9037" s="423">
        <v>4.7369684673163447E-4</v>
      </c>
      <c r="F9037" s="423">
        <v>3.1543439875584531E-5</v>
      </c>
      <c r="G9037" s="422">
        <v>0.77724406091460407</v>
      </c>
      <c r="H9037" s="417" t="s">
        <v>2616</v>
      </c>
      <c r="I9037" s="417" t="s">
        <v>1392</v>
      </c>
      <c r="J9037" s="417" t="s">
        <v>13181</v>
      </c>
      <c r="K9037" s="417" t="s">
        <v>20515</v>
      </c>
      <c r="L9037" s="417"/>
      <c r="M9037" s="417" t="s">
        <v>28840</v>
      </c>
    </row>
    <row r="9038" spans="1:13" x14ac:dyDescent="0.25">
      <c r="A9038" s="417" t="s">
        <v>3385</v>
      </c>
      <c r="B9038" s="417" t="s">
        <v>2627</v>
      </c>
      <c r="C9038" s="417" t="s">
        <v>20516</v>
      </c>
      <c r="D9038" s="417" t="s">
        <v>88</v>
      </c>
      <c r="E9038" s="423">
        <v>2.23606273026038E-4</v>
      </c>
      <c r="F9038" s="423">
        <v>3.7864849849022198E-5</v>
      </c>
      <c r="G9038" s="422">
        <v>0.3897955887044397</v>
      </c>
      <c r="H9038" s="417" t="s">
        <v>2616</v>
      </c>
      <c r="I9038" s="417" t="s">
        <v>1392</v>
      </c>
      <c r="J9038" s="417" t="s">
        <v>13181</v>
      </c>
      <c r="K9038" s="417" t="s">
        <v>20517</v>
      </c>
      <c r="L9038" s="417"/>
      <c r="M9038" s="417" t="s">
        <v>28840</v>
      </c>
    </row>
    <row r="9039" spans="1:13" x14ac:dyDescent="0.25">
      <c r="A9039" s="417" t="s">
        <v>3385</v>
      </c>
      <c r="B9039" s="417" t="s">
        <v>2627</v>
      </c>
      <c r="C9039" s="417" t="s">
        <v>20518</v>
      </c>
      <c r="D9039" s="417" t="s">
        <v>88</v>
      </c>
      <c r="E9039" s="423">
        <v>3.1835664819429528E-4</v>
      </c>
      <c r="F9039" s="423">
        <v>3.6579284884550517E-5</v>
      </c>
      <c r="G9039" s="422">
        <v>0.51648807762236415</v>
      </c>
      <c r="H9039" s="417" t="s">
        <v>2616</v>
      </c>
      <c r="I9039" s="417" t="s">
        <v>1392</v>
      </c>
      <c r="J9039" s="417" t="s">
        <v>13181</v>
      </c>
      <c r="K9039" s="417" t="s">
        <v>20519</v>
      </c>
      <c r="L9039" s="417"/>
      <c r="M9039" s="417" t="s">
        <v>28840</v>
      </c>
    </row>
    <row r="9040" spans="1:13" x14ac:dyDescent="0.25">
      <c r="A9040" s="417" t="s">
        <v>3385</v>
      </c>
      <c r="B9040" s="417" t="s">
        <v>2627</v>
      </c>
      <c r="C9040" s="417" t="s">
        <v>20520</v>
      </c>
      <c r="D9040" s="417" t="s">
        <v>88</v>
      </c>
      <c r="E9040" s="423">
        <v>3.1410010304929912E-4</v>
      </c>
      <c r="F9040" s="423">
        <v>2.939359025295743E-5</v>
      </c>
      <c r="G9040" s="422">
        <v>0.55314477598035006</v>
      </c>
      <c r="H9040" s="417" t="s">
        <v>2616</v>
      </c>
      <c r="I9040" s="417" t="s">
        <v>1392</v>
      </c>
      <c r="J9040" s="417" t="s">
        <v>13181</v>
      </c>
      <c r="K9040" s="417" t="s">
        <v>20521</v>
      </c>
      <c r="L9040" s="417"/>
      <c r="M9040" s="417" t="s">
        <v>28840</v>
      </c>
    </row>
    <row r="9041" spans="1:13" x14ac:dyDescent="0.25">
      <c r="A9041" s="417" t="s">
        <v>3385</v>
      </c>
      <c r="B9041" s="417" t="s">
        <v>2627</v>
      </c>
      <c r="C9041" s="417" t="s">
        <v>20522</v>
      </c>
      <c r="D9041" s="417" t="s">
        <v>88</v>
      </c>
      <c r="E9041" s="423">
        <v>2.3323683789577989E-4</v>
      </c>
      <c r="F9041" s="423">
        <v>4.8244803970442508E-5</v>
      </c>
      <c r="G9041" s="422">
        <v>0.44187023526929498</v>
      </c>
      <c r="H9041" s="417" t="s">
        <v>2616</v>
      </c>
      <c r="I9041" s="417" t="s">
        <v>1392</v>
      </c>
      <c r="J9041" s="417" t="s">
        <v>13181</v>
      </c>
      <c r="K9041" s="417" t="s">
        <v>20523</v>
      </c>
      <c r="L9041" s="417"/>
      <c r="M9041" s="417" t="s">
        <v>28840</v>
      </c>
    </row>
    <row r="9042" spans="1:13" x14ac:dyDescent="0.25">
      <c r="A9042" s="417" t="s">
        <v>3385</v>
      </c>
      <c r="B9042" s="417" t="s">
        <v>2627</v>
      </c>
      <c r="C9042" s="417" t="s">
        <v>20524</v>
      </c>
      <c r="D9042" s="417" t="s">
        <v>88</v>
      </c>
      <c r="E9042" s="423">
        <v>1.7682897575169119E-4</v>
      </c>
      <c r="F9042" s="423">
        <v>2.980896299127321E-5</v>
      </c>
      <c r="G9042" s="422">
        <v>0.38678543502703627</v>
      </c>
      <c r="H9042" s="417" t="s">
        <v>2616</v>
      </c>
      <c r="I9042" s="417" t="s">
        <v>1392</v>
      </c>
      <c r="J9042" s="417" t="s">
        <v>13181</v>
      </c>
      <c r="K9042" s="417" t="s">
        <v>20525</v>
      </c>
      <c r="L9042" s="417"/>
      <c r="M9042" s="417" t="s">
        <v>28840</v>
      </c>
    </row>
    <row r="9043" spans="1:13" x14ac:dyDescent="0.25">
      <c r="A9043" s="417" t="s">
        <v>3385</v>
      </c>
      <c r="B9043" s="417" t="s">
        <v>2627</v>
      </c>
      <c r="C9043" s="417" t="s">
        <v>20526</v>
      </c>
      <c r="D9043" s="417" t="s">
        <v>88</v>
      </c>
      <c r="E9043" s="423">
        <v>3.456486892081974E-4</v>
      </c>
      <c r="F9043" s="423">
        <v>2.864330195853918E-5</v>
      </c>
      <c r="G9043" s="422">
        <v>0.59311435188985451</v>
      </c>
      <c r="H9043" s="417" t="s">
        <v>2616</v>
      </c>
      <c r="I9043" s="417" t="s">
        <v>1392</v>
      </c>
      <c r="J9043" s="417" t="s">
        <v>13181</v>
      </c>
      <c r="K9043" s="417" t="s">
        <v>20527</v>
      </c>
      <c r="L9043" s="417"/>
      <c r="M9043" s="417" t="s">
        <v>28840</v>
      </c>
    </row>
    <row r="9044" spans="1:13" x14ac:dyDescent="0.25">
      <c r="A9044" s="417" t="s">
        <v>3385</v>
      </c>
      <c r="B9044" s="417" t="s">
        <v>2627</v>
      </c>
      <c r="C9044" s="417" t="s">
        <v>20528</v>
      </c>
      <c r="D9044" s="417" t="s">
        <v>88</v>
      </c>
      <c r="E9044" s="423">
        <v>3.1023902591758261E-4</v>
      </c>
      <c r="F9044" s="423">
        <v>2.740712906074967E-5</v>
      </c>
      <c r="G9044" s="422">
        <v>0.49469835096159881</v>
      </c>
      <c r="H9044" s="417" t="s">
        <v>2616</v>
      </c>
      <c r="I9044" s="417" t="s">
        <v>1392</v>
      </c>
      <c r="J9044" s="417" t="s">
        <v>13181</v>
      </c>
      <c r="K9044" s="417" t="s">
        <v>20529</v>
      </c>
      <c r="L9044" s="417"/>
      <c r="M9044" s="417" t="s">
        <v>28840</v>
      </c>
    </row>
    <row r="9045" spans="1:13" x14ac:dyDescent="0.25">
      <c r="A9045" s="417" t="s">
        <v>3385</v>
      </c>
      <c r="B9045" s="417" t="s">
        <v>2627</v>
      </c>
      <c r="C9045" s="417" t="s">
        <v>20530</v>
      </c>
      <c r="D9045" s="417" t="s">
        <v>88</v>
      </c>
      <c r="E9045" s="423">
        <v>3.944816823404821E-4</v>
      </c>
      <c r="F9045" s="423">
        <v>2.6756410657273089E-5</v>
      </c>
      <c r="G9045" s="422">
        <v>0.57444612542844775</v>
      </c>
      <c r="H9045" s="417" t="s">
        <v>2616</v>
      </c>
      <c r="I9045" s="417" t="s">
        <v>1392</v>
      </c>
      <c r="J9045" s="417" t="s">
        <v>13181</v>
      </c>
      <c r="K9045" s="417" t="s">
        <v>20531</v>
      </c>
      <c r="L9045" s="417"/>
      <c r="M9045" s="417" t="s">
        <v>28840</v>
      </c>
    </row>
    <row r="9046" spans="1:13" x14ac:dyDescent="0.25">
      <c r="A9046" s="417" t="s">
        <v>3385</v>
      </c>
      <c r="B9046" s="417" t="s">
        <v>2627</v>
      </c>
      <c r="C9046" s="417" t="s">
        <v>20532</v>
      </c>
      <c r="D9046" s="417" t="s">
        <v>88</v>
      </c>
      <c r="E9046" s="423">
        <v>2.06538232073597E-4</v>
      </c>
      <c r="F9046" s="423">
        <v>4.023205750468804E-5</v>
      </c>
      <c r="G9046" s="422">
        <v>0.36364626323079408</v>
      </c>
      <c r="H9046" s="417" t="s">
        <v>2616</v>
      </c>
      <c r="I9046" s="417" t="s">
        <v>1392</v>
      </c>
      <c r="J9046" s="417" t="s">
        <v>13181</v>
      </c>
      <c r="K9046" s="417" t="s">
        <v>20533</v>
      </c>
      <c r="L9046" s="417"/>
      <c r="M9046" s="417" t="s">
        <v>28840</v>
      </c>
    </row>
    <row r="9047" spans="1:13" x14ac:dyDescent="0.25">
      <c r="A9047" s="417" t="s">
        <v>3385</v>
      </c>
      <c r="B9047" s="417" t="s">
        <v>2627</v>
      </c>
      <c r="C9047" s="417" t="s">
        <v>20534</v>
      </c>
      <c r="D9047" s="417" t="s">
        <v>88</v>
      </c>
      <c r="E9047" s="423">
        <v>1.1722122004724781E-4</v>
      </c>
      <c r="F9047" s="423">
        <v>2.5768407239995149E-5</v>
      </c>
      <c r="G9047" s="422">
        <v>0.24017100344673339</v>
      </c>
      <c r="H9047" s="417" t="s">
        <v>2616</v>
      </c>
      <c r="I9047" s="417" t="s">
        <v>1392</v>
      </c>
      <c r="J9047" s="417" t="s">
        <v>13181</v>
      </c>
      <c r="K9047" s="417" t="s">
        <v>20535</v>
      </c>
      <c r="L9047" s="417"/>
      <c r="M9047" s="417" t="s">
        <v>28840</v>
      </c>
    </row>
    <row r="9048" spans="1:13" x14ac:dyDescent="0.25">
      <c r="A9048" s="417" t="s">
        <v>3385</v>
      </c>
      <c r="B9048" s="417" t="s">
        <v>2627</v>
      </c>
      <c r="C9048" s="417" t="s">
        <v>20536</v>
      </c>
      <c r="D9048" s="417" t="s">
        <v>88</v>
      </c>
      <c r="E9048" s="423">
        <v>1.4365065538172569E-4</v>
      </c>
      <c r="F9048" s="423">
        <v>2.8701881203295621E-5</v>
      </c>
      <c r="G9048" s="422">
        <v>0.29477048950230728</v>
      </c>
      <c r="H9048" s="417" t="s">
        <v>2616</v>
      </c>
      <c r="I9048" s="417" t="s">
        <v>1392</v>
      </c>
      <c r="J9048" s="417" t="s">
        <v>13181</v>
      </c>
      <c r="K9048" s="417" t="s">
        <v>20537</v>
      </c>
      <c r="L9048" s="417"/>
      <c r="M9048" s="417" t="s">
        <v>28840</v>
      </c>
    </row>
    <row r="9049" spans="1:13" x14ac:dyDescent="0.25">
      <c r="A9049" s="417" t="s">
        <v>3385</v>
      </c>
      <c r="B9049" s="417" t="s">
        <v>2627</v>
      </c>
      <c r="C9049" s="417" t="s">
        <v>20538</v>
      </c>
      <c r="D9049" s="417" t="s">
        <v>88</v>
      </c>
      <c r="E9049" s="423">
        <v>3.8035906243730699E-4</v>
      </c>
      <c r="F9049" s="423">
        <v>3.9019313132495438E-5</v>
      </c>
      <c r="G9049" s="422">
        <v>0.57564732930643547</v>
      </c>
      <c r="H9049" s="417" t="s">
        <v>2616</v>
      </c>
      <c r="I9049" s="417" t="s">
        <v>1392</v>
      </c>
      <c r="J9049" s="417" t="s">
        <v>13181</v>
      </c>
      <c r="K9049" s="417" t="s">
        <v>20539</v>
      </c>
      <c r="L9049" s="417"/>
      <c r="M9049" s="417" t="s">
        <v>28840</v>
      </c>
    </row>
    <row r="9050" spans="1:13" x14ac:dyDescent="0.25">
      <c r="A9050" s="417" t="s">
        <v>3385</v>
      </c>
      <c r="B9050" s="417" t="s">
        <v>2627</v>
      </c>
      <c r="C9050" s="417" t="s">
        <v>20540</v>
      </c>
      <c r="D9050" s="417" t="s">
        <v>88</v>
      </c>
      <c r="E9050" s="423">
        <v>1.68854830624095E-4</v>
      </c>
      <c r="F9050" s="423">
        <v>4.1795371557963503E-5</v>
      </c>
      <c r="G9050" s="422">
        <v>0.32837075341104821</v>
      </c>
      <c r="H9050" s="417" t="s">
        <v>2616</v>
      </c>
      <c r="I9050" s="417" t="s">
        <v>1392</v>
      </c>
      <c r="J9050" s="417" t="s">
        <v>13181</v>
      </c>
      <c r="K9050" s="417" t="s">
        <v>20541</v>
      </c>
      <c r="L9050" s="417"/>
      <c r="M9050" s="417" t="s">
        <v>28840</v>
      </c>
    </row>
    <row r="9051" spans="1:13" x14ac:dyDescent="0.25">
      <c r="A9051" s="417" t="s">
        <v>3385</v>
      </c>
      <c r="B9051" s="417" t="s">
        <v>2627</v>
      </c>
      <c r="C9051" s="417" t="s">
        <v>20542</v>
      </c>
      <c r="D9051" s="417" t="s">
        <v>88</v>
      </c>
      <c r="E9051" s="423">
        <v>2.0316317031844779E-4</v>
      </c>
      <c r="F9051" s="423">
        <v>3.6952047571700927E-5</v>
      </c>
      <c r="G9051" s="422">
        <v>0.52931675485359053</v>
      </c>
      <c r="H9051" s="417" t="s">
        <v>2616</v>
      </c>
      <c r="I9051" s="417" t="s">
        <v>1392</v>
      </c>
      <c r="J9051" s="417" t="s">
        <v>13181</v>
      </c>
      <c r="K9051" s="417" t="s">
        <v>20543</v>
      </c>
      <c r="L9051" s="417"/>
      <c r="M9051" s="417" t="s">
        <v>28840</v>
      </c>
    </row>
    <row r="9052" spans="1:13" x14ac:dyDescent="0.25">
      <c r="A9052" s="417" t="s">
        <v>3385</v>
      </c>
      <c r="B9052" s="417" t="s">
        <v>2627</v>
      </c>
      <c r="C9052" s="417" t="s">
        <v>20544</v>
      </c>
      <c r="D9052" s="417" t="s">
        <v>88</v>
      </c>
      <c r="E9052" s="423">
        <v>4.4824198177079058E-4</v>
      </c>
      <c r="F9052" s="423">
        <v>2.5011061034457749E-5</v>
      </c>
      <c r="G9052" s="422">
        <v>0.66943880075875284</v>
      </c>
      <c r="H9052" s="417" t="s">
        <v>2616</v>
      </c>
      <c r="I9052" s="417" t="s">
        <v>1392</v>
      </c>
      <c r="J9052" s="417" t="s">
        <v>13181</v>
      </c>
      <c r="K9052" s="417" t="s">
        <v>20545</v>
      </c>
      <c r="L9052" s="417"/>
      <c r="M9052" s="417" t="s">
        <v>28840</v>
      </c>
    </row>
    <row r="9053" spans="1:13" x14ac:dyDescent="0.25">
      <c r="A9053" s="417" t="s">
        <v>3385</v>
      </c>
      <c r="B9053" s="417" t="s">
        <v>2627</v>
      </c>
      <c r="C9053" s="417" t="s">
        <v>20546</v>
      </c>
      <c r="D9053" s="417" t="s">
        <v>88</v>
      </c>
      <c r="E9053" s="423">
        <v>2.8141217053189458E-4</v>
      </c>
      <c r="F9053" s="423">
        <v>2.4697128264687209E-5</v>
      </c>
      <c r="G9053" s="422">
        <v>0.4969459607498446</v>
      </c>
      <c r="H9053" s="417" t="s">
        <v>2616</v>
      </c>
      <c r="I9053" s="417" t="s">
        <v>1392</v>
      </c>
      <c r="J9053" s="417" t="s">
        <v>13181</v>
      </c>
      <c r="K9053" s="417" t="s">
        <v>20547</v>
      </c>
      <c r="L9053" s="417"/>
      <c r="M9053" s="417" t="s">
        <v>28840</v>
      </c>
    </row>
    <row r="9054" spans="1:13" x14ac:dyDescent="0.25">
      <c r="A9054" s="417" t="s">
        <v>3385</v>
      </c>
      <c r="B9054" s="417" t="s">
        <v>2627</v>
      </c>
      <c r="C9054" s="417" t="s">
        <v>20548</v>
      </c>
      <c r="D9054" s="417" t="s">
        <v>88</v>
      </c>
      <c r="E9054" s="423">
        <v>1.121630562151669E-4</v>
      </c>
      <c r="F9054" s="423">
        <v>3.963641518910861E-5</v>
      </c>
      <c r="G9054" s="422">
        <v>0.29317658876337072</v>
      </c>
      <c r="H9054" s="417" t="s">
        <v>2616</v>
      </c>
      <c r="I9054" s="417" t="s">
        <v>1392</v>
      </c>
      <c r="J9054" s="417" t="s">
        <v>13181</v>
      </c>
      <c r="K9054" s="417" t="s">
        <v>20549</v>
      </c>
      <c r="L9054" s="417"/>
      <c r="M9054" s="417" t="s">
        <v>28840</v>
      </c>
    </row>
    <row r="9055" spans="1:13" x14ac:dyDescent="0.25">
      <c r="A9055" s="417" t="s">
        <v>3385</v>
      </c>
      <c r="B9055" s="417" t="s">
        <v>2627</v>
      </c>
      <c r="C9055" s="417" t="s">
        <v>20550</v>
      </c>
      <c r="D9055" s="417" t="s">
        <v>88</v>
      </c>
      <c r="E9055" s="423">
        <v>1.9831248126511261E-4</v>
      </c>
      <c r="F9055" s="423">
        <v>3.3591533913805532E-5</v>
      </c>
      <c r="G9055" s="422">
        <v>0.39452720341153857</v>
      </c>
      <c r="H9055" s="417" t="s">
        <v>2616</v>
      </c>
      <c r="I9055" s="417" t="s">
        <v>1392</v>
      </c>
      <c r="J9055" s="417" t="s">
        <v>13181</v>
      </c>
      <c r="K9055" s="417" t="s">
        <v>20551</v>
      </c>
      <c r="L9055" s="417"/>
      <c r="M9055" s="417" t="s">
        <v>28840</v>
      </c>
    </row>
    <row r="9056" spans="1:13" x14ac:dyDescent="0.25">
      <c r="A9056" s="417" t="s">
        <v>3385</v>
      </c>
      <c r="B9056" s="417" t="s">
        <v>2627</v>
      </c>
      <c r="C9056" s="417" t="s">
        <v>20552</v>
      </c>
      <c r="D9056" s="417" t="s">
        <v>88</v>
      </c>
      <c r="E9056" s="423">
        <v>1.9222850399402351E-4</v>
      </c>
      <c r="F9056" s="423">
        <v>4.079074199321258E-5</v>
      </c>
      <c r="G9056" s="422">
        <v>0.46182190483489971</v>
      </c>
      <c r="H9056" s="417" t="s">
        <v>2616</v>
      </c>
      <c r="I9056" s="417" t="s">
        <v>1392</v>
      </c>
      <c r="J9056" s="417" t="s">
        <v>13181</v>
      </c>
      <c r="K9056" s="417" t="s">
        <v>20553</v>
      </c>
      <c r="L9056" s="417"/>
      <c r="M9056" s="417" t="s">
        <v>28840</v>
      </c>
    </row>
    <row r="9057" spans="1:13" x14ac:dyDescent="0.25">
      <c r="A9057" s="417" t="s">
        <v>3385</v>
      </c>
      <c r="B9057" s="417" t="s">
        <v>2627</v>
      </c>
      <c r="C9057" s="417" t="s">
        <v>20554</v>
      </c>
      <c r="D9057" s="417" t="s">
        <v>88</v>
      </c>
      <c r="E9057" s="423">
        <v>3.3645592769886341E-4</v>
      </c>
      <c r="F9057" s="423">
        <v>5.5305386729113048E-5</v>
      </c>
      <c r="G9057" s="422">
        <v>0.54019216396835301</v>
      </c>
      <c r="H9057" s="417" t="s">
        <v>2616</v>
      </c>
      <c r="I9057" s="417" t="s">
        <v>1392</v>
      </c>
      <c r="J9057" s="417" t="s">
        <v>13181</v>
      </c>
      <c r="K9057" s="417" t="s">
        <v>20555</v>
      </c>
      <c r="L9057" s="417"/>
      <c r="M9057" s="417" t="s">
        <v>28840</v>
      </c>
    </row>
    <row r="9058" spans="1:13" x14ac:dyDescent="0.25">
      <c r="A9058" s="417" t="s">
        <v>3385</v>
      </c>
      <c r="B9058" s="417" t="s">
        <v>2627</v>
      </c>
      <c r="C9058" s="417" t="s">
        <v>20556</v>
      </c>
      <c r="D9058" s="417" t="s">
        <v>88</v>
      </c>
      <c r="E9058" s="423">
        <v>3.1099004269745237E-4</v>
      </c>
      <c r="F9058" s="423">
        <v>3.2132580923475533E-5</v>
      </c>
      <c r="G9058" s="422">
        <v>0.4756826253688205</v>
      </c>
      <c r="H9058" s="417" t="s">
        <v>2616</v>
      </c>
      <c r="I9058" s="417" t="s">
        <v>1392</v>
      </c>
      <c r="J9058" s="417" t="s">
        <v>13181</v>
      </c>
      <c r="K9058" s="417" t="s">
        <v>20557</v>
      </c>
      <c r="L9058" s="417"/>
      <c r="M9058" s="417" t="s">
        <v>28840</v>
      </c>
    </row>
    <row r="9059" spans="1:13" x14ac:dyDescent="0.25">
      <c r="A9059" s="417" t="s">
        <v>3385</v>
      </c>
      <c r="B9059" s="417" t="s">
        <v>2627</v>
      </c>
      <c r="C9059" s="417" t="s">
        <v>20558</v>
      </c>
      <c r="D9059" s="417" t="s">
        <v>88</v>
      </c>
      <c r="E9059" s="423">
        <v>2.2101136448165161E-4</v>
      </c>
      <c r="F9059" s="423">
        <v>2.803485879751618E-5</v>
      </c>
      <c r="G9059" s="422">
        <v>0.48345105173359082</v>
      </c>
      <c r="H9059" s="417" t="s">
        <v>2616</v>
      </c>
      <c r="I9059" s="417" t="s">
        <v>1392</v>
      </c>
      <c r="J9059" s="417" t="s">
        <v>13181</v>
      </c>
      <c r="K9059" s="417" t="s">
        <v>20559</v>
      </c>
      <c r="L9059" s="417"/>
      <c r="M9059" s="417" t="s">
        <v>28840</v>
      </c>
    </row>
    <row r="9060" spans="1:13" x14ac:dyDescent="0.25">
      <c r="A9060" s="417" t="s">
        <v>3385</v>
      </c>
      <c r="B9060" s="417" t="s">
        <v>2627</v>
      </c>
      <c r="C9060" s="417" t="s">
        <v>20560</v>
      </c>
      <c r="D9060" s="417" t="s">
        <v>88</v>
      </c>
      <c r="E9060" s="423">
        <v>2.6100527544107048E-4</v>
      </c>
      <c r="F9060" s="423">
        <v>2.7218189168705209E-5</v>
      </c>
      <c r="G9060" s="422">
        <v>0.45636248894311082</v>
      </c>
      <c r="H9060" s="417" t="s">
        <v>2616</v>
      </c>
      <c r="I9060" s="417" t="s">
        <v>1392</v>
      </c>
      <c r="J9060" s="417" t="s">
        <v>13181</v>
      </c>
      <c r="K9060" s="417" t="s">
        <v>20561</v>
      </c>
      <c r="L9060" s="417"/>
      <c r="M9060" s="417" t="s">
        <v>28840</v>
      </c>
    </row>
    <row r="9061" spans="1:13" x14ac:dyDescent="0.25">
      <c r="A9061" s="417" t="s">
        <v>3385</v>
      </c>
      <c r="B9061" s="417" t="s">
        <v>2627</v>
      </c>
      <c r="C9061" s="417" t="s">
        <v>20562</v>
      </c>
      <c r="D9061" s="417" t="s">
        <v>88</v>
      </c>
      <c r="E9061" s="423">
        <v>4.9787124586979023E-4</v>
      </c>
      <c r="F9061" s="423">
        <v>2.5612734650597349E-5</v>
      </c>
      <c r="G9061" s="422">
        <v>0.68819048532148563</v>
      </c>
      <c r="H9061" s="417" t="s">
        <v>2616</v>
      </c>
      <c r="I9061" s="417" t="s">
        <v>1392</v>
      </c>
      <c r="J9061" s="417" t="s">
        <v>13181</v>
      </c>
      <c r="K9061" s="417" t="s">
        <v>20563</v>
      </c>
      <c r="L9061" s="417"/>
      <c r="M9061" s="417" t="s">
        <v>28840</v>
      </c>
    </row>
    <row r="9062" spans="1:13" x14ac:dyDescent="0.25">
      <c r="A9062" s="417" t="s">
        <v>3385</v>
      </c>
      <c r="B9062" s="417" t="s">
        <v>2627</v>
      </c>
      <c r="C9062" s="417" t="s">
        <v>20564</v>
      </c>
      <c r="D9062" s="417" t="s">
        <v>88</v>
      </c>
      <c r="E9062" s="423">
        <v>1.0163232337985519</v>
      </c>
      <c r="F9062" s="423">
        <v>1.9409557424286069E-2</v>
      </c>
      <c r="G9062" s="422">
        <v>13836.887505550059</v>
      </c>
      <c r="H9062" s="417" t="s">
        <v>2616</v>
      </c>
      <c r="I9062" s="417" t="s">
        <v>1392</v>
      </c>
      <c r="J9062" s="417" t="s">
        <v>3396</v>
      </c>
      <c r="K9062" s="417" t="s">
        <v>20565</v>
      </c>
      <c r="L9062" s="417"/>
      <c r="M9062" s="417" t="s">
        <v>28840</v>
      </c>
    </row>
    <row r="9063" spans="1:13" x14ac:dyDescent="0.25">
      <c r="A9063" s="417" t="s">
        <v>3385</v>
      </c>
      <c r="B9063" s="417" t="s">
        <v>3655</v>
      </c>
      <c r="C9063" s="417" t="s">
        <v>20566</v>
      </c>
      <c r="D9063" s="417" t="s">
        <v>989</v>
      </c>
      <c r="E9063" s="423">
        <v>7206.5079386112366</v>
      </c>
      <c r="F9063" s="423">
        <v>159.45504182879341</v>
      </c>
      <c r="G9063" s="422">
        <v>13663374.01869156</v>
      </c>
      <c r="H9063" s="417" t="s">
        <v>2616</v>
      </c>
      <c r="I9063" s="417" t="s">
        <v>1392</v>
      </c>
      <c r="J9063" s="417" t="s">
        <v>4697</v>
      </c>
      <c r="K9063" s="417" t="s">
        <v>20567</v>
      </c>
      <c r="L9063" s="417"/>
      <c r="M9063" s="417" t="s">
        <v>28840</v>
      </c>
    </row>
    <row r="9064" spans="1:13" x14ac:dyDescent="0.25">
      <c r="A9064" s="417" t="s">
        <v>3385</v>
      </c>
      <c r="B9064" s="417" t="s">
        <v>2627</v>
      </c>
      <c r="C9064" s="417" t="s">
        <v>20568</v>
      </c>
      <c r="D9064" s="417" t="s">
        <v>88</v>
      </c>
      <c r="E9064" s="423">
        <v>4.4343358800069943</v>
      </c>
      <c r="F9064" s="423">
        <v>0.4603021712260128</v>
      </c>
      <c r="G9064" s="422">
        <v>190909.5065943774</v>
      </c>
      <c r="H9064" s="417" t="s">
        <v>2616</v>
      </c>
      <c r="I9064" s="417" t="s">
        <v>1392</v>
      </c>
      <c r="J9064" s="417" t="s">
        <v>3915</v>
      </c>
      <c r="K9064" s="417" t="s">
        <v>20569</v>
      </c>
      <c r="L9064" s="417"/>
      <c r="M9064" s="417" t="s">
        <v>28840</v>
      </c>
    </row>
    <row r="9065" spans="1:13" x14ac:dyDescent="0.25">
      <c r="A9065" s="417" t="s">
        <v>3385</v>
      </c>
      <c r="B9065" s="417" t="s">
        <v>2627</v>
      </c>
      <c r="C9065" s="417" t="s">
        <v>20570</v>
      </c>
      <c r="D9065" s="417" t="s">
        <v>88</v>
      </c>
      <c r="E9065" s="423">
        <v>0.50043357488971996</v>
      </c>
      <c r="F9065" s="423">
        <v>3.9066064086797248E-2</v>
      </c>
      <c r="G9065" s="422">
        <v>1083.8216517579899</v>
      </c>
      <c r="H9065" s="417" t="s">
        <v>2616</v>
      </c>
      <c r="I9065" s="417" t="s">
        <v>1392</v>
      </c>
      <c r="J9065" s="417" t="s">
        <v>4815</v>
      </c>
      <c r="K9065" s="417" t="s">
        <v>20571</v>
      </c>
      <c r="L9065" s="417"/>
      <c r="M9065" s="417" t="s">
        <v>28840</v>
      </c>
    </row>
    <row r="9066" spans="1:13" x14ac:dyDescent="0.25">
      <c r="A9066" s="417" t="s">
        <v>3385</v>
      </c>
      <c r="B9066" s="417" t="s">
        <v>3655</v>
      </c>
      <c r="C9066" s="417" t="s">
        <v>20572</v>
      </c>
      <c r="D9066" s="417" t="s">
        <v>88</v>
      </c>
      <c r="E9066" s="423">
        <v>0.24591573071140979</v>
      </c>
      <c r="F9066" s="423">
        <v>5.9195065039306608E-3</v>
      </c>
      <c r="G9066" s="422">
        <v>353.69079298039338</v>
      </c>
      <c r="H9066" s="417" t="s">
        <v>2616</v>
      </c>
      <c r="I9066" s="417" t="s">
        <v>1392</v>
      </c>
      <c r="J9066" s="417" t="s">
        <v>3913</v>
      </c>
      <c r="K9066" s="417" t="s">
        <v>20573</v>
      </c>
      <c r="L9066" s="417"/>
      <c r="M9066" s="417" t="s">
        <v>28840</v>
      </c>
    </row>
    <row r="9067" spans="1:13" x14ac:dyDescent="0.25">
      <c r="A9067" s="417" t="s">
        <v>3385</v>
      </c>
      <c r="B9067" s="417" t="s">
        <v>2627</v>
      </c>
      <c r="C9067" s="417" t="s">
        <v>20574</v>
      </c>
      <c r="D9067" s="417" t="s">
        <v>989</v>
      </c>
      <c r="E9067" s="423">
        <v>175485.7845055153</v>
      </c>
      <c r="F9067" s="423">
        <v>6072.1393887546383</v>
      </c>
      <c r="G9067" s="422">
        <v>353531594.90553558</v>
      </c>
      <c r="H9067" s="417" t="s">
        <v>2616</v>
      </c>
      <c r="I9067" s="417" t="s">
        <v>1392</v>
      </c>
      <c r="J9067" s="417" t="s">
        <v>4016</v>
      </c>
      <c r="K9067" s="417" t="s">
        <v>20575</v>
      </c>
      <c r="L9067" s="417"/>
      <c r="M9067" s="417" t="s">
        <v>28840</v>
      </c>
    </row>
    <row r="9068" spans="1:13" x14ac:dyDescent="0.25">
      <c r="A9068" s="417" t="s">
        <v>3385</v>
      </c>
      <c r="B9068" s="417" t="s">
        <v>2627</v>
      </c>
      <c r="C9068" s="417" t="s">
        <v>20576</v>
      </c>
      <c r="D9068" s="417" t="s">
        <v>88</v>
      </c>
      <c r="E9068" s="423">
        <v>4.1201907237755586</v>
      </c>
      <c r="F9068" s="423">
        <v>9.3514684610074273E-4</v>
      </c>
      <c r="G9068" s="422">
        <v>16305.76289639592</v>
      </c>
      <c r="H9068" s="417" t="s">
        <v>2616</v>
      </c>
      <c r="I9068" s="417" t="s">
        <v>1392</v>
      </c>
      <c r="J9068" s="417" t="s">
        <v>3396</v>
      </c>
      <c r="K9068" s="417" t="s">
        <v>20577</v>
      </c>
      <c r="L9068" s="417"/>
      <c r="M9068" s="417" t="s">
        <v>28840</v>
      </c>
    </row>
    <row r="9069" spans="1:13" x14ac:dyDescent="0.25">
      <c r="A9069" s="417" t="s">
        <v>3385</v>
      </c>
      <c r="B9069" s="417" t="s">
        <v>2627</v>
      </c>
      <c r="C9069" s="417" t="s">
        <v>20578</v>
      </c>
      <c r="D9069" s="417" t="s">
        <v>88</v>
      </c>
      <c r="E9069" s="423">
        <v>66.567230530951136</v>
      </c>
      <c r="F9069" s="423">
        <v>2.4860155886029229</v>
      </c>
      <c r="G9069" s="422">
        <v>88013.837144616205</v>
      </c>
      <c r="H9069" s="417" t="s">
        <v>2616</v>
      </c>
      <c r="I9069" s="417" t="s">
        <v>1392</v>
      </c>
      <c r="J9069" s="417" t="s">
        <v>3742</v>
      </c>
      <c r="K9069" s="417" t="s">
        <v>20579</v>
      </c>
      <c r="L9069" s="417"/>
      <c r="M9069" s="417" t="s">
        <v>28840</v>
      </c>
    </row>
    <row r="9070" spans="1:13" x14ac:dyDescent="0.25">
      <c r="A9070" s="417" t="s">
        <v>3385</v>
      </c>
      <c r="B9070" s="417" t="s">
        <v>2627</v>
      </c>
      <c r="C9070" s="417" t="s">
        <v>20580</v>
      </c>
      <c r="D9070" s="417" t="s">
        <v>88</v>
      </c>
      <c r="E9070" s="423">
        <v>2.1697928673920401</v>
      </c>
      <c r="F9070" s="423">
        <v>0.32278325099070521</v>
      </c>
      <c r="G9070" s="422">
        <v>3912.2257359867558</v>
      </c>
      <c r="H9070" s="417" t="s">
        <v>2616</v>
      </c>
      <c r="I9070" s="417" t="s">
        <v>1392</v>
      </c>
      <c r="J9070" s="417" t="s">
        <v>3653</v>
      </c>
      <c r="K9070" s="417" t="s">
        <v>20581</v>
      </c>
      <c r="L9070" s="417"/>
      <c r="M9070" s="417" t="s">
        <v>28840</v>
      </c>
    </row>
    <row r="9071" spans="1:13" x14ac:dyDescent="0.25">
      <c r="A9071" s="417" t="s">
        <v>3385</v>
      </c>
      <c r="B9071" s="417" t="s">
        <v>2627</v>
      </c>
      <c r="C9071" s="417" t="s">
        <v>20582</v>
      </c>
      <c r="D9071" s="417" t="s">
        <v>88</v>
      </c>
      <c r="E9071" s="423">
        <v>95.576193007249444</v>
      </c>
      <c r="F9071" s="423">
        <v>1.8369914856368099</v>
      </c>
      <c r="G9071" s="422">
        <v>179341.58020629169</v>
      </c>
      <c r="H9071" s="417" t="s">
        <v>2616</v>
      </c>
      <c r="I9071" s="417" t="s">
        <v>1392</v>
      </c>
      <c r="J9071" s="417" t="s">
        <v>10852</v>
      </c>
      <c r="K9071" s="417" t="s">
        <v>20583</v>
      </c>
      <c r="L9071" s="417"/>
      <c r="M9071" s="417" t="s">
        <v>28840</v>
      </c>
    </row>
    <row r="9072" spans="1:13" x14ac:dyDescent="0.25">
      <c r="A9072" s="417" t="s">
        <v>3385</v>
      </c>
      <c r="B9072" s="417" t="s">
        <v>2627</v>
      </c>
      <c r="C9072" s="417" t="s">
        <v>1036</v>
      </c>
      <c r="D9072" s="417" t="s">
        <v>88</v>
      </c>
      <c r="E9072" s="423">
        <v>90.593259153458661</v>
      </c>
      <c r="F9072" s="423">
        <v>1.73993795261062</v>
      </c>
      <c r="G9072" s="422">
        <v>170182.492263308</v>
      </c>
      <c r="H9072" s="417" t="s">
        <v>2616</v>
      </c>
      <c r="I9072" s="417" t="s">
        <v>28841</v>
      </c>
      <c r="J9072" s="417" t="s">
        <v>10852</v>
      </c>
      <c r="K9072" s="417" t="s">
        <v>20584</v>
      </c>
      <c r="L9072" s="417"/>
      <c r="M9072" s="417" t="s">
        <v>28840</v>
      </c>
    </row>
    <row r="9073" spans="1:13" x14ac:dyDescent="0.25">
      <c r="A9073" s="417" t="s">
        <v>3385</v>
      </c>
      <c r="B9073" s="417" t="s">
        <v>2627</v>
      </c>
      <c r="C9073" s="417" t="s">
        <v>20585</v>
      </c>
      <c r="D9073" s="417" t="s">
        <v>88</v>
      </c>
      <c r="E9073" s="423">
        <v>5.6142021390668084</v>
      </c>
      <c r="F9073" s="423">
        <v>0.13627961365476809</v>
      </c>
      <c r="G9073" s="422">
        <v>8465.4897252034698</v>
      </c>
      <c r="H9073" s="417" t="s">
        <v>2616</v>
      </c>
      <c r="I9073" s="417" t="s">
        <v>1392</v>
      </c>
      <c r="J9073" s="417" t="s">
        <v>3396</v>
      </c>
      <c r="K9073" s="417" t="s">
        <v>20586</v>
      </c>
      <c r="L9073" s="417"/>
      <c r="M9073" s="417" t="s">
        <v>28840</v>
      </c>
    </row>
    <row r="9074" spans="1:13" x14ac:dyDescent="0.25">
      <c r="A9074" s="417" t="s">
        <v>3385</v>
      </c>
      <c r="B9074" s="417" t="s">
        <v>3655</v>
      </c>
      <c r="C9074" s="417" t="s">
        <v>20587</v>
      </c>
      <c r="D9074" s="417" t="s">
        <v>88</v>
      </c>
      <c r="E9074" s="423">
        <v>4.7498337151657841</v>
      </c>
      <c r="F9074" s="423">
        <v>0.1142865329619492</v>
      </c>
      <c r="G9074" s="422">
        <v>6621.656334176987</v>
      </c>
      <c r="H9074" s="417" t="s">
        <v>2616</v>
      </c>
      <c r="I9074" s="417" t="s">
        <v>1392</v>
      </c>
      <c r="J9074" s="417" t="s">
        <v>20588</v>
      </c>
      <c r="K9074" s="417" t="s">
        <v>20589</v>
      </c>
      <c r="L9074" s="417"/>
      <c r="M9074" s="417" t="s">
        <v>28840</v>
      </c>
    </row>
    <row r="9075" spans="1:13" x14ac:dyDescent="0.25">
      <c r="A9075" s="417" t="s">
        <v>3385</v>
      </c>
      <c r="B9075" s="417" t="s">
        <v>2627</v>
      </c>
      <c r="C9075" s="417" t="s">
        <v>1132</v>
      </c>
      <c r="D9075" s="417" t="s">
        <v>88</v>
      </c>
      <c r="E9075" s="423">
        <v>15.359712828358241</v>
      </c>
      <c r="F9075" s="423">
        <v>0.48381379276383552</v>
      </c>
      <c r="G9075" s="422">
        <v>54159.762405010697</v>
      </c>
      <c r="H9075" s="417" t="s">
        <v>2616</v>
      </c>
      <c r="I9075" s="417" t="s">
        <v>28841</v>
      </c>
      <c r="J9075" s="417" t="s">
        <v>20588</v>
      </c>
      <c r="K9075" s="417" t="s">
        <v>20590</v>
      </c>
      <c r="L9075" s="417"/>
      <c r="M9075" s="417" t="s">
        <v>28840</v>
      </c>
    </row>
    <row r="9076" spans="1:13" x14ac:dyDescent="0.25">
      <c r="A9076" s="417" t="s">
        <v>3385</v>
      </c>
      <c r="B9076" s="417" t="s">
        <v>2627</v>
      </c>
      <c r="C9076" s="417" t="s">
        <v>20591</v>
      </c>
      <c r="D9076" s="417" t="s">
        <v>88</v>
      </c>
      <c r="E9076" s="423">
        <v>0.93803913128767391</v>
      </c>
      <c r="F9076" s="423">
        <v>6.5452284555496898E-2</v>
      </c>
      <c r="G9076" s="422">
        <v>1235.1108962304761</v>
      </c>
      <c r="H9076" s="417" t="s">
        <v>2616</v>
      </c>
      <c r="I9076" s="417" t="s">
        <v>1392</v>
      </c>
      <c r="J9076" s="417" t="s">
        <v>3619</v>
      </c>
      <c r="K9076" s="417" t="s">
        <v>20592</v>
      </c>
      <c r="L9076" s="417"/>
      <c r="M9076" s="417" t="s">
        <v>28840</v>
      </c>
    </row>
    <row r="9077" spans="1:13" x14ac:dyDescent="0.25">
      <c r="A9077" s="417" t="s">
        <v>3385</v>
      </c>
      <c r="B9077" s="417" t="s">
        <v>2627</v>
      </c>
      <c r="C9077" s="417" t="s">
        <v>20593</v>
      </c>
      <c r="D9077" s="417" t="s">
        <v>88</v>
      </c>
      <c r="E9077" s="423">
        <v>0.67917751521094194</v>
      </c>
      <c r="F9077" s="423">
        <v>4.7396562813383038E-2</v>
      </c>
      <c r="G9077" s="422">
        <v>894.35652219311589</v>
      </c>
      <c r="H9077" s="417" t="s">
        <v>2616</v>
      </c>
      <c r="I9077" s="417" t="s">
        <v>1392</v>
      </c>
      <c r="J9077" s="417" t="s">
        <v>3619</v>
      </c>
      <c r="K9077" s="417" t="s">
        <v>20594</v>
      </c>
      <c r="L9077" s="417"/>
      <c r="M9077" s="417" t="s">
        <v>28840</v>
      </c>
    </row>
    <row r="9078" spans="1:13" x14ac:dyDescent="0.25">
      <c r="A9078" s="417" t="s">
        <v>3385</v>
      </c>
      <c r="B9078" s="417" t="s">
        <v>2627</v>
      </c>
      <c r="C9078" s="417" t="s">
        <v>20595</v>
      </c>
      <c r="D9078" s="417" t="s">
        <v>563</v>
      </c>
      <c r="E9078" s="423">
        <v>16.542406966624029</v>
      </c>
      <c r="F9078" s="423">
        <v>0.34736964949776222</v>
      </c>
      <c r="G9078" s="422">
        <v>32420.054178355869</v>
      </c>
      <c r="H9078" s="417" t="s">
        <v>2616</v>
      </c>
      <c r="I9078" s="417" t="s">
        <v>1392</v>
      </c>
      <c r="J9078" s="417" t="s">
        <v>7714</v>
      </c>
      <c r="K9078" s="417" t="s">
        <v>20596</v>
      </c>
      <c r="L9078" s="417"/>
      <c r="M9078" s="417" t="s">
        <v>28840</v>
      </c>
    </row>
    <row r="9079" spans="1:13" x14ac:dyDescent="0.25">
      <c r="A9079" s="417" t="s">
        <v>3385</v>
      </c>
      <c r="B9079" s="417" t="s">
        <v>2627</v>
      </c>
      <c r="C9079" s="417" t="s">
        <v>20597</v>
      </c>
      <c r="D9079" s="417" t="s">
        <v>563</v>
      </c>
      <c r="E9079" s="423">
        <v>7.3714962826186987</v>
      </c>
      <c r="F9079" s="423">
        <v>0.23608772641618511</v>
      </c>
      <c r="G9079" s="422">
        <v>13602.626161490711</v>
      </c>
      <c r="H9079" s="417" t="s">
        <v>2616</v>
      </c>
      <c r="I9079" s="417" t="s">
        <v>1392</v>
      </c>
      <c r="J9079" s="417" t="s">
        <v>7714</v>
      </c>
      <c r="K9079" s="417" t="s">
        <v>20598</v>
      </c>
      <c r="L9079" s="417"/>
      <c r="M9079" s="417" t="s">
        <v>28840</v>
      </c>
    </row>
    <row r="9080" spans="1:13" x14ac:dyDescent="0.25">
      <c r="A9080" s="417" t="s">
        <v>3385</v>
      </c>
      <c r="B9080" s="417" t="s">
        <v>2627</v>
      </c>
      <c r="C9080" s="417" t="s">
        <v>20599</v>
      </c>
      <c r="D9080" s="417" t="s">
        <v>563</v>
      </c>
      <c r="E9080" s="423">
        <v>35.080603731326441</v>
      </c>
      <c r="F9080" s="423">
        <v>0.99231141708275428</v>
      </c>
      <c r="G9080" s="422">
        <v>82726.186521542069</v>
      </c>
      <c r="H9080" s="417" t="s">
        <v>2616</v>
      </c>
      <c r="I9080" s="417" t="s">
        <v>1392</v>
      </c>
      <c r="J9080" s="417" t="s">
        <v>7714</v>
      </c>
      <c r="K9080" s="417" t="s">
        <v>20600</v>
      </c>
      <c r="L9080" s="417"/>
      <c r="M9080" s="417" t="s">
        <v>28840</v>
      </c>
    </row>
    <row r="9081" spans="1:13" x14ac:dyDescent="0.25">
      <c r="A9081" s="417" t="s">
        <v>3385</v>
      </c>
      <c r="B9081" s="417" t="s">
        <v>2627</v>
      </c>
      <c r="C9081" s="417" t="s">
        <v>20601</v>
      </c>
      <c r="D9081" s="417" t="s">
        <v>563</v>
      </c>
      <c r="E9081" s="423">
        <v>13.164876224598411</v>
      </c>
      <c r="F9081" s="423">
        <v>0.2265253659497711</v>
      </c>
      <c r="G9081" s="422">
        <v>27091.325442040808</v>
      </c>
      <c r="H9081" s="417" t="s">
        <v>2616</v>
      </c>
      <c r="I9081" s="417" t="s">
        <v>1392</v>
      </c>
      <c r="J9081" s="417" t="s">
        <v>7714</v>
      </c>
      <c r="K9081" s="417" t="s">
        <v>20602</v>
      </c>
      <c r="L9081" s="417"/>
      <c r="M9081" s="417" t="s">
        <v>28840</v>
      </c>
    </row>
    <row r="9082" spans="1:13" x14ac:dyDescent="0.25">
      <c r="A9082" s="417" t="s">
        <v>3385</v>
      </c>
      <c r="B9082" s="417" t="s">
        <v>2627</v>
      </c>
      <c r="C9082" s="417" t="s">
        <v>20603</v>
      </c>
      <c r="D9082" s="417" t="s">
        <v>563</v>
      </c>
      <c r="E9082" s="423">
        <v>3.9939655402517711</v>
      </c>
      <c r="F9082" s="423">
        <v>0.1152434426439482</v>
      </c>
      <c r="G9082" s="422">
        <v>8273.8974334961731</v>
      </c>
      <c r="H9082" s="417" t="s">
        <v>2616</v>
      </c>
      <c r="I9082" s="417" t="s">
        <v>1392</v>
      </c>
      <c r="J9082" s="417" t="s">
        <v>7714</v>
      </c>
      <c r="K9082" s="417" t="s">
        <v>20604</v>
      </c>
      <c r="L9082" s="417"/>
      <c r="M9082" s="417" t="s">
        <v>28840</v>
      </c>
    </row>
    <row r="9083" spans="1:13" x14ac:dyDescent="0.25">
      <c r="A9083" s="417" t="s">
        <v>3385</v>
      </c>
      <c r="B9083" s="417" t="s">
        <v>2627</v>
      </c>
      <c r="C9083" s="417" t="s">
        <v>20605</v>
      </c>
      <c r="D9083" s="417" t="s">
        <v>563</v>
      </c>
      <c r="E9083" s="423">
        <v>31.7030729864493</v>
      </c>
      <c r="F9083" s="423">
        <v>0.87146713247673246</v>
      </c>
      <c r="G9083" s="422">
        <v>77397.457794645525</v>
      </c>
      <c r="H9083" s="417" t="s">
        <v>2616</v>
      </c>
      <c r="I9083" s="417" t="s">
        <v>1392</v>
      </c>
      <c r="J9083" s="417" t="s">
        <v>7714</v>
      </c>
      <c r="K9083" s="417" t="s">
        <v>20606</v>
      </c>
      <c r="L9083" s="417"/>
      <c r="M9083" s="417" t="s">
        <v>28840</v>
      </c>
    </row>
    <row r="9084" spans="1:13" x14ac:dyDescent="0.25">
      <c r="A9084" s="417" t="s">
        <v>3385</v>
      </c>
      <c r="B9084" s="417" t="s">
        <v>2627</v>
      </c>
      <c r="C9084" s="417" t="s">
        <v>20607</v>
      </c>
      <c r="D9084" s="417" t="s">
        <v>563</v>
      </c>
      <c r="E9084" s="423">
        <v>14.612389398774329</v>
      </c>
      <c r="F9084" s="423">
        <v>0.27831577318336942</v>
      </c>
      <c r="G9084" s="422">
        <v>29375.06632833631</v>
      </c>
      <c r="H9084" s="417" t="s">
        <v>2616</v>
      </c>
      <c r="I9084" s="417" t="s">
        <v>1392</v>
      </c>
      <c r="J9084" s="417" t="s">
        <v>7714</v>
      </c>
      <c r="K9084" s="417" t="s">
        <v>20608</v>
      </c>
      <c r="L9084" s="417"/>
      <c r="M9084" s="417" t="s">
        <v>28840</v>
      </c>
    </row>
    <row r="9085" spans="1:13" x14ac:dyDescent="0.25">
      <c r="A9085" s="417" t="s">
        <v>3385</v>
      </c>
      <c r="B9085" s="417" t="s">
        <v>2627</v>
      </c>
      <c r="C9085" s="417" t="s">
        <v>20609</v>
      </c>
      <c r="D9085" s="417" t="s">
        <v>563</v>
      </c>
      <c r="E9085" s="423">
        <v>5.4414787145810699</v>
      </c>
      <c r="F9085" s="423">
        <v>0.167033849828257</v>
      </c>
      <c r="G9085" s="422">
        <v>10557.63831167243</v>
      </c>
      <c r="H9085" s="417" t="s">
        <v>2616</v>
      </c>
      <c r="I9085" s="417" t="s">
        <v>1392</v>
      </c>
      <c r="J9085" s="417" t="s">
        <v>7714</v>
      </c>
      <c r="K9085" s="417" t="s">
        <v>20610</v>
      </c>
      <c r="L9085" s="417"/>
      <c r="M9085" s="417" t="s">
        <v>28840</v>
      </c>
    </row>
    <row r="9086" spans="1:13" x14ac:dyDescent="0.25">
      <c r="A9086" s="417" t="s">
        <v>3385</v>
      </c>
      <c r="B9086" s="417" t="s">
        <v>2627</v>
      </c>
      <c r="C9086" s="417" t="s">
        <v>20611</v>
      </c>
      <c r="D9086" s="417" t="s">
        <v>563</v>
      </c>
      <c r="E9086" s="423">
        <v>33.150586158161758</v>
      </c>
      <c r="F9086" s="423">
        <v>0.92325754071282229</v>
      </c>
      <c r="G9086" s="422">
        <v>79681.198663314193</v>
      </c>
      <c r="H9086" s="417" t="s">
        <v>2616</v>
      </c>
      <c r="I9086" s="417" t="s">
        <v>1392</v>
      </c>
      <c r="J9086" s="417" t="s">
        <v>7714</v>
      </c>
      <c r="K9086" s="417" t="s">
        <v>20612</v>
      </c>
      <c r="L9086" s="417"/>
      <c r="M9086" s="417" t="s">
        <v>28840</v>
      </c>
    </row>
    <row r="9087" spans="1:13" x14ac:dyDescent="0.25">
      <c r="A9087" s="417" t="s">
        <v>3385</v>
      </c>
      <c r="B9087" s="417" t="s">
        <v>2437</v>
      </c>
      <c r="C9087" s="417" t="s">
        <v>20613</v>
      </c>
      <c r="D9087" s="417" t="s">
        <v>88</v>
      </c>
      <c r="E9087" s="423">
        <v>31.59666309235196</v>
      </c>
      <c r="F9087" s="423">
        <v>0.92471569430384726</v>
      </c>
      <c r="G9087" s="422">
        <v>42658.448070351304</v>
      </c>
      <c r="H9087" s="417" t="s">
        <v>2616</v>
      </c>
      <c r="I9087" s="417" t="s">
        <v>1392</v>
      </c>
      <c r="J9087" s="417" t="s">
        <v>3871</v>
      </c>
      <c r="K9087" s="417" t="s">
        <v>20614</v>
      </c>
      <c r="L9087" s="417"/>
      <c r="M9087" s="417" t="s">
        <v>28840</v>
      </c>
    </row>
    <row r="9088" spans="1:13" x14ac:dyDescent="0.25">
      <c r="A9088" s="417" t="s">
        <v>3385</v>
      </c>
      <c r="B9088" s="417" t="s">
        <v>2627</v>
      </c>
      <c r="C9088" s="417" t="s">
        <v>20615</v>
      </c>
      <c r="D9088" s="417" t="s">
        <v>88</v>
      </c>
      <c r="E9088" s="423">
        <v>0.45459770137213218</v>
      </c>
      <c r="F9088" s="423">
        <v>0.1175400931217845</v>
      </c>
      <c r="G9088" s="422">
        <v>1244.4695885952819</v>
      </c>
      <c r="H9088" s="417" t="s">
        <v>2616</v>
      </c>
      <c r="I9088" s="417" t="s">
        <v>1392</v>
      </c>
      <c r="J9088" s="417" t="s">
        <v>20260</v>
      </c>
      <c r="K9088" s="417" t="s">
        <v>20616</v>
      </c>
      <c r="L9088" s="417"/>
      <c r="M9088" s="417" t="s">
        <v>28840</v>
      </c>
    </row>
    <row r="9089" spans="1:13" x14ac:dyDescent="0.25">
      <c r="A9089" s="417" t="s">
        <v>3385</v>
      </c>
      <c r="B9089" s="417" t="s">
        <v>3655</v>
      </c>
      <c r="C9089" s="417" t="s">
        <v>20617</v>
      </c>
      <c r="D9089" s="417" t="s">
        <v>88</v>
      </c>
      <c r="E9089" s="423">
        <v>0.54236649419539185</v>
      </c>
      <c r="F9089" s="423">
        <v>0.1177897494675374</v>
      </c>
      <c r="G9089" s="422">
        <v>1022.488244042184</v>
      </c>
      <c r="H9089" s="417" t="s">
        <v>2616</v>
      </c>
      <c r="I9089" s="417" t="s">
        <v>1392</v>
      </c>
      <c r="J9089" s="417" t="s">
        <v>4473</v>
      </c>
      <c r="K9089" s="417" t="s">
        <v>20618</v>
      </c>
      <c r="L9089" s="417"/>
      <c r="M9089" s="417" t="s">
        <v>28840</v>
      </c>
    </row>
    <row r="9090" spans="1:13" x14ac:dyDescent="0.25">
      <c r="A9090" s="417" t="s">
        <v>3385</v>
      </c>
      <c r="B9090" s="417" t="s">
        <v>2627</v>
      </c>
      <c r="C9090" s="417" t="s">
        <v>20619</v>
      </c>
      <c r="D9090" s="417" t="s">
        <v>88</v>
      </c>
      <c r="E9090" s="423">
        <v>0.83794919850079586</v>
      </c>
      <c r="F9090" s="423">
        <v>4.2856346744316487E-2</v>
      </c>
      <c r="G9090" s="422">
        <v>1353.673107876243</v>
      </c>
      <c r="H9090" s="417" t="s">
        <v>2616</v>
      </c>
      <c r="I9090" s="417" t="s">
        <v>1392</v>
      </c>
      <c r="J9090" s="417" t="s">
        <v>3825</v>
      </c>
      <c r="K9090" s="417" t="s">
        <v>20620</v>
      </c>
      <c r="L9090" s="417"/>
      <c r="M9090" s="417" t="s">
        <v>28840</v>
      </c>
    </row>
    <row r="9091" spans="1:13" x14ac:dyDescent="0.25">
      <c r="A9091" s="417" t="s">
        <v>3385</v>
      </c>
      <c r="B9091" s="417" t="s">
        <v>2627</v>
      </c>
      <c r="C9091" s="417" t="s">
        <v>20621</v>
      </c>
      <c r="D9091" s="417" t="s">
        <v>83</v>
      </c>
      <c r="E9091" s="423">
        <v>158.2478809390015</v>
      </c>
      <c r="F9091" s="423">
        <v>166.62910451593191</v>
      </c>
      <c r="G9091" s="422">
        <v>398298.19311904808</v>
      </c>
      <c r="H9091" s="417" t="s">
        <v>2616</v>
      </c>
      <c r="I9091" s="417" t="s">
        <v>1392</v>
      </c>
      <c r="J9091" s="417" t="s">
        <v>4016</v>
      </c>
      <c r="K9091" s="417" t="s">
        <v>20622</v>
      </c>
      <c r="L9091" s="417"/>
      <c r="M9091" s="417" t="s">
        <v>28840</v>
      </c>
    </row>
    <row r="9092" spans="1:13" x14ac:dyDescent="0.25">
      <c r="A9092" s="417" t="s">
        <v>3385</v>
      </c>
      <c r="B9092" s="417" t="s">
        <v>2627</v>
      </c>
      <c r="C9092" s="417" t="s">
        <v>20623</v>
      </c>
      <c r="D9092" s="417" t="s">
        <v>83</v>
      </c>
      <c r="E9092" s="423">
        <v>163.4767229679089</v>
      </c>
      <c r="F9092" s="423">
        <v>167.02837114546239</v>
      </c>
      <c r="G9092" s="422">
        <v>408613.94124045258</v>
      </c>
      <c r="H9092" s="417" t="s">
        <v>2616</v>
      </c>
      <c r="I9092" s="417" t="s">
        <v>1392</v>
      </c>
      <c r="J9092" s="417" t="s">
        <v>4016</v>
      </c>
      <c r="K9092" s="417" t="s">
        <v>20624</v>
      </c>
      <c r="L9092" s="417"/>
      <c r="M9092" s="417" t="s">
        <v>28840</v>
      </c>
    </row>
    <row r="9093" spans="1:13" x14ac:dyDescent="0.25">
      <c r="A9093" s="417" t="s">
        <v>3385</v>
      </c>
      <c r="B9093" s="417" t="s">
        <v>2627</v>
      </c>
      <c r="C9093" s="417" t="s">
        <v>20625</v>
      </c>
      <c r="D9093" s="417" t="s">
        <v>83</v>
      </c>
      <c r="E9093" s="423">
        <v>163.4767229679089</v>
      </c>
      <c r="F9093" s="423">
        <v>167.02837114546239</v>
      </c>
      <c r="G9093" s="422">
        <v>400289.90244045272</v>
      </c>
      <c r="H9093" s="417" t="s">
        <v>2616</v>
      </c>
      <c r="I9093" s="417" t="s">
        <v>1392</v>
      </c>
      <c r="J9093" s="417" t="s">
        <v>4016</v>
      </c>
      <c r="K9093" s="417" t="s">
        <v>20626</v>
      </c>
      <c r="L9093" s="417"/>
      <c r="M9093" s="417" t="s">
        <v>28840</v>
      </c>
    </row>
    <row r="9094" spans="1:13" x14ac:dyDescent="0.25">
      <c r="A9094" s="417" t="s">
        <v>3385</v>
      </c>
      <c r="B9094" s="417" t="s">
        <v>2437</v>
      </c>
      <c r="C9094" s="417" t="s">
        <v>20627</v>
      </c>
      <c r="D9094" s="417" t="s">
        <v>88</v>
      </c>
      <c r="E9094" s="423">
        <v>2.5216131932772381</v>
      </c>
      <c r="F9094" s="423">
        <v>0.22295148287954561</v>
      </c>
      <c r="G9094" s="422">
        <v>5327.828604990058</v>
      </c>
      <c r="H9094" s="417" t="s">
        <v>2616</v>
      </c>
      <c r="I9094" s="417" t="s">
        <v>1392</v>
      </c>
      <c r="J9094" s="417" t="s">
        <v>3845</v>
      </c>
      <c r="K9094" s="417" t="s">
        <v>20628</v>
      </c>
      <c r="L9094" s="417"/>
      <c r="M9094" s="417" t="s">
        <v>28840</v>
      </c>
    </row>
    <row r="9095" spans="1:13" x14ac:dyDescent="0.25">
      <c r="A9095" s="417" t="s">
        <v>3385</v>
      </c>
      <c r="B9095" s="417" t="s">
        <v>3655</v>
      </c>
      <c r="C9095" s="417" t="s">
        <v>20629</v>
      </c>
      <c r="D9095" s="417" t="s">
        <v>989</v>
      </c>
      <c r="E9095" s="423">
        <v>13486.974213005829</v>
      </c>
      <c r="F9095" s="423">
        <v>6293.057449677739</v>
      </c>
      <c r="G9095" s="422">
        <v>29477557.012172189</v>
      </c>
      <c r="H9095" s="417" t="s">
        <v>2616</v>
      </c>
      <c r="I9095" s="417" t="s">
        <v>1392</v>
      </c>
      <c r="J9095" s="417" t="s">
        <v>3657</v>
      </c>
      <c r="K9095" s="417" t="s">
        <v>20630</v>
      </c>
      <c r="L9095" s="417"/>
      <c r="M9095" s="417" t="s">
        <v>28840</v>
      </c>
    </row>
    <row r="9096" spans="1:13" x14ac:dyDescent="0.25">
      <c r="A9096" s="417" t="s">
        <v>3385</v>
      </c>
      <c r="B9096" s="417" t="s">
        <v>3655</v>
      </c>
      <c r="C9096" s="417" t="s">
        <v>20631</v>
      </c>
      <c r="D9096" s="417" t="s">
        <v>989</v>
      </c>
      <c r="E9096" s="423">
        <v>380.36525105038902</v>
      </c>
      <c r="F9096" s="423">
        <v>149.21090373103061</v>
      </c>
      <c r="G9096" s="422">
        <v>1074359.0713900949</v>
      </c>
      <c r="H9096" s="417" t="s">
        <v>2616</v>
      </c>
      <c r="I9096" s="417" t="s">
        <v>1392</v>
      </c>
      <c r="J9096" s="417" t="s">
        <v>7685</v>
      </c>
      <c r="K9096" s="417" t="s">
        <v>20632</v>
      </c>
      <c r="L9096" s="417"/>
      <c r="M9096" s="417" t="s">
        <v>28840</v>
      </c>
    </row>
    <row r="9097" spans="1:13" x14ac:dyDescent="0.25">
      <c r="A9097" s="417" t="s">
        <v>3385</v>
      </c>
      <c r="B9097" s="417" t="s">
        <v>3655</v>
      </c>
      <c r="C9097" s="417" t="s">
        <v>20633</v>
      </c>
      <c r="D9097" s="417" t="s">
        <v>1052</v>
      </c>
      <c r="E9097" s="423">
        <v>76.46268896737952</v>
      </c>
      <c r="F9097" s="423">
        <v>2.7119711618629552</v>
      </c>
      <c r="G9097" s="422">
        <v>141078.81467076621</v>
      </c>
      <c r="H9097" s="417" t="s">
        <v>2616</v>
      </c>
      <c r="I9097" s="417" t="s">
        <v>1392</v>
      </c>
      <c r="J9097" s="417" t="s">
        <v>3918</v>
      </c>
      <c r="K9097" s="417" t="s">
        <v>20634</v>
      </c>
      <c r="L9097" s="417"/>
      <c r="M9097" s="417" t="s">
        <v>28840</v>
      </c>
    </row>
    <row r="9098" spans="1:13" x14ac:dyDescent="0.25">
      <c r="A9098" s="417" t="s">
        <v>3385</v>
      </c>
      <c r="B9098" s="417" t="s">
        <v>3655</v>
      </c>
      <c r="C9098" s="417" t="s">
        <v>20635</v>
      </c>
      <c r="D9098" s="417" t="s">
        <v>1052</v>
      </c>
      <c r="E9098" s="423">
        <v>11.904167156492701</v>
      </c>
      <c r="F9098" s="423">
        <v>0.80932745576618514</v>
      </c>
      <c r="G9098" s="422">
        <v>22873.8051285328</v>
      </c>
      <c r="H9098" s="417" t="s">
        <v>2616</v>
      </c>
      <c r="I9098" s="417" t="s">
        <v>1392</v>
      </c>
      <c r="J9098" s="417" t="s">
        <v>3918</v>
      </c>
      <c r="K9098" s="417" t="s">
        <v>20636</v>
      </c>
      <c r="L9098" s="417"/>
      <c r="M9098" s="417" t="s">
        <v>28840</v>
      </c>
    </row>
    <row r="9099" spans="1:13" x14ac:dyDescent="0.25">
      <c r="A9099" s="417" t="s">
        <v>3385</v>
      </c>
      <c r="B9099" s="417" t="s">
        <v>3655</v>
      </c>
      <c r="C9099" s="417" t="s">
        <v>20637</v>
      </c>
      <c r="D9099" s="417" t="s">
        <v>1052</v>
      </c>
      <c r="E9099" s="423">
        <v>68.414124711869505</v>
      </c>
      <c r="F9099" s="423">
        <v>2.40615103796417</v>
      </c>
      <c r="G9099" s="422">
        <v>128249.4449930251</v>
      </c>
      <c r="H9099" s="417" t="s">
        <v>2616</v>
      </c>
      <c r="I9099" s="417" t="s">
        <v>1392</v>
      </c>
      <c r="J9099" s="417" t="s">
        <v>3918</v>
      </c>
      <c r="K9099" s="417" t="s">
        <v>20638</v>
      </c>
      <c r="L9099" s="417"/>
      <c r="M9099" s="417" t="s">
        <v>28840</v>
      </c>
    </row>
    <row r="9100" spans="1:13" x14ac:dyDescent="0.25">
      <c r="A9100" s="417" t="s">
        <v>3385</v>
      </c>
      <c r="B9100" s="417" t="s">
        <v>3655</v>
      </c>
      <c r="C9100" s="417" t="s">
        <v>20639</v>
      </c>
      <c r="D9100" s="417" t="s">
        <v>1052</v>
      </c>
      <c r="E9100" s="423">
        <v>26.75030842109058</v>
      </c>
      <c r="F9100" s="423">
        <v>1.519871409283502</v>
      </c>
      <c r="G9100" s="422">
        <v>51014.311134425247</v>
      </c>
      <c r="H9100" s="417" t="s">
        <v>2616</v>
      </c>
      <c r="I9100" s="417" t="s">
        <v>1392</v>
      </c>
      <c r="J9100" s="417" t="s">
        <v>3918</v>
      </c>
      <c r="K9100" s="417" t="s">
        <v>20640</v>
      </c>
      <c r="L9100" s="417"/>
      <c r="M9100" s="417" t="s">
        <v>28840</v>
      </c>
    </row>
    <row r="9101" spans="1:13" x14ac:dyDescent="0.25">
      <c r="A9101" s="417" t="s">
        <v>3385</v>
      </c>
      <c r="B9101" s="417" t="s">
        <v>3655</v>
      </c>
      <c r="C9101" s="417" t="s">
        <v>20641</v>
      </c>
      <c r="D9101" s="417" t="s">
        <v>1052</v>
      </c>
      <c r="E9101" s="423">
        <v>23.864603288664291</v>
      </c>
      <c r="F9101" s="423">
        <v>1.541525125738016</v>
      </c>
      <c r="G9101" s="422">
        <v>45487.634916042509</v>
      </c>
      <c r="H9101" s="417" t="s">
        <v>2616</v>
      </c>
      <c r="I9101" s="417" t="s">
        <v>1392</v>
      </c>
      <c r="J9101" s="417" t="s">
        <v>3918</v>
      </c>
      <c r="K9101" s="417" t="s">
        <v>20642</v>
      </c>
      <c r="L9101" s="417"/>
      <c r="M9101" s="417" t="s">
        <v>28840</v>
      </c>
    </row>
    <row r="9102" spans="1:13" x14ac:dyDescent="0.25">
      <c r="A9102" s="417" t="s">
        <v>3385</v>
      </c>
      <c r="B9102" s="417" t="s">
        <v>3655</v>
      </c>
      <c r="C9102" s="417" t="s">
        <v>20643</v>
      </c>
      <c r="D9102" s="417" t="s">
        <v>1052</v>
      </c>
      <c r="E9102" s="423">
        <v>126.9631438321929</v>
      </c>
      <c r="F9102" s="423">
        <v>4.2948567442201142</v>
      </c>
      <c r="G9102" s="422">
        <v>234153.42038653599</v>
      </c>
      <c r="H9102" s="417" t="s">
        <v>2616</v>
      </c>
      <c r="I9102" s="417" t="s">
        <v>1392</v>
      </c>
      <c r="J9102" s="417" t="s">
        <v>3918</v>
      </c>
      <c r="K9102" s="417" t="s">
        <v>20644</v>
      </c>
      <c r="L9102" s="417"/>
      <c r="M9102" s="417" t="s">
        <v>28840</v>
      </c>
    </row>
    <row r="9103" spans="1:13" x14ac:dyDescent="0.25">
      <c r="A9103" s="417" t="s">
        <v>3385</v>
      </c>
      <c r="B9103" s="417" t="s">
        <v>3655</v>
      </c>
      <c r="C9103" s="417" t="s">
        <v>20645</v>
      </c>
      <c r="D9103" s="417" t="s">
        <v>1052</v>
      </c>
      <c r="E9103" s="423">
        <v>26.148700013908659</v>
      </c>
      <c r="F9103" s="423">
        <v>1.4166058752921999</v>
      </c>
      <c r="G9103" s="422">
        <v>50067.222832258311</v>
      </c>
      <c r="H9103" s="417" t="s">
        <v>2616</v>
      </c>
      <c r="I9103" s="417" t="s">
        <v>1392</v>
      </c>
      <c r="J9103" s="417" t="s">
        <v>3918</v>
      </c>
      <c r="K9103" s="417" t="s">
        <v>20646</v>
      </c>
      <c r="L9103" s="417"/>
      <c r="M9103" s="417" t="s">
        <v>28840</v>
      </c>
    </row>
    <row r="9104" spans="1:13" x14ac:dyDescent="0.25">
      <c r="A9104" s="417" t="s">
        <v>3385</v>
      </c>
      <c r="B9104" s="417" t="s">
        <v>2627</v>
      </c>
      <c r="C9104" s="417" t="s">
        <v>20647</v>
      </c>
      <c r="D9104" s="417" t="s">
        <v>563</v>
      </c>
      <c r="E9104" s="423">
        <v>78.821510437726928</v>
      </c>
      <c r="F9104" s="423">
        <v>2.3089154518186148</v>
      </c>
      <c r="G9104" s="422">
        <v>197153.98329770609</v>
      </c>
      <c r="H9104" s="417" t="s">
        <v>2616</v>
      </c>
      <c r="I9104" s="417" t="s">
        <v>1392</v>
      </c>
      <c r="J9104" s="417" t="s">
        <v>3915</v>
      </c>
      <c r="K9104" s="417" t="s">
        <v>20648</v>
      </c>
      <c r="L9104" s="417"/>
      <c r="M9104" s="417" t="s">
        <v>28840</v>
      </c>
    </row>
    <row r="9105" spans="1:13" x14ac:dyDescent="0.25">
      <c r="A9105" s="417" t="s">
        <v>3385</v>
      </c>
      <c r="B9105" s="417" t="s">
        <v>3655</v>
      </c>
      <c r="C9105" s="417" t="s">
        <v>20649</v>
      </c>
      <c r="D9105" s="417" t="s">
        <v>563</v>
      </c>
      <c r="E9105" s="423">
        <v>3.1640393016375099</v>
      </c>
      <c r="F9105" s="423">
        <v>7.9994493457658647E-2</v>
      </c>
      <c r="G9105" s="422">
        <v>6503.0772071398651</v>
      </c>
      <c r="H9105" s="417" t="s">
        <v>2616</v>
      </c>
      <c r="I9105" s="417" t="s">
        <v>1392</v>
      </c>
      <c r="J9105" s="417" t="s">
        <v>3902</v>
      </c>
      <c r="K9105" s="417" t="s">
        <v>20650</v>
      </c>
      <c r="L9105" s="417"/>
      <c r="M9105" s="417" t="s">
        <v>28840</v>
      </c>
    </row>
    <row r="9106" spans="1:13" x14ac:dyDescent="0.25">
      <c r="A9106" s="417" t="s">
        <v>3385</v>
      </c>
      <c r="B9106" s="417" t="s">
        <v>2627</v>
      </c>
      <c r="C9106" s="417" t="s">
        <v>1110</v>
      </c>
      <c r="D9106" s="417" t="s">
        <v>88</v>
      </c>
      <c r="E9106" s="423">
        <v>12.225824498018531</v>
      </c>
      <c r="F9106" s="423">
        <v>0.85152432819093116</v>
      </c>
      <c r="G9106" s="422">
        <v>72028.025887391879</v>
      </c>
      <c r="H9106" s="417" t="s">
        <v>2616</v>
      </c>
      <c r="I9106" s="417" t="s">
        <v>28841</v>
      </c>
      <c r="J9106" s="417" t="s">
        <v>3915</v>
      </c>
      <c r="K9106" s="417" t="s">
        <v>20651</v>
      </c>
      <c r="L9106" s="417"/>
      <c r="M9106" s="417" t="s">
        <v>28840</v>
      </c>
    </row>
    <row r="9107" spans="1:13" x14ac:dyDescent="0.25">
      <c r="A9107" s="417" t="s">
        <v>3385</v>
      </c>
      <c r="B9107" s="417" t="s">
        <v>2437</v>
      </c>
      <c r="C9107" s="417" t="s">
        <v>20652</v>
      </c>
      <c r="D9107" s="417" t="s">
        <v>88</v>
      </c>
      <c r="E9107" s="423">
        <v>3.9026753913877261</v>
      </c>
      <c r="F9107" s="423">
        <v>0.20492398538266399</v>
      </c>
      <c r="G9107" s="422">
        <v>7216.6298974098163</v>
      </c>
      <c r="H9107" s="417" t="s">
        <v>2616</v>
      </c>
      <c r="I9107" s="417" t="s">
        <v>1392</v>
      </c>
      <c r="J9107" s="417" t="s">
        <v>4414</v>
      </c>
      <c r="K9107" s="417" t="s">
        <v>20653</v>
      </c>
      <c r="L9107" s="417"/>
      <c r="M9107" s="417" t="s">
        <v>28840</v>
      </c>
    </row>
    <row r="9108" spans="1:13" x14ac:dyDescent="0.25">
      <c r="A9108" s="417" t="s">
        <v>3385</v>
      </c>
      <c r="B9108" s="417" t="s">
        <v>2627</v>
      </c>
      <c r="C9108" s="417" t="s">
        <v>20654</v>
      </c>
      <c r="D9108" s="417" t="s">
        <v>88</v>
      </c>
      <c r="E9108" s="423">
        <v>5.0738680279197093</v>
      </c>
      <c r="F9108" s="423">
        <v>4.3807299999999993E-2</v>
      </c>
      <c r="G9108" s="422">
        <v>8947.0848773983234</v>
      </c>
      <c r="H9108" s="417" t="s">
        <v>2616</v>
      </c>
      <c r="I9108" s="417" t="s">
        <v>1392</v>
      </c>
      <c r="J9108" s="417" t="s">
        <v>3742</v>
      </c>
      <c r="K9108" s="417" t="s">
        <v>20655</v>
      </c>
      <c r="L9108" s="417"/>
      <c r="M9108" s="417" t="s">
        <v>28840</v>
      </c>
    </row>
    <row r="9109" spans="1:13" x14ac:dyDescent="0.25">
      <c r="A9109" s="417" t="s">
        <v>3385</v>
      </c>
      <c r="B9109" s="417" t="s">
        <v>2627</v>
      </c>
      <c r="C9109" s="417" t="s">
        <v>20656</v>
      </c>
      <c r="D9109" s="417" t="s">
        <v>88</v>
      </c>
      <c r="E9109" s="423">
        <v>4.1621441795062966</v>
      </c>
      <c r="F9109" s="423">
        <v>6.7893000000000009E-2</v>
      </c>
      <c r="G9109" s="422">
        <v>7971.5847842254734</v>
      </c>
      <c r="H9109" s="417" t="s">
        <v>2616</v>
      </c>
      <c r="I9109" s="417" t="s">
        <v>1392</v>
      </c>
      <c r="J9109" s="417" t="s">
        <v>3742</v>
      </c>
      <c r="K9109" s="417" t="s">
        <v>20657</v>
      </c>
      <c r="L9109" s="417"/>
      <c r="M9109" s="417" t="s">
        <v>28840</v>
      </c>
    </row>
    <row r="9110" spans="1:13" x14ac:dyDescent="0.25">
      <c r="A9110" s="417" t="s">
        <v>3385</v>
      </c>
      <c r="B9110" s="417" t="s">
        <v>2627</v>
      </c>
      <c r="C9110" s="417" t="s">
        <v>945</v>
      </c>
      <c r="D9110" s="417" t="s">
        <v>88</v>
      </c>
      <c r="E9110" s="423">
        <v>4.618006103713002</v>
      </c>
      <c r="F9110" s="423">
        <v>5.5850150000000001E-2</v>
      </c>
      <c r="G9110" s="422">
        <v>8459.3348308118984</v>
      </c>
      <c r="H9110" s="417" t="s">
        <v>2616</v>
      </c>
      <c r="I9110" s="417" t="s">
        <v>28841</v>
      </c>
      <c r="J9110" s="417" t="s">
        <v>3742</v>
      </c>
      <c r="K9110" s="417" t="s">
        <v>20658</v>
      </c>
      <c r="L9110" s="417"/>
      <c r="M9110" s="417" t="s">
        <v>28840</v>
      </c>
    </row>
    <row r="9111" spans="1:13" x14ac:dyDescent="0.25">
      <c r="A9111" s="417" t="s">
        <v>3385</v>
      </c>
      <c r="B9111" s="417" t="s">
        <v>2627</v>
      </c>
      <c r="C9111" s="417" t="s">
        <v>1111</v>
      </c>
      <c r="D9111" s="417" t="s">
        <v>88</v>
      </c>
      <c r="E9111" s="423">
        <v>3.7267130076848471</v>
      </c>
      <c r="F9111" s="423">
        <v>0.10240931220261069</v>
      </c>
      <c r="G9111" s="422">
        <v>27758.068486140121</v>
      </c>
      <c r="H9111" s="417" t="s">
        <v>2616</v>
      </c>
      <c r="I9111" s="417" t="s">
        <v>28841</v>
      </c>
      <c r="J9111" s="417" t="s">
        <v>3915</v>
      </c>
      <c r="K9111" s="417" t="s">
        <v>20659</v>
      </c>
      <c r="L9111" s="417"/>
      <c r="M9111" s="417" t="s">
        <v>28840</v>
      </c>
    </row>
    <row r="9112" spans="1:13" x14ac:dyDescent="0.25">
      <c r="A9112" s="417" t="s">
        <v>3385</v>
      </c>
      <c r="B9112" s="417" t="s">
        <v>2627</v>
      </c>
      <c r="C9112" s="417" t="s">
        <v>20660</v>
      </c>
      <c r="D9112" s="417" t="s">
        <v>88</v>
      </c>
      <c r="E9112" s="423">
        <v>3.7267130076848471</v>
      </c>
      <c r="F9112" s="423">
        <v>0.10240931220261069</v>
      </c>
      <c r="G9112" s="422">
        <v>27421.86848614012</v>
      </c>
      <c r="H9112" s="417" t="s">
        <v>2616</v>
      </c>
      <c r="I9112" s="417" t="s">
        <v>1392</v>
      </c>
      <c r="J9112" s="417" t="s">
        <v>3627</v>
      </c>
      <c r="K9112" s="417" t="s">
        <v>20661</v>
      </c>
      <c r="L9112" s="417"/>
      <c r="M9112" s="417" t="s">
        <v>28840</v>
      </c>
    </row>
    <row r="9113" spans="1:13" x14ac:dyDescent="0.25">
      <c r="A9113" s="417" t="s">
        <v>3385</v>
      </c>
      <c r="B9113" s="417" t="s">
        <v>2627</v>
      </c>
      <c r="C9113" s="417" t="s">
        <v>20662</v>
      </c>
      <c r="D9113" s="417" t="s">
        <v>88</v>
      </c>
      <c r="E9113" s="423">
        <v>6.5863239449001769</v>
      </c>
      <c r="F9113" s="423">
        <v>4.0505235553373847E-2</v>
      </c>
      <c r="G9113" s="422">
        <v>8959.0497269339776</v>
      </c>
      <c r="H9113" s="417" t="s">
        <v>2616</v>
      </c>
      <c r="I9113" s="417" t="s">
        <v>1392</v>
      </c>
      <c r="J9113" s="417" t="s">
        <v>3396</v>
      </c>
      <c r="K9113" s="417" t="s">
        <v>20663</v>
      </c>
      <c r="L9113" s="417"/>
      <c r="M9113" s="417" t="s">
        <v>28840</v>
      </c>
    </row>
    <row r="9114" spans="1:13" x14ac:dyDescent="0.25">
      <c r="A9114" s="417" t="s">
        <v>3385</v>
      </c>
      <c r="B9114" s="417" t="s">
        <v>2627</v>
      </c>
      <c r="C9114" s="417" t="s">
        <v>969</v>
      </c>
      <c r="D9114" s="417" t="s">
        <v>88</v>
      </c>
      <c r="E9114" s="423">
        <v>1.5546590255624111</v>
      </c>
      <c r="F9114" s="423">
        <v>3.3070201525267772E-3</v>
      </c>
      <c r="G9114" s="422">
        <v>2277.7931120739299</v>
      </c>
      <c r="H9114" s="417" t="s">
        <v>2616</v>
      </c>
      <c r="I9114" s="417" t="s">
        <v>28841</v>
      </c>
      <c r="J9114" s="417" t="s">
        <v>3396</v>
      </c>
      <c r="K9114" s="417" t="s">
        <v>20664</v>
      </c>
      <c r="L9114" s="417"/>
      <c r="M9114" s="417" t="s">
        <v>28840</v>
      </c>
    </row>
    <row r="9115" spans="1:13" x14ac:dyDescent="0.25">
      <c r="A9115" s="417" t="s">
        <v>3385</v>
      </c>
      <c r="B9115" s="417" t="s">
        <v>2627</v>
      </c>
      <c r="C9115" s="417" t="s">
        <v>20665</v>
      </c>
      <c r="D9115" s="417" t="s">
        <v>989</v>
      </c>
      <c r="E9115" s="423">
        <v>1.3588025885053601</v>
      </c>
      <c r="F9115" s="423">
        <v>3.1059589075477081E-2</v>
      </c>
      <c r="G9115" s="422">
        <v>1777.278820981895</v>
      </c>
      <c r="H9115" s="417" t="s">
        <v>2616</v>
      </c>
      <c r="I9115" s="417" t="s">
        <v>1392</v>
      </c>
      <c r="J9115" s="417" t="s">
        <v>3948</v>
      </c>
      <c r="K9115" s="417" t="s">
        <v>20666</v>
      </c>
      <c r="L9115" s="417"/>
      <c r="M9115" s="417" t="s">
        <v>28840</v>
      </c>
    </row>
    <row r="9116" spans="1:13" x14ac:dyDescent="0.25">
      <c r="A9116" s="417" t="s">
        <v>3385</v>
      </c>
      <c r="B9116" s="417" t="s">
        <v>2627</v>
      </c>
      <c r="C9116" s="417" t="s">
        <v>20667</v>
      </c>
      <c r="D9116" s="417" t="s">
        <v>88</v>
      </c>
      <c r="E9116" s="423">
        <v>12.256354311004531</v>
      </c>
      <c r="F9116" s="423">
        <v>0.37656039059691782</v>
      </c>
      <c r="G9116" s="422">
        <v>22514.323314921388</v>
      </c>
      <c r="H9116" s="417" t="s">
        <v>2616</v>
      </c>
      <c r="I9116" s="417" t="s">
        <v>1392</v>
      </c>
      <c r="J9116" s="417" t="s">
        <v>11552</v>
      </c>
      <c r="K9116" s="417" t="s">
        <v>20668</v>
      </c>
      <c r="L9116" s="417"/>
      <c r="M9116" s="417" t="s">
        <v>28840</v>
      </c>
    </row>
    <row r="9117" spans="1:13" x14ac:dyDescent="0.25">
      <c r="A9117" s="417" t="s">
        <v>3385</v>
      </c>
      <c r="B9117" s="417" t="s">
        <v>2627</v>
      </c>
      <c r="C9117" s="417" t="s">
        <v>20669</v>
      </c>
      <c r="D9117" s="417" t="s">
        <v>88</v>
      </c>
      <c r="E9117" s="423">
        <v>12.117957468788561</v>
      </c>
      <c r="F9117" s="423">
        <v>0.37559924580470139</v>
      </c>
      <c r="G9117" s="422">
        <v>22336.100776993979</v>
      </c>
      <c r="H9117" s="417" t="s">
        <v>2616</v>
      </c>
      <c r="I9117" s="417" t="s">
        <v>1392</v>
      </c>
      <c r="J9117" s="417" t="s">
        <v>11552</v>
      </c>
      <c r="K9117" s="417" t="s">
        <v>20670</v>
      </c>
      <c r="L9117" s="417"/>
      <c r="M9117" s="417" t="s">
        <v>28840</v>
      </c>
    </row>
    <row r="9118" spans="1:13" x14ac:dyDescent="0.25">
      <c r="A9118" s="417" t="s">
        <v>3385</v>
      </c>
      <c r="B9118" s="417" t="s">
        <v>2627</v>
      </c>
      <c r="C9118" s="417" t="s">
        <v>20671</v>
      </c>
      <c r="D9118" s="417" t="s">
        <v>88</v>
      </c>
      <c r="E9118" s="423">
        <v>0.30639651017294928</v>
      </c>
      <c r="F9118" s="423">
        <v>8.8588487498898784E-3</v>
      </c>
      <c r="G9118" s="422">
        <v>654.70328802622078</v>
      </c>
      <c r="H9118" s="417" t="s">
        <v>2616</v>
      </c>
      <c r="I9118" s="417" t="s">
        <v>1392</v>
      </c>
      <c r="J9118" s="417" t="s">
        <v>11552</v>
      </c>
      <c r="K9118" s="417" t="s">
        <v>20672</v>
      </c>
      <c r="L9118" s="417"/>
      <c r="M9118" s="417" t="s">
        <v>28840</v>
      </c>
    </row>
    <row r="9119" spans="1:13" x14ac:dyDescent="0.25">
      <c r="A9119" s="417" t="s">
        <v>3385</v>
      </c>
      <c r="B9119" s="417" t="s">
        <v>2627</v>
      </c>
      <c r="C9119" s="417" t="s">
        <v>20673</v>
      </c>
      <c r="D9119" s="417" t="s">
        <v>88</v>
      </c>
      <c r="E9119" s="423">
        <v>0.52870130379599223</v>
      </c>
      <c r="F9119" s="423">
        <v>1.8606931395016429E-2</v>
      </c>
      <c r="G9119" s="422">
        <v>1018.183989586861</v>
      </c>
      <c r="H9119" s="417" t="s">
        <v>2616</v>
      </c>
      <c r="I9119" s="417" t="s">
        <v>1392</v>
      </c>
      <c r="J9119" s="417" t="s">
        <v>11552</v>
      </c>
      <c r="K9119" s="417" t="s">
        <v>20674</v>
      </c>
      <c r="L9119" s="417"/>
      <c r="M9119" s="417" t="s">
        <v>28840</v>
      </c>
    </row>
    <row r="9120" spans="1:13" x14ac:dyDescent="0.25">
      <c r="A9120" s="417" t="s">
        <v>3385</v>
      </c>
      <c r="B9120" s="417" t="s">
        <v>2627</v>
      </c>
      <c r="C9120" s="417" t="s">
        <v>20675</v>
      </c>
      <c r="D9120" s="417" t="s">
        <v>989</v>
      </c>
      <c r="E9120" s="423">
        <v>8.7248010033258581</v>
      </c>
      <c r="F9120" s="423">
        <v>0.39281021969942848</v>
      </c>
      <c r="G9120" s="422">
        <v>14036.921956971641</v>
      </c>
      <c r="H9120" s="417" t="s">
        <v>2616</v>
      </c>
      <c r="I9120" s="417" t="s">
        <v>1392</v>
      </c>
      <c r="J9120" s="417" t="s">
        <v>3699</v>
      </c>
      <c r="K9120" s="417" t="s">
        <v>20676</v>
      </c>
      <c r="L9120" s="417"/>
      <c r="M9120" s="417" t="s">
        <v>28840</v>
      </c>
    </row>
    <row r="9121" spans="1:13" x14ac:dyDescent="0.25">
      <c r="A9121" s="417" t="s">
        <v>3385</v>
      </c>
      <c r="B9121" s="417" t="s">
        <v>2627</v>
      </c>
      <c r="C9121" s="417" t="s">
        <v>20677</v>
      </c>
      <c r="D9121" s="417" t="s">
        <v>989</v>
      </c>
      <c r="E9121" s="423">
        <v>8.7959004130349125</v>
      </c>
      <c r="F9121" s="423">
        <v>0.39160607398935648</v>
      </c>
      <c r="G9121" s="422">
        <v>14153.681192533049</v>
      </c>
      <c r="H9121" s="417" t="s">
        <v>2616</v>
      </c>
      <c r="I9121" s="417" t="s">
        <v>1392</v>
      </c>
      <c r="J9121" s="417" t="s">
        <v>3699</v>
      </c>
      <c r="K9121" s="417" t="s">
        <v>20678</v>
      </c>
      <c r="L9121" s="417"/>
      <c r="M9121" s="417" t="s">
        <v>28840</v>
      </c>
    </row>
    <row r="9122" spans="1:13" x14ac:dyDescent="0.25">
      <c r="A9122" s="417" t="s">
        <v>3385</v>
      </c>
      <c r="B9122" s="417" t="s">
        <v>2627</v>
      </c>
      <c r="C9122" s="417" t="s">
        <v>20679</v>
      </c>
      <c r="D9122" s="417" t="s">
        <v>88</v>
      </c>
      <c r="E9122" s="423">
        <v>5.0929333405075186</v>
      </c>
      <c r="F9122" s="423">
        <v>0.1165291711304635</v>
      </c>
      <c r="G9122" s="422">
        <v>8152.6850018262394</v>
      </c>
      <c r="H9122" s="417" t="s">
        <v>2616</v>
      </c>
      <c r="I9122" s="417" t="s">
        <v>1392</v>
      </c>
      <c r="J9122" s="417" t="s">
        <v>3699</v>
      </c>
      <c r="K9122" s="417" t="s">
        <v>20680</v>
      </c>
      <c r="L9122" s="417"/>
      <c r="M9122" s="417" t="s">
        <v>28840</v>
      </c>
    </row>
    <row r="9123" spans="1:13" x14ac:dyDescent="0.25">
      <c r="A9123" s="417" t="s">
        <v>3385</v>
      </c>
      <c r="B9123" s="417" t="s">
        <v>2627</v>
      </c>
      <c r="C9123" s="417" t="s">
        <v>20681</v>
      </c>
      <c r="D9123" s="417" t="s">
        <v>88</v>
      </c>
      <c r="E9123" s="423">
        <v>39.726047350573353</v>
      </c>
      <c r="F9123" s="423">
        <v>4.3892931540403612</v>
      </c>
      <c r="G9123" s="422">
        <v>61569.01888803683</v>
      </c>
      <c r="H9123" s="417" t="s">
        <v>2616</v>
      </c>
      <c r="I9123" s="417" t="s">
        <v>1392</v>
      </c>
      <c r="J9123" s="417" t="s">
        <v>3699</v>
      </c>
      <c r="K9123" s="417" t="s">
        <v>20682</v>
      </c>
      <c r="L9123" s="417"/>
      <c r="M9123" s="417" t="s">
        <v>28840</v>
      </c>
    </row>
    <row r="9124" spans="1:13" x14ac:dyDescent="0.25">
      <c r="A9124" s="417" t="s">
        <v>3385</v>
      </c>
      <c r="B9124" s="417" t="s">
        <v>2627</v>
      </c>
      <c r="C9124" s="417" t="s">
        <v>987</v>
      </c>
      <c r="D9124" s="417" t="s">
        <v>88</v>
      </c>
      <c r="E9124" s="423">
        <v>5.3663926087436584</v>
      </c>
      <c r="F9124" s="423">
        <v>0.11189784159760741</v>
      </c>
      <c r="G9124" s="422">
        <v>8601.7589890142572</v>
      </c>
      <c r="H9124" s="417" t="s">
        <v>2616</v>
      </c>
      <c r="I9124" s="417" t="s">
        <v>28841</v>
      </c>
      <c r="J9124" s="417" t="s">
        <v>3699</v>
      </c>
      <c r="K9124" s="417" t="s">
        <v>20683</v>
      </c>
      <c r="L9124" s="417"/>
      <c r="M9124" s="417" t="s">
        <v>28840</v>
      </c>
    </row>
    <row r="9125" spans="1:13" x14ac:dyDescent="0.25">
      <c r="A9125" s="417" t="s">
        <v>3385</v>
      </c>
      <c r="B9125" s="417" t="s">
        <v>2627</v>
      </c>
      <c r="C9125" s="417" t="s">
        <v>20684</v>
      </c>
      <c r="D9125" s="417" t="s">
        <v>88</v>
      </c>
      <c r="E9125" s="423">
        <v>37.090479373900628</v>
      </c>
      <c r="F9125" s="423">
        <v>4.3837810257840104</v>
      </c>
      <c r="G9125" s="422">
        <v>59032.728647908603</v>
      </c>
      <c r="H9125" s="417" t="s">
        <v>2616</v>
      </c>
      <c r="I9125" s="417" t="s">
        <v>1392</v>
      </c>
      <c r="J9125" s="417" t="s">
        <v>3699</v>
      </c>
      <c r="K9125" s="417" t="s">
        <v>20685</v>
      </c>
      <c r="L9125" s="417"/>
      <c r="M9125" s="417" t="s">
        <v>28840</v>
      </c>
    </row>
    <row r="9126" spans="1:13" x14ac:dyDescent="0.25">
      <c r="A9126" s="417" t="s">
        <v>3385</v>
      </c>
      <c r="B9126" s="417" t="s">
        <v>2627</v>
      </c>
      <c r="C9126" s="417" t="s">
        <v>20686</v>
      </c>
      <c r="D9126" s="417" t="s">
        <v>989</v>
      </c>
      <c r="E9126" s="423">
        <v>483.46601242578117</v>
      </c>
      <c r="F9126" s="423">
        <v>18.735193303126959</v>
      </c>
      <c r="G9126" s="422">
        <v>2441067.6197815081</v>
      </c>
      <c r="H9126" s="417" t="s">
        <v>2616</v>
      </c>
      <c r="I9126" s="417" t="s">
        <v>1392</v>
      </c>
      <c r="J9126" s="417" t="s">
        <v>4294</v>
      </c>
      <c r="K9126" s="417" t="s">
        <v>20687</v>
      </c>
      <c r="L9126" s="417"/>
      <c r="M9126" s="417" t="s">
        <v>28840</v>
      </c>
    </row>
    <row r="9127" spans="1:13" x14ac:dyDescent="0.25">
      <c r="A9127" s="417" t="s">
        <v>3385</v>
      </c>
      <c r="B9127" s="417" t="s">
        <v>3655</v>
      </c>
      <c r="C9127" s="417" t="s">
        <v>20688</v>
      </c>
      <c r="D9127" s="417" t="s">
        <v>83</v>
      </c>
      <c r="E9127" s="423">
        <v>133.47531074267869</v>
      </c>
      <c r="F9127" s="423">
        <v>4.2753722858620211</v>
      </c>
      <c r="G9127" s="422">
        <v>237241.45462260381</v>
      </c>
      <c r="H9127" s="417" t="s">
        <v>2616</v>
      </c>
      <c r="I9127" s="417" t="s">
        <v>1392</v>
      </c>
      <c r="J9127" s="417" t="s">
        <v>3657</v>
      </c>
      <c r="K9127" s="417" t="s">
        <v>20689</v>
      </c>
      <c r="L9127" s="417"/>
      <c r="M9127" s="417" t="s">
        <v>28840</v>
      </c>
    </row>
    <row r="9128" spans="1:13" x14ac:dyDescent="0.25">
      <c r="A9128" s="417" t="s">
        <v>3385</v>
      </c>
      <c r="B9128" s="417" t="s">
        <v>2437</v>
      </c>
      <c r="C9128" s="417" t="s">
        <v>20690</v>
      </c>
      <c r="D9128" s="417" t="s">
        <v>593</v>
      </c>
      <c r="E9128" s="423">
        <v>0.41297462993167522</v>
      </c>
      <c r="F9128" s="423">
        <v>2.6568508636623109E-2</v>
      </c>
      <c r="G9128" s="422">
        <v>1634.8520106503149</v>
      </c>
      <c r="H9128" s="417" t="s">
        <v>2616</v>
      </c>
      <c r="I9128" s="417" t="s">
        <v>1392</v>
      </c>
      <c r="J9128" s="417" t="s">
        <v>5056</v>
      </c>
      <c r="K9128" s="417" t="s">
        <v>20691</v>
      </c>
      <c r="L9128" s="417"/>
      <c r="M9128" s="417" t="s">
        <v>28840</v>
      </c>
    </row>
    <row r="9129" spans="1:13" x14ac:dyDescent="0.25">
      <c r="A9129" s="417" t="s">
        <v>3385</v>
      </c>
      <c r="B9129" s="417" t="s">
        <v>2437</v>
      </c>
      <c r="C9129" s="417" t="s">
        <v>20692</v>
      </c>
      <c r="D9129" s="417" t="s">
        <v>18938</v>
      </c>
      <c r="E9129" s="423">
        <v>1922.008589648553</v>
      </c>
      <c r="F9129" s="423">
        <v>142.918854042378</v>
      </c>
      <c r="G9129" s="422">
        <v>6246988.8473919872</v>
      </c>
      <c r="H9129" s="417" t="s">
        <v>2616</v>
      </c>
      <c r="I9129" s="417" t="s">
        <v>1392</v>
      </c>
      <c r="J9129" s="417" t="s">
        <v>5056</v>
      </c>
      <c r="K9129" s="417" t="s">
        <v>20693</v>
      </c>
      <c r="L9129" s="417"/>
      <c r="M9129" s="417" t="s">
        <v>28840</v>
      </c>
    </row>
    <row r="9130" spans="1:13" x14ac:dyDescent="0.25">
      <c r="A9130" s="417" t="s">
        <v>3385</v>
      </c>
      <c r="B9130" s="417" t="s">
        <v>2437</v>
      </c>
      <c r="C9130" s="417" t="s">
        <v>20694</v>
      </c>
      <c r="D9130" s="417" t="s">
        <v>88</v>
      </c>
      <c r="E9130" s="423">
        <v>6.712974784604909</v>
      </c>
      <c r="F9130" s="423">
        <v>0.2427384469832938</v>
      </c>
      <c r="G9130" s="422">
        <v>12771.61913680975</v>
      </c>
      <c r="H9130" s="417" t="s">
        <v>2616</v>
      </c>
      <c r="I9130" s="417" t="s">
        <v>1392</v>
      </c>
      <c r="J9130" s="417" t="s">
        <v>2638</v>
      </c>
      <c r="K9130" s="417" t="s">
        <v>20695</v>
      </c>
      <c r="L9130" s="417"/>
      <c r="M9130" s="417" t="s">
        <v>28840</v>
      </c>
    </row>
    <row r="9131" spans="1:13" x14ac:dyDescent="0.25">
      <c r="A9131" s="417" t="s">
        <v>3385</v>
      </c>
      <c r="B9131" s="417" t="s">
        <v>2437</v>
      </c>
      <c r="C9131" s="417" t="s">
        <v>20696</v>
      </c>
      <c r="D9131" s="417" t="s">
        <v>88</v>
      </c>
      <c r="E9131" s="423">
        <v>4.2821641199104379</v>
      </c>
      <c r="F9131" s="423">
        <v>9.1998507322127845E-2</v>
      </c>
      <c r="G9131" s="422">
        <v>8560.3701274128834</v>
      </c>
      <c r="H9131" s="417" t="s">
        <v>2616</v>
      </c>
      <c r="I9131" s="417" t="s">
        <v>1392</v>
      </c>
      <c r="J9131" s="417" t="s">
        <v>2638</v>
      </c>
      <c r="K9131" s="417" t="s">
        <v>20697</v>
      </c>
      <c r="L9131" s="417"/>
      <c r="M9131" s="417" t="s">
        <v>28840</v>
      </c>
    </row>
    <row r="9132" spans="1:13" x14ac:dyDescent="0.25">
      <c r="A9132" s="417" t="s">
        <v>3385</v>
      </c>
      <c r="B9132" s="417" t="s">
        <v>2437</v>
      </c>
      <c r="C9132" s="417" t="s">
        <v>20698</v>
      </c>
      <c r="D9132" s="417" t="s">
        <v>989</v>
      </c>
      <c r="E9132" s="423">
        <v>57632.599745175721</v>
      </c>
      <c r="F9132" s="423">
        <v>1909.6701188846739</v>
      </c>
      <c r="G9132" s="422">
        <v>130749882.6802423</v>
      </c>
      <c r="H9132" s="417" t="s">
        <v>2616</v>
      </c>
      <c r="I9132" s="417" t="s">
        <v>1392</v>
      </c>
      <c r="J9132" s="417" t="s">
        <v>5056</v>
      </c>
      <c r="K9132" s="417" t="s">
        <v>20699</v>
      </c>
      <c r="L9132" s="417"/>
      <c r="M9132" s="417" t="s">
        <v>28840</v>
      </c>
    </row>
    <row r="9133" spans="1:13" x14ac:dyDescent="0.25">
      <c r="A9133" s="417" t="s">
        <v>3385</v>
      </c>
      <c r="B9133" s="417" t="s">
        <v>2437</v>
      </c>
      <c r="C9133" s="417" t="s">
        <v>20700</v>
      </c>
      <c r="D9133" s="417" t="s">
        <v>4476</v>
      </c>
      <c r="E9133" s="423">
        <v>99.967779005000423</v>
      </c>
      <c r="F9133" s="423">
        <v>3.652145469481995</v>
      </c>
      <c r="G9133" s="422">
        <v>184089.03903627489</v>
      </c>
      <c r="H9133" s="417" t="s">
        <v>2616</v>
      </c>
      <c r="I9133" s="417" t="s">
        <v>1392</v>
      </c>
      <c r="J9133" s="417" t="s">
        <v>5056</v>
      </c>
      <c r="K9133" s="417" t="s">
        <v>20701</v>
      </c>
      <c r="L9133" s="417"/>
      <c r="M9133" s="417" t="s">
        <v>28840</v>
      </c>
    </row>
    <row r="9134" spans="1:13" x14ac:dyDescent="0.25">
      <c r="A9134" s="417" t="s">
        <v>3385</v>
      </c>
      <c r="B9134" s="417" t="s">
        <v>2437</v>
      </c>
      <c r="C9134" s="417" t="s">
        <v>20702</v>
      </c>
      <c r="D9134" s="417" t="s">
        <v>989</v>
      </c>
      <c r="E9134" s="423">
        <v>160378.92696129659</v>
      </c>
      <c r="F9134" s="423">
        <v>6062.6901559750904</v>
      </c>
      <c r="G9134" s="422">
        <v>358800050.08260769</v>
      </c>
      <c r="H9134" s="417" t="s">
        <v>2616</v>
      </c>
      <c r="I9134" s="417" t="s">
        <v>1392</v>
      </c>
      <c r="J9134" s="417" t="s">
        <v>4167</v>
      </c>
      <c r="K9134" s="417" t="s">
        <v>20703</v>
      </c>
      <c r="L9134" s="417"/>
      <c r="M9134" s="417" t="s">
        <v>28840</v>
      </c>
    </row>
    <row r="9135" spans="1:13" x14ac:dyDescent="0.25">
      <c r="A9135" s="417" t="s">
        <v>3385</v>
      </c>
      <c r="B9135" s="417" t="s">
        <v>2437</v>
      </c>
      <c r="C9135" s="417" t="s">
        <v>20704</v>
      </c>
      <c r="D9135" s="417" t="s">
        <v>989</v>
      </c>
      <c r="E9135" s="423">
        <v>6110.7555117297261</v>
      </c>
      <c r="F9135" s="423">
        <v>251.81798979301979</v>
      </c>
      <c r="G9135" s="422">
        <v>43083704.236215889</v>
      </c>
      <c r="H9135" s="417" t="s">
        <v>2616</v>
      </c>
      <c r="I9135" s="417" t="s">
        <v>1392</v>
      </c>
      <c r="J9135" s="417" t="s">
        <v>11338</v>
      </c>
      <c r="K9135" s="417" t="s">
        <v>20705</v>
      </c>
      <c r="L9135" s="417"/>
      <c r="M9135" s="417" t="s">
        <v>28840</v>
      </c>
    </row>
    <row r="9136" spans="1:13" x14ac:dyDescent="0.25">
      <c r="A9136" s="417" t="s">
        <v>3385</v>
      </c>
      <c r="B9136" s="417" t="s">
        <v>2627</v>
      </c>
      <c r="C9136" s="417" t="s">
        <v>20706</v>
      </c>
      <c r="D9136" s="417" t="s">
        <v>88</v>
      </c>
      <c r="E9136" s="423">
        <v>5.1879781466717576</v>
      </c>
      <c r="F9136" s="423">
        <v>8.2728369992817352E-2</v>
      </c>
      <c r="G9136" s="422">
        <v>12262.71508083011</v>
      </c>
      <c r="H9136" s="417" t="s">
        <v>2616</v>
      </c>
      <c r="I9136" s="417" t="s">
        <v>1392</v>
      </c>
      <c r="J9136" s="417" t="s">
        <v>3896</v>
      </c>
      <c r="K9136" s="417" t="s">
        <v>20707</v>
      </c>
      <c r="L9136" s="417"/>
      <c r="M9136" s="417" t="s">
        <v>28840</v>
      </c>
    </row>
    <row r="9137" spans="1:13" x14ac:dyDescent="0.25">
      <c r="A9137" s="417" t="s">
        <v>3385</v>
      </c>
      <c r="B9137" s="417" t="s">
        <v>2627</v>
      </c>
      <c r="C9137" s="417" t="s">
        <v>20708</v>
      </c>
      <c r="D9137" s="417" t="s">
        <v>88</v>
      </c>
      <c r="E9137" s="423">
        <v>2.9688604700305028</v>
      </c>
      <c r="F9137" s="423">
        <v>8.6086092219587684E-2</v>
      </c>
      <c r="G9137" s="422">
        <v>10742.08544383051</v>
      </c>
      <c r="H9137" s="417" t="s">
        <v>2616</v>
      </c>
      <c r="I9137" s="417" t="s">
        <v>1392</v>
      </c>
      <c r="J9137" s="417" t="s">
        <v>3896</v>
      </c>
      <c r="K9137" s="417" t="s">
        <v>20709</v>
      </c>
      <c r="L9137" s="417"/>
      <c r="M9137" s="417" t="s">
        <v>28840</v>
      </c>
    </row>
    <row r="9138" spans="1:13" x14ac:dyDescent="0.25">
      <c r="A9138" s="417" t="s">
        <v>3385</v>
      </c>
      <c r="B9138" s="417" t="s">
        <v>2437</v>
      </c>
      <c r="C9138" s="417" t="s">
        <v>20710</v>
      </c>
      <c r="D9138" s="417" t="s">
        <v>989</v>
      </c>
      <c r="E9138" s="423">
        <v>745.53026154136353</v>
      </c>
      <c r="F9138" s="423">
        <v>12.180014157787941</v>
      </c>
      <c r="G9138" s="422">
        <v>1760607.2317905221</v>
      </c>
      <c r="H9138" s="417" t="s">
        <v>2616</v>
      </c>
      <c r="I9138" s="417" t="s">
        <v>1392</v>
      </c>
      <c r="J9138" s="417" t="s">
        <v>4167</v>
      </c>
      <c r="K9138" s="417" t="s">
        <v>20711</v>
      </c>
      <c r="L9138" s="417"/>
      <c r="M9138" s="417" t="s">
        <v>28840</v>
      </c>
    </row>
    <row r="9139" spans="1:13" x14ac:dyDescent="0.25">
      <c r="A9139" s="417" t="s">
        <v>3385</v>
      </c>
      <c r="B9139" s="417" t="s">
        <v>2627</v>
      </c>
      <c r="C9139" s="417" t="s">
        <v>20712</v>
      </c>
      <c r="D9139" s="417" t="s">
        <v>88</v>
      </c>
      <c r="E9139" s="423">
        <v>151.29442462727059</v>
      </c>
      <c r="F9139" s="423">
        <v>5.5640239461142951</v>
      </c>
      <c r="G9139" s="422">
        <v>764736.26376752288</v>
      </c>
      <c r="H9139" s="417" t="s">
        <v>2616</v>
      </c>
      <c r="I9139" s="417" t="s">
        <v>1392</v>
      </c>
      <c r="J9139" s="417" t="s">
        <v>3899</v>
      </c>
      <c r="K9139" s="417" t="s">
        <v>20713</v>
      </c>
      <c r="L9139" s="417"/>
      <c r="M9139" s="417" t="s">
        <v>28840</v>
      </c>
    </row>
    <row r="9140" spans="1:13" x14ac:dyDescent="0.25">
      <c r="A9140" s="417" t="s">
        <v>3385</v>
      </c>
      <c r="B9140" s="417" t="s">
        <v>2627</v>
      </c>
      <c r="C9140" s="417" t="s">
        <v>20714</v>
      </c>
      <c r="D9140" s="417" t="s">
        <v>88</v>
      </c>
      <c r="E9140" s="423">
        <v>123.6159524543838</v>
      </c>
      <c r="F9140" s="423">
        <v>4.6180608463575652</v>
      </c>
      <c r="G9140" s="422">
        <v>390946.56941134413</v>
      </c>
      <c r="H9140" s="417" t="s">
        <v>2616</v>
      </c>
      <c r="I9140" s="417" t="s">
        <v>1392</v>
      </c>
      <c r="J9140" s="417" t="s">
        <v>3899</v>
      </c>
      <c r="K9140" s="417" t="s">
        <v>20715</v>
      </c>
      <c r="L9140" s="417"/>
      <c r="M9140" s="417" t="s">
        <v>28840</v>
      </c>
    </row>
    <row r="9141" spans="1:13" x14ac:dyDescent="0.25">
      <c r="A9141" s="417" t="s">
        <v>3385</v>
      </c>
      <c r="B9141" s="417" t="s">
        <v>2627</v>
      </c>
      <c r="C9141" s="417" t="s">
        <v>20716</v>
      </c>
      <c r="D9141" s="417" t="s">
        <v>88</v>
      </c>
      <c r="E9141" s="423">
        <v>109.8396477743017</v>
      </c>
      <c r="F9141" s="423">
        <v>4.1438563755385864</v>
      </c>
      <c r="G9141" s="422">
        <v>203333.39628919389</v>
      </c>
      <c r="H9141" s="417" t="s">
        <v>2616</v>
      </c>
      <c r="I9141" s="417" t="s">
        <v>1392</v>
      </c>
      <c r="J9141" s="417" t="s">
        <v>3899</v>
      </c>
      <c r="K9141" s="417" t="s">
        <v>20717</v>
      </c>
      <c r="L9141" s="417"/>
      <c r="M9141" s="417" t="s">
        <v>28840</v>
      </c>
    </row>
    <row r="9142" spans="1:13" x14ac:dyDescent="0.25">
      <c r="A9142" s="417" t="s">
        <v>3385</v>
      </c>
      <c r="B9142" s="417" t="s">
        <v>2627</v>
      </c>
      <c r="C9142" s="417" t="s">
        <v>20718</v>
      </c>
      <c r="D9142" s="417" t="s">
        <v>88</v>
      </c>
      <c r="E9142" s="423">
        <v>109.7174934550097</v>
      </c>
      <c r="F9142" s="423">
        <v>4.1464407602847668</v>
      </c>
      <c r="G9142" s="422">
        <v>204781.7764536427</v>
      </c>
      <c r="H9142" s="417" t="s">
        <v>2616</v>
      </c>
      <c r="I9142" s="417" t="s">
        <v>1392</v>
      </c>
      <c r="J9142" s="417" t="s">
        <v>3899</v>
      </c>
      <c r="K9142" s="417" t="s">
        <v>20719</v>
      </c>
      <c r="L9142" s="417"/>
      <c r="M9142" s="417" t="s">
        <v>28840</v>
      </c>
    </row>
    <row r="9143" spans="1:13" x14ac:dyDescent="0.25">
      <c r="A9143" s="417" t="s">
        <v>3385</v>
      </c>
      <c r="B9143" s="417" t="s">
        <v>2437</v>
      </c>
      <c r="C9143" s="417" t="s">
        <v>20720</v>
      </c>
      <c r="D9143" s="417" t="s">
        <v>3936</v>
      </c>
      <c r="E9143" s="423">
        <v>159357.43861734169</v>
      </c>
      <c r="F9143" s="423">
        <v>3397.424381055323</v>
      </c>
      <c r="G9143" s="422">
        <v>361445771.91506302</v>
      </c>
      <c r="H9143" s="417" t="s">
        <v>2616</v>
      </c>
      <c r="I9143" s="417" t="s">
        <v>1392</v>
      </c>
      <c r="J9143" s="417" t="s">
        <v>7556</v>
      </c>
      <c r="K9143" s="417" t="s">
        <v>20721</v>
      </c>
      <c r="L9143" s="417"/>
      <c r="M9143" s="417" t="s">
        <v>28840</v>
      </c>
    </row>
    <row r="9144" spans="1:13" x14ac:dyDescent="0.25">
      <c r="A9144" s="417" t="s">
        <v>3385</v>
      </c>
      <c r="B9144" s="417" t="s">
        <v>2437</v>
      </c>
      <c r="C9144" s="417" t="s">
        <v>20722</v>
      </c>
      <c r="D9144" s="417" t="s">
        <v>3936</v>
      </c>
      <c r="E9144" s="423">
        <v>30600.848750817531</v>
      </c>
      <c r="F9144" s="423">
        <v>3563.7311793308381</v>
      </c>
      <c r="G9144" s="422">
        <v>1883132996.4972</v>
      </c>
      <c r="H9144" s="417" t="s">
        <v>2616</v>
      </c>
      <c r="I9144" s="417" t="s">
        <v>1392</v>
      </c>
      <c r="J9144" s="417" t="s">
        <v>7556</v>
      </c>
      <c r="K9144" s="417" t="s">
        <v>20723</v>
      </c>
      <c r="L9144" s="417"/>
      <c r="M9144" s="417" t="s">
        <v>28840</v>
      </c>
    </row>
    <row r="9145" spans="1:13" x14ac:dyDescent="0.25">
      <c r="A9145" s="417" t="s">
        <v>3385</v>
      </c>
      <c r="B9145" s="417" t="s">
        <v>2437</v>
      </c>
      <c r="C9145" s="417" t="s">
        <v>20724</v>
      </c>
      <c r="D9145" s="417" t="s">
        <v>3936</v>
      </c>
      <c r="E9145" s="423">
        <v>159357.43861734169</v>
      </c>
      <c r="F9145" s="423">
        <v>3397.424381055323</v>
      </c>
      <c r="G9145" s="422">
        <v>361445771.91506302</v>
      </c>
      <c r="H9145" s="417" t="s">
        <v>2616</v>
      </c>
      <c r="I9145" s="417" t="s">
        <v>1392</v>
      </c>
      <c r="J9145" s="417" t="s">
        <v>7556</v>
      </c>
      <c r="K9145" s="417" t="s">
        <v>20725</v>
      </c>
      <c r="L9145" s="417"/>
      <c r="M9145" s="417" t="s">
        <v>28840</v>
      </c>
    </row>
    <row r="9146" spans="1:13" x14ac:dyDescent="0.25">
      <c r="A9146" s="417" t="s">
        <v>3385</v>
      </c>
      <c r="B9146" s="417" t="s">
        <v>2437</v>
      </c>
      <c r="C9146" s="417" t="s">
        <v>20726</v>
      </c>
      <c r="D9146" s="417" t="s">
        <v>88</v>
      </c>
      <c r="E9146" s="423">
        <v>6.2822311225958023</v>
      </c>
      <c r="F9146" s="423">
        <v>0.33712182407097202</v>
      </c>
      <c r="G9146" s="422">
        <v>12396.293471682069</v>
      </c>
      <c r="H9146" s="417" t="s">
        <v>2616</v>
      </c>
      <c r="I9146" s="417" t="s">
        <v>1392</v>
      </c>
      <c r="J9146" s="417" t="s">
        <v>4414</v>
      </c>
      <c r="K9146" s="417" t="s">
        <v>20727</v>
      </c>
      <c r="L9146" s="417"/>
      <c r="M9146" s="417" t="s">
        <v>28840</v>
      </c>
    </row>
    <row r="9147" spans="1:13" x14ac:dyDescent="0.25">
      <c r="A9147" s="417" t="s">
        <v>3385</v>
      </c>
      <c r="B9147" s="417" t="s">
        <v>2437</v>
      </c>
      <c r="C9147" s="417" t="s">
        <v>20728</v>
      </c>
      <c r="D9147" s="417" t="s">
        <v>989</v>
      </c>
      <c r="E9147" s="423">
        <v>11176814.03231634</v>
      </c>
      <c r="F9147" s="423">
        <v>334420.63865884789</v>
      </c>
      <c r="G9147" s="422">
        <v>22632985770.61908</v>
      </c>
      <c r="H9147" s="417" t="s">
        <v>2616</v>
      </c>
      <c r="I9147" s="417" t="s">
        <v>1392</v>
      </c>
      <c r="J9147" s="417" t="s">
        <v>4009</v>
      </c>
      <c r="K9147" s="417" t="s">
        <v>20729</v>
      </c>
      <c r="L9147" s="417"/>
      <c r="M9147" s="417" t="s">
        <v>28840</v>
      </c>
    </row>
    <row r="9148" spans="1:13" x14ac:dyDescent="0.25">
      <c r="A9148" s="417" t="s">
        <v>3385</v>
      </c>
      <c r="B9148" s="417" t="s">
        <v>2437</v>
      </c>
      <c r="C9148" s="417" t="s">
        <v>20730</v>
      </c>
      <c r="D9148" s="417" t="s">
        <v>989</v>
      </c>
      <c r="E9148" s="423">
        <v>33256083.288769841</v>
      </c>
      <c r="F9148" s="423">
        <v>981558.23699721962</v>
      </c>
      <c r="G9148" s="422">
        <v>67253671567.800667</v>
      </c>
      <c r="H9148" s="417" t="s">
        <v>2616</v>
      </c>
      <c r="I9148" s="417" t="s">
        <v>1392</v>
      </c>
      <c r="J9148" s="417" t="s">
        <v>4009</v>
      </c>
      <c r="K9148" s="417" t="s">
        <v>20731</v>
      </c>
      <c r="L9148" s="417"/>
      <c r="M9148" s="417" t="s">
        <v>28840</v>
      </c>
    </row>
    <row r="9149" spans="1:13" x14ac:dyDescent="0.25">
      <c r="A9149" s="417" t="s">
        <v>3385</v>
      </c>
      <c r="B9149" s="417" t="s">
        <v>2437</v>
      </c>
      <c r="C9149" s="417" t="s">
        <v>20732</v>
      </c>
      <c r="D9149" s="417" t="s">
        <v>397</v>
      </c>
      <c r="E9149" s="423">
        <v>1.9738617264089111</v>
      </c>
      <c r="F9149" s="423">
        <v>2.5423094019291792E-3</v>
      </c>
      <c r="G9149" s="422">
        <v>2252.780611532994</v>
      </c>
      <c r="H9149" s="417" t="s">
        <v>2616</v>
      </c>
      <c r="I9149" s="417" t="s">
        <v>1392</v>
      </c>
      <c r="J9149" s="417" t="s">
        <v>11256</v>
      </c>
      <c r="K9149" s="417" t="s">
        <v>20733</v>
      </c>
      <c r="L9149" s="417"/>
      <c r="M9149" s="417" t="s">
        <v>28840</v>
      </c>
    </row>
    <row r="9150" spans="1:13" x14ac:dyDescent="0.25">
      <c r="A9150" s="417" t="s">
        <v>3385</v>
      </c>
      <c r="B9150" s="417" t="s">
        <v>2437</v>
      </c>
      <c r="C9150" s="417" t="s">
        <v>20734</v>
      </c>
      <c r="D9150" s="417" t="s">
        <v>397</v>
      </c>
      <c r="E9150" s="423">
        <v>1.9645476896844949</v>
      </c>
      <c r="F9150" s="423">
        <v>1.915987688262608E-3</v>
      </c>
      <c r="G9150" s="422">
        <v>2236.2284765909171</v>
      </c>
      <c r="H9150" s="417" t="s">
        <v>2616</v>
      </c>
      <c r="I9150" s="417" t="s">
        <v>28995</v>
      </c>
      <c r="J9150" s="417" t="s">
        <v>11256</v>
      </c>
      <c r="K9150" s="417" t="s">
        <v>20735</v>
      </c>
      <c r="L9150" s="417"/>
      <c r="M9150" s="417" t="s">
        <v>28840</v>
      </c>
    </row>
    <row r="9151" spans="1:13" x14ac:dyDescent="0.25">
      <c r="A9151" s="417" t="s">
        <v>3385</v>
      </c>
      <c r="B9151" s="417" t="s">
        <v>2437</v>
      </c>
      <c r="C9151" s="417" t="s">
        <v>20736</v>
      </c>
      <c r="D9151" s="417" t="s">
        <v>397</v>
      </c>
      <c r="E9151" s="423">
        <v>8.175819190071725E-4</v>
      </c>
      <c r="F9151" s="423">
        <v>4.6231396616743508E-5</v>
      </c>
      <c r="G9151" s="422">
        <v>1.4551514797141329</v>
      </c>
      <c r="H9151" s="417" t="s">
        <v>2616</v>
      </c>
      <c r="I9151" s="417" t="s">
        <v>1392</v>
      </c>
      <c r="J9151" s="417" t="s">
        <v>11256</v>
      </c>
      <c r="K9151" s="417" t="s">
        <v>20737</v>
      </c>
      <c r="L9151" s="417"/>
      <c r="M9151" s="417" t="s">
        <v>28840</v>
      </c>
    </row>
    <row r="9152" spans="1:13" x14ac:dyDescent="0.25">
      <c r="A9152" s="417" t="s">
        <v>3385</v>
      </c>
      <c r="B9152" s="417" t="s">
        <v>2437</v>
      </c>
      <c r="C9152" s="417" t="s">
        <v>20738</v>
      </c>
      <c r="D9152" s="417" t="s">
        <v>397</v>
      </c>
      <c r="E9152" s="423">
        <v>8.4964548052812346E-3</v>
      </c>
      <c r="F9152" s="423">
        <v>5.8009031699511019E-4</v>
      </c>
      <c r="G9152" s="422">
        <v>15.096983468888951</v>
      </c>
      <c r="H9152" s="417" t="s">
        <v>2616</v>
      </c>
      <c r="I9152" s="417" t="s">
        <v>1392</v>
      </c>
      <c r="J9152" s="417" t="s">
        <v>11256</v>
      </c>
      <c r="K9152" s="417" t="s">
        <v>20739</v>
      </c>
      <c r="L9152" s="417"/>
      <c r="M9152" s="417" t="s">
        <v>28840</v>
      </c>
    </row>
    <row r="9153" spans="1:13" x14ac:dyDescent="0.25">
      <c r="A9153" s="417" t="s">
        <v>3385</v>
      </c>
      <c r="B9153" s="417" t="s">
        <v>2437</v>
      </c>
      <c r="C9153" s="417" t="s">
        <v>20740</v>
      </c>
      <c r="D9153" s="417" t="s">
        <v>397</v>
      </c>
      <c r="E9153" s="423">
        <v>1.965595821175335</v>
      </c>
      <c r="F9153" s="423">
        <v>2.2879524419530881E-3</v>
      </c>
      <c r="G9153" s="422">
        <v>2236.3778573916361</v>
      </c>
      <c r="H9153" s="417" t="s">
        <v>2616</v>
      </c>
      <c r="I9153" s="417" t="s">
        <v>1392</v>
      </c>
      <c r="J9153" s="417" t="s">
        <v>11256</v>
      </c>
      <c r="K9153" s="417" t="s">
        <v>20741</v>
      </c>
      <c r="L9153" s="417"/>
      <c r="M9153" s="417" t="s">
        <v>28840</v>
      </c>
    </row>
    <row r="9154" spans="1:13" x14ac:dyDescent="0.25">
      <c r="A9154" s="417" t="s">
        <v>3385</v>
      </c>
      <c r="B9154" s="417" t="s">
        <v>2437</v>
      </c>
      <c r="C9154" s="417" t="s">
        <v>20742</v>
      </c>
      <c r="D9154" s="417" t="s">
        <v>397</v>
      </c>
      <c r="E9154" s="423">
        <v>1.9593771389955279</v>
      </c>
      <c r="F9154" s="423">
        <v>1.8693973632188531E-3</v>
      </c>
      <c r="G9154" s="422">
        <v>2225.3266264661961</v>
      </c>
      <c r="H9154" s="417" t="s">
        <v>2616</v>
      </c>
      <c r="I9154" s="417" t="s">
        <v>1392</v>
      </c>
      <c r="J9154" s="417" t="s">
        <v>11256</v>
      </c>
      <c r="K9154" s="417" t="s">
        <v>20743</v>
      </c>
      <c r="L9154" s="417"/>
      <c r="M9154" s="417" t="s">
        <v>28840</v>
      </c>
    </row>
    <row r="9155" spans="1:13" x14ac:dyDescent="0.25">
      <c r="A9155" s="417" t="s">
        <v>3385</v>
      </c>
      <c r="B9155" s="417" t="s">
        <v>2437</v>
      </c>
      <c r="C9155" s="417" t="s">
        <v>20744</v>
      </c>
      <c r="D9155" s="417" t="s">
        <v>397</v>
      </c>
      <c r="E9155" s="423">
        <v>5.1345010929738488E-4</v>
      </c>
      <c r="F9155" s="423">
        <v>2.9033807003372112E-5</v>
      </c>
      <c r="G9155" s="422">
        <v>0.91385054951916456</v>
      </c>
      <c r="H9155" s="417" t="s">
        <v>2616</v>
      </c>
      <c r="I9155" s="417" t="s">
        <v>1392</v>
      </c>
      <c r="J9155" s="417" t="s">
        <v>11256</v>
      </c>
      <c r="K9155" s="417" t="s">
        <v>20745</v>
      </c>
      <c r="L9155" s="417"/>
      <c r="M9155" s="417" t="s">
        <v>28840</v>
      </c>
    </row>
    <row r="9156" spans="1:13" x14ac:dyDescent="0.25">
      <c r="A9156" s="417" t="s">
        <v>3385</v>
      </c>
      <c r="B9156" s="417" t="s">
        <v>2437</v>
      </c>
      <c r="C9156" s="417" t="s">
        <v>20746</v>
      </c>
      <c r="D9156" s="417" t="s">
        <v>397</v>
      </c>
      <c r="E9156" s="423">
        <v>5.7052320696213688E-3</v>
      </c>
      <c r="F9156" s="423">
        <v>3.8952127159585999E-4</v>
      </c>
      <c r="G9156" s="422">
        <v>10.13738037622468</v>
      </c>
      <c r="H9156" s="417" t="s">
        <v>2616</v>
      </c>
      <c r="I9156" s="417" t="s">
        <v>1392</v>
      </c>
      <c r="J9156" s="417" t="s">
        <v>11256</v>
      </c>
      <c r="K9156" s="417" t="s">
        <v>20747</v>
      </c>
      <c r="L9156" s="417"/>
      <c r="M9156" s="417" t="s">
        <v>28840</v>
      </c>
    </row>
    <row r="9157" spans="1:13" x14ac:dyDescent="0.25">
      <c r="A9157" s="417" t="s">
        <v>3385</v>
      </c>
      <c r="B9157" s="417" t="s">
        <v>2437</v>
      </c>
      <c r="C9157" s="417" t="s">
        <v>20748</v>
      </c>
      <c r="D9157" s="417" t="s">
        <v>397</v>
      </c>
      <c r="E9157" s="423">
        <v>1.8727291014119241</v>
      </c>
      <c r="F9157" s="423">
        <v>3.02027429609669E-3</v>
      </c>
      <c r="G9157" s="422">
        <v>2154.808700460585</v>
      </c>
      <c r="H9157" s="417" t="s">
        <v>2616</v>
      </c>
      <c r="I9157" s="417" t="s">
        <v>1392</v>
      </c>
      <c r="J9157" s="417" t="s">
        <v>11256</v>
      </c>
      <c r="K9157" s="417" t="s">
        <v>20749</v>
      </c>
      <c r="L9157" s="417"/>
      <c r="M9157" s="417" t="s">
        <v>28840</v>
      </c>
    </row>
    <row r="9158" spans="1:13" x14ac:dyDescent="0.25">
      <c r="A9158" s="417" t="s">
        <v>3385</v>
      </c>
      <c r="B9158" s="417" t="s">
        <v>2437</v>
      </c>
      <c r="C9158" s="417" t="s">
        <v>20750</v>
      </c>
      <c r="D9158" s="417" t="s">
        <v>397</v>
      </c>
      <c r="E9158" s="423">
        <v>1.8561693436246709</v>
      </c>
      <c r="F9158" s="423">
        <v>1.892324430843298E-3</v>
      </c>
      <c r="G9158" s="422">
        <v>2125.38469358569</v>
      </c>
      <c r="H9158" s="417" t="s">
        <v>2616</v>
      </c>
      <c r="I9158" s="417" t="s">
        <v>1392</v>
      </c>
      <c r="J9158" s="417" t="s">
        <v>11256</v>
      </c>
      <c r="K9158" s="417" t="s">
        <v>20751</v>
      </c>
      <c r="L9158" s="417"/>
      <c r="M9158" s="417" t="s">
        <v>28840</v>
      </c>
    </row>
    <row r="9159" spans="1:13" x14ac:dyDescent="0.25">
      <c r="A9159" s="417" t="s">
        <v>3385</v>
      </c>
      <c r="B9159" s="417" t="s">
        <v>2437</v>
      </c>
      <c r="C9159" s="417" t="s">
        <v>20752</v>
      </c>
      <c r="D9159" s="417" t="s">
        <v>397</v>
      </c>
      <c r="E9159" s="423">
        <v>5.6475690429647334E-4</v>
      </c>
      <c r="F9159" s="423">
        <v>3.5900846704604479E-5</v>
      </c>
      <c r="G9159" s="422">
        <v>1.003180868321397</v>
      </c>
      <c r="H9159" s="417" t="s">
        <v>2616</v>
      </c>
      <c r="I9159" s="417" t="s">
        <v>1392</v>
      </c>
      <c r="J9159" s="417" t="s">
        <v>11256</v>
      </c>
      <c r="K9159" s="417" t="s">
        <v>20753</v>
      </c>
      <c r="L9159" s="417"/>
      <c r="M9159" s="417" t="s">
        <v>28840</v>
      </c>
    </row>
    <row r="9160" spans="1:13" x14ac:dyDescent="0.25">
      <c r="A9160" s="417" t="s">
        <v>3385</v>
      </c>
      <c r="B9160" s="417" t="s">
        <v>2437</v>
      </c>
      <c r="C9160" s="417" t="s">
        <v>20754</v>
      </c>
      <c r="D9160" s="417" t="s">
        <v>397</v>
      </c>
      <c r="E9160" s="423">
        <v>1.5995000886770399E-2</v>
      </c>
      <c r="F9160" s="423">
        <v>1.0920490189476411E-3</v>
      </c>
      <c r="G9160" s="422">
        <v>28.420826032594469</v>
      </c>
      <c r="H9160" s="417" t="s">
        <v>2616</v>
      </c>
      <c r="I9160" s="417" t="s">
        <v>1392</v>
      </c>
      <c r="J9160" s="417" t="s">
        <v>11256</v>
      </c>
      <c r="K9160" s="417" t="s">
        <v>20755</v>
      </c>
      <c r="L9160" s="417"/>
      <c r="M9160" s="417" t="s">
        <v>28840</v>
      </c>
    </row>
    <row r="9161" spans="1:13" x14ac:dyDescent="0.25">
      <c r="A9161" s="417" t="s">
        <v>3385</v>
      </c>
      <c r="B9161" s="417" t="s">
        <v>2437</v>
      </c>
      <c r="C9161" s="417" t="s">
        <v>20756</v>
      </c>
      <c r="D9161" s="417" t="s">
        <v>397</v>
      </c>
      <c r="E9161" s="423">
        <v>2.3870409344893888</v>
      </c>
      <c r="F9161" s="423">
        <v>7.3095311865591954E-3</v>
      </c>
      <c r="G9161" s="422">
        <v>2850.732974535651</v>
      </c>
      <c r="H9161" s="417" t="s">
        <v>2616</v>
      </c>
      <c r="I9161" s="417" t="s">
        <v>1392</v>
      </c>
      <c r="J9161" s="417" t="s">
        <v>11256</v>
      </c>
      <c r="K9161" s="417" t="s">
        <v>20757</v>
      </c>
      <c r="L9161" s="417"/>
      <c r="M9161" s="417" t="s">
        <v>28840</v>
      </c>
    </row>
    <row r="9162" spans="1:13" x14ac:dyDescent="0.25">
      <c r="A9162" s="417" t="s">
        <v>3385</v>
      </c>
      <c r="B9162" s="417" t="s">
        <v>2437</v>
      </c>
      <c r="C9162" s="417" t="s">
        <v>20758</v>
      </c>
      <c r="D9162" s="417" t="s">
        <v>397</v>
      </c>
      <c r="E9162" s="423">
        <v>2.325131820968743</v>
      </c>
      <c r="F9162" s="423">
        <v>3.093050714146717E-3</v>
      </c>
      <c r="G9162" s="422">
        <v>2740.730554974155</v>
      </c>
      <c r="H9162" s="417" t="s">
        <v>2616</v>
      </c>
      <c r="I9162" s="417" t="s">
        <v>1392</v>
      </c>
      <c r="J9162" s="417" t="s">
        <v>11256</v>
      </c>
      <c r="K9162" s="417" t="s">
        <v>20759</v>
      </c>
      <c r="L9162" s="417"/>
      <c r="M9162" s="417" t="s">
        <v>28840</v>
      </c>
    </row>
    <row r="9163" spans="1:13" x14ac:dyDescent="0.25">
      <c r="A9163" s="417" t="s">
        <v>3385</v>
      </c>
      <c r="B9163" s="417" t="s">
        <v>2437</v>
      </c>
      <c r="C9163" s="417" t="s">
        <v>20760</v>
      </c>
      <c r="D9163" s="417" t="s">
        <v>397</v>
      </c>
      <c r="E9163" s="423">
        <v>2.1945275030453171E-3</v>
      </c>
      <c r="F9163" s="423">
        <v>1.3950320018861511E-4</v>
      </c>
      <c r="G9163" s="422">
        <v>3.898151557660622</v>
      </c>
      <c r="H9163" s="417" t="s">
        <v>2616</v>
      </c>
      <c r="I9163" s="417" t="s">
        <v>1392</v>
      </c>
      <c r="J9163" s="417" t="s">
        <v>11256</v>
      </c>
      <c r="K9163" s="417" t="s">
        <v>20761</v>
      </c>
      <c r="L9163" s="417"/>
      <c r="M9163" s="417" t="s">
        <v>28840</v>
      </c>
    </row>
    <row r="9164" spans="1:13" x14ac:dyDescent="0.25">
      <c r="A9164" s="417" t="s">
        <v>3385</v>
      </c>
      <c r="B9164" s="417" t="s">
        <v>2437</v>
      </c>
      <c r="C9164" s="417" t="s">
        <v>20762</v>
      </c>
      <c r="D9164" s="417" t="s">
        <v>397</v>
      </c>
      <c r="E9164" s="423">
        <v>5.9714586021918793E-2</v>
      </c>
      <c r="F9164" s="423">
        <v>4.0769772719828909E-3</v>
      </c>
      <c r="G9164" s="422">
        <v>106.1042680828787</v>
      </c>
      <c r="H9164" s="417" t="s">
        <v>2616</v>
      </c>
      <c r="I9164" s="417" t="s">
        <v>1392</v>
      </c>
      <c r="J9164" s="417" t="s">
        <v>11256</v>
      </c>
      <c r="K9164" s="417" t="s">
        <v>20763</v>
      </c>
      <c r="L9164" s="417"/>
      <c r="M9164" s="417" t="s">
        <v>28840</v>
      </c>
    </row>
    <row r="9165" spans="1:13" x14ac:dyDescent="0.25">
      <c r="A9165" s="417" t="s">
        <v>3385</v>
      </c>
      <c r="B9165" s="417" t="s">
        <v>2437</v>
      </c>
      <c r="C9165" s="417" t="s">
        <v>20764</v>
      </c>
      <c r="D9165" s="417" t="s">
        <v>17280</v>
      </c>
      <c r="E9165" s="423">
        <v>0.32968588410508298</v>
      </c>
      <c r="F9165" s="423">
        <v>5.8492746373898466E-4</v>
      </c>
      <c r="G9165" s="422">
        <v>378.48744073914918</v>
      </c>
      <c r="H9165" s="417" t="s">
        <v>2616</v>
      </c>
      <c r="I9165" s="417" t="s">
        <v>1392</v>
      </c>
      <c r="J9165" s="417" t="s">
        <v>11256</v>
      </c>
      <c r="K9165" s="417" t="s">
        <v>20765</v>
      </c>
      <c r="L9165" s="417"/>
      <c r="M9165" s="417" t="s">
        <v>28840</v>
      </c>
    </row>
    <row r="9166" spans="1:13" x14ac:dyDescent="0.25">
      <c r="A9166" s="417" t="s">
        <v>3385</v>
      </c>
      <c r="B9166" s="417" t="s">
        <v>2437</v>
      </c>
      <c r="C9166" s="417" t="s">
        <v>20766</v>
      </c>
      <c r="D9166" s="417" t="s">
        <v>17280</v>
      </c>
      <c r="E9166" s="423">
        <v>0.32614819802383349</v>
      </c>
      <c r="F9166" s="423">
        <v>3.4728197095032438E-4</v>
      </c>
      <c r="G9166" s="422">
        <v>372.2004957074405</v>
      </c>
      <c r="H9166" s="417" t="s">
        <v>2616</v>
      </c>
      <c r="I9166" s="417" t="s">
        <v>1392</v>
      </c>
      <c r="J9166" s="417" t="s">
        <v>11256</v>
      </c>
      <c r="K9166" s="417" t="s">
        <v>20767</v>
      </c>
      <c r="L9166" s="417"/>
      <c r="M9166" s="417" t="s">
        <v>28840</v>
      </c>
    </row>
    <row r="9167" spans="1:13" x14ac:dyDescent="0.25">
      <c r="A9167" s="417" t="s">
        <v>3385</v>
      </c>
      <c r="B9167" s="417" t="s">
        <v>2437</v>
      </c>
      <c r="C9167" s="417" t="s">
        <v>20768</v>
      </c>
      <c r="D9167" s="417" t="s">
        <v>17280</v>
      </c>
      <c r="E9167" s="423">
        <v>3.3150761082816228E-4</v>
      </c>
      <c r="F9167" s="423">
        <v>1.874559537305255E-5</v>
      </c>
      <c r="G9167" s="422">
        <v>0.59002502266110834</v>
      </c>
      <c r="H9167" s="417" t="s">
        <v>2616</v>
      </c>
      <c r="I9167" s="417" t="s">
        <v>1392</v>
      </c>
      <c r="J9167" s="417" t="s">
        <v>11256</v>
      </c>
      <c r="K9167" s="417" t="s">
        <v>20769</v>
      </c>
      <c r="L9167" s="417"/>
      <c r="M9167" s="417" t="s">
        <v>28840</v>
      </c>
    </row>
    <row r="9168" spans="1:13" x14ac:dyDescent="0.25">
      <c r="A9168" s="417" t="s">
        <v>3385</v>
      </c>
      <c r="B9168" s="417" t="s">
        <v>2437</v>
      </c>
      <c r="C9168" s="417" t="s">
        <v>20770</v>
      </c>
      <c r="D9168" s="417" t="s">
        <v>17280</v>
      </c>
      <c r="E9168" s="423">
        <v>3.206178470851034E-3</v>
      </c>
      <c r="F9168" s="423">
        <v>2.18899897435601E-4</v>
      </c>
      <c r="G9168" s="422">
        <v>5.6969200050093001</v>
      </c>
      <c r="H9168" s="417" t="s">
        <v>2616</v>
      </c>
      <c r="I9168" s="417" t="s">
        <v>1392</v>
      </c>
      <c r="J9168" s="417" t="s">
        <v>20771</v>
      </c>
      <c r="K9168" s="417" t="s">
        <v>20772</v>
      </c>
      <c r="L9168" s="417"/>
      <c r="M9168" s="417" t="s">
        <v>28840</v>
      </c>
    </row>
    <row r="9169" spans="1:13" x14ac:dyDescent="0.25">
      <c r="A9169" s="417" t="s">
        <v>3385</v>
      </c>
      <c r="B9169" s="417" t="s">
        <v>2437</v>
      </c>
      <c r="C9169" s="417" t="s">
        <v>20773</v>
      </c>
      <c r="D9169" s="417" t="s">
        <v>17280</v>
      </c>
      <c r="E9169" s="423">
        <v>0.31161745330974389</v>
      </c>
      <c r="F9169" s="423">
        <v>3.6272463527881662E-4</v>
      </c>
      <c r="G9169" s="422">
        <v>352.20474111432031</v>
      </c>
      <c r="H9169" s="417" t="s">
        <v>2616</v>
      </c>
      <c r="I9169" s="417" t="s">
        <v>1392</v>
      </c>
      <c r="J9169" s="417" t="s">
        <v>11256</v>
      </c>
      <c r="K9169" s="417" t="s">
        <v>20774</v>
      </c>
      <c r="L9169" s="417"/>
      <c r="M9169" s="417" t="s">
        <v>28840</v>
      </c>
    </row>
    <row r="9170" spans="1:13" x14ac:dyDescent="0.25">
      <c r="A9170" s="417" t="s">
        <v>3385</v>
      </c>
      <c r="B9170" s="417" t="s">
        <v>2437</v>
      </c>
      <c r="C9170" s="417" t="s">
        <v>20775</v>
      </c>
      <c r="D9170" s="417" t="s">
        <v>17280</v>
      </c>
      <c r="E9170" s="423">
        <v>0.31063157691619431</v>
      </c>
      <c r="F9170" s="423">
        <v>2.9636915721982971E-4</v>
      </c>
      <c r="G9170" s="422">
        <v>350.45273846113452</v>
      </c>
      <c r="H9170" s="417" t="s">
        <v>2616</v>
      </c>
      <c r="I9170" s="417" t="s">
        <v>1392</v>
      </c>
      <c r="J9170" s="417" t="s">
        <v>11256</v>
      </c>
      <c r="K9170" s="417" t="s">
        <v>20776</v>
      </c>
      <c r="L9170" s="417"/>
      <c r="M9170" s="417" t="s">
        <v>28840</v>
      </c>
    </row>
    <row r="9171" spans="1:13" x14ac:dyDescent="0.25">
      <c r="A9171" s="417" t="s">
        <v>3385</v>
      </c>
      <c r="B9171" s="417" t="s">
        <v>2437</v>
      </c>
      <c r="C9171" s="417" t="s">
        <v>20777</v>
      </c>
      <c r="D9171" s="417" t="s">
        <v>17280</v>
      </c>
      <c r="E9171" s="423">
        <v>0.52571666192801891</v>
      </c>
      <c r="F9171" s="423">
        <v>5.7233626230270354E-4</v>
      </c>
      <c r="G9171" s="422">
        <v>593.81305867664128</v>
      </c>
      <c r="H9171" s="417" t="s">
        <v>2616</v>
      </c>
      <c r="I9171" s="417" t="s">
        <v>28993</v>
      </c>
      <c r="J9171" s="417" t="s">
        <v>11256</v>
      </c>
      <c r="K9171" s="417" t="s">
        <v>20778</v>
      </c>
      <c r="L9171" s="417"/>
      <c r="M9171" s="417" t="s">
        <v>28840</v>
      </c>
    </row>
    <row r="9172" spans="1:13" x14ac:dyDescent="0.25">
      <c r="A9172" s="417" t="s">
        <v>3385</v>
      </c>
      <c r="B9172" s="417" t="s">
        <v>2437</v>
      </c>
      <c r="C9172" s="417" t="s">
        <v>20779</v>
      </c>
      <c r="D9172" s="417" t="s">
        <v>17280</v>
      </c>
      <c r="E9172" s="423">
        <v>0.229089945507709</v>
      </c>
      <c r="F9172" s="423">
        <v>2.8375105363185438E-4</v>
      </c>
      <c r="G9172" s="422">
        <v>259.09513520745912</v>
      </c>
      <c r="H9172" s="417" t="s">
        <v>2616</v>
      </c>
      <c r="I9172" s="417" t="s">
        <v>28993</v>
      </c>
      <c r="J9172" s="417" t="s">
        <v>11256</v>
      </c>
      <c r="K9172" s="417" t="s">
        <v>20780</v>
      </c>
      <c r="L9172" s="417"/>
      <c r="M9172" s="417" t="s">
        <v>28840</v>
      </c>
    </row>
    <row r="9173" spans="1:13" x14ac:dyDescent="0.25">
      <c r="A9173" s="417" t="s">
        <v>3385</v>
      </c>
      <c r="B9173" s="417" t="s">
        <v>2437</v>
      </c>
      <c r="C9173" s="417" t="s">
        <v>20781</v>
      </c>
      <c r="D9173" s="417" t="s">
        <v>17280</v>
      </c>
      <c r="E9173" s="423">
        <v>8.1398826052793275E-5</v>
      </c>
      <c r="F9173" s="423">
        <v>4.602818780452425E-6</v>
      </c>
      <c r="G9173" s="422">
        <v>0.14487554027723301</v>
      </c>
      <c r="H9173" s="417" t="s">
        <v>2616</v>
      </c>
      <c r="I9173" s="417" t="s">
        <v>1392</v>
      </c>
      <c r="J9173" s="417" t="s">
        <v>11256</v>
      </c>
      <c r="K9173" s="417" t="s">
        <v>20782</v>
      </c>
      <c r="L9173" s="417"/>
      <c r="M9173" s="417" t="s">
        <v>28840</v>
      </c>
    </row>
    <row r="9174" spans="1:13" x14ac:dyDescent="0.25">
      <c r="A9174" s="417" t="s">
        <v>3385</v>
      </c>
      <c r="B9174" s="417" t="s">
        <v>2437</v>
      </c>
      <c r="C9174" s="417" t="s">
        <v>20783</v>
      </c>
      <c r="D9174" s="417" t="s">
        <v>17280</v>
      </c>
      <c r="E9174" s="423">
        <v>1.1337573101582541</v>
      </c>
      <c r="F9174" s="423">
        <v>1.1639127239983389E-3</v>
      </c>
      <c r="G9174" s="422">
        <v>1279.940721386231</v>
      </c>
      <c r="H9174" s="417" t="s">
        <v>2616</v>
      </c>
      <c r="I9174" s="417" t="s">
        <v>1392</v>
      </c>
      <c r="J9174" s="417" t="s">
        <v>11256</v>
      </c>
      <c r="K9174" s="417" t="s">
        <v>20784</v>
      </c>
      <c r="L9174" s="417"/>
      <c r="M9174" s="417" t="s">
        <v>28840</v>
      </c>
    </row>
    <row r="9175" spans="1:13" x14ac:dyDescent="0.25">
      <c r="A9175" s="417" t="s">
        <v>3385</v>
      </c>
      <c r="B9175" s="417" t="s">
        <v>2437</v>
      </c>
      <c r="C9175" s="417" t="s">
        <v>20785</v>
      </c>
      <c r="D9175" s="417" t="s">
        <v>17280</v>
      </c>
      <c r="E9175" s="423">
        <v>9.0447756769328419E-4</v>
      </c>
      <c r="F9175" s="423">
        <v>6.1752659310398744E-5</v>
      </c>
      <c r="G9175" s="422">
        <v>1.607127112273026</v>
      </c>
      <c r="H9175" s="417" t="s">
        <v>2616</v>
      </c>
      <c r="I9175" s="417" t="s">
        <v>1392</v>
      </c>
      <c r="J9175" s="417" t="s">
        <v>11256</v>
      </c>
      <c r="K9175" s="417" t="s">
        <v>20786</v>
      </c>
      <c r="L9175" s="417"/>
      <c r="M9175" s="417" t="s">
        <v>28840</v>
      </c>
    </row>
    <row r="9176" spans="1:13" x14ac:dyDescent="0.25">
      <c r="A9176" s="417" t="s">
        <v>3385</v>
      </c>
      <c r="B9176" s="417" t="s">
        <v>2437</v>
      </c>
      <c r="C9176" s="417" t="s">
        <v>20787</v>
      </c>
      <c r="D9176" s="417" t="s">
        <v>17280</v>
      </c>
      <c r="E9176" s="423">
        <v>0.3033679516917121</v>
      </c>
      <c r="F9176" s="423">
        <v>4.8927192719333448E-4</v>
      </c>
      <c r="G9176" s="422">
        <v>346.58349421847998</v>
      </c>
      <c r="H9176" s="417" t="s">
        <v>2616</v>
      </c>
      <c r="I9176" s="417" t="s">
        <v>1392</v>
      </c>
      <c r="J9176" s="417" t="s">
        <v>11256</v>
      </c>
      <c r="K9176" s="417" t="s">
        <v>20788</v>
      </c>
      <c r="L9176" s="417"/>
      <c r="M9176" s="417" t="s">
        <v>28840</v>
      </c>
    </row>
    <row r="9177" spans="1:13" x14ac:dyDescent="0.25">
      <c r="A9177" s="417" t="s">
        <v>3385</v>
      </c>
      <c r="B9177" s="417" t="s">
        <v>2437</v>
      </c>
      <c r="C9177" s="417" t="s">
        <v>20789</v>
      </c>
      <c r="D9177" s="417" t="s">
        <v>17280</v>
      </c>
      <c r="E9177" s="423">
        <v>0.30068535273285291</v>
      </c>
      <c r="F9177" s="423">
        <v>3.0654961652044411E-4</v>
      </c>
      <c r="G9177" s="422">
        <v>341.81695044176217</v>
      </c>
      <c r="H9177" s="417" t="s">
        <v>2616</v>
      </c>
      <c r="I9177" s="417" t="s">
        <v>1392</v>
      </c>
      <c r="J9177" s="417" t="s">
        <v>11256</v>
      </c>
      <c r="K9177" s="417" t="s">
        <v>20790</v>
      </c>
      <c r="L9177" s="417"/>
      <c r="M9177" s="417" t="s">
        <v>28840</v>
      </c>
    </row>
    <row r="9178" spans="1:13" x14ac:dyDescent="0.25">
      <c r="A9178" s="417" t="s">
        <v>3385</v>
      </c>
      <c r="B9178" s="417" t="s">
        <v>2437</v>
      </c>
      <c r="C9178" s="417" t="s">
        <v>20791</v>
      </c>
      <c r="D9178" s="417" t="s">
        <v>17280</v>
      </c>
      <c r="E9178" s="423">
        <v>0.44133993651930359</v>
      </c>
      <c r="F9178" s="423">
        <v>6.3256269962884784E-4</v>
      </c>
      <c r="G9178" s="422">
        <v>503.45584319220518</v>
      </c>
      <c r="H9178" s="417" t="s">
        <v>2616</v>
      </c>
      <c r="I9178" s="417" t="s">
        <v>28993</v>
      </c>
      <c r="J9178" s="417" t="s">
        <v>11256</v>
      </c>
      <c r="K9178" s="417" t="s">
        <v>20792</v>
      </c>
      <c r="L9178" s="417"/>
      <c r="M9178" s="417" t="s">
        <v>28840</v>
      </c>
    </row>
    <row r="9179" spans="1:13" x14ac:dyDescent="0.25">
      <c r="A9179" s="417" t="s">
        <v>3385</v>
      </c>
      <c r="B9179" s="417" t="s">
        <v>2437</v>
      </c>
      <c r="C9179" s="417" t="s">
        <v>20793</v>
      </c>
      <c r="D9179" s="417" t="s">
        <v>17280</v>
      </c>
      <c r="E9179" s="423">
        <v>0.27560721404618482</v>
      </c>
      <c r="F9179" s="423">
        <v>4.6044450467092442E-4</v>
      </c>
      <c r="G9179" s="422">
        <v>315.02027360316868</v>
      </c>
      <c r="H9179" s="417" t="s">
        <v>2616</v>
      </c>
      <c r="I9179" s="417" t="s">
        <v>28993</v>
      </c>
      <c r="J9179" s="417" t="s">
        <v>11256</v>
      </c>
      <c r="K9179" s="417" t="s">
        <v>20794</v>
      </c>
      <c r="L9179" s="417"/>
      <c r="M9179" s="417" t="s">
        <v>28840</v>
      </c>
    </row>
    <row r="9180" spans="1:13" x14ac:dyDescent="0.25">
      <c r="A9180" s="417" t="s">
        <v>3385</v>
      </c>
      <c r="B9180" s="417" t="s">
        <v>2437</v>
      </c>
      <c r="C9180" s="417" t="s">
        <v>20795</v>
      </c>
      <c r="D9180" s="417" t="s">
        <v>17280</v>
      </c>
      <c r="E9180" s="423">
        <v>9.1486894077200999E-5</v>
      </c>
      <c r="F9180" s="423">
        <v>5.8157004099402017E-6</v>
      </c>
      <c r="G9180" s="422">
        <v>0.16250868493750581</v>
      </c>
      <c r="H9180" s="417" t="s">
        <v>2616</v>
      </c>
      <c r="I9180" s="417" t="s">
        <v>1392</v>
      </c>
      <c r="J9180" s="417" t="s">
        <v>11256</v>
      </c>
      <c r="K9180" s="417" t="s">
        <v>20796</v>
      </c>
      <c r="L9180" s="417"/>
      <c r="M9180" s="417" t="s">
        <v>28840</v>
      </c>
    </row>
    <row r="9181" spans="1:13" x14ac:dyDescent="0.25">
      <c r="A9181" s="417" t="s">
        <v>3385</v>
      </c>
      <c r="B9181" s="417" t="s">
        <v>2437</v>
      </c>
      <c r="C9181" s="417" t="s">
        <v>20797</v>
      </c>
      <c r="D9181" s="417" t="s">
        <v>17280</v>
      </c>
      <c r="E9181" s="423">
        <v>2.5911120639121729E-3</v>
      </c>
      <c r="F9181" s="423">
        <v>1.7690661022642419E-4</v>
      </c>
      <c r="G9181" s="422">
        <v>4.6040350816918849</v>
      </c>
      <c r="H9181" s="417" t="s">
        <v>2616</v>
      </c>
      <c r="I9181" s="417" t="s">
        <v>1392</v>
      </c>
      <c r="J9181" s="417" t="s">
        <v>11256</v>
      </c>
      <c r="K9181" s="417" t="s">
        <v>20798</v>
      </c>
      <c r="L9181" s="417"/>
      <c r="M9181" s="417" t="s">
        <v>28840</v>
      </c>
    </row>
    <row r="9182" spans="1:13" x14ac:dyDescent="0.25">
      <c r="A9182" s="417" t="s">
        <v>3385</v>
      </c>
      <c r="B9182" s="417" t="s">
        <v>2437</v>
      </c>
      <c r="C9182" s="417" t="s">
        <v>20799</v>
      </c>
      <c r="D9182" s="417" t="s">
        <v>17280</v>
      </c>
      <c r="E9182" s="423">
        <v>0.393554399144807</v>
      </c>
      <c r="F9182" s="423">
        <v>1.205135101118402E-3</v>
      </c>
      <c r="G9182" s="422">
        <v>467.40875544794147</v>
      </c>
      <c r="H9182" s="417" t="s">
        <v>2616</v>
      </c>
      <c r="I9182" s="417" t="s">
        <v>1392</v>
      </c>
      <c r="J9182" s="417" t="s">
        <v>11256</v>
      </c>
      <c r="K9182" s="417" t="s">
        <v>20800</v>
      </c>
      <c r="L9182" s="417"/>
      <c r="M9182" s="417" t="s">
        <v>28840</v>
      </c>
    </row>
    <row r="9183" spans="1:13" x14ac:dyDescent="0.25">
      <c r="A9183" s="417" t="s">
        <v>3385</v>
      </c>
      <c r="B9183" s="417" t="s">
        <v>2437</v>
      </c>
      <c r="C9183" s="417" t="s">
        <v>20801</v>
      </c>
      <c r="D9183" s="417" t="s">
        <v>17280</v>
      </c>
      <c r="E9183" s="423">
        <v>0.38334737069288338</v>
      </c>
      <c r="F9183" s="423">
        <v>5.0995898024626678E-4</v>
      </c>
      <c r="G9183" s="422">
        <v>449.27252699417261</v>
      </c>
      <c r="H9183" s="417" t="s">
        <v>2616</v>
      </c>
      <c r="I9183" s="417" t="s">
        <v>1392</v>
      </c>
      <c r="J9183" s="417" t="s">
        <v>11256</v>
      </c>
      <c r="K9183" s="417" t="s">
        <v>20802</v>
      </c>
      <c r="L9183" s="417"/>
      <c r="M9183" s="417" t="s">
        <v>28840</v>
      </c>
    </row>
    <row r="9184" spans="1:13" x14ac:dyDescent="0.25">
      <c r="A9184" s="417" t="s">
        <v>3385</v>
      </c>
      <c r="B9184" s="417" t="s">
        <v>2437</v>
      </c>
      <c r="C9184" s="417" t="s">
        <v>20803</v>
      </c>
      <c r="D9184" s="417" t="s">
        <v>17280</v>
      </c>
      <c r="E9184" s="423">
        <v>0.5695702340368648</v>
      </c>
      <c r="F9184" s="423">
        <v>1.4496155252585179E-3</v>
      </c>
      <c r="G9184" s="422">
        <v>673.79514842290428</v>
      </c>
      <c r="H9184" s="417" t="s">
        <v>2616</v>
      </c>
      <c r="I9184" s="417" t="s">
        <v>28993</v>
      </c>
      <c r="J9184" s="417" t="s">
        <v>11256</v>
      </c>
      <c r="K9184" s="417" t="s">
        <v>20804</v>
      </c>
      <c r="L9184" s="417"/>
      <c r="M9184" s="417" t="s">
        <v>28840</v>
      </c>
    </row>
    <row r="9185" spans="1:13" x14ac:dyDescent="0.25">
      <c r="A9185" s="417" t="s">
        <v>3385</v>
      </c>
      <c r="B9185" s="417" t="s">
        <v>2437</v>
      </c>
      <c r="C9185" s="417" t="s">
        <v>20805</v>
      </c>
      <c r="D9185" s="417" t="s">
        <v>17280</v>
      </c>
      <c r="E9185" s="423">
        <v>0.35814351321824772</v>
      </c>
      <c r="F9185" s="423">
        <v>1.155949314231249E-3</v>
      </c>
      <c r="G9185" s="422">
        <v>425.88781185105353</v>
      </c>
      <c r="H9185" s="417" t="s">
        <v>2616</v>
      </c>
      <c r="I9185" s="417" t="s">
        <v>28993</v>
      </c>
      <c r="J9185" s="417" t="s">
        <v>11256</v>
      </c>
      <c r="K9185" s="417" t="s">
        <v>20806</v>
      </c>
      <c r="L9185" s="417"/>
      <c r="M9185" s="417" t="s">
        <v>28840</v>
      </c>
    </row>
    <row r="9186" spans="1:13" x14ac:dyDescent="0.25">
      <c r="A9186" s="417" t="s">
        <v>3385</v>
      </c>
      <c r="B9186" s="417" t="s">
        <v>2437</v>
      </c>
      <c r="C9186" s="417" t="s">
        <v>20807</v>
      </c>
      <c r="D9186" s="417" t="s">
        <v>17280</v>
      </c>
      <c r="E9186" s="423">
        <v>3.6181008868929978E-4</v>
      </c>
      <c r="F9186" s="423">
        <v>2.299978704340224E-5</v>
      </c>
      <c r="G9186" s="422">
        <v>0.64268529712456579</v>
      </c>
      <c r="H9186" s="417" t="s">
        <v>2616</v>
      </c>
      <c r="I9186" s="417" t="s">
        <v>1392</v>
      </c>
      <c r="J9186" s="417" t="s">
        <v>11256</v>
      </c>
      <c r="K9186" s="417" t="s">
        <v>20808</v>
      </c>
      <c r="L9186" s="417"/>
      <c r="M9186" s="417" t="s">
        <v>28840</v>
      </c>
    </row>
    <row r="9187" spans="1:13" x14ac:dyDescent="0.25">
      <c r="A9187" s="417" t="s">
        <v>3385</v>
      </c>
      <c r="B9187" s="417" t="s">
        <v>2437</v>
      </c>
      <c r="C9187" s="417" t="s">
        <v>20809</v>
      </c>
      <c r="D9187" s="417" t="s">
        <v>17280</v>
      </c>
      <c r="E9187" s="423">
        <v>9.845218363182584E-3</v>
      </c>
      <c r="F9187" s="423">
        <v>6.7217633378530107E-4</v>
      </c>
      <c r="G9187" s="422">
        <v>17.493543170446461</v>
      </c>
      <c r="H9187" s="417" t="s">
        <v>2616</v>
      </c>
      <c r="I9187" s="417" t="s">
        <v>1392</v>
      </c>
      <c r="J9187" s="417" t="s">
        <v>11256</v>
      </c>
      <c r="K9187" s="417" t="s">
        <v>20810</v>
      </c>
      <c r="L9187" s="417"/>
      <c r="M9187" s="417" t="s">
        <v>28840</v>
      </c>
    </row>
    <row r="9188" spans="1:13" x14ac:dyDescent="0.25">
      <c r="A9188" s="417" t="s">
        <v>3385</v>
      </c>
      <c r="B9188" s="417" t="s">
        <v>2437</v>
      </c>
      <c r="C9188" s="417" t="s">
        <v>20811</v>
      </c>
      <c r="D9188" s="417" t="s">
        <v>17280</v>
      </c>
      <c r="E9188" s="423">
        <v>1.4296085638651699E-2</v>
      </c>
      <c r="F9188" s="423">
        <v>5.6847571342085674E-3</v>
      </c>
      <c r="G9188" s="422">
        <v>42.105220962169348</v>
      </c>
      <c r="H9188" s="417" t="s">
        <v>2616</v>
      </c>
      <c r="I9188" s="417" t="s">
        <v>1392</v>
      </c>
      <c r="J9188" s="417" t="s">
        <v>4394</v>
      </c>
      <c r="K9188" s="417" t="s">
        <v>20812</v>
      </c>
      <c r="L9188" s="417"/>
      <c r="M9188" s="417" t="s">
        <v>28840</v>
      </c>
    </row>
    <row r="9189" spans="1:13" x14ac:dyDescent="0.25">
      <c r="A9189" s="417" t="s">
        <v>3385</v>
      </c>
      <c r="B9189" s="417" t="s">
        <v>2437</v>
      </c>
      <c r="C9189" s="417" t="s">
        <v>20813</v>
      </c>
      <c r="D9189" s="417" t="s">
        <v>17280</v>
      </c>
      <c r="E9189" s="423">
        <v>3.7405547402635853E-2</v>
      </c>
      <c r="F9189" s="423">
        <v>7.1844810813616062E-3</v>
      </c>
      <c r="G9189" s="422">
        <v>71.604497376622405</v>
      </c>
      <c r="H9189" s="417" t="s">
        <v>2616</v>
      </c>
      <c r="I9189" s="417" t="s">
        <v>1392</v>
      </c>
      <c r="J9189" s="417" t="s">
        <v>4394</v>
      </c>
      <c r="K9189" s="417" t="s">
        <v>20814</v>
      </c>
      <c r="L9189" s="417"/>
      <c r="M9189" s="417" t="s">
        <v>28840</v>
      </c>
    </row>
    <row r="9190" spans="1:13" x14ac:dyDescent="0.25">
      <c r="A9190" s="417" t="s">
        <v>3385</v>
      </c>
      <c r="B9190" s="417" t="s">
        <v>2437</v>
      </c>
      <c r="C9190" s="417" t="s">
        <v>20815</v>
      </c>
      <c r="D9190" s="417" t="s">
        <v>17280</v>
      </c>
      <c r="E9190" s="423">
        <v>1.223000825567667E-2</v>
      </c>
      <c r="F9190" s="423">
        <v>1.5355235171304079E-3</v>
      </c>
      <c r="G9190" s="422">
        <v>74.512867458115963</v>
      </c>
      <c r="H9190" s="417" t="s">
        <v>2616</v>
      </c>
      <c r="I9190" s="417" t="s">
        <v>1392</v>
      </c>
      <c r="J9190" s="417" t="s">
        <v>4394</v>
      </c>
      <c r="K9190" s="417" t="s">
        <v>20816</v>
      </c>
      <c r="L9190" s="417"/>
      <c r="M9190" s="417" t="s">
        <v>28840</v>
      </c>
    </row>
    <row r="9191" spans="1:13" x14ac:dyDescent="0.25">
      <c r="A9191" s="417" t="s">
        <v>3385</v>
      </c>
      <c r="B9191" s="417" t="s">
        <v>2437</v>
      </c>
      <c r="C9191" s="417" t="s">
        <v>20817</v>
      </c>
      <c r="D9191" s="417" t="s">
        <v>17280</v>
      </c>
      <c r="E9191" s="423">
        <v>6.1899823439334312E-2</v>
      </c>
      <c r="F9191" s="423">
        <v>6.8835702079456844E-4</v>
      </c>
      <c r="G9191" s="422">
        <v>112.82127207446661</v>
      </c>
      <c r="H9191" s="417" t="s">
        <v>2616</v>
      </c>
      <c r="I9191" s="417" t="s">
        <v>1392</v>
      </c>
      <c r="J9191" s="417" t="s">
        <v>4394</v>
      </c>
      <c r="K9191" s="417" t="s">
        <v>20818</v>
      </c>
      <c r="L9191" s="417"/>
      <c r="M9191" s="417" t="s">
        <v>28840</v>
      </c>
    </row>
    <row r="9192" spans="1:13" x14ac:dyDescent="0.25">
      <c r="A9192" s="417" t="s">
        <v>3385</v>
      </c>
      <c r="B9192" s="417" t="s">
        <v>2437</v>
      </c>
      <c r="C9192" s="417" t="s">
        <v>20819</v>
      </c>
      <c r="D9192" s="417" t="s">
        <v>17280</v>
      </c>
      <c r="E9192" s="423">
        <v>6.7568052548093154E-3</v>
      </c>
      <c r="F9192" s="423">
        <v>5.100602376084775E-4</v>
      </c>
      <c r="G9192" s="422">
        <v>30.72880144915775</v>
      </c>
      <c r="H9192" s="417" t="s">
        <v>2616</v>
      </c>
      <c r="I9192" s="417" t="s">
        <v>28994</v>
      </c>
      <c r="J9192" s="417" t="s">
        <v>4394</v>
      </c>
      <c r="K9192" s="417" t="s">
        <v>20820</v>
      </c>
      <c r="L9192" s="417"/>
      <c r="M9192" s="417" t="s">
        <v>28840</v>
      </c>
    </row>
    <row r="9193" spans="1:13" x14ac:dyDescent="0.25">
      <c r="A9193" s="417" t="s">
        <v>3385</v>
      </c>
      <c r="B9193" s="417" t="s">
        <v>2437</v>
      </c>
      <c r="C9193" s="417" t="s">
        <v>20821</v>
      </c>
      <c r="D9193" s="417" t="s">
        <v>397</v>
      </c>
      <c r="E9193" s="423">
        <v>3.6888371053784501E-2</v>
      </c>
      <c r="F9193" s="423">
        <v>2.4653948696010748E-3</v>
      </c>
      <c r="G9193" s="422">
        <v>65.451029517321771</v>
      </c>
      <c r="H9193" s="417" t="s">
        <v>2616</v>
      </c>
      <c r="I9193" s="417" t="s">
        <v>1392</v>
      </c>
      <c r="J9193" s="417" t="s">
        <v>20822</v>
      </c>
      <c r="K9193" s="417" t="s">
        <v>20823</v>
      </c>
      <c r="L9193" s="417"/>
      <c r="M9193" s="417" t="s">
        <v>28840</v>
      </c>
    </row>
    <row r="9194" spans="1:13" x14ac:dyDescent="0.25">
      <c r="A9194" s="417" t="s">
        <v>3385</v>
      </c>
      <c r="B9194" s="417" t="s">
        <v>2437</v>
      </c>
      <c r="C9194" s="417" t="s">
        <v>20824</v>
      </c>
      <c r="D9194" s="417" t="s">
        <v>397</v>
      </c>
      <c r="E9194" s="423">
        <v>4.4060839308892263E-2</v>
      </c>
      <c r="F9194" s="423">
        <v>2.895208965458914E-3</v>
      </c>
      <c r="G9194" s="422">
        <v>77.983684047805411</v>
      </c>
      <c r="H9194" s="417" t="s">
        <v>2616</v>
      </c>
      <c r="I9194" s="417" t="s">
        <v>1392</v>
      </c>
      <c r="J9194" s="417" t="s">
        <v>20822</v>
      </c>
      <c r="K9194" s="417" t="s">
        <v>20825</v>
      </c>
      <c r="L9194" s="417"/>
      <c r="M9194" s="417" t="s">
        <v>28840</v>
      </c>
    </row>
    <row r="9195" spans="1:13" x14ac:dyDescent="0.25">
      <c r="A9195" s="417" t="s">
        <v>3385</v>
      </c>
      <c r="B9195" s="417" t="s">
        <v>2437</v>
      </c>
      <c r="C9195" s="417" t="s">
        <v>20826</v>
      </c>
      <c r="D9195" s="417" t="s">
        <v>397</v>
      </c>
      <c r="E9195" s="423">
        <v>3.2052349380671287E-2</v>
      </c>
      <c r="F9195" s="423">
        <v>1.982344928006969E-3</v>
      </c>
      <c r="G9195" s="422">
        <v>55.527814203932977</v>
      </c>
      <c r="H9195" s="417" t="s">
        <v>2616</v>
      </c>
      <c r="I9195" s="417" t="s">
        <v>1392</v>
      </c>
      <c r="J9195" s="417" t="s">
        <v>20822</v>
      </c>
      <c r="K9195" s="417" t="s">
        <v>20827</v>
      </c>
      <c r="L9195" s="417"/>
      <c r="M9195" s="417" t="s">
        <v>28840</v>
      </c>
    </row>
    <row r="9196" spans="1:13" x14ac:dyDescent="0.25">
      <c r="A9196" s="417" t="s">
        <v>3385</v>
      </c>
      <c r="B9196" s="417" t="s">
        <v>2437</v>
      </c>
      <c r="C9196" s="417" t="s">
        <v>20828</v>
      </c>
      <c r="D9196" s="417" t="s">
        <v>397</v>
      </c>
      <c r="E9196" s="423">
        <v>4.2378377490732988E-4</v>
      </c>
      <c r="F9196" s="423">
        <v>9.9980137857294734E-6</v>
      </c>
      <c r="G9196" s="422">
        <v>0.89743726396682466</v>
      </c>
      <c r="H9196" s="417" t="s">
        <v>2616</v>
      </c>
      <c r="I9196" s="417" t="s">
        <v>1392</v>
      </c>
      <c r="J9196" s="417" t="s">
        <v>20822</v>
      </c>
      <c r="K9196" s="417" t="s">
        <v>20829</v>
      </c>
      <c r="L9196" s="417"/>
      <c r="M9196" s="417" t="s">
        <v>28840</v>
      </c>
    </row>
    <row r="9197" spans="1:13" x14ac:dyDescent="0.25">
      <c r="A9197" s="417" t="s">
        <v>3385</v>
      </c>
      <c r="B9197" s="417" t="s">
        <v>2437</v>
      </c>
      <c r="C9197" s="417" t="s">
        <v>20830</v>
      </c>
      <c r="D9197" s="417" t="s">
        <v>397</v>
      </c>
      <c r="E9197" s="423">
        <v>4.4122378415563683E-3</v>
      </c>
      <c r="F9197" s="423">
        <v>4.7305193001450637E-4</v>
      </c>
      <c r="G9197" s="422">
        <v>9.0257779718617996</v>
      </c>
      <c r="H9197" s="417" t="s">
        <v>2616</v>
      </c>
      <c r="I9197" s="417" t="s">
        <v>1392</v>
      </c>
      <c r="J9197" s="417" t="s">
        <v>20822</v>
      </c>
      <c r="K9197" s="417" t="s">
        <v>20831</v>
      </c>
      <c r="L9197" s="417"/>
      <c r="M9197" s="417" t="s">
        <v>28840</v>
      </c>
    </row>
    <row r="9198" spans="1:13" x14ac:dyDescent="0.25">
      <c r="A9198" s="417" t="s">
        <v>3385</v>
      </c>
      <c r="B9198" s="417" t="s">
        <v>2437</v>
      </c>
      <c r="C9198" s="417" t="s">
        <v>20832</v>
      </c>
      <c r="D9198" s="417" t="s">
        <v>3936</v>
      </c>
      <c r="E9198" s="423">
        <v>5.9518669568987652E-3</v>
      </c>
      <c r="F9198" s="423">
        <v>3.3683454286849272E-4</v>
      </c>
      <c r="G9198" s="422">
        <v>13.655944390706329</v>
      </c>
      <c r="H9198" s="417" t="s">
        <v>2616</v>
      </c>
      <c r="I9198" s="417" t="s">
        <v>28986</v>
      </c>
      <c r="J9198" s="417" t="s">
        <v>20833</v>
      </c>
      <c r="K9198" s="417" t="s">
        <v>20834</v>
      </c>
      <c r="L9198" s="417"/>
      <c r="M9198" s="417" t="s">
        <v>28840</v>
      </c>
    </row>
    <row r="9199" spans="1:13" x14ac:dyDescent="0.25">
      <c r="A9199" s="417" t="s">
        <v>3385</v>
      </c>
      <c r="B9199" s="417" t="s">
        <v>2437</v>
      </c>
      <c r="C9199" s="417" t="s">
        <v>20835</v>
      </c>
      <c r="D9199" s="417" t="s">
        <v>3936</v>
      </c>
      <c r="E9199" s="423">
        <v>1.1369536229657289E-2</v>
      </c>
      <c r="F9199" s="423">
        <v>7.0953103907692768E-4</v>
      </c>
      <c r="G9199" s="422">
        <v>31.98438434527494</v>
      </c>
      <c r="H9199" s="417" t="s">
        <v>2616</v>
      </c>
      <c r="I9199" s="417" t="s">
        <v>1392</v>
      </c>
      <c r="J9199" s="417" t="s">
        <v>20833</v>
      </c>
      <c r="K9199" s="417" t="s">
        <v>20836</v>
      </c>
      <c r="L9199" s="417"/>
      <c r="M9199" s="417" t="s">
        <v>28840</v>
      </c>
    </row>
    <row r="9200" spans="1:13" x14ac:dyDescent="0.25">
      <c r="A9200" s="417" t="s">
        <v>3385</v>
      </c>
      <c r="B9200" s="417" t="s">
        <v>2437</v>
      </c>
      <c r="C9200" s="417" t="s">
        <v>20837</v>
      </c>
      <c r="D9200" s="417" t="s">
        <v>3936</v>
      </c>
      <c r="E9200" s="423">
        <v>1.0747889746038269E-2</v>
      </c>
      <c r="F9200" s="423">
        <v>6.000852074477727E-4</v>
      </c>
      <c r="G9200" s="422">
        <v>29.007964052834581</v>
      </c>
      <c r="H9200" s="417" t="s">
        <v>2616</v>
      </c>
      <c r="I9200" s="417" t="s">
        <v>1392</v>
      </c>
      <c r="J9200" s="417" t="s">
        <v>20833</v>
      </c>
      <c r="K9200" s="417" t="s">
        <v>20838</v>
      </c>
      <c r="L9200" s="417"/>
      <c r="M9200" s="417" t="s">
        <v>28840</v>
      </c>
    </row>
    <row r="9201" spans="1:13" x14ac:dyDescent="0.25">
      <c r="A9201" s="417" t="s">
        <v>3385</v>
      </c>
      <c r="B9201" s="417" t="s">
        <v>2437</v>
      </c>
      <c r="C9201" s="417" t="s">
        <v>20839</v>
      </c>
      <c r="D9201" s="417" t="s">
        <v>3936</v>
      </c>
      <c r="E9201" s="423">
        <v>1.0713248928232069E-2</v>
      </c>
      <c r="F9201" s="423">
        <v>6.9242829553371461E-4</v>
      </c>
      <c r="G9201" s="422">
        <v>31.271141518949651</v>
      </c>
      <c r="H9201" s="417" t="s">
        <v>2616</v>
      </c>
      <c r="I9201" s="417" t="s">
        <v>1392</v>
      </c>
      <c r="J9201" s="417" t="s">
        <v>20833</v>
      </c>
      <c r="K9201" s="417" t="s">
        <v>20840</v>
      </c>
      <c r="L9201" s="417"/>
      <c r="M9201" s="417" t="s">
        <v>28840</v>
      </c>
    </row>
    <row r="9202" spans="1:13" x14ac:dyDescent="0.25">
      <c r="A9202" s="417" t="s">
        <v>3385</v>
      </c>
      <c r="B9202" s="417" t="s">
        <v>2437</v>
      </c>
      <c r="C9202" s="417" t="s">
        <v>20841</v>
      </c>
      <c r="D9202" s="417" t="s">
        <v>3936</v>
      </c>
      <c r="E9202" s="423">
        <v>1.0091602447466361E-2</v>
      </c>
      <c r="F9202" s="423">
        <v>5.8298246392566406E-4</v>
      </c>
      <c r="G9202" s="422">
        <v>28.294721254341621</v>
      </c>
      <c r="H9202" s="417" t="s">
        <v>2616</v>
      </c>
      <c r="I9202" s="417" t="s">
        <v>1392</v>
      </c>
      <c r="J9202" s="417" t="s">
        <v>20833</v>
      </c>
      <c r="K9202" s="417" t="s">
        <v>20842</v>
      </c>
      <c r="L9202" s="417"/>
      <c r="M9202" s="417" t="s">
        <v>28840</v>
      </c>
    </row>
    <row r="9203" spans="1:13" x14ac:dyDescent="0.25">
      <c r="A9203" s="417" t="s">
        <v>3385</v>
      </c>
      <c r="B9203" s="417" t="s">
        <v>2437</v>
      </c>
      <c r="C9203" s="417" t="s">
        <v>20843</v>
      </c>
      <c r="D9203" s="417" t="s">
        <v>3936</v>
      </c>
      <c r="E9203" s="423">
        <v>1.107233271857129E-2</v>
      </c>
      <c r="F9203" s="423">
        <v>7.1528290831683215E-4</v>
      </c>
      <c r="G9203" s="422">
        <v>31.989061068515539</v>
      </c>
      <c r="H9203" s="417" t="s">
        <v>2616</v>
      </c>
      <c r="I9203" s="417" t="s">
        <v>1392</v>
      </c>
      <c r="J9203" s="417" t="s">
        <v>20833</v>
      </c>
      <c r="K9203" s="417" t="s">
        <v>20844</v>
      </c>
      <c r="L9203" s="417"/>
      <c r="M9203" s="417" t="s">
        <v>28840</v>
      </c>
    </row>
    <row r="9204" spans="1:13" x14ac:dyDescent="0.25">
      <c r="A9204" s="417" t="s">
        <v>3385</v>
      </c>
      <c r="B9204" s="417" t="s">
        <v>2437</v>
      </c>
      <c r="C9204" s="417" t="s">
        <v>20845</v>
      </c>
      <c r="D9204" s="417" t="s">
        <v>3936</v>
      </c>
      <c r="E9204" s="423">
        <v>1.0450686235151651E-2</v>
      </c>
      <c r="F9204" s="423">
        <v>6.0583707670554948E-4</v>
      </c>
      <c r="G9204" s="422">
        <v>29.012640793440941</v>
      </c>
      <c r="H9204" s="417" t="s">
        <v>2616</v>
      </c>
      <c r="I9204" s="417" t="s">
        <v>1392</v>
      </c>
      <c r="J9204" s="417" t="s">
        <v>20833</v>
      </c>
      <c r="K9204" s="417" t="s">
        <v>20846</v>
      </c>
      <c r="L9204" s="417"/>
      <c r="M9204" s="417" t="s">
        <v>28840</v>
      </c>
    </row>
    <row r="9205" spans="1:13" x14ac:dyDescent="0.25">
      <c r="A9205" s="417" t="s">
        <v>3385</v>
      </c>
      <c r="B9205" s="417" t="s">
        <v>2437</v>
      </c>
      <c r="C9205" s="417" t="s">
        <v>20847</v>
      </c>
      <c r="D9205" s="417" t="s">
        <v>3936</v>
      </c>
      <c r="E9205" s="423">
        <v>9.6374008656024916E-3</v>
      </c>
      <c r="F9205" s="423">
        <v>7.3769226622560522E-4</v>
      </c>
      <c r="G9205" s="422">
        <v>28.713024045296621</v>
      </c>
      <c r="H9205" s="417" t="s">
        <v>2616</v>
      </c>
      <c r="I9205" s="417" t="s">
        <v>28986</v>
      </c>
      <c r="J9205" s="417" t="s">
        <v>20833</v>
      </c>
      <c r="K9205" s="417" t="s">
        <v>20848</v>
      </c>
      <c r="L9205" s="417"/>
      <c r="M9205" s="417" t="s">
        <v>28840</v>
      </c>
    </row>
    <row r="9206" spans="1:13" x14ac:dyDescent="0.25">
      <c r="A9206" s="417" t="s">
        <v>3385</v>
      </c>
      <c r="B9206" s="417" t="s">
        <v>2437</v>
      </c>
      <c r="C9206" s="417" t="s">
        <v>20849</v>
      </c>
      <c r="D9206" s="417" t="s">
        <v>3936</v>
      </c>
      <c r="E9206" s="423">
        <v>8.4996394004100851E-3</v>
      </c>
      <c r="F9206" s="423">
        <v>5.3738026695505101E-4</v>
      </c>
      <c r="G9206" s="422">
        <v>23.2654643725607</v>
      </c>
      <c r="H9206" s="417" t="s">
        <v>2616</v>
      </c>
      <c r="I9206" s="417" t="s">
        <v>1392</v>
      </c>
      <c r="J9206" s="417" t="s">
        <v>20833</v>
      </c>
      <c r="K9206" s="417" t="s">
        <v>20850</v>
      </c>
      <c r="L9206" s="417"/>
      <c r="M9206" s="417" t="s">
        <v>28840</v>
      </c>
    </row>
    <row r="9207" spans="1:13" x14ac:dyDescent="0.25">
      <c r="A9207" s="417" t="s">
        <v>3385</v>
      </c>
      <c r="B9207" s="417" t="s">
        <v>2437</v>
      </c>
      <c r="C9207" s="417" t="s">
        <v>20851</v>
      </c>
      <c r="D9207" s="417" t="s">
        <v>3936</v>
      </c>
      <c r="E9207" s="423">
        <v>9.1985894000981283E-3</v>
      </c>
      <c r="F9207" s="423">
        <v>7.2623416593588599E-4</v>
      </c>
      <c r="G9207" s="422">
        <v>28.22877330331162</v>
      </c>
      <c r="H9207" s="417" t="s">
        <v>2616</v>
      </c>
      <c r="I9207" s="417" t="s">
        <v>1392</v>
      </c>
      <c r="J9207" s="417" t="s">
        <v>20833</v>
      </c>
      <c r="K9207" s="417" t="s">
        <v>20852</v>
      </c>
      <c r="L9207" s="417"/>
      <c r="M9207" s="417" t="s">
        <v>28840</v>
      </c>
    </row>
    <row r="9208" spans="1:13" x14ac:dyDescent="0.25">
      <c r="A9208" s="417" t="s">
        <v>3385</v>
      </c>
      <c r="B9208" s="417" t="s">
        <v>2437</v>
      </c>
      <c r="C9208" s="417" t="s">
        <v>20853</v>
      </c>
      <c r="D9208" s="417" t="s">
        <v>3936</v>
      </c>
      <c r="E9208" s="423">
        <v>8.0608279351556435E-3</v>
      </c>
      <c r="F9208" s="423">
        <v>5.2592216669158551E-4</v>
      </c>
      <c r="G9208" s="422">
        <v>22.781213584177969</v>
      </c>
      <c r="H9208" s="417" t="s">
        <v>2616</v>
      </c>
      <c r="I9208" s="417" t="s">
        <v>1392</v>
      </c>
      <c r="J9208" s="417" t="s">
        <v>20833</v>
      </c>
      <c r="K9208" s="417" t="s">
        <v>20854</v>
      </c>
      <c r="L9208" s="417"/>
      <c r="M9208" s="417" t="s">
        <v>28840</v>
      </c>
    </row>
    <row r="9209" spans="1:13" x14ac:dyDescent="0.25">
      <c r="A9209" s="417" t="s">
        <v>3385</v>
      </c>
      <c r="B9209" s="417" t="s">
        <v>2437</v>
      </c>
      <c r="C9209" s="417" t="s">
        <v>20855</v>
      </c>
      <c r="D9209" s="417" t="s">
        <v>3936</v>
      </c>
      <c r="E9209" s="423">
        <v>9.4379588730197379E-3</v>
      </c>
      <c r="F9209" s="423">
        <v>7.414751623318563E-4</v>
      </c>
      <c r="G9209" s="422">
        <v>28.710134336767631</v>
      </c>
      <c r="H9209" s="417" t="s">
        <v>2616</v>
      </c>
      <c r="I9209" s="417" t="s">
        <v>1392</v>
      </c>
      <c r="J9209" s="417" t="s">
        <v>20833</v>
      </c>
      <c r="K9209" s="417" t="s">
        <v>20856</v>
      </c>
      <c r="L9209" s="417"/>
      <c r="M9209" s="417" t="s">
        <v>28840</v>
      </c>
    </row>
    <row r="9210" spans="1:13" x14ac:dyDescent="0.25">
      <c r="A9210" s="417" t="s">
        <v>3385</v>
      </c>
      <c r="B9210" s="417" t="s">
        <v>2437</v>
      </c>
      <c r="C9210" s="417" t="s">
        <v>20857</v>
      </c>
      <c r="D9210" s="417" t="s">
        <v>3936</v>
      </c>
      <c r="E9210" s="423">
        <v>8.3001974065140122E-3</v>
      </c>
      <c r="F9210" s="423">
        <v>5.4116316305325514E-4</v>
      </c>
      <c r="G9210" s="422">
        <v>23.26257459591697</v>
      </c>
      <c r="H9210" s="417" t="s">
        <v>2616</v>
      </c>
      <c r="I9210" s="417" t="s">
        <v>1392</v>
      </c>
      <c r="J9210" s="417" t="s">
        <v>20833</v>
      </c>
      <c r="K9210" s="417" t="s">
        <v>20858</v>
      </c>
      <c r="L9210" s="417"/>
      <c r="M9210" s="417" t="s">
        <v>28840</v>
      </c>
    </row>
    <row r="9211" spans="1:13" x14ac:dyDescent="0.25">
      <c r="A9211" s="417" t="s">
        <v>3385</v>
      </c>
      <c r="B9211" s="417" t="s">
        <v>2437</v>
      </c>
      <c r="C9211" s="417" t="s">
        <v>20859</v>
      </c>
      <c r="D9211" s="417" t="s">
        <v>3936</v>
      </c>
      <c r="E9211" s="423">
        <v>1.343365221654611E-2</v>
      </c>
      <c r="F9211" s="423">
        <v>1.1326246465882301E-3</v>
      </c>
      <c r="G9211" s="422">
        <v>37.710391978201919</v>
      </c>
      <c r="H9211" s="417" t="s">
        <v>2616</v>
      </c>
      <c r="I9211" s="417" t="s">
        <v>1392</v>
      </c>
      <c r="J9211" s="417" t="s">
        <v>20833</v>
      </c>
      <c r="K9211" s="417" t="s">
        <v>20860</v>
      </c>
      <c r="L9211" s="417"/>
      <c r="M9211" s="417" t="s">
        <v>28840</v>
      </c>
    </row>
    <row r="9212" spans="1:13" x14ac:dyDescent="0.25">
      <c r="A9212" s="417" t="s">
        <v>3385</v>
      </c>
      <c r="B9212" s="417" t="s">
        <v>2437</v>
      </c>
      <c r="C9212" s="417" t="s">
        <v>20861</v>
      </c>
      <c r="D9212" s="417" t="s">
        <v>3936</v>
      </c>
      <c r="E9212" s="423">
        <v>1.255971950327521E-2</v>
      </c>
      <c r="F9212" s="423">
        <v>9.7876180688031373E-4</v>
      </c>
      <c r="G9212" s="422">
        <v>33.526034580138379</v>
      </c>
      <c r="H9212" s="417" t="s">
        <v>2616</v>
      </c>
      <c r="I9212" s="417" t="s">
        <v>1392</v>
      </c>
      <c r="J9212" s="417" t="s">
        <v>20833</v>
      </c>
      <c r="K9212" s="417" t="s">
        <v>20862</v>
      </c>
      <c r="L9212" s="417"/>
      <c r="M9212" s="417" t="s">
        <v>28840</v>
      </c>
    </row>
    <row r="9213" spans="1:13" x14ac:dyDescent="0.25">
      <c r="A9213" s="417" t="s">
        <v>3385</v>
      </c>
      <c r="B9213" s="417" t="s">
        <v>2437</v>
      </c>
      <c r="C9213" s="417" t="s">
        <v>20863</v>
      </c>
      <c r="D9213" s="417" t="s">
        <v>3936</v>
      </c>
      <c r="E9213" s="423">
        <v>1.277816455442851E-2</v>
      </c>
      <c r="F9213" s="423">
        <v>1.11552805923703E-3</v>
      </c>
      <c r="G9213" s="422">
        <v>37.00354670171609</v>
      </c>
      <c r="H9213" s="417" t="s">
        <v>2616</v>
      </c>
      <c r="I9213" s="417" t="s">
        <v>1392</v>
      </c>
      <c r="J9213" s="417" t="s">
        <v>20833</v>
      </c>
      <c r="K9213" s="417" t="s">
        <v>20864</v>
      </c>
      <c r="L9213" s="417"/>
      <c r="M9213" s="417" t="s">
        <v>28840</v>
      </c>
    </row>
    <row r="9214" spans="1:13" x14ac:dyDescent="0.25">
      <c r="A9214" s="417" t="s">
        <v>3385</v>
      </c>
      <c r="B9214" s="417" t="s">
        <v>2437</v>
      </c>
      <c r="C9214" s="417" t="s">
        <v>20865</v>
      </c>
      <c r="D9214" s="417" t="s">
        <v>3936</v>
      </c>
      <c r="E9214" s="423">
        <v>1.19042318422983E-2</v>
      </c>
      <c r="F9214" s="423">
        <v>9.6166521959277116E-4</v>
      </c>
      <c r="G9214" s="422">
        <v>32.819189249844527</v>
      </c>
      <c r="H9214" s="417" t="s">
        <v>2616</v>
      </c>
      <c r="I9214" s="417" t="s">
        <v>1392</v>
      </c>
      <c r="J9214" s="417" t="s">
        <v>20833</v>
      </c>
      <c r="K9214" s="417" t="s">
        <v>20866</v>
      </c>
      <c r="L9214" s="417"/>
      <c r="M9214" s="417" t="s">
        <v>28840</v>
      </c>
    </row>
    <row r="9215" spans="1:13" x14ac:dyDescent="0.25">
      <c r="A9215" s="417" t="s">
        <v>3385</v>
      </c>
      <c r="B9215" s="417" t="s">
        <v>2437</v>
      </c>
      <c r="C9215" s="417" t="s">
        <v>20867</v>
      </c>
      <c r="D9215" s="417" t="s">
        <v>3936</v>
      </c>
      <c r="E9215" s="423">
        <v>1.3136448705915609E-2</v>
      </c>
      <c r="F9215" s="423">
        <v>1.138376515657812E-3</v>
      </c>
      <c r="G9215" s="422">
        <v>37.71952855722899</v>
      </c>
      <c r="H9215" s="417" t="s">
        <v>2616</v>
      </c>
      <c r="I9215" s="417" t="s">
        <v>1392</v>
      </c>
      <c r="J9215" s="417" t="s">
        <v>20833</v>
      </c>
      <c r="K9215" s="417" t="s">
        <v>20868</v>
      </c>
      <c r="L9215" s="417"/>
      <c r="M9215" s="417" t="s">
        <v>28840</v>
      </c>
    </row>
    <row r="9216" spans="1:13" x14ac:dyDescent="0.25">
      <c r="A9216" s="417" t="s">
        <v>3385</v>
      </c>
      <c r="B9216" s="417" t="s">
        <v>2437</v>
      </c>
      <c r="C9216" s="417" t="s">
        <v>20869</v>
      </c>
      <c r="D9216" s="417" t="s">
        <v>3936</v>
      </c>
      <c r="E9216" s="423">
        <v>1.2262515992130451E-2</v>
      </c>
      <c r="F9216" s="423">
        <v>9.8451367607133803E-4</v>
      </c>
      <c r="G9216" s="422">
        <v>33.535171107762167</v>
      </c>
      <c r="H9216" s="417" t="s">
        <v>2616</v>
      </c>
      <c r="I9216" s="417" t="s">
        <v>1392</v>
      </c>
      <c r="J9216" s="417" t="s">
        <v>20833</v>
      </c>
      <c r="K9216" s="417" t="s">
        <v>20870</v>
      </c>
      <c r="L9216" s="417"/>
      <c r="M9216" s="417" t="s">
        <v>28840</v>
      </c>
    </row>
    <row r="9217" spans="1:13" x14ac:dyDescent="0.25">
      <c r="A9217" s="417" t="s">
        <v>3385</v>
      </c>
      <c r="B9217" s="417" t="s">
        <v>2437</v>
      </c>
      <c r="C9217" s="417" t="s">
        <v>20871</v>
      </c>
      <c r="D9217" s="417" t="s">
        <v>397</v>
      </c>
      <c r="E9217" s="423">
        <v>4.0656903569204803E-2</v>
      </c>
      <c r="F9217" s="423">
        <v>1.750586919082522E-3</v>
      </c>
      <c r="G9217" s="422">
        <v>91.447170553483943</v>
      </c>
      <c r="H9217" s="417" t="s">
        <v>2616</v>
      </c>
      <c r="I9217" s="417" t="s">
        <v>1392</v>
      </c>
      <c r="J9217" s="417" t="s">
        <v>20872</v>
      </c>
      <c r="K9217" s="417" t="s">
        <v>20873</v>
      </c>
      <c r="L9217" s="417"/>
      <c r="M9217" s="417" t="s">
        <v>28840</v>
      </c>
    </row>
    <row r="9218" spans="1:13" x14ac:dyDescent="0.25">
      <c r="A9218" s="417" t="s">
        <v>3385</v>
      </c>
      <c r="B9218" s="417" t="s">
        <v>2437</v>
      </c>
      <c r="C9218" s="417" t="s">
        <v>20874</v>
      </c>
      <c r="D9218" s="417" t="s">
        <v>397</v>
      </c>
      <c r="E9218" s="423">
        <v>5.4297286403008002E-2</v>
      </c>
      <c r="F9218" s="423">
        <v>2.981262109575852E-3</v>
      </c>
      <c r="G9218" s="422">
        <v>113.6091673556881</v>
      </c>
      <c r="H9218" s="417" t="s">
        <v>2616</v>
      </c>
      <c r="I9218" s="417" t="s">
        <v>1392</v>
      </c>
      <c r="J9218" s="417" t="s">
        <v>18331</v>
      </c>
      <c r="K9218" s="417" t="s">
        <v>20875</v>
      </c>
      <c r="L9218" s="417"/>
      <c r="M9218" s="417" t="s">
        <v>28840</v>
      </c>
    </row>
    <row r="9219" spans="1:13" x14ac:dyDescent="0.25">
      <c r="A9219" s="417" t="s">
        <v>3385</v>
      </c>
      <c r="B9219" s="417" t="s">
        <v>2437</v>
      </c>
      <c r="C9219" s="417" t="s">
        <v>20876</v>
      </c>
      <c r="D9219" s="417" t="s">
        <v>397</v>
      </c>
      <c r="E9219" s="423">
        <v>1.093135290723999E-2</v>
      </c>
      <c r="F9219" s="423">
        <v>8.5384962100913653E-4</v>
      </c>
      <c r="G9219" s="422">
        <v>21.214552748808671</v>
      </c>
      <c r="H9219" s="417" t="s">
        <v>2616</v>
      </c>
      <c r="I9219" s="417" t="s">
        <v>1392</v>
      </c>
      <c r="J9219" s="417" t="s">
        <v>18331</v>
      </c>
      <c r="K9219" s="417" t="s">
        <v>20877</v>
      </c>
      <c r="L9219" s="417"/>
      <c r="M9219" s="417" t="s">
        <v>28840</v>
      </c>
    </row>
    <row r="9220" spans="1:13" x14ac:dyDescent="0.25">
      <c r="A9220" s="417" t="s">
        <v>3385</v>
      </c>
      <c r="B9220" s="417" t="s">
        <v>2437</v>
      </c>
      <c r="C9220" s="417" t="s">
        <v>20878</v>
      </c>
      <c r="D9220" s="417" t="s">
        <v>73</v>
      </c>
      <c r="E9220" s="423">
        <v>7.1622768077049211E-4</v>
      </c>
      <c r="F9220" s="423">
        <v>1.2994662240790371E-4</v>
      </c>
      <c r="G9220" s="422">
        <v>2.8445955773969489</v>
      </c>
      <c r="H9220" s="417" t="s">
        <v>2616</v>
      </c>
      <c r="I9220" s="417" t="s">
        <v>1392</v>
      </c>
      <c r="J9220" s="417" t="s">
        <v>20879</v>
      </c>
      <c r="K9220" s="417" t="s">
        <v>20880</v>
      </c>
      <c r="L9220" s="417"/>
      <c r="M9220" s="417" t="s">
        <v>28840</v>
      </c>
    </row>
    <row r="9221" spans="1:13" x14ac:dyDescent="0.25">
      <c r="A9221" s="417" t="s">
        <v>3385</v>
      </c>
      <c r="B9221" s="417" t="s">
        <v>3405</v>
      </c>
      <c r="C9221" s="417" t="s">
        <v>20881</v>
      </c>
      <c r="D9221" s="417" t="s">
        <v>73</v>
      </c>
      <c r="E9221" s="423">
        <v>6.1107404105251552E-4</v>
      </c>
      <c r="F9221" s="423">
        <v>7.683652535016812E-5</v>
      </c>
      <c r="G9221" s="422">
        <v>1.9068252021019161</v>
      </c>
      <c r="H9221" s="417" t="s">
        <v>2616</v>
      </c>
      <c r="I9221" s="417" t="s">
        <v>1392</v>
      </c>
      <c r="J9221" s="417" t="s">
        <v>7603</v>
      </c>
      <c r="K9221" s="417" t="s">
        <v>20882</v>
      </c>
      <c r="L9221" s="417"/>
      <c r="M9221" s="417" t="s">
        <v>28840</v>
      </c>
    </row>
    <row r="9222" spans="1:13" x14ac:dyDescent="0.25">
      <c r="A9222" s="417" t="s">
        <v>3385</v>
      </c>
      <c r="B9222" s="417" t="s">
        <v>3405</v>
      </c>
      <c r="C9222" s="417" t="s">
        <v>20883</v>
      </c>
      <c r="D9222" s="417" t="s">
        <v>73</v>
      </c>
      <c r="E9222" s="423">
        <v>7.1554271809230903E-4</v>
      </c>
      <c r="F9222" s="423">
        <v>1.2980168997558421E-4</v>
      </c>
      <c r="G9222" s="422">
        <v>2.8421460811695809</v>
      </c>
      <c r="H9222" s="417" t="s">
        <v>2616</v>
      </c>
      <c r="I9222" s="417" t="s">
        <v>1392</v>
      </c>
      <c r="J9222" s="417" t="s">
        <v>7603</v>
      </c>
      <c r="K9222" s="417" t="s">
        <v>20884</v>
      </c>
      <c r="L9222" s="417"/>
      <c r="M9222" s="417" t="s">
        <v>28840</v>
      </c>
    </row>
    <row r="9223" spans="1:13" x14ac:dyDescent="0.25">
      <c r="A9223" s="417" t="s">
        <v>3385</v>
      </c>
      <c r="B9223" s="417" t="s">
        <v>2437</v>
      </c>
      <c r="C9223" s="417" t="s">
        <v>20885</v>
      </c>
      <c r="D9223" s="417" t="s">
        <v>4427</v>
      </c>
      <c r="E9223" s="423">
        <v>754.58851294444764</v>
      </c>
      <c r="F9223" s="423">
        <v>2.1575161472537459</v>
      </c>
      <c r="G9223" s="422">
        <v>987250.21657017933</v>
      </c>
      <c r="H9223" s="417" t="s">
        <v>2616</v>
      </c>
      <c r="I9223" s="417" t="s">
        <v>1392</v>
      </c>
      <c r="J9223" s="417" t="s">
        <v>20886</v>
      </c>
      <c r="K9223" s="417" t="s">
        <v>20887</v>
      </c>
      <c r="L9223" s="417"/>
      <c r="M9223" s="417" t="s">
        <v>28840</v>
      </c>
    </row>
    <row r="9224" spans="1:13" x14ac:dyDescent="0.25">
      <c r="A9224" s="417" t="s">
        <v>3385</v>
      </c>
      <c r="B9224" s="417" t="s">
        <v>2437</v>
      </c>
      <c r="C9224" s="417" t="s">
        <v>20888</v>
      </c>
      <c r="D9224" s="417" t="s">
        <v>4427</v>
      </c>
      <c r="E9224" s="423">
        <v>750.85851028446609</v>
      </c>
      <c r="F9224" s="423">
        <v>1.9204048297492951</v>
      </c>
      <c r="G9224" s="422">
        <v>980624.59185235994</v>
      </c>
      <c r="H9224" s="417" t="s">
        <v>2616</v>
      </c>
      <c r="I9224" s="417" t="s">
        <v>1392</v>
      </c>
      <c r="J9224" s="417" t="s">
        <v>20886</v>
      </c>
      <c r="K9224" s="417" t="s">
        <v>20889</v>
      </c>
      <c r="L9224" s="417"/>
      <c r="M9224" s="417" t="s">
        <v>28840</v>
      </c>
    </row>
    <row r="9225" spans="1:13" x14ac:dyDescent="0.25">
      <c r="A9225" s="417" t="s">
        <v>3385</v>
      </c>
      <c r="B9225" s="417" t="s">
        <v>2437</v>
      </c>
      <c r="C9225" s="417" t="s">
        <v>20890</v>
      </c>
      <c r="D9225" s="417" t="s">
        <v>4427</v>
      </c>
      <c r="E9225" s="423">
        <v>3.73000265949771</v>
      </c>
      <c r="F9225" s="423">
        <v>0.23711131757795051</v>
      </c>
      <c r="G9225" s="422">
        <v>6625.6247222658831</v>
      </c>
      <c r="H9225" s="417" t="s">
        <v>2616</v>
      </c>
      <c r="I9225" s="417" t="s">
        <v>1392</v>
      </c>
      <c r="J9225" s="417" t="s">
        <v>20886</v>
      </c>
      <c r="K9225" s="417" t="s">
        <v>20891</v>
      </c>
      <c r="L9225" s="417"/>
      <c r="M9225" s="417" t="s">
        <v>28840</v>
      </c>
    </row>
    <row r="9226" spans="1:13" x14ac:dyDescent="0.25">
      <c r="A9226" s="417" t="s">
        <v>3385</v>
      </c>
      <c r="B9226" s="417" t="s">
        <v>2437</v>
      </c>
      <c r="C9226" s="417" t="s">
        <v>20892</v>
      </c>
      <c r="D9226" s="417" t="s">
        <v>397</v>
      </c>
      <c r="E9226" s="423">
        <v>0.1727197968707917</v>
      </c>
      <c r="F9226" s="423">
        <v>1.1989718798336621E-2</v>
      </c>
      <c r="G9226" s="422">
        <v>323.0288572220029</v>
      </c>
      <c r="H9226" s="417" t="s">
        <v>2616</v>
      </c>
      <c r="I9226" s="417" t="s">
        <v>1392</v>
      </c>
      <c r="J9226" s="417" t="s">
        <v>20833</v>
      </c>
      <c r="K9226" s="417" t="s">
        <v>20893</v>
      </c>
      <c r="L9226" s="417"/>
      <c r="M9226" s="417" t="s">
        <v>28840</v>
      </c>
    </row>
    <row r="9227" spans="1:13" x14ac:dyDescent="0.25">
      <c r="A9227" s="417" t="s">
        <v>3385</v>
      </c>
      <c r="B9227" s="417" t="s">
        <v>2437</v>
      </c>
      <c r="C9227" s="417" t="s">
        <v>20894</v>
      </c>
      <c r="D9227" s="417" t="s">
        <v>397</v>
      </c>
      <c r="E9227" s="423">
        <v>0.22175041717640709</v>
      </c>
      <c r="F9227" s="423">
        <v>2.1208752827725261E-2</v>
      </c>
      <c r="G9227" s="422">
        <v>409.59731218785481</v>
      </c>
      <c r="H9227" s="417" t="s">
        <v>2616</v>
      </c>
      <c r="I9227" s="417" t="s">
        <v>1392</v>
      </c>
      <c r="J9227" s="417" t="s">
        <v>20833</v>
      </c>
      <c r="K9227" s="417" t="s">
        <v>20895</v>
      </c>
      <c r="L9227" s="417"/>
      <c r="M9227" s="417" t="s">
        <v>28840</v>
      </c>
    </row>
    <row r="9228" spans="1:13" x14ac:dyDescent="0.25">
      <c r="A9228" s="417" t="s">
        <v>3385</v>
      </c>
      <c r="B9228" s="417" t="s">
        <v>2437</v>
      </c>
      <c r="C9228" s="417" t="s">
        <v>20896</v>
      </c>
      <c r="D9228" s="417" t="s">
        <v>397</v>
      </c>
      <c r="E9228" s="423">
        <v>0.88649515023834191</v>
      </c>
      <c r="F9228" s="423">
        <v>6.0626149398967502E-2</v>
      </c>
      <c r="G9228" s="422">
        <v>1844.385821556534</v>
      </c>
      <c r="H9228" s="417" t="s">
        <v>2616</v>
      </c>
      <c r="I9228" s="417" t="s">
        <v>1392</v>
      </c>
      <c r="J9228" s="417" t="s">
        <v>20833</v>
      </c>
      <c r="K9228" s="417" t="s">
        <v>20897</v>
      </c>
      <c r="L9228" s="417"/>
      <c r="M9228" s="417" t="s">
        <v>28840</v>
      </c>
    </row>
    <row r="9229" spans="1:13" x14ac:dyDescent="0.25">
      <c r="A9229" s="417" t="s">
        <v>3385</v>
      </c>
      <c r="B9229" s="417" t="s">
        <v>2437</v>
      </c>
      <c r="C9229" s="417" t="s">
        <v>20898</v>
      </c>
      <c r="D9229" s="417" t="s">
        <v>397</v>
      </c>
      <c r="E9229" s="423">
        <v>0.85105570785003559</v>
      </c>
      <c r="F9229" s="423">
        <v>8.6625644647788477E-2</v>
      </c>
      <c r="G9229" s="422">
        <v>1815.413543592113</v>
      </c>
      <c r="H9229" s="417" t="s">
        <v>2616</v>
      </c>
      <c r="I9229" s="417" t="s">
        <v>1392</v>
      </c>
      <c r="J9229" s="417" t="s">
        <v>20833</v>
      </c>
      <c r="K9229" s="417" t="s">
        <v>20899</v>
      </c>
      <c r="L9229" s="417"/>
      <c r="M9229" s="417" t="s">
        <v>28840</v>
      </c>
    </row>
    <row r="9230" spans="1:13" x14ac:dyDescent="0.25">
      <c r="A9230" s="417" t="s">
        <v>3385</v>
      </c>
      <c r="B9230" s="417" t="s">
        <v>2437</v>
      </c>
      <c r="C9230" s="417" t="s">
        <v>20900</v>
      </c>
      <c r="D9230" s="417" t="s">
        <v>397</v>
      </c>
      <c r="E9230" s="423">
        <v>1.080216783828019</v>
      </c>
      <c r="F9230" s="423">
        <v>7.6211147741218205E-2</v>
      </c>
      <c r="G9230" s="422">
        <v>2386.156839587145</v>
      </c>
      <c r="H9230" s="417" t="s">
        <v>2616</v>
      </c>
      <c r="I9230" s="417" t="s">
        <v>1392</v>
      </c>
      <c r="J9230" s="417" t="s">
        <v>20833</v>
      </c>
      <c r="K9230" s="417" t="s">
        <v>20901</v>
      </c>
      <c r="L9230" s="417"/>
      <c r="M9230" s="417" t="s">
        <v>28840</v>
      </c>
    </row>
    <row r="9231" spans="1:13" x14ac:dyDescent="0.25">
      <c r="A9231" s="417" t="s">
        <v>3385</v>
      </c>
      <c r="B9231" s="417" t="s">
        <v>2437</v>
      </c>
      <c r="C9231" s="417" t="s">
        <v>20902</v>
      </c>
      <c r="D9231" s="417" t="s">
        <v>397</v>
      </c>
      <c r="E9231" s="423">
        <v>1.246618611650117</v>
      </c>
      <c r="F9231" s="423">
        <v>0.1274592794909031</v>
      </c>
      <c r="G9231" s="422">
        <v>2723.7340481203828</v>
      </c>
      <c r="H9231" s="417" t="s">
        <v>2616</v>
      </c>
      <c r="I9231" s="417" t="s">
        <v>1392</v>
      </c>
      <c r="J9231" s="417" t="s">
        <v>20833</v>
      </c>
      <c r="K9231" s="417" t="s">
        <v>20903</v>
      </c>
      <c r="L9231" s="417"/>
      <c r="M9231" s="417" t="s">
        <v>28840</v>
      </c>
    </row>
    <row r="9232" spans="1:13" x14ac:dyDescent="0.25">
      <c r="A9232" s="417" t="s">
        <v>3385</v>
      </c>
      <c r="B9232" s="417" t="s">
        <v>2437</v>
      </c>
      <c r="C9232" s="417" t="s">
        <v>20904</v>
      </c>
      <c r="D9232" s="417" t="s">
        <v>397</v>
      </c>
      <c r="E9232" s="423">
        <v>0.16358994837207469</v>
      </c>
      <c r="F9232" s="423">
        <v>1.108960946814346E-2</v>
      </c>
      <c r="G9232" s="422">
        <v>289.52486826301362</v>
      </c>
      <c r="H9232" s="417" t="s">
        <v>2616</v>
      </c>
      <c r="I9232" s="417" t="s">
        <v>1392</v>
      </c>
      <c r="J9232" s="417" t="s">
        <v>20833</v>
      </c>
      <c r="K9232" s="417" t="s">
        <v>20905</v>
      </c>
      <c r="L9232" s="417"/>
      <c r="M9232" s="417" t="s">
        <v>28840</v>
      </c>
    </row>
    <row r="9233" spans="1:13" x14ac:dyDescent="0.25">
      <c r="A9233" s="417" t="s">
        <v>3385</v>
      </c>
      <c r="B9233" s="417" t="s">
        <v>2437</v>
      </c>
      <c r="C9233" s="417" t="s">
        <v>20906</v>
      </c>
      <c r="D9233" s="417" t="s">
        <v>397</v>
      </c>
      <c r="E9233" s="423">
        <v>0.15910791069493499</v>
      </c>
      <c r="F9233" s="423">
        <v>1.5827576862366181E-2</v>
      </c>
      <c r="G9233" s="422">
        <v>304.68018739870558</v>
      </c>
      <c r="H9233" s="417" t="s">
        <v>2616</v>
      </c>
      <c r="I9233" s="417" t="s">
        <v>1392</v>
      </c>
      <c r="J9233" s="417" t="s">
        <v>20833</v>
      </c>
      <c r="K9233" s="417" t="s">
        <v>20907</v>
      </c>
      <c r="L9233" s="417"/>
      <c r="M9233" s="417" t="s">
        <v>28840</v>
      </c>
    </row>
    <row r="9234" spans="1:13" x14ac:dyDescent="0.25">
      <c r="A9234" s="417" t="s">
        <v>3385</v>
      </c>
      <c r="B9234" s="417" t="s">
        <v>2437</v>
      </c>
      <c r="C9234" s="417" t="s">
        <v>20908</v>
      </c>
      <c r="D9234" s="417" t="s">
        <v>397</v>
      </c>
      <c r="E9234" s="423">
        <v>0.28990172687322158</v>
      </c>
      <c r="F9234" s="423">
        <v>2.0336933339180231E-2</v>
      </c>
      <c r="G9234" s="422">
        <v>550.63489103713493</v>
      </c>
      <c r="H9234" s="417" t="s">
        <v>2616</v>
      </c>
      <c r="I9234" s="417" t="s">
        <v>1392</v>
      </c>
      <c r="J9234" s="417" t="s">
        <v>20833</v>
      </c>
      <c r="K9234" s="417" t="s">
        <v>20909</v>
      </c>
      <c r="L9234" s="417"/>
      <c r="M9234" s="417" t="s">
        <v>28840</v>
      </c>
    </row>
    <row r="9235" spans="1:13" x14ac:dyDescent="0.25">
      <c r="A9235" s="417" t="s">
        <v>3385</v>
      </c>
      <c r="B9235" s="417" t="s">
        <v>2437</v>
      </c>
      <c r="C9235" s="417" t="s">
        <v>20910</v>
      </c>
      <c r="D9235" s="417" t="s">
        <v>397</v>
      </c>
      <c r="E9235" s="423">
        <v>0.43258355618283179</v>
      </c>
      <c r="F9235" s="423">
        <v>4.1817990907000543E-2</v>
      </c>
      <c r="G9235" s="422">
        <v>798.18104798989714</v>
      </c>
      <c r="H9235" s="417" t="s">
        <v>2616</v>
      </c>
      <c r="I9235" s="417" t="s">
        <v>1392</v>
      </c>
      <c r="J9235" s="417" t="s">
        <v>20833</v>
      </c>
      <c r="K9235" s="417" t="s">
        <v>20911</v>
      </c>
      <c r="L9235" s="417"/>
      <c r="M9235" s="417" t="s">
        <v>28840</v>
      </c>
    </row>
    <row r="9236" spans="1:13" x14ac:dyDescent="0.25">
      <c r="A9236" s="417" t="s">
        <v>3385</v>
      </c>
      <c r="B9236" s="417" t="s">
        <v>2437</v>
      </c>
      <c r="C9236" s="417" t="s">
        <v>20912</v>
      </c>
      <c r="D9236" s="417" t="s">
        <v>397</v>
      </c>
      <c r="E9236" s="423">
        <v>0.13305859041766649</v>
      </c>
      <c r="F9236" s="423">
        <v>1.3172227243664399E-2</v>
      </c>
      <c r="G9236" s="422">
        <v>473.79590186419972</v>
      </c>
      <c r="H9236" s="417" t="s">
        <v>2616</v>
      </c>
      <c r="I9236" s="417" t="s">
        <v>1392</v>
      </c>
      <c r="J9236" s="417" t="s">
        <v>20833</v>
      </c>
      <c r="K9236" s="417" t="s">
        <v>20913</v>
      </c>
      <c r="L9236" s="417"/>
      <c r="M9236" s="417" t="s">
        <v>28840</v>
      </c>
    </row>
    <row r="9237" spans="1:13" x14ac:dyDescent="0.25">
      <c r="A9237" s="417" t="s">
        <v>3385</v>
      </c>
      <c r="B9237" s="417" t="s">
        <v>2437</v>
      </c>
      <c r="C9237" s="417" t="s">
        <v>20914</v>
      </c>
      <c r="D9237" s="417" t="s">
        <v>397</v>
      </c>
      <c r="E9237" s="423">
        <v>9.8652547347890016E-2</v>
      </c>
      <c r="F9237" s="423">
        <v>1.1280831684581801E-2</v>
      </c>
      <c r="G9237" s="422">
        <v>364.02794460129218</v>
      </c>
      <c r="H9237" s="417" t="s">
        <v>2616</v>
      </c>
      <c r="I9237" s="417" t="s">
        <v>1392</v>
      </c>
      <c r="J9237" s="417" t="s">
        <v>20833</v>
      </c>
      <c r="K9237" s="417" t="s">
        <v>20915</v>
      </c>
      <c r="L9237" s="417"/>
      <c r="M9237" s="417" t="s">
        <v>28840</v>
      </c>
    </row>
    <row r="9238" spans="1:13" x14ac:dyDescent="0.25">
      <c r="A9238" s="417" t="s">
        <v>3385</v>
      </c>
      <c r="B9238" s="417" t="s">
        <v>2437</v>
      </c>
      <c r="C9238" s="417" t="s">
        <v>20916</v>
      </c>
      <c r="D9238" s="417" t="s">
        <v>397</v>
      </c>
      <c r="E9238" s="423">
        <v>7.0417235771740402E-2</v>
      </c>
      <c r="F9238" s="423">
        <v>6.6861798629237208E-3</v>
      </c>
      <c r="G9238" s="422">
        <v>242.62888124677221</v>
      </c>
      <c r="H9238" s="417" t="s">
        <v>2616</v>
      </c>
      <c r="I9238" s="417" t="s">
        <v>1392</v>
      </c>
      <c r="J9238" s="417" t="s">
        <v>20833</v>
      </c>
      <c r="K9238" s="417" t="s">
        <v>20917</v>
      </c>
      <c r="L9238" s="417"/>
      <c r="M9238" s="417" t="s">
        <v>28840</v>
      </c>
    </row>
    <row r="9239" spans="1:13" x14ac:dyDescent="0.25">
      <c r="A9239" s="417" t="s">
        <v>3385</v>
      </c>
      <c r="B9239" s="417" t="s">
        <v>2437</v>
      </c>
      <c r="C9239" s="417" t="s">
        <v>20918</v>
      </c>
      <c r="D9239" s="417" t="s">
        <v>397</v>
      </c>
      <c r="E9239" s="423">
        <v>5.5941741957291749E-2</v>
      </c>
      <c r="F9239" s="423">
        <v>6.1477013906381332E-3</v>
      </c>
      <c r="G9239" s="422">
        <v>198.71084748307979</v>
      </c>
      <c r="H9239" s="417" t="s">
        <v>2616</v>
      </c>
      <c r="I9239" s="417" t="s">
        <v>1392</v>
      </c>
      <c r="J9239" s="417" t="s">
        <v>20833</v>
      </c>
      <c r="K9239" s="417" t="s">
        <v>20919</v>
      </c>
      <c r="L9239" s="417"/>
      <c r="M9239" s="417" t="s">
        <v>28840</v>
      </c>
    </row>
    <row r="9240" spans="1:13" x14ac:dyDescent="0.25">
      <c r="A9240" s="417" t="s">
        <v>3385</v>
      </c>
      <c r="B9240" s="417" t="s">
        <v>2437</v>
      </c>
      <c r="C9240" s="417" t="s">
        <v>20920</v>
      </c>
      <c r="D9240" s="417" t="s">
        <v>397</v>
      </c>
      <c r="E9240" s="423">
        <v>0.44492348756161948</v>
      </c>
      <c r="F9240" s="423">
        <v>4.0532021512774047E-2</v>
      </c>
      <c r="G9240" s="422">
        <v>1685.8476223258419</v>
      </c>
      <c r="H9240" s="417" t="s">
        <v>2616</v>
      </c>
      <c r="I9240" s="417" t="s">
        <v>1392</v>
      </c>
      <c r="J9240" s="417" t="s">
        <v>20833</v>
      </c>
      <c r="K9240" s="417" t="s">
        <v>20921</v>
      </c>
      <c r="L9240" s="417"/>
      <c r="M9240" s="417" t="s">
        <v>28840</v>
      </c>
    </row>
    <row r="9241" spans="1:13" x14ac:dyDescent="0.25">
      <c r="A9241" s="417" t="s">
        <v>3385</v>
      </c>
      <c r="B9241" s="417" t="s">
        <v>2437</v>
      </c>
      <c r="C9241" s="417" t="s">
        <v>20922</v>
      </c>
      <c r="D9241" s="417" t="s">
        <v>397</v>
      </c>
      <c r="E9241" s="423">
        <v>9.7302797631171459E-2</v>
      </c>
      <c r="F9241" s="423">
        <v>7.9159521479467265E-3</v>
      </c>
      <c r="G9241" s="422">
        <v>318.97265703039858</v>
      </c>
      <c r="H9241" s="417" t="s">
        <v>2616</v>
      </c>
      <c r="I9241" s="417" t="s">
        <v>1392</v>
      </c>
      <c r="J9241" s="417" t="s">
        <v>20833</v>
      </c>
      <c r="K9241" s="417" t="s">
        <v>20923</v>
      </c>
      <c r="L9241" s="417"/>
      <c r="M9241" s="417" t="s">
        <v>28840</v>
      </c>
    </row>
    <row r="9242" spans="1:13" x14ac:dyDescent="0.25">
      <c r="A9242" s="417" t="s">
        <v>3385</v>
      </c>
      <c r="B9242" s="417" t="s">
        <v>2437</v>
      </c>
      <c r="C9242" s="417" t="s">
        <v>20924</v>
      </c>
      <c r="D9242" s="417" t="s">
        <v>397</v>
      </c>
      <c r="E9242" s="423">
        <v>6.841165845624575E-2</v>
      </c>
      <c r="F9242" s="423">
        <v>6.5833075936732226E-3</v>
      </c>
      <c r="G9242" s="422">
        <v>226.5176704743499</v>
      </c>
      <c r="H9242" s="417" t="s">
        <v>2616</v>
      </c>
      <c r="I9242" s="417" t="s">
        <v>1392</v>
      </c>
      <c r="J9242" s="417" t="s">
        <v>20833</v>
      </c>
      <c r="K9242" s="417" t="s">
        <v>20925</v>
      </c>
      <c r="L9242" s="417"/>
      <c r="M9242" s="417" t="s">
        <v>28840</v>
      </c>
    </row>
    <row r="9243" spans="1:13" x14ac:dyDescent="0.25">
      <c r="A9243" s="417" t="s">
        <v>3385</v>
      </c>
      <c r="B9243" s="417" t="s">
        <v>2437</v>
      </c>
      <c r="C9243" s="417" t="s">
        <v>20926</v>
      </c>
      <c r="D9243" s="417" t="s">
        <v>397</v>
      </c>
      <c r="E9243" s="423">
        <v>0.10782039814232661</v>
      </c>
      <c r="F9243" s="423">
        <v>8.6494879683046786E-3</v>
      </c>
      <c r="G9243" s="422">
        <v>347.17454347103182</v>
      </c>
      <c r="H9243" s="417" t="s">
        <v>2616</v>
      </c>
      <c r="I9243" s="417" t="s">
        <v>1392</v>
      </c>
      <c r="J9243" s="417" t="s">
        <v>20833</v>
      </c>
      <c r="K9243" s="417" t="s">
        <v>20927</v>
      </c>
      <c r="L9243" s="417"/>
      <c r="M9243" s="417" t="s">
        <v>28840</v>
      </c>
    </row>
    <row r="9244" spans="1:13" x14ac:dyDescent="0.25">
      <c r="A9244" s="417" t="s">
        <v>3385</v>
      </c>
      <c r="B9244" s="417" t="s">
        <v>2437</v>
      </c>
      <c r="C9244" s="417" t="s">
        <v>20928</v>
      </c>
      <c r="D9244" s="417" t="s">
        <v>397</v>
      </c>
      <c r="E9244" s="423">
        <v>7.8683335551372593E-2</v>
      </c>
      <c r="F9244" s="423">
        <v>7.4424407113133214E-3</v>
      </c>
      <c r="G9244" s="422">
        <v>255.16512297388829</v>
      </c>
      <c r="H9244" s="417" t="s">
        <v>2616</v>
      </c>
      <c r="I9244" s="417" t="s">
        <v>1392</v>
      </c>
      <c r="J9244" s="417" t="s">
        <v>20833</v>
      </c>
      <c r="K9244" s="417" t="s">
        <v>20929</v>
      </c>
      <c r="L9244" s="417"/>
      <c r="M9244" s="417" t="s">
        <v>28840</v>
      </c>
    </row>
    <row r="9245" spans="1:13" x14ac:dyDescent="0.25">
      <c r="A9245" s="417" t="s">
        <v>3385</v>
      </c>
      <c r="B9245" s="417" t="s">
        <v>2437</v>
      </c>
      <c r="C9245" s="417" t="s">
        <v>20930</v>
      </c>
      <c r="D9245" s="417" t="s">
        <v>397</v>
      </c>
      <c r="E9245" s="423">
        <v>0.77726029996701151</v>
      </c>
      <c r="F9245" s="423">
        <v>5.3779909298345911E-2</v>
      </c>
      <c r="G9245" s="422">
        <v>2559.0810310179918</v>
      </c>
      <c r="H9245" s="417" t="s">
        <v>2616</v>
      </c>
      <c r="I9245" s="417" t="s">
        <v>1392</v>
      </c>
      <c r="J9245" s="417" t="s">
        <v>20833</v>
      </c>
      <c r="K9245" s="417" t="s">
        <v>20931</v>
      </c>
      <c r="L9245" s="417"/>
      <c r="M9245" s="417" t="s">
        <v>28840</v>
      </c>
    </row>
    <row r="9246" spans="1:13" x14ac:dyDescent="0.25">
      <c r="A9246" s="417" t="s">
        <v>3385</v>
      </c>
      <c r="B9246" s="417" t="s">
        <v>2437</v>
      </c>
      <c r="C9246" s="417" t="s">
        <v>20932</v>
      </c>
      <c r="D9246" s="417" t="s">
        <v>397</v>
      </c>
      <c r="E9246" s="423">
        <v>0.4579382536961607</v>
      </c>
      <c r="F9246" s="423">
        <v>3.8018018143918177E-2</v>
      </c>
      <c r="G9246" s="422">
        <v>1515.259132116207</v>
      </c>
      <c r="H9246" s="417" t="s">
        <v>2616</v>
      </c>
      <c r="I9246" s="417" t="s">
        <v>1392</v>
      </c>
      <c r="J9246" s="417" t="s">
        <v>20833</v>
      </c>
      <c r="K9246" s="417" t="s">
        <v>20933</v>
      </c>
      <c r="L9246" s="417"/>
      <c r="M9246" s="417" t="s">
        <v>28840</v>
      </c>
    </row>
    <row r="9247" spans="1:13" x14ac:dyDescent="0.25">
      <c r="A9247" s="417" t="s">
        <v>3385</v>
      </c>
      <c r="B9247" s="417" t="s">
        <v>2437</v>
      </c>
      <c r="C9247" s="417" t="s">
        <v>20934</v>
      </c>
      <c r="D9247" s="417" t="s">
        <v>397</v>
      </c>
      <c r="E9247" s="423">
        <v>0.10098690875077899</v>
      </c>
      <c r="F9247" s="423">
        <v>7.5257513281815278E-3</v>
      </c>
      <c r="G9247" s="422">
        <v>320.23787685367961</v>
      </c>
      <c r="H9247" s="417" t="s">
        <v>2616</v>
      </c>
      <c r="I9247" s="417" t="s">
        <v>1392</v>
      </c>
      <c r="J9247" s="417" t="s">
        <v>20833</v>
      </c>
      <c r="K9247" s="417" t="s">
        <v>20935</v>
      </c>
      <c r="L9247" s="417"/>
      <c r="M9247" s="417" t="s">
        <v>28840</v>
      </c>
    </row>
    <row r="9248" spans="1:13" x14ac:dyDescent="0.25">
      <c r="A9248" s="417" t="s">
        <v>3385</v>
      </c>
      <c r="B9248" s="417" t="s">
        <v>2437</v>
      </c>
      <c r="C9248" s="417" t="s">
        <v>20936</v>
      </c>
      <c r="D9248" s="417" t="s">
        <v>397</v>
      </c>
      <c r="E9248" s="423">
        <v>6.921915293265235E-2</v>
      </c>
      <c r="F9248" s="423">
        <v>6.0988473466250899E-3</v>
      </c>
      <c r="G9248" s="422">
        <v>223.10194569571999</v>
      </c>
      <c r="H9248" s="417" t="s">
        <v>2616</v>
      </c>
      <c r="I9248" s="417" t="s">
        <v>1392</v>
      </c>
      <c r="J9248" s="417" t="s">
        <v>20833</v>
      </c>
      <c r="K9248" s="417" t="s">
        <v>20937</v>
      </c>
      <c r="L9248" s="417"/>
      <c r="M9248" s="417" t="s">
        <v>28840</v>
      </c>
    </row>
    <row r="9249" spans="1:13" x14ac:dyDescent="0.25">
      <c r="A9249" s="417" t="s">
        <v>3385</v>
      </c>
      <c r="B9249" s="417" t="s">
        <v>2437</v>
      </c>
      <c r="C9249" s="417" t="s">
        <v>20938</v>
      </c>
      <c r="D9249" s="417" t="s">
        <v>397</v>
      </c>
      <c r="E9249" s="423">
        <v>5.4340171633548748E-2</v>
      </c>
      <c r="F9249" s="423">
        <v>3.855684230224542E-3</v>
      </c>
      <c r="G9249" s="422">
        <v>165.6524950610083</v>
      </c>
      <c r="H9249" s="417" t="s">
        <v>2616</v>
      </c>
      <c r="I9249" s="417" t="s">
        <v>1392</v>
      </c>
      <c r="J9249" s="417" t="s">
        <v>20833</v>
      </c>
      <c r="K9249" s="417" t="s">
        <v>20939</v>
      </c>
      <c r="L9249" s="417"/>
      <c r="M9249" s="417" t="s">
        <v>28840</v>
      </c>
    </row>
    <row r="9250" spans="1:13" x14ac:dyDescent="0.25">
      <c r="A9250" s="417" t="s">
        <v>3385</v>
      </c>
      <c r="B9250" s="417" t="s">
        <v>2437</v>
      </c>
      <c r="C9250" s="417" t="s">
        <v>20940</v>
      </c>
      <c r="D9250" s="417" t="s">
        <v>397</v>
      </c>
      <c r="E9250" s="423">
        <v>3.9864677810523393E-2</v>
      </c>
      <c r="F9250" s="423">
        <v>3.3172057570011091E-3</v>
      </c>
      <c r="G9250" s="422">
        <v>121.7344619888747</v>
      </c>
      <c r="H9250" s="417" t="s">
        <v>2616</v>
      </c>
      <c r="I9250" s="417" t="s">
        <v>1392</v>
      </c>
      <c r="J9250" s="417" t="s">
        <v>20833</v>
      </c>
      <c r="K9250" s="417" t="s">
        <v>20941</v>
      </c>
      <c r="L9250" s="417"/>
      <c r="M9250" s="417" t="s">
        <v>28840</v>
      </c>
    </row>
    <row r="9251" spans="1:13" x14ac:dyDescent="0.25">
      <c r="A9251" s="417" t="s">
        <v>3385</v>
      </c>
      <c r="B9251" s="417" t="s">
        <v>2437</v>
      </c>
      <c r="C9251" s="417" t="s">
        <v>20942</v>
      </c>
      <c r="D9251" s="417" t="s">
        <v>397</v>
      </c>
      <c r="E9251" s="423">
        <v>0.36734134698062437</v>
      </c>
      <c r="F9251" s="423">
        <v>2.68730656266012E-2</v>
      </c>
      <c r="G9251" s="422">
        <v>1314.387217505599</v>
      </c>
      <c r="H9251" s="417" t="s">
        <v>2616</v>
      </c>
      <c r="I9251" s="417" t="s">
        <v>1392</v>
      </c>
      <c r="J9251" s="417" t="s">
        <v>20833</v>
      </c>
      <c r="K9251" s="417" t="s">
        <v>20943</v>
      </c>
      <c r="L9251" s="417"/>
      <c r="M9251" s="417" t="s">
        <v>28840</v>
      </c>
    </row>
    <row r="9252" spans="1:13" x14ac:dyDescent="0.25">
      <c r="A9252" s="417" t="s">
        <v>3385</v>
      </c>
      <c r="B9252" s="417" t="s">
        <v>2437</v>
      </c>
      <c r="C9252" s="417" t="s">
        <v>20944</v>
      </c>
      <c r="D9252" s="417" t="s">
        <v>397</v>
      </c>
      <c r="E9252" s="423">
        <v>8.0731054627375884E-2</v>
      </c>
      <c r="F9252" s="423">
        <v>4.9983643562435121E-3</v>
      </c>
      <c r="G9252" s="422">
        <v>239.62776793817989</v>
      </c>
      <c r="H9252" s="417" t="s">
        <v>2616</v>
      </c>
      <c r="I9252" s="417" t="s">
        <v>1392</v>
      </c>
      <c r="J9252" s="417" t="s">
        <v>20833</v>
      </c>
      <c r="K9252" s="417" t="s">
        <v>20945</v>
      </c>
      <c r="L9252" s="417"/>
      <c r="M9252" s="417" t="s">
        <v>28840</v>
      </c>
    </row>
    <row r="9253" spans="1:13" x14ac:dyDescent="0.25">
      <c r="A9253" s="417" t="s">
        <v>3385</v>
      </c>
      <c r="B9253" s="417" t="s">
        <v>2437</v>
      </c>
      <c r="C9253" s="417" t="s">
        <v>20946</v>
      </c>
      <c r="D9253" s="417" t="s">
        <v>397</v>
      </c>
      <c r="E9253" s="423">
        <v>5.291171969869625E-2</v>
      </c>
      <c r="F9253" s="423">
        <v>3.854419498876909E-3</v>
      </c>
      <c r="G9253" s="422">
        <v>152.30453900933611</v>
      </c>
      <c r="H9253" s="417" t="s">
        <v>2616</v>
      </c>
      <c r="I9253" s="417" t="s">
        <v>1392</v>
      </c>
      <c r="J9253" s="417" t="s">
        <v>20833</v>
      </c>
      <c r="K9253" s="417" t="s">
        <v>20947</v>
      </c>
      <c r="L9253" s="417"/>
      <c r="M9253" s="417" t="s">
        <v>28840</v>
      </c>
    </row>
    <row r="9254" spans="1:13" x14ac:dyDescent="0.25">
      <c r="A9254" s="417" t="s">
        <v>3385</v>
      </c>
      <c r="B9254" s="417" t="s">
        <v>2437</v>
      </c>
      <c r="C9254" s="417" t="s">
        <v>20948</v>
      </c>
      <c r="D9254" s="417" t="s">
        <v>397</v>
      </c>
      <c r="E9254" s="423">
        <v>9.0176850849204113E-2</v>
      </c>
      <c r="F9254" s="423">
        <v>5.5432004503160534E-3</v>
      </c>
      <c r="G9254" s="422">
        <v>262.69789408588451</v>
      </c>
      <c r="H9254" s="417" t="s">
        <v>2616</v>
      </c>
      <c r="I9254" s="417" t="s">
        <v>1392</v>
      </c>
      <c r="J9254" s="417" t="s">
        <v>20833</v>
      </c>
      <c r="K9254" s="417" t="s">
        <v>20949</v>
      </c>
      <c r="L9254" s="417"/>
      <c r="M9254" s="417" t="s">
        <v>28840</v>
      </c>
    </row>
    <row r="9255" spans="1:13" x14ac:dyDescent="0.25">
      <c r="A9255" s="417" t="s">
        <v>3385</v>
      </c>
      <c r="B9255" s="417" t="s">
        <v>2437</v>
      </c>
      <c r="C9255" s="417" t="s">
        <v>20950</v>
      </c>
      <c r="D9255" s="417" t="s">
        <v>397</v>
      </c>
      <c r="E9255" s="423">
        <v>6.1534467126536589E-2</v>
      </c>
      <c r="F9255" s="423">
        <v>4.4232453753621044E-3</v>
      </c>
      <c r="G9255" s="422">
        <v>173.05697655461239</v>
      </c>
      <c r="H9255" s="417" t="s">
        <v>2616</v>
      </c>
      <c r="I9255" s="417" t="s">
        <v>1392</v>
      </c>
      <c r="J9255" s="417" t="s">
        <v>20833</v>
      </c>
      <c r="K9255" s="417" t="s">
        <v>20951</v>
      </c>
      <c r="L9255" s="417"/>
      <c r="M9255" s="417" t="s">
        <v>28840</v>
      </c>
    </row>
    <row r="9256" spans="1:13" x14ac:dyDescent="0.25">
      <c r="A9256" s="417" t="s">
        <v>3385</v>
      </c>
      <c r="B9256" s="417" t="s">
        <v>2437</v>
      </c>
      <c r="C9256" s="417" t="s">
        <v>20952</v>
      </c>
      <c r="D9256" s="417" t="s">
        <v>397</v>
      </c>
      <c r="E9256" s="423">
        <v>0.6931648876743699</v>
      </c>
      <c r="F9256" s="423">
        <v>3.8974239808840828E-2</v>
      </c>
      <c r="G9256" s="422">
        <v>2156.4353218600472</v>
      </c>
      <c r="H9256" s="417" t="s">
        <v>2616</v>
      </c>
      <c r="I9256" s="417" t="s">
        <v>1392</v>
      </c>
      <c r="J9256" s="417" t="s">
        <v>20833</v>
      </c>
      <c r="K9256" s="417" t="s">
        <v>20953</v>
      </c>
      <c r="L9256" s="417"/>
      <c r="M9256" s="417" t="s">
        <v>28840</v>
      </c>
    </row>
    <row r="9257" spans="1:13" x14ac:dyDescent="0.25">
      <c r="A9257" s="417" t="s">
        <v>3385</v>
      </c>
      <c r="B9257" s="417" t="s">
        <v>2437</v>
      </c>
      <c r="C9257" s="417" t="s">
        <v>20954</v>
      </c>
      <c r="D9257" s="417" t="s">
        <v>397</v>
      </c>
      <c r="E9257" s="423">
        <v>0.38950767254127627</v>
      </c>
      <c r="F9257" s="423">
        <v>2.5970267489805032E-2</v>
      </c>
      <c r="G9257" s="422">
        <v>1187.616046667865</v>
      </c>
      <c r="H9257" s="417" t="s">
        <v>2616</v>
      </c>
      <c r="I9257" s="417" t="s">
        <v>1392</v>
      </c>
      <c r="J9257" s="417" t="s">
        <v>20833</v>
      </c>
      <c r="K9257" s="417" t="s">
        <v>20955</v>
      </c>
      <c r="L9257" s="417"/>
      <c r="M9257" s="417" t="s">
        <v>28840</v>
      </c>
    </row>
    <row r="9258" spans="1:13" x14ac:dyDescent="0.25">
      <c r="A9258" s="417" t="s">
        <v>3385</v>
      </c>
      <c r="B9258" s="417" t="s">
        <v>2437</v>
      </c>
      <c r="C9258" s="417" t="s">
        <v>20956</v>
      </c>
      <c r="D9258" s="417" t="s">
        <v>397</v>
      </c>
      <c r="E9258" s="423">
        <v>0.128019154876515</v>
      </c>
      <c r="F9258" s="423">
        <v>1.292520118394605E-2</v>
      </c>
      <c r="G9258" s="422">
        <v>467.51508903352197</v>
      </c>
      <c r="H9258" s="417" t="s">
        <v>2616</v>
      </c>
      <c r="I9258" s="417" t="s">
        <v>1392</v>
      </c>
      <c r="J9258" s="417" t="s">
        <v>20833</v>
      </c>
      <c r="K9258" s="417" t="s">
        <v>20957</v>
      </c>
      <c r="L9258" s="417"/>
      <c r="M9258" s="417" t="s">
        <v>28840</v>
      </c>
    </row>
    <row r="9259" spans="1:13" x14ac:dyDescent="0.25">
      <c r="A9259" s="417" t="s">
        <v>3385</v>
      </c>
      <c r="B9259" s="417" t="s">
        <v>2437</v>
      </c>
      <c r="C9259" s="417" t="s">
        <v>20958</v>
      </c>
      <c r="D9259" s="417" t="s">
        <v>397</v>
      </c>
      <c r="E9259" s="423">
        <v>0.1029151019159241</v>
      </c>
      <c r="F9259" s="423">
        <v>1.1450946818084441E-2</v>
      </c>
      <c r="G9259" s="422">
        <v>382.99135605728299</v>
      </c>
      <c r="H9259" s="417" t="s">
        <v>2616</v>
      </c>
      <c r="I9259" s="417" t="s">
        <v>1392</v>
      </c>
      <c r="J9259" s="417" t="s">
        <v>20833</v>
      </c>
      <c r="K9259" s="417" t="s">
        <v>20959</v>
      </c>
      <c r="L9259" s="417"/>
      <c r="M9259" s="417" t="s">
        <v>28840</v>
      </c>
    </row>
    <row r="9260" spans="1:13" x14ac:dyDescent="0.25">
      <c r="A9260" s="417" t="s">
        <v>3385</v>
      </c>
      <c r="B9260" s="417" t="s">
        <v>2437</v>
      </c>
      <c r="C9260" s="417" t="s">
        <v>20960</v>
      </c>
      <c r="D9260" s="417" t="s">
        <v>397</v>
      </c>
      <c r="E9260" s="423">
        <v>6.8245916710381618E-2</v>
      </c>
      <c r="F9260" s="423">
        <v>6.5930596709007066E-3</v>
      </c>
      <c r="G9260" s="422">
        <v>240.6232775273501</v>
      </c>
      <c r="H9260" s="417" t="s">
        <v>2616</v>
      </c>
      <c r="I9260" s="417" t="s">
        <v>1392</v>
      </c>
      <c r="J9260" s="417" t="s">
        <v>20833</v>
      </c>
      <c r="K9260" s="417" t="s">
        <v>20961</v>
      </c>
      <c r="L9260" s="417"/>
      <c r="M9260" s="417" t="s">
        <v>28840</v>
      </c>
    </row>
    <row r="9261" spans="1:13" x14ac:dyDescent="0.25">
      <c r="A9261" s="417" t="s">
        <v>3385</v>
      </c>
      <c r="B9261" s="417" t="s">
        <v>2437</v>
      </c>
      <c r="C9261" s="417" t="s">
        <v>20962</v>
      </c>
      <c r="D9261" s="417" t="s">
        <v>397</v>
      </c>
      <c r="E9261" s="423">
        <v>5.8190758592721492E-2</v>
      </c>
      <c r="F9261" s="423">
        <v>6.2304217278922212E-3</v>
      </c>
      <c r="G9261" s="422">
        <v>208.73938397670599</v>
      </c>
      <c r="H9261" s="417" t="s">
        <v>2616</v>
      </c>
      <c r="I9261" s="417" t="s">
        <v>1392</v>
      </c>
      <c r="J9261" s="417" t="s">
        <v>20833</v>
      </c>
      <c r="K9261" s="417" t="s">
        <v>20963</v>
      </c>
      <c r="L9261" s="417"/>
      <c r="M9261" s="417" t="s">
        <v>28840</v>
      </c>
    </row>
    <row r="9262" spans="1:13" x14ac:dyDescent="0.25">
      <c r="A9262" s="417" t="s">
        <v>3385</v>
      </c>
      <c r="B9262" s="417" t="s">
        <v>2437</v>
      </c>
      <c r="C9262" s="417" t="s">
        <v>20964</v>
      </c>
      <c r="D9262" s="417" t="s">
        <v>397</v>
      </c>
      <c r="E9262" s="423">
        <v>0.43641911151909879</v>
      </c>
      <c r="F9262" s="423">
        <v>4.0495841026490363E-2</v>
      </c>
      <c r="G9262" s="422">
        <v>1693.064774954388</v>
      </c>
      <c r="H9262" s="417" t="s">
        <v>2616</v>
      </c>
      <c r="I9262" s="417" t="s">
        <v>1392</v>
      </c>
      <c r="J9262" s="417" t="s">
        <v>20833</v>
      </c>
      <c r="K9262" s="417" t="s">
        <v>20965</v>
      </c>
      <c r="L9262" s="417"/>
      <c r="M9262" s="417" t="s">
        <v>28840</v>
      </c>
    </row>
    <row r="9263" spans="1:13" x14ac:dyDescent="0.25">
      <c r="A9263" s="417" t="s">
        <v>3385</v>
      </c>
      <c r="B9263" s="417" t="s">
        <v>2437</v>
      </c>
      <c r="C9263" s="417" t="s">
        <v>20966</v>
      </c>
      <c r="D9263" s="417" t="s">
        <v>397</v>
      </c>
      <c r="E9263" s="423">
        <v>9.3778268798833039E-2</v>
      </c>
      <c r="F9263" s="423">
        <v>7.8406531018745517E-3</v>
      </c>
      <c r="G9263" s="422">
        <v>317.78296656295868</v>
      </c>
      <c r="H9263" s="417" t="s">
        <v>2616</v>
      </c>
      <c r="I9263" s="417" t="s">
        <v>1392</v>
      </c>
      <c r="J9263" s="417" t="s">
        <v>20833</v>
      </c>
      <c r="K9263" s="417" t="s">
        <v>20967</v>
      </c>
      <c r="L9263" s="417"/>
      <c r="M9263" s="417" t="s">
        <v>28840</v>
      </c>
    </row>
    <row r="9264" spans="1:13" x14ac:dyDescent="0.25">
      <c r="A9264" s="417" t="s">
        <v>3385</v>
      </c>
      <c r="B9264" s="417" t="s">
        <v>2437</v>
      </c>
      <c r="C9264" s="417" t="s">
        <v>20968</v>
      </c>
      <c r="D9264" s="417" t="s">
        <v>397</v>
      </c>
      <c r="E9264" s="423">
        <v>6.7224782047806367E-2</v>
      </c>
      <c r="F9264" s="423">
        <v>6.5483196734537532E-3</v>
      </c>
      <c r="G9264" s="422">
        <v>226.27180766573221</v>
      </c>
      <c r="H9264" s="417" t="s">
        <v>2616</v>
      </c>
      <c r="I9264" s="417" t="s">
        <v>1392</v>
      </c>
      <c r="J9264" s="417" t="s">
        <v>20833</v>
      </c>
      <c r="K9264" s="417" t="s">
        <v>20969</v>
      </c>
      <c r="L9264" s="417"/>
      <c r="M9264" s="417" t="s">
        <v>28840</v>
      </c>
    </row>
    <row r="9265" spans="1:13" x14ac:dyDescent="0.25">
      <c r="A9265" s="417" t="s">
        <v>3385</v>
      </c>
      <c r="B9265" s="417" t="s">
        <v>2437</v>
      </c>
      <c r="C9265" s="417" t="s">
        <v>20970</v>
      </c>
      <c r="D9265" s="417" t="s">
        <v>397</v>
      </c>
      <c r="E9265" s="423">
        <v>0.10418508853876821</v>
      </c>
      <c r="F9265" s="423">
        <v>8.5581179090663765E-3</v>
      </c>
      <c r="G9265" s="422">
        <v>346.12905673385097</v>
      </c>
      <c r="H9265" s="417" t="s">
        <v>2616</v>
      </c>
      <c r="I9265" s="417" t="s">
        <v>1392</v>
      </c>
      <c r="J9265" s="417" t="s">
        <v>20833</v>
      </c>
      <c r="K9265" s="417" t="s">
        <v>20971</v>
      </c>
      <c r="L9265" s="417"/>
      <c r="M9265" s="417" t="s">
        <v>28840</v>
      </c>
    </row>
    <row r="9266" spans="1:13" x14ac:dyDescent="0.25">
      <c r="A9266" s="417" t="s">
        <v>3385</v>
      </c>
      <c r="B9266" s="417" t="s">
        <v>2437</v>
      </c>
      <c r="C9266" s="417" t="s">
        <v>20972</v>
      </c>
      <c r="D9266" s="417" t="s">
        <v>397</v>
      </c>
      <c r="E9266" s="423">
        <v>7.7532645511687273E-2</v>
      </c>
      <c r="F9266" s="423">
        <v>7.4129456306070707E-3</v>
      </c>
      <c r="G9266" s="422">
        <v>255.33955070880691</v>
      </c>
      <c r="H9266" s="417" t="s">
        <v>2616</v>
      </c>
      <c r="I9266" s="417" t="s">
        <v>1392</v>
      </c>
      <c r="J9266" s="417" t="s">
        <v>20833</v>
      </c>
      <c r="K9266" s="417" t="s">
        <v>20973</v>
      </c>
      <c r="L9266" s="417"/>
      <c r="M9266" s="417" t="s">
        <v>28840</v>
      </c>
    </row>
    <row r="9267" spans="1:13" x14ac:dyDescent="0.25">
      <c r="A9267" s="417" t="s">
        <v>3385</v>
      </c>
      <c r="B9267" s="417" t="s">
        <v>2437</v>
      </c>
      <c r="C9267" s="417" t="s">
        <v>20974</v>
      </c>
      <c r="D9267" s="417" t="s">
        <v>397</v>
      </c>
      <c r="E9267" s="423">
        <v>0.74627177373147713</v>
      </c>
      <c r="F9267" s="423">
        <v>5.3531316458291289E-2</v>
      </c>
      <c r="G9267" s="422">
        <v>2567.0894239881291</v>
      </c>
      <c r="H9267" s="417" t="s">
        <v>2616</v>
      </c>
      <c r="I9267" s="417" t="s">
        <v>1392</v>
      </c>
      <c r="J9267" s="417" t="s">
        <v>20833</v>
      </c>
      <c r="K9267" s="417" t="s">
        <v>20975</v>
      </c>
      <c r="L9267" s="417"/>
      <c r="M9267" s="417" t="s">
        <v>28840</v>
      </c>
    </row>
    <row r="9268" spans="1:13" x14ac:dyDescent="0.25">
      <c r="A9268" s="417" t="s">
        <v>3385</v>
      </c>
      <c r="B9268" s="417" t="s">
        <v>2437</v>
      </c>
      <c r="C9268" s="417" t="s">
        <v>20976</v>
      </c>
      <c r="D9268" s="417" t="s">
        <v>397</v>
      </c>
      <c r="E9268" s="423">
        <v>0.44984849835976581</v>
      </c>
      <c r="F9268" s="423">
        <v>3.8002390338727689E-2</v>
      </c>
      <c r="G9268" s="422">
        <v>1522.4140060579571</v>
      </c>
      <c r="H9268" s="417" t="s">
        <v>2616</v>
      </c>
      <c r="I9268" s="417" t="s">
        <v>1392</v>
      </c>
      <c r="J9268" s="417" t="s">
        <v>20833</v>
      </c>
      <c r="K9268" s="417" t="s">
        <v>20977</v>
      </c>
      <c r="L9268" s="417"/>
      <c r="M9268" s="417" t="s">
        <v>28840</v>
      </c>
    </row>
    <row r="9269" spans="1:13" x14ac:dyDescent="0.25">
      <c r="A9269" s="417" t="s">
        <v>3385</v>
      </c>
      <c r="B9269" s="417" t="s">
        <v>2437</v>
      </c>
      <c r="C9269" s="417" t="s">
        <v>20978</v>
      </c>
      <c r="D9269" s="417" t="s">
        <v>397</v>
      </c>
      <c r="E9269" s="423">
        <v>9.6771937772576949E-2</v>
      </c>
      <c r="F9269" s="423">
        <v>7.4238788898223964E-3</v>
      </c>
      <c r="G9269" s="422">
        <v>317.90457380752588</v>
      </c>
      <c r="H9269" s="417" t="s">
        <v>2616</v>
      </c>
      <c r="I9269" s="417" t="s">
        <v>1392</v>
      </c>
      <c r="J9269" s="417" t="s">
        <v>20833</v>
      </c>
      <c r="K9269" s="417" t="s">
        <v>20979</v>
      </c>
      <c r="L9269" s="417"/>
      <c r="M9269" s="417" t="s">
        <v>28840</v>
      </c>
    </row>
    <row r="9270" spans="1:13" x14ac:dyDescent="0.25">
      <c r="A9270" s="417" t="s">
        <v>3385</v>
      </c>
      <c r="B9270" s="417" t="s">
        <v>2437</v>
      </c>
      <c r="C9270" s="417" t="s">
        <v>20980</v>
      </c>
      <c r="D9270" s="417" t="s">
        <v>397</v>
      </c>
      <c r="E9270" s="423">
        <v>7.3729046955873248E-2</v>
      </c>
      <c r="F9270" s="423">
        <v>6.3125085689914656E-3</v>
      </c>
      <c r="G9270" s="422">
        <v>243.2496067355797</v>
      </c>
      <c r="H9270" s="417" t="s">
        <v>2616</v>
      </c>
      <c r="I9270" s="417" t="s">
        <v>1392</v>
      </c>
      <c r="J9270" s="417" t="s">
        <v>20833</v>
      </c>
      <c r="K9270" s="417" t="s">
        <v>20981</v>
      </c>
      <c r="L9270" s="417"/>
      <c r="M9270" s="417" t="s">
        <v>28840</v>
      </c>
    </row>
    <row r="9271" spans="1:13" x14ac:dyDescent="0.25">
      <c r="A9271" s="417" t="s">
        <v>3385</v>
      </c>
      <c r="B9271" s="417" t="s">
        <v>2437</v>
      </c>
      <c r="C9271" s="417" t="s">
        <v>20982</v>
      </c>
      <c r="D9271" s="417" t="s">
        <v>397</v>
      </c>
      <c r="E9271" s="423">
        <v>5.2498638466053002E-2</v>
      </c>
      <c r="F9271" s="423">
        <v>3.8206254753431939E-3</v>
      </c>
      <c r="G9271" s="422">
        <v>165.2258933014343</v>
      </c>
      <c r="H9271" s="417" t="s">
        <v>2616</v>
      </c>
      <c r="I9271" s="417" t="s">
        <v>1392</v>
      </c>
      <c r="J9271" s="417" t="s">
        <v>20833</v>
      </c>
      <c r="K9271" s="417" t="s">
        <v>20983</v>
      </c>
      <c r="L9271" s="417"/>
      <c r="M9271" s="417" t="s">
        <v>28840</v>
      </c>
    </row>
    <row r="9272" spans="1:13" x14ac:dyDescent="0.25">
      <c r="A9272" s="417" t="s">
        <v>3385</v>
      </c>
      <c r="B9272" s="417" t="s">
        <v>2437</v>
      </c>
      <c r="C9272" s="417" t="s">
        <v>20984</v>
      </c>
      <c r="D9272" s="417" t="s">
        <v>397</v>
      </c>
      <c r="E9272" s="423">
        <v>4.2278587340178059E-2</v>
      </c>
      <c r="F9272" s="423">
        <v>3.4289568121462209E-3</v>
      </c>
      <c r="G9272" s="422">
        <v>132.55249805365651</v>
      </c>
      <c r="H9272" s="417" t="s">
        <v>2616</v>
      </c>
      <c r="I9272" s="417" t="s">
        <v>1392</v>
      </c>
      <c r="J9272" s="417" t="s">
        <v>20833</v>
      </c>
      <c r="K9272" s="417" t="s">
        <v>20985</v>
      </c>
      <c r="L9272" s="417"/>
      <c r="M9272" s="417" t="s">
        <v>28840</v>
      </c>
    </row>
    <row r="9273" spans="1:13" x14ac:dyDescent="0.25">
      <c r="A9273" s="417" t="s">
        <v>3385</v>
      </c>
      <c r="B9273" s="417" t="s">
        <v>2437</v>
      </c>
      <c r="C9273" s="417" t="s">
        <v>20986</v>
      </c>
      <c r="D9273" s="417" t="s">
        <v>397</v>
      </c>
      <c r="E9273" s="423">
        <v>0.35957898932691179</v>
      </c>
      <c r="F9273" s="423">
        <v>2.6967523428364368E-2</v>
      </c>
      <c r="G9273" s="422">
        <v>1325.1571236531331</v>
      </c>
      <c r="H9273" s="417" t="s">
        <v>2616</v>
      </c>
      <c r="I9273" s="417" t="s">
        <v>1392</v>
      </c>
      <c r="J9273" s="417" t="s">
        <v>20833</v>
      </c>
      <c r="K9273" s="417" t="s">
        <v>20987</v>
      </c>
      <c r="L9273" s="417"/>
      <c r="M9273" s="417" t="s">
        <v>28840</v>
      </c>
    </row>
    <row r="9274" spans="1:13" x14ac:dyDescent="0.25">
      <c r="A9274" s="417" t="s">
        <v>3385</v>
      </c>
      <c r="B9274" s="417" t="s">
        <v>2437</v>
      </c>
      <c r="C9274" s="417" t="s">
        <v>20988</v>
      </c>
      <c r="D9274" s="417" t="s">
        <v>397</v>
      </c>
      <c r="E9274" s="423">
        <v>7.753631177118607E-2</v>
      </c>
      <c r="F9274" s="423">
        <v>4.9811267423646209E-3</v>
      </c>
      <c r="G9274" s="422">
        <v>240.01707942284759</v>
      </c>
      <c r="H9274" s="417" t="s">
        <v>2616</v>
      </c>
      <c r="I9274" s="417" t="s">
        <v>1392</v>
      </c>
      <c r="J9274" s="417" t="s">
        <v>20833</v>
      </c>
      <c r="K9274" s="417" t="s">
        <v>20989</v>
      </c>
      <c r="L9274" s="417"/>
      <c r="M9274" s="417" t="s">
        <v>28840</v>
      </c>
    </row>
    <row r="9275" spans="1:13" x14ac:dyDescent="0.25">
      <c r="A9275" s="417" t="s">
        <v>3385</v>
      </c>
      <c r="B9275" s="417" t="s">
        <v>2437</v>
      </c>
      <c r="C9275" s="417" t="s">
        <v>20990</v>
      </c>
      <c r="D9275" s="417" t="s">
        <v>397</v>
      </c>
      <c r="E9275" s="423">
        <v>5.188973613819832E-2</v>
      </c>
      <c r="F9275" s="423">
        <v>3.8484622907159522E-3</v>
      </c>
      <c r="G9275" s="422">
        <v>152.84817667054941</v>
      </c>
      <c r="H9275" s="417" t="s">
        <v>2616</v>
      </c>
      <c r="I9275" s="417" t="s">
        <v>1392</v>
      </c>
      <c r="J9275" s="417" t="s">
        <v>20833</v>
      </c>
      <c r="K9275" s="417" t="s">
        <v>20991</v>
      </c>
      <c r="L9275" s="417"/>
      <c r="M9275" s="417" t="s">
        <v>28840</v>
      </c>
    </row>
    <row r="9276" spans="1:13" x14ac:dyDescent="0.25">
      <c r="A9276" s="417" t="s">
        <v>3385</v>
      </c>
      <c r="B9276" s="417" t="s">
        <v>2437</v>
      </c>
      <c r="C9276" s="417" t="s">
        <v>20992</v>
      </c>
      <c r="D9276" s="417" t="s">
        <v>397</v>
      </c>
      <c r="E9276" s="423">
        <v>8.6953773611680579E-2</v>
      </c>
      <c r="F9276" s="423">
        <v>5.5244071901434447E-3</v>
      </c>
      <c r="G9276" s="422">
        <v>263.6261596677175</v>
      </c>
      <c r="H9276" s="417" t="s">
        <v>2616</v>
      </c>
      <c r="I9276" s="417" t="s">
        <v>1392</v>
      </c>
      <c r="J9276" s="417" t="s">
        <v>20833</v>
      </c>
      <c r="K9276" s="417" t="s">
        <v>20993</v>
      </c>
      <c r="L9276" s="417"/>
      <c r="M9276" s="417" t="s">
        <v>28840</v>
      </c>
    </row>
    <row r="9277" spans="1:13" x14ac:dyDescent="0.25">
      <c r="A9277" s="417" t="s">
        <v>3385</v>
      </c>
      <c r="B9277" s="417" t="s">
        <v>2437</v>
      </c>
      <c r="C9277" s="417" t="s">
        <v>20994</v>
      </c>
      <c r="D9277" s="417" t="s">
        <v>397</v>
      </c>
      <c r="E9277" s="423">
        <v>6.054866998901301E-2</v>
      </c>
      <c r="F9277" s="423">
        <v>4.4227810024802172E-3</v>
      </c>
      <c r="G9277" s="422">
        <v>174.02090634588919</v>
      </c>
      <c r="H9277" s="417" t="s">
        <v>2616</v>
      </c>
      <c r="I9277" s="417" t="s">
        <v>1392</v>
      </c>
      <c r="J9277" s="417" t="s">
        <v>20833</v>
      </c>
      <c r="K9277" s="417" t="s">
        <v>20995</v>
      </c>
      <c r="L9277" s="417"/>
      <c r="M9277" s="417" t="s">
        <v>28840</v>
      </c>
    </row>
    <row r="9278" spans="1:13" x14ac:dyDescent="0.25">
      <c r="A9278" s="417" t="s">
        <v>3385</v>
      </c>
      <c r="B9278" s="417" t="s">
        <v>2437</v>
      </c>
      <c r="C9278" s="417" t="s">
        <v>20996</v>
      </c>
      <c r="D9278" s="417" t="s">
        <v>397</v>
      </c>
      <c r="E9278" s="423">
        <v>0.66431996966966478</v>
      </c>
      <c r="F9278" s="423">
        <v>3.9103046341699227E-2</v>
      </c>
      <c r="G9278" s="422">
        <v>2174.7072252588109</v>
      </c>
      <c r="H9278" s="417" t="s">
        <v>2616</v>
      </c>
      <c r="I9278" s="417" t="s">
        <v>1392</v>
      </c>
      <c r="J9278" s="417" t="s">
        <v>20833</v>
      </c>
      <c r="K9278" s="417" t="s">
        <v>20997</v>
      </c>
      <c r="L9278" s="417"/>
      <c r="M9278" s="417" t="s">
        <v>28840</v>
      </c>
    </row>
    <row r="9279" spans="1:13" x14ac:dyDescent="0.25">
      <c r="A9279" s="417" t="s">
        <v>3385</v>
      </c>
      <c r="B9279" s="417" t="s">
        <v>2437</v>
      </c>
      <c r="C9279" s="417" t="s">
        <v>20998</v>
      </c>
      <c r="D9279" s="417" t="s">
        <v>397</v>
      </c>
      <c r="E9279" s="423">
        <v>0.38207748963264848</v>
      </c>
      <c r="F9279" s="423">
        <v>2.607076255229375E-2</v>
      </c>
      <c r="G9279" s="422">
        <v>1197.9289301853721</v>
      </c>
      <c r="H9279" s="417" t="s">
        <v>2616</v>
      </c>
      <c r="I9279" s="417" t="s">
        <v>1392</v>
      </c>
      <c r="J9279" s="417" t="s">
        <v>20833</v>
      </c>
      <c r="K9279" s="417" t="s">
        <v>20999</v>
      </c>
      <c r="L9279" s="417"/>
      <c r="M9279" s="417" t="s">
        <v>28840</v>
      </c>
    </row>
    <row r="9280" spans="1:13" x14ac:dyDescent="0.25">
      <c r="A9280" s="417" t="s">
        <v>3385</v>
      </c>
      <c r="B9280" s="417" t="s">
        <v>2437</v>
      </c>
      <c r="C9280" s="417" t="s">
        <v>21000</v>
      </c>
      <c r="D9280" s="417" t="s">
        <v>397</v>
      </c>
      <c r="E9280" s="423">
        <v>0.1357351092255559</v>
      </c>
      <c r="F9280" s="423">
        <v>1.350187247251634E-2</v>
      </c>
      <c r="G9280" s="422">
        <v>487.76268368748788</v>
      </c>
      <c r="H9280" s="417" t="s">
        <v>2616</v>
      </c>
      <c r="I9280" s="417" t="s">
        <v>1392</v>
      </c>
      <c r="J9280" s="417" t="s">
        <v>20833</v>
      </c>
      <c r="K9280" s="417" t="s">
        <v>21001</v>
      </c>
      <c r="L9280" s="417"/>
      <c r="M9280" s="417" t="s">
        <v>28840</v>
      </c>
    </row>
    <row r="9281" spans="1:13" x14ac:dyDescent="0.25">
      <c r="A9281" s="417" t="s">
        <v>3385</v>
      </c>
      <c r="B9281" s="417" t="s">
        <v>2437</v>
      </c>
      <c r="C9281" s="417" t="s">
        <v>21002</v>
      </c>
      <c r="D9281" s="417" t="s">
        <v>397</v>
      </c>
      <c r="E9281" s="423">
        <v>9.9579727395889189E-2</v>
      </c>
      <c r="F9281" s="423">
        <v>1.139477005673625E-2</v>
      </c>
      <c r="G9281" s="422">
        <v>368.85799323143118</v>
      </c>
      <c r="H9281" s="417" t="s">
        <v>2616</v>
      </c>
      <c r="I9281" s="417" t="s">
        <v>1392</v>
      </c>
      <c r="J9281" s="417" t="s">
        <v>20833</v>
      </c>
      <c r="K9281" s="417" t="s">
        <v>21003</v>
      </c>
      <c r="L9281" s="417"/>
      <c r="M9281" s="417" t="s">
        <v>28840</v>
      </c>
    </row>
    <row r="9282" spans="1:13" x14ac:dyDescent="0.25">
      <c r="A9282" s="417" t="s">
        <v>3385</v>
      </c>
      <c r="B9282" s="417" t="s">
        <v>2437</v>
      </c>
      <c r="C9282" s="417" t="s">
        <v>21004</v>
      </c>
      <c r="D9282" s="417" t="s">
        <v>397</v>
      </c>
      <c r="E9282" s="423">
        <v>7.1746232581823444E-2</v>
      </c>
      <c r="F9282" s="423">
        <v>6.8498616820774679E-3</v>
      </c>
      <c r="G9282" s="422">
        <v>249.56393981462821</v>
      </c>
      <c r="H9282" s="417" t="s">
        <v>2616</v>
      </c>
      <c r="I9282" s="417" t="s">
        <v>1392</v>
      </c>
      <c r="J9282" s="417" t="s">
        <v>20833</v>
      </c>
      <c r="K9282" s="417" t="s">
        <v>21005</v>
      </c>
      <c r="L9282" s="417"/>
      <c r="M9282" s="417" t="s">
        <v>28840</v>
      </c>
    </row>
    <row r="9283" spans="1:13" x14ac:dyDescent="0.25">
      <c r="A9283" s="417" t="s">
        <v>3385</v>
      </c>
      <c r="B9283" s="417" t="s">
        <v>2437</v>
      </c>
      <c r="C9283" s="417" t="s">
        <v>21006</v>
      </c>
      <c r="D9283" s="417" t="s">
        <v>397</v>
      </c>
      <c r="E9283" s="423">
        <v>5.6434311676892758E-2</v>
      </c>
      <c r="F9283" s="423">
        <v>6.2091024264941432E-3</v>
      </c>
      <c r="G9283" s="422">
        <v>201.2901574336212</v>
      </c>
      <c r="H9283" s="417" t="s">
        <v>2616</v>
      </c>
      <c r="I9283" s="417" t="s">
        <v>1392</v>
      </c>
      <c r="J9283" s="417" t="s">
        <v>20833</v>
      </c>
      <c r="K9283" s="417" t="s">
        <v>21007</v>
      </c>
      <c r="L9283" s="417"/>
      <c r="M9283" s="417" t="s">
        <v>28840</v>
      </c>
    </row>
    <row r="9284" spans="1:13" x14ac:dyDescent="0.25">
      <c r="A9284" s="417" t="s">
        <v>3385</v>
      </c>
      <c r="B9284" s="417" t="s">
        <v>2437</v>
      </c>
      <c r="C9284" s="417" t="s">
        <v>21008</v>
      </c>
      <c r="D9284" s="417" t="s">
        <v>397</v>
      </c>
      <c r="E9284" s="423">
        <v>0.45429554741001998</v>
      </c>
      <c r="F9284" s="423">
        <v>4.1686302555434387E-2</v>
      </c>
      <c r="G9284" s="422">
        <v>1734.753521779402</v>
      </c>
      <c r="H9284" s="417" t="s">
        <v>2616</v>
      </c>
      <c r="I9284" s="417" t="s">
        <v>1392</v>
      </c>
      <c r="J9284" s="417" t="s">
        <v>20833</v>
      </c>
      <c r="K9284" s="417" t="s">
        <v>21009</v>
      </c>
      <c r="L9284" s="417"/>
      <c r="M9284" s="417" t="s">
        <v>28840</v>
      </c>
    </row>
    <row r="9285" spans="1:13" x14ac:dyDescent="0.25">
      <c r="A9285" s="417" t="s">
        <v>3385</v>
      </c>
      <c r="B9285" s="417" t="s">
        <v>2437</v>
      </c>
      <c r="C9285" s="417" t="s">
        <v>21010</v>
      </c>
      <c r="D9285" s="417" t="s">
        <v>397</v>
      </c>
      <c r="E9285" s="423">
        <v>9.9944521446631601E-2</v>
      </c>
      <c r="F9285" s="423">
        <v>8.2511733067852974E-3</v>
      </c>
      <c r="G9285" s="422">
        <v>332.94808172576518</v>
      </c>
      <c r="H9285" s="417" t="s">
        <v>2616</v>
      </c>
      <c r="I9285" s="417" t="s">
        <v>1392</v>
      </c>
      <c r="J9285" s="417" t="s">
        <v>20833</v>
      </c>
      <c r="K9285" s="417" t="s">
        <v>21011</v>
      </c>
      <c r="L9285" s="417"/>
      <c r="M9285" s="417" t="s">
        <v>28840</v>
      </c>
    </row>
    <row r="9286" spans="1:13" x14ac:dyDescent="0.25">
      <c r="A9286" s="417" t="s">
        <v>3385</v>
      </c>
      <c r="B9286" s="417" t="s">
        <v>2437</v>
      </c>
      <c r="C9286" s="417" t="s">
        <v>21012</v>
      </c>
      <c r="D9286" s="417" t="s">
        <v>397</v>
      </c>
      <c r="E9286" s="423">
        <v>6.9392574204109547E-2</v>
      </c>
      <c r="F9286" s="423">
        <v>6.7026090977563759E-3</v>
      </c>
      <c r="G9286" s="422">
        <v>231.6004268635385</v>
      </c>
      <c r="H9286" s="417" t="s">
        <v>2616</v>
      </c>
      <c r="I9286" s="417" t="s">
        <v>1392</v>
      </c>
      <c r="J9286" s="417" t="s">
        <v>20833</v>
      </c>
      <c r="K9286" s="417" t="s">
        <v>21013</v>
      </c>
      <c r="L9286" s="417"/>
      <c r="M9286" s="417" t="s">
        <v>28840</v>
      </c>
    </row>
    <row r="9287" spans="1:13" x14ac:dyDescent="0.25">
      <c r="A9287" s="417" t="s">
        <v>3385</v>
      </c>
      <c r="B9287" s="417" t="s">
        <v>2437</v>
      </c>
      <c r="C9287" s="417" t="s">
        <v>21014</v>
      </c>
      <c r="D9287" s="417" t="s">
        <v>397</v>
      </c>
      <c r="E9287" s="423">
        <v>0.110734095996884</v>
      </c>
      <c r="F9287" s="423">
        <v>9.0089199883912601E-3</v>
      </c>
      <c r="G9287" s="422">
        <v>362.37196305526982</v>
      </c>
      <c r="H9287" s="417" t="s">
        <v>2616</v>
      </c>
      <c r="I9287" s="417" t="s">
        <v>1392</v>
      </c>
      <c r="J9287" s="417" t="s">
        <v>20833</v>
      </c>
      <c r="K9287" s="417" t="s">
        <v>21015</v>
      </c>
      <c r="L9287" s="417"/>
      <c r="M9287" s="417" t="s">
        <v>28840</v>
      </c>
    </row>
    <row r="9288" spans="1:13" x14ac:dyDescent="0.25">
      <c r="A9288" s="417" t="s">
        <v>3385</v>
      </c>
      <c r="B9288" s="417" t="s">
        <v>2437</v>
      </c>
      <c r="C9288" s="417" t="s">
        <v>21016</v>
      </c>
      <c r="D9288" s="417" t="s">
        <v>397</v>
      </c>
      <c r="E9288" s="423">
        <v>7.9733206198905088E-2</v>
      </c>
      <c r="F9288" s="423">
        <v>7.5730186263133457E-3</v>
      </c>
      <c r="G9288" s="422">
        <v>260.65913265948387</v>
      </c>
      <c r="H9288" s="417" t="s">
        <v>2616</v>
      </c>
      <c r="I9288" s="417" t="s">
        <v>1392</v>
      </c>
      <c r="J9288" s="417" t="s">
        <v>20833</v>
      </c>
      <c r="K9288" s="417" t="s">
        <v>21017</v>
      </c>
      <c r="L9288" s="417"/>
      <c r="M9288" s="417" t="s">
        <v>28840</v>
      </c>
    </row>
    <row r="9289" spans="1:13" x14ac:dyDescent="0.25">
      <c r="A9289" s="417" t="s">
        <v>3385</v>
      </c>
      <c r="B9289" s="417" t="s">
        <v>2437</v>
      </c>
      <c r="C9289" s="417" t="s">
        <v>21018</v>
      </c>
      <c r="D9289" s="417" t="s">
        <v>397</v>
      </c>
      <c r="E9289" s="423">
        <v>0.80654259811364337</v>
      </c>
      <c r="F9289" s="423">
        <v>5.739147745940465E-2</v>
      </c>
      <c r="G9289" s="422">
        <v>2712.0484981812629</v>
      </c>
      <c r="H9289" s="417" t="s">
        <v>2616</v>
      </c>
      <c r="I9289" s="417" t="s">
        <v>1392</v>
      </c>
      <c r="J9289" s="417" t="s">
        <v>20833</v>
      </c>
      <c r="K9289" s="417" t="s">
        <v>21019</v>
      </c>
      <c r="L9289" s="417"/>
      <c r="M9289" s="417" t="s">
        <v>28840</v>
      </c>
    </row>
    <row r="9290" spans="1:13" x14ac:dyDescent="0.25">
      <c r="A9290" s="417" t="s">
        <v>3385</v>
      </c>
      <c r="B9290" s="417" t="s">
        <v>2437</v>
      </c>
      <c r="C9290" s="417" t="s">
        <v>21020</v>
      </c>
      <c r="D9290" s="417" t="s">
        <v>397</v>
      </c>
      <c r="E9290" s="423">
        <v>0.46677473889296478</v>
      </c>
      <c r="F9290" s="423">
        <v>3.9121589163238282E-2</v>
      </c>
      <c r="G9290" s="422">
        <v>1561.6379540813559</v>
      </c>
      <c r="H9290" s="417" t="s">
        <v>2616</v>
      </c>
      <c r="I9290" s="417" t="s">
        <v>1392</v>
      </c>
      <c r="J9290" s="417" t="s">
        <v>20833</v>
      </c>
      <c r="K9290" s="417" t="s">
        <v>21021</v>
      </c>
      <c r="L9290" s="417"/>
      <c r="M9290" s="417" t="s">
        <v>28840</v>
      </c>
    </row>
    <row r="9291" spans="1:13" x14ac:dyDescent="0.25">
      <c r="A9291" s="417" t="s">
        <v>3385</v>
      </c>
      <c r="B9291" s="417" t="s">
        <v>2437</v>
      </c>
      <c r="C9291" s="417" t="s">
        <v>21022</v>
      </c>
      <c r="D9291" s="417" t="s">
        <v>397</v>
      </c>
      <c r="E9291" s="423">
        <v>0.10366342758045979</v>
      </c>
      <c r="F9291" s="423">
        <v>7.8553965630781368E-3</v>
      </c>
      <c r="G9291" s="422">
        <v>334.20466190880359</v>
      </c>
      <c r="H9291" s="417" t="s">
        <v>2616</v>
      </c>
      <c r="I9291" s="417" t="s">
        <v>1392</v>
      </c>
      <c r="J9291" s="417" t="s">
        <v>20833</v>
      </c>
      <c r="K9291" s="417" t="s">
        <v>21023</v>
      </c>
      <c r="L9291" s="417"/>
      <c r="M9291" s="417" t="s">
        <v>28840</v>
      </c>
    </row>
    <row r="9292" spans="1:13" x14ac:dyDescent="0.25">
      <c r="A9292" s="417" t="s">
        <v>3385</v>
      </c>
      <c r="B9292" s="417" t="s">
        <v>2437</v>
      </c>
      <c r="C9292" s="417" t="s">
        <v>21024</v>
      </c>
      <c r="D9292" s="417" t="s">
        <v>397</v>
      </c>
      <c r="E9292" s="423">
        <v>7.01463330495221E-2</v>
      </c>
      <c r="F9292" s="423">
        <v>6.2127857286629479E-3</v>
      </c>
      <c r="G9292" s="422">
        <v>227.9319928458068</v>
      </c>
      <c r="H9292" s="417" t="s">
        <v>2616</v>
      </c>
      <c r="I9292" s="417" t="s">
        <v>1392</v>
      </c>
      <c r="J9292" s="417" t="s">
        <v>20833</v>
      </c>
      <c r="K9292" s="417" t="s">
        <v>21025</v>
      </c>
      <c r="L9292" s="417"/>
      <c r="M9292" s="417" t="s">
        <v>28840</v>
      </c>
    </row>
    <row r="9293" spans="1:13" x14ac:dyDescent="0.25">
      <c r="A9293" s="417" t="s">
        <v>3385</v>
      </c>
      <c r="B9293" s="417" t="s">
        <v>2437</v>
      </c>
      <c r="C9293" s="417" t="s">
        <v>21026</v>
      </c>
      <c r="D9293" s="417" t="s">
        <v>397</v>
      </c>
      <c r="E9293" s="423">
        <v>5.5669168454763038E-2</v>
      </c>
      <c r="F9293" s="423">
        <v>4.0193660491677774E-3</v>
      </c>
      <c r="G9293" s="422">
        <v>172.58755283195731</v>
      </c>
      <c r="H9293" s="417" t="s">
        <v>2616</v>
      </c>
      <c r="I9293" s="417" t="s">
        <v>1392</v>
      </c>
      <c r="J9293" s="417" t="s">
        <v>20833</v>
      </c>
      <c r="K9293" s="417" t="s">
        <v>21027</v>
      </c>
      <c r="L9293" s="417"/>
      <c r="M9293" s="417" t="s">
        <v>28840</v>
      </c>
    </row>
    <row r="9294" spans="1:13" x14ac:dyDescent="0.25">
      <c r="A9294" s="417" t="s">
        <v>3385</v>
      </c>
      <c r="B9294" s="417" t="s">
        <v>2437</v>
      </c>
      <c r="C9294" s="417" t="s">
        <v>21028</v>
      </c>
      <c r="D9294" s="417" t="s">
        <v>397</v>
      </c>
      <c r="E9294" s="423">
        <v>4.035724754563573E-2</v>
      </c>
      <c r="F9294" s="423">
        <v>3.3786067935473699E-3</v>
      </c>
      <c r="G9294" s="422">
        <v>124.3137712428814</v>
      </c>
      <c r="H9294" s="417" t="s">
        <v>2616</v>
      </c>
      <c r="I9294" s="417" t="s">
        <v>1392</v>
      </c>
      <c r="J9294" s="417" t="s">
        <v>20833</v>
      </c>
      <c r="K9294" s="417" t="s">
        <v>21029</v>
      </c>
      <c r="L9294" s="417"/>
      <c r="M9294" s="417" t="s">
        <v>28840</v>
      </c>
    </row>
    <row r="9295" spans="1:13" x14ac:dyDescent="0.25">
      <c r="A9295" s="417" t="s">
        <v>3385</v>
      </c>
      <c r="B9295" s="417" t="s">
        <v>2437</v>
      </c>
      <c r="C9295" s="417" t="s">
        <v>21030</v>
      </c>
      <c r="D9295" s="417" t="s">
        <v>397</v>
      </c>
      <c r="E9295" s="423">
        <v>0.37671340684458637</v>
      </c>
      <c r="F9295" s="423">
        <v>2.8027346644169639E-2</v>
      </c>
      <c r="G9295" s="422">
        <v>1363.293108675113</v>
      </c>
      <c r="H9295" s="417" t="s">
        <v>2616</v>
      </c>
      <c r="I9295" s="417" t="s">
        <v>1392</v>
      </c>
      <c r="J9295" s="417" t="s">
        <v>20833</v>
      </c>
      <c r="K9295" s="417" t="s">
        <v>21031</v>
      </c>
      <c r="L9295" s="417"/>
      <c r="M9295" s="417" t="s">
        <v>28840</v>
      </c>
    </row>
    <row r="9296" spans="1:13" x14ac:dyDescent="0.25">
      <c r="A9296" s="417" t="s">
        <v>3385</v>
      </c>
      <c r="B9296" s="417" t="s">
        <v>2437</v>
      </c>
      <c r="C9296" s="417" t="s">
        <v>21032</v>
      </c>
      <c r="D9296" s="417" t="s">
        <v>397</v>
      </c>
      <c r="E9296" s="423">
        <v>8.3372778434175496E-2</v>
      </c>
      <c r="F9296" s="423">
        <v>5.3335855131877996E-3</v>
      </c>
      <c r="G9296" s="422">
        <v>253.60319149418279</v>
      </c>
      <c r="H9296" s="417" t="s">
        <v>2616</v>
      </c>
      <c r="I9296" s="417" t="s">
        <v>1392</v>
      </c>
      <c r="J9296" s="417" t="s">
        <v>20833</v>
      </c>
      <c r="K9296" s="417" t="s">
        <v>21033</v>
      </c>
      <c r="L9296" s="417"/>
      <c r="M9296" s="417" t="s">
        <v>28840</v>
      </c>
    </row>
    <row r="9297" spans="1:13" x14ac:dyDescent="0.25">
      <c r="A9297" s="417" t="s">
        <v>3385</v>
      </c>
      <c r="B9297" s="417" t="s">
        <v>2437</v>
      </c>
      <c r="C9297" s="417" t="s">
        <v>21034</v>
      </c>
      <c r="D9297" s="417" t="s">
        <v>397</v>
      </c>
      <c r="E9297" s="423">
        <v>5.3892635439452059E-2</v>
      </c>
      <c r="F9297" s="423">
        <v>3.9737210033016206E-3</v>
      </c>
      <c r="G9297" s="422">
        <v>157.38729526828141</v>
      </c>
      <c r="H9297" s="417" t="s">
        <v>2616</v>
      </c>
      <c r="I9297" s="417" t="s">
        <v>1392</v>
      </c>
      <c r="J9297" s="417" t="s">
        <v>20833</v>
      </c>
      <c r="K9297" s="417" t="s">
        <v>21035</v>
      </c>
      <c r="L9297" s="417"/>
      <c r="M9297" s="417" t="s">
        <v>28840</v>
      </c>
    </row>
    <row r="9298" spans="1:13" x14ac:dyDescent="0.25">
      <c r="A9298" s="417" t="s">
        <v>3385</v>
      </c>
      <c r="B9298" s="417" t="s">
        <v>2437</v>
      </c>
      <c r="C9298" s="417" t="s">
        <v>21036</v>
      </c>
      <c r="D9298" s="417" t="s">
        <v>397</v>
      </c>
      <c r="E9298" s="423">
        <v>9.3090548684140212E-2</v>
      </c>
      <c r="F9298" s="423">
        <v>5.9026324703361889E-3</v>
      </c>
      <c r="G9298" s="422">
        <v>277.89531337809689</v>
      </c>
      <c r="H9298" s="417" t="s">
        <v>2616</v>
      </c>
      <c r="I9298" s="417" t="s">
        <v>1392</v>
      </c>
      <c r="J9298" s="417" t="s">
        <v>20833</v>
      </c>
      <c r="K9298" s="417" t="s">
        <v>21037</v>
      </c>
      <c r="L9298" s="417"/>
      <c r="M9298" s="417" t="s">
        <v>28840</v>
      </c>
    </row>
    <row r="9299" spans="1:13" x14ac:dyDescent="0.25">
      <c r="A9299" s="417" t="s">
        <v>3385</v>
      </c>
      <c r="B9299" s="417" t="s">
        <v>2437</v>
      </c>
      <c r="C9299" s="417" t="s">
        <v>21038</v>
      </c>
      <c r="D9299" s="417" t="s">
        <v>397</v>
      </c>
      <c r="E9299" s="423">
        <v>6.2584337785238267E-2</v>
      </c>
      <c r="F9299" s="423">
        <v>4.553823290763097E-3</v>
      </c>
      <c r="G9299" s="422">
        <v>178.55098659915521</v>
      </c>
      <c r="H9299" s="417" t="s">
        <v>2616</v>
      </c>
      <c r="I9299" s="417" t="s">
        <v>1392</v>
      </c>
      <c r="J9299" s="417" t="s">
        <v>20833</v>
      </c>
      <c r="K9299" s="417" t="s">
        <v>21039</v>
      </c>
      <c r="L9299" s="417"/>
      <c r="M9299" s="417" t="s">
        <v>28840</v>
      </c>
    </row>
    <row r="9300" spans="1:13" x14ac:dyDescent="0.25">
      <c r="A9300" s="417" t="s">
        <v>3385</v>
      </c>
      <c r="B9300" s="417" t="s">
        <v>2437</v>
      </c>
      <c r="C9300" s="417" t="s">
        <v>21040</v>
      </c>
      <c r="D9300" s="417" t="s">
        <v>397</v>
      </c>
      <c r="E9300" s="423">
        <v>0.72244718551870291</v>
      </c>
      <c r="F9300" s="423">
        <v>4.2585807915387602E-2</v>
      </c>
      <c r="G9300" s="422">
        <v>2309.4027819247799</v>
      </c>
      <c r="H9300" s="417" t="s">
        <v>2616</v>
      </c>
      <c r="I9300" s="417" t="s">
        <v>1392</v>
      </c>
      <c r="J9300" s="417" t="s">
        <v>20833</v>
      </c>
      <c r="K9300" s="417" t="s">
        <v>21041</v>
      </c>
      <c r="L9300" s="417"/>
      <c r="M9300" s="417" t="s">
        <v>28840</v>
      </c>
    </row>
    <row r="9301" spans="1:13" x14ac:dyDescent="0.25">
      <c r="A9301" s="417" t="s">
        <v>3385</v>
      </c>
      <c r="B9301" s="417" t="s">
        <v>2437</v>
      </c>
      <c r="C9301" s="417" t="s">
        <v>21042</v>
      </c>
      <c r="D9301" s="417" t="s">
        <v>397</v>
      </c>
      <c r="E9301" s="423">
        <v>0.3983441579809735</v>
      </c>
      <c r="F9301" s="423">
        <v>2.7073838533347421E-2</v>
      </c>
      <c r="G9301" s="422">
        <v>1233.9948727353601</v>
      </c>
      <c r="H9301" s="417" t="s">
        <v>2616</v>
      </c>
      <c r="I9301" s="417" t="s">
        <v>1392</v>
      </c>
      <c r="J9301" s="417" t="s">
        <v>20833</v>
      </c>
      <c r="K9301" s="417" t="s">
        <v>21043</v>
      </c>
      <c r="L9301" s="417"/>
      <c r="M9301" s="417" t="s">
        <v>28840</v>
      </c>
    </row>
    <row r="9302" spans="1:13" x14ac:dyDescent="0.25">
      <c r="A9302" s="417" t="s">
        <v>3385</v>
      </c>
      <c r="B9302" s="417" t="s">
        <v>2437</v>
      </c>
      <c r="C9302" s="417" t="s">
        <v>21044</v>
      </c>
      <c r="D9302" s="417" t="s">
        <v>397</v>
      </c>
      <c r="E9302" s="423">
        <v>0.15491449169734331</v>
      </c>
      <c r="F9302" s="423">
        <v>0.21034705256561881</v>
      </c>
      <c r="G9302" s="422">
        <v>387.64343043864523</v>
      </c>
      <c r="H9302" s="417" t="s">
        <v>2616</v>
      </c>
      <c r="I9302" s="417" t="s">
        <v>1392</v>
      </c>
      <c r="J9302" s="417" t="s">
        <v>20833</v>
      </c>
      <c r="K9302" s="417" t="s">
        <v>21045</v>
      </c>
      <c r="L9302" s="417"/>
      <c r="M9302" s="417" t="s">
        <v>28840</v>
      </c>
    </row>
    <row r="9303" spans="1:13" x14ac:dyDescent="0.25">
      <c r="A9303" s="417" t="s">
        <v>3385</v>
      </c>
      <c r="B9303" s="417" t="s">
        <v>2437</v>
      </c>
      <c r="C9303" s="417" t="s">
        <v>21046</v>
      </c>
      <c r="D9303" s="417" t="s">
        <v>397</v>
      </c>
      <c r="E9303" s="423">
        <v>0.15790487010100801</v>
      </c>
      <c r="F9303" s="423">
        <v>0.21822767622016101</v>
      </c>
      <c r="G9303" s="422">
        <v>395.4703417144749</v>
      </c>
      <c r="H9303" s="417" t="s">
        <v>2616</v>
      </c>
      <c r="I9303" s="417" t="s">
        <v>1392</v>
      </c>
      <c r="J9303" s="417" t="s">
        <v>20833</v>
      </c>
      <c r="K9303" s="417" t="s">
        <v>21047</v>
      </c>
      <c r="L9303" s="417"/>
      <c r="M9303" s="417" t="s">
        <v>28840</v>
      </c>
    </row>
    <row r="9304" spans="1:13" x14ac:dyDescent="0.25">
      <c r="A9304" s="417" t="s">
        <v>3385</v>
      </c>
      <c r="B9304" s="417" t="s">
        <v>2437</v>
      </c>
      <c r="C9304" s="417" t="s">
        <v>21048</v>
      </c>
      <c r="D9304" s="417" t="s">
        <v>397</v>
      </c>
      <c r="E9304" s="423">
        <v>0.18403125626518149</v>
      </c>
      <c r="F9304" s="423">
        <v>0.27334552709778498</v>
      </c>
      <c r="G9304" s="422">
        <v>451.40352131832742</v>
      </c>
      <c r="H9304" s="417" t="s">
        <v>2616</v>
      </c>
      <c r="I9304" s="417" t="s">
        <v>1392</v>
      </c>
      <c r="J9304" s="417" t="s">
        <v>20833</v>
      </c>
      <c r="K9304" s="417" t="s">
        <v>21049</v>
      </c>
      <c r="L9304" s="417"/>
      <c r="M9304" s="417" t="s">
        <v>28840</v>
      </c>
    </row>
    <row r="9305" spans="1:13" x14ac:dyDescent="0.25">
      <c r="A9305" s="417" t="s">
        <v>3385</v>
      </c>
      <c r="B9305" s="417" t="s">
        <v>2437</v>
      </c>
      <c r="C9305" s="417" t="s">
        <v>21050</v>
      </c>
      <c r="D9305" s="417" t="s">
        <v>397</v>
      </c>
      <c r="E9305" s="423">
        <v>7.9773302288193265E-2</v>
      </c>
      <c r="F9305" s="423">
        <v>0.10295791115346679</v>
      </c>
      <c r="G9305" s="422">
        <v>193.78954037072529</v>
      </c>
      <c r="H9305" s="417" t="s">
        <v>2616</v>
      </c>
      <c r="I9305" s="417" t="s">
        <v>1392</v>
      </c>
      <c r="J9305" s="417" t="s">
        <v>20833</v>
      </c>
      <c r="K9305" s="417" t="s">
        <v>21051</v>
      </c>
      <c r="L9305" s="417"/>
      <c r="M9305" s="417" t="s">
        <v>28840</v>
      </c>
    </row>
    <row r="9306" spans="1:13" x14ac:dyDescent="0.25">
      <c r="A9306" s="417" t="s">
        <v>3385</v>
      </c>
      <c r="B9306" s="417" t="s">
        <v>2437</v>
      </c>
      <c r="C9306" s="417" t="s">
        <v>21052</v>
      </c>
      <c r="D9306" s="417" t="s">
        <v>397</v>
      </c>
      <c r="E9306" s="423">
        <v>8.2935140909233165E-2</v>
      </c>
      <c r="F9306" s="423">
        <v>0.1100446855267964</v>
      </c>
      <c r="G9306" s="422">
        <v>200.7831982075476</v>
      </c>
      <c r="H9306" s="417" t="s">
        <v>2616</v>
      </c>
      <c r="I9306" s="417" t="s">
        <v>1392</v>
      </c>
      <c r="J9306" s="417" t="s">
        <v>20833</v>
      </c>
      <c r="K9306" s="417" t="s">
        <v>21053</v>
      </c>
      <c r="L9306" s="417"/>
      <c r="M9306" s="417" t="s">
        <v>28840</v>
      </c>
    </row>
    <row r="9307" spans="1:13" x14ac:dyDescent="0.25">
      <c r="A9307" s="417" t="s">
        <v>3385</v>
      </c>
      <c r="B9307" s="417" t="s">
        <v>2437</v>
      </c>
      <c r="C9307" s="417" t="s">
        <v>21054</v>
      </c>
      <c r="D9307" s="417" t="s">
        <v>397</v>
      </c>
      <c r="E9307" s="423">
        <v>9.9106596639254876E-2</v>
      </c>
      <c r="F9307" s="423">
        <v>0.14473625163966219</v>
      </c>
      <c r="G9307" s="422">
        <v>234.99608507011601</v>
      </c>
      <c r="H9307" s="417" t="s">
        <v>2616</v>
      </c>
      <c r="I9307" s="417" t="s">
        <v>1392</v>
      </c>
      <c r="J9307" s="417" t="s">
        <v>20833</v>
      </c>
      <c r="K9307" s="417" t="s">
        <v>21055</v>
      </c>
      <c r="L9307" s="417"/>
      <c r="M9307" s="417" t="s">
        <v>28840</v>
      </c>
    </row>
    <row r="9308" spans="1:13" x14ac:dyDescent="0.25">
      <c r="A9308" s="417" t="s">
        <v>3385</v>
      </c>
      <c r="B9308" s="417" t="s">
        <v>2437</v>
      </c>
      <c r="C9308" s="417" t="s">
        <v>21056</v>
      </c>
      <c r="D9308" s="417" t="s">
        <v>397</v>
      </c>
      <c r="E9308" s="423">
        <v>0.69169369574367479</v>
      </c>
      <c r="F9308" s="423">
        <v>0.80327514794969668</v>
      </c>
      <c r="G9308" s="422">
        <v>1981.646814077845</v>
      </c>
      <c r="H9308" s="417" t="s">
        <v>2616</v>
      </c>
      <c r="I9308" s="417" t="s">
        <v>1392</v>
      </c>
      <c r="J9308" s="417" t="s">
        <v>20833</v>
      </c>
      <c r="K9308" s="417" t="s">
        <v>21057</v>
      </c>
      <c r="L9308" s="417"/>
      <c r="M9308" s="417" t="s">
        <v>28840</v>
      </c>
    </row>
    <row r="9309" spans="1:13" x14ac:dyDescent="0.25">
      <c r="A9309" s="417" t="s">
        <v>3385</v>
      </c>
      <c r="B9309" s="417" t="s">
        <v>2437</v>
      </c>
      <c r="C9309" s="417" t="s">
        <v>21058</v>
      </c>
      <c r="D9309" s="417" t="s">
        <v>397</v>
      </c>
      <c r="E9309" s="423">
        <v>0.66580475644292059</v>
      </c>
      <c r="F9309" s="423">
        <v>0.77740200726529363</v>
      </c>
      <c r="G9309" s="422">
        <v>1934.350834094678</v>
      </c>
      <c r="H9309" s="417" t="s">
        <v>2616</v>
      </c>
      <c r="I9309" s="417" t="s">
        <v>1392</v>
      </c>
      <c r="J9309" s="417" t="s">
        <v>20833</v>
      </c>
      <c r="K9309" s="417" t="s">
        <v>21059</v>
      </c>
      <c r="L9309" s="417"/>
      <c r="M9309" s="417" t="s">
        <v>28840</v>
      </c>
    </row>
    <row r="9310" spans="1:13" x14ac:dyDescent="0.25">
      <c r="A9310" s="417" t="s">
        <v>3385</v>
      </c>
      <c r="B9310" s="417" t="s">
        <v>2437</v>
      </c>
      <c r="C9310" s="417" t="s">
        <v>21060</v>
      </c>
      <c r="D9310" s="417" t="s">
        <v>397</v>
      </c>
      <c r="E9310" s="423">
        <v>0.70594724952131116</v>
      </c>
      <c r="F9310" s="423">
        <v>0.8631241892190975</v>
      </c>
      <c r="G9310" s="422">
        <v>2032.856090225878</v>
      </c>
      <c r="H9310" s="417" t="s">
        <v>2616</v>
      </c>
      <c r="I9310" s="417" t="s">
        <v>1392</v>
      </c>
      <c r="J9310" s="417" t="s">
        <v>20833</v>
      </c>
      <c r="K9310" s="417" t="s">
        <v>21061</v>
      </c>
      <c r="L9310" s="417"/>
      <c r="M9310" s="417" t="s">
        <v>28840</v>
      </c>
    </row>
    <row r="9311" spans="1:13" x14ac:dyDescent="0.25">
      <c r="A9311" s="417" t="s">
        <v>3385</v>
      </c>
      <c r="B9311" s="417" t="s">
        <v>2437</v>
      </c>
      <c r="C9311" s="417" t="s">
        <v>21062</v>
      </c>
      <c r="D9311" s="417" t="s">
        <v>397</v>
      </c>
      <c r="E9311" s="423">
        <v>8.5833720635859242E-2</v>
      </c>
      <c r="F9311" s="423">
        <v>9.9729095197406678E-2</v>
      </c>
      <c r="G9311" s="422">
        <v>200.3823101674698</v>
      </c>
      <c r="H9311" s="417" t="s">
        <v>2616</v>
      </c>
      <c r="I9311" s="417" t="s">
        <v>1392</v>
      </c>
      <c r="J9311" s="417" t="s">
        <v>20833</v>
      </c>
      <c r="K9311" s="417" t="s">
        <v>21063</v>
      </c>
      <c r="L9311" s="417"/>
      <c r="M9311" s="417" t="s">
        <v>28840</v>
      </c>
    </row>
    <row r="9312" spans="1:13" x14ac:dyDescent="0.25">
      <c r="A9312" s="417" t="s">
        <v>3385</v>
      </c>
      <c r="B9312" s="417" t="s">
        <v>2437</v>
      </c>
      <c r="C9312" s="417" t="s">
        <v>21064</v>
      </c>
      <c r="D9312" s="417" t="s">
        <v>397</v>
      </c>
      <c r="E9312" s="423">
        <v>8.8295640680666587E-2</v>
      </c>
      <c r="F9312" s="423">
        <v>0.10633718570504209</v>
      </c>
      <c r="G9312" s="422">
        <v>205.98005490245711</v>
      </c>
      <c r="H9312" s="417" t="s">
        <v>2616</v>
      </c>
      <c r="I9312" s="417" t="s">
        <v>1392</v>
      </c>
      <c r="J9312" s="417" t="s">
        <v>20833</v>
      </c>
      <c r="K9312" s="417" t="s">
        <v>21065</v>
      </c>
      <c r="L9312" s="417"/>
      <c r="M9312" s="417" t="s">
        <v>28840</v>
      </c>
    </row>
    <row r="9313" spans="1:13" x14ac:dyDescent="0.25">
      <c r="A9313" s="417" t="s">
        <v>3385</v>
      </c>
      <c r="B9313" s="417" t="s">
        <v>2437</v>
      </c>
      <c r="C9313" s="417" t="s">
        <v>21066</v>
      </c>
      <c r="D9313" s="417" t="s">
        <v>397</v>
      </c>
      <c r="E9313" s="423">
        <v>9.9109885423289107E-2</v>
      </c>
      <c r="F9313" s="423">
        <v>0.1297162941055845</v>
      </c>
      <c r="G9313" s="422">
        <v>229.34804240982979</v>
      </c>
      <c r="H9313" s="417" t="s">
        <v>2616</v>
      </c>
      <c r="I9313" s="417" t="s">
        <v>1392</v>
      </c>
      <c r="J9313" s="417" t="s">
        <v>20833</v>
      </c>
      <c r="K9313" s="417" t="s">
        <v>21067</v>
      </c>
      <c r="L9313" s="417"/>
      <c r="M9313" s="417" t="s">
        <v>28840</v>
      </c>
    </row>
    <row r="9314" spans="1:13" x14ac:dyDescent="0.25">
      <c r="A9314" s="417" t="s">
        <v>3385</v>
      </c>
      <c r="B9314" s="417" t="s">
        <v>2437</v>
      </c>
      <c r="C9314" s="417" t="s">
        <v>21068</v>
      </c>
      <c r="D9314" s="417" t="s">
        <v>397</v>
      </c>
      <c r="E9314" s="423">
        <v>9.7779627713455039E-2</v>
      </c>
      <c r="F9314" s="423">
        <v>0.1097492416110973</v>
      </c>
      <c r="G9314" s="422">
        <v>225.18745751542491</v>
      </c>
      <c r="H9314" s="417" t="s">
        <v>2616</v>
      </c>
      <c r="I9314" s="417" t="s">
        <v>1392</v>
      </c>
      <c r="J9314" s="417" t="s">
        <v>20833</v>
      </c>
      <c r="K9314" s="417" t="s">
        <v>21069</v>
      </c>
      <c r="L9314" s="417"/>
      <c r="M9314" s="417" t="s">
        <v>28840</v>
      </c>
    </row>
    <row r="9315" spans="1:13" x14ac:dyDescent="0.25">
      <c r="A9315" s="417" t="s">
        <v>3385</v>
      </c>
      <c r="B9315" s="417" t="s">
        <v>2437</v>
      </c>
      <c r="C9315" s="417" t="s">
        <v>21070</v>
      </c>
      <c r="D9315" s="417" t="s">
        <v>397</v>
      </c>
      <c r="E9315" s="423">
        <v>0.1668566277713128</v>
      </c>
      <c r="F9315" s="423">
        <v>4.9760891170941429E-2</v>
      </c>
      <c r="G9315" s="422">
        <v>297.6493127700702</v>
      </c>
      <c r="H9315" s="417" t="s">
        <v>2616</v>
      </c>
      <c r="I9315" s="417" t="s">
        <v>1392</v>
      </c>
      <c r="J9315" s="417" t="s">
        <v>20833</v>
      </c>
      <c r="K9315" s="417" t="s">
        <v>21071</v>
      </c>
      <c r="L9315" s="417"/>
      <c r="M9315" s="417" t="s">
        <v>28840</v>
      </c>
    </row>
    <row r="9316" spans="1:13" x14ac:dyDescent="0.25">
      <c r="A9316" s="417" t="s">
        <v>3385</v>
      </c>
      <c r="B9316" s="417" t="s">
        <v>2437</v>
      </c>
      <c r="C9316" s="417" t="s">
        <v>21072</v>
      </c>
      <c r="D9316" s="417" t="s">
        <v>397</v>
      </c>
      <c r="E9316" s="423">
        <v>0.11509681297086879</v>
      </c>
      <c r="F9316" s="423">
        <v>0.1480244301023895</v>
      </c>
      <c r="G9316" s="422">
        <v>262.21485649118608</v>
      </c>
      <c r="H9316" s="417" t="s">
        <v>2616</v>
      </c>
      <c r="I9316" s="417" t="s">
        <v>1392</v>
      </c>
      <c r="J9316" s="417" t="s">
        <v>20833</v>
      </c>
      <c r="K9316" s="417" t="s">
        <v>21073</v>
      </c>
      <c r="L9316" s="417"/>
      <c r="M9316" s="417" t="s">
        <v>28840</v>
      </c>
    </row>
    <row r="9317" spans="1:13" x14ac:dyDescent="0.25">
      <c r="A9317" s="417" t="s">
        <v>3385</v>
      </c>
      <c r="B9317" s="417" t="s">
        <v>2437</v>
      </c>
      <c r="C9317" s="417" t="s">
        <v>21074</v>
      </c>
      <c r="D9317" s="417" t="s">
        <v>397</v>
      </c>
      <c r="E9317" s="423">
        <v>0.58238477935391153</v>
      </c>
      <c r="F9317" s="423">
        <v>0.59376142151064182</v>
      </c>
      <c r="G9317" s="422">
        <v>1506.3154628716511</v>
      </c>
      <c r="H9317" s="417" t="s">
        <v>2616</v>
      </c>
      <c r="I9317" s="417" t="s">
        <v>1392</v>
      </c>
      <c r="J9317" s="417" t="s">
        <v>20833</v>
      </c>
      <c r="K9317" s="417" t="s">
        <v>21075</v>
      </c>
      <c r="L9317" s="417"/>
      <c r="M9317" s="417" t="s">
        <v>28840</v>
      </c>
    </row>
    <row r="9318" spans="1:13" x14ac:dyDescent="0.25">
      <c r="A9318" s="417" t="s">
        <v>3385</v>
      </c>
      <c r="B9318" s="417" t="s">
        <v>2437</v>
      </c>
      <c r="C9318" s="417" t="s">
        <v>21076</v>
      </c>
      <c r="D9318" s="417" t="s">
        <v>397</v>
      </c>
      <c r="E9318" s="423">
        <v>0.55788686346190852</v>
      </c>
      <c r="F9318" s="423">
        <v>0.55840790183950828</v>
      </c>
      <c r="G9318" s="422">
        <v>1461.8948530139751</v>
      </c>
      <c r="H9318" s="417" t="s">
        <v>2616</v>
      </c>
      <c r="I9318" s="417" t="s">
        <v>1392</v>
      </c>
      <c r="J9318" s="417" t="s">
        <v>20833</v>
      </c>
      <c r="K9318" s="417" t="s">
        <v>21077</v>
      </c>
      <c r="L9318" s="417"/>
      <c r="M9318" s="417" t="s">
        <v>28840</v>
      </c>
    </row>
    <row r="9319" spans="1:13" x14ac:dyDescent="0.25">
      <c r="A9319" s="417" t="s">
        <v>3385</v>
      </c>
      <c r="B9319" s="417" t="s">
        <v>2437</v>
      </c>
      <c r="C9319" s="417" t="s">
        <v>21078</v>
      </c>
      <c r="D9319" s="417" t="s">
        <v>397</v>
      </c>
      <c r="E9319" s="423">
        <v>0.58985103993695964</v>
      </c>
      <c r="F9319" s="423">
        <v>0.62561141471413961</v>
      </c>
      <c r="G9319" s="422">
        <v>1538.7524190455531</v>
      </c>
      <c r="H9319" s="417" t="s">
        <v>2616</v>
      </c>
      <c r="I9319" s="417" t="s">
        <v>1392</v>
      </c>
      <c r="J9319" s="417" t="s">
        <v>20833</v>
      </c>
      <c r="K9319" s="417" t="s">
        <v>21079</v>
      </c>
      <c r="L9319" s="417"/>
      <c r="M9319" s="417" t="s">
        <v>28840</v>
      </c>
    </row>
    <row r="9320" spans="1:13" x14ac:dyDescent="0.25">
      <c r="A9320" s="417" t="s">
        <v>3385</v>
      </c>
      <c r="B9320" s="417" t="s">
        <v>2437</v>
      </c>
      <c r="C9320" s="417" t="s">
        <v>21080</v>
      </c>
      <c r="D9320" s="417" t="s">
        <v>397</v>
      </c>
      <c r="E9320" s="423">
        <v>0.23944102457091351</v>
      </c>
      <c r="F9320" s="423">
        <v>6.0393296882582097E-2</v>
      </c>
      <c r="G9320" s="422">
        <v>485.95327814899929</v>
      </c>
      <c r="H9320" s="417" t="s">
        <v>2616</v>
      </c>
      <c r="I9320" s="417" t="s">
        <v>1392</v>
      </c>
      <c r="J9320" s="417" t="s">
        <v>20833</v>
      </c>
      <c r="K9320" s="417" t="s">
        <v>21081</v>
      </c>
      <c r="L9320" s="417"/>
      <c r="M9320" s="417" t="s">
        <v>28840</v>
      </c>
    </row>
    <row r="9321" spans="1:13" x14ac:dyDescent="0.25">
      <c r="A9321" s="417" t="s">
        <v>3385</v>
      </c>
      <c r="B9321" s="417" t="s">
        <v>2437</v>
      </c>
      <c r="C9321" s="417" t="s">
        <v>21082</v>
      </c>
      <c r="D9321" s="417" t="s">
        <v>397</v>
      </c>
      <c r="E9321" s="423">
        <v>0.24548657881638319</v>
      </c>
      <c r="F9321" s="423">
        <v>6.245631492940959E-2</v>
      </c>
      <c r="G9321" s="422">
        <v>497.33355842528238</v>
      </c>
      <c r="H9321" s="417" t="s">
        <v>2616</v>
      </c>
      <c r="I9321" s="417" t="s">
        <v>1392</v>
      </c>
      <c r="J9321" s="417" t="s">
        <v>20833</v>
      </c>
      <c r="K9321" s="417" t="s">
        <v>21083</v>
      </c>
      <c r="L9321" s="417"/>
      <c r="M9321" s="417" t="s">
        <v>28840</v>
      </c>
    </row>
    <row r="9322" spans="1:13" x14ac:dyDescent="0.25">
      <c r="A9322" s="417" t="s">
        <v>3385</v>
      </c>
      <c r="B9322" s="417" t="s">
        <v>2437</v>
      </c>
      <c r="C9322" s="417" t="s">
        <v>21084</v>
      </c>
      <c r="D9322" s="417" t="s">
        <v>397</v>
      </c>
      <c r="E9322" s="423">
        <v>0.29430855732693639</v>
      </c>
      <c r="F9322" s="423">
        <v>7.7929095429448064E-2</v>
      </c>
      <c r="G9322" s="422">
        <v>579.66318534994275</v>
      </c>
      <c r="H9322" s="417" t="s">
        <v>2616</v>
      </c>
      <c r="I9322" s="417" t="s">
        <v>1392</v>
      </c>
      <c r="J9322" s="417" t="s">
        <v>20833</v>
      </c>
      <c r="K9322" s="417" t="s">
        <v>21085</v>
      </c>
      <c r="L9322" s="417"/>
      <c r="M9322" s="417" t="s">
        <v>28840</v>
      </c>
    </row>
    <row r="9323" spans="1:13" x14ac:dyDescent="0.25">
      <c r="A9323" s="417" t="s">
        <v>3385</v>
      </c>
      <c r="B9323" s="417" t="s">
        <v>2437</v>
      </c>
      <c r="C9323" s="417" t="s">
        <v>21086</v>
      </c>
      <c r="D9323" s="417" t="s">
        <v>397</v>
      </c>
      <c r="E9323" s="423">
        <v>0.1210909190592951</v>
      </c>
      <c r="F9323" s="423">
        <v>2.9624577907985089E-2</v>
      </c>
      <c r="G9323" s="422">
        <v>241.8446115707566</v>
      </c>
      <c r="H9323" s="417" t="s">
        <v>2616</v>
      </c>
      <c r="I9323" s="417" t="s">
        <v>1392</v>
      </c>
      <c r="J9323" s="417" t="s">
        <v>20833</v>
      </c>
      <c r="K9323" s="417" t="s">
        <v>21087</v>
      </c>
      <c r="L9323" s="417"/>
      <c r="M9323" s="417" t="s">
        <v>28840</v>
      </c>
    </row>
    <row r="9324" spans="1:13" x14ac:dyDescent="0.25">
      <c r="A9324" s="417" t="s">
        <v>3385</v>
      </c>
      <c r="B9324" s="417" t="s">
        <v>2437</v>
      </c>
      <c r="C9324" s="417" t="s">
        <v>21088</v>
      </c>
      <c r="D9324" s="417" t="s">
        <v>397</v>
      </c>
      <c r="E9324" s="423">
        <v>0.12730793352512251</v>
      </c>
      <c r="F9324" s="423">
        <v>3.1693746665375423E-2</v>
      </c>
      <c r="G9324" s="422">
        <v>252.391637810275</v>
      </c>
      <c r="H9324" s="417" t="s">
        <v>2616</v>
      </c>
      <c r="I9324" s="417" t="s">
        <v>1392</v>
      </c>
      <c r="J9324" s="417" t="s">
        <v>20833</v>
      </c>
      <c r="K9324" s="417" t="s">
        <v>21089</v>
      </c>
      <c r="L9324" s="417"/>
      <c r="M9324" s="417" t="s">
        <v>28840</v>
      </c>
    </row>
    <row r="9325" spans="1:13" x14ac:dyDescent="0.25">
      <c r="A9325" s="417" t="s">
        <v>3385</v>
      </c>
      <c r="B9325" s="417" t="s">
        <v>2437</v>
      </c>
      <c r="C9325" s="417" t="s">
        <v>21090</v>
      </c>
      <c r="D9325" s="417" t="s">
        <v>397</v>
      </c>
      <c r="E9325" s="423">
        <v>0.15744590760245711</v>
      </c>
      <c r="F9325" s="423">
        <v>4.1219115626090798E-2</v>
      </c>
      <c r="G9325" s="422">
        <v>302.84849274056978</v>
      </c>
      <c r="H9325" s="417" t="s">
        <v>2616</v>
      </c>
      <c r="I9325" s="417" t="s">
        <v>1392</v>
      </c>
      <c r="J9325" s="417" t="s">
        <v>20833</v>
      </c>
      <c r="K9325" s="417" t="s">
        <v>21091</v>
      </c>
      <c r="L9325" s="417"/>
      <c r="M9325" s="417" t="s">
        <v>28840</v>
      </c>
    </row>
    <row r="9326" spans="1:13" x14ac:dyDescent="0.25">
      <c r="A9326" s="417" t="s">
        <v>3385</v>
      </c>
      <c r="B9326" s="417" t="s">
        <v>2437</v>
      </c>
      <c r="C9326" s="417" t="s">
        <v>21092</v>
      </c>
      <c r="D9326" s="417" t="s">
        <v>397</v>
      </c>
      <c r="E9326" s="423">
        <v>1.0117597407667529</v>
      </c>
      <c r="F9326" s="423">
        <v>0.2353831298495182</v>
      </c>
      <c r="G9326" s="422">
        <v>2353.9044099278822</v>
      </c>
      <c r="H9326" s="417" t="s">
        <v>2616</v>
      </c>
      <c r="I9326" s="417" t="s">
        <v>1392</v>
      </c>
      <c r="J9326" s="417" t="s">
        <v>20833</v>
      </c>
      <c r="K9326" s="417" t="s">
        <v>21093</v>
      </c>
      <c r="L9326" s="417"/>
      <c r="M9326" s="417" t="s">
        <v>28840</v>
      </c>
    </row>
    <row r="9327" spans="1:13" x14ac:dyDescent="0.25">
      <c r="A9327" s="417" t="s">
        <v>3385</v>
      </c>
      <c r="B9327" s="417" t="s">
        <v>2437</v>
      </c>
      <c r="C9327" s="417" t="s">
        <v>21094</v>
      </c>
      <c r="D9327" s="417" t="s">
        <v>397</v>
      </c>
      <c r="E9327" s="423">
        <v>0.97568688142757842</v>
      </c>
      <c r="F9327" s="423">
        <v>0.22790200792207099</v>
      </c>
      <c r="G9327" s="422">
        <v>2294.763869229344</v>
      </c>
      <c r="H9327" s="417" t="s">
        <v>2616</v>
      </c>
      <c r="I9327" s="417" t="s">
        <v>1392</v>
      </c>
      <c r="J9327" s="417" t="s">
        <v>20833</v>
      </c>
      <c r="K9327" s="417" t="s">
        <v>21095</v>
      </c>
      <c r="L9327" s="417"/>
      <c r="M9327" s="417" t="s">
        <v>28840</v>
      </c>
    </row>
    <row r="9328" spans="1:13" x14ac:dyDescent="0.25">
      <c r="A9328" s="417" t="s">
        <v>3385</v>
      </c>
      <c r="B9328" s="417" t="s">
        <v>2437</v>
      </c>
      <c r="C9328" s="417" t="s">
        <v>21096</v>
      </c>
      <c r="D9328" s="417" t="s">
        <v>397</v>
      </c>
      <c r="E9328" s="423">
        <v>1.050745671720593</v>
      </c>
      <c r="F9328" s="423">
        <v>0.25170869707767962</v>
      </c>
      <c r="G9328" s="422">
        <v>2433.8790455621138</v>
      </c>
      <c r="H9328" s="417" t="s">
        <v>2616</v>
      </c>
      <c r="I9328" s="417" t="s">
        <v>1392</v>
      </c>
      <c r="J9328" s="417" t="s">
        <v>20833</v>
      </c>
      <c r="K9328" s="417" t="s">
        <v>21097</v>
      </c>
      <c r="L9328" s="417"/>
      <c r="M9328" s="417" t="s">
        <v>28840</v>
      </c>
    </row>
    <row r="9329" spans="1:13" x14ac:dyDescent="0.25">
      <c r="A9329" s="417" t="s">
        <v>3385</v>
      </c>
      <c r="B9329" s="417" t="s">
        <v>2437</v>
      </c>
      <c r="C9329" s="417" t="s">
        <v>21098</v>
      </c>
      <c r="D9329" s="417" t="s">
        <v>397</v>
      </c>
      <c r="E9329" s="423">
        <v>0.12584197617859419</v>
      </c>
      <c r="F9329" s="423">
        <v>2.9117592930896181E-2</v>
      </c>
      <c r="G9329" s="422">
        <v>246.91450993515389</v>
      </c>
      <c r="H9329" s="417" t="s">
        <v>2616</v>
      </c>
      <c r="I9329" s="417" t="s">
        <v>1392</v>
      </c>
      <c r="J9329" s="417" t="s">
        <v>20833</v>
      </c>
      <c r="K9329" s="417" t="s">
        <v>21099</v>
      </c>
      <c r="L9329" s="417"/>
      <c r="M9329" s="417" t="s">
        <v>28840</v>
      </c>
    </row>
    <row r="9330" spans="1:13" x14ac:dyDescent="0.25">
      <c r="A9330" s="417" t="s">
        <v>3385</v>
      </c>
      <c r="B9330" s="417" t="s">
        <v>2437</v>
      </c>
      <c r="C9330" s="417" t="s">
        <v>21100</v>
      </c>
      <c r="D9330" s="417" t="s">
        <v>397</v>
      </c>
      <c r="E9330" s="423">
        <v>0.13092261850171891</v>
      </c>
      <c r="F9330" s="423">
        <v>3.0882021484115851E-2</v>
      </c>
      <c r="G9330" s="422">
        <v>255.55799818003189</v>
      </c>
      <c r="H9330" s="417" t="s">
        <v>2616</v>
      </c>
      <c r="I9330" s="417" t="s">
        <v>1392</v>
      </c>
      <c r="J9330" s="417" t="s">
        <v>20833</v>
      </c>
      <c r="K9330" s="417" t="s">
        <v>21101</v>
      </c>
      <c r="L9330" s="417"/>
      <c r="M9330" s="417" t="s">
        <v>28840</v>
      </c>
    </row>
    <row r="9331" spans="1:13" x14ac:dyDescent="0.25">
      <c r="A9331" s="417" t="s">
        <v>3385</v>
      </c>
      <c r="B9331" s="417" t="s">
        <v>2437</v>
      </c>
      <c r="C9331" s="417" t="s">
        <v>21102</v>
      </c>
      <c r="D9331" s="417" t="s">
        <v>397</v>
      </c>
      <c r="E9331" s="423">
        <v>0.15119335999657241</v>
      </c>
      <c r="F9331" s="423">
        <v>3.7325683882061443E-2</v>
      </c>
      <c r="G9331" s="422">
        <v>289.9245064204718</v>
      </c>
      <c r="H9331" s="417" t="s">
        <v>2616</v>
      </c>
      <c r="I9331" s="417" t="s">
        <v>1392</v>
      </c>
      <c r="J9331" s="417" t="s">
        <v>20833</v>
      </c>
      <c r="K9331" s="417" t="s">
        <v>21103</v>
      </c>
      <c r="L9331" s="417"/>
      <c r="M9331" s="417" t="s">
        <v>28840</v>
      </c>
    </row>
    <row r="9332" spans="1:13" x14ac:dyDescent="0.25">
      <c r="A9332" s="417" t="s">
        <v>3385</v>
      </c>
      <c r="B9332" s="417" t="s">
        <v>2437</v>
      </c>
      <c r="C9332" s="417" t="s">
        <v>21104</v>
      </c>
      <c r="D9332" s="417" t="s">
        <v>397</v>
      </c>
      <c r="E9332" s="423">
        <v>0.1415704820576697</v>
      </c>
      <c r="F9332" s="423">
        <v>3.2063560950271797E-2</v>
      </c>
      <c r="G9332" s="422">
        <v>276.1190651247033</v>
      </c>
      <c r="H9332" s="417" t="s">
        <v>2616</v>
      </c>
      <c r="I9332" s="417" t="s">
        <v>1392</v>
      </c>
      <c r="J9332" s="417" t="s">
        <v>20833</v>
      </c>
      <c r="K9332" s="417" t="s">
        <v>21105</v>
      </c>
      <c r="L9332" s="417"/>
      <c r="M9332" s="417" t="s">
        <v>28840</v>
      </c>
    </row>
    <row r="9333" spans="1:13" x14ac:dyDescent="0.25">
      <c r="A9333" s="417" t="s">
        <v>3385</v>
      </c>
      <c r="B9333" s="417" t="s">
        <v>2437</v>
      </c>
      <c r="C9333" s="417" t="s">
        <v>21106</v>
      </c>
      <c r="D9333" s="417" t="s">
        <v>397</v>
      </c>
      <c r="E9333" s="423">
        <v>0.1467662042008106</v>
      </c>
      <c r="F9333" s="423">
        <v>3.3831548536412917E-2</v>
      </c>
      <c r="G9333" s="422">
        <v>285.12666389959981</v>
      </c>
      <c r="H9333" s="417" t="s">
        <v>2616</v>
      </c>
      <c r="I9333" s="417" t="s">
        <v>1392</v>
      </c>
      <c r="J9333" s="417" t="s">
        <v>20833</v>
      </c>
      <c r="K9333" s="417" t="s">
        <v>21107</v>
      </c>
      <c r="L9333" s="417"/>
      <c r="M9333" s="417" t="s">
        <v>28840</v>
      </c>
    </row>
    <row r="9334" spans="1:13" x14ac:dyDescent="0.25">
      <c r="A9334" s="417" t="s">
        <v>3385</v>
      </c>
      <c r="B9334" s="417" t="s">
        <v>2437</v>
      </c>
      <c r="C9334" s="417" t="s">
        <v>21108</v>
      </c>
      <c r="D9334" s="417" t="s">
        <v>397</v>
      </c>
      <c r="E9334" s="423">
        <v>0.17430903141205739</v>
      </c>
      <c r="F9334" s="423">
        <v>4.2559406776137093E-2</v>
      </c>
      <c r="G9334" s="422">
        <v>331.08251272195992</v>
      </c>
      <c r="H9334" s="417" t="s">
        <v>2616</v>
      </c>
      <c r="I9334" s="417" t="s">
        <v>1392</v>
      </c>
      <c r="J9334" s="417" t="s">
        <v>20833</v>
      </c>
      <c r="K9334" s="417" t="s">
        <v>21109</v>
      </c>
      <c r="L9334" s="417"/>
      <c r="M9334" s="417" t="s">
        <v>28840</v>
      </c>
    </row>
    <row r="9335" spans="1:13" x14ac:dyDescent="0.25">
      <c r="A9335" s="417" t="s">
        <v>3385</v>
      </c>
      <c r="B9335" s="417" t="s">
        <v>2437</v>
      </c>
      <c r="C9335" s="417" t="s">
        <v>21110</v>
      </c>
      <c r="D9335" s="417" t="s">
        <v>397</v>
      </c>
      <c r="E9335" s="423">
        <v>0.81806977641795675</v>
      </c>
      <c r="F9335" s="423">
        <v>0.17683184457982121</v>
      </c>
      <c r="G9335" s="422">
        <v>1780.432423957054</v>
      </c>
      <c r="H9335" s="417" t="s">
        <v>2616</v>
      </c>
      <c r="I9335" s="417" t="s">
        <v>1392</v>
      </c>
      <c r="J9335" s="417" t="s">
        <v>20833</v>
      </c>
      <c r="K9335" s="417" t="s">
        <v>21111</v>
      </c>
      <c r="L9335" s="417"/>
      <c r="M9335" s="417" t="s">
        <v>28840</v>
      </c>
    </row>
    <row r="9336" spans="1:13" x14ac:dyDescent="0.25">
      <c r="A9336" s="417" t="s">
        <v>3385</v>
      </c>
      <c r="B9336" s="417" t="s">
        <v>2437</v>
      </c>
      <c r="C9336" s="417" t="s">
        <v>21112</v>
      </c>
      <c r="D9336" s="417" t="s">
        <v>397</v>
      </c>
      <c r="E9336" s="423">
        <v>0.77902340378487578</v>
      </c>
      <c r="F9336" s="423">
        <v>0.16660978027365839</v>
      </c>
      <c r="G9336" s="422">
        <v>1719.0910107177481</v>
      </c>
      <c r="H9336" s="417" t="s">
        <v>2616</v>
      </c>
      <c r="I9336" s="417" t="s">
        <v>1392</v>
      </c>
      <c r="J9336" s="417" t="s">
        <v>20833</v>
      </c>
      <c r="K9336" s="417" t="s">
        <v>21113</v>
      </c>
      <c r="L9336" s="417"/>
      <c r="M9336" s="417" t="s">
        <v>28840</v>
      </c>
    </row>
    <row r="9337" spans="1:13" x14ac:dyDescent="0.25">
      <c r="A9337" s="417" t="s">
        <v>3385</v>
      </c>
      <c r="B9337" s="417" t="s">
        <v>2437</v>
      </c>
      <c r="C9337" s="417" t="s">
        <v>21114</v>
      </c>
      <c r="D9337" s="417" t="s">
        <v>397</v>
      </c>
      <c r="E9337" s="423">
        <v>0.83862964771965498</v>
      </c>
      <c r="F9337" s="423">
        <v>0.18546352794126711</v>
      </c>
      <c r="G9337" s="422">
        <v>1828.0980965145909</v>
      </c>
      <c r="H9337" s="417" t="s">
        <v>2616</v>
      </c>
      <c r="I9337" s="417" t="s">
        <v>1392</v>
      </c>
      <c r="J9337" s="417" t="s">
        <v>20833</v>
      </c>
      <c r="K9337" s="417" t="s">
        <v>21115</v>
      </c>
      <c r="L9337" s="417"/>
      <c r="M9337" s="417" t="s">
        <v>28840</v>
      </c>
    </row>
    <row r="9338" spans="1:13" x14ac:dyDescent="0.25">
      <c r="A9338" s="417" t="s">
        <v>3385</v>
      </c>
      <c r="B9338" s="417" t="s">
        <v>2437</v>
      </c>
      <c r="C9338" s="417" t="s">
        <v>21116</v>
      </c>
      <c r="D9338" s="417" t="s">
        <v>397</v>
      </c>
      <c r="E9338" s="423">
        <v>0.25224225607804412</v>
      </c>
      <c r="F9338" s="423">
        <v>1.7473442528575089E-2</v>
      </c>
      <c r="G9338" s="422">
        <v>460.84581149955642</v>
      </c>
      <c r="H9338" s="417" t="s">
        <v>2616</v>
      </c>
      <c r="I9338" s="417" t="s">
        <v>1392</v>
      </c>
      <c r="J9338" s="417" t="s">
        <v>20833</v>
      </c>
      <c r="K9338" s="417" t="s">
        <v>21117</v>
      </c>
      <c r="L9338" s="417"/>
      <c r="M9338" s="417" t="s">
        <v>28840</v>
      </c>
    </row>
    <row r="9339" spans="1:13" x14ac:dyDescent="0.25">
      <c r="A9339" s="417" t="s">
        <v>3385</v>
      </c>
      <c r="B9339" s="417" t="s">
        <v>2437</v>
      </c>
      <c r="C9339" s="417" t="s">
        <v>21118</v>
      </c>
      <c r="D9339" s="417" t="s">
        <v>397</v>
      </c>
      <c r="E9339" s="423">
        <v>0.25966856837516428</v>
      </c>
      <c r="F9339" s="423">
        <v>1.803569918944745E-2</v>
      </c>
      <c r="G9339" s="422">
        <v>472.16451068632631</v>
      </c>
      <c r="H9339" s="417" t="s">
        <v>2616</v>
      </c>
      <c r="I9339" s="417" t="s">
        <v>1392</v>
      </c>
      <c r="J9339" s="417" t="s">
        <v>20833</v>
      </c>
      <c r="K9339" s="417" t="s">
        <v>21119</v>
      </c>
      <c r="L9339" s="417"/>
      <c r="M9339" s="417" t="s">
        <v>28840</v>
      </c>
    </row>
    <row r="9340" spans="1:13" x14ac:dyDescent="0.25">
      <c r="A9340" s="417" t="s">
        <v>3385</v>
      </c>
      <c r="B9340" s="417" t="s">
        <v>2437</v>
      </c>
      <c r="C9340" s="417" t="s">
        <v>21120</v>
      </c>
      <c r="D9340" s="417" t="s">
        <v>397</v>
      </c>
      <c r="E9340" s="423">
        <v>0.30299604192967622</v>
      </c>
      <c r="F9340" s="423">
        <v>2.1274322835757659E-2</v>
      </c>
      <c r="G9340" s="422">
        <v>530.59762358385547</v>
      </c>
      <c r="H9340" s="417" t="s">
        <v>2616</v>
      </c>
      <c r="I9340" s="417" t="s">
        <v>1392</v>
      </c>
      <c r="J9340" s="417" t="s">
        <v>20833</v>
      </c>
      <c r="K9340" s="417" t="s">
        <v>21121</v>
      </c>
      <c r="L9340" s="417"/>
      <c r="M9340" s="417" t="s">
        <v>28840</v>
      </c>
    </row>
    <row r="9341" spans="1:13" x14ac:dyDescent="0.25">
      <c r="A9341" s="417" t="s">
        <v>3385</v>
      </c>
      <c r="B9341" s="417" t="s">
        <v>2437</v>
      </c>
      <c r="C9341" s="417" t="s">
        <v>21122</v>
      </c>
      <c r="D9341" s="417" t="s">
        <v>397</v>
      </c>
      <c r="E9341" s="423">
        <v>0.13127970224103561</v>
      </c>
      <c r="F9341" s="423">
        <v>8.9291048500702574E-3</v>
      </c>
      <c r="G9341" s="422">
        <v>234.80735572649709</v>
      </c>
      <c r="H9341" s="417" t="s">
        <v>2616</v>
      </c>
      <c r="I9341" s="417" t="s">
        <v>1392</v>
      </c>
      <c r="J9341" s="417" t="s">
        <v>20833</v>
      </c>
      <c r="K9341" s="417" t="s">
        <v>21123</v>
      </c>
      <c r="L9341" s="417"/>
      <c r="M9341" s="417" t="s">
        <v>28840</v>
      </c>
    </row>
    <row r="9342" spans="1:13" x14ac:dyDescent="0.25">
      <c r="A9342" s="417" t="s">
        <v>3385</v>
      </c>
      <c r="B9342" s="417" t="s">
        <v>2437</v>
      </c>
      <c r="C9342" s="417" t="s">
        <v>21124</v>
      </c>
      <c r="D9342" s="417" t="s">
        <v>397</v>
      </c>
      <c r="E9342" s="423">
        <v>0.13925719922934501</v>
      </c>
      <c r="F9342" s="423">
        <v>9.5256597692829521E-3</v>
      </c>
      <c r="G9342" s="422">
        <v>246.3700061861469</v>
      </c>
      <c r="H9342" s="417" t="s">
        <v>2616</v>
      </c>
      <c r="I9342" s="417" t="s">
        <v>1392</v>
      </c>
      <c r="J9342" s="417" t="s">
        <v>20833</v>
      </c>
      <c r="K9342" s="417" t="s">
        <v>21125</v>
      </c>
      <c r="L9342" s="417"/>
      <c r="M9342" s="417" t="s">
        <v>28840</v>
      </c>
    </row>
    <row r="9343" spans="1:13" x14ac:dyDescent="0.25">
      <c r="A9343" s="417" t="s">
        <v>3385</v>
      </c>
      <c r="B9343" s="417" t="s">
        <v>2437</v>
      </c>
      <c r="C9343" s="417" t="s">
        <v>21126</v>
      </c>
      <c r="D9343" s="417" t="s">
        <v>397</v>
      </c>
      <c r="E9343" s="423">
        <v>0.17080339115715459</v>
      </c>
      <c r="F9343" s="423">
        <v>1.188407901784164E-2</v>
      </c>
      <c r="G9343" s="422">
        <v>289.05691209144618</v>
      </c>
      <c r="H9343" s="417" t="s">
        <v>2616</v>
      </c>
      <c r="I9343" s="417" t="s">
        <v>1392</v>
      </c>
      <c r="J9343" s="417" t="s">
        <v>20833</v>
      </c>
      <c r="K9343" s="417" t="s">
        <v>21127</v>
      </c>
      <c r="L9343" s="417"/>
      <c r="M9343" s="417" t="s">
        <v>28840</v>
      </c>
    </row>
    <row r="9344" spans="1:13" x14ac:dyDescent="0.25">
      <c r="A9344" s="417" t="s">
        <v>3385</v>
      </c>
      <c r="B9344" s="417" t="s">
        <v>2437</v>
      </c>
      <c r="C9344" s="417" t="s">
        <v>21128</v>
      </c>
      <c r="D9344" s="417" t="s">
        <v>397</v>
      </c>
      <c r="E9344" s="423">
        <v>0.9815722749962692</v>
      </c>
      <c r="F9344" s="423">
        <v>6.8467177831738724E-2</v>
      </c>
      <c r="G9344" s="422">
        <v>2133.404619415428</v>
      </c>
      <c r="H9344" s="417" t="s">
        <v>2616</v>
      </c>
      <c r="I9344" s="417" t="s">
        <v>1392</v>
      </c>
      <c r="J9344" s="417" t="s">
        <v>20833</v>
      </c>
      <c r="K9344" s="417" t="s">
        <v>21129</v>
      </c>
      <c r="L9344" s="417"/>
      <c r="M9344" s="417" t="s">
        <v>28840</v>
      </c>
    </row>
    <row r="9345" spans="1:13" x14ac:dyDescent="0.25">
      <c r="A9345" s="417" t="s">
        <v>3385</v>
      </c>
      <c r="B9345" s="417" t="s">
        <v>2437</v>
      </c>
      <c r="C9345" s="417" t="s">
        <v>21130</v>
      </c>
      <c r="D9345" s="417" t="s">
        <v>397</v>
      </c>
      <c r="E9345" s="423">
        <v>0.95042304951863343</v>
      </c>
      <c r="F9345" s="423">
        <v>6.631394118270334E-2</v>
      </c>
      <c r="G9345" s="422">
        <v>2092.5091219262808</v>
      </c>
      <c r="H9345" s="417" t="s">
        <v>2616</v>
      </c>
      <c r="I9345" s="417" t="s">
        <v>1392</v>
      </c>
      <c r="J9345" s="417" t="s">
        <v>20833</v>
      </c>
      <c r="K9345" s="417" t="s">
        <v>21131</v>
      </c>
      <c r="L9345" s="417"/>
      <c r="M9345" s="417" t="s">
        <v>28840</v>
      </c>
    </row>
    <row r="9346" spans="1:13" x14ac:dyDescent="0.25">
      <c r="A9346" s="417" t="s">
        <v>3385</v>
      </c>
      <c r="B9346" s="417" t="s">
        <v>2437</v>
      </c>
      <c r="C9346" s="417" t="s">
        <v>21132</v>
      </c>
      <c r="D9346" s="417" t="s">
        <v>397</v>
      </c>
      <c r="E9346" s="423">
        <v>0.97244210447791235</v>
      </c>
      <c r="F9346" s="423">
        <v>6.8132154456496133E-2</v>
      </c>
      <c r="G9346" s="422">
        <v>2133.6753916988509</v>
      </c>
      <c r="H9346" s="417" t="s">
        <v>2616</v>
      </c>
      <c r="I9346" s="417" t="s">
        <v>1392</v>
      </c>
      <c r="J9346" s="417" t="s">
        <v>20833</v>
      </c>
      <c r="K9346" s="417" t="s">
        <v>21133</v>
      </c>
      <c r="L9346" s="417"/>
      <c r="M9346" s="417" t="s">
        <v>28840</v>
      </c>
    </row>
    <row r="9347" spans="1:13" x14ac:dyDescent="0.25">
      <c r="A9347" s="417" t="s">
        <v>3385</v>
      </c>
      <c r="B9347" s="417" t="s">
        <v>2437</v>
      </c>
      <c r="C9347" s="417" t="s">
        <v>21134</v>
      </c>
      <c r="D9347" s="417" t="s">
        <v>397</v>
      </c>
      <c r="E9347" s="423">
        <v>0.13648403584766139</v>
      </c>
      <c r="F9347" s="423">
        <v>9.1577707760267333E-3</v>
      </c>
      <c r="G9347" s="422">
        <v>239.90136696380711</v>
      </c>
      <c r="H9347" s="417" t="s">
        <v>2616</v>
      </c>
      <c r="I9347" s="417" t="s">
        <v>1392</v>
      </c>
      <c r="J9347" s="417" t="s">
        <v>20833</v>
      </c>
      <c r="K9347" s="417" t="s">
        <v>21135</v>
      </c>
      <c r="L9347" s="417"/>
      <c r="M9347" s="417" t="s">
        <v>28840</v>
      </c>
    </row>
    <row r="9348" spans="1:13" x14ac:dyDescent="0.25">
      <c r="A9348" s="417" t="s">
        <v>3385</v>
      </c>
      <c r="B9348" s="417" t="s">
        <v>2437</v>
      </c>
      <c r="C9348" s="417" t="s">
        <v>21136</v>
      </c>
      <c r="D9348" s="417" t="s">
        <v>397</v>
      </c>
      <c r="E9348" s="423">
        <v>0.14328652385593721</v>
      </c>
      <c r="F9348" s="423">
        <v>9.6677829671095242E-3</v>
      </c>
      <c r="G9348" s="422">
        <v>249.62517523828959</v>
      </c>
      <c r="H9348" s="417" t="s">
        <v>2616</v>
      </c>
      <c r="I9348" s="417" t="s">
        <v>1392</v>
      </c>
      <c r="J9348" s="417" t="s">
        <v>20833</v>
      </c>
      <c r="K9348" s="417" t="s">
        <v>21137</v>
      </c>
      <c r="L9348" s="417"/>
      <c r="M9348" s="417" t="s">
        <v>28840</v>
      </c>
    </row>
    <row r="9349" spans="1:13" x14ac:dyDescent="0.25">
      <c r="A9349" s="417" t="s">
        <v>3385</v>
      </c>
      <c r="B9349" s="417" t="s">
        <v>2437</v>
      </c>
      <c r="C9349" s="417" t="s">
        <v>21138</v>
      </c>
      <c r="D9349" s="417" t="s">
        <v>397</v>
      </c>
      <c r="E9349" s="423">
        <v>0.16409740948260729</v>
      </c>
      <c r="F9349" s="423">
        <v>1.12274666455459E-2</v>
      </c>
      <c r="G9349" s="422">
        <v>277.25516308036259</v>
      </c>
      <c r="H9349" s="417" t="s">
        <v>2616</v>
      </c>
      <c r="I9349" s="417" t="s">
        <v>1392</v>
      </c>
      <c r="J9349" s="417" t="s">
        <v>20833</v>
      </c>
      <c r="K9349" s="417" t="s">
        <v>21139</v>
      </c>
      <c r="L9349" s="417"/>
      <c r="M9349" s="417" t="s">
        <v>28840</v>
      </c>
    </row>
    <row r="9350" spans="1:13" x14ac:dyDescent="0.25">
      <c r="A9350" s="417" t="s">
        <v>3385</v>
      </c>
      <c r="B9350" s="417" t="s">
        <v>2437</v>
      </c>
      <c r="C9350" s="417" t="s">
        <v>21140</v>
      </c>
      <c r="D9350" s="417" t="s">
        <v>397</v>
      </c>
      <c r="E9350" s="423">
        <v>0.152789548744589</v>
      </c>
      <c r="F9350" s="423">
        <v>1.0177663771416519E-2</v>
      </c>
      <c r="G9350" s="422">
        <v>267.94152551183618</v>
      </c>
      <c r="H9350" s="417" t="s">
        <v>2616</v>
      </c>
      <c r="I9350" s="417" t="s">
        <v>1392</v>
      </c>
      <c r="J9350" s="417" t="s">
        <v>20833</v>
      </c>
      <c r="K9350" s="417" t="s">
        <v>21141</v>
      </c>
      <c r="L9350" s="417"/>
      <c r="M9350" s="417" t="s">
        <v>28840</v>
      </c>
    </row>
    <row r="9351" spans="1:13" x14ac:dyDescent="0.25">
      <c r="A9351" s="417" t="s">
        <v>3385</v>
      </c>
      <c r="B9351" s="417" t="s">
        <v>2437</v>
      </c>
      <c r="C9351" s="417" t="s">
        <v>21142</v>
      </c>
      <c r="D9351" s="417" t="s">
        <v>397</v>
      </c>
      <c r="E9351" s="423">
        <v>0.15948262565894511</v>
      </c>
      <c r="F9351" s="423">
        <v>1.06839913581131E-2</v>
      </c>
      <c r="G9351" s="422">
        <v>277.524189178185</v>
      </c>
      <c r="H9351" s="417" t="s">
        <v>2616</v>
      </c>
      <c r="I9351" s="417" t="s">
        <v>1392</v>
      </c>
      <c r="J9351" s="417" t="s">
        <v>20833</v>
      </c>
      <c r="K9351" s="417" t="s">
        <v>21143</v>
      </c>
      <c r="L9351" s="417"/>
      <c r="M9351" s="417" t="s">
        <v>28840</v>
      </c>
    </row>
    <row r="9352" spans="1:13" x14ac:dyDescent="0.25">
      <c r="A9352" s="417" t="s">
        <v>3385</v>
      </c>
      <c r="B9352" s="417" t="s">
        <v>2437</v>
      </c>
      <c r="C9352" s="417" t="s">
        <v>21144</v>
      </c>
      <c r="D9352" s="417" t="s">
        <v>397</v>
      </c>
      <c r="E9352" s="423">
        <v>0.1876643082942796</v>
      </c>
      <c r="F9352" s="423">
        <v>1.278847712956885E-2</v>
      </c>
      <c r="G9352" s="422">
        <v>315.19164034348222</v>
      </c>
      <c r="H9352" s="417" t="s">
        <v>2616</v>
      </c>
      <c r="I9352" s="417" t="s">
        <v>1392</v>
      </c>
      <c r="J9352" s="417" t="s">
        <v>20833</v>
      </c>
      <c r="K9352" s="417" t="s">
        <v>21145</v>
      </c>
      <c r="L9352" s="417"/>
      <c r="M9352" s="417" t="s">
        <v>28840</v>
      </c>
    </row>
    <row r="9353" spans="1:13" x14ac:dyDescent="0.25">
      <c r="A9353" s="417" t="s">
        <v>3385</v>
      </c>
      <c r="B9353" s="417" t="s">
        <v>2437</v>
      </c>
      <c r="C9353" s="417" t="s">
        <v>21146</v>
      </c>
      <c r="D9353" s="417" t="s">
        <v>397</v>
      </c>
      <c r="E9353" s="423">
        <v>0.83983412741167141</v>
      </c>
      <c r="F9353" s="423">
        <v>5.6795790129438209E-2</v>
      </c>
      <c r="G9353" s="422">
        <v>1681.653086128862</v>
      </c>
      <c r="H9353" s="417" t="s">
        <v>2616</v>
      </c>
      <c r="I9353" s="417" t="s">
        <v>1392</v>
      </c>
      <c r="J9353" s="417" t="s">
        <v>20833</v>
      </c>
      <c r="K9353" s="417" t="s">
        <v>21147</v>
      </c>
      <c r="L9353" s="417"/>
      <c r="M9353" s="417" t="s">
        <v>28840</v>
      </c>
    </row>
    <row r="9354" spans="1:13" x14ac:dyDescent="0.25">
      <c r="A9354" s="417" t="s">
        <v>3385</v>
      </c>
      <c r="B9354" s="417" t="s">
        <v>2437</v>
      </c>
      <c r="C9354" s="417" t="s">
        <v>21148</v>
      </c>
      <c r="D9354" s="417" t="s">
        <v>397</v>
      </c>
      <c r="E9354" s="423">
        <v>0.79906163834691213</v>
      </c>
      <c r="F9354" s="423">
        <v>5.3851980392119463E-2</v>
      </c>
      <c r="G9354" s="422">
        <v>1628.2891620462599</v>
      </c>
      <c r="H9354" s="417" t="s">
        <v>2616</v>
      </c>
      <c r="I9354" s="417" t="s">
        <v>1392</v>
      </c>
      <c r="J9354" s="417" t="s">
        <v>20833</v>
      </c>
      <c r="K9354" s="417" t="s">
        <v>21149</v>
      </c>
      <c r="L9354" s="417"/>
      <c r="M9354" s="417" t="s">
        <v>28840</v>
      </c>
    </row>
    <row r="9355" spans="1:13" x14ac:dyDescent="0.25">
      <c r="A9355" s="417" t="s">
        <v>3385</v>
      </c>
      <c r="B9355" s="417" t="s">
        <v>2437</v>
      </c>
      <c r="C9355" s="417" t="s">
        <v>21150</v>
      </c>
      <c r="D9355" s="417" t="s">
        <v>397</v>
      </c>
      <c r="E9355" s="423">
        <v>0.83462230247347957</v>
      </c>
      <c r="F9355" s="423">
        <v>5.6602545352054903E-2</v>
      </c>
      <c r="G9355" s="422">
        <v>1685.290853303934</v>
      </c>
      <c r="H9355" s="417" t="s">
        <v>2616</v>
      </c>
      <c r="I9355" s="417" t="s">
        <v>1392</v>
      </c>
      <c r="J9355" s="417" t="s">
        <v>20833</v>
      </c>
      <c r="K9355" s="417" t="s">
        <v>21151</v>
      </c>
      <c r="L9355" s="417"/>
      <c r="M9355" s="417" t="s">
        <v>28840</v>
      </c>
    </row>
    <row r="9356" spans="1:13" x14ac:dyDescent="0.25">
      <c r="A9356" s="417" t="s">
        <v>3385</v>
      </c>
      <c r="B9356" s="417" t="s">
        <v>2437</v>
      </c>
      <c r="C9356" s="417" t="s">
        <v>21152</v>
      </c>
      <c r="D9356" s="417" t="s">
        <v>397</v>
      </c>
      <c r="E9356" s="423">
        <v>0.27830156505477172</v>
      </c>
      <c r="F9356" s="423">
        <v>1.9419652389547268E-2</v>
      </c>
      <c r="G9356" s="422">
        <v>758.83007012702649</v>
      </c>
      <c r="H9356" s="417" t="s">
        <v>2616</v>
      </c>
      <c r="I9356" s="417" t="s">
        <v>1392</v>
      </c>
      <c r="J9356" s="417" t="s">
        <v>20833</v>
      </c>
      <c r="K9356" s="417" t="s">
        <v>21153</v>
      </c>
      <c r="L9356" s="417"/>
      <c r="M9356" s="417" t="s">
        <v>28840</v>
      </c>
    </row>
    <row r="9357" spans="1:13" x14ac:dyDescent="0.25">
      <c r="A9357" s="417" t="s">
        <v>3385</v>
      </c>
      <c r="B9357" s="417" t="s">
        <v>2437</v>
      </c>
      <c r="C9357" s="417" t="s">
        <v>21154</v>
      </c>
      <c r="D9357" s="417" t="s">
        <v>397</v>
      </c>
      <c r="E9357" s="423">
        <v>0.2376125684063834</v>
      </c>
      <c r="F9357" s="423">
        <v>2.2732024601920219E-2</v>
      </c>
      <c r="G9357" s="422">
        <v>660.02940821997242</v>
      </c>
      <c r="H9357" s="417" t="s">
        <v>2616</v>
      </c>
      <c r="I9357" s="417" t="s">
        <v>1392</v>
      </c>
      <c r="J9357" s="417" t="s">
        <v>20833</v>
      </c>
      <c r="K9357" s="417" t="s">
        <v>21155</v>
      </c>
      <c r="L9357" s="417"/>
      <c r="M9357" s="417" t="s">
        <v>28840</v>
      </c>
    </row>
    <row r="9358" spans="1:13" x14ac:dyDescent="0.25">
      <c r="A9358" s="417" t="s">
        <v>3385</v>
      </c>
      <c r="B9358" s="417" t="s">
        <v>2437</v>
      </c>
      <c r="C9358" s="417" t="s">
        <v>21156</v>
      </c>
      <c r="D9358" s="417" t="s">
        <v>397</v>
      </c>
      <c r="E9358" s="423">
        <v>0.28779274353546203</v>
      </c>
      <c r="F9358" s="423">
        <v>2.0148720874206771E-2</v>
      </c>
      <c r="G9358" s="422">
        <v>785.36611497957529</v>
      </c>
      <c r="H9358" s="417" t="s">
        <v>2616</v>
      </c>
      <c r="I9358" s="417" t="s">
        <v>1392</v>
      </c>
      <c r="J9358" s="417" t="s">
        <v>20833</v>
      </c>
      <c r="K9358" s="417" t="s">
        <v>21157</v>
      </c>
      <c r="L9358" s="417"/>
      <c r="M9358" s="417" t="s">
        <v>28840</v>
      </c>
    </row>
    <row r="9359" spans="1:13" x14ac:dyDescent="0.25">
      <c r="A9359" s="417" t="s">
        <v>3385</v>
      </c>
      <c r="B9359" s="417" t="s">
        <v>2437</v>
      </c>
      <c r="C9359" s="417" t="s">
        <v>21158</v>
      </c>
      <c r="D9359" s="417" t="s">
        <v>397</v>
      </c>
      <c r="E9359" s="423">
        <v>0.68709313901271363</v>
      </c>
      <c r="F9359" s="423">
        <v>6.6068424607942128E-2</v>
      </c>
      <c r="G9359" s="422">
        <v>1782.7223367813999</v>
      </c>
      <c r="H9359" s="417" t="s">
        <v>2616</v>
      </c>
      <c r="I9359" s="417" t="s">
        <v>1392</v>
      </c>
      <c r="J9359" s="417" t="s">
        <v>20833</v>
      </c>
      <c r="K9359" s="417" t="s">
        <v>21159</v>
      </c>
      <c r="L9359" s="417"/>
      <c r="M9359" s="417" t="s">
        <v>28840</v>
      </c>
    </row>
    <row r="9360" spans="1:13" x14ac:dyDescent="0.25">
      <c r="A9360" s="417" t="s">
        <v>3385</v>
      </c>
      <c r="B9360" s="417" t="s">
        <v>2437</v>
      </c>
      <c r="C9360" s="417" t="s">
        <v>21160</v>
      </c>
      <c r="D9360" s="417" t="s">
        <v>397</v>
      </c>
      <c r="E9360" s="423">
        <v>0.35110946734029158</v>
      </c>
      <c r="F9360" s="423">
        <v>2.4925772478380199E-2</v>
      </c>
      <c r="G9360" s="422">
        <v>952.2810014938525</v>
      </c>
      <c r="H9360" s="417" t="s">
        <v>2616</v>
      </c>
      <c r="I9360" s="417" t="s">
        <v>1392</v>
      </c>
      <c r="J9360" s="417" t="s">
        <v>20833</v>
      </c>
      <c r="K9360" s="417" t="s">
        <v>21161</v>
      </c>
      <c r="L9360" s="417"/>
      <c r="M9360" s="417" t="s">
        <v>28840</v>
      </c>
    </row>
    <row r="9361" spans="1:13" x14ac:dyDescent="0.25">
      <c r="A9361" s="417" t="s">
        <v>3385</v>
      </c>
      <c r="B9361" s="417" t="s">
        <v>2437</v>
      </c>
      <c r="C9361" s="417" t="s">
        <v>21162</v>
      </c>
      <c r="D9361" s="417" t="s">
        <v>397</v>
      </c>
      <c r="E9361" s="423">
        <v>0.81508642073335036</v>
      </c>
      <c r="F9361" s="423">
        <v>8.0857417848550758E-2</v>
      </c>
      <c r="G9361" s="422">
        <v>2125.119416913853</v>
      </c>
      <c r="H9361" s="417" t="s">
        <v>2616</v>
      </c>
      <c r="I9361" s="417" t="s">
        <v>1392</v>
      </c>
      <c r="J9361" s="417" t="s">
        <v>20833</v>
      </c>
      <c r="K9361" s="417" t="s">
        <v>21163</v>
      </c>
      <c r="L9361" s="417"/>
      <c r="M9361" s="417" t="s">
        <v>28840</v>
      </c>
    </row>
    <row r="9362" spans="1:13" x14ac:dyDescent="0.25">
      <c r="A9362" s="417" t="s">
        <v>3385</v>
      </c>
      <c r="B9362" s="417" t="s">
        <v>2437</v>
      </c>
      <c r="C9362" s="417" t="s">
        <v>21164</v>
      </c>
      <c r="D9362" s="417" t="s">
        <v>397</v>
      </c>
      <c r="E9362" s="423">
        <v>0.27834464381507112</v>
      </c>
      <c r="F9362" s="423">
        <v>1.938881421810178E-2</v>
      </c>
      <c r="G9362" s="422">
        <v>536.19485282167227</v>
      </c>
      <c r="H9362" s="417" t="s">
        <v>2616</v>
      </c>
      <c r="I9362" s="417" t="s">
        <v>1392</v>
      </c>
      <c r="J9362" s="417" t="s">
        <v>20833</v>
      </c>
      <c r="K9362" s="417" t="s">
        <v>21165</v>
      </c>
      <c r="L9362" s="417"/>
      <c r="M9362" s="417" t="s">
        <v>28840</v>
      </c>
    </row>
    <row r="9363" spans="1:13" x14ac:dyDescent="0.25">
      <c r="A9363" s="417" t="s">
        <v>3385</v>
      </c>
      <c r="B9363" s="417" t="s">
        <v>2437</v>
      </c>
      <c r="C9363" s="417" t="s">
        <v>21166</v>
      </c>
      <c r="D9363" s="417" t="s">
        <v>397</v>
      </c>
      <c r="E9363" s="423">
        <v>0.23778063034173499</v>
      </c>
      <c r="F9363" s="423">
        <v>2.26816516516163E-2</v>
      </c>
      <c r="G9363" s="422">
        <v>489.87466081345258</v>
      </c>
      <c r="H9363" s="417" t="s">
        <v>2616</v>
      </c>
      <c r="I9363" s="417" t="s">
        <v>1392</v>
      </c>
      <c r="J9363" s="417" t="s">
        <v>20833</v>
      </c>
      <c r="K9363" s="417" t="s">
        <v>21167</v>
      </c>
      <c r="L9363" s="417"/>
      <c r="M9363" s="417" t="s">
        <v>28840</v>
      </c>
    </row>
    <row r="9364" spans="1:13" x14ac:dyDescent="0.25">
      <c r="A9364" s="417" t="s">
        <v>3385</v>
      </c>
      <c r="B9364" s="417" t="s">
        <v>2437</v>
      </c>
      <c r="C9364" s="417" t="s">
        <v>21168</v>
      </c>
      <c r="D9364" s="417" t="s">
        <v>397</v>
      </c>
      <c r="E9364" s="423">
        <v>0.28785577024742559</v>
      </c>
      <c r="F9364" s="423">
        <v>2.0117910230157399E-2</v>
      </c>
      <c r="G9364" s="422">
        <v>552.72984103889894</v>
      </c>
      <c r="H9364" s="417" t="s">
        <v>2616</v>
      </c>
      <c r="I9364" s="417" t="s">
        <v>1392</v>
      </c>
      <c r="J9364" s="417" t="s">
        <v>20833</v>
      </c>
      <c r="K9364" s="417" t="s">
        <v>21169</v>
      </c>
      <c r="L9364" s="417"/>
      <c r="M9364" s="417" t="s">
        <v>28840</v>
      </c>
    </row>
    <row r="9365" spans="1:13" x14ac:dyDescent="0.25">
      <c r="A9365" s="417" t="s">
        <v>3385</v>
      </c>
      <c r="B9365" s="417" t="s">
        <v>2437</v>
      </c>
      <c r="C9365" s="417" t="s">
        <v>21170</v>
      </c>
      <c r="D9365" s="417" t="s">
        <v>397</v>
      </c>
      <c r="E9365" s="423">
        <v>0.68668940287335878</v>
      </c>
      <c r="F9365" s="423">
        <v>6.6053241262662626E-2</v>
      </c>
      <c r="G9365" s="422">
        <v>1285.9948803699181</v>
      </c>
      <c r="H9365" s="417" t="s">
        <v>2616</v>
      </c>
      <c r="I9365" s="417" t="s">
        <v>1392</v>
      </c>
      <c r="J9365" s="417" t="s">
        <v>20833</v>
      </c>
      <c r="K9365" s="417" t="s">
        <v>21171</v>
      </c>
      <c r="L9365" s="417"/>
      <c r="M9365" s="417" t="s">
        <v>28840</v>
      </c>
    </row>
    <row r="9366" spans="1:13" x14ac:dyDescent="0.25">
      <c r="A9366" s="417" t="s">
        <v>3385</v>
      </c>
      <c r="B9366" s="417" t="s">
        <v>2437</v>
      </c>
      <c r="C9366" s="417" t="s">
        <v>21172</v>
      </c>
      <c r="D9366" s="417" t="s">
        <v>397</v>
      </c>
      <c r="E9366" s="423">
        <v>0.35093721733289202</v>
      </c>
      <c r="F9366" s="423">
        <v>2.4866486368985311E-2</v>
      </c>
      <c r="G9366" s="422">
        <v>655.26062149359132</v>
      </c>
      <c r="H9366" s="417" t="s">
        <v>2616</v>
      </c>
      <c r="I9366" s="417" t="s">
        <v>1392</v>
      </c>
      <c r="J9366" s="417" t="s">
        <v>20833</v>
      </c>
      <c r="K9366" s="417" t="s">
        <v>21173</v>
      </c>
      <c r="L9366" s="417"/>
      <c r="M9366" s="417" t="s">
        <v>28840</v>
      </c>
    </row>
    <row r="9367" spans="1:13" x14ac:dyDescent="0.25">
      <c r="A9367" s="417" t="s">
        <v>3385</v>
      </c>
      <c r="B9367" s="417" t="s">
        <v>2437</v>
      </c>
      <c r="C9367" s="417" t="s">
        <v>21174</v>
      </c>
      <c r="D9367" s="417" t="s">
        <v>397</v>
      </c>
      <c r="E9367" s="423">
        <v>0.81497057725582667</v>
      </c>
      <c r="F9367" s="423">
        <v>8.0742234504324148E-2</v>
      </c>
      <c r="G9367" s="422">
        <v>1499.854221607859</v>
      </c>
      <c r="H9367" s="417" t="s">
        <v>2616</v>
      </c>
      <c r="I9367" s="417" t="s">
        <v>1392</v>
      </c>
      <c r="J9367" s="417" t="s">
        <v>20833</v>
      </c>
      <c r="K9367" s="417" t="s">
        <v>21175</v>
      </c>
      <c r="L9367" s="417"/>
      <c r="M9367" s="417" t="s">
        <v>28840</v>
      </c>
    </row>
    <row r="9368" spans="1:13" x14ac:dyDescent="0.25">
      <c r="A9368" s="417" t="s">
        <v>3385</v>
      </c>
      <c r="B9368" s="417" t="s">
        <v>2437</v>
      </c>
      <c r="C9368" s="417" t="s">
        <v>21176</v>
      </c>
      <c r="D9368" s="417" t="s">
        <v>397</v>
      </c>
      <c r="E9368" s="423">
        <v>0.27924986539576419</v>
      </c>
      <c r="F9368" s="423">
        <v>1.9354418178321831E-2</v>
      </c>
      <c r="G9368" s="422">
        <v>553.02743507988623</v>
      </c>
      <c r="H9368" s="417" t="s">
        <v>2616</v>
      </c>
      <c r="I9368" s="417" t="s">
        <v>1392</v>
      </c>
      <c r="J9368" s="417" t="s">
        <v>20833</v>
      </c>
      <c r="K9368" s="417" t="s">
        <v>21177</v>
      </c>
      <c r="L9368" s="417"/>
      <c r="M9368" s="417" t="s">
        <v>28840</v>
      </c>
    </row>
    <row r="9369" spans="1:13" x14ac:dyDescent="0.25">
      <c r="A9369" s="417" t="s">
        <v>3385</v>
      </c>
      <c r="B9369" s="417" t="s">
        <v>2437</v>
      </c>
      <c r="C9369" s="417" t="s">
        <v>21178</v>
      </c>
      <c r="D9369" s="417" t="s">
        <v>397</v>
      </c>
      <c r="E9369" s="423">
        <v>0.2386657928707184</v>
      </c>
      <c r="F9369" s="423">
        <v>2.266424288782759E-2</v>
      </c>
      <c r="G9369" s="422">
        <v>502.59781603761269</v>
      </c>
      <c r="H9369" s="417" t="s">
        <v>2616</v>
      </c>
      <c r="I9369" s="417" t="s">
        <v>1392</v>
      </c>
      <c r="J9369" s="417" t="s">
        <v>20833</v>
      </c>
      <c r="K9369" s="417" t="s">
        <v>21179</v>
      </c>
      <c r="L9369" s="417"/>
      <c r="M9369" s="417" t="s">
        <v>28840</v>
      </c>
    </row>
    <row r="9370" spans="1:13" x14ac:dyDescent="0.25">
      <c r="A9370" s="417" t="s">
        <v>3385</v>
      </c>
      <c r="B9370" s="417" t="s">
        <v>2437</v>
      </c>
      <c r="C9370" s="417" t="s">
        <v>21180</v>
      </c>
      <c r="D9370" s="417" t="s">
        <v>397</v>
      </c>
      <c r="E9370" s="423">
        <v>0.28855784607425461</v>
      </c>
      <c r="F9370" s="423">
        <v>2.005859660342324E-2</v>
      </c>
      <c r="G9370" s="422">
        <v>569.91512915677527</v>
      </c>
      <c r="H9370" s="417" t="s">
        <v>2616</v>
      </c>
      <c r="I9370" s="417" t="s">
        <v>1392</v>
      </c>
      <c r="J9370" s="417" t="s">
        <v>20833</v>
      </c>
      <c r="K9370" s="417" t="s">
        <v>21181</v>
      </c>
      <c r="L9370" s="417"/>
      <c r="M9370" s="417" t="s">
        <v>28840</v>
      </c>
    </row>
    <row r="9371" spans="1:13" x14ac:dyDescent="0.25">
      <c r="A9371" s="417" t="s">
        <v>3385</v>
      </c>
      <c r="B9371" s="417" t="s">
        <v>2437</v>
      </c>
      <c r="C9371" s="417" t="s">
        <v>21182</v>
      </c>
      <c r="D9371" s="417" t="s">
        <v>397</v>
      </c>
      <c r="E9371" s="423">
        <v>0.68856444701228792</v>
      </c>
      <c r="F9371" s="423">
        <v>6.5941502640868219E-2</v>
      </c>
      <c r="G9371" s="422">
        <v>1323.0000485663411</v>
      </c>
      <c r="H9371" s="417" t="s">
        <v>2616</v>
      </c>
      <c r="I9371" s="417" t="s">
        <v>1392</v>
      </c>
      <c r="J9371" s="417" t="s">
        <v>20833</v>
      </c>
      <c r="K9371" s="417" t="s">
        <v>21183</v>
      </c>
      <c r="L9371" s="417"/>
      <c r="M9371" s="417" t="s">
        <v>28840</v>
      </c>
    </row>
    <row r="9372" spans="1:13" x14ac:dyDescent="0.25">
      <c r="A9372" s="417" t="s">
        <v>3385</v>
      </c>
      <c r="B9372" s="417" t="s">
        <v>2437</v>
      </c>
      <c r="C9372" s="417" t="s">
        <v>21184</v>
      </c>
      <c r="D9372" s="417" t="s">
        <v>397</v>
      </c>
      <c r="E9372" s="423">
        <v>0.35201572213179272</v>
      </c>
      <c r="F9372" s="423">
        <v>2.480606907497376E-2</v>
      </c>
      <c r="G9372" s="422">
        <v>677.08848948823243</v>
      </c>
      <c r="H9372" s="417" t="s">
        <v>2616</v>
      </c>
      <c r="I9372" s="417" t="s">
        <v>1392</v>
      </c>
      <c r="J9372" s="417" t="s">
        <v>20833</v>
      </c>
      <c r="K9372" s="417" t="s">
        <v>21185</v>
      </c>
      <c r="L9372" s="417"/>
      <c r="M9372" s="417" t="s">
        <v>28840</v>
      </c>
    </row>
    <row r="9373" spans="1:13" x14ac:dyDescent="0.25">
      <c r="A9373" s="417" t="s">
        <v>3385</v>
      </c>
      <c r="B9373" s="417" t="s">
        <v>2437</v>
      </c>
      <c r="C9373" s="417" t="s">
        <v>21186</v>
      </c>
      <c r="D9373" s="417" t="s">
        <v>397</v>
      </c>
      <c r="E9373" s="423">
        <v>0.8155981290689015</v>
      </c>
      <c r="F9373" s="423">
        <v>8.035636413860868E-2</v>
      </c>
      <c r="G9373" s="422">
        <v>1542.8567781214249</v>
      </c>
      <c r="H9373" s="417" t="s">
        <v>2616</v>
      </c>
      <c r="I9373" s="417" t="s">
        <v>1392</v>
      </c>
      <c r="J9373" s="417" t="s">
        <v>20833</v>
      </c>
      <c r="K9373" s="417" t="s">
        <v>21187</v>
      </c>
      <c r="L9373" s="417"/>
      <c r="M9373" s="417" t="s">
        <v>28840</v>
      </c>
    </row>
    <row r="9374" spans="1:13" x14ac:dyDescent="0.25">
      <c r="A9374" s="417" t="s">
        <v>3385</v>
      </c>
      <c r="B9374" s="417" t="s">
        <v>2437</v>
      </c>
      <c r="C9374" s="417" t="s">
        <v>21188</v>
      </c>
      <c r="D9374" s="417" t="s">
        <v>397</v>
      </c>
      <c r="E9374" s="423">
        <v>0.27146513160258823</v>
      </c>
      <c r="F9374" s="423">
        <v>1.8864570280630322E-2</v>
      </c>
      <c r="G9374" s="422">
        <v>486.72394638975311</v>
      </c>
      <c r="H9374" s="417" t="s">
        <v>2616</v>
      </c>
      <c r="I9374" s="417" t="s">
        <v>1392</v>
      </c>
      <c r="J9374" s="417" t="s">
        <v>20833</v>
      </c>
      <c r="K9374" s="417" t="s">
        <v>21189</v>
      </c>
      <c r="L9374" s="417"/>
      <c r="M9374" s="417" t="s">
        <v>28840</v>
      </c>
    </row>
    <row r="9375" spans="1:13" x14ac:dyDescent="0.25">
      <c r="A9375" s="417" t="s">
        <v>3385</v>
      </c>
      <c r="B9375" s="417" t="s">
        <v>2437</v>
      </c>
      <c r="C9375" s="417" t="s">
        <v>21190</v>
      </c>
      <c r="D9375" s="417" t="s">
        <v>397</v>
      </c>
      <c r="E9375" s="423">
        <v>0.23148635626189329</v>
      </c>
      <c r="F9375" s="423">
        <v>2.207130067998081E-2</v>
      </c>
      <c r="G9375" s="422">
        <v>447.8046389491858</v>
      </c>
      <c r="H9375" s="417" t="s">
        <v>2616</v>
      </c>
      <c r="I9375" s="417" t="s">
        <v>1392</v>
      </c>
      <c r="J9375" s="417" t="s">
        <v>20833</v>
      </c>
      <c r="K9375" s="417" t="s">
        <v>21191</v>
      </c>
      <c r="L9375" s="417"/>
      <c r="M9375" s="417" t="s">
        <v>28840</v>
      </c>
    </row>
    <row r="9376" spans="1:13" x14ac:dyDescent="0.25">
      <c r="A9376" s="417" t="s">
        <v>3385</v>
      </c>
      <c r="B9376" s="417" t="s">
        <v>2437</v>
      </c>
      <c r="C9376" s="417" t="s">
        <v>21192</v>
      </c>
      <c r="D9376" s="417" t="s">
        <v>397</v>
      </c>
      <c r="E9376" s="423">
        <v>0.27953316550853502</v>
      </c>
      <c r="F9376" s="423">
        <v>1.94799769784871E-2</v>
      </c>
      <c r="G9376" s="422">
        <v>499.63093989496127</v>
      </c>
      <c r="H9376" s="417" t="s">
        <v>2616</v>
      </c>
      <c r="I9376" s="417" t="s">
        <v>1392</v>
      </c>
      <c r="J9376" s="417" t="s">
        <v>20833</v>
      </c>
      <c r="K9376" s="417" t="s">
        <v>21193</v>
      </c>
      <c r="L9376" s="417"/>
      <c r="M9376" s="417" t="s">
        <v>28840</v>
      </c>
    </row>
    <row r="9377" spans="1:13" x14ac:dyDescent="0.25">
      <c r="A9377" s="417" t="s">
        <v>3385</v>
      </c>
      <c r="B9377" s="417" t="s">
        <v>2437</v>
      </c>
      <c r="C9377" s="417" t="s">
        <v>21194</v>
      </c>
      <c r="D9377" s="417" t="s">
        <v>397</v>
      </c>
      <c r="E9377" s="423">
        <v>0.66508527848068655</v>
      </c>
      <c r="F9377" s="423">
        <v>6.3832159108538206E-2</v>
      </c>
      <c r="G9377" s="422">
        <v>1159.8814953521271</v>
      </c>
      <c r="H9377" s="417" t="s">
        <v>2616</v>
      </c>
      <c r="I9377" s="417" t="s">
        <v>1392</v>
      </c>
      <c r="J9377" s="417" t="s">
        <v>20833</v>
      </c>
      <c r="K9377" s="417" t="s">
        <v>21195</v>
      </c>
      <c r="L9377" s="417"/>
      <c r="M9377" s="417" t="s">
        <v>28840</v>
      </c>
    </row>
    <row r="9378" spans="1:13" x14ac:dyDescent="0.25">
      <c r="A9378" s="417" t="s">
        <v>3385</v>
      </c>
      <c r="B9378" s="417" t="s">
        <v>2437</v>
      </c>
      <c r="C9378" s="417" t="s">
        <v>21196</v>
      </c>
      <c r="D9378" s="417" t="s">
        <v>397</v>
      </c>
      <c r="E9378" s="423">
        <v>0.33850507731111168</v>
      </c>
      <c r="F9378" s="423">
        <v>2.3886150779580711E-2</v>
      </c>
      <c r="G9378" s="422">
        <v>584.97827766978344</v>
      </c>
      <c r="H9378" s="417" t="s">
        <v>2616</v>
      </c>
      <c r="I9378" s="417" t="s">
        <v>1392</v>
      </c>
      <c r="J9378" s="417" t="s">
        <v>20833</v>
      </c>
      <c r="K9378" s="417" t="s">
        <v>21197</v>
      </c>
      <c r="L9378" s="417"/>
      <c r="M9378" s="417" t="s">
        <v>28840</v>
      </c>
    </row>
    <row r="9379" spans="1:13" x14ac:dyDescent="0.25">
      <c r="A9379" s="417" t="s">
        <v>3385</v>
      </c>
      <c r="B9379" s="417" t="s">
        <v>2437</v>
      </c>
      <c r="C9379" s="417" t="s">
        <v>21198</v>
      </c>
      <c r="D9379" s="417" t="s">
        <v>397</v>
      </c>
      <c r="E9379" s="423">
        <v>0.78372461606689037</v>
      </c>
      <c r="F9379" s="423">
        <v>7.7222489649171999E-2</v>
      </c>
      <c r="G9379" s="422">
        <v>1334.4087993056819</v>
      </c>
      <c r="H9379" s="417" t="s">
        <v>2616</v>
      </c>
      <c r="I9379" s="417" t="s">
        <v>1392</v>
      </c>
      <c r="J9379" s="417" t="s">
        <v>20833</v>
      </c>
      <c r="K9379" s="417" t="s">
        <v>21199</v>
      </c>
      <c r="L9379" s="417"/>
      <c r="M9379" s="417" t="s">
        <v>28840</v>
      </c>
    </row>
    <row r="9380" spans="1:13" x14ac:dyDescent="0.25">
      <c r="A9380" s="417" t="s">
        <v>3385</v>
      </c>
      <c r="B9380" s="417" t="s">
        <v>2437</v>
      </c>
      <c r="C9380" s="417" t="s">
        <v>21200</v>
      </c>
      <c r="D9380" s="417" t="s">
        <v>397</v>
      </c>
      <c r="E9380" s="423">
        <v>0.274504017910356</v>
      </c>
      <c r="F9380" s="423">
        <v>1.9065111351807561E-2</v>
      </c>
      <c r="G9380" s="422">
        <v>525.25683931589106</v>
      </c>
      <c r="H9380" s="417" t="s">
        <v>2616</v>
      </c>
      <c r="I9380" s="417" t="s">
        <v>1392</v>
      </c>
      <c r="J9380" s="417" t="s">
        <v>20833</v>
      </c>
      <c r="K9380" s="417" t="s">
        <v>21201</v>
      </c>
      <c r="L9380" s="417"/>
      <c r="M9380" s="417" t="s">
        <v>28840</v>
      </c>
    </row>
    <row r="9381" spans="1:13" x14ac:dyDescent="0.25">
      <c r="A9381" s="417" t="s">
        <v>3385</v>
      </c>
      <c r="B9381" s="417" t="s">
        <v>2437</v>
      </c>
      <c r="C9381" s="417" t="s">
        <v>21202</v>
      </c>
      <c r="D9381" s="417" t="s">
        <v>397</v>
      </c>
      <c r="E9381" s="423">
        <v>0.28308309006752619</v>
      </c>
      <c r="F9381" s="423">
        <v>1.971801855798502E-2</v>
      </c>
      <c r="G9381" s="422">
        <v>540.32796875422389</v>
      </c>
      <c r="H9381" s="417" t="s">
        <v>2616</v>
      </c>
      <c r="I9381" s="417" t="s">
        <v>1392</v>
      </c>
      <c r="J9381" s="417" t="s">
        <v>20833</v>
      </c>
      <c r="K9381" s="417" t="s">
        <v>21203</v>
      </c>
      <c r="L9381" s="417"/>
      <c r="M9381" s="417" t="s">
        <v>28840</v>
      </c>
    </row>
    <row r="9382" spans="1:13" x14ac:dyDescent="0.25">
      <c r="A9382" s="417" t="s">
        <v>3385</v>
      </c>
      <c r="B9382" s="417" t="s">
        <v>2437</v>
      </c>
      <c r="C9382" s="417" t="s">
        <v>21204</v>
      </c>
      <c r="D9382" s="417" t="s">
        <v>397</v>
      </c>
      <c r="E9382" s="423">
        <v>0.34383338985227502</v>
      </c>
      <c r="F9382" s="423">
        <v>2.4262508648325871E-2</v>
      </c>
      <c r="G9382" s="422">
        <v>637.89735590776888</v>
      </c>
      <c r="H9382" s="417" t="s">
        <v>2616</v>
      </c>
      <c r="I9382" s="417" t="s">
        <v>1392</v>
      </c>
      <c r="J9382" s="417" t="s">
        <v>20833</v>
      </c>
      <c r="K9382" s="417" t="s">
        <v>21205</v>
      </c>
      <c r="L9382" s="417"/>
      <c r="M9382" s="417" t="s">
        <v>28840</v>
      </c>
    </row>
    <row r="9383" spans="1:13" x14ac:dyDescent="0.25">
      <c r="A9383" s="417" t="s">
        <v>3385</v>
      </c>
      <c r="B9383" s="417" t="s">
        <v>2437</v>
      </c>
      <c r="C9383" s="417" t="s">
        <v>21206</v>
      </c>
      <c r="D9383" s="417" t="s">
        <v>397</v>
      </c>
      <c r="E9383" s="423">
        <v>0.14019185203208279</v>
      </c>
      <c r="F9383" s="423">
        <v>9.6108547206723016E-3</v>
      </c>
      <c r="G9383" s="422">
        <v>375.36512204452919</v>
      </c>
      <c r="H9383" s="417" t="s">
        <v>2616</v>
      </c>
      <c r="I9383" s="417" t="s">
        <v>1392</v>
      </c>
      <c r="J9383" s="417" t="s">
        <v>20833</v>
      </c>
      <c r="K9383" s="417" t="s">
        <v>21207</v>
      </c>
      <c r="L9383" s="417"/>
      <c r="M9383" s="417" t="s">
        <v>28840</v>
      </c>
    </row>
    <row r="9384" spans="1:13" x14ac:dyDescent="0.25">
      <c r="A9384" s="417" t="s">
        <v>3385</v>
      </c>
      <c r="B9384" s="417" t="s">
        <v>2437</v>
      </c>
      <c r="C9384" s="417" t="s">
        <v>21208</v>
      </c>
      <c r="D9384" s="417" t="s">
        <v>397</v>
      </c>
      <c r="E9384" s="423">
        <v>0.17072247751161099</v>
      </c>
      <c r="F9384" s="423">
        <v>1.6792302016749229E-2</v>
      </c>
      <c r="G9384" s="422">
        <v>460.82528367605158</v>
      </c>
      <c r="H9384" s="417" t="s">
        <v>2616</v>
      </c>
      <c r="I9384" s="417" t="s">
        <v>1392</v>
      </c>
      <c r="J9384" s="417" t="s">
        <v>20833</v>
      </c>
      <c r="K9384" s="417" t="s">
        <v>21209</v>
      </c>
      <c r="L9384" s="417"/>
      <c r="M9384" s="417" t="s">
        <v>28840</v>
      </c>
    </row>
    <row r="9385" spans="1:13" x14ac:dyDescent="0.25">
      <c r="A9385" s="417" t="s">
        <v>3385</v>
      </c>
      <c r="B9385" s="417" t="s">
        <v>2437</v>
      </c>
      <c r="C9385" s="417" t="s">
        <v>21210</v>
      </c>
      <c r="D9385" s="417" t="s">
        <v>397</v>
      </c>
      <c r="E9385" s="423">
        <v>0.1492208662134866</v>
      </c>
      <c r="F9385" s="423">
        <v>1.0292683104602591E-2</v>
      </c>
      <c r="G9385" s="422">
        <v>399.52173803249218</v>
      </c>
      <c r="H9385" s="417" t="s">
        <v>2616</v>
      </c>
      <c r="I9385" s="417" t="s">
        <v>1392</v>
      </c>
      <c r="J9385" s="417" t="s">
        <v>20833</v>
      </c>
      <c r="K9385" s="417" t="s">
        <v>21211</v>
      </c>
      <c r="L9385" s="417"/>
      <c r="M9385" s="417" t="s">
        <v>28840</v>
      </c>
    </row>
    <row r="9386" spans="1:13" x14ac:dyDescent="0.25">
      <c r="A9386" s="417" t="s">
        <v>3385</v>
      </c>
      <c r="B9386" s="417" t="s">
        <v>2437</v>
      </c>
      <c r="C9386" s="417" t="s">
        <v>21212</v>
      </c>
      <c r="D9386" s="417" t="s">
        <v>397</v>
      </c>
      <c r="E9386" s="423">
        <v>0.48627744900222097</v>
      </c>
      <c r="F9386" s="423">
        <v>4.8338232821451471E-2</v>
      </c>
      <c r="G9386" s="422">
        <v>1261.365012893423</v>
      </c>
      <c r="H9386" s="417" t="s">
        <v>2616</v>
      </c>
      <c r="I9386" s="417" t="s">
        <v>1392</v>
      </c>
      <c r="J9386" s="417" t="s">
        <v>20833</v>
      </c>
      <c r="K9386" s="417" t="s">
        <v>21213</v>
      </c>
      <c r="L9386" s="417"/>
      <c r="M9386" s="417" t="s">
        <v>28840</v>
      </c>
    </row>
    <row r="9387" spans="1:13" x14ac:dyDescent="0.25">
      <c r="A9387" s="417" t="s">
        <v>3385</v>
      </c>
      <c r="B9387" s="417" t="s">
        <v>2437</v>
      </c>
      <c r="C9387" s="417" t="s">
        <v>21214</v>
      </c>
      <c r="D9387" s="417" t="s">
        <v>397</v>
      </c>
      <c r="E9387" s="423">
        <v>0.18724673806109959</v>
      </c>
      <c r="F9387" s="423">
        <v>1.316345088316419E-2</v>
      </c>
      <c r="G9387" s="422">
        <v>499.2849593001435</v>
      </c>
      <c r="H9387" s="417" t="s">
        <v>2616</v>
      </c>
      <c r="I9387" s="417" t="s">
        <v>1392</v>
      </c>
      <c r="J9387" s="417" t="s">
        <v>20833</v>
      </c>
      <c r="K9387" s="417" t="s">
        <v>21215</v>
      </c>
      <c r="L9387" s="417"/>
      <c r="M9387" s="417" t="s">
        <v>28840</v>
      </c>
    </row>
    <row r="9388" spans="1:13" x14ac:dyDescent="0.25">
      <c r="A9388" s="417" t="s">
        <v>3385</v>
      </c>
      <c r="B9388" s="417" t="s">
        <v>2437</v>
      </c>
      <c r="C9388" s="417" t="s">
        <v>21216</v>
      </c>
      <c r="D9388" s="417" t="s">
        <v>397</v>
      </c>
      <c r="E9388" s="423">
        <v>0.60334975697461746</v>
      </c>
      <c r="F9388" s="423">
        <v>6.1846633177436647E-2</v>
      </c>
      <c r="G9388" s="422">
        <v>1573.090966090793</v>
      </c>
      <c r="H9388" s="417" t="s">
        <v>2616</v>
      </c>
      <c r="I9388" s="417" t="s">
        <v>1392</v>
      </c>
      <c r="J9388" s="417" t="s">
        <v>20833</v>
      </c>
      <c r="K9388" s="417" t="s">
        <v>21217</v>
      </c>
      <c r="L9388" s="417"/>
      <c r="M9388" s="417" t="s">
        <v>28840</v>
      </c>
    </row>
    <row r="9389" spans="1:13" x14ac:dyDescent="0.25">
      <c r="A9389" s="417" t="s">
        <v>3385</v>
      </c>
      <c r="B9389" s="417" t="s">
        <v>2437</v>
      </c>
      <c r="C9389" s="417" t="s">
        <v>21218</v>
      </c>
      <c r="D9389" s="417" t="s">
        <v>397</v>
      </c>
      <c r="E9389" s="423">
        <v>0.14001202679718941</v>
      </c>
      <c r="F9389" s="423">
        <v>9.5810059568031715E-3</v>
      </c>
      <c r="G9389" s="422">
        <v>266.16290050446531</v>
      </c>
      <c r="H9389" s="417" t="s">
        <v>2616</v>
      </c>
      <c r="I9389" s="417" t="s">
        <v>1392</v>
      </c>
      <c r="J9389" s="417" t="s">
        <v>20833</v>
      </c>
      <c r="K9389" s="417" t="s">
        <v>21219</v>
      </c>
      <c r="L9389" s="417"/>
      <c r="M9389" s="417" t="s">
        <v>28840</v>
      </c>
    </row>
    <row r="9390" spans="1:13" x14ac:dyDescent="0.25">
      <c r="A9390" s="417" t="s">
        <v>3385</v>
      </c>
      <c r="B9390" s="417" t="s">
        <v>2437</v>
      </c>
      <c r="C9390" s="417" t="s">
        <v>21220</v>
      </c>
      <c r="D9390" s="417" t="s">
        <v>397</v>
      </c>
      <c r="E9390" s="423">
        <v>0.17094301412583471</v>
      </c>
      <c r="F9390" s="423">
        <v>1.6780260424582551E-2</v>
      </c>
      <c r="G9390" s="422">
        <v>330.41484451086791</v>
      </c>
      <c r="H9390" s="417" t="s">
        <v>2616</v>
      </c>
      <c r="I9390" s="417" t="s">
        <v>1392</v>
      </c>
      <c r="J9390" s="417" t="s">
        <v>20833</v>
      </c>
      <c r="K9390" s="417" t="s">
        <v>21221</v>
      </c>
      <c r="L9390" s="417"/>
      <c r="M9390" s="417" t="s">
        <v>28840</v>
      </c>
    </row>
    <row r="9391" spans="1:13" x14ac:dyDescent="0.25">
      <c r="A9391" s="417" t="s">
        <v>3385</v>
      </c>
      <c r="B9391" s="417" t="s">
        <v>2437</v>
      </c>
      <c r="C9391" s="417" t="s">
        <v>21222</v>
      </c>
      <c r="D9391" s="417" t="s">
        <v>397</v>
      </c>
      <c r="E9391" s="423">
        <v>0.14894907624847001</v>
      </c>
      <c r="F9391" s="423">
        <v>1.0259254285233161E-2</v>
      </c>
      <c r="G9391" s="422">
        <v>280.99680812938192</v>
      </c>
      <c r="H9391" s="417" t="s">
        <v>2616</v>
      </c>
      <c r="I9391" s="417" t="s">
        <v>1392</v>
      </c>
      <c r="J9391" s="417" t="s">
        <v>20833</v>
      </c>
      <c r="K9391" s="417" t="s">
        <v>21223</v>
      </c>
      <c r="L9391" s="417"/>
      <c r="M9391" s="417" t="s">
        <v>28840</v>
      </c>
    </row>
    <row r="9392" spans="1:13" x14ac:dyDescent="0.25">
      <c r="A9392" s="417" t="s">
        <v>3385</v>
      </c>
      <c r="B9392" s="417" t="s">
        <v>2437</v>
      </c>
      <c r="C9392" s="417" t="s">
        <v>21224</v>
      </c>
      <c r="D9392" s="417" t="s">
        <v>397</v>
      </c>
      <c r="E9392" s="423">
        <v>0.48563575388615249</v>
      </c>
      <c r="F9392" s="423">
        <v>4.8175453544876803E-2</v>
      </c>
      <c r="G9392" s="422">
        <v>883.94106119396656</v>
      </c>
      <c r="H9392" s="417" t="s">
        <v>2616</v>
      </c>
      <c r="I9392" s="417" t="s">
        <v>1392</v>
      </c>
      <c r="J9392" s="417" t="s">
        <v>20833</v>
      </c>
      <c r="K9392" s="417" t="s">
        <v>21225</v>
      </c>
      <c r="L9392" s="417"/>
      <c r="M9392" s="417" t="s">
        <v>28840</v>
      </c>
    </row>
    <row r="9393" spans="1:13" x14ac:dyDescent="0.25">
      <c r="A9393" s="417" t="s">
        <v>3385</v>
      </c>
      <c r="B9393" s="417" t="s">
        <v>2437</v>
      </c>
      <c r="C9393" s="417" t="s">
        <v>21226</v>
      </c>
      <c r="D9393" s="417" t="s">
        <v>397</v>
      </c>
      <c r="E9393" s="423">
        <v>0.1875634987958108</v>
      </c>
      <c r="F9393" s="423">
        <v>1.316252335383898E-2</v>
      </c>
      <c r="G9393" s="422">
        <v>343.19261630492332</v>
      </c>
      <c r="H9393" s="417" t="s">
        <v>2616</v>
      </c>
      <c r="I9393" s="417" t="s">
        <v>1392</v>
      </c>
      <c r="J9393" s="417" t="s">
        <v>20833</v>
      </c>
      <c r="K9393" s="417" t="s">
        <v>21227</v>
      </c>
      <c r="L9393" s="417"/>
      <c r="M9393" s="417" t="s">
        <v>28840</v>
      </c>
    </row>
    <row r="9394" spans="1:13" x14ac:dyDescent="0.25">
      <c r="A9394" s="417" t="s">
        <v>3385</v>
      </c>
      <c r="B9394" s="417" t="s">
        <v>2437</v>
      </c>
      <c r="C9394" s="417" t="s">
        <v>21228</v>
      </c>
      <c r="D9394" s="417" t="s">
        <v>397</v>
      </c>
      <c r="E9394" s="423">
        <v>0.60250736801677662</v>
      </c>
      <c r="F9394" s="423">
        <v>6.1477384870077229E-2</v>
      </c>
      <c r="G9394" s="422">
        <v>1076.7427216785729</v>
      </c>
      <c r="H9394" s="417" t="s">
        <v>2616</v>
      </c>
      <c r="I9394" s="417" t="s">
        <v>1392</v>
      </c>
      <c r="J9394" s="417" t="s">
        <v>20833</v>
      </c>
      <c r="K9394" s="417" t="s">
        <v>21229</v>
      </c>
      <c r="L9394" s="417"/>
      <c r="M9394" s="417" t="s">
        <v>28840</v>
      </c>
    </row>
    <row r="9395" spans="1:13" x14ac:dyDescent="0.25">
      <c r="A9395" s="417" t="s">
        <v>3385</v>
      </c>
      <c r="B9395" s="417" t="s">
        <v>2437</v>
      </c>
      <c r="C9395" s="417" t="s">
        <v>21230</v>
      </c>
      <c r="D9395" s="417" t="s">
        <v>397</v>
      </c>
      <c r="E9395" s="423">
        <v>0.14070421511312289</v>
      </c>
      <c r="F9395" s="423">
        <v>9.5800784269903429E-3</v>
      </c>
      <c r="G9395" s="422">
        <v>274.75041866017892</v>
      </c>
      <c r="H9395" s="417" t="s">
        <v>2616</v>
      </c>
      <c r="I9395" s="417" t="s">
        <v>1392</v>
      </c>
      <c r="J9395" s="417" t="s">
        <v>20833</v>
      </c>
      <c r="K9395" s="417" t="s">
        <v>21231</v>
      </c>
      <c r="L9395" s="417"/>
      <c r="M9395" s="417" t="s">
        <v>28840</v>
      </c>
    </row>
    <row r="9396" spans="1:13" x14ac:dyDescent="0.25">
      <c r="A9396" s="417" t="s">
        <v>3385</v>
      </c>
      <c r="B9396" s="417" t="s">
        <v>2437</v>
      </c>
      <c r="C9396" s="417" t="s">
        <v>21232</v>
      </c>
      <c r="D9396" s="417" t="s">
        <v>397</v>
      </c>
      <c r="E9396" s="423">
        <v>0.17168190678866019</v>
      </c>
      <c r="F9396" s="423">
        <v>1.6742374832470382E-2</v>
      </c>
      <c r="G9396" s="422">
        <v>340.35667460249601</v>
      </c>
      <c r="H9396" s="417" t="s">
        <v>2616</v>
      </c>
      <c r="I9396" s="417" t="s">
        <v>1392</v>
      </c>
      <c r="J9396" s="417" t="s">
        <v>20833</v>
      </c>
      <c r="K9396" s="417" t="s">
        <v>21233</v>
      </c>
      <c r="L9396" s="417"/>
      <c r="M9396" s="417" t="s">
        <v>28840</v>
      </c>
    </row>
    <row r="9397" spans="1:13" x14ac:dyDescent="0.25">
      <c r="A9397" s="417" t="s">
        <v>3385</v>
      </c>
      <c r="B9397" s="417" t="s">
        <v>2437</v>
      </c>
      <c r="C9397" s="417" t="s">
        <v>21234</v>
      </c>
      <c r="D9397" s="417" t="s">
        <v>397</v>
      </c>
      <c r="E9397" s="423">
        <v>0.1496997480210977</v>
      </c>
      <c r="F9397" s="423">
        <v>1.0258317311466231E-2</v>
      </c>
      <c r="G9397" s="422">
        <v>290.22178219276088</v>
      </c>
      <c r="H9397" s="417" t="s">
        <v>2616</v>
      </c>
      <c r="I9397" s="417" t="s">
        <v>1392</v>
      </c>
      <c r="J9397" s="417" t="s">
        <v>20833</v>
      </c>
      <c r="K9397" s="417" t="s">
        <v>21235</v>
      </c>
      <c r="L9397" s="417"/>
      <c r="M9397" s="417" t="s">
        <v>28840</v>
      </c>
    </row>
    <row r="9398" spans="1:13" x14ac:dyDescent="0.25">
      <c r="A9398" s="417" t="s">
        <v>3385</v>
      </c>
      <c r="B9398" s="417" t="s">
        <v>2437</v>
      </c>
      <c r="C9398" s="417" t="s">
        <v>21236</v>
      </c>
      <c r="D9398" s="417" t="s">
        <v>397</v>
      </c>
      <c r="E9398" s="423">
        <v>0.48782369179815033</v>
      </c>
      <c r="F9398" s="423">
        <v>4.8118216249883328E-2</v>
      </c>
      <c r="G9398" s="422">
        <v>913.06538743796762</v>
      </c>
      <c r="H9398" s="417" t="s">
        <v>2616</v>
      </c>
      <c r="I9398" s="417" t="s">
        <v>1392</v>
      </c>
      <c r="J9398" s="417" t="s">
        <v>20833</v>
      </c>
      <c r="K9398" s="417" t="s">
        <v>21237</v>
      </c>
      <c r="L9398" s="417"/>
      <c r="M9398" s="417" t="s">
        <v>28840</v>
      </c>
    </row>
    <row r="9399" spans="1:13" x14ac:dyDescent="0.25">
      <c r="A9399" s="417" t="s">
        <v>3385</v>
      </c>
      <c r="B9399" s="417" t="s">
        <v>2437</v>
      </c>
      <c r="C9399" s="417" t="s">
        <v>21238</v>
      </c>
      <c r="D9399" s="417" t="s">
        <v>397</v>
      </c>
      <c r="E9399" s="423">
        <v>0.18817818100929459</v>
      </c>
      <c r="F9399" s="423">
        <v>1.3132666585722061E-2</v>
      </c>
      <c r="G9399" s="422">
        <v>354.82858003658419</v>
      </c>
      <c r="H9399" s="417" t="s">
        <v>2616</v>
      </c>
      <c r="I9399" s="417" t="s">
        <v>1392</v>
      </c>
      <c r="J9399" s="417" t="s">
        <v>20833</v>
      </c>
      <c r="K9399" s="417" t="s">
        <v>21239</v>
      </c>
      <c r="L9399" s="417"/>
      <c r="M9399" s="417" t="s">
        <v>28840</v>
      </c>
    </row>
    <row r="9400" spans="1:13" x14ac:dyDescent="0.25">
      <c r="A9400" s="417" t="s">
        <v>3385</v>
      </c>
      <c r="B9400" s="417" t="s">
        <v>2437</v>
      </c>
      <c r="C9400" s="417" t="s">
        <v>21240</v>
      </c>
      <c r="D9400" s="417" t="s">
        <v>397</v>
      </c>
      <c r="E9400" s="423">
        <v>0.60445727704003849</v>
      </c>
      <c r="F9400" s="423">
        <v>6.1467576419173012E-2</v>
      </c>
      <c r="G9400" s="422">
        <v>1113.706480230845</v>
      </c>
      <c r="H9400" s="417" t="s">
        <v>2616</v>
      </c>
      <c r="I9400" s="417" t="s">
        <v>1392</v>
      </c>
      <c r="J9400" s="417" t="s">
        <v>20833</v>
      </c>
      <c r="K9400" s="417" t="s">
        <v>21241</v>
      </c>
      <c r="L9400" s="417"/>
      <c r="M9400" s="417" t="s">
        <v>28840</v>
      </c>
    </row>
    <row r="9401" spans="1:13" x14ac:dyDescent="0.25">
      <c r="A9401" s="417" t="s">
        <v>3385</v>
      </c>
      <c r="B9401" s="417" t="s">
        <v>2437</v>
      </c>
      <c r="C9401" s="417" t="s">
        <v>21242</v>
      </c>
      <c r="D9401" s="417" t="s">
        <v>397</v>
      </c>
      <c r="E9401" s="423">
        <v>0.13688046926587069</v>
      </c>
      <c r="F9401" s="423">
        <v>9.3346792871800213E-3</v>
      </c>
      <c r="G9401" s="422">
        <v>242.313412485886</v>
      </c>
      <c r="H9401" s="417" t="s">
        <v>2616</v>
      </c>
      <c r="I9401" s="417" t="s">
        <v>1392</v>
      </c>
      <c r="J9401" s="417" t="s">
        <v>20833</v>
      </c>
      <c r="K9401" s="417" t="s">
        <v>21243</v>
      </c>
      <c r="L9401" s="417"/>
      <c r="M9401" s="417" t="s">
        <v>28840</v>
      </c>
    </row>
    <row r="9402" spans="1:13" x14ac:dyDescent="0.25">
      <c r="A9402" s="417" t="s">
        <v>3385</v>
      </c>
      <c r="B9402" s="417" t="s">
        <v>2437</v>
      </c>
      <c r="C9402" s="417" t="s">
        <v>21244</v>
      </c>
      <c r="D9402" s="417" t="s">
        <v>397</v>
      </c>
      <c r="E9402" s="423">
        <v>0.1666119771350773</v>
      </c>
      <c r="F9402" s="423">
        <v>1.627628265278375E-2</v>
      </c>
      <c r="G9402" s="422">
        <v>300.14458685083162</v>
      </c>
      <c r="H9402" s="417" t="s">
        <v>2616</v>
      </c>
      <c r="I9402" s="417" t="s">
        <v>1392</v>
      </c>
      <c r="J9402" s="417" t="s">
        <v>20833</v>
      </c>
      <c r="K9402" s="417" t="s">
        <v>21245</v>
      </c>
      <c r="L9402" s="417"/>
      <c r="M9402" s="417" t="s">
        <v>28840</v>
      </c>
    </row>
    <row r="9403" spans="1:13" x14ac:dyDescent="0.25">
      <c r="A9403" s="417" t="s">
        <v>3385</v>
      </c>
      <c r="B9403" s="417" t="s">
        <v>2437</v>
      </c>
      <c r="C9403" s="417" t="s">
        <v>21246</v>
      </c>
      <c r="D9403" s="417" t="s">
        <v>397</v>
      </c>
      <c r="E9403" s="423">
        <v>0.14512164050617871</v>
      </c>
      <c r="F9403" s="423">
        <v>9.9559715621770351E-3</v>
      </c>
      <c r="G9403" s="422">
        <v>254.58566187660199</v>
      </c>
      <c r="H9403" s="417" t="s">
        <v>2616</v>
      </c>
      <c r="I9403" s="417" t="s">
        <v>1392</v>
      </c>
      <c r="J9403" s="417" t="s">
        <v>20833</v>
      </c>
      <c r="K9403" s="417" t="s">
        <v>21247</v>
      </c>
      <c r="L9403" s="417"/>
      <c r="M9403" s="417" t="s">
        <v>28840</v>
      </c>
    </row>
    <row r="9404" spans="1:13" x14ac:dyDescent="0.25">
      <c r="A9404" s="417" t="s">
        <v>3385</v>
      </c>
      <c r="B9404" s="417" t="s">
        <v>2437</v>
      </c>
      <c r="C9404" s="417" t="s">
        <v>21248</v>
      </c>
      <c r="D9404" s="417" t="s">
        <v>397</v>
      </c>
      <c r="E9404" s="423">
        <v>0.47068361686654292</v>
      </c>
      <c r="F9404" s="423">
        <v>4.650093387412995E-2</v>
      </c>
      <c r="G9404" s="422">
        <v>793.43766765828957</v>
      </c>
      <c r="H9404" s="417" t="s">
        <v>2616</v>
      </c>
      <c r="I9404" s="417" t="s">
        <v>1392</v>
      </c>
      <c r="J9404" s="417" t="s">
        <v>20833</v>
      </c>
      <c r="K9404" s="417" t="s">
        <v>21249</v>
      </c>
      <c r="L9404" s="417"/>
      <c r="M9404" s="417" t="s">
        <v>28840</v>
      </c>
    </row>
    <row r="9405" spans="1:13" x14ac:dyDescent="0.25">
      <c r="A9405" s="417" t="s">
        <v>3385</v>
      </c>
      <c r="B9405" s="417" t="s">
        <v>2437</v>
      </c>
      <c r="C9405" s="417" t="s">
        <v>21250</v>
      </c>
      <c r="D9405" s="417" t="s">
        <v>397</v>
      </c>
      <c r="E9405" s="423">
        <v>0.1817312006475322</v>
      </c>
      <c r="F9405" s="423">
        <v>1.268793550946996E-2</v>
      </c>
      <c r="G9405" s="422">
        <v>307.11481615965909</v>
      </c>
      <c r="H9405" s="417" t="s">
        <v>2616</v>
      </c>
      <c r="I9405" s="417" t="s">
        <v>1392</v>
      </c>
      <c r="J9405" s="417" t="s">
        <v>20833</v>
      </c>
      <c r="K9405" s="417" t="s">
        <v>21251</v>
      </c>
      <c r="L9405" s="417"/>
      <c r="M9405" s="417" t="s">
        <v>28840</v>
      </c>
    </row>
    <row r="9406" spans="1:13" x14ac:dyDescent="0.25">
      <c r="A9406" s="417" t="s">
        <v>3385</v>
      </c>
      <c r="B9406" s="417" t="s">
        <v>2437</v>
      </c>
      <c r="C9406" s="417" t="s">
        <v>21252</v>
      </c>
      <c r="D9406" s="417" t="s">
        <v>397</v>
      </c>
      <c r="E9406" s="423">
        <v>0.58121333721208923</v>
      </c>
      <c r="F9406" s="423">
        <v>5.9079164173403559E-2</v>
      </c>
      <c r="G9406" s="422">
        <v>955.8984990196044</v>
      </c>
      <c r="H9406" s="417" t="s">
        <v>2616</v>
      </c>
      <c r="I9406" s="417" t="s">
        <v>1392</v>
      </c>
      <c r="J9406" s="417" t="s">
        <v>20833</v>
      </c>
      <c r="K9406" s="417" t="s">
        <v>21253</v>
      </c>
      <c r="L9406" s="417"/>
      <c r="M9406" s="417" t="s">
        <v>28840</v>
      </c>
    </row>
    <row r="9407" spans="1:13" x14ac:dyDescent="0.25">
      <c r="A9407" s="417" t="s">
        <v>3385</v>
      </c>
      <c r="B9407" s="417" t="s">
        <v>2437</v>
      </c>
      <c r="C9407" s="417" t="s">
        <v>21254</v>
      </c>
      <c r="D9407" s="417" t="s">
        <v>397</v>
      </c>
      <c r="E9407" s="423">
        <v>0.13800530023567259</v>
      </c>
      <c r="F9407" s="423">
        <v>9.4092315920258369E-3</v>
      </c>
      <c r="G9407" s="422">
        <v>254.97708015461561</v>
      </c>
      <c r="H9407" s="417" t="s">
        <v>2616</v>
      </c>
      <c r="I9407" s="417" t="s">
        <v>1392</v>
      </c>
      <c r="J9407" s="417" t="s">
        <v>20833</v>
      </c>
      <c r="K9407" s="417" t="s">
        <v>21255</v>
      </c>
      <c r="L9407" s="417"/>
      <c r="M9407" s="417" t="s">
        <v>28840</v>
      </c>
    </row>
    <row r="9408" spans="1:13" x14ac:dyDescent="0.25">
      <c r="A9408" s="417" t="s">
        <v>3385</v>
      </c>
      <c r="B9408" s="417" t="s">
        <v>2437</v>
      </c>
      <c r="C9408" s="417" t="s">
        <v>21256</v>
      </c>
      <c r="D9408" s="417" t="s">
        <v>397</v>
      </c>
      <c r="E9408" s="423">
        <v>0.16985325319514299</v>
      </c>
      <c r="F9408" s="423">
        <v>1.6589310282079221E-2</v>
      </c>
      <c r="G9408" s="422">
        <v>330.60854439201148</v>
      </c>
      <c r="H9408" s="417" t="s">
        <v>2616</v>
      </c>
      <c r="I9408" s="417" t="s">
        <v>1392</v>
      </c>
      <c r="J9408" s="417" t="s">
        <v>20833</v>
      </c>
      <c r="K9408" s="417" t="s">
        <v>21257</v>
      </c>
      <c r="L9408" s="417"/>
      <c r="M9408" s="417" t="s">
        <v>28840</v>
      </c>
    </row>
    <row r="9409" spans="1:13" x14ac:dyDescent="0.25">
      <c r="A9409" s="417" t="s">
        <v>3385</v>
      </c>
      <c r="B9409" s="417" t="s">
        <v>2437</v>
      </c>
      <c r="C9409" s="417" t="s">
        <v>21258</v>
      </c>
      <c r="D9409" s="417" t="s">
        <v>397</v>
      </c>
      <c r="E9409" s="423">
        <v>0.14647319959089269</v>
      </c>
      <c r="F9409" s="423">
        <v>1.004771563094513E-2</v>
      </c>
      <c r="G9409" s="422">
        <v>268.46324695362671</v>
      </c>
      <c r="H9409" s="417" t="s">
        <v>2616</v>
      </c>
      <c r="I9409" s="417" t="s">
        <v>1392</v>
      </c>
      <c r="J9409" s="417" t="s">
        <v>20833</v>
      </c>
      <c r="K9409" s="417" t="s">
        <v>21259</v>
      </c>
      <c r="L9409" s="417"/>
      <c r="M9409" s="417" t="s">
        <v>28840</v>
      </c>
    </row>
    <row r="9410" spans="1:13" x14ac:dyDescent="0.25">
      <c r="A9410" s="417" t="s">
        <v>3385</v>
      </c>
      <c r="B9410" s="417" t="s">
        <v>2437</v>
      </c>
      <c r="C9410" s="417" t="s">
        <v>21260</v>
      </c>
      <c r="D9410" s="417" t="s">
        <v>397</v>
      </c>
      <c r="E9410" s="423">
        <v>0.48173730223744149</v>
      </c>
      <c r="F9410" s="423">
        <v>4.758229225755755E-2</v>
      </c>
      <c r="G9410" s="422">
        <v>883.70275848471817</v>
      </c>
      <c r="H9410" s="417" t="s">
        <v>2616</v>
      </c>
      <c r="I9410" s="417" t="s">
        <v>1392</v>
      </c>
      <c r="J9410" s="417" t="s">
        <v>20833</v>
      </c>
      <c r="K9410" s="417" t="s">
        <v>21261</v>
      </c>
      <c r="L9410" s="417"/>
      <c r="M9410" s="417" t="s">
        <v>28840</v>
      </c>
    </row>
    <row r="9411" spans="1:13" x14ac:dyDescent="0.25">
      <c r="A9411" s="417" t="s">
        <v>3385</v>
      </c>
      <c r="B9411" s="417" t="s">
        <v>2437</v>
      </c>
      <c r="C9411" s="417" t="s">
        <v>21262</v>
      </c>
      <c r="D9411" s="417" t="s">
        <v>397</v>
      </c>
      <c r="E9411" s="423">
        <v>0.183631204645301</v>
      </c>
      <c r="F9411" s="423">
        <v>1.2822576929391099E-2</v>
      </c>
      <c r="G9411" s="422">
        <v>325.64627695449121</v>
      </c>
      <c r="H9411" s="417" t="s">
        <v>2616</v>
      </c>
      <c r="I9411" s="417" t="s">
        <v>1392</v>
      </c>
      <c r="J9411" s="417" t="s">
        <v>20833</v>
      </c>
      <c r="K9411" s="417" t="s">
        <v>21263</v>
      </c>
      <c r="L9411" s="417"/>
      <c r="M9411" s="417" t="s">
        <v>28840</v>
      </c>
    </row>
    <row r="9412" spans="1:13" x14ac:dyDescent="0.25">
      <c r="A9412" s="417" t="s">
        <v>3385</v>
      </c>
      <c r="B9412" s="417" t="s">
        <v>2437</v>
      </c>
      <c r="C9412" s="417" t="s">
        <v>21264</v>
      </c>
      <c r="D9412" s="417" t="s">
        <v>397</v>
      </c>
      <c r="E9412" s="423">
        <v>0.59633454489082771</v>
      </c>
      <c r="F9412" s="423">
        <v>6.0671561286461909E-2</v>
      </c>
      <c r="G9412" s="422">
        <v>1075.1004077258081</v>
      </c>
      <c r="H9412" s="417" t="s">
        <v>2616</v>
      </c>
      <c r="I9412" s="417" t="s">
        <v>1392</v>
      </c>
      <c r="J9412" s="417" t="s">
        <v>20833</v>
      </c>
      <c r="K9412" s="417" t="s">
        <v>21265</v>
      </c>
      <c r="L9412" s="417"/>
      <c r="M9412" s="417" t="s">
        <v>28840</v>
      </c>
    </row>
    <row r="9413" spans="1:13" x14ac:dyDescent="0.25">
      <c r="A9413" s="417" t="s">
        <v>3385</v>
      </c>
      <c r="B9413" s="417" t="s">
        <v>2437</v>
      </c>
      <c r="C9413" s="417" t="s">
        <v>21266</v>
      </c>
      <c r="D9413" s="417" t="s">
        <v>397</v>
      </c>
      <c r="E9413" s="423">
        <v>0.98309659882346911</v>
      </c>
      <c r="F9413" s="423">
        <v>6.7978051902687894E-2</v>
      </c>
      <c r="G9413" s="422">
        <v>2946.8207739902118</v>
      </c>
      <c r="H9413" s="417" t="s">
        <v>2616</v>
      </c>
      <c r="I9413" s="417" t="s">
        <v>1392</v>
      </c>
      <c r="J9413" s="417" t="s">
        <v>20833</v>
      </c>
      <c r="K9413" s="417" t="s">
        <v>21267</v>
      </c>
      <c r="L9413" s="417"/>
      <c r="M9413" s="417" t="s">
        <v>28840</v>
      </c>
    </row>
    <row r="9414" spans="1:13" x14ac:dyDescent="0.25">
      <c r="A9414" s="417" t="s">
        <v>3385</v>
      </c>
      <c r="B9414" s="417" t="s">
        <v>2437</v>
      </c>
      <c r="C9414" s="417" t="s">
        <v>21268</v>
      </c>
      <c r="D9414" s="417" t="s">
        <v>397</v>
      </c>
      <c r="E9414" s="423">
        <v>0.41134613571981732</v>
      </c>
      <c r="F9414" s="423">
        <v>4.2002950075643641E-2</v>
      </c>
      <c r="G9414" s="422">
        <v>1587.377280098033</v>
      </c>
      <c r="H9414" s="417" t="s">
        <v>2616</v>
      </c>
      <c r="I9414" s="417" t="s">
        <v>1392</v>
      </c>
      <c r="J9414" s="417" t="s">
        <v>20833</v>
      </c>
      <c r="K9414" s="417" t="s">
        <v>21269</v>
      </c>
      <c r="L9414" s="417"/>
      <c r="M9414" s="417" t="s">
        <v>28840</v>
      </c>
    </row>
    <row r="9415" spans="1:13" x14ac:dyDescent="0.25">
      <c r="A9415" s="417" t="s">
        <v>3385</v>
      </c>
      <c r="B9415" s="417" t="s">
        <v>2437</v>
      </c>
      <c r="C9415" s="417" t="s">
        <v>21270</v>
      </c>
      <c r="D9415" s="417" t="s">
        <v>397</v>
      </c>
      <c r="E9415" s="423">
        <v>0.9479435773519872</v>
      </c>
      <c r="F9415" s="423">
        <v>6.5526043602532558E-2</v>
      </c>
      <c r="G9415" s="422">
        <v>2864.8622188005588</v>
      </c>
      <c r="H9415" s="417" t="s">
        <v>2616</v>
      </c>
      <c r="I9415" s="417" t="s">
        <v>1392</v>
      </c>
      <c r="J9415" s="417" t="s">
        <v>20833</v>
      </c>
      <c r="K9415" s="417" t="s">
        <v>21271</v>
      </c>
      <c r="L9415" s="417"/>
      <c r="M9415" s="417" t="s">
        <v>28840</v>
      </c>
    </row>
    <row r="9416" spans="1:13" x14ac:dyDescent="0.25">
      <c r="A9416" s="417" t="s">
        <v>3385</v>
      </c>
      <c r="B9416" s="417" t="s">
        <v>2437</v>
      </c>
      <c r="C9416" s="417" t="s">
        <v>21272</v>
      </c>
      <c r="D9416" s="417" t="s">
        <v>397</v>
      </c>
      <c r="E9416" s="423">
        <v>1.156957126387326</v>
      </c>
      <c r="F9416" s="423">
        <v>0.11843409176648061</v>
      </c>
      <c r="G9416" s="422">
        <v>3506.4591917213361</v>
      </c>
      <c r="H9416" s="417" t="s">
        <v>2616</v>
      </c>
      <c r="I9416" s="417" t="s">
        <v>1392</v>
      </c>
      <c r="J9416" s="417" t="s">
        <v>20833</v>
      </c>
      <c r="K9416" s="417" t="s">
        <v>21273</v>
      </c>
      <c r="L9416" s="417"/>
      <c r="M9416" s="417" t="s">
        <v>28840</v>
      </c>
    </row>
    <row r="9417" spans="1:13" x14ac:dyDescent="0.25">
      <c r="A9417" s="417" t="s">
        <v>3385</v>
      </c>
      <c r="B9417" s="417" t="s">
        <v>2437</v>
      </c>
      <c r="C9417" s="417" t="s">
        <v>21274</v>
      </c>
      <c r="D9417" s="417" t="s">
        <v>397</v>
      </c>
      <c r="E9417" s="423">
        <v>0.97310423354712627</v>
      </c>
      <c r="F9417" s="423">
        <v>6.7618217618062415E-2</v>
      </c>
      <c r="G9417" s="422">
        <v>2950.2252514231918</v>
      </c>
      <c r="H9417" s="417" t="s">
        <v>2616</v>
      </c>
      <c r="I9417" s="417" t="s">
        <v>1392</v>
      </c>
      <c r="J9417" s="417" t="s">
        <v>20833</v>
      </c>
      <c r="K9417" s="417" t="s">
        <v>21275</v>
      </c>
      <c r="L9417" s="417"/>
      <c r="M9417" s="417" t="s">
        <v>28840</v>
      </c>
    </row>
    <row r="9418" spans="1:13" x14ac:dyDescent="0.25">
      <c r="A9418" s="417" t="s">
        <v>3385</v>
      </c>
      <c r="B9418" s="417" t="s">
        <v>2437</v>
      </c>
      <c r="C9418" s="417" t="s">
        <v>21276</v>
      </c>
      <c r="D9418" s="417" t="s">
        <v>397</v>
      </c>
      <c r="E9418" s="423">
        <v>1.1903243292771479</v>
      </c>
      <c r="F9418" s="423">
        <v>0.12261241153317801</v>
      </c>
      <c r="G9418" s="422">
        <v>3614.801174765204</v>
      </c>
      <c r="H9418" s="417" t="s">
        <v>2616</v>
      </c>
      <c r="I9418" s="417" t="s">
        <v>1392</v>
      </c>
      <c r="J9418" s="417" t="s">
        <v>20833</v>
      </c>
      <c r="K9418" s="417" t="s">
        <v>21277</v>
      </c>
      <c r="L9418" s="417"/>
      <c r="M9418" s="417" t="s">
        <v>28840</v>
      </c>
    </row>
    <row r="9419" spans="1:13" x14ac:dyDescent="0.25">
      <c r="A9419" s="417" t="s">
        <v>3385</v>
      </c>
      <c r="B9419" s="417" t="s">
        <v>2437</v>
      </c>
      <c r="C9419" s="417" t="s">
        <v>21278</v>
      </c>
      <c r="D9419" s="417" t="s">
        <v>397</v>
      </c>
      <c r="E9419" s="423">
        <v>1.057707837594779</v>
      </c>
      <c r="F9419" s="423">
        <v>7.2690378803392922E-2</v>
      </c>
      <c r="G9419" s="422">
        <v>2347.0394050655241</v>
      </c>
      <c r="H9419" s="417" t="s">
        <v>2616</v>
      </c>
      <c r="I9419" s="417" t="s">
        <v>1392</v>
      </c>
      <c r="J9419" s="417" t="s">
        <v>20833</v>
      </c>
      <c r="K9419" s="417" t="s">
        <v>21279</v>
      </c>
      <c r="L9419" s="417"/>
      <c r="M9419" s="417" t="s">
        <v>28840</v>
      </c>
    </row>
    <row r="9420" spans="1:13" x14ac:dyDescent="0.25">
      <c r="A9420" s="417" t="s">
        <v>3385</v>
      </c>
      <c r="B9420" s="417" t="s">
        <v>2437</v>
      </c>
      <c r="C9420" s="417" t="s">
        <v>21280</v>
      </c>
      <c r="D9420" s="417" t="s">
        <v>397</v>
      </c>
      <c r="E9420" s="423">
        <v>0.43744317750682832</v>
      </c>
      <c r="F9420" s="423">
        <v>4.4392941623979207E-2</v>
      </c>
      <c r="G9420" s="422">
        <v>1307.8688474360049</v>
      </c>
      <c r="H9420" s="417" t="s">
        <v>2616</v>
      </c>
      <c r="I9420" s="417" t="s">
        <v>1392</v>
      </c>
      <c r="J9420" s="417" t="s">
        <v>20833</v>
      </c>
      <c r="K9420" s="417" t="s">
        <v>21281</v>
      </c>
      <c r="L9420" s="417"/>
      <c r="M9420" s="417" t="s">
        <v>28840</v>
      </c>
    </row>
    <row r="9421" spans="1:13" x14ac:dyDescent="0.25">
      <c r="A9421" s="417" t="s">
        <v>3385</v>
      </c>
      <c r="B9421" s="417" t="s">
        <v>2437</v>
      </c>
      <c r="C9421" s="417" t="s">
        <v>21282</v>
      </c>
      <c r="D9421" s="417" t="s">
        <v>397</v>
      </c>
      <c r="E9421" s="423">
        <v>1.0223935313208341</v>
      </c>
      <c r="F9421" s="423">
        <v>7.0235260848925896E-2</v>
      </c>
      <c r="G9421" s="422">
        <v>2297.780809053113</v>
      </c>
      <c r="H9421" s="417" t="s">
        <v>2616</v>
      </c>
      <c r="I9421" s="417" t="s">
        <v>1392</v>
      </c>
      <c r="J9421" s="417" t="s">
        <v>20833</v>
      </c>
      <c r="K9421" s="417" t="s">
        <v>21283</v>
      </c>
      <c r="L9421" s="417"/>
      <c r="M9421" s="417" t="s">
        <v>28840</v>
      </c>
    </row>
    <row r="9422" spans="1:13" x14ac:dyDescent="0.25">
      <c r="A9422" s="417" t="s">
        <v>3385</v>
      </c>
      <c r="B9422" s="417" t="s">
        <v>2437</v>
      </c>
      <c r="C9422" s="417" t="s">
        <v>21284</v>
      </c>
      <c r="D9422" s="417" t="s">
        <v>397</v>
      </c>
      <c r="E9422" s="423">
        <v>1.2491206102626931</v>
      </c>
      <c r="F9422" s="423">
        <v>0.12693981910265401</v>
      </c>
      <c r="G9422" s="422">
        <v>2751.593222130542</v>
      </c>
      <c r="H9422" s="417" t="s">
        <v>2616</v>
      </c>
      <c r="I9422" s="417" t="s">
        <v>1392</v>
      </c>
      <c r="J9422" s="417" t="s">
        <v>20833</v>
      </c>
      <c r="K9422" s="417" t="s">
        <v>21285</v>
      </c>
      <c r="L9422" s="417"/>
      <c r="M9422" s="417" t="s">
        <v>28840</v>
      </c>
    </row>
    <row r="9423" spans="1:13" x14ac:dyDescent="0.25">
      <c r="A9423" s="417" t="s">
        <v>3385</v>
      </c>
      <c r="B9423" s="417" t="s">
        <v>2437</v>
      </c>
      <c r="C9423" s="417" t="s">
        <v>21286</v>
      </c>
      <c r="D9423" s="417" t="s">
        <v>397</v>
      </c>
      <c r="E9423" s="423">
        <v>1.074369902628399</v>
      </c>
      <c r="F9423" s="423">
        <v>7.432840006166555E-2</v>
      </c>
      <c r="G9423" s="422">
        <v>2393.888045884813</v>
      </c>
      <c r="H9423" s="417" t="s">
        <v>2616</v>
      </c>
      <c r="I9423" s="417" t="s">
        <v>1392</v>
      </c>
      <c r="J9423" s="417" t="s">
        <v>20833</v>
      </c>
      <c r="K9423" s="417" t="s">
        <v>21287</v>
      </c>
      <c r="L9423" s="417"/>
      <c r="M9423" s="417" t="s">
        <v>28840</v>
      </c>
    </row>
    <row r="9424" spans="1:13" x14ac:dyDescent="0.25">
      <c r="A9424" s="417" t="s">
        <v>3385</v>
      </c>
      <c r="B9424" s="417" t="s">
        <v>2437</v>
      </c>
      <c r="C9424" s="417" t="s">
        <v>21288</v>
      </c>
      <c r="D9424" s="417" t="s">
        <v>397</v>
      </c>
      <c r="E9424" s="423">
        <v>1.315177948886163</v>
      </c>
      <c r="F9424" s="423">
        <v>0.13501045811044379</v>
      </c>
      <c r="G9424" s="422">
        <v>2875.9426972787942</v>
      </c>
      <c r="H9424" s="417" t="s">
        <v>2616</v>
      </c>
      <c r="I9424" s="417" t="s">
        <v>1392</v>
      </c>
      <c r="J9424" s="417" t="s">
        <v>20833</v>
      </c>
      <c r="K9424" s="417" t="s">
        <v>21289</v>
      </c>
      <c r="L9424" s="417"/>
      <c r="M9424" s="417" t="s">
        <v>28840</v>
      </c>
    </row>
    <row r="9425" spans="1:13" x14ac:dyDescent="0.25">
      <c r="A9425" s="417" t="s">
        <v>3385</v>
      </c>
      <c r="B9425" s="417" t="s">
        <v>2437</v>
      </c>
      <c r="C9425" s="417" t="s">
        <v>21290</v>
      </c>
      <c r="D9425" s="417" t="s">
        <v>397</v>
      </c>
      <c r="E9425" s="423">
        <v>1.127845684395886</v>
      </c>
      <c r="F9425" s="423">
        <v>7.6813161390323237E-2</v>
      </c>
      <c r="G9425" s="422">
        <v>2524.1931241312041</v>
      </c>
      <c r="H9425" s="417" t="s">
        <v>2616</v>
      </c>
      <c r="I9425" s="417" t="s">
        <v>1392</v>
      </c>
      <c r="J9425" s="417" t="s">
        <v>20833</v>
      </c>
      <c r="K9425" s="417" t="s">
        <v>21291</v>
      </c>
      <c r="L9425" s="417"/>
      <c r="M9425" s="417" t="s">
        <v>28840</v>
      </c>
    </row>
    <row r="9426" spans="1:13" x14ac:dyDescent="0.25">
      <c r="A9426" s="417" t="s">
        <v>3385</v>
      </c>
      <c r="B9426" s="417" t="s">
        <v>2437</v>
      </c>
      <c r="C9426" s="417" t="s">
        <v>21292</v>
      </c>
      <c r="D9426" s="417" t="s">
        <v>397</v>
      </c>
      <c r="E9426" s="423">
        <v>0.466204592648159</v>
      </c>
      <c r="F9426" s="423">
        <v>4.6831186424607138E-2</v>
      </c>
      <c r="G9426" s="422">
        <v>1384.227722981487</v>
      </c>
      <c r="H9426" s="417" t="s">
        <v>2616</v>
      </c>
      <c r="I9426" s="417" t="s">
        <v>1392</v>
      </c>
      <c r="J9426" s="417" t="s">
        <v>20833</v>
      </c>
      <c r="K9426" s="417" t="s">
        <v>21293</v>
      </c>
      <c r="L9426" s="417"/>
      <c r="M9426" s="417" t="s">
        <v>28840</v>
      </c>
    </row>
    <row r="9427" spans="1:13" x14ac:dyDescent="0.25">
      <c r="A9427" s="417" t="s">
        <v>3385</v>
      </c>
      <c r="B9427" s="417" t="s">
        <v>2437</v>
      </c>
      <c r="C9427" s="417" t="s">
        <v>21294</v>
      </c>
      <c r="D9427" s="417" t="s">
        <v>397</v>
      </c>
      <c r="E9427" s="423">
        <v>1.1039347975910609</v>
      </c>
      <c r="F9427" s="423">
        <v>7.5217581733328182E-2</v>
      </c>
      <c r="G9427" s="422">
        <v>2491.1261479572818</v>
      </c>
      <c r="H9427" s="417" t="s">
        <v>2616</v>
      </c>
      <c r="I9427" s="417" t="s">
        <v>1392</v>
      </c>
      <c r="J9427" s="417" t="s">
        <v>20833</v>
      </c>
      <c r="K9427" s="417" t="s">
        <v>21295</v>
      </c>
      <c r="L9427" s="417"/>
      <c r="M9427" s="417" t="s">
        <v>28840</v>
      </c>
    </row>
    <row r="9428" spans="1:13" x14ac:dyDescent="0.25">
      <c r="A9428" s="417" t="s">
        <v>3385</v>
      </c>
      <c r="B9428" s="417" t="s">
        <v>2437</v>
      </c>
      <c r="C9428" s="417" t="s">
        <v>21296</v>
      </c>
      <c r="D9428" s="417" t="s">
        <v>397</v>
      </c>
      <c r="E9428" s="423">
        <v>1.3449542308465869</v>
      </c>
      <c r="F9428" s="423">
        <v>0.1355384913776764</v>
      </c>
      <c r="G9428" s="422">
        <v>2991.1094894177022</v>
      </c>
      <c r="H9428" s="417" t="s">
        <v>2616</v>
      </c>
      <c r="I9428" s="417" t="s">
        <v>1392</v>
      </c>
      <c r="J9428" s="417" t="s">
        <v>20833</v>
      </c>
      <c r="K9428" s="417" t="s">
        <v>21297</v>
      </c>
      <c r="L9428" s="417"/>
      <c r="M9428" s="417" t="s">
        <v>28840</v>
      </c>
    </row>
    <row r="9429" spans="1:13" x14ac:dyDescent="0.25">
      <c r="A9429" s="417" t="s">
        <v>3385</v>
      </c>
      <c r="B9429" s="417" t="s">
        <v>2437</v>
      </c>
      <c r="C9429" s="417" t="s">
        <v>21298</v>
      </c>
      <c r="D9429" s="417" t="s">
        <v>397</v>
      </c>
      <c r="E9429" s="423">
        <v>1.1791476678174539</v>
      </c>
      <c r="F9429" s="423">
        <v>8.1018669855701247E-2</v>
      </c>
      <c r="G9429" s="422">
        <v>2630.4565467984239</v>
      </c>
      <c r="H9429" s="417" t="s">
        <v>2616</v>
      </c>
      <c r="I9429" s="417" t="s">
        <v>1392</v>
      </c>
      <c r="J9429" s="417" t="s">
        <v>20833</v>
      </c>
      <c r="K9429" s="417" t="s">
        <v>21299</v>
      </c>
      <c r="L9429" s="417"/>
      <c r="M9429" s="417" t="s">
        <v>28840</v>
      </c>
    </row>
    <row r="9430" spans="1:13" x14ac:dyDescent="0.25">
      <c r="A9430" s="417" t="s">
        <v>3385</v>
      </c>
      <c r="B9430" s="417" t="s">
        <v>2437</v>
      </c>
      <c r="C9430" s="417" t="s">
        <v>21300</v>
      </c>
      <c r="D9430" s="417" t="s">
        <v>397</v>
      </c>
      <c r="E9430" s="423">
        <v>1.4440972652840489</v>
      </c>
      <c r="F9430" s="423">
        <v>0.14702557928728069</v>
      </c>
      <c r="G9430" s="422">
        <v>3175.9730255941299</v>
      </c>
      <c r="H9430" s="417" t="s">
        <v>2616</v>
      </c>
      <c r="I9430" s="417" t="s">
        <v>1392</v>
      </c>
      <c r="J9430" s="417" t="s">
        <v>20833</v>
      </c>
      <c r="K9430" s="417" t="s">
        <v>21301</v>
      </c>
      <c r="L9430" s="417"/>
      <c r="M9430" s="417" t="s">
        <v>28840</v>
      </c>
    </row>
    <row r="9431" spans="1:13" x14ac:dyDescent="0.25">
      <c r="A9431" s="417" t="s">
        <v>3385</v>
      </c>
      <c r="B9431" s="417" t="s">
        <v>2437</v>
      </c>
      <c r="C9431" s="417" t="s">
        <v>21302</v>
      </c>
      <c r="D9431" s="417" t="s">
        <v>397</v>
      </c>
      <c r="E9431" s="423">
        <v>1.081011724316866</v>
      </c>
      <c r="F9431" s="423">
        <v>7.5490560655275415E-2</v>
      </c>
      <c r="G9431" s="422">
        <v>2249.0411350218178</v>
      </c>
      <c r="H9431" s="417" t="s">
        <v>2616</v>
      </c>
      <c r="I9431" s="417" t="s">
        <v>1392</v>
      </c>
      <c r="J9431" s="417" t="s">
        <v>20833</v>
      </c>
      <c r="K9431" s="417" t="s">
        <v>21303</v>
      </c>
      <c r="L9431" s="417"/>
      <c r="M9431" s="417" t="s">
        <v>28840</v>
      </c>
    </row>
    <row r="9432" spans="1:13" x14ac:dyDescent="0.25">
      <c r="A9432" s="417" t="s">
        <v>3385</v>
      </c>
      <c r="B9432" s="417" t="s">
        <v>2437</v>
      </c>
      <c r="C9432" s="417" t="s">
        <v>21304</v>
      </c>
      <c r="D9432" s="417" t="s">
        <v>397</v>
      </c>
      <c r="E9432" s="423">
        <v>0.44912518067352009</v>
      </c>
      <c r="F9432" s="423">
        <v>4.581246763588756E-2</v>
      </c>
      <c r="G9432" s="422">
        <v>1265.672728144493</v>
      </c>
      <c r="H9432" s="417" t="s">
        <v>2616</v>
      </c>
      <c r="I9432" s="417" t="s">
        <v>1392</v>
      </c>
      <c r="J9432" s="417" t="s">
        <v>20833</v>
      </c>
      <c r="K9432" s="417" t="s">
        <v>21305</v>
      </c>
      <c r="L9432" s="417"/>
      <c r="M9432" s="417" t="s">
        <v>28840</v>
      </c>
    </row>
    <row r="9433" spans="1:13" x14ac:dyDescent="0.25">
      <c r="A9433" s="417" t="s">
        <v>3385</v>
      </c>
      <c r="B9433" s="417" t="s">
        <v>2437</v>
      </c>
      <c r="C9433" s="417" t="s">
        <v>21306</v>
      </c>
      <c r="D9433" s="417" t="s">
        <v>397</v>
      </c>
      <c r="E9433" s="423">
        <v>1.0494177302212659</v>
      </c>
      <c r="F9433" s="423">
        <v>7.3324790556991148E-2</v>
      </c>
      <c r="G9433" s="422">
        <v>2210.4547443207689</v>
      </c>
      <c r="H9433" s="417" t="s">
        <v>2616</v>
      </c>
      <c r="I9433" s="417" t="s">
        <v>1392</v>
      </c>
      <c r="J9433" s="417" t="s">
        <v>20833</v>
      </c>
      <c r="K9433" s="417" t="s">
        <v>21307</v>
      </c>
      <c r="L9433" s="417"/>
      <c r="M9433" s="417" t="s">
        <v>28840</v>
      </c>
    </row>
    <row r="9434" spans="1:13" x14ac:dyDescent="0.25">
      <c r="A9434" s="417" t="s">
        <v>3385</v>
      </c>
      <c r="B9434" s="417" t="s">
        <v>2437</v>
      </c>
      <c r="C9434" s="417" t="s">
        <v>21308</v>
      </c>
      <c r="D9434" s="417" t="s">
        <v>397</v>
      </c>
      <c r="E9434" s="423">
        <v>1.286729175697559</v>
      </c>
      <c r="F9434" s="423">
        <v>0.1318232253302723</v>
      </c>
      <c r="G9434" s="422">
        <v>2636.953094037633</v>
      </c>
      <c r="H9434" s="417" t="s">
        <v>2616</v>
      </c>
      <c r="I9434" s="417" t="s">
        <v>1392</v>
      </c>
      <c r="J9434" s="417" t="s">
        <v>20833</v>
      </c>
      <c r="K9434" s="417" t="s">
        <v>21309</v>
      </c>
      <c r="L9434" s="417"/>
      <c r="M9434" s="417" t="s">
        <v>28840</v>
      </c>
    </row>
    <row r="9435" spans="1:13" x14ac:dyDescent="0.25">
      <c r="A9435" s="417" t="s">
        <v>3385</v>
      </c>
      <c r="B9435" s="417" t="s">
        <v>2437</v>
      </c>
      <c r="C9435" s="417" t="s">
        <v>21310</v>
      </c>
      <c r="D9435" s="417" t="s">
        <v>397</v>
      </c>
      <c r="E9435" s="423">
        <v>1.113336318666637</v>
      </c>
      <c r="F9435" s="423">
        <v>7.8273799646327857E-2</v>
      </c>
      <c r="G9435" s="422">
        <v>2311.986581807746</v>
      </c>
      <c r="H9435" s="417" t="s">
        <v>2616</v>
      </c>
      <c r="I9435" s="417" t="s">
        <v>1392</v>
      </c>
      <c r="J9435" s="417" t="s">
        <v>20833</v>
      </c>
      <c r="K9435" s="417" t="s">
        <v>21311</v>
      </c>
      <c r="L9435" s="417"/>
      <c r="M9435" s="417" t="s">
        <v>28840</v>
      </c>
    </row>
    <row r="9436" spans="1:13" x14ac:dyDescent="0.25">
      <c r="A9436" s="417" t="s">
        <v>3385</v>
      </c>
      <c r="B9436" s="417" t="s">
        <v>2437</v>
      </c>
      <c r="C9436" s="417" t="s">
        <v>21312</v>
      </c>
      <c r="D9436" s="417" t="s">
        <v>397</v>
      </c>
      <c r="E9436" s="423">
        <v>1.3697430502290959</v>
      </c>
      <c r="F9436" s="423">
        <v>0.14165553623323279</v>
      </c>
      <c r="G9436" s="422">
        <v>2772.030289916564</v>
      </c>
      <c r="H9436" s="417" t="s">
        <v>2616</v>
      </c>
      <c r="I9436" s="417" t="s">
        <v>1392</v>
      </c>
      <c r="J9436" s="417" t="s">
        <v>20833</v>
      </c>
      <c r="K9436" s="417" t="s">
        <v>21313</v>
      </c>
      <c r="L9436" s="417"/>
      <c r="M9436" s="417" t="s">
        <v>28840</v>
      </c>
    </row>
    <row r="9437" spans="1:13" x14ac:dyDescent="0.25">
      <c r="A9437" s="417" t="s">
        <v>3385</v>
      </c>
      <c r="B9437" s="417" t="s">
        <v>2437</v>
      </c>
      <c r="C9437" s="417" t="s">
        <v>21314</v>
      </c>
      <c r="D9437" s="417" t="s">
        <v>397</v>
      </c>
      <c r="E9437" s="423">
        <v>0.14213607315105389</v>
      </c>
      <c r="F9437" s="423">
        <v>9.5789734559945487E-3</v>
      </c>
      <c r="G9437" s="422">
        <v>371.03078176290921</v>
      </c>
      <c r="H9437" s="417" t="s">
        <v>2616</v>
      </c>
      <c r="I9437" s="417" t="s">
        <v>1392</v>
      </c>
      <c r="J9437" s="417" t="s">
        <v>20833</v>
      </c>
      <c r="K9437" s="417" t="s">
        <v>21315</v>
      </c>
      <c r="L9437" s="417"/>
      <c r="M9437" s="417" t="s">
        <v>28840</v>
      </c>
    </row>
    <row r="9438" spans="1:13" x14ac:dyDescent="0.25">
      <c r="A9438" s="417" t="s">
        <v>3385</v>
      </c>
      <c r="B9438" s="417" t="s">
        <v>2437</v>
      </c>
      <c r="C9438" s="417" t="s">
        <v>21316</v>
      </c>
      <c r="D9438" s="417" t="s">
        <v>397</v>
      </c>
      <c r="E9438" s="423">
        <v>0.15091255258428191</v>
      </c>
      <c r="F9438" s="423">
        <v>1.3923430224425409E-2</v>
      </c>
      <c r="G9438" s="422">
        <v>395.04227295912062</v>
      </c>
      <c r="H9438" s="417" t="s">
        <v>2616</v>
      </c>
      <c r="I9438" s="417" t="s">
        <v>1392</v>
      </c>
      <c r="J9438" s="417" t="s">
        <v>20833</v>
      </c>
      <c r="K9438" s="417" t="s">
        <v>21317</v>
      </c>
      <c r="L9438" s="417"/>
      <c r="M9438" s="417" t="s">
        <v>28840</v>
      </c>
    </row>
    <row r="9439" spans="1:13" x14ac:dyDescent="0.25">
      <c r="A9439" s="417" t="s">
        <v>3385</v>
      </c>
      <c r="B9439" s="417" t="s">
        <v>2437</v>
      </c>
      <c r="C9439" s="417" t="s">
        <v>21318</v>
      </c>
      <c r="D9439" s="417" t="s">
        <v>397</v>
      </c>
      <c r="E9439" s="423">
        <v>0.14950636697155739</v>
      </c>
      <c r="F9439" s="423">
        <v>1.014210376136581E-2</v>
      </c>
      <c r="G9439" s="422">
        <v>390.47962097552818</v>
      </c>
      <c r="H9439" s="417" t="s">
        <v>2616</v>
      </c>
      <c r="I9439" s="417" t="s">
        <v>1392</v>
      </c>
      <c r="J9439" s="417" t="s">
        <v>20833</v>
      </c>
      <c r="K9439" s="417" t="s">
        <v>21319</v>
      </c>
      <c r="L9439" s="417"/>
      <c r="M9439" s="417" t="s">
        <v>28840</v>
      </c>
    </row>
    <row r="9440" spans="1:13" x14ac:dyDescent="0.25">
      <c r="A9440" s="417" t="s">
        <v>3385</v>
      </c>
      <c r="B9440" s="417" t="s">
        <v>2437</v>
      </c>
      <c r="C9440" s="417" t="s">
        <v>21320</v>
      </c>
      <c r="D9440" s="417" t="s">
        <v>397</v>
      </c>
      <c r="E9440" s="423">
        <v>0.2198688777850939</v>
      </c>
      <c r="F9440" s="423">
        <v>2.037716059104086E-2</v>
      </c>
      <c r="G9440" s="422">
        <v>564.6270655417967</v>
      </c>
      <c r="H9440" s="417" t="s">
        <v>2616</v>
      </c>
      <c r="I9440" s="417" t="s">
        <v>1392</v>
      </c>
      <c r="J9440" s="417" t="s">
        <v>20833</v>
      </c>
      <c r="K9440" s="417" t="s">
        <v>21321</v>
      </c>
      <c r="L9440" s="417"/>
      <c r="M9440" s="417" t="s">
        <v>28840</v>
      </c>
    </row>
    <row r="9441" spans="1:13" x14ac:dyDescent="0.25">
      <c r="A9441" s="417" t="s">
        <v>3385</v>
      </c>
      <c r="B9441" s="417" t="s">
        <v>2437</v>
      </c>
      <c r="C9441" s="417" t="s">
        <v>21322</v>
      </c>
      <c r="D9441" s="417" t="s">
        <v>397</v>
      </c>
      <c r="E9441" s="423">
        <v>0.17515525857775879</v>
      </c>
      <c r="F9441" s="423">
        <v>1.207608591997392E-2</v>
      </c>
      <c r="G9441" s="422">
        <v>458.12241274279211</v>
      </c>
      <c r="H9441" s="417" t="s">
        <v>2616</v>
      </c>
      <c r="I9441" s="417" t="s">
        <v>1392</v>
      </c>
      <c r="J9441" s="417" t="s">
        <v>20833</v>
      </c>
      <c r="K9441" s="417" t="s">
        <v>21323</v>
      </c>
      <c r="L9441" s="417"/>
      <c r="M9441" s="417" t="s">
        <v>28840</v>
      </c>
    </row>
    <row r="9442" spans="1:13" x14ac:dyDescent="0.25">
      <c r="A9442" s="417" t="s">
        <v>3385</v>
      </c>
      <c r="B9442" s="417" t="s">
        <v>2437</v>
      </c>
      <c r="C9442" s="417" t="s">
        <v>21324</v>
      </c>
      <c r="D9442" s="417" t="s">
        <v>397</v>
      </c>
      <c r="E9442" s="423">
        <v>0.25285409794119929</v>
      </c>
      <c r="F9442" s="423">
        <v>2.419743266068625E-2</v>
      </c>
      <c r="G9442" s="422">
        <v>653.51413185223839</v>
      </c>
      <c r="H9442" s="417" t="s">
        <v>2616</v>
      </c>
      <c r="I9442" s="417" t="s">
        <v>1392</v>
      </c>
      <c r="J9442" s="417" t="s">
        <v>20833</v>
      </c>
      <c r="K9442" s="417" t="s">
        <v>21325</v>
      </c>
      <c r="L9442" s="417"/>
      <c r="M9442" s="417" t="s">
        <v>28840</v>
      </c>
    </row>
    <row r="9443" spans="1:13" x14ac:dyDescent="0.25">
      <c r="A9443" s="417" t="s">
        <v>3385</v>
      </c>
      <c r="B9443" s="417" t="s">
        <v>2437</v>
      </c>
      <c r="C9443" s="417" t="s">
        <v>21326</v>
      </c>
      <c r="D9443" s="417" t="s">
        <v>397</v>
      </c>
      <c r="E9443" s="423">
        <v>0.1423152846145401</v>
      </c>
      <c r="F9443" s="423">
        <v>9.5773713877338879E-3</v>
      </c>
      <c r="G9443" s="422">
        <v>267.20169030731688</v>
      </c>
      <c r="H9443" s="417" t="s">
        <v>2616</v>
      </c>
      <c r="I9443" s="417" t="s">
        <v>1392</v>
      </c>
      <c r="J9443" s="417" t="s">
        <v>20833</v>
      </c>
      <c r="K9443" s="417" t="s">
        <v>21327</v>
      </c>
      <c r="L9443" s="417"/>
      <c r="M9443" s="417" t="s">
        <v>28840</v>
      </c>
    </row>
    <row r="9444" spans="1:13" x14ac:dyDescent="0.25">
      <c r="A9444" s="417" t="s">
        <v>3385</v>
      </c>
      <c r="B9444" s="417" t="s">
        <v>2437</v>
      </c>
      <c r="C9444" s="417" t="s">
        <v>21328</v>
      </c>
      <c r="D9444" s="417" t="s">
        <v>397</v>
      </c>
      <c r="E9444" s="423">
        <v>0.1509561690753683</v>
      </c>
      <c r="F9444" s="423">
        <v>1.391103701139222E-2</v>
      </c>
      <c r="G9444" s="422">
        <v>293.53271400579598</v>
      </c>
      <c r="H9444" s="417" t="s">
        <v>2616</v>
      </c>
      <c r="I9444" s="417" t="s">
        <v>1392</v>
      </c>
      <c r="J9444" s="417" t="s">
        <v>20833</v>
      </c>
      <c r="K9444" s="417" t="s">
        <v>21329</v>
      </c>
      <c r="L9444" s="417"/>
      <c r="M9444" s="417" t="s">
        <v>28840</v>
      </c>
    </row>
    <row r="9445" spans="1:13" x14ac:dyDescent="0.25">
      <c r="A9445" s="417" t="s">
        <v>3385</v>
      </c>
      <c r="B9445" s="417" t="s">
        <v>2437</v>
      </c>
      <c r="C9445" s="417" t="s">
        <v>21330</v>
      </c>
      <c r="D9445" s="417" t="s">
        <v>397</v>
      </c>
      <c r="E9445" s="423">
        <v>0.14932259396894779</v>
      </c>
      <c r="F9445" s="423">
        <v>1.011202622976853E-2</v>
      </c>
      <c r="G9445" s="422">
        <v>278.92080891889827</v>
      </c>
      <c r="H9445" s="417" t="s">
        <v>2616</v>
      </c>
      <c r="I9445" s="417" t="s">
        <v>1392</v>
      </c>
      <c r="J9445" s="417" t="s">
        <v>20833</v>
      </c>
      <c r="K9445" s="417" t="s">
        <v>21331</v>
      </c>
      <c r="L9445" s="417"/>
      <c r="M9445" s="417" t="s">
        <v>28840</v>
      </c>
    </row>
    <row r="9446" spans="1:13" x14ac:dyDescent="0.25">
      <c r="A9446" s="417" t="s">
        <v>3385</v>
      </c>
      <c r="B9446" s="417" t="s">
        <v>2437</v>
      </c>
      <c r="C9446" s="417" t="s">
        <v>21332</v>
      </c>
      <c r="D9446" s="417" t="s">
        <v>397</v>
      </c>
      <c r="E9446" s="423">
        <v>0.219079352372367</v>
      </c>
      <c r="F9446" s="423">
        <v>2.0363585605388611E-2</v>
      </c>
      <c r="G9446" s="422">
        <v>415.08766088234262</v>
      </c>
      <c r="H9446" s="417" t="s">
        <v>2616</v>
      </c>
      <c r="I9446" s="417" t="s">
        <v>1392</v>
      </c>
      <c r="J9446" s="417" t="s">
        <v>20833</v>
      </c>
      <c r="K9446" s="417" t="s">
        <v>21333</v>
      </c>
      <c r="L9446" s="417"/>
      <c r="M9446" s="417" t="s">
        <v>28840</v>
      </c>
    </row>
    <row r="9447" spans="1:13" x14ac:dyDescent="0.25">
      <c r="A9447" s="417" t="s">
        <v>3385</v>
      </c>
      <c r="B9447" s="417" t="s">
        <v>2437</v>
      </c>
      <c r="C9447" s="417" t="s">
        <v>21334</v>
      </c>
      <c r="D9447" s="417" t="s">
        <v>397</v>
      </c>
      <c r="E9447" s="423">
        <v>0.1750022467680114</v>
      </c>
      <c r="F9447" s="423">
        <v>1.204522216589258E-2</v>
      </c>
      <c r="G9447" s="422">
        <v>320.63715709941641</v>
      </c>
      <c r="H9447" s="417" t="s">
        <v>2616</v>
      </c>
      <c r="I9447" s="417" t="s">
        <v>1392</v>
      </c>
      <c r="J9447" s="417" t="s">
        <v>20833</v>
      </c>
      <c r="K9447" s="417" t="s">
        <v>21335</v>
      </c>
      <c r="L9447" s="417"/>
      <c r="M9447" s="417" t="s">
        <v>28840</v>
      </c>
    </row>
    <row r="9448" spans="1:13" x14ac:dyDescent="0.25">
      <c r="A9448" s="417" t="s">
        <v>3385</v>
      </c>
      <c r="B9448" s="417" t="s">
        <v>2437</v>
      </c>
      <c r="C9448" s="417" t="s">
        <v>21336</v>
      </c>
      <c r="D9448" s="417" t="s">
        <v>397</v>
      </c>
      <c r="E9448" s="423">
        <v>0.25199633347399503</v>
      </c>
      <c r="F9448" s="423">
        <v>2.414559653650827E-2</v>
      </c>
      <c r="G9448" s="422">
        <v>470.83113107520131</v>
      </c>
      <c r="H9448" s="417" t="s">
        <v>2616</v>
      </c>
      <c r="I9448" s="417" t="s">
        <v>1392</v>
      </c>
      <c r="J9448" s="417" t="s">
        <v>20833</v>
      </c>
      <c r="K9448" s="417" t="s">
        <v>21337</v>
      </c>
      <c r="L9448" s="417"/>
      <c r="M9448" s="417" t="s">
        <v>28840</v>
      </c>
    </row>
    <row r="9449" spans="1:13" x14ac:dyDescent="0.25">
      <c r="A9449" s="417" t="s">
        <v>3385</v>
      </c>
      <c r="B9449" s="417" t="s">
        <v>2437</v>
      </c>
      <c r="C9449" s="417" t="s">
        <v>21338</v>
      </c>
      <c r="D9449" s="417" t="s">
        <v>397</v>
      </c>
      <c r="E9449" s="423">
        <v>0.1429484189050553</v>
      </c>
      <c r="F9449" s="423">
        <v>9.5757697627120893E-3</v>
      </c>
      <c r="G9449" s="422">
        <v>275.27278953834173</v>
      </c>
      <c r="H9449" s="417" t="s">
        <v>2616</v>
      </c>
      <c r="I9449" s="417" t="s">
        <v>1392</v>
      </c>
      <c r="J9449" s="417" t="s">
        <v>20833</v>
      </c>
      <c r="K9449" s="417" t="s">
        <v>21339</v>
      </c>
      <c r="L9449" s="417"/>
      <c r="M9449" s="417" t="s">
        <v>28840</v>
      </c>
    </row>
    <row r="9450" spans="1:13" x14ac:dyDescent="0.25">
      <c r="A9450" s="417" t="s">
        <v>3385</v>
      </c>
      <c r="B9450" s="417" t="s">
        <v>2437</v>
      </c>
      <c r="C9450" s="417" t="s">
        <v>21340</v>
      </c>
      <c r="D9450" s="417" t="s">
        <v>397</v>
      </c>
      <c r="E9450" s="423">
        <v>0.1513678103756462</v>
      </c>
      <c r="F9450" s="423">
        <v>1.388213710890473E-2</v>
      </c>
      <c r="G9450" s="422">
        <v>301.05831190602879</v>
      </c>
      <c r="H9450" s="417" t="s">
        <v>2616</v>
      </c>
      <c r="I9450" s="417" t="s">
        <v>1392</v>
      </c>
      <c r="J9450" s="417" t="s">
        <v>20833</v>
      </c>
      <c r="K9450" s="417" t="s">
        <v>21341</v>
      </c>
      <c r="L9450" s="417"/>
      <c r="M9450" s="417" t="s">
        <v>28840</v>
      </c>
    </row>
    <row r="9451" spans="1:13" x14ac:dyDescent="0.25">
      <c r="A9451" s="417" t="s">
        <v>3385</v>
      </c>
      <c r="B9451" s="417" t="s">
        <v>2437</v>
      </c>
      <c r="C9451" s="417" t="s">
        <v>21342</v>
      </c>
      <c r="D9451" s="417" t="s">
        <v>397</v>
      </c>
      <c r="E9451" s="423">
        <v>0.15000679017587559</v>
      </c>
      <c r="F9451" s="423">
        <v>1.0110426655988349E-2</v>
      </c>
      <c r="G9451" s="422">
        <v>287.5846751639661</v>
      </c>
      <c r="H9451" s="417" t="s">
        <v>2616</v>
      </c>
      <c r="I9451" s="417" t="s">
        <v>1392</v>
      </c>
      <c r="J9451" s="417" t="s">
        <v>20833</v>
      </c>
      <c r="K9451" s="417" t="s">
        <v>21343</v>
      </c>
      <c r="L9451" s="417"/>
      <c r="M9451" s="417" t="s">
        <v>28840</v>
      </c>
    </row>
    <row r="9452" spans="1:13" x14ac:dyDescent="0.25">
      <c r="A9452" s="417" t="s">
        <v>3385</v>
      </c>
      <c r="B9452" s="417" t="s">
        <v>2437</v>
      </c>
      <c r="C9452" s="417" t="s">
        <v>21344</v>
      </c>
      <c r="D9452" s="417" t="s">
        <v>397</v>
      </c>
      <c r="E9452" s="423">
        <v>0.2197468235564389</v>
      </c>
      <c r="F9452" s="423">
        <v>2.031992799164415E-2</v>
      </c>
      <c r="G9452" s="422">
        <v>426.07147196538949</v>
      </c>
      <c r="H9452" s="417" t="s">
        <v>2616</v>
      </c>
      <c r="I9452" s="417" t="s">
        <v>1392</v>
      </c>
      <c r="J9452" s="417" t="s">
        <v>20833</v>
      </c>
      <c r="K9452" s="417" t="s">
        <v>21345</v>
      </c>
      <c r="L9452" s="417"/>
      <c r="M9452" s="417" t="s">
        <v>28840</v>
      </c>
    </row>
    <row r="9453" spans="1:13" x14ac:dyDescent="0.25">
      <c r="A9453" s="417" t="s">
        <v>3385</v>
      </c>
      <c r="B9453" s="417" t="s">
        <v>2437</v>
      </c>
      <c r="C9453" s="417" t="s">
        <v>21346</v>
      </c>
      <c r="D9453" s="417" t="s">
        <v>397</v>
      </c>
      <c r="E9453" s="423">
        <v>0.17547767879808601</v>
      </c>
      <c r="F9453" s="423">
        <v>1.2015144635165989E-2</v>
      </c>
      <c r="G9453" s="422">
        <v>330.8365585759762</v>
      </c>
      <c r="H9453" s="417" t="s">
        <v>2616</v>
      </c>
      <c r="I9453" s="417" t="s">
        <v>1392</v>
      </c>
      <c r="J9453" s="417" t="s">
        <v>20833</v>
      </c>
      <c r="K9453" s="417" t="s">
        <v>21347</v>
      </c>
      <c r="L9453" s="417"/>
      <c r="M9453" s="417" t="s">
        <v>28840</v>
      </c>
    </row>
    <row r="9454" spans="1:13" x14ac:dyDescent="0.25">
      <c r="A9454" s="417" t="s">
        <v>3385</v>
      </c>
      <c r="B9454" s="417" t="s">
        <v>2437</v>
      </c>
      <c r="C9454" s="417" t="s">
        <v>21348</v>
      </c>
      <c r="D9454" s="417" t="s">
        <v>397</v>
      </c>
      <c r="E9454" s="423">
        <v>0.25299930280346039</v>
      </c>
      <c r="F9454" s="423">
        <v>2.4105514852218221E-2</v>
      </c>
      <c r="G9454" s="422">
        <v>484.62256672358279</v>
      </c>
      <c r="H9454" s="417" t="s">
        <v>2616</v>
      </c>
      <c r="I9454" s="417" t="s">
        <v>1392</v>
      </c>
      <c r="J9454" s="417" t="s">
        <v>20833</v>
      </c>
      <c r="K9454" s="417" t="s">
        <v>21349</v>
      </c>
      <c r="L9454" s="417"/>
      <c r="M9454" s="417" t="s">
        <v>28840</v>
      </c>
    </row>
    <row r="9455" spans="1:13" x14ac:dyDescent="0.25">
      <c r="A9455" s="417" t="s">
        <v>3385</v>
      </c>
      <c r="B9455" s="417" t="s">
        <v>2437</v>
      </c>
      <c r="C9455" s="417" t="s">
        <v>21350</v>
      </c>
      <c r="D9455" s="417" t="s">
        <v>397</v>
      </c>
      <c r="E9455" s="423">
        <v>0.14106257142534229</v>
      </c>
      <c r="F9455" s="423">
        <v>9.4809851292889623E-3</v>
      </c>
      <c r="G9455" s="422">
        <v>245.6597008855297</v>
      </c>
      <c r="H9455" s="417" t="s">
        <v>2616</v>
      </c>
      <c r="I9455" s="417" t="s">
        <v>1392</v>
      </c>
      <c r="J9455" s="417" t="s">
        <v>20833</v>
      </c>
      <c r="K9455" s="417" t="s">
        <v>21351</v>
      </c>
      <c r="L9455" s="417"/>
      <c r="M9455" s="417" t="s">
        <v>28840</v>
      </c>
    </row>
    <row r="9456" spans="1:13" x14ac:dyDescent="0.25">
      <c r="A9456" s="417" t="s">
        <v>3385</v>
      </c>
      <c r="B9456" s="417" t="s">
        <v>2437</v>
      </c>
      <c r="C9456" s="417" t="s">
        <v>21352</v>
      </c>
      <c r="D9456" s="417" t="s">
        <v>397</v>
      </c>
      <c r="E9456" s="423">
        <v>0.14916053851812039</v>
      </c>
      <c r="F9456" s="423">
        <v>1.37421749258293E-2</v>
      </c>
      <c r="G9456" s="422">
        <v>271.16493227386712</v>
      </c>
      <c r="H9456" s="417" t="s">
        <v>2616</v>
      </c>
      <c r="I9456" s="417" t="s">
        <v>1392</v>
      </c>
      <c r="J9456" s="417" t="s">
        <v>20833</v>
      </c>
      <c r="K9456" s="417" t="s">
        <v>21353</v>
      </c>
      <c r="L9456" s="417"/>
      <c r="M9456" s="417" t="s">
        <v>28840</v>
      </c>
    </row>
    <row r="9457" spans="1:13" x14ac:dyDescent="0.25">
      <c r="A9457" s="417" t="s">
        <v>3385</v>
      </c>
      <c r="B9457" s="417" t="s">
        <v>2437</v>
      </c>
      <c r="C9457" s="417" t="s">
        <v>21354</v>
      </c>
      <c r="D9457" s="417" t="s">
        <v>397</v>
      </c>
      <c r="E9457" s="423">
        <v>0.14773992319137769</v>
      </c>
      <c r="F9457" s="423">
        <v>9.9869214234673716E-3</v>
      </c>
      <c r="G9457" s="422">
        <v>255.5745559437822</v>
      </c>
      <c r="H9457" s="417" t="s">
        <v>2616</v>
      </c>
      <c r="I9457" s="417" t="s">
        <v>1392</v>
      </c>
      <c r="J9457" s="417" t="s">
        <v>20833</v>
      </c>
      <c r="K9457" s="417" t="s">
        <v>21355</v>
      </c>
      <c r="L9457" s="417"/>
      <c r="M9457" s="417" t="s">
        <v>28840</v>
      </c>
    </row>
    <row r="9458" spans="1:13" x14ac:dyDescent="0.25">
      <c r="A9458" s="417" t="s">
        <v>3385</v>
      </c>
      <c r="B9458" s="417" t="s">
        <v>2437</v>
      </c>
      <c r="C9458" s="417" t="s">
        <v>21356</v>
      </c>
      <c r="D9458" s="417" t="s">
        <v>397</v>
      </c>
      <c r="E9458" s="423">
        <v>0.21684509387350401</v>
      </c>
      <c r="F9458" s="423">
        <v>2.0084786388175319E-2</v>
      </c>
      <c r="G9458" s="422">
        <v>382.60080269489288</v>
      </c>
      <c r="H9458" s="417" t="s">
        <v>2616</v>
      </c>
      <c r="I9458" s="417" t="s">
        <v>1392</v>
      </c>
      <c r="J9458" s="417" t="s">
        <v>20833</v>
      </c>
      <c r="K9458" s="417" t="s">
        <v>21357</v>
      </c>
      <c r="L9458" s="417"/>
      <c r="M9458" s="417" t="s">
        <v>28840</v>
      </c>
    </row>
    <row r="9459" spans="1:13" x14ac:dyDescent="0.25">
      <c r="A9459" s="417" t="s">
        <v>3385</v>
      </c>
      <c r="B9459" s="417" t="s">
        <v>2437</v>
      </c>
      <c r="C9459" s="417" t="s">
        <v>21358</v>
      </c>
      <c r="D9459" s="417" t="s">
        <v>397</v>
      </c>
      <c r="E9459" s="423">
        <v>0.17286309596339491</v>
      </c>
      <c r="F9459" s="423">
        <v>1.186347537476295E-2</v>
      </c>
      <c r="G9459" s="422">
        <v>291.61091931114908</v>
      </c>
      <c r="H9459" s="417" t="s">
        <v>2616</v>
      </c>
      <c r="I9459" s="417" t="s">
        <v>1392</v>
      </c>
      <c r="J9459" s="417" t="s">
        <v>20833</v>
      </c>
      <c r="K9459" s="417" t="s">
        <v>21359</v>
      </c>
      <c r="L9459" s="417"/>
      <c r="M9459" s="417" t="s">
        <v>28840</v>
      </c>
    </row>
    <row r="9460" spans="1:13" x14ac:dyDescent="0.25">
      <c r="A9460" s="417" t="s">
        <v>3385</v>
      </c>
      <c r="B9460" s="417" t="s">
        <v>2437</v>
      </c>
      <c r="C9460" s="417" t="s">
        <v>21360</v>
      </c>
      <c r="D9460" s="417" t="s">
        <v>397</v>
      </c>
      <c r="E9460" s="423">
        <v>0.2487864116482493</v>
      </c>
      <c r="F9460" s="423">
        <v>2.3737966620765501E-2</v>
      </c>
      <c r="G9460" s="422">
        <v>430.28360169995108</v>
      </c>
      <c r="H9460" s="417" t="s">
        <v>2616</v>
      </c>
      <c r="I9460" s="417" t="s">
        <v>1392</v>
      </c>
      <c r="J9460" s="417" t="s">
        <v>20833</v>
      </c>
      <c r="K9460" s="417" t="s">
        <v>21361</v>
      </c>
      <c r="L9460" s="417"/>
      <c r="M9460" s="417" t="s">
        <v>28840</v>
      </c>
    </row>
    <row r="9461" spans="1:13" x14ac:dyDescent="0.25">
      <c r="A9461" s="417" t="s">
        <v>3385</v>
      </c>
      <c r="B9461" s="417" t="s">
        <v>2437</v>
      </c>
      <c r="C9461" s="417" t="s">
        <v>21362</v>
      </c>
      <c r="D9461" s="417" t="s">
        <v>397</v>
      </c>
      <c r="E9461" s="423">
        <v>0.14183727246203001</v>
      </c>
      <c r="F9461" s="423">
        <v>9.5228984750516908E-3</v>
      </c>
      <c r="G9461" s="422">
        <v>264.35422862104753</v>
      </c>
      <c r="H9461" s="417" t="s">
        <v>2616</v>
      </c>
      <c r="I9461" s="417" t="s">
        <v>1392</v>
      </c>
      <c r="J9461" s="417" t="s">
        <v>20833</v>
      </c>
      <c r="K9461" s="417" t="s">
        <v>21363</v>
      </c>
      <c r="L9461" s="417"/>
      <c r="M9461" s="417" t="s">
        <v>28840</v>
      </c>
    </row>
    <row r="9462" spans="1:13" x14ac:dyDescent="0.25">
      <c r="A9462" s="417" t="s">
        <v>3385</v>
      </c>
      <c r="B9462" s="417" t="s">
        <v>2437</v>
      </c>
      <c r="C9462" s="417" t="s">
        <v>21364</v>
      </c>
      <c r="D9462" s="417" t="s">
        <v>397</v>
      </c>
      <c r="E9462" s="423">
        <v>0.1487004773061521</v>
      </c>
      <c r="F9462" s="423">
        <v>1.004318034594172E-2</v>
      </c>
      <c r="G9462" s="422">
        <v>275.74606644740891</v>
      </c>
      <c r="H9462" s="417" t="s">
        <v>2616</v>
      </c>
      <c r="I9462" s="417" t="s">
        <v>1392</v>
      </c>
      <c r="J9462" s="417" t="s">
        <v>20833</v>
      </c>
      <c r="K9462" s="417" t="s">
        <v>21365</v>
      </c>
      <c r="L9462" s="417"/>
      <c r="M9462" s="417" t="s">
        <v>28840</v>
      </c>
    </row>
    <row r="9463" spans="1:13" x14ac:dyDescent="0.25">
      <c r="A9463" s="417" t="s">
        <v>3385</v>
      </c>
      <c r="B9463" s="417" t="s">
        <v>2437</v>
      </c>
      <c r="C9463" s="417" t="s">
        <v>21366</v>
      </c>
      <c r="D9463" s="417" t="s">
        <v>397</v>
      </c>
      <c r="E9463" s="423">
        <v>0.1739894128789998</v>
      </c>
      <c r="F9463" s="423">
        <v>1.193416710166093E-2</v>
      </c>
      <c r="G9463" s="422">
        <v>316.40535787627749</v>
      </c>
      <c r="H9463" s="417" t="s">
        <v>2616</v>
      </c>
      <c r="I9463" s="417" t="s">
        <v>1392</v>
      </c>
      <c r="J9463" s="417" t="s">
        <v>20833</v>
      </c>
      <c r="K9463" s="417" t="s">
        <v>21367</v>
      </c>
      <c r="L9463" s="417"/>
      <c r="M9463" s="417" t="s">
        <v>28840</v>
      </c>
    </row>
    <row r="9464" spans="1:13" x14ac:dyDescent="0.25">
      <c r="A9464" s="417" t="s">
        <v>3385</v>
      </c>
      <c r="B9464" s="417" t="s">
        <v>2437</v>
      </c>
      <c r="C9464" s="417" t="s">
        <v>21368</v>
      </c>
      <c r="D9464" s="417" t="s">
        <v>397</v>
      </c>
      <c r="E9464" s="423">
        <v>0.15962429797199459</v>
      </c>
      <c r="F9464" s="423">
        <v>1.068770441239298E-2</v>
      </c>
      <c r="G9464" s="422">
        <v>412.42517062625888</v>
      </c>
      <c r="H9464" s="417" t="s">
        <v>2616</v>
      </c>
      <c r="I9464" s="417" t="s">
        <v>1392</v>
      </c>
      <c r="J9464" s="417" t="s">
        <v>20833</v>
      </c>
      <c r="K9464" s="417" t="s">
        <v>21369</v>
      </c>
      <c r="L9464" s="417"/>
      <c r="M9464" s="417" t="s">
        <v>28840</v>
      </c>
    </row>
    <row r="9465" spans="1:13" x14ac:dyDescent="0.25">
      <c r="A9465" s="417" t="s">
        <v>3385</v>
      </c>
      <c r="B9465" s="417" t="s">
        <v>2437</v>
      </c>
      <c r="C9465" s="417" t="s">
        <v>21370</v>
      </c>
      <c r="D9465" s="417" t="s">
        <v>397</v>
      </c>
      <c r="E9465" s="423">
        <v>0.1415442818498574</v>
      </c>
      <c r="F9465" s="423">
        <v>1.4051851355241131E-2</v>
      </c>
      <c r="G9465" s="422">
        <v>383.87557141714342</v>
      </c>
      <c r="H9465" s="417" t="s">
        <v>2616</v>
      </c>
      <c r="I9465" s="417" t="s">
        <v>1392</v>
      </c>
      <c r="J9465" s="417" t="s">
        <v>20833</v>
      </c>
      <c r="K9465" s="417" t="s">
        <v>21371</v>
      </c>
      <c r="L9465" s="417"/>
      <c r="M9465" s="417" t="s">
        <v>28840</v>
      </c>
    </row>
    <row r="9466" spans="1:13" x14ac:dyDescent="0.25">
      <c r="A9466" s="417" t="s">
        <v>3385</v>
      </c>
      <c r="B9466" s="417" t="s">
        <v>2437</v>
      </c>
      <c r="C9466" s="417" t="s">
        <v>21372</v>
      </c>
      <c r="D9466" s="417" t="s">
        <v>397</v>
      </c>
      <c r="E9466" s="423">
        <v>0.1669941374804971</v>
      </c>
      <c r="F9466" s="423">
        <v>1.125079341723066E-2</v>
      </c>
      <c r="G9466" s="422">
        <v>432.23250470220421</v>
      </c>
      <c r="H9466" s="417" t="s">
        <v>2616</v>
      </c>
      <c r="I9466" s="417" t="s">
        <v>1392</v>
      </c>
      <c r="J9466" s="417" t="s">
        <v>20833</v>
      </c>
      <c r="K9466" s="417" t="s">
        <v>21373</v>
      </c>
      <c r="L9466" s="417"/>
      <c r="M9466" s="417" t="s">
        <v>28840</v>
      </c>
    </row>
    <row r="9467" spans="1:13" x14ac:dyDescent="0.25">
      <c r="A9467" s="417" t="s">
        <v>3385</v>
      </c>
      <c r="B9467" s="417" t="s">
        <v>2437</v>
      </c>
      <c r="C9467" s="417" t="s">
        <v>21374</v>
      </c>
      <c r="D9467" s="417" t="s">
        <v>397</v>
      </c>
      <c r="E9467" s="423">
        <v>0.2071805979447148</v>
      </c>
      <c r="F9467" s="423">
        <v>2.0748632879414641E-2</v>
      </c>
      <c r="G9467" s="422">
        <v>551.7440857493566</v>
      </c>
      <c r="H9467" s="417" t="s">
        <v>2616</v>
      </c>
      <c r="I9467" s="417" t="s">
        <v>1392</v>
      </c>
      <c r="J9467" s="417" t="s">
        <v>20833</v>
      </c>
      <c r="K9467" s="417" t="s">
        <v>21375</v>
      </c>
      <c r="L9467" s="417"/>
      <c r="M9467" s="417" t="s">
        <v>28840</v>
      </c>
    </row>
    <row r="9468" spans="1:13" x14ac:dyDescent="0.25">
      <c r="A9468" s="417" t="s">
        <v>3385</v>
      </c>
      <c r="B9468" s="417" t="s">
        <v>2437</v>
      </c>
      <c r="C9468" s="417" t="s">
        <v>21376</v>
      </c>
      <c r="D9468" s="417" t="s">
        <v>397</v>
      </c>
      <c r="E9468" s="423">
        <v>0.2009355045394734</v>
      </c>
      <c r="F9468" s="423">
        <v>1.381055661624829E-2</v>
      </c>
      <c r="G9468" s="422">
        <v>521.01501915418362</v>
      </c>
      <c r="H9468" s="417" t="s">
        <v>2616</v>
      </c>
      <c r="I9468" s="417" t="s">
        <v>1392</v>
      </c>
      <c r="J9468" s="417" t="s">
        <v>20833</v>
      </c>
      <c r="K9468" s="417" t="s">
        <v>21377</v>
      </c>
      <c r="L9468" s="417"/>
      <c r="M9468" s="417" t="s">
        <v>28840</v>
      </c>
    </row>
    <row r="9469" spans="1:13" x14ac:dyDescent="0.25">
      <c r="A9469" s="417" t="s">
        <v>3385</v>
      </c>
      <c r="B9469" s="417" t="s">
        <v>2437</v>
      </c>
      <c r="C9469" s="417" t="s">
        <v>21378</v>
      </c>
      <c r="D9469" s="417" t="s">
        <v>397</v>
      </c>
      <c r="E9469" s="423">
        <v>0.2517553265846697</v>
      </c>
      <c r="F9469" s="423">
        <v>2.593369598780559E-2</v>
      </c>
      <c r="G9469" s="422">
        <v>672.51020794487476</v>
      </c>
      <c r="H9469" s="417" t="s">
        <v>2616</v>
      </c>
      <c r="I9469" s="417" t="s">
        <v>1392</v>
      </c>
      <c r="J9469" s="417" t="s">
        <v>20833</v>
      </c>
      <c r="K9469" s="417" t="s">
        <v>21379</v>
      </c>
      <c r="L9469" s="417"/>
      <c r="M9469" s="417" t="s">
        <v>28840</v>
      </c>
    </row>
    <row r="9470" spans="1:13" x14ac:dyDescent="0.25">
      <c r="A9470" s="417" t="s">
        <v>3385</v>
      </c>
      <c r="B9470" s="417" t="s">
        <v>2437</v>
      </c>
      <c r="C9470" s="417" t="s">
        <v>21380</v>
      </c>
      <c r="D9470" s="417" t="s">
        <v>397</v>
      </c>
      <c r="E9470" s="423">
        <v>0.15979717437650831</v>
      </c>
      <c r="F9470" s="423">
        <v>1.0685317521117101E-2</v>
      </c>
      <c r="G9470" s="422">
        <v>298.70278702458188</v>
      </c>
      <c r="H9470" s="417" t="s">
        <v>2616</v>
      </c>
      <c r="I9470" s="417" t="s">
        <v>1392</v>
      </c>
      <c r="J9470" s="417" t="s">
        <v>20833</v>
      </c>
      <c r="K9470" s="417" t="s">
        <v>21381</v>
      </c>
      <c r="L9470" s="417"/>
      <c r="M9470" s="417" t="s">
        <v>28840</v>
      </c>
    </row>
    <row r="9471" spans="1:13" x14ac:dyDescent="0.25">
      <c r="A9471" s="417" t="s">
        <v>3385</v>
      </c>
      <c r="B9471" s="417" t="s">
        <v>2437</v>
      </c>
      <c r="C9471" s="417" t="s">
        <v>21382</v>
      </c>
      <c r="D9471" s="417" t="s">
        <v>397</v>
      </c>
      <c r="E9471" s="423">
        <v>0.14165324536760379</v>
      </c>
      <c r="F9471" s="423">
        <v>1.4050709478215989E-2</v>
      </c>
      <c r="G9471" s="422">
        <v>272.97086514464871</v>
      </c>
      <c r="H9471" s="417" t="s">
        <v>2616</v>
      </c>
      <c r="I9471" s="417" t="s">
        <v>1392</v>
      </c>
      <c r="J9471" s="417" t="s">
        <v>20833</v>
      </c>
      <c r="K9471" s="417" t="s">
        <v>21383</v>
      </c>
      <c r="L9471" s="417"/>
      <c r="M9471" s="417" t="s">
        <v>28840</v>
      </c>
    </row>
    <row r="9472" spans="1:13" x14ac:dyDescent="0.25">
      <c r="A9472" s="417" t="s">
        <v>3385</v>
      </c>
      <c r="B9472" s="417" t="s">
        <v>2437</v>
      </c>
      <c r="C9472" s="417" t="s">
        <v>21384</v>
      </c>
      <c r="D9472" s="417" t="s">
        <v>397</v>
      </c>
      <c r="E9472" s="423">
        <v>0.1671831414975683</v>
      </c>
      <c r="F9472" s="423">
        <v>1.124840652531281E-2</v>
      </c>
      <c r="G9472" s="422">
        <v>311.11156421016341</v>
      </c>
      <c r="H9472" s="417" t="s">
        <v>2616</v>
      </c>
      <c r="I9472" s="417" t="s">
        <v>1392</v>
      </c>
      <c r="J9472" s="417" t="s">
        <v>20833</v>
      </c>
      <c r="K9472" s="417" t="s">
        <v>21385</v>
      </c>
      <c r="L9472" s="417"/>
      <c r="M9472" s="417" t="s">
        <v>28840</v>
      </c>
    </row>
    <row r="9473" spans="1:13" x14ac:dyDescent="0.25">
      <c r="A9473" s="417" t="s">
        <v>3385</v>
      </c>
      <c r="B9473" s="417" t="s">
        <v>2437</v>
      </c>
      <c r="C9473" s="417" t="s">
        <v>21386</v>
      </c>
      <c r="D9473" s="417" t="s">
        <v>397</v>
      </c>
      <c r="E9473" s="423">
        <v>0.20740997211962861</v>
      </c>
      <c r="F9473" s="423">
        <v>2.0720424415978381E-2</v>
      </c>
      <c r="G9473" s="422">
        <v>387.4033451052639</v>
      </c>
      <c r="H9473" s="417" t="s">
        <v>2616</v>
      </c>
      <c r="I9473" s="417" t="s">
        <v>1392</v>
      </c>
      <c r="J9473" s="417" t="s">
        <v>20833</v>
      </c>
      <c r="K9473" s="417" t="s">
        <v>21387</v>
      </c>
      <c r="L9473" s="417"/>
      <c r="M9473" s="417" t="s">
        <v>28840</v>
      </c>
    </row>
    <row r="9474" spans="1:13" x14ac:dyDescent="0.25">
      <c r="A9474" s="417" t="s">
        <v>3385</v>
      </c>
      <c r="B9474" s="417" t="s">
        <v>2437</v>
      </c>
      <c r="C9474" s="417" t="s">
        <v>21388</v>
      </c>
      <c r="D9474" s="417" t="s">
        <v>397</v>
      </c>
      <c r="E9474" s="423">
        <v>0.20122915982061601</v>
      </c>
      <c r="F9474" s="423">
        <v>1.380894207844521E-2</v>
      </c>
      <c r="G9474" s="422">
        <v>365.92161870979282</v>
      </c>
      <c r="H9474" s="417" t="s">
        <v>2616</v>
      </c>
      <c r="I9474" s="417" t="s">
        <v>1392</v>
      </c>
      <c r="J9474" s="417" t="s">
        <v>20833</v>
      </c>
      <c r="K9474" s="417" t="s">
        <v>21389</v>
      </c>
      <c r="L9474" s="417"/>
      <c r="M9474" s="417" t="s">
        <v>28840</v>
      </c>
    </row>
    <row r="9475" spans="1:13" x14ac:dyDescent="0.25">
      <c r="A9475" s="417" t="s">
        <v>3385</v>
      </c>
      <c r="B9475" s="417" t="s">
        <v>2437</v>
      </c>
      <c r="C9475" s="417" t="s">
        <v>21390</v>
      </c>
      <c r="D9475" s="417" t="s">
        <v>397</v>
      </c>
      <c r="E9475" s="423">
        <v>0.25210646860891223</v>
      </c>
      <c r="F9475" s="423">
        <v>2.5896038183308091E-2</v>
      </c>
      <c r="G9475" s="422">
        <v>462.64050046208501</v>
      </c>
      <c r="H9475" s="417" t="s">
        <v>2616</v>
      </c>
      <c r="I9475" s="417" t="s">
        <v>1392</v>
      </c>
      <c r="J9475" s="417" t="s">
        <v>20833</v>
      </c>
      <c r="K9475" s="417" t="s">
        <v>21391</v>
      </c>
      <c r="L9475" s="417"/>
      <c r="M9475" s="417" t="s">
        <v>28840</v>
      </c>
    </row>
    <row r="9476" spans="1:13" x14ac:dyDescent="0.25">
      <c r="A9476" s="417" t="s">
        <v>3385</v>
      </c>
      <c r="B9476" s="417" t="s">
        <v>2437</v>
      </c>
      <c r="C9476" s="417" t="s">
        <v>21392</v>
      </c>
      <c r="D9476" s="417" t="s">
        <v>397</v>
      </c>
      <c r="E9476" s="423">
        <v>0.16047152030978701</v>
      </c>
      <c r="F9476" s="423">
        <v>1.0682930608093709E-2</v>
      </c>
      <c r="G9476" s="422">
        <v>307.50782767890479</v>
      </c>
      <c r="H9476" s="417" t="s">
        <v>2616</v>
      </c>
      <c r="I9476" s="417" t="s">
        <v>1392</v>
      </c>
      <c r="J9476" s="417" t="s">
        <v>20833</v>
      </c>
      <c r="K9476" s="417" t="s">
        <v>21393</v>
      </c>
      <c r="L9476" s="417"/>
      <c r="M9476" s="417" t="s">
        <v>28840</v>
      </c>
    </row>
    <row r="9477" spans="1:13" x14ac:dyDescent="0.25">
      <c r="A9477" s="417" t="s">
        <v>3385</v>
      </c>
      <c r="B9477" s="417" t="s">
        <v>2437</v>
      </c>
      <c r="C9477" s="417" t="s">
        <v>21394</v>
      </c>
      <c r="D9477" s="417" t="s">
        <v>397</v>
      </c>
      <c r="E9477" s="423">
        <v>0.14225159643678989</v>
      </c>
      <c r="F9477" s="423">
        <v>1.4039567632984241E-2</v>
      </c>
      <c r="G9477" s="422">
        <v>281.63780750865271</v>
      </c>
      <c r="H9477" s="417" t="s">
        <v>2616</v>
      </c>
      <c r="I9477" s="417" t="s">
        <v>1392</v>
      </c>
      <c r="J9477" s="417" t="s">
        <v>20833</v>
      </c>
      <c r="K9477" s="417" t="s">
        <v>21395</v>
      </c>
      <c r="L9477" s="417"/>
      <c r="M9477" s="417" t="s">
        <v>28840</v>
      </c>
    </row>
    <row r="9478" spans="1:13" x14ac:dyDescent="0.25">
      <c r="A9478" s="417" t="s">
        <v>3385</v>
      </c>
      <c r="B9478" s="417" t="s">
        <v>2437</v>
      </c>
      <c r="C9478" s="417" t="s">
        <v>21396</v>
      </c>
      <c r="D9478" s="417" t="s">
        <v>397</v>
      </c>
      <c r="E9478" s="423">
        <v>0.1679353733788935</v>
      </c>
      <c r="F9478" s="423">
        <v>1.1246794480670921E-2</v>
      </c>
      <c r="G9478" s="422">
        <v>320.58367014540448</v>
      </c>
      <c r="H9478" s="417" t="s">
        <v>2616</v>
      </c>
      <c r="I9478" s="417" t="s">
        <v>1392</v>
      </c>
      <c r="J9478" s="417" t="s">
        <v>20833</v>
      </c>
      <c r="K9478" s="417" t="s">
        <v>21397</v>
      </c>
      <c r="L9478" s="417"/>
      <c r="M9478" s="417" t="s">
        <v>28840</v>
      </c>
    </row>
    <row r="9479" spans="1:13" x14ac:dyDescent="0.25">
      <c r="A9479" s="417" t="s">
        <v>3385</v>
      </c>
      <c r="B9479" s="417" t="s">
        <v>2437</v>
      </c>
      <c r="C9479" s="417" t="s">
        <v>21398</v>
      </c>
      <c r="D9479" s="417" t="s">
        <v>397</v>
      </c>
      <c r="E9479" s="423">
        <v>0.20735199679478961</v>
      </c>
      <c r="F9479" s="423">
        <v>2.070569359400929E-2</v>
      </c>
      <c r="G9479" s="422">
        <v>398.99277714108553</v>
      </c>
      <c r="H9479" s="417" t="s">
        <v>2616</v>
      </c>
      <c r="I9479" s="417" t="s">
        <v>1392</v>
      </c>
      <c r="J9479" s="417" t="s">
        <v>20833</v>
      </c>
      <c r="K9479" s="417" t="s">
        <v>21399</v>
      </c>
      <c r="L9479" s="417"/>
      <c r="M9479" s="417" t="s">
        <v>28840</v>
      </c>
    </row>
    <row r="9480" spans="1:13" x14ac:dyDescent="0.25">
      <c r="A9480" s="417" t="s">
        <v>3385</v>
      </c>
      <c r="B9480" s="417" t="s">
        <v>2437</v>
      </c>
      <c r="C9480" s="417" t="s">
        <v>21400</v>
      </c>
      <c r="D9480" s="417" t="s">
        <v>397</v>
      </c>
      <c r="E9480" s="423">
        <v>0.20180076085286411</v>
      </c>
      <c r="F9480" s="423">
        <v>1.377808221666681E-2</v>
      </c>
      <c r="G9480" s="422">
        <v>377.53049226123039</v>
      </c>
      <c r="H9480" s="417" t="s">
        <v>2616</v>
      </c>
      <c r="I9480" s="417" t="s">
        <v>1392</v>
      </c>
      <c r="J9480" s="417" t="s">
        <v>20833</v>
      </c>
      <c r="K9480" s="417" t="s">
        <v>21401</v>
      </c>
      <c r="L9480" s="417"/>
      <c r="M9480" s="417" t="s">
        <v>28840</v>
      </c>
    </row>
    <row r="9481" spans="1:13" x14ac:dyDescent="0.25">
      <c r="A9481" s="417" t="s">
        <v>3385</v>
      </c>
      <c r="B9481" s="417" t="s">
        <v>2437</v>
      </c>
      <c r="C9481" s="417" t="s">
        <v>21402</v>
      </c>
      <c r="D9481" s="417" t="s">
        <v>397</v>
      </c>
      <c r="E9481" s="423">
        <v>0.25336075906471728</v>
      </c>
      <c r="F9481" s="423">
        <v>2.5857831497422511E-2</v>
      </c>
      <c r="G9481" s="422">
        <v>478.95674320756319</v>
      </c>
      <c r="H9481" s="417" t="s">
        <v>2616</v>
      </c>
      <c r="I9481" s="417" t="s">
        <v>1392</v>
      </c>
      <c r="J9481" s="417" t="s">
        <v>20833</v>
      </c>
      <c r="K9481" s="417" t="s">
        <v>21403</v>
      </c>
      <c r="L9481" s="417"/>
      <c r="M9481" s="417" t="s">
        <v>28840</v>
      </c>
    </row>
    <row r="9482" spans="1:13" x14ac:dyDescent="0.25">
      <c r="A9482" s="417" t="s">
        <v>3385</v>
      </c>
      <c r="B9482" s="417" t="s">
        <v>2437</v>
      </c>
      <c r="C9482" s="417" t="s">
        <v>21404</v>
      </c>
      <c r="D9482" s="417" t="s">
        <v>397</v>
      </c>
      <c r="E9482" s="423">
        <v>0.15859218293319249</v>
      </c>
      <c r="F9482" s="423">
        <v>1.058823082991751E-2</v>
      </c>
      <c r="G9482" s="422">
        <v>275.31569081154771</v>
      </c>
      <c r="H9482" s="417" t="s">
        <v>2616</v>
      </c>
      <c r="I9482" s="417" t="s">
        <v>1392</v>
      </c>
      <c r="J9482" s="417" t="s">
        <v>20833</v>
      </c>
      <c r="K9482" s="417" t="s">
        <v>21405</v>
      </c>
      <c r="L9482" s="417"/>
      <c r="M9482" s="417" t="s">
        <v>28840</v>
      </c>
    </row>
    <row r="9483" spans="1:13" x14ac:dyDescent="0.25">
      <c r="A9483" s="417" t="s">
        <v>3385</v>
      </c>
      <c r="B9483" s="417" t="s">
        <v>2437</v>
      </c>
      <c r="C9483" s="417" t="s">
        <v>21406</v>
      </c>
      <c r="D9483" s="417" t="s">
        <v>397</v>
      </c>
      <c r="E9483" s="423">
        <v>0.14068759063932851</v>
      </c>
      <c r="F9483" s="423">
        <v>1.3901874850013299E-2</v>
      </c>
      <c r="G9483" s="422">
        <v>251.9398905191467</v>
      </c>
      <c r="H9483" s="417" t="s">
        <v>2616</v>
      </c>
      <c r="I9483" s="417" t="s">
        <v>1392</v>
      </c>
      <c r="J9483" s="417" t="s">
        <v>20833</v>
      </c>
      <c r="K9483" s="417" t="s">
        <v>21407</v>
      </c>
      <c r="L9483" s="417"/>
      <c r="M9483" s="417" t="s">
        <v>28840</v>
      </c>
    </row>
    <row r="9484" spans="1:13" x14ac:dyDescent="0.25">
      <c r="A9484" s="417" t="s">
        <v>3385</v>
      </c>
      <c r="B9484" s="417" t="s">
        <v>2437</v>
      </c>
      <c r="C9484" s="417" t="s">
        <v>21408</v>
      </c>
      <c r="D9484" s="417" t="s">
        <v>397</v>
      </c>
      <c r="E9484" s="423">
        <v>0.1656605482691626</v>
      </c>
      <c r="F9484" s="423">
        <v>1.1122849358799791E-2</v>
      </c>
      <c r="G9484" s="422">
        <v>285.83611520443048</v>
      </c>
      <c r="H9484" s="417" t="s">
        <v>2616</v>
      </c>
      <c r="I9484" s="417" t="s">
        <v>1392</v>
      </c>
      <c r="J9484" s="417" t="s">
        <v>20833</v>
      </c>
      <c r="K9484" s="417" t="s">
        <v>21409</v>
      </c>
      <c r="L9484" s="417"/>
      <c r="M9484" s="417" t="s">
        <v>28840</v>
      </c>
    </row>
    <row r="9485" spans="1:13" x14ac:dyDescent="0.25">
      <c r="A9485" s="417" t="s">
        <v>3385</v>
      </c>
      <c r="B9485" s="417" t="s">
        <v>2437</v>
      </c>
      <c r="C9485" s="417" t="s">
        <v>21410</v>
      </c>
      <c r="D9485" s="417" t="s">
        <v>397</v>
      </c>
      <c r="E9485" s="423">
        <v>0.2052121072909614</v>
      </c>
      <c r="F9485" s="423">
        <v>2.0433855296351819E-2</v>
      </c>
      <c r="G9485" s="422">
        <v>355.12971740264311</v>
      </c>
      <c r="H9485" s="417" t="s">
        <v>2616</v>
      </c>
      <c r="I9485" s="417" t="s">
        <v>1392</v>
      </c>
      <c r="J9485" s="417" t="s">
        <v>20833</v>
      </c>
      <c r="K9485" s="417" t="s">
        <v>21411</v>
      </c>
      <c r="L9485" s="417"/>
      <c r="M9485" s="417" t="s">
        <v>28840</v>
      </c>
    </row>
    <row r="9486" spans="1:13" x14ac:dyDescent="0.25">
      <c r="A9486" s="417" t="s">
        <v>3385</v>
      </c>
      <c r="B9486" s="417" t="s">
        <v>2437</v>
      </c>
      <c r="C9486" s="417" t="s">
        <v>21412</v>
      </c>
      <c r="D9486" s="417" t="s">
        <v>397</v>
      </c>
      <c r="E9486" s="423">
        <v>0.1991734336266823</v>
      </c>
      <c r="F9486" s="423">
        <v>1.362564776027133E-2</v>
      </c>
      <c r="G9486" s="422">
        <v>333.37366742167688</v>
      </c>
      <c r="H9486" s="417" t="s">
        <v>2616</v>
      </c>
      <c r="I9486" s="417" t="s">
        <v>1392</v>
      </c>
      <c r="J9486" s="417" t="s">
        <v>20833</v>
      </c>
      <c r="K9486" s="417" t="s">
        <v>21413</v>
      </c>
      <c r="L9486" s="417"/>
      <c r="M9486" s="417" t="s">
        <v>28840</v>
      </c>
    </row>
    <row r="9487" spans="1:13" x14ac:dyDescent="0.25">
      <c r="A9487" s="417" t="s">
        <v>3385</v>
      </c>
      <c r="B9487" s="417" t="s">
        <v>2437</v>
      </c>
      <c r="C9487" s="417" t="s">
        <v>21414</v>
      </c>
      <c r="D9487" s="417" t="s">
        <v>397</v>
      </c>
      <c r="E9487" s="423">
        <v>0.2490945683774122</v>
      </c>
      <c r="F9487" s="423">
        <v>2.5492969916153688E-2</v>
      </c>
      <c r="G9487" s="422">
        <v>421.329045561665</v>
      </c>
      <c r="H9487" s="417" t="s">
        <v>2616</v>
      </c>
      <c r="I9487" s="417" t="s">
        <v>1392</v>
      </c>
      <c r="J9487" s="417" t="s">
        <v>20833</v>
      </c>
      <c r="K9487" s="417" t="s">
        <v>21415</v>
      </c>
      <c r="L9487" s="417"/>
      <c r="M9487" s="417" t="s">
        <v>28840</v>
      </c>
    </row>
    <row r="9488" spans="1:13" x14ac:dyDescent="0.25">
      <c r="A9488" s="417" t="s">
        <v>3385</v>
      </c>
      <c r="B9488" s="417" t="s">
        <v>2437</v>
      </c>
      <c r="C9488" s="417" t="s">
        <v>21416</v>
      </c>
      <c r="D9488" s="417" t="s">
        <v>397</v>
      </c>
      <c r="E9488" s="423">
        <v>0.15893404142866191</v>
      </c>
      <c r="F9488" s="423">
        <v>1.060629541513103E-2</v>
      </c>
      <c r="G9488" s="422">
        <v>282.39332010815377</v>
      </c>
      <c r="H9488" s="417" t="s">
        <v>2616</v>
      </c>
      <c r="I9488" s="417" t="s">
        <v>1392</v>
      </c>
      <c r="J9488" s="417" t="s">
        <v>20833</v>
      </c>
      <c r="K9488" s="417" t="s">
        <v>21417</v>
      </c>
      <c r="L9488" s="417"/>
      <c r="M9488" s="417" t="s">
        <v>28840</v>
      </c>
    </row>
    <row r="9489" spans="1:13" x14ac:dyDescent="0.25">
      <c r="A9489" s="417" t="s">
        <v>3385</v>
      </c>
      <c r="B9489" s="417" t="s">
        <v>2437</v>
      </c>
      <c r="C9489" s="417" t="s">
        <v>21418</v>
      </c>
      <c r="D9489" s="417" t="s">
        <v>397</v>
      </c>
      <c r="E9489" s="423">
        <v>0.14160641010499961</v>
      </c>
      <c r="F9489" s="423">
        <v>1.399149234056078E-2</v>
      </c>
      <c r="G9489" s="422">
        <v>274.25604300772562</v>
      </c>
      <c r="H9489" s="417" t="s">
        <v>2616</v>
      </c>
      <c r="I9489" s="417" t="s">
        <v>1392</v>
      </c>
      <c r="J9489" s="417" t="s">
        <v>20833</v>
      </c>
      <c r="K9489" s="417" t="s">
        <v>21419</v>
      </c>
      <c r="L9489" s="417"/>
      <c r="M9489" s="417" t="s">
        <v>28840</v>
      </c>
    </row>
    <row r="9490" spans="1:13" x14ac:dyDescent="0.25">
      <c r="A9490" s="417" t="s">
        <v>3385</v>
      </c>
      <c r="B9490" s="417" t="s">
        <v>2437</v>
      </c>
      <c r="C9490" s="417" t="s">
        <v>21420</v>
      </c>
      <c r="D9490" s="417" t="s">
        <v>397</v>
      </c>
      <c r="E9490" s="423">
        <v>0.16607583036789039</v>
      </c>
      <c r="F9490" s="423">
        <v>1.114645504344342E-2</v>
      </c>
      <c r="G9490" s="422">
        <v>293.45991786971632</v>
      </c>
      <c r="H9490" s="417" t="s">
        <v>2616</v>
      </c>
      <c r="I9490" s="417" t="s">
        <v>1392</v>
      </c>
      <c r="J9490" s="417" t="s">
        <v>20833</v>
      </c>
      <c r="K9490" s="417" t="s">
        <v>21421</v>
      </c>
      <c r="L9490" s="417"/>
      <c r="M9490" s="417" t="s">
        <v>28840</v>
      </c>
    </row>
    <row r="9491" spans="1:13" x14ac:dyDescent="0.25">
      <c r="A9491" s="417" t="s">
        <v>3385</v>
      </c>
      <c r="B9491" s="417" t="s">
        <v>2437</v>
      </c>
      <c r="C9491" s="417" t="s">
        <v>21422</v>
      </c>
      <c r="D9491" s="417" t="s">
        <v>397</v>
      </c>
      <c r="E9491" s="423">
        <v>0.20657999840016039</v>
      </c>
      <c r="F9491" s="423">
        <v>2.061087515248769E-2</v>
      </c>
      <c r="G9491" s="422">
        <v>388.26907918646572</v>
      </c>
      <c r="H9491" s="417" t="s">
        <v>2616</v>
      </c>
      <c r="I9491" s="417" t="s">
        <v>1392</v>
      </c>
      <c r="J9491" s="417" t="s">
        <v>20833</v>
      </c>
      <c r="K9491" s="417" t="s">
        <v>21423</v>
      </c>
      <c r="L9491" s="417"/>
      <c r="M9491" s="417" t="s">
        <v>28840</v>
      </c>
    </row>
    <row r="9492" spans="1:13" x14ac:dyDescent="0.25">
      <c r="A9492" s="417" t="s">
        <v>3385</v>
      </c>
      <c r="B9492" s="417" t="s">
        <v>2437</v>
      </c>
      <c r="C9492" s="417" t="s">
        <v>21424</v>
      </c>
      <c r="D9492" s="417" t="s">
        <v>397</v>
      </c>
      <c r="E9492" s="423">
        <v>0.19965825722670849</v>
      </c>
      <c r="F9492" s="423">
        <v>1.365524365105922E-2</v>
      </c>
      <c r="G9492" s="422">
        <v>343.08222065634732</v>
      </c>
      <c r="H9492" s="417" t="s">
        <v>2616</v>
      </c>
      <c r="I9492" s="417" t="s">
        <v>1392</v>
      </c>
      <c r="J9492" s="417" t="s">
        <v>20833</v>
      </c>
      <c r="K9492" s="417" t="s">
        <v>21425</v>
      </c>
      <c r="L9492" s="417"/>
      <c r="M9492" s="417" t="s">
        <v>28840</v>
      </c>
    </row>
    <row r="9493" spans="1:13" x14ac:dyDescent="0.25">
      <c r="A9493" s="417" t="s">
        <v>3385</v>
      </c>
      <c r="B9493" s="417" t="s">
        <v>2437</v>
      </c>
      <c r="C9493" s="417" t="s">
        <v>21426</v>
      </c>
      <c r="D9493" s="417" t="s">
        <v>397</v>
      </c>
      <c r="E9493" s="423">
        <v>0.25164782697686711</v>
      </c>
      <c r="F9493" s="423">
        <v>2.5732954509406349E-2</v>
      </c>
      <c r="G9493" s="422">
        <v>464.48444883613467</v>
      </c>
      <c r="H9493" s="417" t="s">
        <v>2616</v>
      </c>
      <c r="I9493" s="417" t="s">
        <v>1392</v>
      </c>
      <c r="J9493" s="417" t="s">
        <v>20833</v>
      </c>
      <c r="K9493" s="417" t="s">
        <v>21427</v>
      </c>
      <c r="L9493" s="417"/>
      <c r="M9493" s="417" t="s">
        <v>28840</v>
      </c>
    </row>
    <row r="9494" spans="1:13" x14ac:dyDescent="0.25">
      <c r="A9494" s="417" t="s">
        <v>3385</v>
      </c>
      <c r="B9494" s="417" t="s">
        <v>2437</v>
      </c>
      <c r="C9494" s="417" t="s">
        <v>21428</v>
      </c>
      <c r="D9494" s="417" t="s">
        <v>397</v>
      </c>
      <c r="E9494" s="423">
        <v>0.78709845153410485</v>
      </c>
      <c r="F9494" s="423">
        <v>5.315172384813064E-2</v>
      </c>
      <c r="G9494" s="422">
        <v>2202.2507227919341</v>
      </c>
      <c r="H9494" s="417" t="s">
        <v>2616</v>
      </c>
      <c r="I9494" s="417" t="s">
        <v>1392</v>
      </c>
      <c r="J9494" s="417" t="s">
        <v>20833</v>
      </c>
      <c r="K9494" s="417" t="s">
        <v>21429</v>
      </c>
      <c r="L9494" s="417"/>
      <c r="M9494" s="417" t="s">
        <v>28840</v>
      </c>
    </row>
    <row r="9495" spans="1:13" x14ac:dyDescent="0.25">
      <c r="A9495" s="417" t="s">
        <v>3385</v>
      </c>
      <c r="B9495" s="417" t="s">
        <v>2437</v>
      </c>
      <c r="C9495" s="417" t="s">
        <v>21430</v>
      </c>
      <c r="D9495" s="417" t="s">
        <v>397</v>
      </c>
      <c r="E9495" s="423">
        <v>0.28111877325765422</v>
      </c>
      <c r="F9495" s="423">
        <v>2.877131785725829E-2</v>
      </c>
      <c r="G9495" s="422">
        <v>1017.752603238545</v>
      </c>
      <c r="H9495" s="417" t="s">
        <v>2616</v>
      </c>
      <c r="I9495" s="417" t="s">
        <v>1392</v>
      </c>
      <c r="J9495" s="417" t="s">
        <v>20833</v>
      </c>
      <c r="K9495" s="417" t="s">
        <v>21431</v>
      </c>
      <c r="L9495" s="417"/>
      <c r="M9495" s="417" t="s">
        <v>28840</v>
      </c>
    </row>
    <row r="9496" spans="1:13" x14ac:dyDescent="0.25">
      <c r="A9496" s="417" t="s">
        <v>3385</v>
      </c>
      <c r="B9496" s="417" t="s">
        <v>2437</v>
      </c>
      <c r="C9496" s="417" t="s">
        <v>21432</v>
      </c>
      <c r="D9496" s="417" t="s">
        <v>397</v>
      </c>
      <c r="E9496" s="423">
        <v>0.74651706586503341</v>
      </c>
      <c r="F9496" s="423">
        <v>5.0203516203901517E-2</v>
      </c>
      <c r="G9496" s="422">
        <v>2108.6791732694469</v>
      </c>
      <c r="H9496" s="417" t="s">
        <v>2616</v>
      </c>
      <c r="I9496" s="417" t="s">
        <v>1392</v>
      </c>
      <c r="J9496" s="417" t="s">
        <v>20833</v>
      </c>
      <c r="K9496" s="417" t="s">
        <v>21433</v>
      </c>
      <c r="L9496" s="417"/>
      <c r="M9496" s="417" t="s">
        <v>28840</v>
      </c>
    </row>
    <row r="9497" spans="1:13" x14ac:dyDescent="0.25">
      <c r="A9497" s="417" t="s">
        <v>3385</v>
      </c>
      <c r="B9497" s="417" t="s">
        <v>2437</v>
      </c>
      <c r="C9497" s="417" t="s">
        <v>21434</v>
      </c>
      <c r="D9497" s="417" t="s">
        <v>397</v>
      </c>
      <c r="E9497" s="423">
        <v>0.76094397269448888</v>
      </c>
      <c r="F9497" s="423">
        <v>7.8148747206450486E-2</v>
      </c>
      <c r="G9497" s="422">
        <v>2254.0949740621668</v>
      </c>
      <c r="H9497" s="417" t="s">
        <v>2616</v>
      </c>
      <c r="I9497" s="417" t="s">
        <v>1392</v>
      </c>
      <c r="J9497" s="417" t="s">
        <v>20833</v>
      </c>
      <c r="K9497" s="417" t="s">
        <v>21435</v>
      </c>
      <c r="L9497" s="417"/>
      <c r="M9497" s="417" t="s">
        <v>28840</v>
      </c>
    </row>
    <row r="9498" spans="1:13" x14ac:dyDescent="0.25">
      <c r="A9498" s="417" t="s">
        <v>3385</v>
      </c>
      <c r="B9498" s="417" t="s">
        <v>2437</v>
      </c>
      <c r="C9498" s="417" t="s">
        <v>21436</v>
      </c>
      <c r="D9498" s="417" t="s">
        <v>397</v>
      </c>
      <c r="E9498" s="423">
        <v>0.77794004335175038</v>
      </c>
      <c r="F9498" s="423">
        <v>5.2668532616781158E-2</v>
      </c>
      <c r="G9498" s="422">
        <v>2203.4637672411618</v>
      </c>
      <c r="H9498" s="417" t="s">
        <v>2616</v>
      </c>
      <c r="I9498" s="417" t="s">
        <v>1392</v>
      </c>
      <c r="J9498" s="417" t="s">
        <v>20833</v>
      </c>
      <c r="K9498" s="417" t="s">
        <v>21437</v>
      </c>
      <c r="L9498" s="417"/>
      <c r="M9498" s="417" t="s">
        <v>28840</v>
      </c>
    </row>
    <row r="9499" spans="1:13" x14ac:dyDescent="0.25">
      <c r="A9499" s="417" t="s">
        <v>3385</v>
      </c>
      <c r="B9499" s="417" t="s">
        <v>2437</v>
      </c>
      <c r="C9499" s="417" t="s">
        <v>21438</v>
      </c>
      <c r="D9499" s="417" t="s">
        <v>397</v>
      </c>
      <c r="E9499" s="423">
        <v>0.79747879407544209</v>
      </c>
      <c r="F9499" s="423">
        <v>8.244125401608586E-2</v>
      </c>
      <c r="G9499" s="422">
        <v>2364.740603330577</v>
      </c>
      <c r="H9499" s="417" t="s">
        <v>2616</v>
      </c>
      <c r="I9499" s="417" t="s">
        <v>1392</v>
      </c>
      <c r="J9499" s="417" t="s">
        <v>20833</v>
      </c>
      <c r="K9499" s="417" t="s">
        <v>21439</v>
      </c>
      <c r="L9499" s="417"/>
      <c r="M9499" s="417" t="s">
        <v>28840</v>
      </c>
    </row>
    <row r="9500" spans="1:13" x14ac:dyDescent="0.25">
      <c r="A9500" s="417" t="s">
        <v>3385</v>
      </c>
      <c r="B9500" s="417" t="s">
        <v>2437</v>
      </c>
      <c r="C9500" s="417" t="s">
        <v>21440</v>
      </c>
      <c r="D9500" s="417" t="s">
        <v>397</v>
      </c>
      <c r="E9500" s="423">
        <v>0.85245604458933544</v>
      </c>
      <c r="F9500" s="423">
        <v>5.7222324642492377E-2</v>
      </c>
      <c r="G9500" s="422">
        <v>1777.646054788966</v>
      </c>
      <c r="H9500" s="417" t="s">
        <v>2616</v>
      </c>
      <c r="I9500" s="417" t="s">
        <v>1392</v>
      </c>
      <c r="J9500" s="417" t="s">
        <v>20833</v>
      </c>
      <c r="K9500" s="417" t="s">
        <v>21441</v>
      </c>
      <c r="L9500" s="417"/>
      <c r="M9500" s="417" t="s">
        <v>28840</v>
      </c>
    </row>
    <row r="9501" spans="1:13" x14ac:dyDescent="0.25">
      <c r="A9501" s="417" t="s">
        <v>3385</v>
      </c>
      <c r="B9501" s="417" t="s">
        <v>2437</v>
      </c>
      <c r="C9501" s="417" t="s">
        <v>21442</v>
      </c>
      <c r="D9501" s="417" t="s">
        <v>397</v>
      </c>
      <c r="E9501" s="423">
        <v>0.30205114102208691</v>
      </c>
      <c r="F9501" s="423">
        <v>3.0714601503165191E-2</v>
      </c>
      <c r="G9501" s="422">
        <v>830.23095644427735</v>
      </c>
      <c r="H9501" s="417" t="s">
        <v>2616</v>
      </c>
      <c r="I9501" s="417" t="s">
        <v>1392</v>
      </c>
      <c r="J9501" s="417" t="s">
        <v>20833</v>
      </c>
      <c r="K9501" s="417" t="s">
        <v>21443</v>
      </c>
      <c r="L9501" s="417"/>
      <c r="M9501" s="417" t="s">
        <v>28840</v>
      </c>
    </row>
    <row r="9502" spans="1:13" x14ac:dyDescent="0.25">
      <c r="A9502" s="417" t="s">
        <v>3385</v>
      </c>
      <c r="B9502" s="417" t="s">
        <v>2437</v>
      </c>
      <c r="C9502" s="417" t="s">
        <v>21444</v>
      </c>
      <c r="D9502" s="417" t="s">
        <v>397</v>
      </c>
      <c r="E9502" s="423">
        <v>0.81547312956942375</v>
      </c>
      <c r="F9502" s="423">
        <v>5.4555622613509817E-2</v>
      </c>
      <c r="G9502" s="422">
        <v>1724.4992678301301</v>
      </c>
      <c r="H9502" s="417" t="s">
        <v>2616</v>
      </c>
      <c r="I9502" s="417" t="s">
        <v>1392</v>
      </c>
      <c r="J9502" s="417" t="s">
        <v>20833</v>
      </c>
      <c r="K9502" s="417" t="s">
        <v>21445</v>
      </c>
      <c r="L9502" s="417"/>
      <c r="M9502" s="417" t="s">
        <v>28840</v>
      </c>
    </row>
    <row r="9503" spans="1:13" x14ac:dyDescent="0.25">
      <c r="A9503" s="417" t="s">
        <v>3385</v>
      </c>
      <c r="B9503" s="417" t="s">
        <v>2437</v>
      </c>
      <c r="C9503" s="417" t="s">
        <v>21446</v>
      </c>
      <c r="D9503" s="417" t="s">
        <v>397</v>
      </c>
      <c r="E9503" s="423">
        <v>0.82598783194926095</v>
      </c>
      <c r="F9503" s="423">
        <v>8.420674967638625E-2</v>
      </c>
      <c r="G9503" s="422">
        <v>1762.4095679939689</v>
      </c>
      <c r="H9503" s="417" t="s">
        <v>2616</v>
      </c>
      <c r="I9503" s="417" t="s">
        <v>1392</v>
      </c>
      <c r="J9503" s="417" t="s">
        <v>20833</v>
      </c>
      <c r="K9503" s="417" t="s">
        <v>21447</v>
      </c>
      <c r="L9503" s="417"/>
      <c r="M9503" s="417" t="s">
        <v>28840</v>
      </c>
    </row>
    <row r="9504" spans="1:13" x14ac:dyDescent="0.25">
      <c r="A9504" s="417" t="s">
        <v>3385</v>
      </c>
      <c r="B9504" s="417" t="s">
        <v>2437</v>
      </c>
      <c r="C9504" s="417" t="s">
        <v>21448</v>
      </c>
      <c r="D9504" s="417" t="s">
        <v>397</v>
      </c>
      <c r="E9504" s="423">
        <v>0.86597616289484525</v>
      </c>
      <c r="F9504" s="423">
        <v>5.844673056635756E-2</v>
      </c>
      <c r="G9504" s="422">
        <v>1814.606954085277</v>
      </c>
      <c r="H9504" s="417" t="s">
        <v>2616</v>
      </c>
      <c r="I9504" s="417" t="s">
        <v>1392</v>
      </c>
      <c r="J9504" s="417" t="s">
        <v>20833</v>
      </c>
      <c r="K9504" s="417" t="s">
        <v>21449</v>
      </c>
      <c r="L9504" s="417"/>
      <c r="M9504" s="417" t="s">
        <v>28840</v>
      </c>
    </row>
    <row r="9505" spans="1:13" x14ac:dyDescent="0.25">
      <c r="A9505" s="417" t="s">
        <v>3385</v>
      </c>
      <c r="B9505" s="417" t="s">
        <v>2437</v>
      </c>
      <c r="C9505" s="417" t="s">
        <v>21450</v>
      </c>
      <c r="D9505" s="417" t="s">
        <v>397</v>
      </c>
      <c r="E9505" s="423">
        <v>0.88556529172519205</v>
      </c>
      <c r="F9505" s="423">
        <v>9.1090826159036908E-2</v>
      </c>
      <c r="G9505" s="422">
        <v>1872.5470049647561</v>
      </c>
      <c r="H9505" s="417" t="s">
        <v>2616</v>
      </c>
      <c r="I9505" s="417" t="s">
        <v>1392</v>
      </c>
      <c r="J9505" s="417" t="s">
        <v>20833</v>
      </c>
      <c r="K9505" s="417" t="s">
        <v>21451</v>
      </c>
      <c r="L9505" s="417"/>
      <c r="M9505" s="417" t="s">
        <v>28840</v>
      </c>
    </row>
    <row r="9506" spans="1:13" x14ac:dyDescent="0.25">
      <c r="A9506" s="417" t="s">
        <v>3385</v>
      </c>
      <c r="B9506" s="417" t="s">
        <v>2437</v>
      </c>
      <c r="C9506" s="417" t="s">
        <v>21452</v>
      </c>
      <c r="D9506" s="417" t="s">
        <v>397</v>
      </c>
      <c r="E9506" s="423">
        <v>0.92021361676569402</v>
      </c>
      <c r="F9506" s="423">
        <v>6.1274440401817468E-2</v>
      </c>
      <c r="G9506" s="422">
        <v>1938.593629641231</v>
      </c>
      <c r="H9506" s="417" t="s">
        <v>2616</v>
      </c>
      <c r="I9506" s="417" t="s">
        <v>1392</v>
      </c>
      <c r="J9506" s="417" t="s">
        <v>20833</v>
      </c>
      <c r="K9506" s="417" t="s">
        <v>21453</v>
      </c>
      <c r="L9506" s="417"/>
      <c r="M9506" s="417" t="s">
        <v>28840</v>
      </c>
    </row>
    <row r="9507" spans="1:13" x14ac:dyDescent="0.25">
      <c r="A9507" s="417" t="s">
        <v>3385</v>
      </c>
      <c r="B9507" s="417" t="s">
        <v>2437</v>
      </c>
      <c r="C9507" s="417" t="s">
        <v>21454</v>
      </c>
      <c r="D9507" s="417" t="s">
        <v>397</v>
      </c>
      <c r="E9507" s="423">
        <v>0.32395591974216009</v>
      </c>
      <c r="F9507" s="423">
        <v>3.2682400941360608E-2</v>
      </c>
      <c r="G9507" s="422">
        <v>887.22305851319766</v>
      </c>
      <c r="H9507" s="417" t="s">
        <v>2616</v>
      </c>
      <c r="I9507" s="417" t="s">
        <v>1392</v>
      </c>
      <c r="J9507" s="417" t="s">
        <v>20833</v>
      </c>
      <c r="K9507" s="417" t="s">
        <v>21455</v>
      </c>
      <c r="L9507" s="417"/>
      <c r="M9507" s="417" t="s">
        <v>28840</v>
      </c>
    </row>
    <row r="9508" spans="1:13" x14ac:dyDescent="0.25">
      <c r="A9508" s="417" t="s">
        <v>3385</v>
      </c>
      <c r="B9508" s="417" t="s">
        <v>2437</v>
      </c>
      <c r="C9508" s="417" t="s">
        <v>21456</v>
      </c>
      <c r="D9508" s="417" t="s">
        <v>397</v>
      </c>
      <c r="E9508" s="423">
        <v>0.88680948855684605</v>
      </c>
      <c r="F9508" s="423">
        <v>5.88933037107836E-2</v>
      </c>
      <c r="G9508" s="422">
        <v>1888.3258230683889</v>
      </c>
      <c r="H9508" s="417" t="s">
        <v>2616</v>
      </c>
      <c r="I9508" s="417" t="s">
        <v>1392</v>
      </c>
      <c r="J9508" s="417" t="s">
        <v>20833</v>
      </c>
      <c r="K9508" s="417" t="s">
        <v>21457</v>
      </c>
      <c r="L9508" s="417"/>
      <c r="M9508" s="417" t="s">
        <v>28840</v>
      </c>
    </row>
    <row r="9509" spans="1:13" x14ac:dyDescent="0.25">
      <c r="A9509" s="417" t="s">
        <v>3385</v>
      </c>
      <c r="B9509" s="417" t="s">
        <v>2437</v>
      </c>
      <c r="C9509" s="417" t="s">
        <v>21458</v>
      </c>
      <c r="D9509" s="417" t="s">
        <v>397</v>
      </c>
      <c r="E9509" s="423">
        <v>0.89233135898169813</v>
      </c>
      <c r="F9509" s="423">
        <v>8.9892418733715201E-2</v>
      </c>
      <c r="G9509" s="422">
        <v>1927.368816050403</v>
      </c>
      <c r="H9509" s="417" t="s">
        <v>2616</v>
      </c>
      <c r="I9509" s="417" t="s">
        <v>1392</v>
      </c>
      <c r="J9509" s="417" t="s">
        <v>20833</v>
      </c>
      <c r="K9509" s="417" t="s">
        <v>21459</v>
      </c>
      <c r="L9509" s="417"/>
      <c r="M9509" s="417" t="s">
        <v>28840</v>
      </c>
    </row>
    <row r="9510" spans="1:13" x14ac:dyDescent="0.25">
      <c r="A9510" s="417" t="s">
        <v>3385</v>
      </c>
      <c r="B9510" s="417" t="s">
        <v>2437</v>
      </c>
      <c r="C9510" s="417" t="s">
        <v>21460</v>
      </c>
      <c r="D9510" s="417" t="s">
        <v>397</v>
      </c>
      <c r="E9510" s="423">
        <v>0.95673735413039862</v>
      </c>
      <c r="F9510" s="423">
        <v>6.4208245750756787E-2</v>
      </c>
      <c r="G9510" s="422">
        <v>2014.7194587949771</v>
      </c>
      <c r="H9510" s="417" t="s">
        <v>2616</v>
      </c>
      <c r="I9510" s="417" t="s">
        <v>1392</v>
      </c>
      <c r="J9510" s="417" t="s">
        <v>20833</v>
      </c>
      <c r="K9510" s="417" t="s">
        <v>21461</v>
      </c>
      <c r="L9510" s="417"/>
      <c r="M9510" s="417" t="s">
        <v>28840</v>
      </c>
    </row>
    <row r="9511" spans="1:13" x14ac:dyDescent="0.25">
      <c r="A9511" s="417" t="s">
        <v>3385</v>
      </c>
      <c r="B9511" s="417" t="s">
        <v>2437</v>
      </c>
      <c r="C9511" s="417" t="s">
        <v>21462</v>
      </c>
      <c r="D9511" s="417" t="s">
        <v>397</v>
      </c>
      <c r="E9511" s="423">
        <v>0.97720092199016872</v>
      </c>
      <c r="F9511" s="423">
        <v>9.9731995252039435E-2</v>
      </c>
      <c r="G9511" s="422">
        <v>2085.3061917645082</v>
      </c>
      <c r="H9511" s="417" t="s">
        <v>2616</v>
      </c>
      <c r="I9511" s="417" t="s">
        <v>1392</v>
      </c>
      <c r="J9511" s="417" t="s">
        <v>20833</v>
      </c>
      <c r="K9511" s="417" t="s">
        <v>21463</v>
      </c>
      <c r="L9511" s="417"/>
      <c r="M9511" s="417" t="s">
        <v>28840</v>
      </c>
    </row>
    <row r="9512" spans="1:13" x14ac:dyDescent="0.25">
      <c r="A9512" s="417" t="s">
        <v>3385</v>
      </c>
      <c r="B9512" s="417" t="s">
        <v>2437</v>
      </c>
      <c r="C9512" s="417" t="s">
        <v>21464</v>
      </c>
      <c r="D9512" s="417" t="s">
        <v>397</v>
      </c>
      <c r="E9512" s="423">
        <v>0.88646041740278825</v>
      </c>
      <c r="F9512" s="423">
        <v>6.0036949885160132E-2</v>
      </c>
      <c r="G9512" s="422">
        <v>1732.8721737637611</v>
      </c>
      <c r="H9512" s="417" t="s">
        <v>2616</v>
      </c>
      <c r="I9512" s="417" t="s">
        <v>1392</v>
      </c>
      <c r="J9512" s="417" t="s">
        <v>20833</v>
      </c>
      <c r="K9512" s="417" t="s">
        <v>21465</v>
      </c>
      <c r="L9512" s="417"/>
      <c r="M9512" s="417" t="s">
        <v>28840</v>
      </c>
    </row>
    <row r="9513" spans="1:13" x14ac:dyDescent="0.25">
      <c r="A9513" s="417" t="s">
        <v>3385</v>
      </c>
      <c r="B9513" s="417" t="s">
        <v>2437</v>
      </c>
      <c r="C9513" s="417" t="s">
        <v>21466</v>
      </c>
      <c r="D9513" s="417" t="s">
        <v>397</v>
      </c>
      <c r="E9513" s="423">
        <v>0.31424169472697372</v>
      </c>
      <c r="F9513" s="423">
        <v>3.1928177404580933E-2</v>
      </c>
      <c r="G9513" s="422">
        <v>807.56417744936891</v>
      </c>
      <c r="H9513" s="417" t="s">
        <v>2616</v>
      </c>
      <c r="I9513" s="417" t="s">
        <v>1392</v>
      </c>
      <c r="J9513" s="417" t="s">
        <v>20833</v>
      </c>
      <c r="K9513" s="417" t="s">
        <v>21467</v>
      </c>
      <c r="L9513" s="417"/>
      <c r="M9513" s="417" t="s">
        <v>28840</v>
      </c>
    </row>
    <row r="9514" spans="1:13" x14ac:dyDescent="0.25">
      <c r="A9514" s="417" t="s">
        <v>3385</v>
      </c>
      <c r="B9514" s="417" t="s">
        <v>2437</v>
      </c>
      <c r="C9514" s="417" t="s">
        <v>21468</v>
      </c>
      <c r="D9514" s="417" t="s">
        <v>397</v>
      </c>
      <c r="E9514" s="423">
        <v>0.85321546362938006</v>
      </c>
      <c r="F9514" s="423">
        <v>5.766172505242538E-2</v>
      </c>
      <c r="G9514" s="422">
        <v>1691.439615582967</v>
      </c>
      <c r="H9514" s="417" t="s">
        <v>2616</v>
      </c>
      <c r="I9514" s="417" t="s">
        <v>1392</v>
      </c>
      <c r="J9514" s="417" t="s">
        <v>20833</v>
      </c>
      <c r="K9514" s="417" t="s">
        <v>21469</v>
      </c>
      <c r="L9514" s="417"/>
      <c r="M9514" s="417" t="s">
        <v>28840</v>
      </c>
    </row>
    <row r="9515" spans="1:13" x14ac:dyDescent="0.25">
      <c r="A9515" s="417" t="s">
        <v>3385</v>
      </c>
      <c r="B9515" s="417" t="s">
        <v>2437</v>
      </c>
      <c r="C9515" s="417" t="s">
        <v>21470</v>
      </c>
      <c r="D9515" s="417" t="s">
        <v>397</v>
      </c>
      <c r="E9515" s="423">
        <v>0.86270328944486652</v>
      </c>
      <c r="F9515" s="423">
        <v>8.7670557710353467E-2</v>
      </c>
      <c r="G9515" s="422">
        <v>1705.556432619818</v>
      </c>
      <c r="H9515" s="417" t="s">
        <v>2616</v>
      </c>
      <c r="I9515" s="417" t="s">
        <v>1392</v>
      </c>
      <c r="J9515" s="417" t="s">
        <v>20833</v>
      </c>
      <c r="K9515" s="417" t="s">
        <v>21471</v>
      </c>
      <c r="L9515" s="417"/>
      <c r="M9515" s="417" t="s">
        <v>28840</v>
      </c>
    </row>
    <row r="9516" spans="1:13" x14ac:dyDescent="0.25">
      <c r="A9516" s="417" t="s">
        <v>3385</v>
      </c>
      <c r="B9516" s="417" t="s">
        <v>2437</v>
      </c>
      <c r="C9516" s="417" t="s">
        <v>21472</v>
      </c>
      <c r="D9516" s="417" t="s">
        <v>397</v>
      </c>
      <c r="E9516" s="423">
        <v>0.91542887984920607</v>
      </c>
      <c r="F9516" s="423">
        <v>6.2402141584218848E-2</v>
      </c>
      <c r="G9516" s="422">
        <v>1787.3713530740281</v>
      </c>
      <c r="H9516" s="417" t="s">
        <v>2616</v>
      </c>
      <c r="I9516" s="417" t="s">
        <v>1392</v>
      </c>
      <c r="J9516" s="417" t="s">
        <v>20833</v>
      </c>
      <c r="K9516" s="417" t="s">
        <v>21473</v>
      </c>
      <c r="L9516" s="417"/>
      <c r="M9516" s="417" t="s">
        <v>28840</v>
      </c>
    </row>
    <row r="9517" spans="1:13" x14ac:dyDescent="0.25">
      <c r="A9517" s="417" t="s">
        <v>3385</v>
      </c>
      <c r="B9517" s="417" t="s">
        <v>2437</v>
      </c>
      <c r="C9517" s="417" t="s">
        <v>21474</v>
      </c>
      <c r="D9517" s="417" t="s">
        <v>397</v>
      </c>
      <c r="E9517" s="423">
        <v>0.93712101942136472</v>
      </c>
      <c r="F9517" s="423">
        <v>9.6214210135387196E-2</v>
      </c>
      <c r="G9517" s="422">
        <v>1825.5282303869301</v>
      </c>
      <c r="H9517" s="417" t="s">
        <v>2616</v>
      </c>
      <c r="I9517" s="417" t="s">
        <v>1392</v>
      </c>
      <c r="J9517" s="417" t="s">
        <v>20833</v>
      </c>
      <c r="K9517" s="417" t="s">
        <v>21475</v>
      </c>
      <c r="L9517" s="417"/>
      <c r="M9517" s="417" t="s">
        <v>28840</v>
      </c>
    </row>
    <row r="9518" spans="1:13" x14ac:dyDescent="0.25">
      <c r="A9518" s="417" t="s">
        <v>3385</v>
      </c>
      <c r="B9518" s="417" t="s">
        <v>2437</v>
      </c>
      <c r="C9518" s="417" t="s">
        <v>21476</v>
      </c>
      <c r="D9518" s="417" t="s">
        <v>397</v>
      </c>
      <c r="E9518" s="423">
        <v>0.88964750420443894</v>
      </c>
      <c r="F9518" s="423">
        <v>5.98787323289693E-2</v>
      </c>
      <c r="G9518" s="422">
        <v>1840.815491674851</v>
      </c>
      <c r="H9518" s="417" t="s">
        <v>2616</v>
      </c>
      <c r="I9518" s="417" t="s">
        <v>1392</v>
      </c>
      <c r="J9518" s="417" t="s">
        <v>20833</v>
      </c>
      <c r="K9518" s="417" t="s">
        <v>21477</v>
      </c>
      <c r="L9518" s="417"/>
      <c r="M9518" s="417" t="s">
        <v>28840</v>
      </c>
    </row>
    <row r="9519" spans="1:13" x14ac:dyDescent="0.25">
      <c r="A9519" s="417" t="s">
        <v>3385</v>
      </c>
      <c r="B9519" s="417" t="s">
        <v>2437</v>
      </c>
      <c r="C9519" s="417" t="s">
        <v>21478</v>
      </c>
      <c r="D9519" s="417" t="s">
        <v>397</v>
      </c>
      <c r="E9519" s="423">
        <v>0.31718721508243353</v>
      </c>
      <c r="F9519" s="423">
        <v>3.2112097660474112E-2</v>
      </c>
      <c r="G9519" s="422">
        <v>860.8008524826862</v>
      </c>
      <c r="H9519" s="417" t="s">
        <v>2616</v>
      </c>
      <c r="I9519" s="417" t="s">
        <v>1392</v>
      </c>
      <c r="J9519" s="417" t="s">
        <v>20833</v>
      </c>
      <c r="K9519" s="417" t="s">
        <v>21479</v>
      </c>
      <c r="L9519" s="417"/>
      <c r="M9519" s="417" t="s">
        <v>28840</v>
      </c>
    </row>
    <row r="9520" spans="1:13" x14ac:dyDescent="0.25">
      <c r="A9520" s="417" t="s">
        <v>3385</v>
      </c>
      <c r="B9520" s="417" t="s">
        <v>2437</v>
      </c>
      <c r="C9520" s="417" t="s">
        <v>21480</v>
      </c>
      <c r="D9520" s="417" t="s">
        <v>397</v>
      </c>
      <c r="E9520" s="423">
        <v>0.85572413696053551</v>
      </c>
      <c r="F9520" s="423">
        <v>5.7452744065567912E-2</v>
      </c>
      <c r="G9520" s="422">
        <v>1792.0906871943971</v>
      </c>
      <c r="H9520" s="417" t="s">
        <v>2616</v>
      </c>
      <c r="I9520" s="417" t="s">
        <v>1392</v>
      </c>
      <c r="J9520" s="417" t="s">
        <v>20833</v>
      </c>
      <c r="K9520" s="417" t="s">
        <v>21481</v>
      </c>
      <c r="L9520" s="417"/>
      <c r="M9520" s="417" t="s">
        <v>28840</v>
      </c>
    </row>
    <row r="9521" spans="1:13" x14ac:dyDescent="0.25">
      <c r="A9521" s="417" t="s">
        <v>3385</v>
      </c>
      <c r="B9521" s="417" t="s">
        <v>2437</v>
      </c>
      <c r="C9521" s="417" t="s">
        <v>21482</v>
      </c>
      <c r="D9521" s="417" t="s">
        <v>397</v>
      </c>
      <c r="E9521" s="423">
        <v>0.87169483791295177</v>
      </c>
      <c r="F9521" s="423">
        <v>8.8212385583533559E-2</v>
      </c>
      <c r="G9521" s="422">
        <v>1851.82491221494</v>
      </c>
      <c r="H9521" s="417" t="s">
        <v>2616</v>
      </c>
      <c r="I9521" s="417" t="s">
        <v>1392</v>
      </c>
      <c r="J9521" s="417" t="s">
        <v>20833</v>
      </c>
      <c r="K9521" s="417" t="s">
        <v>21483</v>
      </c>
      <c r="L9521" s="417"/>
      <c r="M9521" s="417" t="s">
        <v>28840</v>
      </c>
    </row>
    <row r="9522" spans="1:13" x14ac:dyDescent="0.25">
      <c r="A9522" s="417" t="s">
        <v>3385</v>
      </c>
      <c r="B9522" s="417" t="s">
        <v>2437</v>
      </c>
      <c r="C9522" s="417" t="s">
        <v>21484</v>
      </c>
      <c r="D9522" s="417" t="s">
        <v>397</v>
      </c>
      <c r="E9522" s="423">
        <v>0.91798012701370113</v>
      </c>
      <c r="F9522" s="423">
        <v>6.2197974171185069E-2</v>
      </c>
      <c r="G9522" s="422">
        <v>1898.229458509918</v>
      </c>
      <c r="H9522" s="417" t="s">
        <v>2616</v>
      </c>
      <c r="I9522" s="417" t="s">
        <v>1392</v>
      </c>
      <c r="J9522" s="417" t="s">
        <v>20833</v>
      </c>
      <c r="K9522" s="417" t="s">
        <v>21485</v>
      </c>
      <c r="L9522" s="417"/>
      <c r="M9522" s="417" t="s">
        <v>28840</v>
      </c>
    </row>
    <row r="9523" spans="1:13" x14ac:dyDescent="0.25">
      <c r="A9523" s="417" t="s">
        <v>3385</v>
      </c>
      <c r="B9523" s="417" t="s">
        <v>2437</v>
      </c>
      <c r="C9523" s="417" t="s">
        <v>21486</v>
      </c>
      <c r="D9523" s="417" t="s">
        <v>397</v>
      </c>
      <c r="E9523" s="423">
        <v>0.94905401959560842</v>
      </c>
      <c r="F9523" s="423">
        <v>9.7153025135595872E-2</v>
      </c>
      <c r="G9523" s="422">
        <v>1991.138326265358</v>
      </c>
      <c r="H9523" s="417" t="s">
        <v>2616</v>
      </c>
      <c r="I9523" s="417" t="s">
        <v>1392</v>
      </c>
      <c r="J9523" s="417" t="s">
        <v>20833</v>
      </c>
      <c r="K9523" s="417" t="s">
        <v>21487</v>
      </c>
      <c r="L9523" s="417"/>
      <c r="M9523" s="417" t="s">
        <v>28840</v>
      </c>
    </row>
    <row r="9524" spans="1:13" x14ac:dyDescent="0.25">
      <c r="A9524" s="417" t="s">
        <v>3385</v>
      </c>
      <c r="B9524" s="417" t="s">
        <v>2437</v>
      </c>
      <c r="C9524" s="417" t="s">
        <v>21488</v>
      </c>
      <c r="D9524" s="417" t="s">
        <v>397</v>
      </c>
      <c r="E9524" s="423">
        <v>0.22750981124692801</v>
      </c>
      <c r="F9524" s="423">
        <v>1.536054530147765E-2</v>
      </c>
      <c r="G9524" s="422">
        <v>433.62866140668871</v>
      </c>
      <c r="H9524" s="417" t="s">
        <v>2616</v>
      </c>
      <c r="I9524" s="417" t="s">
        <v>1392</v>
      </c>
      <c r="J9524" s="417" t="s">
        <v>20833</v>
      </c>
      <c r="K9524" s="417" t="s">
        <v>21489</v>
      </c>
      <c r="L9524" s="417"/>
      <c r="M9524" s="417" t="s">
        <v>28840</v>
      </c>
    </row>
    <row r="9525" spans="1:13" x14ac:dyDescent="0.25">
      <c r="A9525" s="417" t="s">
        <v>3385</v>
      </c>
      <c r="B9525" s="417" t="s">
        <v>2437</v>
      </c>
      <c r="C9525" s="417" t="s">
        <v>21490</v>
      </c>
      <c r="D9525" s="417" t="s">
        <v>397</v>
      </c>
      <c r="E9525" s="423">
        <v>0.16277666424456849</v>
      </c>
      <c r="F9525" s="423">
        <v>1.600657122507983E-2</v>
      </c>
      <c r="G9525" s="422">
        <v>324.37894073790261</v>
      </c>
      <c r="H9525" s="417" t="s">
        <v>2616</v>
      </c>
      <c r="I9525" s="417" t="s">
        <v>1392</v>
      </c>
      <c r="J9525" s="417" t="s">
        <v>20833</v>
      </c>
      <c r="K9525" s="417" t="s">
        <v>21491</v>
      </c>
      <c r="L9525" s="417"/>
      <c r="M9525" s="417" t="s">
        <v>28840</v>
      </c>
    </row>
    <row r="9526" spans="1:13" x14ac:dyDescent="0.25">
      <c r="A9526" s="417" t="s">
        <v>3385</v>
      </c>
      <c r="B9526" s="417" t="s">
        <v>2437</v>
      </c>
      <c r="C9526" s="417" t="s">
        <v>21492</v>
      </c>
      <c r="D9526" s="417" t="s">
        <v>397</v>
      </c>
      <c r="E9526" s="423">
        <v>0.23168470713475431</v>
      </c>
      <c r="F9526" s="423">
        <v>1.5688003317308671E-2</v>
      </c>
      <c r="G9526" s="422">
        <v>440.85032826563508</v>
      </c>
      <c r="H9526" s="417" t="s">
        <v>2616</v>
      </c>
      <c r="I9526" s="417" t="s">
        <v>1392</v>
      </c>
      <c r="J9526" s="417" t="s">
        <v>20833</v>
      </c>
      <c r="K9526" s="417" t="s">
        <v>21493</v>
      </c>
      <c r="L9526" s="417"/>
      <c r="M9526" s="417" t="s">
        <v>28840</v>
      </c>
    </row>
    <row r="9527" spans="1:13" x14ac:dyDescent="0.25">
      <c r="A9527" s="417" t="s">
        <v>3385</v>
      </c>
      <c r="B9527" s="417" t="s">
        <v>2437</v>
      </c>
      <c r="C9527" s="417" t="s">
        <v>21494</v>
      </c>
      <c r="D9527" s="417" t="s">
        <v>397</v>
      </c>
      <c r="E9527" s="423">
        <v>0.37613560025367132</v>
      </c>
      <c r="F9527" s="423">
        <v>3.7313614283031683E-2</v>
      </c>
      <c r="G9527" s="422">
        <v>702.06606668088091</v>
      </c>
      <c r="H9527" s="417" t="s">
        <v>2616</v>
      </c>
      <c r="I9527" s="417" t="s">
        <v>1392</v>
      </c>
      <c r="J9527" s="417" t="s">
        <v>20833</v>
      </c>
      <c r="K9527" s="417" t="s">
        <v>21495</v>
      </c>
      <c r="L9527" s="417"/>
      <c r="M9527" s="417" t="s">
        <v>28840</v>
      </c>
    </row>
    <row r="9528" spans="1:13" x14ac:dyDescent="0.25">
      <c r="A9528" s="417" t="s">
        <v>3385</v>
      </c>
      <c r="B9528" s="417" t="s">
        <v>2437</v>
      </c>
      <c r="C9528" s="417" t="s">
        <v>21496</v>
      </c>
      <c r="D9528" s="417" t="s">
        <v>397</v>
      </c>
      <c r="E9528" s="423">
        <v>0.27029009744505378</v>
      </c>
      <c r="F9528" s="423">
        <v>1.8580609497161189E-2</v>
      </c>
      <c r="G9528" s="422">
        <v>501.00596720910949</v>
      </c>
      <c r="H9528" s="417" t="s">
        <v>2616</v>
      </c>
      <c r="I9528" s="417" t="s">
        <v>1392</v>
      </c>
      <c r="J9528" s="417" t="s">
        <v>20833</v>
      </c>
      <c r="K9528" s="417" t="s">
        <v>21497</v>
      </c>
      <c r="L9528" s="417"/>
      <c r="M9528" s="417" t="s">
        <v>28840</v>
      </c>
    </row>
    <row r="9529" spans="1:13" x14ac:dyDescent="0.25">
      <c r="A9529" s="417" t="s">
        <v>3385</v>
      </c>
      <c r="B9529" s="417" t="s">
        <v>2437</v>
      </c>
      <c r="C9529" s="417" t="s">
        <v>21498</v>
      </c>
      <c r="D9529" s="417" t="s">
        <v>397</v>
      </c>
      <c r="E9529" s="423">
        <v>0.45935069592229771</v>
      </c>
      <c r="F9529" s="423">
        <v>4.6810005911081351E-2</v>
      </c>
      <c r="G9529" s="422">
        <v>841.60209658361919</v>
      </c>
      <c r="H9529" s="417" t="s">
        <v>2616</v>
      </c>
      <c r="I9529" s="417" t="s">
        <v>1392</v>
      </c>
      <c r="J9529" s="417" t="s">
        <v>20833</v>
      </c>
      <c r="K9529" s="417" t="s">
        <v>21499</v>
      </c>
      <c r="L9529" s="417"/>
      <c r="M9529" s="417" t="s">
        <v>28840</v>
      </c>
    </row>
    <row r="9530" spans="1:13" x14ac:dyDescent="0.25">
      <c r="A9530" s="417" t="s">
        <v>3385</v>
      </c>
      <c r="B9530" s="417" t="s">
        <v>2437</v>
      </c>
      <c r="C9530" s="417" t="s">
        <v>21500</v>
      </c>
      <c r="D9530" s="417" t="s">
        <v>397</v>
      </c>
      <c r="E9530" s="423">
        <v>0.1723251477330644</v>
      </c>
      <c r="F9530" s="423">
        <v>1.179458544922826E-2</v>
      </c>
      <c r="G9530" s="422">
        <v>313.10312069518523</v>
      </c>
      <c r="H9530" s="417" t="s">
        <v>2616</v>
      </c>
      <c r="I9530" s="417" t="s">
        <v>28995</v>
      </c>
      <c r="J9530" s="417" t="s">
        <v>20833</v>
      </c>
      <c r="K9530" s="417" t="s">
        <v>21501</v>
      </c>
      <c r="L9530" s="417"/>
      <c r="M9530" s="417" t="s">
        <v>28840</v>
      </c>
    </row>
    <row r="9531" spans="1:13" x14ac:dyDescent="0.25">
      <c r="A9531" s="417" t="s">
        <v>3385</v>
      </c>
      <c r="B9531" s="417" t="s">
        <v>2437</v>
      </c>
      <c r="C9531" s="417" t="s">
        <v>21502</v>
      </c>
      <c r="D9531" s="417" t="s">
        <v>397</v>
      </c>
      <c r="E9531" s="423">
        <v>0.18888937045355669</v>
      </c>
      <c r="F9531" s="423">
        <v>1.847942834026893E-2</v>
      </c>
      <c r="G9531" s="422">
        <v>356.85119099066731</v>
      </c>
      <c r="H9531" s="417" t="s">
        <v>2616</v>
      </c>
      <c r="I9531" s="417" t="s">
        <v>1392</v>
      </c>
      <c r="J9531" s="417" t="s">
        <v>20833</v>
      </c>
      <c r="K9531" s="417" t="s">
        <v>21503</v>
      </c>
      <c r="L9531" s="417"/>
      <c r="M9531" s="417" t="s">
        <v>28840</v>
      </c>
    </row>
    <row r="9532" spans="1:13" x14ac:dyDescent="0.25">
      <c r="A9532" s="417" t="s">
        <v>3385</v>
      </c>
      <c r="B9532" s="417" t="s">
        <v>2437</v>
      </c>
      <c r="C9532" s="417" t="s">
        <v>21504</v>
      </c>
      <c r="D9532" s="417" t="s">
        <v>397</v>
      </c>
      <c r="E9532" s="423">
        <v>0.1792161977549232</v>
      </c>
      <c r="F9532" s="423">
        <v>3.0526380896690599E-2</v>
      </c>
      <c r="G9532" s="422">
        <v>753.2820335439967</v>
      </c>
      <c r="H9532" s="417" t="s">
        <v>2616</v>
      </c>
      <c r="I9532" s="417" t="s">
        <v>1392</v>
      </c>
      <c r="J9532" s="417" t="s">
        <v>20833</v>
      </c>
      <c r="K9532" s="417" t="s">
        <v>21505</v>
      </c>
      <c r="L9532" s="417"/>
      <c r="M9532" s="417" t="s">
        <v>28840</v>
      </c>
    </row>
    <row r="9533" spans="1:13" x14ac:dyDescent="0.25">
      <c r="A9533" s="417" t="s">
        <v>3385</v>
      </c>
      <c r="B9533" s="417" t="s">
        <v>2437</v>
      </c>
      <c r="C9533" s="417" t="s">
        <v>21506</v>
      </c>
      <c r="D9533" s="417" t="s">
        <v>397</v>
      </c>
      <c r="E9533" s="423">
        <v>0.17019881682660859</v>
      </c>
      <c r="F9533" s="423">
        <v>2.9507279055042721E-2</v>
      </c>
      <c r="G9533" s="422">
        <v>720.23165329140033</v>
      </c>
      <c r="H9533" s="417" t="s">
        <v>2616</v>
      </c>
      <c r="I9533" s="417" t="s">
        <v>1392</v>
      </c>
      <c r="J9533" s="417" t="s">
        <v>20833</v>
      </c>
      <c r="K9533" s="417" t="s">
        <v>21507</v>
      </c>
      <c r="L9533" s="417"/>
      <c r="M9533" s="417" t="s">
        <v>28840</v>
      </c>
    </row>
    <row r="9534" spans="1:13" x14ac:dyDescent="0.25">
      <c r="A9534" s="417" t="s">
        <v>3385</v>
      </c>
      <c r="B9534" s="417" t="s">
        <v>2437</v>
      </c>
      <c r="C9534" s="417" t="s">
        <v>21508</v>
      </c>
      <c r="D9534" s="417" t="s">
        <v>397</v>
      </c>
      <c r="E9534" s="423">
        <v>0.16634096042916149</v>
      </c>
      <c r="F9534" s="423">
        <v>2.9139804015336519E-2</v>
      </c>
      <c r="G9534" s="422">
        <v>709.16522829864869</v>
      </c>
      <c r="H9534" s="417" t="s">
        <v>2616</v>
      </c>
      <c r="I9534" s="417" t="s">
        <v>1392</v>
      </c>
      <c r="J9534" s="417" t="s">
        <v>20833</v>
      </c>
      <c r="K9534" s="417" t="s">
        <v>21509</v>
      </c>
      <c r="L9534" s="417"/>
      <c r="M9534" s="417" t="s">
        <v>28840</v>
      </c>
    </row>
    <row r="9535" spans="1:13" x14ac:dyDescent="0.25">
      <c r="A9535" s="417" t="s">
        <v>3385</v>
      </c>
      <c r="B9535" s="417" t="s">
        <v>2437</v>
      </c>
      <c r="C9535" s="417" t="s">
        <v>21510</v>
      </c>
      <c r="D9535" s="417" t="s">
        <v>397</v>
      </c>
      <c r="E9535" s="423">
        <v>9.0557304557736196E-2</v>
      </c>
      <c r="F9535" s="423">
        <v>1.4836040469926679E-2</v>
      </c>
      <c r="G9535" s="422">
        <v>370.04806871405418</v>
      </c>
      <c r="H9535" s="417" t="s">
        <v>2616</v>
      </c>
      <c r="I9535" s="417" t="s">
        <v>1392</v>
      </c>
      <c r="J9535" s="417" t="s">
        <v>20833</v>
      </c>
      <c r="K9535" s="417" t="s">
        <v>21511</v>
      </c>
      <c r="L9535" s="417"/>
      <c r="M9535" s="417" t="s">
        <v>28840</v>
      </c>
    </row>
    <row r="9536" spans="1:13" x14ac:dyDescent="0.25">
      <c r="A9536" s="417" t="s">
        <v>3385</v>
      </c>
      <c r="B9536" s="417" t="s">
        <v>2437</v>
      </c>
      <c r="C9536" s="417" t="s">
        <v>21512</v>
      </c>
      <c r="D9536" s="417" t="s">
        <v>397</v>
      </c>
      <c r="E9536" s="423">
        <v>8.8664925078349097E-2</v>
      </c>
      <c r="F9536" s="423">
        <v>1.4853282650833469E-2</v>
      </c>
      <c r="G9536" s="422">
        <v>365.16480545337942</v>
      </c>
      <c r="H9536" s="417" t="s">
        <v>2616</v>
      </c>
      <c r="I9536" s="417" t="s">
        <v>1392</v>
      </c>
      <c r="J9536" s="417" t="s">
        <v>20833</v>
      </c>
      <c r="K9536" s="417" t="s">
        <v>21513</v>
      </c>
      <c r="L9536" s="417"/>
      <c r="M9536" s="417" t="s">
        <v>28840</v>
      </c>
    </row>
    <row r="9537" spans="1:13" x14ac:dyDescent="0.25">
      <c r="A9537" s="417" t="s">
        <v>3385</v>
      </c>
      <c r="B9537" s="417" t="s">
        <v>2437</v>
      </c>
      <c r="C9537" s="417" t="s">
        <v>21514</v>
      </c>
      <c r="D9537" s="417" t="s">
        <v>397</v>
      </c>
      <c r="E9537" s="423">
        <v>9.1812946979198187E-2</v>
      </c>
      <c r="F9537" s="423">
        <v>1.582692961656185E-2</v>
      </c>
      <c r="G9537" s="422">
        <v>383.86029167539482</v>
      </c>
      <c r="H9537" s="417" t="s">
        <v>2616</v>
      </c>
      <c r="I9537" s="417" t="s">
        <v>1392</v>
      </c>
      <c r="J9537" s="417" t="s">
        <v>20833</v>
      </c>
      <c r="K9537" s="417" t="s">
        <v>21515</v>
      </c>
      <c r="L9537" s="417"/>
      <c r="M9537" s="417" t="s">
        <v>28840</v>
      </c>
    </row>
    <row r="9538" spans="1:13" x14ac:dyDescent="0.25">
      <c r="A9538" s="417" t="s">
        <v>3385</v>
      </c>
      <c r="B9538" s="417" t="s">
        <v>2437</v>
      </c>
      <c r="C9538" s="417" t="s">
        <v>21516</v>
      </c>
      <c r="D9538" s="417" t="s">
        <v>397</v>
      </c>
      <c r="E9538" s="423">
        <v>0.75569136821050964</v>
      </c>
      <c r="F9538" s="423">
        <v>0.1062700503046798</v>
      </c>
      <c r="G9538" s="422">
        <v>3071.4425297489202</v>
      </c>
      <c r="H9538" s="417" t="s">
        <v>2616</v>
      </c>
      <c r="I9538" s="417" t="s">
        <v>1392</v>
      </c>
      <c r="J9538" s="417" t="s">
        <v>20833</v>
      </c>
      <c r="K9538" s="417" t="s">
        <v>21517</v>
      </c>
      <c r="L9538" s="417"/>
      <c r="M9538" s="417" t="s">
        <v>28840</v>
      </c>
    </row>
    <row r="9539" spans="1:13" x14ac:dyDescent="0.25">
      <c r="A9539" s="417" t="s">
        <v>3385</v>
      </c>
      <c r="B9539" s="417" t="s">
        <v>2437</v>
      </c>
      <c r="C9539" s="417" t="s">
        <v>21518</v>
      </c>
      <c r="D9539" s="417" t="s">
        <v>397</v>
      </c>
      <c r="E9539" s="423">
        <v>0.64530390762187118</v>
      </c>
      <c r="F9539" s="423">
        <v>9.4373426691976126E-2</v>
      </c>
      <c r="G9539" s="422">
        <v>2681.6252250171142</v>
      </c>
      <c r="H9539" s="417" t="s">
        <v>2616</v>
      </c>
      <c r="I9539" s="417" t="s">
        <v>1392</v>
      </c>
      <c r="J9539" s="417" t="s">
        <v>20833</v>
      </c>
      <c r="K9539" s="417" t="s">
        <v>21519</v>
      </c>
      <c r="L9539" s="417"/>
      <c r="M9539" s="417" t="s">
        <v>28840</v>
      </c>
    </row>
    <row r="9540" spans="1:13" x14ac:dyDescent="0.25">
      <c r="A9540" s="417" t="s">
        <v>3385</v>
      </c>
      <c r="B9540" s="417" t="s">
        <v>2437</v>
      </c>
      <c r="C9540" s="417" t="s">
        <v>21520</v>
      </c>
      <c r="D9540" s="417" t="s">
        <v>397</v>
      </c>
      <c r="E9540" s="423">
        <v>0.55965988584356763</v>
      </c>
      <c r="F9540" s="423">
        <v>7.8239377014554301E-2</v>
      </c>
      <c r="G9540" s="422">
        <v>2306.6308432099058</v>
      </c>
      <c r="H9540" s="417" t="s">
        <v>2616</v>
      </c>
      <c r="I9540" s="417" t="s">
        <v>1392</v>
      </c>
      <c r="J9540" s="417" t="s">
        <v>20833</v>
      </c>
      <c r="K9540" s="417" t="s">
        <v>21521</v>
      </c>
      <c r="L9540" s="417"/>
      <c r="M9540" s="417" t="s">
        <v>28840</v>
      </c>
    </row>
    <row r="9541" spans="1:13" x14ac:dyDescent="0.25">
      <c r="A9541" s="417" t="s">
        <v>3385</v>
      </c>
      <c r="B9541" s="417" t="s">
        <v>2437</v>
      </c>
      <c r="C9541" s="417" t="s">
        <v>21522</v>
      </c>
      <c r="D9541" s="417" t="s">
        <v>397</v>
      </c>
      <c r="E9541" s="423">
        <v>0.1039598094716849</v>
      </c>
      <c r="F9541" s="423">
        <v>1.5904727617154939E-2</v>
      </c>
      <c r="G9541" s="422">
        <v>404.84818688957313</v>
      </c>
      <c r="H9541" s="417" t="s">
        <v>2616</v>
      </c>
      <c r="I9541" s="417" t="s">
        <v>1392</v>
      </c>
      <c r="J9541" s="417" t="s">
        <v>20833</v>
      </c>
      <c r="K9541" s="417" t="s">
        <v>21523</v>
      </c>
      <c r="L9541" s="417"/>
      <c r="M9541" s="417" t="s">
        <v>28840</v>
      </c>
    </row>
    <row r="9542" spans="1:13" x14ac:dyDescent="0.25">
      <c r="A9542" s="417" t="s">
        <v>3385</v>
      </c>
      <c r="B9542" s="417" t="s">
        <v>2437</v>
      </c>
      <c r="C9542" s="417" t="s">
        <v>21524</v>
      </c>
      <c r="D9542" s="417" t="s">
        <v>397</v>
      </c>
      <c r="E9542" s="423">
        <v>9.96120786874551E-2</v>
      </c>
      <c r="F9542" s="423">
        <v>1.5666187002244342E-2</v>
      </c>
      <c r="G9542" s="422">
        <v>391.1409053823557</v>
      </c>
      <c r="H9542" s="417" t="s">
        <v>2616</v>
      </c>
      <c r="I9542" s="417" t="s">
        <v>1392</v>
      </c>
      <c r="J9542" s="417" t="s">
        <v>20833</v>
      </c>
      <c r="K9542" s="417" t="s">
        <v>21525</v>
      </c>
      <c r="L9542" s="417"/>
      <c r="M9542" s="417" t="s">
        <v>28840</v>
      </c>
    </row>
    <row r="9543" spans="1:13" x14ac:dyDescent="0.25">
      <c r="A9543" s="417" t="s">
        <v>3385</v>
      </c>
      <c r="B9543" s="417" t="s">
        <v>2437</v>
      </c>
      <c r="C9543" s="417" t="s">
        <v>21526</v>
      </c>
      <c r="D9543" s="417" t="s">
        <v>397</v>
      </c>
      <c r="E9543" s="423">
        <v>9.6680788922870214E-2</v>
      </c>
      <c r="F9543" s="423">
        <v>1.5626998149378572E-2</v>
      </c>
      <c r="G9543" s="422">
        <v>384.1545861707549</v>
      </c>
      <c r="H9543" s="417" t="s">
        <v>2616</v>
      </c>
      <c r="I9543" s="417" t="s">
        <v>1392</v>
      </c>
      <c r="J9543" s="417" t="s">
        <v>20833</v>
      </c>
      <c r="K9543" s="417" t="s">
        <v>21527</v>
      </c>
      <c r="L9543" s="417"/>
      <c r="M9543" s="417" t="s">
        <v>28840</v>
      </c>
    </row>
    <row r="9544" spans="1:13" x14ac:dyDescent="0.25">
      <c r="A9544" s="417" t="s">
        <v>3385</v>
      </c>
      <c r="B9544" s="417" t="s">
        <v>2437</v>
      </c>
      <c r="C9544" s="417" t="s">
        <v>21528</v>
      </c>
      <c r="D9544" s="417" t="s">
        <v>397</v>
      </c>
      <c r="E9544" s="423">
        <v>0.1155976148705769</v>
      </c>
      <c r="F9544" s="423">
        <v>1.71158966115291E-2</v>
      </c>
      <c r="G9544" s="422">
        <v>439.82843808661192</v>
      </c>
      <c r="H9544" s="417" t="s">
        <v>2616</v>
      </c>
      <c r="I9544" s="417" t="s">
        <v>1392</v>
      </c>
      <c r="J9544" s="417" t="s">
        <v>20833</v>
      </c>
      <c r="K9544" s="417" t="s">
        <v>21529</v>
      </c>
      <c r="L9544" s="417"/>
      <c r="M9544" s="417" t="s">
        <v>28840</v>
      </c>
    </row>
    <row r="9545" spans="1:13" x14ac:dyDescent="0.25">
      <c r="A9545" s="417" t="s">
        <v>3385</v>
      </c>
      <c r="B9545" s="417" t="s">
        <v>2437</v>
      </c>
      <c r="C9545" s="417" t="s">
        <v>21530</v>
      </c>
      <c r="D9545" s="417" t="s">
        <v>397</v>
      </c>
      <c r="E9545" s="423">
        <v>0.11084412281321571</v>
      </c>
      <c r="F9545" s="423">
        <v>1.6952691885262869E-2</v>
      </c>
      <c r="G9545" s="422">
        <v>426.03708914580773</v>
      </c>
      <c r="H9545" s="417" t="s">
        <v>2616</v>
      </c>
      <c r="I9545" s="417" t="s">
        <v>1392</v>
      </c>
      <c r="J9545" s="417" t="s">
        <v>20833</v>
      </c>
      <c r="K9545" s="417" t="s">
        <v>21531</v>
      </c>
      <c r="L9545" s="417"/>
      <c r="M9545" s="417" t="s">
        <v>28840</v>
      </c>
    </row>
    <row r="9546" spans="1:13" x14ac:dyDescent="0.25">
      <c r="A9546" s="417" t="s">
        <v>3385</v>
      </c>
      <c r="B9546" s="417" t="s">
        <v>2437</v>
      </c>
      <c r="C9546" s="417" t="s">
        <v>21532</v>
      </c>
      <c r="D9546" s="417" t="s">
        <v>397</v>
      </c>
      <c r="E9546" s="423">
        <v>0.11051698077826699</v>
      </c>
      <c r="F9546" s="423">
        <v>1.7535786195634191E-2</v>
      </c>
      <c r="G9546" s="422">
        <v>431.77992830440252</v>
      </c>
      <c r="H9546" s="417" t="s">
        <v>2616</v>
      </c>
      <c r="I9546" s="417" t="s">
        <v>1392</v>
      </c>
      <c r="J9546" s="417" t="s">
        <v>20833</v>
      </c>
      <c r="K9546" s="417" t="s">
        <v>21533</v>
      </c>
      <c r="L9546" s="417"/>
      <c r="M9546" s="417" t="s">
        <v>28840</v>
      </c>
    </row>
    <row r="9547" spans="1:13" x14ac:dyDescent="0.25">
      <c r="A9547" s="417" t="s">
        <v>3385</v>
      </c>
      <c r="B9547" s="417" t="s">
        <v>2437</v>
      </c>
      <c r="C9547" s="417" t="s">
        <v>21534</v>
      </c>
      <c r="D9547" s="417" t="s">
        <v>397</v>
      </c>
      <c r="E9547" s="423">
        <v>0.74386771300260968</v>
      </c>
      <c r="F9547" s="423">
        <v>0.1009516176708858</v>
      </c>
      <c r="G9547" s="422">
        <v>2814.6508850842602</v>
      </c>
      <c r="H9547" s="417" t="s">
        <v>2616</v>
      </c>
      <c r="I9547" s="417" t="s">
        <v>1392</v>
      </c>
      <c r="J9547" s="417" t="s">
        <v>20833</v>
      </c>
      <c r="K9547" s="417" t="s">
        <v>21535</v>
      </c>
      <c r="L9547" s="417"/>
      <c r="M9547" s="417" t="s">
        <v>28840</v>
      </c>
    </row>
    <row r="9548" spans="1:13" x14ac:dyDescent="0.25">
      <c r="A9548" s="417" t="s">
        <v>3385</v>
      </c>
      <c r="B9548" s="417" t="s">
        <v>2437</v>
      </c>
      <c r="C9548" s="417" t="s">
        <v>21536</v>
      </c>
      <c r="D9548" s="417" t="s">
        <v>397</v>
      </c>
      <c r="E9548" s="423">
        <v>0.6218008361065126</v>
      </c>
      <c r="F9548" s="423">
        <v>8.7757744552728612E-2</v>
      </c>
      <c r="G9548" s="422">
        <v>2384.5727784019618</v>
      </c>
      <c r="H9548" s="417" t="s">
        <v>2616</v>
      </c>
      <c r="I9548" s="417" t="s">
        <v>1392</v>
      </c>
      <c r="J9548" s="417" t="s">
        <v>20833</v>
      </c>
      <c r="K9548" s="417" t="s">
        <v>21537</v>
      </c>
      <c r="L9548" s="417"/>
      <c r="M9548" s="417" t="s">
        <v>28840</v>
      </c>
    </row>
    <row r="9549" spans="1:13" x14ac:dyDescent="0.25">
      <c r="A9549" s="417" t="s">
        <v>3385</v>
      </c>
      <c r="B9549" s="417" t="s">
        <v>2437</v>
      </c>
      <c r="C9549" s="417" t="s">
        <v>21538</v>
      </c>
      <c r="D9549" s="417" t="s">
        <v>397</v>
      </c>
      <c r="E9549" s="423">
        <v>0.56523658330048221</v>
      </c>
      <c r="F9549" s="423">
        <v>7.8198500910043378E-2</v>
      </c>
      <c r="G9549" s="422">
        <v>2147.1372337761331</v>
      </c>
      <c r="H9549" s="417" t="s">
        <v>2616</v>
      </c>
      <c r="I9549" s="417" t="s">
        <v>1392</v>
      </c>
      <c r="J9549" s="417" t="s">
        <v>20833</v>
      </c>
      <c r="K9549" s="417" t="s">
        <v>21539</v>
      </c>
      <c r="L9549" s="417"/>
      <c r="M9549" s="417" t="s">
        <v>28840</v>
      </c>
    </row>
    <row r="9550" spans="1:13" x14ac:dyDescent="0.25">
      <c r="A9550" s="417" t="s">
        <v>3385</v>
      </c>
      <c r="B9550" s="417" t="s">
        <v>2437</v>
      </c>
      <c r="C9550" s="417" t="s">
        <v>21540</v>
      </c>
      <c r="D9550" s="417" t="s">
        <v>397</v>
      </c>
      <c r="E9550" s="423">
        <v>8.1923577602795103E-2</v>
      </c>
      <c r="F9550" s="423">
        <v>1.339723745908707E-2</v>
      </c>
      <c r="G9550" s="422">
        <v>287.44857497010759</v>
      </c>
      <c r="H9550" s="417" t="s">
        <v>2616</v>
      </c>
      <c r="I9550" s="417" t="s">
        <v>1392</v>
      </c>
      <c r="J9550" s="417" t="s">
        <v>20833</v>
      </c>
      <c r="K9550" s="417" t="s">
        <v>21541</v>
      </c>
      <c r="L9550" s="417"/>
      <c r="M9550" s="417" t="s">
        <v>28840</v>
      </c>
    </row>
    <row r="9551" spans="1:13" x14ac:dyDescent="0.25">
      <c r="A9551" s="417" t="s">
        <v>3385</v>
      </c>
      <c r="B9551" s="417" t="s">
        <v>2437</v>
      </c>
      <c r="C9551" s="417" t="s">
        <v>21542</v>
      </c>
      <c r="D9551" s="417" t="s">
        <v>397</v>
      </c>
      <c r="E9551" s="423">
        <v>7.5839642422222631E-2</v>
      </c>
      <c r="F9551" s="423">
        <v>1.289459220078789E-2</v>
      </c>
      <c r="G9551" s="422">
        <v>268.44342896821172</v>
      </c>
      <c r="H9551" s="417" t="s">
        <v>2616</v>
      </c>
      <c r="I9551" s="417" t="s">
        <v>1392</v>
      </c>
      <c r="J9551" s="417" t="s">
        <v>20833</v>
      </c>
      <c r="K9551" s="417" t="s">
        <v>21543</v>
      </c>
      <c r="L9551" s="417"/>
      <c r="M9551" s="417" t="s">
        <v>28840</v>
      </c>
    </row>
    <row r="9552" spans="1:13" x14ac:dyDescent="0.25">
      <c r="A9552" s="417" t="s">
        <v>3385</v>
      </c>
      <c r="B9552" s="417" t="s">
        <v>2437</v>
      </c>
      <c r="C9552" s="417" t="s">
        <v>21544</v>
      </c>
      <c r="D9552" s="417" t="s">
        <v>397</v>
      </c>
      <c r="E9552" s="423">
        <v>7.2959600981646139E-2</v>
      </c>
      <c r="F9552" s="423">
        <v>1.26992693546682E-2</v>
      </c>
      <c r="G9552" s="422">
        <v>262.0587440912222</v>
      </c>
      <c r="H9552" s="417" t="s">
        <v>2616</v>
      </c>
      <c r="I9552" s="417" t="s">
        <v>1392</v>
      </c>
      <c r="J9552" s="417" t="s">
        <v>20833</v>
      </c>
      <c r="K9552" s="417" t="s">
        <v>21545</v>
      </c>
      <c r="L9552" s="417"/>
      <c r="M9552" s="417" t="s">
        <v>28840</v>
      </c>
    </row>
    <row r="9553" spans="1:13" x14ac:dyDescent="0.25">
      <c r="A9553" s="417" t="s">
        <v>3385</v>
      </c>
      <c r="B9553" s="417" t="s">
        <v>2437</v>
      </c>
      <c r="C9553" s="417" t="s">
        <v>21546</v>
      </c>
      <c r="D9553" s="417" t="s">
        <v>397</v>
      </c>
      <c r="E9553" s="423">
        <v>4.3622171133426479E-2</v>
      </c>
      <c r="F9553" s="423">
        <v>6.5727350920573111E-3</v>
      </c>
      <c r="G9553" s="422">
        <v>145.3243910497404</v>
      </c>
      <c r="H9553" s="417" t="s">
        <v>2616</v>
      </c>
      <c r="I9553" s="417" t="s">
        <v>1392</v>
      </c>
      <c r="J9553" s="417" t="s">
        <v>20833</v>
      </c>
      <c r="K9553" s="417" t="s">
        <v>21547</v>
      </c>
      <c r="L9553" s="417"/>
      <c r="M9553" s="417" t="s">
        <v>28840</v>
      </c>
    </row>
    <row r="9554" spans="1:13" x14ac:dyDescent="0.25">
      <c r="A9554" s="417" t="s">
        <v>3385</v>
      </c>
      <c r="B9554" s="417" t="s">
        <v>2437</v>
      </c>
      <c r="C9554" s="417" t="s">
        <v>21548</v>
      </c>
      <c r="D9554" s="417" t="s">
        <v>397</v>
      </c>
      <c r="E9554" s="423">
        <v>4.1387556342207178E-2</v>
      </c>
      <c r="F9554" s="423">
        <v>6.5297240039390129E-3</v>
      </c>
      <c r="G9554" s="422">
        <v>138.8025180961111</v>
      </c>
      <c r="H9554" s="417" t="s">
        <v>2616</v>
      </c>
      <c r="I9554" s="417" t="s">
        <v>1392</v>
      </c>
      <c r="J9554" s="417" t="s">
        <v>20833</v>
      </c>
      <c r="K9554" s="417" t="s">
        <v>21549</v>
      </c>
      <c r="L9554" s="417"/>
      <c r="M9554" s="417" t="s">
        <v>28840</v>
      </c>
    </row>
    <row r="9555" spans="1:13" x14ac:dyDescent="0.25">
      <c r="A9555" s="417" t="s">
        <v>3385</v>
      </c>
      <c r="B9555" s="417" t="s">
        <v>2437</v>
      </c>
      <c r="C9555" s="417" t="s">
        <v>21550</v>
      </c>
      <c r="D9555" s="417" t="s">
        <v>397</v>
      </c>
      <c r="E9555" s="423">
        <v>4.0966552545235957E-2</v>
      </c>
      <c r="F9555" s="423">
        <v>6.8750154582555532E-3</v>
      </c>
      <c r="G9555" s="422">
        <v>140.40963883550901</v>
      </c>
      <c r="H9555" s="417" t="s">
        <v>2616</v>
      </c>
      <c r="I9555" s="417" t="s">
        <v>1392</v>
      </c>
      <c r="J9555" s="417" t="s">
        <v>20833</v>
      </c>
      <c r="K9555" s="417" t="s">
        <v>21551</v>
      </c>
      <c r="L9555" s="417"/>
      <c r="M9555" s="417" t="s">
        <v>28840</v>
      </c>
    </row>
    <row r="9556" spans="1:13" x14ac:dyDescent="0.25">
      <c r="A9556" s="417" t="s">
        <v>3385</v>
      </c>
      <c r="B9556" s="417" t="s">
        <v>2437</v>
      </c>
      <c r="C9556" s="417" t="s">
        <v>21552</v>
      </c>
      <c r="D9556" s="417" t="s">
        <v>397</v>
      </c>
      <c r="E9556" s="423">
        <v>0.45012409339530979</v>
      </c>
      <c r="F9556" s="423">
        <v>5.2472489255402169E-2</v>
      </c>
      <c r="G9556" s="422">
        <v>1608.397761305627</v>
      </c>
      <c r="H9556" s="417" t="s">
        <v>2616</v>
      </c>
      <c r="I9556" s="417" t="s">
        <v>1392</v>
      </c>
      <c r="J9556" s="417" t="s">
        <v>20833</v>
      </c>
      <c r="K9556" s="417" t="s">
        <v>21553</v>
      </c>
      <c r="L9556" s="417"/>
      <c r="M9556" s="417" t="s">
        <v>28840</v>
      </c>
    </row>
    <row r="9557" spans="1:13" x14ac:dyDescent="0.25">
      <c r="A9557" s="417" t="s">
        <v>3385</v>
      </c>
      <c r="B9557" s="417" t="s">
        <v>2437</v>
      </c>
      <c r="C9557" s="417" t="s">
        <v>21554</v>
      </c>
      <c r="D9557" s="417" t="s">
        <v>397</v>
      </c>
      <c r="E9557" s="423">
        <v>0.37347126005275572</v>
      </c>
      <c r="F9557" s="423">
        <v>4.6515116375539491E-2</v>
      </c>
      <c r="G9557" s="422">
        <v>1380.100604945284</v>
      </c>
      <c r="H9557" s="417" t="s">
        <v>2616</v>
      </c>
      <c r="I9557" s="417" t="s">
        <v>1392</v>
      </c>
      <c r="J9557" s="417" t="s">
        <v>20833</v>
      </c>
      <c r="K9557" s="417" t="s">
        <v>21555</v>
      </c>
      <c r="L9557" s="417"/>
      <c r="M9557" s="417" t="s">
        <v>28840</v>
      </c>
    </row>
    <row r="9558" spans="1:13" x14ac:dyDescent="0.25">
      <c r="A9558" s="417" t="s">
        <v>3385</v>
      </c>
      <c r="B9558" s="417" t="s">
        <v>2437</v>
      </c>
      <c r="C9558" s="417" t="s">
        <v>21556</v>
      </c>
      <c r="D9558" s="417" t="s">
        <v>397</v>
      </c>
      <c r="E9558" s="423">
        <v>0.34160707901216131</v>
      </c>
      <c r="F9558" s="423">
        <v>3.9849437448195267E-2</v>
      </c>
      <c r="G9558" s="422">
        <v>1262.6020907400739</v>
      </c>
      <c r="H9558" s="417" t="s">
        <v>2616</v>
      </c>
      <c r="I9558" s="417" t="s">
        <v>1392</v>
      </c>
      <c r="J9558" s="417" t="s">
        <v>20833</v>
      </c>
      <c r="K9558" s="417" t="s">
        <v>21557</v>
      </c>
      <c r="L9558" s="417"/>
      <c r="M9558" s="417" t="s">
        <v>28840</v>
      </c>
    </row>
    <row r="9559" spans="1:13" x14ac:dyDescent="0.25">
      <c r="A9559" s="417" t="s">
        <v>3385</v>
      </c>
      <c r="B9559" s="417" t="s">
        <v>2437</v>
      </c>
      <c r="C9559" s="417" t="s">
        <v>21558</v>
      </c>
      <c r="D9559" s="417" t="s">
        <v>397</v>
      </c>
      <c r="E9559" s="423">
        <v>5.5069045543406032E-2</v>
      </c>
      <c r="F9559" s="423">
        <v>7.2971178492440697E-3</v>
      </c>
      <c r="G9559" s="422">
        <v>170.7610218255966</v>
      </c>
      <c r="H9559" s="417" t="s">
        <v>2616</v>
      </c>
      <c r="I9559" s="417" t="s">
        <v>1392</v>
      </c>
      <c r="J9559" s="417" t="s">
        <v>20833</v>
      </c>
      <c r="K9559" s="417" t="s">
        <v>21559</v>
      </c>
      <c r="L9559" s="417"/>
      <c r="M9559" s="417" t="s">
        <v>28840</v>
      </c>
    </row>
    <row r="9560" spans="1:13" x14ac:dyDescent="0.25">
      <c r="A9560" s="417" t="s">
        <v>3385</v>
      </c>
      <c r="B9560" s="417" t="s">
        <v>2437</v>
      </c>
      <c r="C9560" s="417" t="s">
        <v>21560</v>
      </c>
      <c r="D9560" s="417" t="s">
        <v>397</v>
      </c>
      <c r="E9560" s="423">
        <v>5.1063550131871277E-2</v>
      </c>
      <c r="F9560" s="423">
        <v>7.1188305026858821E-3</v>
      </c>
      <c r="G9560" s="422">
        <v>158.69235084608459</v>
      </c>
      <c r="H9560" s="417" t="s">
        <v>2616</v>
      </c>
      <c r="I9560" s="417" t="s">
        <v>1392</v>
      </c>
      <c r="J9560" s="417" t="s">
        <v>20833</v>
      </c>
      <c r="K9560" s="417" t="s">
        <v>21561</v>
      </c>
      <c r="L9560" s="417"/>
      <c r="M9560" s="417" t="s">
        <v>28840</v>
      </c>
    </row>
    <row r="9561" spans="1:13" x14ac:dyDescent="0.25">
      <c r="A9561" s="417" t="s">
        <v>3385</v>
      </c>
      <c r="B9561" s="417" t="s">
        <v>2437</v>
      </c>
      <c r="C9561" s="417" t="s">
        <v>21562</v>
      </c>
      <c r="D9561" s="417" t="s">
        <v>397</v>
      </c>
      <c r="E9561" s="423">
        <v>4.7887806578905637E-2</v>
      </c>
      <c r="F9561" s="423">
        <v>7.036603601205769E-3</v>
      </c>
      <c r="G9561" s="422">
        <v>150.53559393943081</v>
      </c>
      <c r="H9561" s="417" t="s">
        <v>2616</v>
      </c>
      <c r="I9561" s="417" t="s">
        <v>1392</v>
      </c>
      <c r="J9561" s="417" t="s">
        <v>20833</v>
      </c>
      <c r="K9561" s="417" t="s">
        <v>21563</v>
      </c>
      <c r="L9561" s="417"/>
      <c r="M9561" s="417" t="s">
        <v>28840</v>
      </c>
    </row>
    <row r="9562" spans="1:13" x14ac:dyDescent="0.25">
      <c r="A9562" s="417" t="s">
        <v>3385</v>
      </c>
      <c r="B9562" s="417" t="s">
        <v>2437</v>
      </c>
      <c r="C9562" s="417" t="s">
        <v>21564</v>
      </c>
      <c r="D9562" s="417" t="s">
        <v>397</v>
      </c>
      <c r="E9562" s="423">
        <v>6.3773405166719449E-2</v>
      </c>
      <c r="F9562" s="423">
        <v>7.9918302575007205E-3</v>
      </c>
      <c r="G9562" s="422">
        <v>191.69604409049771</v>
      </c>
      <c r="H9562" s="417" t="s">
        <v>2616</v>
      </c>
      <c r="I9562" s="417" t="s">
        <v>1392</v>
      </c>
      <c r="J9562" s="417" t="s">
        <v>20833</v>
      </c>
      <c r="K9562" s="417" t="s">
        <v>21565</v>
      </c>
      <c r="L9562" s="417"/>
      <c r="M9562" s="417" t="s">
        <v>28840</v>
      </c>
    </row>
    <row r="9563" spans="1:13" x14ac:dyDescent="0.25">
      <c r="A9563" s="417" t="s">
        <v>3385</v>
      </c>
      <c r="B9563" s="417" t="s">
        <v>2437</v>
      </c>
      <c r="C9563" s="417" t="s">
        <v>21566</v>
      </c>
      <c r="D9563" s="417" t="s">
        <v>397</v>
      </c>
      <c r="E9563" s="423">
        <v>5.9019913131402313E-2</v>
      </c>
      <c r="F9563" s="423">
        <v>7.8286255308199562E-3</v>
      </c>
      <c r="G9563" s="422">
        <v>177.90469440781479</v>
      </c>
      <c r="H9563" s="417" t="s">
        <v>2616</v>
      </c>
      <c r="I9563" s="417" t="s">
        <v>1392</v>
      </c>
      <c r="J9563" s="417" t="s">
        <v>20833</v>
      </c>
      <c r="K9563" s="417" t="s">
        <v>21567</v>
      </c>
      <c r="L9563" s="417"/>
      <c r="M9563" s="417" t="s">
        <v>28840</v>
      </c>
    </row>
    <row r="9564" spans="1:13" x14ac:dyDescent="0.25">
      <c r="A9564" s="417" t="s">
        <v>3385</v>
      </c>
      <c r="B9564" s="417" t="s">
        <v>2437</v>
      </c>
      <c r="C9564" s="417" t="s">
        <v>21568</v>
      </c>
      <c r="D9564" s="417" t="s">
        <v>397</v>
      </c>
      <c r="E9564" s="423">
        <v>5.6248232827822257E-2</v>
      </c>
      <c r="F9564" s="423">
        <v>7.9813393532347718E-3</v>
      </c>
      <c r="G9564" s="422">
        <v>171.94317487480271</v>
      </c>
      <c r="H9564" s="417" t="s">
        <v>2616</v>
      </c>
      <c r="I9564" s="417" t="s">
        <v>1392</v>
      </c>
      <c r="J9564" s="417" t="s">
        <v>20833</v>
      </c>
      <c r="K9564" s="417" t="s">
        <v>21569</v>
      </c>
      <c r="L9564" s="417"/>
      <c r="M9564" s="417" t="s">
        <v>28840</v>
      </c>
    </row>
    <row r="9565" spans="1:13" x14ac:dyDescent="0.25">
      <c r="A9565" s="417" t="s">
        <v>3385</v>
      </c>
      <c r="B9565" s="417" t="s">
        <v>2437</v>
      </c>
      <c r="C9565" s="417" t="s">
        <v>21570</v>
      </c>
      <c r="D9565" s="417" t="s">
        <v>397</v>
      </c>
      <c r="E9565" s="423">
        <v>0.45541220609968469</v>
      </c>
      <c r="F9565" s="423">
        <v>5.0166720044533708E-2</v>
      </c>
      <c r="G9565" s="422">
        <v>1433.536594759679</v>
      </c>
      <c r="H9565" s="417" t="s">
        <v>2616</v>
      </c>
      <c r="I9565" s="417" t="s">
        <v>1392</v>
      </c>
      <c r="J9565" s="417" t="s">
        <v>20833</v>
      </c>
      <c r="K9565" s="417" t="s">
        <v>21571</v>
      </c>
      <c r="L9565" s="417"/>
      <c r="M9565" s="417" t="s">
        <v>28840</v>
      </c>
    </row>
    <row r="9566" spans="1:13" x14ac:dyDescent="0.25">
      <c r="A9566" s="417" t="s">
        <v>3385</v>
      </c>
      <c r="B9566" s="417" t="s">
        <v>2437</v>
      </c>
      <c r="C9566" s="417" t="s">
        <v>21572</v>
      </c>
      <c r="D9566" s="417" t="s">
        <v>397</v>
      </c>
      <c r="E9566" s="423">
        <v>0.37099121713097699</v>
      </c>
      <c r="F9566" s="423">
        <v>4.3600706438065212E-2</v>
      </c>
      <c r="G9566" s="422">
        <v>1183.7056497758649</v>
      </c>
      <c r="H9566" s="417" t="s">
        <v>2616</v>
      </c>
      <c r="I9566" s="417" t="s">
        <v>1392</v>
      </c>
      <c r="J9566" s="417" t="s">
        <v>20833</v>
      </c>
      <c r="K9566" s="417" t="s">
        <v>21573</v>
      </c>
      <c r="L9566" s="417"/>
      <c r="M9566" s="417" t="s">
        <v>28840</v>
      </c>
    </row>
    <row r="9567" spans="1:13" x14ac:dyDescent="0.25">
      <c r="A9567" s="417" t="s">
        <v>3385</v>
      </c>
      <c r="B9567" s="417" t="s">
        <v>2437</v>
      </c>
      <c r="C9567" s="417" t="s">
        <v>21574</v>
      </c>
      <c r="D9567" s="417" t="s">
        <v>397</v>
      </c>
      <c r="E9567" s="423">
        <v>0.3452281452686467</v>
      </c>
      <c r="F9567" s="423">
        <v>3.946425694961421E-2</v>
      </c>
      <c r="G9567" s="422">
        <v>1093.7449796509461</v>
      </c>
      <c r="H9567" s="417" t="s">
        <v>2616</v>
      </c>
      <c r="I9567" s="417" t="s">
        <v>1392</v>
      </c>
      <c r="J9567" s="417" t="s">
        <v>20833</v>
      </c>
      <c r="K9567" s="417" t="s">
        <v>21575</v>
      </c>
      <c r="L9567" s="417"/>
      <c r="M9567" s="417" t="s">
        <v>28840</v>
      </c>
    </row>
    <row r="9568" spans="1:13" x14ac:dyDescent="0.25">
      <c r="A9568" s="417" t="s">
        <v>3385</v>
      </c>
      <c r="B9568" s="417" t="s">
        <v>2437</v>
      </c>
      <c r="C9568" s="417" t="s">
        <v>21576</v>
      </c>
      <c r="D9568" s="417" t="s">
        <v>397</v>
      </c>
      <c r="E9568" s="423">
        <v>0.31265931656033502</v>
      </c>
      <c r="F9568" s="423">
        <v>6.0967534246975236E-3</v>
      </c>
      <c r="G9568" s="422">
        <v>525.33310143992708</v>
      </c>
      <c r="H9568" s="417" t="s">
        <v>2616</v>
      </c>
      <c r="I9568" s="417" t="s">
        <v>1392</v>
      </c>
      <c r="J9568" s="417" t="s">
        <v>20833</v>
      </c>
      <c r="K9568" s="417" t="s">
        <v>21577</v>
      </c>
      <c r="L9568" s="417"/>
      <c r="M9568" s="417" t="s">
        <v>28840</v>
      </c>
    </row>
    <row r="9569" spans="1:13" x14ac:dyDescent="0.25">
      <c r="A9569" s="417" t="s">
        <v>3385</v>
      </c>
      <c r="B9569" s="417" t="s">
        <v>2437</v>
      </c>
      <c r="C9569" s="417" t="s">
        <v>21578</v>
      </c>
      <c r="D9569" s="417" t="s">
        <v>397</v>
      </c>
      <c r="E9569" s="423">
        <v>0.29961852491446722</v>
      </c>
      <c r="F9569" s="423">
        <v>5.8142232643940434E-3</v>
      </c>
      <c r="G9569" s="422">
        <v>499.15555770812648</v>
      </c>
      <c r="H9569" s="417" t="s">
        <v>2616</v>
      </c>
      <c r="I9569" s="417" t="s">
        <v>1392</v>
      </c>
      <c r="J9569" s="417" t="s">
        <v>20833</v>
      </c>
      <c r="K9569" s="417" t="s">
        <v>21579</v>
      </c>
      <c r="L9569" s="417"/>
      <c r="M9569" s="417" t="s">
        <v>28840</v>
      </c>
    </row>
    <row r="9570" spans="1:13" x14ac:dyDescent="0.25">
      <c r="A9570" s="417" t="s">
        <v>3385</v>
      </c>
      <c r="B9570" s="417" t="s">
        <v>2437</v>
      </c>
      <c r="C9570" s="417" t="s">
        <v>21580</v>
      </c>
      <c r="D9570" s="417" t="s">
        <v>397</v>
      </c>
      <c r="E9570" s="423">
        <v>0.29441953132799198</v>
      </c>
      <c r="F9570" s="423">
        <v>5.6922721166506041E-3</v>
      </c>
      <c r="G9570" s="422">
        <v>490.3800739476892</v>
      </c>
      <c r="H9570" s="417" t="s">
        <v>2616</v>
      </c>
      <c r="I9570" s="417" t="s">
        <v>1392</v>
      </c>
      <c r="J9570" s="417" t="s">
        <v>20833</v>
      </c>
      <c r="K9570" s="417" t="s">
        <v>21581</v>
      </c>
      <c r="L9570" s="417"/>
      <c r="M9570" s="417" t="s">
        <v>28840</v>
      </c>
    </row>
    <row r="9571" spans="1:13" x14ac:dyDescent="0.25">
      <c r="A9571" s="417" t="s">
        <v>3385</v>
      </c>
      <c r="B9571" s="417" t="s">
        <v>2437</v>
      </c>
      <c r="C9571" s="417" t="s">
        <v>21582</v>
      </c>
      <c r="D9571" s="417" t="s">
        <v>397</v>
      </c>
      <c r="E9571" s="423">
        <v>0.15493187433996919</v>
      </c>
      <c r="F9571" s="423">
        <v>3.0508935475323752E-3</v>
      </c>
      <c r="G9571" s="422">
        <v>260.08275566923032</v>
      </c>
      <c r="H9571" s="417" t="s">
        <v>2616</v>
      </c>
      <c r="I9571" s="417" t="s">
        <v>1392</v>
      </c>
      <c r="J9571" s="417" t="s">
        <v>20833</v>
      </c>
      <c r="K9571" s="417" t="s">
        <v>21583</v>
      </c>
      <c r="L9571" s="417"/>
      <c r="M9571" s="417" t="s">
        <v>28840</v>
      </c>
    </row>
    <row r="9572" spans="1:13" x14ac:dyDescent="0.25">
      <c r="A9572" s="417" t="s">
        <v>3385</v>
      </c>
      <c r="B9572" s="417" t="s">
        <v>2437</v>
      </c>
      <c r="C9572" s="417" t="s">
        <v>21584</v>
      </c>
      <c r="D9572" s="417" t="s">
        <v>397</v>
      </c>
      <c r="E9572" s="423">
        <v>0.1535088927931289</v>
      </c>
      <c r="F9572" s="423">
        <v>2.9822023654153839E-3</v>
      </c>
      <c r="G9572" s="422">
        <v>254.3976625768243</v>
      </c>
      <c r="H9572" s="417" t="s">
        <v>2616</v>
      </c>
      <c r="I9572" s="417" t="s">
        <v>1392</v>
      </c>
      <c r="J9572" s="417" t="s">
        <v>20833</v>
      </c>
      <c r="K9572" s="417" t="s">
        <v>21585</v>
      </c>
      <c r="L9572" s="417"/>
      <c r="M9572" s="417" t="s">
        <v>28840</v>
      </c>
    </row>
    <row r="9573" spans="1:13" x14ac:dyDescent="0.25">
      <c r="A9573" s="417" t="s">
        <v>3385</v>
      </c>
      <c r="B9573" s="417" t="s">
        <v>2437</v>
      </c>
      <c r="C9573" s="417" t="s">
        <v>21586</v>
      </c>
      <c r="D9573" s="417" t="s">
        <v>397</v>
      </c>
      <c r="E9573" s="423">
        <v>0.16155206436035</v>
      </c>
      <c r="F9573" s="423">
        <v>3.0596871189588599E-3</v>
      </c>
      <c r="G9573" s="422">
        <v>264.73120011273841</v>
      </c>
      <c r="H9573" s="417" t="s">
        <v>2616</v>
      </c>
      <c r="I9573" s="417" t="s">
        <v>1392</v>
      </c>
      <c r="J9573" s="417" t="s">
        <v>20833</v>
      </c>
      <c r="K9573" s="417" t="s">
        <v>21587</v>
      </c>
      <c r="L9573" s="417"/>
      <c r="M9573" s="417" t="s">
        <v>28840</v>
      </c>
    </row>
    <row r="9574" spans="1:13" x14ac:dyDescent="0.25">
      <c r="A9574" s="417" t="s">
        <v>3385</v>
      </c>
      <c r="B9574" s="417" t="s">
        <v>2437</v>
      </c>
      <c r="C9574" s="417" t="s">
        <v>21588</v>
      </c>
      <c r="D9574" s="417" t="s">
        <v>397</v>
      </c>
      <c r="E9574" s="423">
        <v>1.1747966402661769</v>
      </c>
      <c r="F9574" s="423">
        <v>2.9543833373237832E-2</v>
      </c>
      <c r="G9574" s="422">
        <v>2355.5225303453531</v>
      </c>
      <c r="H9574" s="417" t="s">
        <v>2616</v>
      </c>
      <c r="I9574" s="417" t="s">
        <v>1392</v>
      </c>
      <c r="J9574" s="417" t="s">
        <v>20833</v>
      </c>
      <c r="K9574" s="417" t="s">
        <v>21589</v>
      </c>
      <c r="L9574" s="417"/>
      <c r="M9574" s="417" t="s">
        <v>28840</v>
      </c>
    </row>
    <row r="9575" spans="1:13" x14ac:dyDescent="0.25">
      <c r="A9575" s="417" t="s">
        <v>3385</v>
      </c>
      <c r="B9575" s="417" t="s">
        <v>2437</v>
      </c>
      <c r="C9575" s="417" t="s">
        <v>21590</v>
      </c>
      <c r="D9575" s="417" t="s">
        <v>397</v>
      </c>
      <c r="E9575" s="423">
        <v>1.018139957759111</v>
      </c>
      <c r="F9575" s="423">
        <v>2.6117784098988031E-2</v>
      </c>
      <c r="G9575" s="422">
        <v>2044.7427979653021</v>
      </c>
      <c r="H9575" s="417" t="s">
        <v>2616</v>
      </c>
      <c r="I9575" s="417" t="s">
        <v>1392</v>
      </c>
      <c r="J9575" s="417" t="s">
        <v>20833</v>
      </c>
      <c r="K9575" s="417" t="s">
        <v>21591</v>
      </c>
      <c r="L9575" s="417"/>
      <c r="M9575" s="417" t="s">
        <v>28840</v>
      </c>
    </row>
    <row r="9576" spans="1:13" x14ac:dyDescent="0.25">
      <c r="A9576" s="417" t="s">
        <v>3385</v>
      </c>
      <c r="B9576" s="417" t="s">
        <v>2437</v>
      </c>
      <c r="C9576" s="417" t="s">
        <v>21592</v>
      </c>
      <c r="D9576" s="417" t="s">
        <v>397</v>
      </c>
      <c r="E9576" s="423">
        <v>0.85873340849372448</v>
      </c>
      <c r="F9576" s="423">
        <v>2.348754860834552E-2</v>
      </c>
      <c r="G9576" s="422">
        <v>1795.7503243768911</v>
      </c>
      <c r="H9576" s="417" t="s">
        <v>2616</v>
      </c>
      <c r="I9576" s="417" t="s">
        <v>1392</v>
      </c>
      <c r="J9576" s="417" t="s">
        <v>20833</v>
      </c>
      <c r="K9576" s="417" t="s">
        <v>21593</v>
      </c>
      <c r="L9576" s="417"/>
      <c r="M9576" s="417" t="s">
        <v>28840</v>
      </c>
    </row>
    <row r="9577" spans="1:13" x14ac:dyDescent="0.25">
      <c r="A9577" s="417" t="s">
        <v>3385</v>
      </c>
      <c r="B9577" s="417" t="s">
        <v>2437</v>
      </c>
      <c r="C9577" s="417" t="s">
        <v>21594</v>
      </c>
      <c r="D9577" s="417" t="s">
        <v>397</v>
      </c>
      <c r="E9577" s="423">
        <v>0.17101665304580679</v>
      </c>
      <c r="F9577" s="423">
        <v>3.628532906018383E-3</v>
      </c>
      <c r="G9577" s="422">
        <v>290.30098481942122</v>
      </c>
      <c r="H9577" s="417" t="s">
        <v>2616</v>
      </c>
      <c r="I9577" s="417" t="s">
        <v>1392</v>
      </c>
      <c r="J9577" s="417" t="s">
        <v>20833</v>
      </c>
      <c r="K9577" s="417" t="s">
        <v>21595</v>
      </c>
      <c r="L9577" s="417"/>
      <c r="M9577" s="417" t="s">
        <v>28840</v>
      </c>
    </row>
    <row r="9578" spans="1:13" x14ac:dyDescent="0.25">
      <c r="A9578" s="417" t="s">
        <v>3385</v>
      </c>
      <c r="B9578" s="417" t="s">
        <v>2437</v>
      </c>
      <c r="C9578" s="417" t="s">
        <v>21596</v>
      </c>
      <c r="D9578" s="417" t="s">
        <v>397</v>
      </c>
      <c r="E9578" s="423">
        <v>0.16619952437986471</v>
      </c>
      <c r="F9578" s="423">
        <v>3.475925655725084E-3</v>
      </c>
      <c r="G9578" s="422">
        <v>277.39553444941629</v>
      </c>
      <c r="H9578" s="417" t="s">
        <v>2616</v>
      </c>
      <c r="I9578" s="417" t="s">
        <v>1392</v>
      </c>
      <c r="J9578" s="417" t="s">
        <v>20833</v>
      </c>
      <c r="K9578" s="417" t="s">
        <v>21597</v>
      </c>
      <c r="L9578" s="417"/>
      <c r="M9578" s="417" t="s">
        <v>28840</v>
      </c>
    </row>
    <row r="9579" spans="1:13" x14ac:dyDescent="0.25">
      <c r="A9579" s="417" t="s">
        <v>3385</v>
      </c>
      <c r="B9579" s="417" t="s">
        <v>2437</v>
      </c>
      <c r="C9579" s="417" t="s">
        <v>21598</v>
      </c>
      <c r="D9579" s="417" t="s">
        <v>397</v>
      </c>
      <c r="E9579" s="423">
        <v>0.16360351885114399</v>
      </c>
      <c r="F9579" s="423">
        <v>3.3753558296590871E-3</v>
      </c>
      <c r="G9579" s="422">
        <v>269.83647695307252</v>
      </c>
      <c r="H9579" s="417" t="s">
        <v>2616</v>
      </c>
      <c r="I9579" s="417" t="s">
        <v>1392</v>
      </c>
      <c r="J9579" s="417" t="s">
        <v>20833</v>
      </c>
      <c r="K9579" s="417" t="s">
        <v>21599</v>
      </c>
      <c r="L9579" s="417"/>
      <c r="M9579" s="417" t="s">
        <v>28840</v>
      </c>
    </row>
    <row r="9580" spans="1:13" x14ac:dyDescent="0.25">
      <c r="A9580" s="417" t="s">
        <v>3385</v>
      </c>
      <c r="B9580" s="417" t="s">
        <v>2437</v>
      </c>
      <c r="C9580" s="417" t="s">
        <v>21600</v>
      </c>
      <c r="D9580" s="417" t="s">
        <v>397</v>
      </c>
      <c r="E9580" s="423">
        <v>0.18667786910858619</v>
      </c>
      <c r="F9580" s="423">
        <v>4.1031302190878754E-3</v>
      </c>
      <c r="G9580" s="422">
        <v>318.40840506041383</v>
      </c>
      <c r="H9580" s="417" t="s">
        <v>2616</v>
      </c>
      <c r="I9580" s="417" t="s">
        <v>1392</v>
      </c>
      <c r="J9580" s="417" t="s">
        <v>20833</v>
      </c>
      <c r="K9580" s="417" t="s">
        <v>21601</v>
      </c>
      <c r="L9580" s="417"/>
      <c r="M9580" s="417" t="s">
        <v>28840</v>
      </c>
    </row>
    <row r="9581" spans="1:13" x14ac:dyDescent="0.25">
      <c r="A9581" s="417" t="s">
        <v>3385</v>
      </c>
      <c r="B9581" s="417" t="s">
        <v>2437</v>
      </c>
      <c r="C9581" s="417" t="s">
        <v>21602</v>
      </c>
      <c r="D9581" s="417" t="s">
        <v>397</v>
      </c>
      <c r="E9581" s="423">
        <v>0.18192437708650111</v>
      </c>
      <c r="F9581" s="423">
        <v>3.9399254934751422E-3</v>
      </c>
      <c r="G9581" s="422">
        <v>304.61705519347947</v>
      </c>
      <c r="H9581" s="417" t="s">
        <v>2616</v>
      </c>
      <c r="I9581" s="417" t="s">
        <v>1392</v>
      </c>
      <c r="J9581" s="417" t="s">
        <v>20833</v>
      </c>
      <c r="K9581" s="417" t="s">
        <v>21603</v>
      </c>
      <c r="L9581" s="417"/>
      <c r="M9581" s="417" t="s">
        <v>28840</v>
      </c>
    </row>
    <row r="9582" spans="1:13" x14ac:dyDescent="0.25">
      <c r="A9582" s="417" t="s">
        <v>3385</v>
      </c>
      <c r="B9582" s="417" t="s">
        <v>2437</v>
      </c>
      <c r="C9582" s="417" t="s">
        <v>21604</v>
      </c>
      <c r="D9582" s="417" t="s">
        <v>397</v>
      </c>
      <c r="E9582" s="423">
        <v>0.18495007715319259</v>
      </c>
      <c r="F9582" s="423">
        <v>3.9092100662064299E-3</v>
      </c>
      <c r="G9582" s="422">
        <v>304.63253402069017</v>
      </c>
      <c r="H9582" s="417" t="s">
        <v>2616</v>
      </c>
      <c r="I9582" s="417" t="s">
        <v>1392</v>
      </c>
      <c r="J9582" s="417" t="s">
        <v>20833</v>
      </c>
      <c r="K9582" s="417" t="s">
        <v>21605</v>
      </c>
      <c r="L9582" s="417"/>
      <c r="M9582" s="417" t="s">
        <v>28840</v>
      </c>
    </row>
    <row r="9583" spans="1:13" x14ac:dyDescent="0.25">
      <c r="A9583" s="417" t="s">
        <v>3385</v>
      </c>
      <c r="B9583" s="417" t="s">
        <v>2437</v>
      </c>
      <c r="C9583" s="417" t="s">
        <v>21606</v>
      </c>
      <c r="D9583" s="417" t="s">
        <v>397</v>
      </c>
      <c r="E9583" s="423">
        <v>1.1395030902856309</v>
      </c>
      <c r="F9583" s="423">
        <v>2.8522068888635468E-2</v>
      </c>
      <c r="G9583" s="422">
        <v>2138.822381309682</v>
      </c>
      <c r="H9583" s="417" t="s">
        <v>2616</v>
      </c>
      <c r="I9583" s="417" t="s">
        <v>1392</v>
      </c>
      <c r="J9583" s="417" t="s">
        <v>20833</v>
      </c>
      <c r="K9583" s="417" t="s">
        <v>21607</v>
      </c>
      <c r="L9583" s="417"/>
      <c r="M9583" s="417" t="s">
        <v>28840</v>
      </c>
    </row>
    <row r="9584" spans="1:13" x14ac:dyDescent="0.25">
      <c r="A9584" s="417" t="s">
        <v>3385</v>
      </c>
      <c r="B9584" s="417" t="s">
        <v>2437</v>
      </c>
      <c r="C9584" s="417" t="s">
        <v>21608</v>
      </c>
      <c r="D9584" s="417" t="s">
        <v>397</v>
      </c>
      <c r="E9584" s="423">
        <v>0.96580244368018986</v>
      </c>
      <c r="F9584" s="423">
        <v>2.4780865690326771E-2</v>
      </c>
      <c r="G9584" s="422">
        <v>1796.9456620130759</v>
      </c>
      <c r="H9584" s="417" t="s">
        <v>2616</v>
      </c>
      <c r="I9584" s="417" t="s">
        <v>1392</v>
      </c>
      <c r="J9584" s="417" t="s">
        <v>20833</v>
      </c>
      <c r="K9584" s="417" t="s">
        <v>21609</v>
      </c>
      <c r="L9584" s="417"/>
      <c r="M9584" s="417" t="s">
        <v>28840</v>
      </c>
    </row>
    <row r="9585" spans="1:13" x14ac:dyDescent="0.25">
      <c r="A9585" s="417" t="s">
        <v>3385</v>
      </c>
      <c r="B9585" s="417" t="s">
        <v>2437</v>
      </c>
      <c r="C9585" s="417" t="s">
        <v>21610</v>
      </c>
      <c r="D9585" s="417" t="s">
        <v>397</v>
      </c>
      <c r="E9585" s="423">
        <v>0.86699237903704918</v>
      </c>
      <c r="F9585" s="423">
        <v>2.2955624713991849E-2</v>
      </c>
      <c r="G9585" s="422">
        <v>1631.6748132888999</v>
      </c>
      <c r="H9585" s="417" t="s">
        <v>2616</v>
      </c>
      <c r="I9585" s="417" t="s">
        <v>1392</v>
      </c>
      <c r="J9585" s="417" t="s">
        <v>20833</v>
      </c>
      <c r="K9585" s="417" t="s">
        <v>21611</v>
      </c>
      <c r="L9585" s="417"/>
      <c r="M9585" s="417" t="s">
        <v>28840</v>
      </c>
    </row>
    <row r="9586" spans="1:13" x14ac:dyDescent="0.25">
      <c r="A9586" s="417" t="s">
        <v>3385</v>
      </c>
      <c r="B9586" s="417" t="s">
        <v>2437</v>
      </c>
      <c r="C9586" s="417" t="s">
        <v>21612</v>
      </c>
      <c r="D9586" s="417" t="s">
        <v>397</v>
      </c>
      <c r="E9586" s="423">
        <v>0.24065717997166039</v>
      </c>
      <c r="F9586" s="423">
        <v>1.878904395861665E-2</v>
      </c>
      <c r="G9586" s="422">
        <v>498.09817956832279</v>
      </c>
      <c r="H9586" s="417" t="s">
        <v>2616</v>
      </c>
      <c r="I9586" s="417" t="s">
        <v>1392</v>
      </c>
      <c r="J9586" s="417" t="s">
        <v>20833</v>
      </c>
      <c r="K9586" s="417" t="s">
        <v>21613</v>
      </c>
      <c r="L9586" s="417"/>
      <c r="M9586" s="417" t="s">
        <v>28840</v>
      </c>
    </row>
    <row r="9587" spans="1:13" x14ac:dyDescent="0.25">
      <c r="A9587" s="417" t="s">
        <v>3385</v>
      </c>
      <c r="B9587" s="417" t="s">
        <v>2437</v>
      </c>
      <c r="C9587" s="417" t="s">
        <v>21614</v>
      </c>
      <c r="D9587" s="417" t="s">
        <v>397</v>
      </c>
      <c r="E9587" s="423">
        <v>0.13355975284800201</v>
      </c>
      <c r="F9587" s="423">
        <v>1.020523304829681E-2</v>
      </c>
      <c r="G9587" s="422">
        <v>266.31756433237632</v>
      </c>
      <c r="H9587" s="417" t="s">
        <v>2616</v>
      </c>
      <c r="I9587" s="417" t="s">
        <v>1392</v>
      </c>
      <c r="J9587" s="417" t="s">
        <v>20833</v>
      </c>
      <c r="K9587" s="417" t="s">
        <v>21615</v>
      </c>
      <c r="L9587" s="417"/>
      <c r="M9587" s="417" t="s">
        <v>28840</v>
      </c>
    </row>
    <row r="9588" spans="1:13" x14ac:dyDescent="0.25">
      <c r="A9588" s="417" t="s">
        <v>3385</v>
      </c>
      <c r="B9588" s="417" t="s">
        <v>2437</v>
      </c>
      <c r="C9588" s="417" t="s">
        <v>21616</v>
      </c>
      <c r="D9588" s="417" t="s">
        <v>397</v>
      </c>
      <c r="E9588" s="423">
        <v>0.84739874451764674</v>
      </c>
      <c r="F9588" s="423">
        <v>6.3733416958190042E-2</v>
      </c>
      <c r="G9588" s="422">
        <v>2069.87863645167</v>
      </c>
      <c r="H9588" s="417" t="s">
        <v>2616</v>
      </c>
      <c r="I9588" s="417" t="s">
        <v>1392</v>
      </c>
      <c r="J9588" s="417" t="s">
        <v>20833</v>
      </c>
      <c r="K9588" s="417" t="s">
        <v>21617</v>
      </c>
      <c r="L9588" s="417"/>
      <c r="M9588" s="417" t="s">
        <v>28840</v>
      </c>
    </row>
    <row r="9589" spans="1:13" x14ac:dyDescent="0.25">
      <c r="A9589" s="417" t="s">
        <v>3385</v>
      </c>
      <c r="B9589" s="417" t="s">
        <v>2437</v>
      </c>
      <c r="C9589" s="417" t="s">
        <v>21618</v>
      </c>
      <c r="D9589" s="417" t="s">
        <v>397</v>
      </c>
      <c r="E9589" s="423">
        <v>0.13424326852959961</v>
      </c>
      <c r="F9589" s="423">
        <v>9.9545322399147741E-3</v>
      </c>
      <c r="G9589" s="422">
        <v>266.37264583510603</v>
      </c>
      <c r="H9589" s="417" t="s">
        <v>2616</v>
      </c>
      <c r="I9589" s="417" t="s">
        <v>1392</v>
      </c>
      <c r="J9589" s="417" t="s">
        <v>20833</v>
      </c>
      <c r="K9589" s="417" t="s">
        <v>21619</v>
      </c>
      <c r="L9589" s="417"/>
      <c r="M9589" s="417" t="s">
        <v>28840</v>
      </c>
    </row>
    <row r="9590" spans="1:13" x14ac:dyDescent="0.25">
      <c r="A9590" s="417" t="s">
        <v>3385</v>
      </c>
      <c r="B9590" s="417" t="s">
        <v>2437</v>
      </c>
      <c r="C9590" s="417" t="s">
        <v>21620</v>
      </c>
      <c r="D9590" s="417" t="s">
        <v>397</v>
      </c>
      <c r="E9590" s="423">
        <v>0.15242481661668419</v>
      </c>
      <c r="F9590" s="423">
        <v>1.127096446178168E-2</v>
      </c>
      <c r="G9590" s="422">
        <v>301.79782058151062</v>
      </c>
      <c r="H9590" s="417" t="s">
        <v>2616</v>
      </c>
      <c r="I9590" s="417" t="s">
        <v>1392</v>
      </c>
      <c r="J9590" s="417" t="s">
        <v>20833</v>
      </c>
      <c r="K9590" s="417" t="s">
        <v>21621</v>
      </c>
      <c r="L9590" s="417"/>
      <c r="M9590" s="417" t="s">
        <v>28840</v>
      </c>
    </row>
    <row r="9591" spans="1:13" x14ac:dyDescent="0.25">
      <c r="A9591" s="417" t="s">
        <v>3385</v>
      </c>
      <c r="B9591" s="417" t="s">
        <v>2437</v>
      </c>
      <c r="C9591" s="417" t="s">
        <v>21622</v>
      </c>
      <c r="D9591" s="417" t="s">
        <v>397</v>
      </c>
      <c r="E9591" s="423">
        <v>0.74118159682040063</v>
      </c>
      <c r="F9591" s="423">
        <v>5.3479016825860697E-2</v>
      </c>
      <c r="G9591" s="422">
        <v>1671.460533705779</v>
      </c>
      <c r="H9591" s="417" t="s">
        <v>2616</v>
      </c>
      <c r="I9591" s="417" t="s">
        <v>1392</v>
      </c>
      <c r="J9591" s="417" t="s">
        <v>20833</v>
      </c>
      <c r="K9591" s="417" t="s">
        <v>21623</v>
      </c>
      <c r="L9591" s="417"/>
      <c r="M9591" s="417" t="s">
        <v>28840</v>
      </c>
    </row>
    <row r="9592" spans="1:13" x14ac:dyDescent="0.25">
      <c r="A9592" s="417" t="s">
        <v>3385</v>
      </c>
      <c r="B9592" s="417" t="s">
        <v>2437</v>
      </c>
      <c r="C9592" s="417" t="s">
        <v>21624</v>
      </c>
      <c r="D9592" s="417" t="s">
        <v>397</v>
      </c>
      <c r="E9592" s="423">
        <v>0.2287848864475191</v>
      </c>
      <c r="F9592" s="423">
        <v>1.6698831799387519E-2</v>
      </c>
      <c r="G9592" s="422">
        <v>420.55407797061548</v>
      </c>
      <c r="H9592" s="417" t="s">
        <v>2616</v>
      </c>
      <c r="I9592" s="417" t="s">
        <v>1392</v>
      </c>
      <c r="J9592" s="417" t="s">
        <v>20833</v>
      </c>
      <c r="K9592" s="417" t="s">
        <v>21625</v>
      </c>
      <c r="L9592" s="417"/>
      <c r="M9592" s="417" t="s">
        <v>28840</v>
      </c>
    </row>
    <row r="9593" spans="1:13" x14ac:dyDescent="0.25">
      <c r="A9593" s="417" t="s">
        <v>3385</v>
      </c>
      <c r="B9593" s="417" t="s">
        <v>2437</v>
      </c>
      <c r="C9593" s="417" t="s">
        <v>21626</v>
      </c>
      <c r="D9593" s="417" t="s">
        <v>397</v>
      </c>
      <c r="E9593" s="423">
        <v>0.1274834470647509</v>
      </c>
      <c r="F9593" s="423">
        <v>9.1354508528494454E-3</v>
      </c>
      <c r="G9593" s="422">
        <v>228.99843814724809</v>
      </c>
      <c r="H9593" s="417" t="s">
        <v>2616</v>
      </c>
      <c r="I9593" s="417" t="s">
        <v>1392</v>
      </c>
      <c r="J9593" s="417" t="s">
        <v>20833</v>
      </c>
      <c r="K9593" s="417" t="s">
        <v>21627</v>
      </c>
      <c r="L9593" s="417"/>
      <c r="M9593" s="417" t="s">
        <v>28840</v>
      </c>
    </row>
    <row r="9594" spans="1:13" x14ac:dyDescent="0.25">
      <c r="A9594" s="417" t="s">
        <v>3385</v>
      </c>
      <c r="B9594" s="417" t="s">
        <v>2437</v>
      </c>
      <c r="C9594" s="417" t="s">
        <v>21628</v>
      </c>
      <c r="D9594" s="417" t="s">
        <v>397</v>
      </c>
      <c r="E9594" s="423">
        <v>0.81780045736678031</v>
      </c>
      <c r="F9594" s="423">
        <v>5.8522401923663217E-2</v>
      </c>
      <c r="G9594" s="422">
        <v>1748.163137214668</v>
      </c>
      <c r="H9594" s="417" t="s">
        <v>2616</v>
      </c>
      <c r="I9594" s="417" t="s">
        <v>1392</v>
      </c>
      <c r="J9594" s="417" t="s">
        <v>20833</v>
      </c>
      <c r="K9594" s="417" t="s">
        <v>21629</v>
      </c>
      <c r="L9594" s="417"/>
      <c r="M9594" s="417" t="s">
        <v>28840</v>
      </c>
    </row>
    <row r="9595" spans="1:13" x14ac:dyDescent="0.25">
      <c r="A9595" s="417" t="s">
        <v>3385</v>
      </c>
      <c r="B9595" s="417" t="s">
        <v>2437</v>
      </c>
      <c r="C9595" s="417" t="s">
        <v>21630</v>
      </c>
      <c r="D9595" s="417" t="s">
        <v>397</v>
      </c>
      <c r="E9595" s="423">
        <v>0.12867813093765551</v>
      </c>
      <c r="F9595" s="423">
        <v>8.9747452880436923E-3</v>
      </c>
      <c r="G9595" s="422">
        <v>232.58097385129599</v>
      </c>
      <c r="H9595" s="417" t="s">
        <v>2616</v>
      </c>
      <c r="I9595" s="417" t="s">
        <v>1392</v>
      </c>
      <c r="J9595" s="417" t="s">
        <v>20833</v>
      </c>
      <c r="K9595" s="417" t="s">
        <v>21631</v>
      </c>
      <c r="L9595" s="417"/>
      <c r="M9595" s="417" t="s">
        <v>28840</v>
      </c>
    </row>
    <row r="9596" spans="1:13" x14ac:dyDescent="0.25">
      <c r="A9596" s="417" t="s">
        <v>3385</v>
      </c>
      <c r="B9596" s="417" t="s">
        <v>2437</v>
      </c>
      <c r="C9596" s="417" t="s">
        <v>21632</v>
      </c>
      <c r="D9596" s="417" t="s">
        <v>397</v>
      </c>
      <c r="E9596" s="423">
        <v>0.14597750169828219</v>
      </c>
      <c r="F9596" s="423">
        <v>1.013586313826945E-2</v>
      </c>
      <c r="G9596" s="422">
        <v>263.78231618482289</v>
      </c>
      <c r="H9596" s="417" t="s">
        <v>2616</v>
      </c>
      <c r="I9596" s="417" t="s">
        <v>1392</v>
      </c>
      <c r="J9596" s="417" t="s">
        <v>20833</v>
      </c>
      <c r="K9596" s="417" t="s">
        <v>21633</v>
      </c>
      <c r="L9596" s="417"/>
      <c r="M9596" s="417" t="s">
        <v>28840</v>
      </c>
    </row>
    <row r="9597" spans="1:13" x14ac:dyDescent="0.25">
      <c r="A9597" s="417" t="s">
        <v>3385</v>
      </c>
      <c r="B9597" s="417" t="s">
        <v>2437</v>
      </c>
      <c r="C9597" s="417" t="s">
        <v>21634</v>
      </c>
      <c r="D9597" s="417" t="s">
        <v>397</v>
      </c>
      <c r="E9597" s="423">
        <v>0.71694233083788628</v>
      </c>
      <c r="F9597" s="423">
        <v>4.9211500324477957E-2</v>
      </c>
      <c r="G9597" s="422">
        <v>1456.5838278768811</v>
      </c>
      <c r="H9597" s="417" t="s">
        <v>2616</v>
      </c>
      <c r="I9597" s="417" t="s">
        <v>1392</v>
      </c>
      <c r="J9597" s="417" t="s">
        <v>20833</v>
      </c>
      <c r="K9597" s="417" t="s">
        <v>21635</v>
      </c>
      <c r="L9597" s="417"/>
      <c r="M9597" s="417" t="s">
        <v>28840</v>
      </c>
    </row>
    <row r="9598" spans="1:13" x14ac:dyDescent="0.25">
      <c r="A9598" s="417" t="s">
        <v>3385</v>
      </c>
      <c r="B9598" s="417" t="s">
        <v>2437</v>
      </c>
      <c r="C9598" s="417" t="s">
        <v>21636</v>
      </c>
      <c r="D9598" s="417" t="s">
        <v>397</v>
      </c>
      <c r="E9598" s="423">
        <v>7.6203085556510808E-3</v>
      </c>
      <c r="F9598" s="423">
        <v>2.5160233928938382E-3</v>
      </c>
      <c r="G9598" s="422">
        <v>23.476051905508349</v>
      </c>
      <c r="H9598" s="417" t="s">
        <v>2616</v>
      </c>
      <c r="I9598" s="417" t="s">
        <v>1392</v>
      </c>
      <c r="J9598" s="417" t="s">
        <v>4394</v>
      </c>
      <c r="K9598" s="417" t="s">
        <v>21637</v>
      </c>
      <c r="L9598" s="417"/>
      <c r="M9598" s="417" t="s">
        <v>28840</v>
      </c>
    </row>
    <row r="9599" spans="1:13" x14ac:dyDescent="0.25">
      <c r="A9599" s="417" t="s">
        <v>3385</v>
      </c>
      <c r="B9599" s="417" t="s">
        <v>2437</v>
      </c>
      <c r="C9599" s="417" t="s">
        <v>21638</v>
      </c>
      <c r="D9599" s="417" t="s">
        <v>397</v>
      </c>
      <c r="E9599" s="423">
        <v>3.6325539743288587E-2</v>
      </c>
      <c r="F9599" s="423">
        <v>3.5664683897798891E-3</v>
      </c>
      <c r="G9599" s="422">
        <v>86.079553643676419</v>
      </c>
      <c r="H9599" s="417" t="s">
        <v>2616</v>
      </c>
      <c r="I9599" s="417" t="s">
        <v>1392</v>
      </c>
      <c r="J9599" s="417" t="s">
        <v>20872</v>
      </c>
      <c r="K9599" s="417" t="s">
        <v>21639</v>
      </c>
      <c r="L9599" s="417"/>
      <c r="M9599" s="417" t="s">
        <v>28840</v>
      </c>
    </row>
    <row r="9600" spans="1:13" x14ac:dyDescent="0.25">
      <c r="A9600" s="417" t="s">
        <v>3385</v>
      </c>
      <c r="B9600" s="417" t="s">
        <v>2437</v>
      </c>
      <c r="C9600" s="417" t="s">
        <v>21640</v>
      </c>
      <c r="D9600" s="417" t="s">
        <v>397</v>
      </c>
      <c r="E9600" s="423">
        <v>1.8409945790121871E-2</v>
      </c>
      <c r="F9600" s="423">
        <v>3.257505753756319E-3</v>
      </c>
      <c r="G9600" s="422">
        <v>38.206612148510153</v>
      </c>
      <c r="H9600" s="417" t="s">
        <v>2616</v>
      </c>
      <c r="I9600" s="417" t="s">
        <v>1392</v>
      </c>
      <c r="J9600" s="417" t="s">
        <v>4394</v>
      </c>
      <c r="K9600" s="417" t="s">
        <v>21641</v>
      </c>
      <c r="L9600" s="417"/>
      <c r="M9600" s="417" t="s">
        <v>28840</v>
      </c>
    </row>
    <row r="9601" spans="1:13" x14ac:dyDescent="0.25">
      <c r="A9601" s="417" t="s">
        <v>3385</v>
      </c>
      <c r="B9601" s="417" t="s">
        <v>2437</v>
      </c>
      <c r="C9601" s="417" t="s">
        <v>21642</v>
      </c>
      <c r="D9601" s="417" t="s">
        <v>397</v>
      </c>
      <c r="E9601" s="423">
        <v>1.096589574330175E-2</v>
      </c>
      <c r="F9601" s="423">
        <v>1.1919024752957089E-3</v>
      </c>
      <c r="G9601" s="422">
        <v>54.441654866198562</v>
      </c>
      <c r="H9601" s="417" t="s">
        <v>2616</v>
      </c>
      <c r="I9601" s="417" t="s">
        <v>1392</v>
      </c>
      <c r="J9601" s="417" t="s">
        <v>4394</v>
      </c>
      <c r="K9601" s="417" t="s">
        <v>21643</v>
      </c>
      <c r="L9601" s="417"/>
      <c r="M9601" s="417" t="s">
        <v>28840</v>
      </c>
    </row>
    <row r="9602" spans="1:13" x14ac:dyDescent="0.25">
      <c r="A9602" s="417" t="s">
        <v>3385</v>
      </c>
      <c r="B9602" s="417" t="s">
        <v>2437</v>
      </c>
      <c r="C9602" s="417" t="s">
        <v>21644</v>
      </c>
      <c r="D9602" s="417" t="s">
        <v>397</v>
      </c>
      <c r="E9602" s="423">
        <v>2.6942051158559199E-2</v>
      </c>
      <c r="F9602" s="423">
        <v>5.1497933002021628E-4</v>
      </c>
      <c r="G9602" s="422">
        <v>54.886292512373473</v>
      </c>
      <c r="H9602" s="417" t="s">
        <v>2616</v>
      </c>
      <c r="I9602" s="417" t="s">
        <v>1392</v>
      </c>
      <c r="J9602" s="417" t="s">
        <v>4394</v>
      </c>
      <c r="K9602" s="417" t="s">
        <v>21645</v>
      </c>
      <c r="L9602" s="417"/>
      <c r="M9602" s="417" t="s">
        <v>28840</v>
      </c>
    </row>
    <row r="9603" spans="1:13" x14ac:dyDescent="0.25">
      <c r="A9603" s="417" t="s">
        <v>3385</v>
      </c>
      <c r="B9603" s="417" t="s">
        <v>2437</v>
      </c>
      <c r="C9603" s="417" t="s">
        <v>21646</v>
      </c>
      <c r="D9603" s="417" t="s">
        <v>397</v>
      </c>
      <c r="E9603" s="423">
        <v>1.6725719604416579E-2</v>
      </c>
      <c r="F9603" s="423">
        <v>1.6283939780409339E-3</v>
      </c>
      <c r="G9603" s="422">
        <v>41.319356114726908</v>
      </c>
      <c r="H9603" s="417" t="s">
        <v>2616</v>
      </c>
      <c r="I9603" s="417" t="s">
        <v>1392</v>
      </c>
      <c r="J9603" s="417" t="s">
        <v>4394</v>
      </c>
      <c r="K9603" s="417" t="s">
        <v>21647</v>
      </c>
      <c r="L9603" s="417"/>
      <c r="M9603" s="417" t="s">
        <v>28840</v>
      </c>
    </row>
    <row r="9604" spans="1:13" x14ac:dyDescent="0.25">
      <c r="A9604" s="417" t="s">
        <v>3385</v>
      </c>
      <c r="B9604" s="417" t="s">
        <v>2437</v>
      </c>
      <c r="C9604" s="417" t="s">
        <v>21648</v>
      </c>
      <c r="D9604" s="417" t="s">
        <v>397</v>
      </c>
      <c r="E9604" s="423">
        <v>5.2830607502017922E-2</v>
      </c>
      <c r="F9604" s="423">
        <v>3.0829008859828261E-3</v>
      </c>
      <c r="G9604" s="422">
        <v>105.35082332492701</v>
      </c>
      <c r="H9604" s="417" t="s">
        <v>2616</v>
      </c>
      <c r="I9604" s="417" t="s">
        <v>1392</v>
      </c>
      <c r="J9604" s="417" t="s">
        <v>20872</v>
      </c>
      <c r="K9604" s="417" t="s">
        <v>21649</v>
      </c>
      <c r="L9604" s="417"/>
      <c r="M9604" s="417" t="s">
        <v>28840</v>
      </c>
    </row>
    <row r="9605" spans="1:13" x14ac:dyDescent="0.25">
      <c r="A9605" s="417" t="s">
        <v>3385</v>
      </c>
      <c r="B9605" s="417" t="s">
        <v>2437</v>
      </c>
      <c r="C9605" s="417" t="s">
        <v>21650</v>
      </c>
      <c r="D9605" s="417" t="s">
        <v>397</v>
      </c>
      <c r="E9605" s="423">
        <v>5.1172622453420177E-2</v>
      </c>
      <c r="F9605" s="423">
        <v>1.3983139924620041E-3</v>
      </c>
      <c r="G9605" s="422">
        <v>93.045251866749027</v>
      </c>
      <c r="H9605" s="417" t="s">
        <v>2616</v>
      </c>
      <c r="I9605" s="417" t="s">
        <v>1392</v>
      </c>
      <c r="J9605" s="417" t="s">
        <v>4394</v>
      </c>
      <c r="K9605" s="417" t="s">
        <v>21651</v>
      </c>
      <c r="L9605" s="417"/>
      <c r="M9605" s="417" t="s">
        <v>28840</v>
      </c>
    </row>
    <row r="9606" spans="1:13" x14ac:dyDescent="0.25">
      <c r="A9606" s="417" t="s">
        <v>3385</v>
      </c>
      <c r="B9606" s="417" t="s">
        <v>2437</v>
      </c>
      <c r="C9606" s="417" t="s">
        <v>21652</v>
      </c>
      <c r="D9606" s="417" t="s">
        <v>397</v>
      </c>
      <c r="E9606" s="423">
        <v>5.1186246127025832E-2</v>
      </c>
      <c r="F9606" s="423">
        <v>1.3983139924589689E-3</v>
      </c>
      <c r="G9606" s="422">
        <v>96.319694275039311</v>
      </c>
      <c r="H9606" s="417" t="s">
        <v>2616</v>
      </c>
      <c r="I9606" s="417" t="s">
        <v>1392</v>
      </c>
      <c r="J9606" s="417" t="s">
        <v>4394</v>
      </c>
      <c r="K9606" s="417" t="s">
        <v>21653</v>
      </c>
      <c r="L9606" s="417"/>
      <c r="M9606" s="417" t="s">
        <v>28840</v>
      </c>
    </row>
    <row r="9607" spans="1:13" x14ac:dyDescent="0.25">
      <c r="A9607" s="417" t="s">
        <v>3385</v>
      </c>
      <c r="B9607" s="417" t="s">
        <v>2437</v>
      </c>
      <c r="C9607" s="417" t="s">
        <v>21654</v>
      </c>
      <c r="D9607" s="417" t="s">
        <v>397</v>
      </c>
      <c r="E9607" s="423">
        <v>5.0936742231370838E-3</v>
      </c>
      <c r="F9607" s="423">
        <v>2.5173101807460718E-3</v>
      </c>
      <c r="G9607" s="422">
        <v>19.081890182188339</v>
      </c>
      <c r="H9607" s="417" t="s">
        <v>2616</v>
      </c>
      <c r="I9607" s="417" t="s">
        <v>1392</v>
      </c>
      <c r="J9607" s="417" t="s">
        <v>4394</v>
      </c>
      <c r="K9607" s="417" t="s">
        <v>21655</v>
      </c>
      <c r="L9607" s="417"/>
      <c r="M9607" s="417" t="s">
        <v>28840</v>
      </c>
    </row>
    <row r="9608" spans="1:13" x14ac:dyDescent="0.25">
      <c r="A9608" s="417" t="s">
        <v>3385</v>
      </c>
      <c r="B9608" s="417" t="s">
        <v>2437</v>
      </c>
      <c r="C9608" s="417" t="s">
        <v>21656</v>
      </c>
      <c r="D9608" s="417" t="s">
        <v>397</v>
      </c>
      <c r="E9608" s="423">
        <v>1.5644234915989E-2</v>
      </c>
      <c r="F9608" s="423">
        <v>3.1820447656527129E-3</v>
      </c>
      <c r="G9608" s="422">
        <v>33.134449612952501</v>
      </c>
      <c r="H9608" s="417" t="s">
        <v>2616</v>
      </c>
      <c r="I9608" s="417" t="s">
        <v>1392</v>
      </c>
      <c r="J9608" s="417" t="s">
        <v>4394</v>
      </c>
      <c r="K9608" s="417" t="s">
        <v>21657</v>
      </c>
      <c r="L9608" s="417"/>
      <c r="M9608" s="417" t="s">
        <v>28840</v>
      </c>
    </row>
    <row r="9609" spans="1:13" x14ac:dyDescent="0.25">
      <c r="A9609" s="417" t="s">
        <v>3385</v>
      </c>
      <c r="B9609" s="417" t="s">
        <v>2437</v>
      </c>
      <c r="C9609" s="417" t="s">
        <v>21658</v>
      </c>
      <c r="D9609" s="417" t="s">
        <v>397</v>
      </c>
      <c r="E9609" s="423">
        <v>6.8162893723314778E-3</v>
      </c>
      <c r="F9609" s="423">
        <v>9.9128651220213018E-4</v>
      </c>
      <c r="G9609" s="422">
        <v>50.003115669400117</v>
      </c>
      <c r="H9609" s="417" t="s">
        <v>2616</v>
      </c>
      <c r="I9609" s="417" t="s">
        <v>1392</v>
      </c>
      <c r="J9609" s="417" t="s">
        <v>4394</v>
      </c>
      <c r="K9609" s="417" t="s">
        <v>21659</v>
      </c>
      <c r="L9609" s="417"/>
      <c r="M9609" s="417" t="s">
        <v>28840</v>
      </c>
    </row>
    <row r="9610" spans="1:13" x14ac:dyDescent="0.25">
      <c r="A9610" s="417" t="s">
        <v>3385</v>
      </c>
      <c r="B9610" s="417" t="s">
        <v>2437</v>
      </c>
      <c r="C9610" s="417" t="s">
        <v>21660</v>
      </c>
      <c r="D9610" s="417" t="s">
        <v>397</v>
      </c>
      <c r="E9610" s="423">
        <v>2.634206963496661E-2</v>
      </c>
      <c r="F9610" s="423">
        <v>4.6708709836317409E-4</v>
      </c>
      <c r="G9610" s="422">
        <v>53.784045722853648</v>
      </c>
      <c r="H9610" s="417" t="s">
        <v>2616</v>
      </c>
      <c r="I9610" s="417" t="s">
        <v>1392</v>
      </c>
      <c r="J9610" s="417" t="s">
        <v>4394</v>
      </c>
      <c r="K9610" s="417" t="s">
        <v>21661</v>
      </c>
      <c r="L9610" s="417"/>
      <c r="M9610" s="417" t="s">
        <v>28840</v>
      </c>
    </row>
    <row r="9611" spans="1:13" x14ac:dyDescent="0.25">
      <c r="A9611" s="417" t="s">
        <v>3385</v>
      </c>
      <c r="B9611" s="417" t="s">
        <v>2437</v>
      </c>
      <c r="C9611" s="417" t="s">
        <v>21662</v>
      </c>
      <c r="D9611" s="417" t="s">
        <v>397</v>
      </c>
      <c r="E9611" s="423">
        <v>1.3712736153762889E-2</v>
      </c>
      <c r="F9611" s="423">
        <v>1.4420609885382879E-3</v>
      </c>
      <c r="G9611" s="422">
        <v>35.946296901153147</v>
      </c>
      <c r="H9611" s="417" t="s">
        <v>2616</v>
      </c>
      <c r="I9611" s="417" t="s">
        <v>1392</v>
      </c>
      <c r="J9611" s="417" t="s">
        <v>4394</v>
      </c>
      <c r="K9611" s="417" t="s">
        <v>21663</v>
      </c>
      <c r="L9611" s="417"/>
      <c r="M9611" s="417" t="s">
        <v>28840</v>
      </c>
    </row>
    <row r="9612" spans="1:13" x14ac:dyDescent="0.25">
      <c r="A9612" s="417" t="s">
        <v>3385</v>
      </c>
      <c r="B9612" s="417" t="s">
        <v>2437</v>
      </c>
      <c r="C9612" s="417" t="s">
        <v>21664</v>
      </c>
      <c r="D9612" s="417" t="s">
        <v>397</v>
      </c>
      <c r="E9612" s="423">
        <v>1.1054422557450211E-2</v>
      </c>
      <c r="F9612" s="423">
        <v>5.0012163234076251E-4</v>
      </c>
      <c r="G9612" s="422">
        <v>30.653261377533561</v>
      </c>
      <c r="H9612" s="417" t="s">
        <v>2616</v>
      </c>
      <c r="I9612" s="417" t="s">
        <v>1392</v>
      </c>
      <c r="J9612" s="417" t="s">
        <v>4394</v>
      </c>
      <c r="K9612" s="417" t="s">
        <v>21665</v>
      </c>
      <c r="L9612" s="417"/>
      <c r="M9612" s="417" t="s">
        <v>28840</v>
      </c>
    </row>
    <row r="9613" spans="1:13" x14ac:dyDescent="0.25">
      <c r="A9613" s="417" t="s">
        <v>3385</v>
      </c>
      <c r="B9613" s="417" t="s">
        <v>2437</v>
      </c>
      <c r="C9613" s="417" t="s">
        <v>21666</v>
      </c>
      <c r="D9613" s="417" t="s">
        <v>397</v>
      </c>
      <c r="E9613" s="423">
        <v>2.2504847715088911E-3</v>
      </c>
      <c r="F9613" s="423">
        <v>9.6058693333191797E-5</v>
      </c>
      <c r="G9613" s="422">
        <v>11.21393699301556</v>
      </c>
      <c r="H9613" s="417" t="s">
        <v>2616</v>
      </c>
      <c r="I9613" s="417" t="s">
        <v>28995</v>
      </c>
      <c r="J9613" s="417" t="s">
        <v>4394</v>
      </c>
      <c r="K9613" s="417" t="s">
        <v>21667</v>
      </c>
      <c r="L9613" s="417"/>
      <c r="M9613" s="417" t="s">
        <v>28840</v>
      </c>
    </row>
    <row r="9614" spans="1:13" x14ac:dyDescent="0.25">
      <c r="A9614" s="417" t="s">
        <v>3385</v>
      </c>
      <c r="B9614" s="417" t="s">
        <v>2437</v>
      </c>
      <c r="C9614" s="417" t="s">
        <v>21668</v>
      </c>
      <c r="D9614" s="417" t="s">
        <v>397</v>
      </c>
      <c r="E9614" s="423">
        <v>4.9253722428513899E-3</v>
      </c>
      <c r="F9614" s="423">
        <v>1.321327627427643E-4</v>
      </c>
      <c r="G9614" s="422">
        <v>8.5618807854346226</v>
      </c>
      <c r="H9614" s="417" t="s">
        <v>2616</v>
      </c>
      <c r="I9614" s="417" t="s">
        <v>1392</v>
      </c>
      <c r="J9614" s="417" t="s">
        <v>4394</v>
      </c>
      <c r="K9614" s="417" t="s">
        <v>21669</v>
      </c>
      <c r="L9614" s="417"/>
      <c r="M9614" s="417" t="s">
        <v>28840</v>
      </c>
    </row>
    <row r="9615" spans="1:13" x14ac:dyDescent="0.25">
      <c r="A9615" s="417" t="s">
        <v>3385</v>
      </c>
      <c r="B9615" s="417" t="s">
        <v>2437</v>
      </c>
      <c r="C9615" s="417" t="s">
        <v>21670</v>
      </c>
      <c r="D9615" s="417" t="s">
        <v>397</v>
      </c>
      <c r="E9615" s="423">
        <v>3.8785654792428551E-3</v>
      </c>
      <c r="F9615" s="423">
        <v>2.719301544961962E-4</v>
      </c>
      <c r="G9615" s="422">
        <v>10.877443388347981</v>
      </c>
      <c r="H9615" s="417" t="s">
        <v>2616</v>
      </c>
      <c r="I9615" s="417" t="s">
        <v>1392</v>
      </c>
      <c r="J9615" s="417" t="s">
        <v>4394</v>
      </c>
      <c r="K9615" s="417" t="s">
        <v>21671</v>
      </c>
      <c r="L9615" s="417"/>
      <c r="M9615" s="417" t="s">
        <v>28840</v>
      </c>
    </row>
    <row r="9616" spans="1:13" x14ac:dyDescent="0.25">
      <c r="A9616" s="417" t="s">
        <v>3385</v>
      </c>
      <c r="B9616" s="417" t="s">
        <v>2437</v>
      </c>
      <c r="C9616" s="417" t="s">
        <v>21672</v>
      </c>
      <c r="D9616" s="417" t="s">
        <v>397</v>
      </c>
      <c r="E9616" s="423">
        <v>9.1934184186873505E-3</v>
      </c>
      <c r="F9616" s="423">
        <v>4.564515312475315E-4</v>
      </c>
      <c r="G9616" s="422">
        <v>27.628093636002561</v>
      </c>
      <c r="H9616" s="417" t="s">
        <v>2616</v>
      </c>
      <c r="I9616" s="417" t="s">
        <v>1392</v>
      </c>
      <c r="J9616" s="417" t="s">
        <v>4394</v>
      </c>
      <c r="K9616" s="417" t="s">
        <v>21673</v>
      </c>
      <c r="L9616" s="417"/>
      <c r="M9616" s="417" t="s">
        <v>28840</v>
      </c>
    </row>
    <row r="9617" spans="1:13" x14ac:dyDescent="0.25">
      <c r="A9617" s="417" t="s">
        <v>3385</v>
      </c>
      <c r="B9617" s="417" t="s">
        <v>2437</v>
      </c>
      <c r="C9617" s="417" t="s">
        <v>21674</v>
      </c>
      <c r="D9617" s="417" t="s">
        <v>989</v>
      </c>
      <c r="E9617" s="423">
        <v>116.1080385419135</v>
      </c>
      <c r="F9617" s="423">
        <v>0.29026929520924999</v>
      </c>
      <c r="G9617" s="422">
        <v>148790.80312174329</v>
      </c>
      <c r="H9617" s="417" t="s">
        <v>2616</v>
      </c>
      <c r="I9617" s="417" t="s">
        <v>1392</v>
      </c>
      <c r="J9617" s="417" t="s">
        <v>20886</v>
      </c>
      <c r="K9617" s="417" t="s">
        <v>21675</v>
      </c>
      <c r="L9617" s="417"/>
      <c r="M9617" s="417" t="s">
        <v>28840</v>
      </c>
    </row>
    <row r="9618" spans="1:13" x14ac:dyDescent="0.25">
      <c r="A9618" s="417" t="s">
        <v>3385</v>
      </c>
      <c r="B9618" s="417" t="s">
        <v>2437</v>
      </c>
      <c r="C9618" s="417" t="s">
        <v>21676</v>
      </c>
      <c r="D9618" s="417" t="s">
        <v>989</v>
      </c>
      <c r="E9618" s="423">
        <v>179.62607816829029</v>
      </c>
      <c r="F9618" s="423">
        <v>0.43330054210489222</v>
      </c>
      <c r="G9618" s="422">
        <v>230479.68441571691</v>
      </c>
      <c r="H9618" s="417" t="s">
        <v>2616</v>
      </c>
      <c r="I9618" s="417" t="s">
        <v>1392</v>
      </c>
      <c r="J9618" s="417" t="s">
        <v>20886</v>
      </c>
      <c r="K9618" s="417" t="s">
        <v>21677</v>
      </c>
      <c r="L9618" s="417"/>
      <c r="M9618" s="417" t="s">
        <v>28840</v>
      </c>
    </row>
    <row r="9619" spans="1:13" x14ac:dyDescent="0.25">
      <c r="A9619" s="417" t="s">
        <v>3385</v>
      </c>
      <c r="B9619" s="417" t="s">
        <v>2437</v>
      </c>
      <c r="C9619" s="417" t="s">
        <v>21678</v>
      </c>
      <c r="D9619" s="417" t="s">
        <v>17280</v>
      </c>
      <c r="E9619" s="423">
        <v>3.0831252466748778E-2</v>
      </c>
      <c r="F9619" s="423">
        <v>5.9950174177618694E-3</v>
      </c>
      <c r="G9619" s="422">
        <v>60.894785759650432</v>
      </c>
      <c r="H9619" s="417" t="s">
        <v>2616</v>
      </c>
      <c r="I9619" s="417" t="s">
        <v>1392</v>
      </c>
      <c r="J9619" s="417" t="s">
        <v>4394</v>
      </c>
      <c r="K9619" s="417" t="s">
        <v>21679</v>
      </c>
      <c r="L9619" s="417"/>
      <c r="M9619" s="417" t="s">
        <v>28840</v>
      </c>
    </row>
    <row r="9620" spans="1:13" x14ac:dyDescent="0.25">
      <c r="A9620" s="417" t="s">
        <v>3385</v>
      </c>
      <c r="B9620" s="417" t="s">
        <v>2437</v>
      </c>
      <c r="C9620" s="417" t="s">
        <v>21680</v>
      </c>
      <c r="D9620" s="417" t="s">
        <v>17280</v>
      </c>
      <c r="E9620" s="423">
        <v>1.252581018262445E-2</v>
      </c>
      <c r="F9620" s="423">
        <v>1.334331072283127E-3</v>
      </c>
      <c r="G9620" s="422">
        <v>65.915525004182896</v>
      </c>
      <c r="H9620" s="417" t="s">
        <v>2616</v>
      </c>
      <c r="I9620" s="417" t="s">
        <v>1392</v>
      </c>
      <c r="J9620" s="417" t="s">
        <v>4394</v>
      </c>
      <c r="K9620" s="417" t="s">
        <v>21681</v>
      </c>
      <c r="L9620" s="417"/>
      <c r="M9620" s="417" t="s">
        <v>28840</v>
      </c>
    </row>
    <row r="9621" spans="1:13" x14ac:dyDescent="0.25">
      <c r="A9621" s="417" t="s">
        <v>3385</v>
      </c>
      <c r="B9621" s="417" t="s">
        <v>2437</v>
      </c>
      <c r="C9621" s="417" t="s">
        <v>21682</v>
      </c>
      <c r="D9621" s="417" t="s">
        <v>17280</v>
      </c>
      <c r="E9621" s="423">
        <v>5.1496738936330083E-2</v>
      </c>
      <c r="F9621" s="423">
        <v>6.1902920270490679E-4</v>
      </c>
      <c r="G9621" s="422">
        <v>96.244766724594058</v>
      </c>
      <c r="H9621" s="417" t="s">
        <v>2616</v>
      </c>
      <c r="I9621" s="417" t="s">
        <v>1392</v>
      </c>
      <c r="J9621" s="417" t="s">
        <v>4394</v>
      </c>
      <c r="K9621" s="417" t="s">
        <v>21683</v>
      </c>
      <c r="L9621" s="417"/>
      <c r="M9621" s="417" t="s">
        <v>28840</v>
      </c>
    </row>
    <row r="9622" spans="1:13" x14ac:dyDescent="0.25">
      <c r="A9622" s="417" t="s">
        <v>3385</v>
      </c>
      <c r="B9622" s="417" t="s">
        <v>2437</v>
      </c>
      <c r="C9622" s="417" t="s">
        <v>21684</v>
      </c>
      <c r="D9622" s="417" t="s">
        <v>17280</v>
      </c>
      <c r="E9622" s="423">
        <v>2.2262258608579291E-2</v>
      </c>
      <c r="F9622" s="423">
        <v>5.5021863276231743E-3</v>
      </c>
      <c r="G9622" s="422">
        <v>41.626636677751037</v>
      </c>
      <c r="H9622" s="417" t="s">
        <v>2616</v>
      </c>
      <c r="I9622" s="417" t="s">
        <v>1392</v>
      </c>
      <c r="J9622" s="417" t="s">
        <v>4394</v>
      </c>
      <c r="K9622" s="417" t="s">
        <v>21685</v>
      </c>
      <c r="L9622" s="417"/>
      <c r="M9622" s="417" t="s">
        <v>28840</v>
      </c>
    </row>
    <row r="9623" spans="1:13" x14ac:dyDescent="0.25">
      <c r="A9623" s="417" t="s">
        <v>3385</v>
      </c>
      <c r="B9623" s="417" t="s">
        <v>2437</v>
      </c>
      <c r="C9623" s="417" t="s">
        <v>21686</v>
      </c>
      <c r="D9623" s="417" t="s">
        <v>17280</v>
      </c>
      <c r="E9623" s="423">
        <v>9.3296070200548785E-4</v>
      </c>
      <c r="F9623" s="423">
        <v>5.2443629760728123E-5</v>
      </c>
      <c r="G9623" s="422">
        <v>1.7960575460888279</v>
      </c>
      <c r="H9623" s="417" t="s">
        <v>2616</v>
      </c>
      <c r="I9623" s="417" t="s">
        <v>1392</v>
      </c>
      <c r="J9623" s="417" t="s">
        <v>4394</v>
      </c>
      <c r="K9623" s="417" t="s">
        <v>21687</v>
      </c>
      <c r="L9623" s="417"/>
      <c r="M9623" s="417" t="s">
        <v>28840</v>
      </c>
    </row>
    <row r="9624" spans="1:13" x14ac:dyDescent="0.25">
      <c r="A9624" s="417" t="s">
        <v>3385</v>
      </c>
      <c r="B9624" s="417" t="s">
        <v>2437</v>
      </c>
      <c r="C9624" s="417" t="s">
        <v>21688</v>
      </c>
      <c r="D9624" s="417" t="s">
        <v>17280</v>
      </c>
      <c r="E9624" s="423">
        <v>7.6360331480030356E-3</v>
      </c>
      <c r="F9624" s="423">
        <v>4.4038746051699919E-4</v>
      </c>
      <c r="G9624" s="422">
        <v>17.472091502498021</v>
      </c>
      <c r="H9624" s="417" t="s">
        <v>2616</v>
      </c>
      <c r="I9624" s="417" t="s">
        <v>1392</v>
      </c>
      <c r="J9624" s="417" t="s">
        <v>4394</v>
      </c>
      <c r="K9624" s="417" t="s">
        <v>21689</v>
      </c>
      <c r="L9624" s="417"/>
      <c r="M9624" s="417" t="s">
        <v>28840</v>
      </c>
    </row>
    <row r="9625" spans="1:13" x14ac:dyDescent="0.25">
      <c r="A9625" s="417" t="s">
        <v>3385</v>
      </c>
      <c r="B9625" s="417" t="s">
        <v>2437</v>
      </c>
      <c r="C9625" s="417" t="s">
        <v>21690</v>
      </c>
      <c r="D9625" s="417" t="s">
        <v>3936</v>
      </c>
      <c r="E9625" s="423">
        <v>4.3721630783062258E-2</v>
      </c>
      <c r="F9625" s="423">
        <v>2.642780852843606E-3</v>
      </c>
      <c r="G9625" s="422">
        <v>113.175607992566</v>
      </c>
      <c r="H9625" s="417" t="s">
        <v>2616</v>
      </c>
      <c r="I9625" s="417" t="s">
        <v>1392</v>
      </c>
      <c r="J9625" s="417" t="s">
        <v>20833</v>
      </c>
      <c r="K9625" s="417" t="s">
        <v>21691</v>
      </c>
      <c r="L9625" s="417"/>
      <c r="M9625" s="417" t="s">
        <v>28840</v>
      </c>
    </row>
    <row r="9626" spans="1:13" x14ac:dyDescent="0.25">
      <c r="A9626" s="417" t="s">
        <v>3385</v>
      </c>
      <c r="B9626" s="417" t="s">
        <v>2437</v>
      </c>
      <c r="C9626" s="417" t="s">
        <v>21692</v>
      </c>
      <c r="D9626" s="417" t="s">
        <v>3936</v>
      </c>
      <c r="E9626" s="423">
        <v>4.1818977374380548E-2</v>
      </c>
      <c r="F9626" s="423">
        <v>2.591552601572102E-3</v>
      </c>
      <c r="G9626" s="422">
        <v>111.08836146267009</v>
      </c>
      <c r="H9626" s="417" t="s">
        <v>2616</v>
      </c>
      <c r="I9626" s="417" t="s">
        <v>1392</v>
      </c>
      <c r="J9626" s="417" t="s">
        <v>20833</v>
      </c>
      <c r="K9626" s="417" t="s">
        <v>21693</v>
      </c>
      <c r="L9626" s="417"/>
      <c r="M9626" s="417" t="s">
        <v>28840</v>
      </c>
    </row>
    <row r="9627" spans="1:13" x14ac:dyDescent="0.25">
      <c r="A9627" s="417" t="s">
        <v>3385</v>
      </c>
      <c r="B9627" s="417" t="s">
        <v>2437</v>
      </c>
      <c r="C9627" s="417" t="s">
        <v>21694</v>
      </c>
      <c r="D9627" s="417" t="s">
        <v>3936</v>
      </c>
      <c r="E9627" s="423">
        <v>4.2833574952983212E-2</v>
      </c>
      <c r="F9627" s="423">
        <v>2.6562001442892529E-3</v>
      </c>
      <c r="G9627" s="422">
        <v>113.0793512748949</v>
      </c>
      <c r="H9627" s="417" t="s">
        <v>2616</v>
      </c>
      <c r="I9627" s="417" t="s">
        <v>1392</v>
      </c>
      <c r="J9627" s="417" t="s">
        <v>20833</v>
      </c>
      <c r="K9627" s="417" t="s">
        <v>21695</v>
      </c>
      <c r="L9627" s="417"/>
      <c r="M9627" s="417" t="s">
        <v>28840</v>
      </c>
    </row>
    <row r="9628" spans="1:13" x14ac:dyDescent="0.25">
      <c r="A9628" s="417" t="s">
        <v>3385</v>
      </c>
      <c r="B9628" s="417" t="s">
        <v>2437</v>
      </c>
      <c r="C9628" s="417" t="s">
        <v>21696</v>
      </c>
      <c r="D9628" s="417" t="s">
        <v>397</v>
      </c>
      <c r="E9628" s="423">
        <v>3.6529811028572057E-2</v>
      </c>
      <c r="F9628" s="423">
        <v>1.9200199412956109E-3</v>
      </c>
      <c r="G9628" s="422">
        <v>61.903297675848897</v>
      </c>
      <c r="H9628" s="417" t="s">
        <v>2616</v>
      </c>
      <c r="I9628" s="417" t="s">
        <v>1392</v>
      </c>
      <c r="J9628" s="417" t="s">
        <v>20822</v>
      </c>
      <c r="K9628" s="417" t="s">
        <v>21697</v>
      </c>
      <c r="L9628" s="417"/>
      <c r="M9628" s="417" t="s">
        <v>28840</v>
      </c>
    </row>
    <row r="9629" spans="1:13" x14ac:dyDescent="0.25">
      <c r="A9629" s="417" t="s">
        <v>3385</v>
      </c>
      <c r="B9629" s="417" t="s">
        <v>2437</v>
      </c>
      <c r="C9629" s="417" t="s">
        <v>21698</v>
      </c>
      <c r="D9629" s="417" t="s">
        <v>397</v>
      </c>
      <c r="E9629" s="423">
        <v>3.6930512924266128E-2</v>
      </c>
      <c r="F9629" s="423">
        <v>1.91823535452516E-3</v>
      </c>
      <c r="G9629" s="422">
        <v>62.298565597402657</v>
      </c>
      <c r="H9629" s="417" t="s">
        <v>2616</v>
      </c>
      <c r="I9629" s="417" t="s">
        <v>1392</v>
      </c>
      <c r="J9629" s="417" t="s">
        <v>20822</v>
      </c>
      <c r="K9629" s="417" t="s">
        <v>21699</v>
      </c>
      <c r="L9629" s="417"/>
      <c r="M9629" s="417" t="s">
        <v>28840</v>
      </c>
    </row>
    <row r="9630" spans="1:13" x14ac:dyDescent="0.25">
      <c r="A9630" s="417" t="s">
        <v>3385</v>
      </c>
      <c r="B9630" s="417" t="s">
        <v>2437</v>
      </c>
      <c r="C9630" s="417" t="s">
        <v>21700</v>
      </c>
      <c r="D9630" s="417" t="s">
        <v>397</v>
      </c>
      <c r="E9630" s="423">
        <v>3.6627164873236848E-2</v>
      </c>
      <c r="F9630" s="423">
        <v>1.9215335793502811E-3</v>
      </c>
      <c r="G9630" s="422">
        <v>62.604028729397157</v>
      </c>
      <c r="H9630" s="417" t="s">
        <v>2616</v>
      </c>
      <c r="I9630" s="417" t="s">
        <v>1392</v>
      </c>
      <c r="J9630" s="417" t="s">
        <v>20822</v>
      </c>
      <c r="K9630" s="417" t="s">
        <v>21701</v>
      </c>
      <c r="L9630" s="417"/>
      <c r="M9630" s="417" t="s">
        <v>28840</v>
      </c>
    </row>
    <row r="9631" spans="1:13" x14ac:dyDescent="0.25">
      <c r="A9631" s="417" t="s">
        <v>3385</v>
      </c>
      <c r="B9631" s="417" t="s">
        <v>2437</v>
      </c>
      <c r="C9631" s="417" t="s">
        <v>21702</v>
      </c>
      <c r="D9631" s="417" t="s">
        <v>397</v>
      </c>
      <c r="E9631" s="423">
        <v>3.7658226965843707E-2</v>
      </c>
      <c r="F9631" s="423">
        <v>1.9205225174159469E-3</v>
      </c>
      <c r="G9631" s="422">
        <v>63.232651880443179</v>
      </c>
      <c r="H9631" s="417" t="s">
        <v>2616</v>
      </c>
      <c r="I9631" s="417" t="s">
        <v>1392</v>
      </c>
      <c r="J9631" s="417" t="s">
        <v>20822</v>
      </c>
      <c r="K9631" s="417" t="s">
        <v>21703</v>
      </c>
      <c r="L9631" s="417"/>
      <c r="M9631" s="417" t="s">
        <v>28840</v>
      </c>
    </row>
    <row r="9632" spans="1:13" x14ac:dyDescent="0.25">
      <c r="A9632" s="417" t="s">
        <v>3385</v>
      </c>
      <c r="B9632" s="417" t="s">
        <v>2437</v>
      </c>
      <c r="C9632" s="417" t="s">
        <v>21704</v>
      </c>
      <c r="D9632" s="417" t="s">
        <v>397</v>
      </c>
      <c r="E9632" s="423">
        <v>3.701163888409377E-2</v>
      </c>
      <c r="F9632" s="423">
        <v>1.920307679679663E-3</v>
      </c>
      <c r="G9632" s="422">
        <v>62.438096176374728</v>
      </c>
      <c r="H9632" s="417" t="s">
        <v>2616</v>
      </c>
      <c r="I9632" s="417" t="s">
        <v>1392</v>
      </c>
      <c r="J9632" s="417" t="s">
        <v>20822</v>
      </c>
      <c r="K9632" s="417" t="s">
        <v>21705</v>
      </c>
      <c r="L9632" s="417"/>
      <c r="M9632" s="417" t="s">
        <v>28840</v>
      </c>
    </row>
    <row r="9633" spans="1:13" x14ac:dyDescent="0.25">
      <c r="A9633" s="417" t="s">
        <v>3385</v>
      </c>
      <c r="B9633" s="417" t="s">
        <v>2437</v>
      </c>
      <c r="C9633" s="417" t="s">
        <v>21706</v>
      </c>
      <c r="D9633" s="417" t="s">
        <v>397</v>
      </c>
      <c r="E9633" s="423">
        <v>3.7176628031512067E-2</v>
      </c>
      <c r="F9633" s="423">
        <v>1.921341157752643E-3</v>
      </c>
      <c r="G9633" s="422">
        <v>62.651977821210068</v>
      </c>
      <c r="H9633" s="417" t="s">
        <v>2616</v>
      </c>
      <c r="I9633" s="417" t="s">
        <v>1392</v>
      </c>
      <c r="J9633" s="417" t="s">
        <v>20822</v>
      </c>
      <c r="K9633" s="417" t="s">
        <v>21707</v>
      </c>
      <c r="L9633" s="417"/>
      <c r="M9633" s="417" t="s">
        <v>28840</v>
      </c>
    </row>
    <row r="9634" spans="1:13" x14ac:dyDescent="0.25">
      <c r="A9634" s="417" t="s">
        <v>3385</v>
      </c>
      <c r="B9634" s="417" t="s">
        <v>2437</v>
      </c>
      <c r="C9634" s="417" t="s">
        <v>21708</v>
      </c>
      <c r="D9634" s="417" t="s">
        <v>397</v>
      </c>
      <c r="E9634" s="423">
        <v>3.7467825708463028E-2</v>
      </c>
      <c r="F9634" s="423">
        <v>1.934346678206984E-3</v>
      </c>
      <c r="G9634" s="422">
        <v>64.559065066889929</v>
      </c>
      <c r="H9634" s="417" t="s">
        <v>2616</v>
      </c>
      <c r="I9634" s="417" t="s">
        <v>1392</v>
      </c>
      <c r="J9634" s="417" t="s">
        <v>20822</v>
      </c>
      <c r="K9634" s="417" t="s">
        <v>21709</v>
      </c>
      <c r="L9634" s="417"/>
      <c r="M9634" s="417" t="s">
        <v>28840</v>
      </c>
    </row>
    <row r="9635" spans="1:13" x14ac:dyDescent="0.25">
      <c r="A9635" s="417" t="s">
        <v>3385</v>
      </c>
      <c r="B9635" s="417" t="s">
        <v>2437</v>
      </c>
      <c r="C9635" s="417" t="s">
        <v>21710</v>
      </c>
      <c r="D9635" s="417" t="s">
        <v>397</v>
      </c>
      <c r="E9635" s="423">
        <v>3.7038804584865907E-2</v>
      </c>
      <c r="F9635" s="423">
        <v>1.921091846007655E-3</v>
      </c>
      <c r="G9635" s="422">
        <v>62.573697535786778</v>
      </c>
      <c r="H9635" s="417" t="s">
        <v>2616</v>
      </c>
      <c r="I9635" s="417" t="s">
        <v>1392</v>
      </c>
      <c r="J9635" s="417" t="s">
        <v>20822</v>
      </c>
      <c r="K9635" s="417" t="s">
        <v>21711</v>
      </c>
      <c r="L9635" s="417"/>
      <c r="M9635" s="417" t="s">
        <v>28840</v>
      </c>
    </row>
    <row r="9636" spans="1:13" x14ac:dyDescent="0.25">
      <c r="A9636" s="417" t="s">
        <v>3385</v>
      </c>
      <c r="B9636" s="417" t="s">
        <v>2437</v>
      </c>
      <c r="C9636" s="417" t="s">
        <v>21712</v>
      </c>
      <c r="D9636" s="417" t="s">
        <v>397</v>
      </c>
      <c r="E9636" s="423">
        <v>3.7439137675719228E-2</v>
      </c>
      <c r="F9636" s="423">
        <v>1.919923840696015E-3</v>
      </c>
      <c r="G9636" s="422">
        <v>62.92751758264469</v>
      </c>
      <c r="H9636" s="417" t="s">
        <v>2616</v>
      </c>
      <c r="I9636" s="417" t="s">
        <v>1392</v>
      </c>
      <c r="J9636" s="417" t="s">
        <v>20822</v>
      </c>
      <c r="K9636" s="417" t="s">
        <v>21713</v>
      </c>
      <c r="L9636" s="417"/>
      <c r="M9636" s="417" t="s">
        <v>28840</v>
      </c>
    </row>
    <row r="9637" spans="1:13" x14ac:dyDescent="0.25">
      <c r="A9637" s="417" t="s">
        <v>3385</v>
      </c>
      <c r="B9637" s="417" t="s">
        <v>2437</v>
      </c>
      <c r="C9637" s="417" t="s">
        <v>21714</v>
      </c>
      <c r="D9637" s="417" t="s">
        <v>397</v>
      </c>
      <c r="E9637" s="423">
        <v>3.6020154676799178E-2</v>
      </c>
      <c r="F9637" s="423">
        <v>1.918293310100596E-3</v>
      </c>
      <c r="G9637" s="422">
        <v>61.12666407921246</v>
      </c>
      <c r="H9637" s="417" t="s">
        <v>2616</v>
      </c>
      <c r="I9637" s="417" t="s">
        <v>1392</v>
      </c>
      <c r="J9637" s="417" t="s">
        <v>20822</v>
      </c>
      <c r="K9637" s="417" t="s">
        <v>21715</v>
      </c>
      <c r="L9637" s="417"/>
      <c r="M9637" s="417" t="s">
        <v>28840</v>
      </c>
    </row>
    <row r="9638" spans="1:13" x14ac:dyDescent="0.25">
      <c r="A9638" s="417" t="s">
        <v>3385</v>
      </c>
      <c r="B9638" s="417" t="s">
        <v>2437</v>
      </c>
      <c r="C9638" s="417" t="s">
        <v>21716</v>
      </c>
      <c r="D9638" s="417" t="s">
        <v>397</v>
      </c>
      <c r="E9638" s="423">
        <v>3.6709501639281397E-2</v>
      </c>
      <c r="F9638" s="423">
        <v>1.920635558021443E-3</v>
      </c>
      <c r="G9638" s="422">
        <v>62.200687622685493</v>
      </c>
      <c r="H9638" s="417" t="s">
        <v>2616</v>
      </c>
      <c r="I9638" s="417" t="s">
        <v>1392</v>
      </c>
      <c r="J9638" s="417" t="s">
        <v>20822</v>
      </c>
      <c r="K9638" s="417" t="s">
        <v>21717</v>
      </c>
      <c r="L9638" s="417"/>
      <c r="M9638" s="417" t="s">
        <v>28840</v>
      </c>
    </row>
    <row r="9639" spans="1:13" x14ac:dyDescent="0.25">
      <c r="A9639" s="417" t="s">
        <v>3385</v>
      </c>
      <c r="B9639" s="417" t="s">
        <v>2437</v>
      </c>
      <c r="C9639" s="417" t="s">
        <v>21718</v>
      </c>
      <c r="D9639" s="417" t="s">
        <v>397</v>
      </c>
      <c r="E9639" s="423">
        <v>3.6857347938743991E-2</v>
      </c>
      <c r="F9639" s="423">
        <v>1.920179209295957E-3</v>
      </c>
      <c r="G9639" s="422">
        <v>62.13442914620353</v>
      </c>
      <c r="H9639" s="417" t="s">
        <v>2616</v>
      </c>
      <c r="I9639" s="417" t="s">
        <v>1392</v>
      </c>
      <c r="J9639" s="417" t="s">
        <v>20822</v>
      </c>
      <c r="K9639" s="417" t="s">
        <v>21719</v>
      </c>
      <c r="L9639" s="417"/>
      <c r="M9639" s="417" t="s">
        <v>28840</v>
      </c>
    </row>
    <row r="9640" spans="1:13" x14ac:dyDescent="0.25">
      <c r="A9640" s="417" t="s">
        <v>3385</v>
      </c>
      <c r="B9640" s="417" t="s">
        <v>2437</v>
      </c>
      <c r="C9640" s="417" t="s">
        <v>21720</v>
      </c>
      <c r="D9640" s="417" t="s">
        <v>397</v>
      </c>
      <c r="E9640" s="423">
        <v>3.6432606877639703E-2</v>
      </c>
      <c r="F9640" s="423">
        <v>1.919652570632608E-3</v>
      </c>
      <c r="G9640" s="422">
        <v>61.742403083247638</v>
      </c>
      <c r="H9640" s="417" t="s">
        <v>2616</v>
      </c>
      <c r="I9640" s="417" t="s">
        <v>1392</v>
      </c>
      <c r="J9640" s="417" t="s">
        <v>20822</v>
      </c>
      <c r="K9640" s="417" t="s">
        <v>21721</v>
      </c>
      <c r="L9640" s="417"/>
      <c r="M9640" s="417" t="s">
        <v>28840</v>
      </c>
    </row>
    <row r="9641" spans="1:13" x14ac:dyDescent="0.25">
      <c r="A9641" s="417" t="s">
        <v>3385</v>
      </c>
      <c r="B9641" s="417" t="s">
        <v>2437</v>
      </c>
      <c r="C9641" s="417" t="s">
        <v>21722</v>
      </c>
      <c r="D9641" s="417" t="s">
        <v>397</v>
      </c>
      <c r="E9641" s="423">
        <v>3.7300566977729092E-2</v>
      </c>
      <c r="F9641" s="423">
        <v>1.925277052094174E-3</v>
      </c>
      <c r="G9641" s="422">
        <v>62.899387367906712</v>
      </c>
      <c r="H9641" s="417" t="s">
        <v>2616</v>
      </c>
      <c r="I9641" s="417" t="s">
        <v>1392</v>
      </c>
      <c r="J9641" s="417" t="s">
        <v>20822</v>
      </c>
      <c r="K9641" s="417" t="s">
        <v>21723</v>
      </c>
      <c r="L9641" s="417"/>
      <c r="M9641" s="417" t="s">
        <v>28840</v>
      </c>
    </row>
    <row r="9642" spans="1:13" x14ac:dyDescent="0.25">
      <c r="A9642" s="417" t="s">
        <v>3385</v>
      </c>
      <c r="B9642" s="417" t="s">
        <v>2437</v>
      </c>
      <c r="C9642" s="417" t="s">
        <v>21724</v>
      </c>
      <c r="D9642" s="417" t="s">
        <v>397</v>
      </c>
      <c r="E9642" s="423">
        <v>3.6665648084428563E-2</v>
      </c>
      <c r="F9642" s="423">
        <v>1.919903381696885E-3</v>
      </c>
      <c r="G9642" s="422">
        <v>61.905170296282009</v>
      </c>
      <c r="H9642" s="417" t="s">
        <v>2616</v>
      </c>
      <c r="I9642" s="417" t="s">
        <v>1392</v>
      </c>
      <c r="J9642" s="417" t="s">
        <v>20822</v>
      </c>
      <c r="K9642" s="417" t="s">
        <v>21725</v>
      </c>
      <c r="L9642" s="417"/>
      <c r="M9642" s="417" t="s">
        <v>28840</v>
      </c>
    </row>
    <row r="9643" spans="1:13" x14ac:dyDescent="0.25">
      <c r="A9643" s="417" t="s">
        <v>3385</v>
      </c>
      <c r="B9643" s="417" t="s">
        <v>2437</v>
      </c>
      <c r="C9643" s="417" t="s">
        <v>21726</v>
      </c>
      <c r="D9643" s="417" t="s">
        <v>397</v>
      </c>
      <c r="E9643" s="423">
        <v>3.710447017276889E-2</v>
      </c>
      <c r="F9643" s="423">
        <v>1.931571901042617E-3</v>
      </c>
      <c r="G9643" s="422">
        <v>62.726645853414972</v>
      </c>
      <c r="H9643" s="417" t="s">
        <v>2616</v>
      </c>
      <c r="I9643" s="417" t="s">
        <v>1392</v>
      </c>
      <c r="J9643" s="417" t="s">
        <v>20822</v>
      </c>
      <c r="K9643" s="417" t="s">
        <v>21727</v>
      </c>
      <c r="L9643" s="417"/>
      <c r="M9643" s="417" t="s">
        <v>28840</v>
      </c>
    </row>
    <row r="9644" spans="1:13" x14ac:dyDescent="0.25">
      <c r="A9644" s="417" t="s">
        <v>3385</v>
      </c>
      <c r="B9644" s="417" t="s">
        <v>2437</v>
      </c>
      <c r="C9644" s="417" t="s">
        <v>21728</v>
      </c>
      <c r="D9644" s="417" t="s">
        <v>397</v>
      </c>
      <c r="E9644" s="423">
        <v>4.1353617719932297E-2</v>
      </c>
      <c r="F9644" s="423">
        <v>1.906011101209029E-3</v>
      </c>
      <c r="G9644" s="422">
        <v>65.82682875676133</v>
      </c>
      <c r="H9644" s="417" t="s">
        <v>2616</v>
      </c>
      <c r="I9644" s="417" t="s">
        <v>1392</v>
      </c>
      <c r="J9644" s="417" t="s">
        <v>21729</v>
      </c>
      <c r="K9644" s="417" t="s">
        <v>21730</v>
      </c>
      <c r="L9644" s="417"/>
      <c r="M9644" s="417" t="s">
        <v>28840</v>
      </c>
    </row>
    <row r="9645" spans="1:13" x14ac:dyDescent="0.25">
      <c r="A9645" s="417" t="s">
        <v>3385</v>
      </c>
      <c r="B9645" s="417" t="s">
        <v>2437</v>
      </c>
      <c r="C9645" s="417" t="s">
        <v>21731</v>
      </c>
      <c r="D9645" s="417" t="s">
        <v>17280</v>
      </c>
      <c r="E9645" s="423">
        <v>6.3948514952096988E-3</v>
      </c>
      <c r="F9645" s="423">
        <v>4.390998769431588E-4</v>
      </c>
      <c r="G9645" s="422">
        <v>28.487010527195949</v>
      </c>
      <c r="H9645" s="417" t="s">
        <v>2616</v>
      </c>
      <c r="I9645" s="417" t="s">
        <v>1392</v>
      </c>
      <c r="J9645" s="417" t="s">
        <v>4394</v>
      </c>
      <c r="K9645" s="417" t="s">
        <v>21732</v>
      </c>
      <c r="L9645" s="417"/>
      <c r="M9645" s="417" t="s">
        <v>28840</v>
      </c>
    </row>
    <row r="9646" spans="1:13" x14ac:dyDescent="0.25">
      <c r="A9646" s="417" t="s">
        <v>3385</v>
      </c>
      <c r="B9646" s="417" t="s">
        <v>2437</v>
      </c>
      <c r="C9646" s="417" t="s">
        <v>21733</v>
      </c>
      <c r="D9646" s="417" t="s">
        <v>17280</v>
      </c>
      <c r="E9646" s="423">
        <v>6.6799474608991943E-4</v>
      </c>
      <c r="F9646" s="423">
        <v>8.5390512744163325E-5</v>
      </c>
      <c r="G9646" s="422">
        <v>13.541245154568539</v>
      </c>
      <c r="H9646" s="417" t="s">
        <v>2616</v>
      </c>
      <c r="I9646" s="417" t="s">
        <v>1392</v>
      </c>
      <c r="J9646" s="417" t="s">
        <v>4394</v>
      </c>
      <c r="K9646" s="417" t="s">
        <v>21734</v>
      </c>
      <c r="L9646" s="417"/>
      <c r="M9646" s="417" t="s">
        <v>28840</v>
      </c>
    </row>
    <row r="9647" spans="1:13" x14ac:dyDescent="0.25">
      <c r="A9647" s="417" t="s">
        <v>3385</v>
      </c>
      <c r="B9647" s="417" t="s">
        <v>2437</v>
      </c>
      <c r="C9647" s="417" t="s">
        <v>21735</v>
      </c>
      <c r="D9647" s="417" t="s">
        <v>17280</v>
      </c>
      <c r="E9647" s="423">
        <v>1.5396009867802291E-3</v>
      </c>
      <c r="F9647" s="423">
        <v>6.0136601705456871E-5</v>
      </c>
      <c r="G9647" s="422">
        <v>3.2025993527809771</v>
      </c>
      <c r="H9647" s="417" t="s">
        <v>2616</v>
      </c>
      <c r="I9647" s="417" t="s">
        <v>1392</v>
      </c>
      <c r="J9647" s="417" t="s">
        <v>4394</v>
      </c>
      <c r="K9647" s="417" t="s">
        <v>21736</v>
      </c>
      <c r="L9647" s="417"/>
      <c r="M9647" s="417" t="s">
        <v>28840</v>
      </c>
    </row>
    <row r="9648" spans="1:13" x14ac:dyDescent="0.25">
      <c r="A9648" s="417" t="s">
        <v>3385</v>
      </c>
      <c r="B9648" s="417" t="s">
        <v>2437</v>
      </c>
      <c r="C9648" s="417" t="s">
        <v>21737</v>
      </c>
      <c r="D9648" s="417" t="s">
        <v>17280</v>
      </c>
      <c r="E9648" s="423">
        <v>4.1872558516486422E-3</v>
      </c>
      <c r="F9648" s="423">
        <v>2.9357274923914498E-4</v>
      </c>
      <c r="G9648" s="422">
        <v>11.743166016520901</v>
      </c>
      <c r="H9648" s="417" t="s">
        <v>2616</v>
      </c>
      <c r="I9648" s="417" t="s">
        <v>1392</v>
      </c>
      <c r="J9648" s="417" t="s">
        <v>4394</v>
      </c>
      <c r="K9648" s="417" t="s">
        <v>21738</v>
      </c>
      <c r="L9648" s="417"/>
      <c r="M9648" s="417" t="s">
        <v>28840</v>
      </c>
    </row>
    <row r="9649" spans="1:13" x14ac:dyDescent="0.25">
      <c r="A9649" s="417" t="s">
        <v>3385</v>
      </c>
      <c r="B9649" s="417" t="s">
        <v>2437</v>
      </c>
      <c r="C9649" s="417" t="s">
        <v>21739</v>
      </c>
      <c r="D9649" s="417" t="s">
        <v>17280</v>
      </c>
      <c r="E9649" s="423">
        <v>7.8757909750752988E-3</v>
      </c>
      <c r="F9649" s="423">
        <v>5.3449460949934612E-4</v>
      </c>
      <c r="G9649" s="422">
        <v>34.612970203490001</v>
      </c>
      <c r="H9649" s="417" t="s">
        <v>2616</v>
      </c>
      <c r="I9649" s="417" t="s">
        <v>1392</v>
      </c>
      <c r="J9649" s="417" t="s">
        <v>4394</v>
      </c>
      <c r="K9649" s="417" t="s">
        <v>21740</v>
      </c>
      <c r="L9649" s="417"/>
      <c r="M9649" s="417" t="s">
        <v>28840</v>
      </c>
    </row>
    <row r="9650" spans="1:13" x14ac:dyDescent="0.25">
      <c r="A9650" s="417" t="s">
        <v>3385</v>
      </c>
      <c r="B9650" s="417" t="s">
        <v>2437</v>
      </c>
      <c r="C9650" s="417" t="s">
        <v>21741</v>
      </c>
      <c r="D9650" s="417" t="s">
        <v>3936</v>
      </c>
      <c r="E9650" s="423">
        <v>0.1083757704943534</v>
      </c>
      <c r="F9650" s="423">
        <v>3.7051522803865809E-3</v>
      </c>
      <c r="G9650" s="422">
        <v>272.03403199025399</v>
      </c>
      <c r="H9650" s="417" t="s">
        <v>2616</v>
      </c>
      <c r="I9650" s="417" t="s">
        <v>1392</v>
      </c>
      <c r="J9650" s="417" t="s">
        <v>20833</v>
      </c>
      <c r="K9650" s="417" t="s">
        <v>21742</v>
      </c>
      <c r="L9650" s="417"/>
      <c r="M9650" s="417" t="s">
        <v>28840</v>
      </c>
    </row>
    <row r="9651" spans="1:13" x14ac:dyDescent="0.25">
      <c r="A9651" s="417" t="s">
        <v>3385</v>
      </c>
      <c r="B9651" s="417" t="s">
        <v>2437</v>
      </c>
      <c r="C9651" s="417" t="s">
        <v>21743</v>
      </c>
      <c r="D9651" s="417" t="s">
        <v>3936</v>
      </c>
      <c r="E9651" s="423">
        <v>0.1075621125690393</v>
      </c>
      <c r="F9651" s="423">
        <v>3.687722981778432E-3</v>
      </c>
      <c r="G9651" s="422">
        <v>245.09282895936519</v>
      </c>
      <c r="H9651" s="417" t="s">
        <v>2616</v>
      </c>
      <c r="I9651" s="417" t="s">
        <v>1392</v>
      </c>
      <c r="J9651" s="417" t="s">
        <v>20833</v>
      </c>
      <c r="K9651" s="417" t="s">
        <v>21744</v>
      </c>
      <c r="L9651" s="417"/>
      <c r="M9651" s="417" t="s">
        <v>28840</v>
      </c>
    </row>
    <row r="9652" spans="1:13" x14ac:dyDescent="0.25">
      <c r="A9652" s="417" t="s">
        <v>3385</v>
      </c>
      <c r="B9652" s="417" t="s">
        <v>2437</v>
      </c>
      <c r="C9652" s="417" t="s">
        <v>21745</v>
      </c>
      <c r="D9652" s="417" t="s">
        <v>3936</v>
      </c>
      <c r="E9652" s="423">
        <v>0.1067348980469042</v>
      </c>
      <c r="F9652" s="423">
        <v>3.6708253043893891E-3</v>
      </c>
      <c r="G9652" s="422">
        <v>243.786841082314</v>
      </c>
      <c r="H9652" s="417" t="s">
        <v>2616</v>
      </c>
      <c r="I9652" s="417" t="s">
        <v>1392</v>
      </c>
      <c r="J9652" s="417" t="s">
        <v>20833</v>
      </c>
      <c r="K9652" s="417" t="s">
        <v>21746</v>
      </c>
      <c r="L9652" s="417"/>
      <c r="M9652" s="417" t="s">
        <v>28840</v>
      </c>
    </row>
    <row r="9653" spans="1:13" x14ac:dyDescent="0.25">
      <c r="A9653" s="417" t="s">
        <v>3385</v>
      </c>
      <c r="B9653" s="417" t="s">
        <v>2437</v>
      </c>
      <c r="C9653" s="417" t="s">
        <v>21747</v>
      </c>
      <c r="D9653" s="417" t="s">
        <v>3936</v>
      </c>
      <c r="E9653" s="423">
        <v>5.3279339371224491E-2</v>
      </c>
      <c r="F9653" s="423">
        <v>3.804153334196122E-3</v>
      </c>
      <c r="G9653" s="422">
        <v>161.82012286769</v>
      </c>
      <c r="H9653" s="417" t="s">
        <v>2616</v>
      </c>
      <c r="I9653" s="417" t="s">
        <v>1392</v>
      </c>
      <c r="J9653" s="417" t="s">
        <v>20833</v>
      </c>
      <c r="K9653" s="417" t="s">
        <v>21748</v>
      </c>
      <c r="L9653" s="417"/>
      <c r="M9653" s="417" t="s">
        <v>28840</v>
      </c>
    </row>
    <row r="9654" spans="1:13" x14ac:dyDescent="0.25">
      <c r="A9654" s="417" t="s">
        <v>3385</v>
      </c>
      <c r="B9654" s="417" t="s">
        <v>2437</v>
      </c>
      <c r="C9654" s="417" t="s">
        <v>21749</v>
      </c>
      <c r="D9654" s="417" t="s">
        <v>3936</v>
      </c>
      <c r="E9654" s="423">
        <v>5.0228819520101893E-2</v>
      </c>
      <c r="F9654" s="423">
        <v>3.2670849301241161E-3</v>
      </c>
      <c r="G9654" s="422">
        <v>147.21434719314621</v>
      </c>
      <c r="H9654" s="417" t="s">
        <v>2616</v>
      </c>
      <c r="I9654" s="417" t="s">
        <v>1392</v>
      </c>
      <c r="J9654" s="417" t="s">
        <v>20833</v>
      </c>
      <c r="K9654" s="417" t="s">
        <v>21750</v>
      </c>
      <c r="L9654" s="417"/>
      <c r="M9654" s="417" t="s">
        <v>28840</v>
      </c>
    </row>
    <row r="9655" spans="1:13" x14ac:dyDescent="0.25">
      <c r="A9655" s="417" t="s">
        <v>3385</v>
      </c>
      <c r="B9655" s="417" t="s">
        <v>2437</v>
      </c>
      <c r="C9655" s="417" t="s">
        <v>21751</v>
      </c>
      <c r="D9655" s="417" t="s">
        <v>3936</v>
      </c>
      <c r="E9655" s="423">
        <v>5.1101583547437511E-2</v>
      </c>
      <c r="F9655" s="423">
        <v>3.7596075540314942E-3</v>
      </c>
      <c r="G9655" s="422">
        <v>158.88839903628511</v>
      </c>
      <c r="H9655" s="417" t="s">
        <v>2616</v>
      </c>
      <c r="I9655" s="417" t="s">
        <v>1392</v>
      </c>
      <c r="J9655" s="417" t="s">
        <v>20833</v>
      </c>
      <c r="K9655" s="417" t="s">
        <v>21752</v>
      </c>
      <c r="L9655" s="417"/>
      <c r="M9655" s="417" t="s">
        <v>28840</v>
      </c>
    </row>
    <row r="9656" spans="1:13" x14ac:dyDescent="0.25">
      <c r="A9656" s="417" t="s">
        <v>3385</v>
      </c>
      <c r="B9656" s="417" t="s">
        <v>2437</v>
      </c>
      <c r="C9656" s="417" t="s">
        <v>21753</v>
      </c>
      <c r="D9656" s="417" t="s">
        <v>3936</v>
      </c>
      <c r="E9656" s="423">
        <v>4.8051063689677737E-2</v>
      </c>
      <c r="F9656" s="423">
        <v>3.2225391503604801E-3</v>
      </c>
      <c r="G9656" s="422">
        <v>144.28262263672511</v>
      </c>
      <c r="H9656" s="417" t="s">
        <v>2616</v>
      </c>
      <c r="I9656" s="417" t="s">
        <v>1392</v>
      </c>
      <c r="J9656" s="417" t="s">
        <v>20833</v>
      </c>
      <c r="K9656" s="417" t="s">
        <v>21754</v>
      </c>
      <c r="L9656" s="417"/>
      <c r="M9656" s="417" t="s">
        <v>28840</v>
      </c>
    </row>
    <row r="9657" spans="1:13" x14ac:dyDescent="0.25">
      <c r="A9657" s="417" t="s">
        <v>3385</v>
      </c>
      <c r="B9657" s="417" t="s">
        <v>2437</v>
      </c>
      <c r="C9657" s="417" t="s">
        <v>21755</v>
      </c>
      <c r="D9657" s="417" t="s">
        <v>3936</v>
      </c>
      <c r="E9657" s="423">
        <v>5.2082247182845542E-2</v>
      </c>
      <c r="F9657" s="423">
        <v>3.823400682174731E-3</v>
      </c>
      <c r="G9657" s="422">
        <v>160.78465632902601</v>
      </c>
      <c r="H9657" s="417" t="s">
        <v>2616</v>
      </c>
      <c r="I9657" s="417" t="s">
        <v>1392</v>
      </c>
      <c r="J9657" s="417" t="s">
        <v>20833</v>
      </c>
      <c r="K9657" s="417" t="s">
        <v>21756</v>
      </c>
      <c r="L9657" s="417"/>
      <c r="M9657" s="417" t="s">
        <v>28840</v>
      </c>
    </row>
    <row r="9658" spans="1:13" x14ac:dyDescent="0.25">
      <c r="A9658" s="417" t="s">
        <v>3385</v>
      </c>
      <c r="B9658" s="417" t="s">
        <v>2437</v>
      </c>
      <c r="C9658" s="417" t="s">
        <v>21757</v>
      </c>
      <c r="D9658" s="417" t="s">
        <v>3936</v>
      </c>
      <c r="E9658" s="423">
        <v>4.9031727331901233E-2</v>
      </c>
      <c r="F9658" s="423">
        <v>3.286332278081794E-3</v>
      </c>
      <c r="G9658" s="422">
        <v>146.17888092802261</v>
      </c>
      <c r="H9658" s="417" t="s">
        <v>2616</v>
      </c>
      <c r="I9658" s="417" t="s">
        <v>1392</v>
      </c>
      <c r="J9658" s="417" t="s">
        <v>20833</v>
      </c>
      <c r="K9658" s="417" t="s">
        <v>21758</v>
      </c>
      <c r="L9658" s="417"/>
      <c r="M9658" s="417" t="s">
        <v>28840</v>
      </c>
    </row>
    <row r="9659" spans="1:13" x14ac:dyDescent="0.25">
      <c r="A9659" s="417" t="s">
        <v>3385</v>
      </c>
      <c r="B9659" s="417" t="s">
        <v>2437</v>
      </c>
      <c r="C9659" s="417" t="s">
        <v>21759</v>
      </c>
      <c r="D9659" s="417" t="s">
        <v>3936</v>
      </c>
      <c r="E9659" s="423">
        <v>0.12272021574858701</v>
      </c>
      <c r="F9659" s="423">
        <v>7.2258577136745956E-3</v>
      </c>
      <c r="G9659" s="422">
        <v>380.35550596416351</v>
      </c>
      <c r="H9659" s="417" t="s">
        <v>2616</v>
      </c>
      <c r="I9659" s="417" t="s">
        <v>1392</v>
      </c>
      <c r="J9659" s="417" t="s">
        <v>20833</v>
      </c>
      <c r="K9659" s="417" t="s">
        <v>21760</v>
      </c>
      <c r="L9659" s="417"/>
      <c r="M9659" s="417" t="s">
        <v>28840</v>
      </c>
    </row>
    <row r="9660" spans="1:13" x14ac:dyDescent="0.25">
      <c r="A9660" s="417" t="s">
        <v>3385</v>
      </c>
      <c r="B9660" s="417" t="s">
        <v>2437</v>
      </c>
      <c r="C9660" s="417" t="s">
        <v>21761</v>
      </c>
      <c r="D9660" s="417" t="s">
        <v>3936</v>
      </c>
      <c r="E9660" s="423">
        <v>0.1158029558689764</v>
      </c>
      <c r="F9660" s="423">
        <v>6.008018825255923E-3</v>
      </c>
      <c r="G9660" s="422">
        <v>347.23592212927008</v>
      </c>
      <c r="H9660" s="417" t="s">
        <v>2616</v>
      </c>
      <c r="I9660" s="417" t="s">
        <v>1392</v>
      </c>
      <c r="J9660" s="417" t="s">
        <v>20833</v>
      </c>
      <c r="K9660" s="417" t="s">
        <v>21762</v>
      </c>
      <c r="L9660" s="417"/>
      <c r="M9660" s="417" t="s">
        <v>28840</v>
      </c>
    </row>
    <row r="9661" spans="1:13" x14ac:dyDescent="0.25">
      <c r="A9661" s="417" t="s">
        <v>3385</v>
      </c>
      <c r="B9661" s="417" t="s">
        <v>2437</v>
      </c>
      <c r="C9661" s="417" t="s">
        <v>21763</v>
      </c>
      <c r="D9661" s="417" t="s">
        <v>3936</v>
      </c>
      <c r="E9661" s="423">
        <v>0.1078144520825744</v>
      </c>
      <c r="F9661" s="423">
        <v>6.8708471590003964E-3</v>
      </c>
      <c r="G9661" s="422">
        <v>356.66707138237081</v>
      </c>
      <c r="H9661" s="417" t="s">
        <v>2616</v>
      </c>
      <c r="I9661" s="417" t="s">
        <v>1392</v>
      </c>
      <c r="J9661" s="417" t="s">
        <v>20833</v>
      </c>
      <c r="K9661" s="417" t="s">
        <v>21764</v>
      </c>
      <c r="L9661" s="417"/>
      <c r="M9661" s="417" t="s">
        <v>28840</v>
      </c>
    </row>
    <row r="9662" spans="1:13" x14ac:dyDescent="0.25">
      <c r="A9662" s="417" t="s">
        <v>3385</v>
      </c>
      <c r="B9662" s="417" t="s">
        <v>2437</v>
      </c>
      <c r="C9662" s="417" t="s">
        <v>21765</v>
      </c>
      <c r="D9662" s="417" t="s">
        <v>3936</v>
      </c>
      <c r="E9662" s="423">
        <v>0.1008971922426757</v>
      </c>
      <c r="F9662" s="423">
        <v>5.6530082707138439E-3</v>
      </c>
      <c r="G9662" s="422">
        <v>323.54748768451901</v>
      </c>
      <c r="H9662" s="417" t="s">
        <v>2616</v>
      </c>
      <c r="I9662" s="417" t="s">
        <v>1392</v>
      </c>
      <c r="J9662" s="417" t="s">
        <v>20833</v>
      </c>
      <c r="K9662" s="417" t="s">
        <v>21766</v>
      </c>
      <c r="L9662" s="417"/>
      <c r="M9662" s="417" t="s">
        <v>28840</v>
      </c>
    </row>
    <row r="9663" spans="1:13" x14ac:dyDescent="0.25">
      <c r="A9663" s="417" t="s">
        <v>3385</v>
      </c>
      <c r="B9663" s="417" t="s">
        <v>2437</v>
      </c>
      <c r="C9663" s="417" t="s">
        <v>21767</v>
      </c>
      <c r="D9663" s="417" t="s">
        <v>3936</v>
      </c>
      <c r="E9663" s="423">
        <v>0.1132419223824274</v>
      </c>
      <c r="F9663" s="423">
        <v>7.1431338037474144E-3</v>
      </c>
      <c r="G9663" s="422">
        <v>368.30388584512951</v>
      </c>
      <c r="H9663" s="417" t="s">
        <v>2616</v>
      </c>
      <c r="I9663" s="417" t="s">
        <v>1392</v>
      </c>
      <c r="J9663" s="417" t="s">
        <v>20833</v>
      </c>
      <c r="K9663" s="417" t="s">
        <v>21768</v>
      </c>
      <c r="L9663" s="417"/>
      <c r="M9663" s="417" t="s">
        <v>28840</v>
      </c>
    </row>
    <row r="9664" spans="1:13" x14ac:dyDescent="0.25">
      <c r="A9664" s="417" t="s">
        <v>3385</v>
      </c>
      <c r="B9664" s="417" t="s">
        <v>2437</v>
      </c>
      <c r="C9664" s="417" t="s">
        <v>21769</v>
      </c>
      <c r="D9664" s="417" t="s">
        <v>3936</v>
      </c>
      <c r="E9664" s="423">
        <v>0.1063246625031725</v>
      </c>
      <c r="F9664" s="423">
        <v>5.9252949149513614E-3</v>
      </c>
      <c r="G9664" s="422">
        <v>335.18430178894641</v>
      </c>
      <c r="H9664" s="417" t="s">
        <v>2616</v>
      </c>
      <c r="I9664" s="417" t="s">
        <v>1392</v>
      </c>
      <c r="J9664" s="417" t="s">
        <v>20833</v>
      </c>
      <c r="K9664" s="417" t="s">
        <v>21770</v>
      </c>
      <c r="L9664" s="417"/>
      <c r="M9664" s="417" t="s">
        <v>28840</v>
      </c>
    </row>
    <row r="9665" spans="1:13" x14ac:dyDescent="0.25">
      <c r="A9665" s="417" t="s">
        <v>3385</v>
      </c>
      <c r="B9665" s="417" t="s">
        <v>2437</v>
      </c>
      <c r="C9665" s="417" t="s">
        <v>21771</v>
      </c>
      <c r="D9665" s="417" t="s">
        <v>3936</v>
      </c>
      <c r="E9665" s="423">
        <v>8.4334647608098182E-2</v>
      </c>
      <c r="F9665" s="423">
        <v>5.6883900519028438E-3</v>
      </c>
      <c r="G9665" s="422">
        <v>263.23529271676409</v>
      </c>
      <c r="H9665" s="417" t="s">
        <v>2616</v>
      </c>
      <c r="I9665" s="417" t="s">
        <v>1392</v>
      </c>
      <c r="J9665" s="417" t="s">
        <v>20833</v>
      </c>
      <c r="K9665" s="417" t="s">
        <v>21772</v>
      </c>
      <c r="L9665" s="417"/>
      <c r="M9665" s="417" t="s">
        <v>28840</v>
      </c>
    </row>
    <row r="9666" spans="1:13" x14ac:dyDescent="0.25">
      <c r="A9666" s="417" t="s">
        <v>3385</v>
      </c>
      <c r="B9666" s="417" t="s">
        <v>2437</v>
      </c>
      <c r="C9666" s="417" t="s">
        <v>21773</v>
      </c>
      <c r="D9666" s="417" t="s">
        <v>3936</v>
      </c>
      <c r="E9666" s="423">
        <v>7.8126427405323884E-2</v>
      </c>
      <c r="F9666" s="423">
        <v>4.595383273152241E-3</v>
      </c>
      <c r="G9666" s="422">
        <v>233.51056465135031</v>
      </c>
      <c r="H9666" s="417" t="s">
        <v>2616</v>
      </c>
      <c r="I9666" s="417" t="s">
        <v>1392</v>
      </c>
      <c r="J9666" s="417" t="s">
        <v>20833</v>
      </c>
      <c r="K9666" s="417" t="s">
        <v>21774</v>
      </c>
      <c r="L9666" s="417"/>
      <c r="M9666" s="417" t="s">
        <v>28840</v>
      </c>
    </row>
    <row r="9667" spans="1:13" x14ac:dyDescent="0.25">
      <c r="A9667" s="417" t="s">
        <v>3385</v>
      </c>
      <c r="B9667" s="417" t="s">
        <v>2437</v>
      </c>
      <c r="C9667" s="417" t="s">
        <v>21775</v>
      </c>
      <c r="D9667" s="417" t="s">
        <v>3936</v>
      </c>
      <c r="E9667" s="423">
        <v>7.7001887663860388E-2</v>
      </c>
      <c r="F9667" s="423">
        <v>5.5196243576189769E-3</v>
      </c>
      <c r="G9667" s="422">
        <v>252.03662170111281</v>
      </c>
      <c r="H9667" s="417" t="s">
        <v>2616</v>
      </c>
      <c r="I9667" s="417" t="s">
        <v>1392</v>
      </c>
      <c r="J9667" s="417" t="s">
        <v>20833</v>
      </c>
      <c r="K9667" s="417" t="s">
        <v>21776</v>
      </c>
      <c r="L9667" s="417"/>
      <c r="M9667" s="417" t="s">
        <v>28840</v>
      </c>
    </row>
    <row r="9668" spans="1:13" x14ac:dyDescent="0.25">
      <c r="A9668" s="417" t="s">
        <v>3385</v>
      </c>
      <c r="B9668" s="417" t="s">
        <v>2437</v>
      </c>
      <c r="C9668" s="417" t="s">
        <v>21777</v>
      </c>
      <c r="D9668" s="417" t="s">
        <v>3936</v>
      </c>
      <c r="E9668" s="423">
        <v>7.0793667476219041E-2</v>
      </c>
      <c r="F9668" s="423">
        <v>4.4266175789553089E-3</v>
      </c>
      <c r="G9668" s="422">
        <v>222.31189424666471</v>
      </c>
      <c r="H9668" s="417" t="s">
        <v>2616</v>
      </c>
      <c r="I9668" s="417" t="s">
        <v>1392</v>
      </c>
      <c r="J9668" s="417" t="s">
        <v>20833</v>
      </c>
      <c r="K9668" s="417" t="s">
        <v>21778</v>
      </c>
      <c r="L9668" s="417"/>
      <c r="M9668" s="417" t="s">
        <v>28840</v>
      </c>
    </row>
    <row r="9669" spans="1:13" x14ac:dyDescent="0.25">
      <c r="A9669" s="417" t="s">
        <v>3385</v>
      </c>
      <c r="B9669" s="417" t="s">
        <v>2437</v>
      </c>
      <c r="C9669" s="417" t="s">
        <v>21779</v>
      </c>
      <c r="D9669" s="417" t="s">
        <v>3936</v>
      </c>
      <c r="E9669" s="423">
        <v>7.9436238745466944E-2</v>
      </c>
      <c r="F9669" s="423">
        <v>5.6456728410192144E-3</v>
      </c>
      <c r="G9669" s="422">
        <v>257.00491487393111</v>
      </c>
      <c r="H9669" s="417" t="s">
        <v>2616</v>
      </c>
      <c r="I9669" s="417" t="s">
        <v>1392</v>
      </c>
      <c r="J9669" s="417" t="s">
        <v>20833</v>
      </c>
      <c r="K9669" s="417" t="s">
        <v>21780</v>
      </c>
      <c r="L9669" s="417"/>
      <c r="M9669" s="417" t="s">
        <v>28840</v>
      </c>
    </row>
    <row r="9670" spans="1:13" x14ac:dyDescent="0.25">
      <c r="A9670" s="417" t="s">
        <v>3385</v>
      </c>
      <c r="B9670" s="417" t="s">
        <v>2437</v>
      </c>
      <c r="C9670" s="417" t="s">
        <v>21781</v>
      </c>
      <c r="D9670" s="417" t="s">
        <v>3936</v>
      </c>
      <c r="E9670" s="423">
        <v>7.3228018544833906E-2</v>
      </c>
      <c r="F9670" s="423">
        <v>4.5526660624406641E-3</v>
      </c>
      <c r="G9670" s="422">
        <v>227.28018704122991</v>
      </c>
      <c r="H9670" s="417" t="s">
        <v>2616</v>
      </c>
      <c r="I9670" s="417" t="s">
        <v>1392</v>
      </c>
      <c r="J9670" s="417" t="s">
        <v>20833</v>
      </c>
      <c r="K9670" s="417" t="s">
        <v>21782</v>
      </c>
      <c r="L9670" s="417"/>
      <c r="M9670" s="417" t="s">
        <v>28840</v>
      </c>
    </row>
    <row r="9671" spans="1:13" x14ac:dyDescent="0.25">
      <c r="A9671" s="417" t="s">
        <v>3385</v>
      </c>
      <c r="B9671" s="417" t="s">
        <v>2437</v>
      </c>
      <c r="C9671" s="417" t="s">
        <v>21783</v>
      </c>
      <c r="D9671" s="417" t="s">
        <v>3936</v>
      </c>
      <c r="E9671" s="423">
        <v>7.1820864242157029E-2</v>
      </c>
      <c r="F9671" s="423">
        <v>4.8450460027152599E-3</v>
      </c>
      <c r="G9671" s="422">
        <v>213.61219025805281</v>
      </c>
      <c r="H9671" s="417" t="s">
        <v>2616</v>
      </c>
      <c r="I9671" s="417" t="s">
        <v>1392</v>
      </c>
      <c r="J9671" s="417" t="s">
        <v>20833</v>
      </c>
      <c r="K9671" s="417" t="s">
        <v>21784</v>
      </c>
      <c r="L9671" s="417"/>
      <c r="M9671" s="417" t="s">
        <v>28840</v>
      </c>
    </row>
    <row r="9672" spans="1:13" x14ac:dyDescent="0.25">
      <c r="A9672" s="417" t="s">
        <v>3385</v>
      </c>
      <c r="B9672" s="417" t="s">
        <v>2437</v>
      </c>
      <c r="C9672" s="417" t="s">
        <v>21785</v>
      </c>
      <c r="D9672" s="417" t="s">
        <v>3936</v>
      </c>
      <c r="E9672" s="423">
        <v>6.7236839763502865E-2</v>
      </c>
      <c r="F9672" s="423">
        <v>4.0379918583325694E-3</v>
      </c>
      <c r="G9672" s="422">
        <v>191.66405153642921</v>
      </c>
      <c r="H9672" s="417" t="s">
        <v>2616</v>
      </c>
      <c r="I9672" s="417" t="s">
        <v>1392</v>
      </c>
      <c r="J9672" s="417" t="s">
        <v>20833</v>
      </c>
      <c r="K9672" s="417" t="s">
        <v>21786</v>
      </c>
      <c r="L9672" s="417"/>
      <c r="M9672" s="417" t="s">
        <v>28840</v>
      </c>
    </row>
    <row r="9673" spans="1:13" x14ac:dyDescent="0.25">
      <c r="A9673" s="417" t="s">
        <v>3385</v>
      </c>
      <c r="B9673" s="417" t="s">
        <v>2437</v>
      </c>
      <c r="C9673" s="417" t="s">
        <v>21787</v>
      </c>
      <c r="D9673" s="417" t="s">
        <v>3936</v>
      </c>
      <c r="E9673" s="423">
        <v>6.7612739423289103E-2</v>
      </c>
      <c r="F9673" s="423">
        <v>4.7453579095175797E-3</v>
      </c>
      <c r="G9673" s="422">
        <v>206.99487578697401</v>
      </c>
      <c r="H9673" s="417" t="s">
        <v>2616</v>
      </c>
      <c r="I9673" s="417" t="s">
        <v>1392</v>
      </c>
      <c r="J9673" s="417" t="s">
        <v>20833</v>
      </c>
      <c r="K9673" s="417" t="s">
        <v>21788</v>
      </c>
      <c r="L9673" s="417"/>
      <c r="M9673" s="417" t="s">
        <v>28840</v>
      </c>
    </row>
    <row r="9674" spans="1:13" x14ac:dyDescent="0.25">
      <c r="A9674" s="417" t="s">
        <v>3385</v>
      </c>
      <c r="B9674" s="417" t="s">
        <v>2437</v>
      </c>
      <c r="C9674" s="417" t="s">
        <v>21789</v>
      </c>
      <c r="D9674" s="417" t="s">
        <v>3936</v>
      </c>
      <c r="E9674" s="423">
        <v>6.3028714974971173E-2</v>
      </c>
      <c r="F9674" s="423">
        <v>3.9383037649843014E-3</v>
      </c>
      <c r="G9674" s="422">
        <v>185.04673766856129</v>
      </c>
      <c r="H9674" s="417" t="s">
        <v>2616</v>
      </c>
      <c r="I9674" s="417" t="s">
        <v>1392</v>
      </c>
      <c r="J9674" s="417" t="s">
        <v>20833</v>
      </c>
      <c r="K9674" s="417" t="s">
        <v>21790</v>
      </c>
      <c r="L9674" s="417"/>
      <c r="M9674" s="417" t="s">
        <v>28840</v>
      </c>
    </row>
    <row r="9675" spans="1:13" x14ac:dyDescent="0.25">
      <c r="A9675" s="417" t="s">
        <v>3385</v>
      </c>
      <c r="B9675" s="417" t="s">
        <v>2437</v>
      </c>
      <c r="C9675" s="417" t="s">
        <v>21791</v>
      </c>
      <c r="D9675" s="417" t="s">
        <v>3936</v>
      </c>
      <c r="E9675" s="423">
        <v>6.9112936971011563E-2</v>
      </c>
      <c r="F9675" s="423">
        <v>4.8213166855563556E-3</v>
      </c>
      <c r="G9675" s="422">
        <v>210.14674861459261</v>
      </c>
      <c r="H9675" s="417" t="s">
        <v>2616</v>
      </c>
      <c r="I9675" s="417" t="s">
        <v>1392</v>
      </c>
      <c r="J9675" s="417" t="s">
        <v>20833</v>
      </c>
      <c r="K9675" s="417" t="s">
        <v>21792</v>
      </c>
      <c r="L9675" s="417"/>
      <c r="M9675" s="417" t="s">
        <v>28840</v>
      </c>
    </row>
    <row r="9676" spans="1:13" x14ac:dyDescent="0.25">
      <c r="A9676" s="417" t="s">
        <v>3385</v>
      </c>
      <c r="B9676" s="417" t="s">
        <v>2437</v>
      </c>
      <c r="C9676" s="417" t="s">
        <v>21793</v>
      </c>
      <c r="D9676" s="417" t="s">
        <v>3936</v>
      </c>
      <c r="E9676" s="423">
        <v>6.452891249736363E-2</v>
      </c>
      <c r="F9676" s="423">
        <v>4.0142625413566498E-3</v>
      </c>
      <c r="G9676" s="422">
        <v>188.19860945942409</v>
      </c>
      <c r="H9676" s="417" t="s">
        <v>2616</v>
      </c>
      <c r="I9676" s="417" t="s">
        <v>1392</v>
      </c>
      <c r="J9676" s="417" t="s">
        <v>20833</v>
      </c>
      <c r="K9676" s="417" t="s">
        <v>21794</v>
      </c>
      <c r="L9676" s="417"/>
      <c r="M9676" s="417" t="s">
        <v>28840</v>
      </c>
    </row>
    <row r="9677" spans="1:13" x14ac:dyDescent="0.25">
      <c r="A9677" s="417" t="s">
        <v>3385</v>
      </c>
      <c r="B9677" s="417" t="s">
        <v>2437</v>
      </c>
      <c r="C9677" s="417" t="s">
        <v>21795</v>
      </c>
      <c r="D9677" s="417" t="s">
        <v>3936</v>
      </c>
      <c r="E9677" s="423">
        <v>0.232303989961236</v>
      </c>
      <c r="F9677" s="423">
        <v>1.0805635995326241E-2</v>
      </c>
      <c r="G9677" s="422">
        <v>398.7791092941406</v>
      </c>
      <c r="H9677" s="417" t="s">
        <v>2616</v>
      </c>
      <c r="I9677" s="417" t="s">
        <v>1392</v>
      </c>
      <c r="J9677" s="417" t="s">
        <v>20833</v>
      </c>
      <c r="K9677" s="417" t="s">
        <v>21796</v>
      </c>
      <c r="L9677" s="417"/>
      <c r="M9677" s="417" t="s">
        <v>28840</v>
      </c>
    </row>
    <row r="9678" spans="1:13" x14ac:dyDescent="0.25">
      <c r="A9678" s="417" t="s">
        <v>3385</v>
      </c>
      <c r="B9678" s="417" t="s">
        <v>2437</v>
      </c>
      <c r="C9678" s="417" t="s">
        <v>21797</v>
      </c>
      <c r="D9678" s="417" t="s">
        <v>3936</v>
      </c>
      <c r="E9678" s="423">
        <v>0.23082523766611321</v>
      </c>
      <c r="F9678" s="423">
        <v>1.073288029873181E-2</v>
      </c>
      <c r="G9678" s="422">
        <v>394.86280868727152</v>
      </c>
      <c r="H9678" s="417" t="s">
        <v>2616</v>
      </c>
      <c r="I9678" s="417" t="s">
        <v>1392</v>
      </c>
      <c r="J9678" s="417" t="s">
        <v>20833</v>
      </c>
      <c r="K9678" s="417" t="s">
        <v>21798</v>
      </c>
      <c r="L9678" s="417"/>
      <c r="M9678" s="417" t="s">
        <v>28840</v>
      </c>
    </row>
    <row r="9679" spans="1:13" x14ac:dyDescent="0.25">
      <c r="A9679" s="417" t="s">
        <v>3385</v>
      </c>
      <c r="B9679" s="417" t="s">
        <v>2437</v>
      </c>
      <c r="C9679" s="417" t="s">
        <v>21799</v>
      </c>
      <c r="D9679" s="417" t="s">
        <v>3936</v>
      </c>
      <c r="E9679" s="423">
        <v>0.2287783489470995</v>
      </c>
      <c r="F9679" s="423">
        <v>1.064352650230598E-2</v>
      </c>
      <c r="G9679" s="422">
        <v>391.75199598992981</v>
      </c>
      <c r="H9679" s="417" t="s">
        <v>2616</v>
      </c>
      <c r="I9679" s="417" t="s">
        <v>1392</v>
      </c>
      <c r="J9679" s="417" t="s">
        <v>20833</v>
      </c>
      <c r="K9679" s="417" t="s">
        <v>21800</v>
      </c>
      <c r="L9679" s="417"/>
      <c r="M9679" s="417" t="s">
        <v>28840</v>
      </c>
    </row>
    <row r="9680" spans="1:13" x14ac:dyDescent="0.25">
      <c r="A9680" s="417" t="s">
        <v>3385</v>
      </c>
      <c r="B9680" s="417" t="s">
        <v>2437</v>
      </c>
      <c r="C9680" s="417" t="s">
        <v>21801</v>
      </c>
      <c r="D9680" s="417" t="s">
        <v>3936</v>
      </c>
      <c r="E9680" s="423">
        <v>0.17603961487452041</v>
      </c>
      <c r="F9680" s="423">
        <v>8.4920313486910332E-3</v>
      </c>
      <c r="G9680" s="422">
        <v>318.52616934569801</v>
      </c>
      <c r="H9680" s="417" t="s">
        <v>2616</v>
      </c>
      <c r="I9680" s="417" t="s">
        <v>1392</v>
      </c>
      <c r="J9680" s="417" t="s">
        <v>20833</v>
      </c>
      <c r="K9680" s="417" t="s">
        <v>21802</v>
      </c>
      <c r="L9680" s="417"/>
      <c r="M9680" s="417" t="s">
        <v>28840</v>
      </c>
    </row>
    <row r="9681" spans="1:13" x14ac:dyDescent="0.25">
      <c r="A9681" s="417" t="s">
        <v>3385</v>
      </c>
      <c r="B9681" s="417" t="s">
        <v>2437</v>
      </c>
      <c r="C9681" s="417" t="s">
        <v>21803</v>
      </c>
      <c r="D9681" s="417" t="s">
        <v>3936</v>
      </c>
      <c r="E9681" s="423">
        <v>0.1750173954712464</v>
      </c>
      <c r="F9681" s="423">
        <v>8.4377602889964317E-3</v>
      </c>
      <c r="G9681" s="422">
        <v>315.70032861882169</v>
      </c>
      <c r="H9681" s="417" t="s">
        <v>2616</v>
      </c>
      <c r="I9681" s="417" t="s">
        <v>1392</v>
      </c>
      <c r="J9681" s="417" t="s">
        <v>20833</v>
      </c>
      <c r="K9681" s="417" t="s">
        <v>21804</v>
      </c>
      <c r="L9681" s="417"/>
      <c r="M9681" s="417" t="s">
        <v>28840</v>
      </c>
    </row>
    <row r="9682" spans="1:13" x14ac:dyDescent="0.25">
      <c r="A9682" s="417" t="s">
        <v>3385</v>
      </c>
      <c r="B9682" s="417" t="s">
        <v>2437</v>
      </c>
      <c r="C9682" s="417" t="s">
        <v>21805</v>
      </c>
      <c r="D9682" s="417" t="s">
        <v>3936</v>
      </c>
      <c r="E9682" s="423">
        <v>0.17336771408151391</v>
      </c>
      <c r="F9682" s="423">
        <v>8.3659178868546562E-3</v>
      </c>
      <c r="G9682" s="422">
        <v>313.1749297396791</v>
      </c>
      <c r="H9682" s="417" t="s">
        <v>2616</v>
      </c>
      <c r="I9682" s="417" t="s">
        <v>1392</v>
      </c>
      <c r="J9682" s="417" t="s">
        <v>20833</v>
      </c>
      <c r="K9682" s="417" t="s">
        <v>21806</v>
      </c>
      <c r="L9682" s="417"/>
      <c r="M9682" s="417" t="s">
        <v>28840</v>
      </c>
    </row>
    <row r="9683" spans="1:13" x14ac:dyDescent="0.25">
      <c r="A9683" s="417" t="s">
        <v>3385</v>
      </c>
      <c r="B9683" s="417" t="s">
        <v>2437</v>
      </c>
      <c r="C9683" s="417" t="s">
        <v>21807</v>
      </c>
      <c r="D9683" s="417" t="s">
        <v>3936</v>
      </c>
      <c r="E9683" s="423">
        <v>0.18407343458916919</v>
      </c>
      <c r="F9683" s="423">
        <v>8.7610498255499686E-3</v>
      </c>
      <c r="G9683" s="422">
        <v>379.00477007854778</v>
      </c>
      <c r="H9683" s="417" t="s">
        <v>2616</v>
      </c>
      <c r="I9683" s="417" t="s">
        <v>28986</v>
      </c>
      <c r="J9683" s="417" t="s">
        <v>20833</v>
      </c>
      <c r="K9683" s="417" t="s">
        <v>21808</v>
      </c>
      <c r="L9683" s="417"/>
      <c r="M9683" s="417" t="s">
        <v>28840</v>
      </c>
    </row>
    <row r="9684" spans="1:13" x14ac:dyDescent="0.25">
      <c r="A9684" s="417" t="s">
        <v>3385</v>
      </c>
      <c r="B9684" s="417" t="s">
        <v>2437</v>
      </c>
      <c r="C9684" s="417" t="s">
        <v>21809</v>
      </c>
      <c r="D9684" s="417" t="s">
        <v>3936</v>
      </c>
      <c r="E9684" s="423">
        <v>0.13682196242476019</v>
      </c>
      <c r="F9684" s="423">
        <v>6.6799414880980368E-3</v>
      </c>
      <c r="G9684" s="422">
        <v>274.03455252332128</v>
      </c>
      <c r="H9684" s="417" t="s">
        <v>2616</v>
      </c>
      <c r="I9684" s="417" t="s">
        <v>1392</v>
      </c>
      <c r="J9684" s="417" t="s">
        <v>20833</v>
      </c>
      <c r="K9684" s="417" t="s">
        <v>21810</v>
      </c>
      <c r="L9684" s="417"/>
      <c r="M9684" s="417" t="s">
        <v>28840</v>
      </c>
    </row>
    <row r="9685" spans="1:13" x14ac:dyDescent="0.25">
      <c r="A9685" s="417" t="s">
        <v>3385</v>
      </c>
      <c r="B9685" s="417" t="s">
        <v>2437</v>
      </c>
      <c r="C9685" s="417" t="s">
        <v>21811</v>
      </c>
      <c r="D9685" s="417" t="s">
        <v>3936</v>
      </c>
      <c r="E9685" s="423">
        <v>0.13581666123978481</v>
      </c>
      <c r="F9685" s="423">
        <v>6.6250248685723436E-3</v>
      </c>
      <c r="G9685" s="422">
        <v>271.08469951669622</v>
      </c>
      <c r="H9685" s="417" t="s">
        <v>2616</v>
      </c>
      <c r="I9685" s="417" t="s">
        <v>1392</v>
      </c>
      <c r="J9685" s="417" t="s">
        <v>20833</v>
      </c>
      <c r="K9685" s="417" t="s">
        <v>21812</v>
      </c>
      <c r="L9685" s="417"/>
      <c r="M9685" s="417" t="s">
        <v>28840</v>
      </c>
    </row>
    <row r="9686" spans="1:13" x14ac:dyDescent="0.25">
      <c r="A9686" s="417" t="s">
        <v>3385</v>
      </c>
      <c r="B9686" s="417" t="s">
        <v>2437</v>
      </c>
      <c r="C9686" s="417" t="s">
        <v>21813</v>
      </c>
      <c r="D9686" s="417" t="s">
        <v>3936</v>
      </c>
      <c r="E9686" s="423">
        <v>0.13495829689056291</v>
      </c>
      <c r="F9686" s="423">
        <v>6.5885771900928191E-3</v>
      </c>
      <c r="G9686" s="422">
        <v>268.89726056568168</v>
      </c>
      <c r="H9686" s="417" t="s">
        <v>2616</v>
      </c>
      <c r="I9686" s="417" t="s">
        <v>1392</v>
      </c>
      <c r="J9686" s="417" t="s">
        <v>20833</v>
      </c>
      <c r="K9686" s="417" t="s">
        <v>21814</v>
      </c>
      <c r="L9686" s="417"/>
      <c r="M9686" s="417" t="s">
        <v>28840</v>
      </c>
    </row>
    <row r="9687" spans="1:13" x14ac:dyDescent="0.25">
      <c r="A9687" s="417" t="s">
        <v>3385</v>
      </c>
      <c r="B9687" s="417" t="s">
        <v>2437</v>
      </c>
      <c r="C9687" s="417" t="s">
        <v>21815</v>
      </c>
      <c r="D9687" s="417" t="s">
        <v>397</v>
      </c>
      <c r="E9687" s="423">
        <v>1.378436618930619</v>
      </c>
      <c r="F9687" s="423">
        <v>3.3231473245752152E-2</v>
      </c>
      <c r="G9687" s="422">
        <v>2135.9444245893151</v>
      </c>
      <c r="H9687" s="417" t="s">
        <v>2616</v>
      </c>
      <c r="I9687" s="417" t="s">
        <v>1392</v>
      </c>
      <c r="J9687" s="417" t="s">
        <v>4342</v>
      </c>
      <c r="K9687" s="417" t="s">
        <v>21816</v>
      </c>
      <c r="L9687" s="417"/>
      <c r="M9687" s="417" t="s">
        <v>28840</v>
      </c>
    </row>
    <row r="9688" spans="1:13" x14ac:dyDescent="0.25">
      <c r="A9688" s="417" t="s">
        <v>3385</v>
      </c>
      <c r="B9688" s="417" t="s">
        <v>2437</v>
      </c>
      <c r="C9688" s="417" t="s">
        <v>21817</v>
      </c>
      <c r="D9688" s="417" t="s">
        <v>397</v>
      </c>
      <c r="E9688" s="423">
        <v>5.3513067524854449E-2</v>
      </c>
      <c r="F9688" s="423">
        <v>1.3199943888912621E-4</v>
      </c>
      <c r="G9688" s="422">
        <v>70.362821232743215</v>
      </c>
      <c r="H9688" s="417" t="s">
        <v>2616</v>
      </c>
      <c r="I9688" s="417" t="s">
        <v>1392</v>
      </c>
      <c r="J9688" s="417" t="s">
        <v>21818</v>
      </c>
      <c r="K9688" s="417" t="s">
        <v>21819</v>
      </c>
      <c r="L9688" s="417"/>
      <c r="M9688" s="417" t="s">
        <v>28840</v>
      </c>
    </row>
    <row r="9689" spans="1:13" x14ac:dyDescent="0.25">
      <c r="A9689" s="417" t="s">
        <v>3385</v>
      </c>
      <c r="B9689" s="417" t="s">
        <v>2437</v>
      </c>
      <c r="C9689" s="417" t="s">
        <v>21820</v>
      </c>
      <c r="D9689" s="417" t="s">
        <v>397</v>
      </c>
      <c r="E9689" s="423">
        <v>0.115491610230168</v>
      </c>
      <c r="F9689" s="423">
        <v>1.3233229373051119E-4</v>
      </c>
      <c r="G9689" s="422">
        <v>136.687362518481</v>
      </c>
      <c r="H9689" s="417" t="s">
        <v>2616</v>
      </c>
      <c r="I9689" s="417" t="s">
        <v>1392</v>
      </c>
      <c r="J9689" s="417" t="s">
        <v>21818</v>
      </c>
      <c r="K9689" s="417" t="s">
        <v>21821</v>
      </c>
      <c r="L9689" s="417"/>
      <c r="M9689" s="417" t="s">
        <v>28840</v>
      </c>
    </row>
    <row r="9690" spans="1:13" x14ac:dyDescent="0.25">
      <c r="A9690" s="417" t="s">
        <v>3385</v>
      </c>
      <c r="B9690" s="417" t="s">
        <v>2437</v>
      </c>
      <c r="C9690" s="417" t="s">
        <v>21822</v>
      </c>
      <c r="D9690" s="417" t="s">
        <v>397</v>
      </c>
      <c r="E9690" s="423">
        <v>3.0546406038857679E-2</v>
      </c>
      <c r="F9690" s="423">
        <v>1.4313280700869159E-4</v>
      </c>
      <c r="G9690" s="422">
        <v>39.202782230815103</v>
      </c>
      <c r="H9690" s="417" t="s">
        <v>2616</v>
      </c>
      <c r="I9690" s="417" t="s">
        <v>1392</v>
      </c>
      <c r="J9690" s="417" t="s">
        <v>21818</v>
      </c>
      <c r="K9690" s="417" t="s">
        <v>21823</v>
      </c>
      <c r="L9690" s="417"/>
      <c r="M9690" s="417" t="s">
        <v>28840</v>
      </c>
    </row>
    <row r="9691" spans="1:13" x14ac:dyDescent="0.25">
      <c r="A9691" s="417" t="s">
        <v>3385</v>
      </c>
      <c r="B9691" s="417" t="s">
        <v>2437</v>
      </c>
      <c r="C9691" s="417" t="s">
        <v>21824</v>
      </c>
      <c r="D9691" s="417" t="s">
        <v>397</v>
      </c>
      <c r="E9691" s="423">
        <v>0.1144717083806801</v>
      </c>
      <c r="F9691" s="423">
        <v>2.0638268331264561E-4</v>
      </c>
      <c r="G9691" s="422">
        <v>143.7924167202705</v>
      </c>
      <c r="H9691" s="417" t="s">
        <v>2616</v>
      </c>
      <c r="I9691" s="417" t="s">
        <v>1392</v>
      </c>
      <c r="J9691" s="417" t="s">
        <v>21818</v>
      </c>
      <c r="K9691" s="417" t="s">
        <v>21825</v>
      </c>
      <c r="L9691" s="417"/>
      <c r="M9691" s="417" t="s">
        <v>28840</v>
      </c>
    </row>
    <row r="9692" spans="1:13" x14ac:dyDescent="0.25">
      <c r="A9692" s="417" t="s">
        <v>3385</v>
      </c>
      <c r="B9692" s="417" t="s">
        <v>2437</v>
      </c>
      <c r="C9692" s="417" t="s">
        <v>21826</v>
      </c>
      <c r="D9692" s="417" t="s">
        <v>397</v>
      </c>
      <c r="E9692" s="423">
        <v>0.1126233543172319</v>
      </c>
      <c r="F9692" s="423">
        <v>1.201357592821365E-4</v>
      </c>
      <c r="G9692" s="422">
        <v>133.6585740662361</v>
      </c>
      <c r="H9692" s="417" t="s">
        <v>2616</v>
      </c>
      <c r="I9692" s="417" t="s">
        <v>1392</v>
      </c>
      <c r="J9692" s="417" t="s">
        <v>21818</v>
      </c>
      <c r="K9692" s="417" t="s">
        <v>21827</v>
      </c>
      <c r="L9692" s="417"/>
      <c r="M9692" s="417" t="s">
        <v>28840</v>
      </c>
    </row>
    <row r="9693" spans="1:13" x14ac:dyDescent="0.25">
      <c r="A9693" s="417" t="s">
        <v>3385</v>
      </c>
      <c r="B9693" s="417" t="s">
        <v>2437</v>
      </c>
      <c r="C9693" s="417" t="s">
        <v>21828</v>
      </c>
      <c r="D9693" s="417" t="s">
        <v>397</v>
      </c>
      <c r="E9693" s="423">
        <v>2.6610394790266521E-2</v>
      </c>
      <c r="F9693" s="423">
        <v>1.407157555529296E-4</v>
      </c>
      <c r="G9693" s="422">
        <v>35.693866564481567</v>
      </c>
      <c r="H9693" s="417" t="s">
        <v>2616</v>
      </c>
      <c r="I9693" s="417" t="s">
        <v>1392</v>
      </c>
      <c r="J9693" s="417" t="s">
        <v>21818</v>
      </c>
      <c r="K9693" s="417" t="s">
        <v>21829</v>
      </c>
      <c r="L9693" s="417"/>
      <c r="M9693" s="417" t="s">
        <v>28840</v>
      </c>
    </row>
    <row r="9694" spans="1:13" x14ac:dyDescent="0.25">
      <c r="A9694" s="417" t="s">
        <v>3385</v>
      </c>
      <c r="B9694" s="417" t="s">
        <v>2437</v>
      </c>
      <c r="C9694" s="417" t="s">
        <v>21830</v>
      </c>
      <c r="D9694" s="417" t="s">
        <v>397</v>
      </c>
      <c r="E9694" s="423">
        <v>0.1148321228710739</v>
      </c>
      <c r="F9694" s="423">
        <v>1.312816461608532E-4</v>
      </c>
      <c r="G9694" s="422">
        <v>135.87817690838779</v>
      </c>
      <c r="H9694" s="417" t="s">
        <v>2616</v>
      </c>
      <c r="I9694" s="417" t="s">
        <v>1392</v>
      </c>
      <c r="J9694" s="417" t="s">
        <v>21818</v>
      </c>
      <c r="K9694" s="417" t="s">
        <v>21831</v>
      </c>
      <c r="L9694" s="417"/>
      <c r="M9694" s="417" t="s">
        <v>28840</v>
      </c>
    </row>
    <row r="9695" spans="1:13" x14ac:dyDescent="0.25">
      <c r="A9695" s="417" t="s">
        <v>3385</v>
      </c>
      <c r="B9695" s="417" t="s">
        <v>2437</v>
      </c>
      <c r="C9695" s="417" t="s">
        <v>21832</v>
      </c>
      <c r="D9695" s="417" t="s">
        <v>397</v>
      </c>
      <c r="E9695" s="423">
        <v>0.1125782168750601</v>
      </c>
      <c r="F9695" s="423">
        <v>1.4670370222960241E-4</v>
      </c>
      <c r="G9695" s="422">
        <v>133.9781798685178</v>
      </c>
      <c r="H9695" s="417" t="s">
        <v>2616</v>
      </c>
      <c r="I9695" s="417" t="s">
        <v>1392</v>
      </c>
      <c r="J9695" s="417" t="s">
        <v>21818</v>
      </c>
      <c r="K9695" s="417" t="s">
        <v>21833</v>
      </c>
      <c r="L9695" s="417"/>
      <c r="M9695" s="417" t="s">
        <v>28840</v>
      </c>
    </row>
    <row r="9696" spans="1:13" x14ac:dyDescent="0.25">
      <c r="A9696" s="417" t="s">
        <v>3385</v>
      </c>
      <c r="B9696" s="417" t="s">
        <v>2437</v>
      </c>
      <c r="C9696" s="417" t="s">
        <v>21834</v>
      </c>
      <c r="D9696" s="417" t="s">
        <v>397</v>
      </c>
      <c r="E9696" s="423">
        <v>0.1142129682525696</v>
      </c>
      <c r="F9696" s="423">
        <v>1.3029494860905679E-4</v>
      </c>
      <c r="G9696" s="422">
        <v>135.27137882960659</v>
      </c>
      <c r="H9696" s="417" t="s">
        <v>2616</v>
      </c>
      <c r="I9696" s="417" t="s">
        <v>1392</v>
      </c>
      <c r="J9696" s="417" t="s">
        <v>21835</v>
      </c>
      <c r="K9696" s="417" t="s">
        <v>21836</v>
      </c>
      <c r="L9696" s="417"/>
      <c r="M9696" s="417" t="s">
        <v>28840</v>
      </c>
    </row>
    <row r="9697" spans="1:13" x14ac:dyDescent="0.25">
      <c r="A9697" s="417" t="s">
        <v>3385</v>
      </c>
      <c r="B9697" s="417" t="s">
        <v>2437</v>
      </c>
      <c r="C9697" s="417" t="s">
        <v>21837</v>
      </c>
      <c r="D9697" s="417" t="s">
        <v>397</v>
      </c>
      <c r="E9697" s="423">
        <v>3.2581147787100709E-2</v>
      </c>
      <c r="F9697" s="423">
        <v>1.8531242939523511E-4</v>
      </c>
      <c r="G9697" s="422">
        <v>42.213749255362977</v>
      </c>
      <c r="H9697" s="417" t="s">
        <v>2616</v>
      </c>
      <c r="I9697" s="417" t="s">
        <v>1392</v>
      </c>
      <c r="J9697" s="417" t="s">
        <v>21818</v>
      </c>
      <c r="K9697" s="417" t="s">
        <v>21838</v>
      </c>
      <c r="L9697" s="417"/>
      <c r="M9697" s="417" t="s">
        <v>28840</v>
      </c>
    </row>
    <row r="9698" spans="1:13" x14ac:dyDescent="0.25">
      <c r="A9698" s="417" t="s">
        <v>3385</v>
      </c>
      <c r="B9698" s="417" t="s">
        <v>2437</v>
      </c>
      <c r="C9698" s="417" t="s">
        <v>21839</v>
      </c>
      <c r="D9698" s="417" t="s">
        <v>397</v>
      </c>
      <c r="E9698" s="423">
        <v>2.8692421115294062E-2</v>
      </c>
      <c r="F9698" s="423">
        <v>9.7264137986076364E-5</v>
      </c>
      <c r="G9698" s="422">
        <v>36.470956856503122</v>
      </c>
      <c r="H9698" s="417" t="s">
        <v>2616</v>
      </c>
      <c r="I9698" s="417" t="s">
        <v>1392</v>
      </c>
      <c r="J9698" s="417" t="s">
        <v>21818</v>
      </c>
      <c r="K9698" s="417" t="s">
        <v>21840</v>
      </c>
      <c r="L9698" s="417"/>
      <c r="M9698" s="417" t="s">
        <v>28840</v>
      </c>
    </row>
    <row r="9699" spans="1:13" x14ac:dyDescent="0.25">
      <c r="A9699" s="417" t="s">
        <v>3385</v>
      </c>
      <c r="B9699" s="417" t="s">
        <v>2437</v>
      </c>
      <c r="C9699" s="417" t="s">
        <v>21841</v>
      </c>
      <c r="D9699" s="417" t="s">
        <v>397</v>
      </c>
      <c r="E9699" s="423">
        <v>0.10892646324037469</v>
      </c>
      <c r="F9699" s="423">
        <v>1.2767135204782201E-4</v>
      </c>
      <c r="G9699" s="422">
        <v>128.7046943493404</v>
      </c>
      <c r="H9699" s="417" t="s">
        <v>2616</v>
      </c>
      <c r="I9699" s="417" t="s">
        <v>1392</v>
      </c>
      <c r="J9699" s="417" t="s">
        <v>21818</v>
      </c>
      <c r="K9699" s="417" t="s">
        <v>21842</v>
      </c>
      <c r="L9699" s="417"/>
      <c r="M9699" s="417" t="s">
        <v>28840</v>
      </c>
    </row>
    <row r="9700" spans="1:13" x14ac:dyDescent="0.25">
      <c r="A9700" s="417" t="s">
        <v>3385</v>
      </c>
      <c r="B9700" s="417" t="s">
        <v>2437</v>
      </c>
      <c r="C9700" s="417" t="s">
        <v>21843</v>
      </c>
      <c r="D9700" s="417" t="s">
        <v>397</v>
      </c>
      <c r="E9700" s="423">
        <v>0.1138715620462272</v>
      </c>
      <c r="F9700" s="423">
        <v>1.578626546857588E-4</v>
      </c>
      <c r="G9700" s="422">
        <v>135.25608989623251</v>
      </c>
      <c r="H9700" s="417" t="s">
        <v>2616</v>
      </c>
      <c r="I9700" s="417" t="s">
        <v>1392</v>
      </c>
      <c r="J9700" s="417" t="s">
        <v>21818</v>
      </c>
      <c r="K9700" s="417" t="s">
        <v>21844</v>
      </c>
      <c r="L9700" s="417"/>
      <c r="M9700" s="417" t="s">
        <v>28840</v>
      </c>
    </row>
    <row r="9701" spans="1:13" x14ac:dyDescent="0.25">
      <c r="A9701" s="417" t="s">
        <v>3385</v>
      </c>
      <c r="B9701" s="417" t="s">
        <v>2437</v>
      </c>
      <c r="C9701" s="417" t="s">
        <v>21845</v>
      </c>
      <c r="D9701" s="417" t="s">
        <v>397</v>
      </c>
      <c r="E9701" s="423">
        <v>2.4427387931797481E-2</v>
      </c>
      <c r="F9701" s="423">
        <v>9.8565137383070011E-5</v>
      </c>
      <c r="G9701" s="422">
        <v>32.746086086120251</v>
      </c>
      <c r="H9701" s="417" t="s">
        <v>2616</v>
      </c>
      <c r="I9701" s="417" t="s">
        <v>1392</v>
      </c>
      <c r="J9701" s="417" t="s">
        <v>21818</v>
      </c>
      <c r="K9701" s="417" t="s">
        <v>21846</v>
      </c>
      <c r="L9701" s="417"/>
      <c r="M9701" s="417" t="s">
        <v>28840</v>
      </c>
    </row>
    <row r="9702" spans="1:13" x14ac:dyDescent="0.25">
      <c r="A9702" s="417" t="s">
        <v>3385</v>
      </c>
      <c r="B9702" s="417" t="s">
        <v>2437</v>
      </c>
      <c r="C9702" s="417" t="s">
        <v>21847</v>
      </c>
      <c r="D9702" s="417" t="s">
        <v>397</v>
      </c>
      <c r="E9702" s="423">
        <v>3.090505695878519E-2</v>
      </c>
      <c r="F9702" s="423">
        <v>1.2368139143435541E-4</v>
      </c>
      <c r="G9702" s="422">
        <v>39.724075125916357</v>
      </c>
      <c r="H9702" s="417" t="s">
        <v>2616</v>
      </c>
      <c r="I9702" s="417" t="s">
        <v>1392</v>
      </c>
      <c r="J9702" s="417" t="s">
        <v>21818</v>
      </c>
      <c r="K9702" s="417" t="s">
        <v>21848</v>
      </c>
      <c r="L9702" s="417"/>
      <c r="M9702" s="417" t="s">
        <v>28840</v>
      </c>
    </row>
    <row r="9703" spans="1:13" x14ac:dyDescent="0.25">
      <c r="A9703" s="417" t="s">
        <v>3385</v>
      </c>
      <c r="B9703" s="417" t="s">
        <v>2437</v>
      </c>
      <c r="C9703" s="417" t="s">
        <v>21849</v>
      </c>
      <c r="D9703" s="417" t="s">
        <v>397</v>
      </c>
      <c r="E9703" s="423">
        <v>0.1100612860658999</v>
      </c>
      <c r="F9703" s="423">
        <v>1.5459873731071559E-4</v>
      </c>
      <c r="G9703" s="422">
        <v>130.6695040930808</v>
      </c>
      <c r="H9703" s="417" t="s">
        <v>2616</v>
      </c>
      <c r="I9703" s="417" t="s">
        <v>1392</v>
      </c>
      <c r="J9703" s="417" t="s">
        <v>21818</v>
      </c>
      <c r="K9703" s="417" t="s">
        <v>21850</v>
      </c>
      <c r="L9703" s="417"/>
      <c r="M9703" s="417" t="s">
        <v>28840</v>
      </c>
    </row>
    <row r="9704" spans="1:13" x14ac:dyDescent="0.25">
      <c r="A9704" s="417" t="s">
        <v>3385</v>
      </c>
      <c r="B9704" s="417" t="s">
        <v>2437</v>
      </c>
      <c r="C9704" s="417" t="s">
        <v>21851</v>
      </c>
      <c r="D9704" s="417" t="s">
        <v>397</v>
      </c>
      <c r="E9704" s="423">
        <v>1.309450083111398E-3</v>
      </c>
      <c r="F9704" s="423">
        <v>3.4103645377127229E-9</v>
      </c>
      <c r="G9704" s="422">
        <v>1.245036407845284</v>
      </c>
      <c r="H9704" s="417" t="s">
        <v>2616</v>
      </c>
      <c r="I9704" s="417" t="s">
        <v>1392</v>
      </c>
      <c r="J9704" s="417" t="s">
        <v>21818</v>
      </c>
      <c r="K9704" s="417" t="s">
        <v>21852</v>
      </c>
      <c r="L9704" s="417"/>
      <c r="M9704" s="417" t="s">
        <v>28840</v>
      </c>
    </row>
    <row r="9705" spans="1:13" x14ac:dyDescent="0.25">
      <c r="A9705" s="417" t="s">
        <v>3385</v>
      </c>
      <c r="B9705" s="417" t="s">
        <v>2437</v>
      </c>
      <c r="C9705" s="417" t="s">
        <v>21853</v>
      </c>
      <c r="D9705" s="417" t="s">
        <v>397</v>
      </c>
      <c r="E9705" s="423">
        <v>0.1151413183546366</v>
      </c>
      <c r="F9705" s="423">
        <v>1.8046345856373661E-4</v>
      </c>
      <c r="G9705" s="422">
        <v>136.30895536503729</v>
      </c>
      <c r="H9705" s="417" t="s">
        <v>2616</v>
      </c>
      <c r="I9705" s="417" t="s">
        <v>1392</v>
      </c>
      <c r="J9705" s="417" t="s">
        <v>21818</v>
      </c>
      <c r="K9705" s="417" t="s">
        <v>21854</v>
      </c>
      <c r="L9705" s="417"/>
      <c r="M9705" s="417" t="s">
        <v>28840</v>
      </c>
    </row>
    <row r="9706" spans="1:13" x14ac:dyDescent="0.25">
      <c r="A9706" s="417" t="s">
        <v>3385</v>
      </c>
      <c r="B9706" s="417" t="s">
        <v>2437</v>
      </c>
      <c r="C9706" s="417" t="s">
        <v>21855</v>
      </c>
      <c r="D9706" s="417" t="s">
        <v>397</v>
      </c>
      <c r="E9706" s="423">
        <v>0.110484599464896</v>
      </c>
      <c r="F9706" s="423">
        <v>1.6223589980552411E-4</v>
      </c>
      <c r="G9706" s="422">
        <v>134.3480771043215</v>
      </c>
      <c r="H9706" s="417" t="s">
        <v>2616</v>
      </c>
      <c r="I9706" s="417" t="s">
        <v>1392</v>
      </c>
      <c r="J9706" s="417" t="s">
        <v>21818</v>
      </c>
      <c r="K9706" s="417" t="s">
        <v>21856</v>
      </c>
      <c r="L9706" s="417"/>
      <c r="M9706" s="417" t="s">
        <v>28840</v>
      </c>
    </row>
    <row r="9707" spans="1:13" x14ac:dyDescent="0.25">
      <c r="A9707" s="417" t="s">
        <v>3385</v>
      </c>
      <c r="B9707" s="417" t="s">
        <v>2437</v>
      </c>
      <c r="C9707" s="417" t="s">
        <v>21857</v>
      </c>
      <c r="D9707" s="417" t="s">
        <v>397</v>
      </c>
      <c r="E9707" s="423">
        <v>0.1101088289148026</v>
      </c>
      <c r="F9707" s="423">
        <v>1.4883759834780251E-4</v>
      </c>
      <c r="G9707" s="422">
        <v>130.1061683421498</v>
      </c>
      <c r="H9707" s="417" t="s">
        <v>2616</v>
      </c>
      <c r="I9707" s="417" t="s">
        <v>1392</v>
      </c>
      <c r="J9707" s="417" t="s">
        <v>21818</v>
      </c>
      <c r="K9707" s="417" t="s">
        <v>21858</v>
      </c>
      <c r="L9707" s="417"/>
      <c r="M9707" s="417" t="s">
        <v>28840</v>
      </c>
    </row>
    <row r="9708" spans="1:13" x14ac:dyDescent="0.25">
      <c r="A9708" s="417" t="s">
        <v>3385</v>
      </c>
      <c r="B9708" s="417" t="s">
        <v>2437</v>
      </c>
      <c r="C9708" s="417" t="s">
        <v>21859</v>
      </c>
      <c r="D9708" s="417" t="s">
        <v>397</v>
      </c>
      <c r="E9708" s="423">
        <v>0.11266405483805331</v>
      </c>
      <c r="F9708" s="423">
        <v>1.5708827915778331E-4</v>
      </c>
      <c r="G9708" s="422">
        <v>132.9850920667395</v>
      </c>
      <c r="H9708" s="417" t="s">
        <v>2616</v>
      </c>
      <c r="I9708" s="417" t="s">
        <v>1392</v>
      </c>
      <c r="J9708" s="417" t="s">
        <v>21818</v>
      </c>
      <c r="K9708" s="417" t="s">
        <v>21860</v>
      </c>
      <c r="L9708" s="417"/>
      <c r="M9708" s="417" t="s">
        <v>28840</v>
      </c>
    </row>
    <row r="9709" spans="1:13" x14ac:dyDescent="0.25">
      <c r="A9709" s="417" t="s">
        <v>3385</v>
      </c>
      <c r="B9709" s="417" t="s">
        <v>2437</v>
      </c>
      <c r="C9709" s="417" t="s">
        <v>21861</v>
      </c>
      <c r="D9709" s="417" t="s">
        <v>397</v>
      </c>
      <c r="E9709" s="423">
        <v>0.11337779449166541</v>
      </c>
      <c r="F9709" s="423">
        <v>1.703505887675724E-4</v>
      </c>
      <c r="G9709" s="422">
        <v>134.04921158552671</v>
      </c>
      <c r="H9709" s="417" t="s">
        <v>2616</v>
      </c>
      <c r="I9709" s="417" t="s">
        <v>1392</v>
      </c>
      <c r="J9709" s="417" t="s">
        <v>21818</v>
      </c>
      <c r="K9709" s="417" t="s">
        <v>21862</v>
      </c>
      <c r="L9709" s="417"/>
      <c r="M9709" s="417" t="s">
        <v>28840</v>
      </c>
    </row>
    <row r="9710" spans="1:13" x14ac:dyDescent="0.25">
      <c r="A9710" s="417" t="s">
        <v>3385</v>
      </c>
      <c r="B9710" s="417" t="s">
        <v>2437</v>
      </c>
      <c r="C9710" s="417" t="s">
        <v>21863</v>
      </c>
      <c r="D9710" s="417" t="s">
        <v>397</v>
      </c>
      <c r="E9710" s="423">
        <v>3.1069528075762371E-2</v>
      </c>
      <c r="F9710" s="423">
        <v>1.353288444278193E-4</v>
      </c>
      <c r="G9710" s="422">
        <v>40.199598062225697</v>
      </c>
      <c r="H9710" s="417" t="s">
        <v>2616</v>
      </c>
      <c r="I9710" s="417" t="s">
        <v>1392</v>
      </c>
      <c r="J9710" s="417" t="s">
        <v>21818</v>
      </c>
      <c r="K9710" s="417" t="s">
        <v>21864</v>
      </c>
      <c r="L9710" s="417"/>
      <c r="M9710" s="417" t="s">
        <v>28840</v>
      </c>
    </row>
    <row r="9711" spans="1:13" x14ac:dyDescent="0.25">
      <c r="A9711" s="417" t="s">
        <v>3385</v>
      </c>
      <c r="B9711" s="417" t="s">
        <v>2437</v>
      </c>
      <c r="C9711" s="417" t="s">
        <v>21865</v>
      </c>
      <c r="D9711" s="417" t="s">
        <v>397</v>
      </c>
      <c r="E9711" s="423">
        <v>0.1179757458171173</v>
      </c>
      <c r="F9711" s="423">
        <v>2.7189156826169558E-4</v>
      </c>
      <c r="G9711" s="422">
        <v>149.47626631321219</v>
      </c>
      <c r="H9711" s="417" t="s">
        <v>2616</v>
      </c>
      <c r="I9711" s="417" t="s">
        <v>1392</v>
      </c>
      <c r="J9711" s="417" t="s">
        <v>21818</v>
      </c>
      <c r="K9711" s="417" t="s">
        <v>21866</v>
      </c>
      <c r="L9711" s="417"/>
      <c r="M9711" s="417" t="s">
        <v>28840</v>
      </c>
    </row>
    <row r="9712" spans="1:13" x14ac:dyDescent="0.25">
      <c r="A9712" s="417" t="s">
        <v>3385</v>
      </c>
      <c r="B9712" s="417" t="s">
        <v>2437</v>
      </c>
      <c r="C9712" s="417" t="s">
        <v>21867</v>
      </c>
      <c r="D9712" s="417" t="s">
        <v>397</v>
      </c>
      <c r="E9712" s="423">
        <v>0.1097943901988444</v>
      </c>
      <c r="F9712" s="423">
        <v>1.5221436235632671E-4</v>
      </c>
      <c r="G9712" s="422">
        <v>129.50586810454541</v>
      </c>
      <c r="H9712" s="417" t="s">
        <v>2616</v>
      </c>
      <c r="I9712" s="417" t="s">
        <v>1392</v>
      </c>
      <c r="J9712" s="417" t="s">
        <v>21818</v>
      </c>
      <c r="K9712" s="417" t="s">
        <v>21868</v>
      </c>
      <c r="L9712" s="417"/>
      <c r="M9712" s="417" t="s">
        <v>28840</v>
      </c>
    </row>
    <row r="9713" spans="1:13" x14ac:dyDescent="0.25">
      <c r="A9713" s="417" t="s">
        <v>3385</v>
      </c>
      <c r="B9713" s="417" t="s">
        <v>2437</v>
      </c>
      <c r="C9713" s="417" t="s">
        <v>21869</v>
      </c>
      <c r="D9713" s="417" t="s">
        <v>397</v>
      </c>
      <c r="E9713" s="423">
        <v>3.1988422900699101E-2</v>
      </c>
      <c r="F9713" s="423">
        <v>1.7896750900254799E-4</v>
      </c>
      <c r="G9713" s="422">
        <v>41.54110253637365</v>
      </c>
      <c r="H9713" s="417" t="s">
        <v>2616</v>
      </c>
      <c r="I9713" s="417" t="s">
        <v>1392</v>
      </c>
      <c r="J9713" s="417" t="s">
        <v>21818</v>
      </c>
      <c r="K9713" s="417" t="s">
        <v>21870</v>
      </c>
      <c r="L9713" s="417"/>
      <c r="M9713" s="417" t="s">
        <v>28840</v>
      </c>
    </row>
    <row r="9714" spans="1:13" x14ac:dyDescent="0.25">
      <c r="A9714" s="417" t="s">
        <v>3385</v>
      </c>
      <c r="B9714" s="417" t="s">
        <v>2437</v>
      </c>
      <c r="C9714" s="417" t="s">
        <v>21871</v>
      </c>
      <c r="D9714" s="417" t="s">
        <v>397</v>
      </c>
      <c r="E9714" s="423">
        <v>0.11582419594732229</v>
      </c>
      <c r="F9714" s="423">
        <v>1.4917414695308229E-4</v>
      </c>
      <c r="G9714" s="422">
        <v>137.44473888477501</v>
      </c>
      <c r="H9714" s="417" t="s">
        <v>2616</v>
      </c>
      <c r="I9714" s="417" t="s">
        <v>1392</v>
      </c>
      <c r="J9714" s="417" t="s">
        <v>21818</v>
      </c>
      <c r="K9714" s="417" t="s">
        <v>21872</v>
      </c>
      <c r="L9714" s="417"/>
      <c r="M9714" s="417" t="s">
        <v>28840</v>
      </c>
    </row>
    <row r="9715" spans="1:13" x14ac:dyDescent="0.25">
      <c r="A9715" s="417" t="s">
        <v>3385</v>
      </c>
      <c r="B9715" s="417" t="s">
        <v>2437</v>
      </c>
      <c r="C9715" s="417" t="s">
        <v>21873</v>
      </c>
      <c r="D9715" s="417" t="s">
        <v>397</v>
      </c>
      <c r="E9715" s="423">
        <v>0.11254573352167439</v>
      </c>
      <c r="F9715" s="423">
        <v>1.5571864136476851E-4</v>
      </c>
      <c r="G9715" s="422">
        <v>133.46262171259889</v>
      </c>
      <c r="H9715" s="417" t="s">
        <v>2616</v>
      </c>
      <c r="I9715" s="417" t="s">
        <v>1392</v>
      </c>
      <c r="J9715" s="417" t="s">
        <v>21818</v>
      </c>
      <c r="K9715" s="417" t="s">
        <v>21874</v>
      </c>
      <c r="L9715" s="417"/>
      <c r="M9715" s="417" t="s">
        <v>28840</v>
      </c>
    </row>
    <row r="9716" spans="1:13" x14ac:dyDescent="0.25">
      <c r="A9716" s="417" t="s">
        <v>3385</v>
      </c>
      <c r="B9716" s="417" t="s">
        <v>2437</v>
      </c>
      <c r="C9716" s="417" t="s">
        <v>21875</v>
      </c>
      <c r="D9716" s="417" t="s">
        <v>397</v>
      </c>
      <c r="E9716" s="423">
        <v>3.1062352972860689E-2</v>
      </c>
      <c r="F9716" s="423">
        <v>1.676201114438185E-4</v>
      </c>
      <c r="G9716" s="422">
        <v>40.230742122674911</v>
      </c>
      <c r="H9716" s="417" t="s">
        <v>2616</v>
      </c>
      <c r="I9716" s="417" t="s">
        <v>1392</v>
      </c>
      <c r="J9716" s="417" t="s">
        <v>21818</v>
      </c>
      <c r="K9716" s="417" t="s">
        <v>21876</v>
      </c>
      <c r="L9716" s="417"/>
      <c r="M9716" s="417" t="s">
        <v>28840</v>
      </c>
    </row>
    <row r="9717" spans="1:13" x14ac:dyDescent="0.25">
      <c r="A9717" s="417" t="s">
        <v>3385</v>
      </c>
      <c r="B9717" s="417" t="s">
        <v>2437</v>
      </c>
      <c r="C9717" s="417" t="s">
        <v>21877</v>
      </c>
      <c r="D9717" s="417" t="s">
        <v>397</v>
      </c>
      <c r="E9717" s="423">
        <v>1.309450083111399E-3</v>
      </c>
      <c r="F9717" s="423">
        <v>3.4103645377145051E-9</v>
      </c>
      <c r="G9717" s="422">
        <v>1.2450364078452809</v>
      </c>
      <c r="H9717" s="417" t="s">
        <v>2616</v>
      </c>
      <c r="I9717" s="417" t="s">
        <v>1392</v>
      </c>
      <c r="J9717" s="417" t="s">
        <v>21818</v>
      </c>
      <c r="K9717" s="417" t="s">
        <v>21878</v>
      </c>
      <c r="L9717" s="417"/>
      <c r="M9717" s="417" t="s">
        <v>28840</v>
      </c>
    </row>
    <row r="9718" spans="1:13" x14ac:dyDescent="0.25">
      <c r="A9718" s="417" t="s">
        <v>3385</v>
      </c>
      <c r="B9718" s="417" t="s">
        <v>2437</v>
      </c>
      <c r="C9718" s="417" t="s">
        <v>21879</v>
      </c>
      <c r="D9718" s="417" t="s">
        <v>397</v>
      </c>
      <c r="E9718" s="423">
        <v>0.11498765534072369</v>
      </c>
      <c r="F9718" s="423">
        <v>2.3086999113353579E-4</v>
      </c>
      <c r="G9718" s="422">
        <v>144.82037667150661</v>
      </c>
      <c r="H9718" s="417" t="s">
        <v>2616</v>
      </c>
      <c r="I9718" s="417" t="s">
        <v>1392</v>
      </c>
      <c r="J9718" s="417" t="s">
        <v>21818</v>
      </c>
      <c r="K9718" s="417" t="s">
        <v>21880</v>
      </c>
      <c r="L9718" s="417"/>
      <c r="M9718" s="417" t="s">
        <v>28840</v>
      </c>
    </row>
    <row r="9719" spans="1:13" x14ac:dyDescent="0.25">
      <c r="A9719" s="417" t="s">
        <v>3385</v>
      </c>
      <c r="B9719" s="417" t="s">
        <v>2437</v>
      </c>
      <c r="C9719" s="417" t="s">
        <v>21881</v>
      </c>
      <c r="D9719" s="417" t="s">
        <v>397</v>
      </c>
      <c r="E9719" s="423">
        <v>0.1186419051119824</v>
      </c>
      <c r="F9719" s="423">
        <v>2.8905507271571201E-4</v>
      </c>
      <c r="G9719" s="422">
        <v>146.4806603689245</v>
      </c>
      <c r="H9719" s="417" t="s">
        <v>2616</v>
      </c>
      <c r="I9719" s="417" t="s">
        <v>1392</v>
      </c>
      <c r="J9719" s="417" t="s">
        <v>21818</v>
      </c>
      <c r="K9719" s="417" t="s">
        <v>21882</v>
      </c>
      <c r="L9719" s="417"/>
      <c r="M9719" s="417" t="s">
        <v>28840</v>
      </c>
    </row>
    <row r="9720" spans="1:13" x14ac:dyDescent="0.25">
      <c r="A9720" s="417" t="s">
        <v>3385</v>
      </c>
      <c r="B9720" s="417" t="s">
        <v>2437</v>
      </c>
      <c r="C9720" s="417" t="s">
        <v>21883</v>
      </c>
      <c r="D9720" s="417" t="s">
        <v>397</v>
      </c>
      <c r="E9720" s="423">
        <v>0.1140203810331113</v>
      </c>
      <c r="F9720" s="423">
        <v>1.530858907925612E-4</v>
      </c>
      <c r="G9720" s="422">
        <v>135.8611235568296</v>
      </c>
      <c r="H9720" s="417" t="s">
        <v>2616</v>
      </c>
      <c r="I9720" s="417" t="s">
        <v>1392</v>
      </c>
      <c r="J9720" s="417" t="s">
        <v>21818</v>
      </c>
      <c r="K9720" s="417" t="s">
        <v>21884</v>
      </c>
      <c r="L9720" s="417"/>
      <c r="M9720" s="417" t="s">
        <v>28840</v>
      </c>
    </row>
    <row r="9721" spans="1:13" x14ac:dyDescent="0.25">
      <c r="A9721" s="417" t="s">
        <v>3385</v>
      </c>
      <c r="B9721" s="417" t="s">
        <v>2437</v>
      </c>
      <c r="C9721" s="417" t="s">
        <v>21885</v>
      </c>
      <c r="D9721" s="417" t="s">
        <v>397</v>
      </c>
      <c r="E9721" s="423">
        <v>0.1129558512855833</v>
      </c>
      <c r="F9721" s="423">
        <v>1.3696558676323429E-4</v>
      </c>
      <c r="G9721" s="422">
        <v>134.41571266691571</v>
      </c>
      <c r="H9721" s="417" t="s">
        <v>2616</v>
      </c>
      <c r="I9721" s="417" t="s">
        <v>1392</v>
      </c>
      <c r="J9721" s="417" t="s">
        <v>21818</v>
      </c>
      <c r="K9721" s="417" t="s">
        <v>21886</v>
      </c>
      <c r="L9721" s="417"/>
      <c r="M9721" s="417" t="s">
        <v>28840</v>
      </c>
    </row>
    <row r="9722" spans="1:13" x14ac:dyDescent="0.25">
      <c r="A9722" s="417" t="s">
        <v>3385</v>
      </c>
      <c r="B9722" s="417" t="s">
        <v>2437</v>
      </c>
      <c r="C9722" s="417" t="s">
        <v>21887</v>
      </c>
      <c r="D9722" s="417" t="s">
        <v>397</v>
      </c>
      <c r="E9722" s="423">
        <v>3.3367441239672932E-2</v>
      </c>
      <c r="F9722" s="423">
        <v>1.575455838492916E-4</v>
      </c>
      <c r="G9722" s="422">
        <v>43.070570972123193</v>
      </c>
      <c r="H9722" s="417" t="s">
        <v>2616</v>
      </c>
      <c r="I9722" s="417" t="s">
        <v>1392</v>
      </c>
      <c r="J9722" s="417" t="s">
        <v>21818</v>
      </c>
      <c r="K9722" s="417" t="s">
        <v>21888</v>
      </c>
      <c r="L9722" s="417"/>
      <c r="M9722" s="417" t="s">
        <v>28840</v>
      </c>
    </row>
    <row r="9723" spans="1:13" x14ac:dyDescent="0.25">
      <c r="A9723" s="417" t="s">
        <v>3385</v>
      </c>
      <c r="B9723" s="417" t="s">
        <v>2437</v>
      </c>
      <c r="C9723" s="417" t="s">
        <v>21889</v>
      </c>
      <c r="D9723" s="417" t="s">
        <v>397</v>
      </c>
      <c r="E9723" s="423">
        <v>0.1148523955854396</v>
      </c>
      <c r="F9723" s="423">
        <v>2.3758688337288929E-4</v>
      </c>
      <c r="G9723" s="422">
        <v>137.63592737467499</v>
      </c>
      <c r="H9723" s="417" t="s">
        <v>2616</v>
      </c>
      <c r="I9723" s="417" t="s">
        <v>1392</v>
      </c>
      <c r="J9723" s="417" t="s">
        <v>21818</v>
      </c>
      <c r="K9723" s="417" t="s">
        <v>21890</v>
      </c>
      <c r="L9723" s="417"/>
      <c r="M9723" s="417" t="s">
        <v>28840</v>
      </c>
    </row>
    <row r="9724" spans="1:13" x14ac:dyDescent="0.25">
      <c r="A9724" s="417" t="s">
        <v>3385</v>
      </c>
      <c r="B9724" s="417" t="s">
        <v>2437</v>
      </c>
      <c r="C9724" s="417" t="s">
        <v>21891</v>
      </c>
      <c r="D9724" s="417" t="s">
        <v>397</v>
      </c>
      <c r="E9724" s="423">
        <v>0.11447222749853431</v>
      </c>
      <c r="F9724" s="423">
        <v>1.7188919441649299E-4</v>
      </c>
      <c r="G9724" s="422">
        <v>136.09847855478159</v>
      </c>
      <c r="H9724" s="417" t="s">
        <v>2616</v>
      </c>
      <c r="I9724" s="417" t="s">
        <v>1392</v>
      </c>
      <c r="J9724" s="417" t="s">
        <v>21818</v>
      </c>
      <c r="K9724" s="417" t="s">
        <v>21892</v>
      </c>
      <c r="L9724" s="417"/>
      <c r="M9724" s="417" t="s">
        <v>28840</v>
      </c>
    </row>
    <row r="9725" spans="1:13" x14ac:dyDescent="0.25">
      <c r="A9725" s="417" t="s">
        <v>3385</v>
      </c>
      <c r="B9725" s="417" t="s">
        <v>2437</v>
      </c>
      <c r="C9725" s="417" t="s">
        <v>21893</v>
      </c>
      <c r="D9725" s="417" t="s">
        <v>397</v>
      </c>
      <c r="E9725" s="423">
        <v>0.1153481331423587</v>
      </c>
      <c r="F9725" s="423">
        <v>1.5577416034591891E-4</v>
      </c>
      <c r="G9725" s="422">
        <v>136.90625110582221</v>
      </c>
      <c r="H9725" s="417" t="s">
        <v>2616</v>
      </c>
      <c r="I9725" s="417" t="s">
        <v>1392</v>
      </c>
      <c r="J9725" s="417" t="s">
        <v>21818</v>
      </c>
      <c r="K9725" s="417" t="s">
        <v>21894</v>
      </c>
      <c r="L9725" s="417"/>
      <c r="M9725" s="417" t="s">
        <v>28840</v>
      </c>
    </row>
    <row r="9726" spans="1:13" x14ac:dyDescent="0.25">
      <c r="A9726" s="417" t="s">
        <v>3385</v>
      </c>
      <c r="B9726" s="417" t="s">
        <v>2437</v>
      </c>
      <c r="C9726" s="417" t="s">
        <v>21895</v>
      </c>
      <c r="D9726" s="417" t="s">
        <v>397</v>
      </c>
      <c r="E9726" s="423">
        <v>3.1686502393542558E-2</v>
      </c>
      <c r="F9726" s="423">
        <v>1.430921812170364E-4</v>
      </c>
      <c r="G9726" s="422">
        <v>40.906467572900432</v>
      </c>
      <c r="H9726" s="417" t="s">
        <v>2616</v>
      </c>
      <c r="I9726" s="417" t="s">
        <v>1392</v>
      </c>
      <c r="J9726" s="417" t="s">
        <v>21818</v>
      </c>
      <c r="K9726" s="417" t="s">
        <v>21896</v>
      </c>
      <c r="L9726" s="417"/>
      <c r="M9726" s="417" t="s">
        <v>28840</v>
      </c>
    </row>
    <row r="9727" spans="1:13" x14ac:dyDescent="0.25">
      <c r="A9727" s="417" t="s">
        <v>3385</v>
      </c>
      <c r="B9727" s="417" t="s">
        <v>2437</v>
      </c>
      <c r="C9727" s="417" t="s">
        <v>21897</v>
      </c>
      <c r="D9727" s="417" t="s">
        <v>397</v>
      </c>
      <c r="E9727" s="423">
        <v>0.1130941638320877</v>
      </c>
      <c r="F9727" s="423">
        <v>1.711910112612063E-4</v>
      </c>
      <c r="G9727" s="422">
        <v>135.00613982271639</v>
      </c>
      <c r="H9727" s="417" t="s">
        <v>2616</v>
      </c>
      <c r="I9727" s="417" t="s">
        <v>1392</v>
      </c>
      <c r="J9727" s="417" t="s">
        <v>21818</v>
      </c>
      <c r="K9727" s="417" t="s">
        <v>21898</v>
      </c>
      <c r="L9727" s="417"/>
      <c r="M9727" s="417" t="s">
        <v>28840</v>
      </c>
    </row>
    <row r="9728" spans="1:13" x14ac:dyDescent="0.25">
      <c r="A9728" s="417" t="s">
        <v>3385</v>
      </c>
      <c r="B9728" s="417" t="s">
        <v>2437</v>
      </c>
      <c r="C9728" s="417" t="s">
        <v>21899</v>
      </c>
      <c r="D9728" s="417" t="s">
        <v>397</v>
      </c>
      <c r="E9728" s="423">
        <v>0.11465053525741151</v>
      </c>
      <c r="F9728" s="423">
        <v>1.459552543757335E-4</v>
      </c>
      <c r="G9728" s="422">
        <v>135.8100213979553</v>
      </c>
      <c r="H9728" s="417" t="s">
        <v>2616</v>
      </c>
      <c r="I9728" s="417" t="s">
        <v>1392</v>
      </c>
      <c r="J9728" s="417" t="s">
        <v>21818</v>
      </c>
      <c r="K9728" s="417" t="s">
        <v>21900</v>
      </c>
      <c r="L9728" s="417"/>
      <c r="M9728" s="417" t="s">
        <v>28840</v>
      </c>
    </row>
    <row r="9729" spans="1:13" x14ac:dyDescent="0.25">
      <c r="A9729" s="417" t="s">
        <v>3385</v>
      </c>
      <c r="B9729" s="417" t="s">
        <v>2437</v>
      </c>
      <c r="C9729" s="417" t="s">
        <v>21901</v>
      </c>
      <c r="D9729" s="417" t="s">
        <v>397</v>
      </c>
      <c r="E9729" s="423">
        <v>3.3097094662027877E-2</v>
      </c>
      <c r="F9729" s="423">
        <v>2.0979972861101781E-4</v>
      </c>
      <c r="G9729" s="422">
        <v>43.241709025202447</v>
      </c>
      <c r="H9729" s="417" t="s">
        <v>2616</v>
      </c>
      <c r="I9729" s="417" t="s">
        <v>1392</v>
      </c>
      <c r="J9729" s="417" t="s">
        <v>21818</v>
      </c>
      <c r="K9729" s="417" t="s">
        <v>21902</v>
      </c>
      <c r="L9729" s="417"/>
      <c r="M9729" s="417" t="s">
        <v>28840</v>
      </c>
    </row>
    <row r="9730" spans="1:13" x14ac:dyDescent="0.25">
      <c r="A9730" s="417" t="s">
        <v>3385</v>
      </c>
      <c r="B9730" s="417" t="s">
        <v>2437</v>
      </c>
      <c r="C9730" s="417" t="s">
        <v>21903</v>
      </c>
      <c r="D9730" s="417" t="s">
        <v>397</v>
      </c>
      <c r="E9730" s="423">
        <v>2.9208366164003869E-2</v>
      </c>
      <c r="F9730" s="423">
        <v>1.2175409624025851E-4</v>
      </c>
      <c r="G9730" s="422">
        <v>37.498900873680903</v>
      </c>
      <c r="H9730" s="417" t="s">
        <v>2616</v>
      </c>
      <c r="I9730" s="417" t="s">
        <v>1392</v>
      </c>
      <c r="J9730" s="417" t="s">
        <v>21818</v>
      </c>
      <c r="K9730" s="417" t="s">
        <v>21904</v>
      </c>
      <c r="L9730" s="417"/>
      <c r="M9730" s="417" t="s">
        <v>28840</v>
      </c>
    </row>
    <row r="9731" spans="1:13" x14ac:dyDescent="0.25">
      <c r="A9731" s="417" t="s">
        <v>3385</v>
      </c>
      <c r="B9731" s="417" t="s">
        <v>2437</v>
      </c>
      <c r="C9731" s="417" t="s">
        <v>21905</v>
      </c>
      <c r="D9731" s="417" t="s">
        <v>397</v>
      </c>
      <c r="E9731" s="423">
        <v>0.1107421726866557</v>
      </c>
      <c r="F9731" s="423">
        <v>1.4976763398882051E-4</v>
      </c>
      <c r="G9731" s="422">
        <v>131.9166897450458</v>
      </c>
      <c r="H9731" s="417" t="s">
        <v>2616</v>
      </c>
      <c r="I9731" s="417" t="s">
        <v>1392</v>
      </c>
      <c r="J9731" s="417" t="s">
        <v>21818</v>
      </c>
      <c r="K9731" s="417" t="s">
        <v>21906</v>
      </c>
      <c r="L9731" s="417"/>
      <c r="M9731" s="417" t="s">
        <v>28840</v>
      </c>
    </row>
    <row r="9732" spans="1:13" x14ac:dyDescent="0.25">
      <c r="A9732" s="417" t="s">
        <v>3385</v>
      </c>
      <c r="B9732" s="417" t="s">
        <v>2437</v>
      </c>
      <c r="C9732" s="417" t="s">
        <v>21907</v>
      </c>
      <c r="D9732" s="417" t="s">
        <v>397</v>
      </c>
      <c r="E9732" s="423">
        <v>0.1115340872549965</v>
      </c>
      <c r="F9732" s="423">
        <v>1.4731921873935121E-4</v>
      </c>
      <c r="G9732" s="422">
        <v>131.5616935232016</v>
      </c>
      <c r="H9732" s="417" t="s">
        <v>2616</v>
      </c>
      <c r="I9732" s="417" t="s">
        <v>1392</v>
      </c>
      <c r="J9732" s="417" t="s">
        <v>21818</v>
      </c>
      <c r="K9732" s="417" t="s">
        <v>21908</v>
      </c>
      <c r="L9732" s="417"/>
      <c r="M9732" s="417" t="s">
        <v>28840</v>
      </c>
    </row>
    <row r="9733" spans="1:13" x14ac:dyDescent="0.25">
      <c r="A9733" s="417" t="s">
        <v>3385</v>
      </c>
      <c r="B9733" s="417" t="s">
        <v>2437</v>
      </c>
      <c r="C9733" s="417" t="s">
        <v>21909</v>
      </c>
      <c r="D9733" s="417" t="s">
        <v>397</v>
      </c>
      <c r="E9733" s="423">
        <v>3.2051558866772259E-2</v>
      </c>
      <c r="F9733" s="423">
        <v>1.749507038927266E-4</v>
      </c>
      <c r="G9733" s="422">
        <v>41.624684684340799</v>
      </c>
      <c r="H9733" s="417" t="s">
        <v>2616</v>
      </c>
      <c r="I9733" s="417" t="s">
        <v>1392</v>
      </c>
      <c r="J9733" s="417" t="s">
        <v>21818</v>
      </c>
      <c r="K9733" s="417" t="s">
        <v>21910</v>
      </c>
      <c r="L9733" s="417"/>
      <c r="M9733" s="417" t="s">
        <v>28840</v>
      </c>
    </row>
    <row r="9734" spans="1:13" x14ac:dyDescent="0.25">
      <c r="A9734" s="417" t="s">
        <v>3385</v>
      </c>
      <c r="B9734" s="417" t="s">
        <v>2437</v>
      </c>
      <c r="C9734" s="417" t="s">
        <v>21911</v>
      </c>
      <c r="D9734" s="417" t="s">
        <v>397</v>
      </c>
      <c r="E9734" s="423">
        <v>0.1092589573046423</v>
      </c>
      <c r="F9734" s="423">
        <v>1.445020137747043E-4</v>
      </c>
      <c r="G9734" s="422">
        <v>129.46184268719159</v>
      </c>
      <c r="H9734" s="417" t="s">
        <v>2616</v>
      </c>
      <c r="I9734" s="417" t="s">
        <v>1392</v>
      </c>
      <c r="J9734" s="417" t="s">
        <v>21818</v>
      </c>
      <c r="K9734" s="417" t="s">
        <v>21912</v>
      </c>
      <c r="L9734" s="417"/>
      <c r="M9734" s="417" t="s">
        <v>28840</v>
      </c>
    </row>
    <row r="9735" spans="1:13" x14ac:dyDescent="0.25">
      <c r="A9735" s="417" t="s">
        <v>3385</v>
      </c>
      <c r="B9735" s="417" t="s">
        <v>2437</v>
      </c>
      <c r="C9735" s="417" t="s">
        <v>21913</v>
      </c>
      <c r="D9735" s="417" t="s">
        <v>397</v>
      </c>
      <c r="E9735" s="423">
        <v>3.239650746885521E-2</v>
      </c>
      <c r="F9735" s="423">
        <v>1.201276876212628E-4</v>
      </c>
      <c r="G9735" s="422">
        <v>41.546663464736497</v>
      </c>
      <c r="H9735" s="417" t="s">
        <v>2616</v>
      </c>
      <c r="I9735" s="417" t="s">
        <v>1392</v>
      </c>
      <c r="J9735" s="417" t="s">
        <v>21818</v>
      </c>
      <c r="K9735" s="417" t="s">
        <v>21914</v>
      </c>
      <c r="L9735" s="417"/>
      <c r="M9735" s="417" t="s">
        <v>28840</v>
      </c>
    </row>
    <row r="9736" spans="1:13" x14ac:dyDescent="0.25">
      <c r="A9736" s="417" t="s">
        <v>3385</v>
      </c>
      <c r="B9736" s="417" t="s">
        <v>2437</v>
      </c>
      <c r="C9736" s="417" t="s">
        <v>21915</v>
      </c>
      <c r="D9736" s="417" t="s">
        <v>397</v>
      </c>
      <c r="E9736" s="423">
        <v>0.114204043637299</v>
      </c>
      <c r="F9736" s="423">
        <v>1.746909807330932E-4</v>
      </c>
      <c r="G9736" s="422">
        <v>136.01319085758601</v>
      </c>
      <c r="H9736" s="417" t="s">
        <v>2616</v>
      </c>
      <c r="I9736" s="417" t="s">
        <v>1392</v>
      </c>
      <c r="J9736" s="417" t="s">
        <v>21818</v>
      </c>
      <c r="K9736" s="417" t="s">
        <v>21916</v>
      </c>
      <c r="L9736" s="417"/>
      <c r="M9736" s="417" t="s">
        <v>28840</v>
      </c>
    </row>
    <row r="9737" spans="1:13" x14ac:dyDescent="0.25">
      <c r="A9737" s="417" t="s">
        <v>3385</v>
      </c>
      <c r="B9737" s="417" t="s">
        <v>2437</v>
      </c>
      <c r="C9737" s="417" t="s">
        <v>21917</v>
      </c>
      <c r="D9737" s="417" t="s">
        <v>397</v>
      </c>
      <c r="E9737" s="423">
        <v>0.10869965858202101</v>
      </c>
      <c r="F9737" s="423">
        <v>1.428032351112701E-4</v>
      </c>
      <c r="G9737" s="422">
        <v>129.12963141547479</v>
      </c>
      <c r="H9737" s="417" t="s">
        <v>2616</v>
      </c>
      <c r="I9737" s="417" t="s">
        <v>1392</v>
      </c>
      <c r="J9737" s="417" t="s">
        <v>21818</v>
      </c>
      <c r="K9737" s="417" t="s">
        <v>21918</v>
      </c>
      <c r="L9737" s="417"/>
      <c r="M9737" s="417" t="s">
        <v>28840</v>
      </c>
    </row>
    <row r="9738" spans="1:13" x14ac:dyDescent="0.25">
      <c r="A9738" s="417" t="s">
        <v>3385</v>
      </c>
      <c r="B9738" s="417" t="s">
        <v>2437</v>
      </c>
      <c r="C9738" s="417" t="s">
        <v>21919</v>
      </c>
      <c r="D9738" s="417" t="s">
        <v>397</v>
      </c>
      <c r="E9738" s="423">
        <v>0.1162163307688089</v>
      </c>
      <c r="F9738" s="423">
        <v>3.1712746071959588E-4</v>
      </c>
      <c r="G9738" s="422">
        <v>141.5506854531796</v>
      </c>
      <c r="H9738" s="417" t="s">
        <v>2616</v>
      </c>
      <c r="I9738" s="417" t="s">
        <v>1392</v>
      </c>
      <c r="J9738" s="417" t="s">
        <v>21818</v>
      </c>
      <c r="K9738" s="417" t="s">
        <v>21920</v>
      </c>
      <c r="L9738" s="417"/>
      <c r="M9738" s="417" t="s">
        <v>28840</v>
      </c>
    </row>
    <row r="9739" spans="1:13" x14ac:dyDescent="0.25">
      <c r="A9739" s="417" t="s">
        <v>3385</v>
      </c>
      <c r="B9739" s="417" t="s">
        <v>2437</v>
      </c>
      <c r="C9739" s="417" t="s">
        <v>21921</v>
      </c>
      <c r="D9739" s="417" t="s">
        <v>397</v>
      </c>
      <c r="E9739" s="423">
        <v>0.13966731678003769</v>
      </c>
      <c r="F9739" s="423">
        <v>1.731630793131132E-4</v>
      </c>
      <c r="G9739" s="422">
        <v>166.62992957353811</v>
      </c>
      <c r="H9739" s="417" t="s">
        <v>2616</v>
      </c>
      <c r="I9739" s="417" t="s">
        <v>1392</v>
      </c>
      <c r="J9739" s="417" t="s">
        <v>21818</v>
      </c>
      <c r="K9739" s="417" t="s">
        <v>21922</v>
      </c>
      <c r="L9739" s="417"/>
      <c r="M9739" s="417" t="s">
        <v>28840</v>
      </c>
    </row>
    <row r="9740" spans="1:13" x14ac:dyDescent="0.25">
      <c r="A9740" s="417" t="s">
        <v>3385</v>
      </c>
      <c r="B9740" s="417" t="s">
        <v>2437</v>
      </c>
      <c r="C9740" s="417" t="s">
        <v>21923</v>
      </c>
      <c r="D9740" s="417" t="s">
        <v>397</v>
      </c>
      <c r="E9740" s="423">
        <v>0.1105072670831997</v>
      </c>
      <c r="F9740" s="423">
        <v>1.458456637361678E-4</v>
      </c>
      <c r="G9740" s="422">
        <v>130.3337239930394</v>
      </c>
      <c r="H9740" s="417" t="s">
        <v>2616</v>
      </c>
      <c r="I9740" s="417" t="s">
        <v>1392</v>
      </c>
      <c r="J9740" s="417" t="s">
        <v>21818</v>
      </c>
      <c r="K9740" s="417" t="s">
        <v>21924</v>
      </c>
      <c r="L9740" s="417"/>
      <c r="M9740" s="417" t="s">
        <v>28840</v>
      </c>
    </row>
    <row r="9741" spans="1:13" x14ac:dyDescent="0.25">
      <c r="A9741" s="417" t="s">
        <v>3385</v>
      </c>
      <c r="B9741" s="417" t="s">
        <v>2437</v>
      </c>
      <c r="C9741" s="417" t="s">
        <v>21925</v>
      </c>
      <c r="D9741" s="417" t="s">
        <v>397</v>
      </c>
      <c r="E9741" s="423">
        <v>3.1184434360773131E-2</v>
      </c>
      <c r="F9741" s="423">
        <v>1.15394965194015E-4</v>
      </c>
      <c r="G9741" s="422">
        <v>40.122790457743307</v>
      </c>
      <c r="H9741" s="417" t="s">
        <v>2616</v>
      </c>
      <c r="I9741" s="417" t="s">
        <v>1392</v>
      </c>
      <c r="J9741" s="417" t="s">
        <v>21818</v>
      </c>
      <c r="K9741" s="417" t="s">
        <v>21926</v>
      </c>
      <c r="L9741" s="417"/>
      <c r="M9741" s="417" t="s">
        <v>28840</v>
      </c>
    </row>
    <row r="9742" spans="1:13" x14ac:dyDescent="0.25">
      <c r="A9742" s="417" t="s">
        <v>3385</v>
      </c>
      <c r="B9742" s="417" t="s">
        <v>2437</v>
      </c>
      <c r="C9742" s="417" t="s">
        <v>21927</v>
      </c>
      <c r="D9742" s="417" t="s">
        <v>397</v>
      </c>
      <c r="E9742" s="423">
        <v>3.1237557918287279E-2</v>
      </c>
      <c r="F9742" s="423">
        <v>1.405112278998681E-4</v>
      </c>
      <c r="G9742" s="422">
        <v>40.481218565158791</v>
      </c>
      <c r="H9742" s="417" t="s">
        <v>2616</v>
      </c>
      <c r="I9742" s="417" t="s">
        <v>1392</v>
      </c>
      <c r="J9742" s="417" t="s">
        <v>21818</v>
      </c>
      <c r="K9742" s="417" t="s">
        <v>21928</v>
      </c>
      <c r="L9742" s="417"/>
      <c r="M9742" s="417" t="s">
        <v>28840</v>
      </c>
    </row>
    <row r="9743" spans="1:13" x14ac:dyDescent="0.25">
      <c r="A9743" s="417" t="s">
        <v>3385</v>
      </c>
      <c r="B9743" s="417" t="s">
        <v>2437</v>
      </c>
      <c r="C9743" s="417" t="s">
        <v>21929</v>
      </c>
      <c r="D9743" s="417" t="s">
        <v>397</v>
      </c>
      <c r="E9743" s="423">
        <v>0.118364441853841</v>
      </c>
      <c r="F9743" s="423">
        <v>1.825235493116882E-4</v>
      </c>
      <c r="G9743" s="422">
        <v>141.07297893251061</v>
      </c>
      <c r="H9743" s="417" t="s">
        <v>2616</v>
      </c>
      <c r="I9743" s="417" t="s">
        <v>1392</v>
      </c>
      <c r="J9743" s="417" t="s">
        <v>21818</v>
      </c>
      <c r="K9743" s="417" t="s">
        <v>21930</v>
      </c>
      <c r="L9743" s="417"/>
      <c r="M9743" s="417" t="s">
        <v>28840</v>
      </c>
    </row>
    <row r="9744" spans="1:13" x14ac:dyDescent="0.25">
      <c r="A9744" s="417" t="s">
        <v>3385</v>
      </c>
      <c r="B9744" s="417" t="s">
        <v>2437</v>
      </c>
      <c r="C9744" s="417" t="s">
        <v>21931</v>
      </c>
      <c r="D9744" s="417" t="s">
        <v>397</v>
      </c>
      <c r="E9744" s="423">
        <v>0.1189677566270699</v>
      </c>
      <c r="F9744" s="423">
        <v>1.535031437917239E-4</v>
      </c>
      <c r="G9744" s="422">
        <v>140.71266788421869</v>
      </c>
      <c r="H9744" s="417" t="s">
        <v>2616</v>
      </c>
      <c r="I9744" s="417" t="s">
        <v>1392</v>
      </c>
      <c r="J9744" s="417" t="s">
        <v>21818</v>
      </c>
      <c r="K9744" s="417" t="s">
        <v>21932</v>
      </c>
      <c r="L9744" s="417"/>
      <c r="M9744" s="417" t="s">
        <v>28840</v>
      </c>
    </row>
    <row r="9745" spans="1:13" x14ac:dyDescent="0.25">
      <c r="A9745" s="417" t="s">
        <v>3385</v>
      </c>
      <c r="B9745" s="417" t="s">
        <v>2437</v>
      </c>
      <c r="C9745" s="417" t="s">
        <v>21933</v>
      </c>
      <c r="D9745" s="417" t="s">
        <v>397</v>
      </c>
      <c r="E9745" s="423">
        <v>5.8124481697593509E-2</v>
      </c>
      <c r="F9745" s="423">
        <v>1.7158964748083131E-4</v>
      </c>
      <c r="G9745" s="422">
        <v>77.989340301383109</v>
      </c>
      <c r="H9745" s="417" t="s">
        <v>2616</v>
      </c>
      <c r="I9745" s="417" t="s">
        <v>1392</v>
      </c>
      <c r="J9745" s="417" t="s">
        <v>21934</v>
      </c>
      <c r="K9745" s="417" t="s">
        <v>21935</v>
      </c>
      <c r="L9745" s="417"/>
      <c r="M9745" s="417" t="s">
        <v>28840</v>
      </c>
    </row>
    <row r="9746" spans="1:13" x14ac:dyDescent="0.25">
      <c r="A9746" s="417" t="s">
        <v>3385</v>
      </c>
      <c r="B9746" s="417" t="s">
        <v>2437</v>
      </c>
      <c r="C9746" s="417" t="s">
        <v>21936</v>
      </c>
      <c r="D9746" s="417" t="s">
        <v>397</v>
      </c>
      <c r="E9746" s="423">
        <v>5.7499086160088059E-2</v>
      </c>
      <c r="F9746" s="423">
        <v>1.4425766250360651E-4</v>
      </c>
      <c r="G9746" s="422">
        <v>77.252941348999954</v>
      </c>
      <c r="H9746" s="417" t="s">
        <v>2616</v>
      </c>
      <c r="I9746" s="417" t="s">
        <v>1392</v>
      </c>
      <c r="J9746" s="417" t="s">
        <v>21934</v>
      </c>
      <c r="K9746" s="417" t="s">
        <v>21937</v>
      </c>
      <c r="L9746" s="417"/>
      <c r="M9746" s="417" t="s">
        <v>28840</v>
      </c>
    </row>
    <row r="9747" spans="1:13" x14ac:dyDescent="0.25">
      <c r="A9747" s="417" t="s">
        <v>3385</v>
      </c>
      <c r="B9747" s="417" t="s">
        <v>2437</v>
      </c>
      <c r="C9747" s="417" t="s">
        <v>21938</v>
      </c>
      <c r="D9747" s="417" t="s">
        <v>397</v>
      </c>
      <c r="E9747" s="423">
        <v>5.6290845305484713E-2</v>
      </c>
      <c r="F9747" s="423">
        <v>1.5900232831791259E-4</v>
      </c>
      <c r="G9747" s="422">
        <v>75.168016098041079</v>
      </c>
      <c r="H9747" s="417" t="s">
        <v>2616</v>
      </c>
      <c r="I9747" s="417" t="s">
        <v>1392</v>
      </c>
      <c r="J9747" s="417" t="s">
        <v>21934</v>
      </c>
      <c r="K9747" s="417" t="s">
        <v>21939</v>
      </c>
      <c r="L9747" s="417"/>
      <c r="M9747" s="417" t="s">
        <v>28840</v>
      </c>
    </row>
    <row r="9748" spans="1:13" x14ac:dyDescent="0.25">
      <c r="A9748" s="417" t="s">
        <v>3385</v>
      </c>
      <c r="B9748" s="417" t="s">
        <v>2437</v>
      </c>
      <c r="C9748" s="417" t="s">
        <v>21940</v>
      </c>
      <c r="D9748" s="417" t="s">
        <v>397</v>
      </c>
      <c r="E9748" s="423">
        <v>5.5783493250901407E-2</v>
      </c>
      <c r="F9748" s="423">
        <v>1.711596490636334E-4</v>
      </c>
      <c r="G9748" s="422">
        <v>76.028595222960902</v>
      </c>
      <c r="H9748" s="417" t="s">
        <v>2616</v>
      </c>
      <c r="I9748" s="417" t="s">
        <v>1392</v>
      </c>
      <c r="J9748" s="417" t="s">
        <v>21934</v>
      </c>
      <c r="K9748" s="417" t="s">
        <v>21941</v>
      </c>
      <c r="L9748" s="417"/>
      <c r="M9748" s="417" t="s">
        <v>28840</v>
      </c>
    </row>
    <row r="9749" spans="1:13" x14ac:dyDescent="0.25">
      <c r="A9749" s="417" t="s">
        <v>3385</v>
      </c>
      <c r="B9749" s="417" t="s">
        <v>2437</v>
      </c>
      <c r="C9749" s="417" t="s">
        <v>21942</v>
      </c>
      <c r="D9749" s="417" t="s">
        <v>397</v>
      </c>
      <c r="E9749" s="423">
        <v>5.6689448630661173E-2</v>
      </c>
      <c r="F9749" s="423">
        <v>2.6416609370483521E-4</v>
      </c>
      <c r="G9749" s="422">
        <v>76.52724552021013</v>
      </c>
      <c r="H9749" s="417" t="s">
        <v>2616</v>
      </c>
      <c r="I9749" s="417" t="s">
        <v>1392</v>
      </c>
      <c r="J9749" s="417" t="s">
        <v>21934</v>
      </c>
      <c r="K9749" s="417" t="s">
        <v>21943</v>
      </c>
      <c r="L9749" s="417"/>
      <c r="M9749" s="417" t="s">
        <v>28840</v>
      </c>
    </row>
    <row r="9750" spans="1:13" x14ac:dyDescent="0.25">
      <c r="A9750" s="417" t="s">
        <v>3385</v>
      </c>
      <c r="B9750" s="417" t="s">
        <v>2437</v>
      </c>
      <c r="C9750" s="417" t="s">
        <v>21944</v>
      </c>
      <c r="D9750" s="417" t="s">
        <v>397</v>
      </c>
      <c r="E9750" s="423">
        <v>9.7146555477211308E-2</v>
      </c>
      <c r="F9750" s="423">
        <v>1.710706205098157E-4</v>
      </c>
      <c r="G9750" s="422">
        <v>118.3820342810605</v>
      </c>
      <c r="H9750" s="417" t="s">
        <v>2616</v>
      </c>
      <c r="I9750" s="417" t="s">
        <v>1392</v>
      </c>
      <c r="J9750" s="417" t="s">
        <v>21934</v>
      </c>
      <c r="K9750" s="417" t="s">
        <v>21945</v>
      </c>
      <c r="L9750" s="417"/>
      <c r="M9750" s="417" t="s">
        <v>28840</v>
      </c>
    </row>
    <row r="9751" spans="1:13" x14ac:dyDescent="0.25">
      <c r="A9751" s="417" t="s">
        <v>3385</v>
      </c>
      <c r="B9751" s="417" t="s">
        <v>2437</v>
      </c>
      <c r="C9751" s="417" t="s">
        <v>21946</v>
      </c>
      <c r="D9751" s="417" t="s">
        <v>17280</v>
      </c>
      <c r="E9751" s="423">
        <v>2.7238640577981511E-2</v>
      </c>
      <c r="F9751" s="423">
        <v>3.8728292907029378E-3</v>
      </c>
      <c r="G9751" s="422">
        <v>106.13015467885459</v>
      </c>
      <c r="H9751" s="417" t="s">
        <v>2616</v>
      </c>
      <c r="I9751" s="417" t="s">
        <v>1392</v>
      </c>
      <c r="J9751" s="417" t="s">
        <v>20833</v>
      </c>
      <c r="K9751" s="417" t="s">
        <v>21947</v>
      </c>
      <c r="L9751" s="417"/>
      <c r="M9751" s="417" t="s">
        <v>28840</v>
      </c>
    </row>
    <row r="9752" spans="1:13" x14ac:dyDescent="0.25">
      <c r="A9752" s="417" t="s">
        <v>3385</v>
      </c>
      <c r="B9752" s="417" t="s">
        <v>2437</v>
      </c>
      <c r="C9752" s="417" t="s">
        <v>21948</v>
      </c>
      <c r="D9752" s="417" t="s">
        <v>17280</v>
      </c>
      <c r="E9752" s="423">
        <v>3.8403286199746887E-2</v>
      </c>
      <c r="F9752" s="423">
        <v>5.571477510865396E-3</v>
      </c>
      <c r="G9752" s="422">
        <v>153.4351366374394</v>
      </c>
      <c r="H9752" s="417" t="s">
        <v>2616</v>
      </c>
      <c r="I9752" s="417" t="s">
        <v>1392</v>
      </c>
      <c r="J9752" s="417" t="s">
        <v>20833</v>
      </c>
      <c r="K9752" s="417" t="s">
        <v>21949</v>
      </c>
      <c r="L9752" s="417"/>
      <c r="M9752" s="417" t="s">
        <v>28840</v>
      </c>
    </row>
    <row r="9753" spans="1:13" x14ac:dyDescent="0.25">
      <c r="A9753" s="417" t="s">
        <v>3385</v>
      </c>
      <c r="B9753" s="417" t="s">
        <v>2437</v>
      </c>
      <c r="C9753" s="417" t="s">
        <v>21950</v>
      </c>
      <c r="D9753" s="417" t="s">
        <v>17280</v>
      </c>
      <c r="E9753" s="423">
        <v>2.6651027603856379E-2</v>
      </c>
      <c r="F9753" s="423">
        <v>3.7834267438638688E-3</v>
      </c>
      <c r="G9753" s="422">
        <v>103.6404183096619</v>
      </c>
      <c r="H9753" s="417" t="s">
        <v>2616</v>
      </c>
      <c r="I9753" s="417" t="s">
        <v>1392</v>
      </c>
      <c r="J9753" s="417" t="s">
        <v>20833</v>
      </c>
      <c r="K9753" s="417" t="s">
        <v>21951</v>
      </c>
      <c r="L9753" s="417"/>
      <c r="M9753" s="417" t="s">
        <v>28840</v>
      </c>
    </row>
    <row r="9754" spans="1:13" x14ac:dyDescent="0.25">
      <c r="A9754" s="417" t="s">
        <v>3385</v>
      </c>
      <c r="B9754" s="417" t="s">
        <v>2437</v>
      </c>
      <c r="C9754" s="417" t="s">
        <v>21952</v>
      </c>
      <c r="D9754" s="417" t="s">
        <v>17280</v>
      </c>
      <c r="E9754" s="423">
        <v>2.2243775618044428E-2</v>
      </c>
      <c r="F9754" s="423">
        <v>2.7264665052249551E-3</v>
      </c>
      <c r="G9754" s="422">
        <v>76.064000733443223</v>
      </c>
      <c r="H9754" s="417" t="s">
        <v>2616</v>
      </c>
      <c r="I9754" s="417" t="s">
        <v>1392</v>
      </c>
      <c r="J9754" s="417" t="s">
        <v>20833</v>
      </c>
      <c r="K9754" s="417" t="s">
        <v>21953</v>
      </c>
      <c r="L9754" s="417"/>
      <c r="M9754" s="417" t="s">
        <v>28840</v>
      </c>
    </row>
    <row r="9755" spans="1:13" x14ac:dyDescent="0.25">
      <c r="A9755" s="417" t="s">
        <v>3385</v>
      </c>
      <c r="B9755" s="417" t="s">
        <v>2437</v>
      </c>
      <c r="C9755" s="417" t="s">
        <v>21954</v>
      </c>
      <c r="D9755" s="417" t="s">
        <v>17280</v>
      </c>
      <c r="E9755" s="423">
        <v>1.5768091930255131E-2</v>
      </c>
      <c r="F9755" s="423">
        <v>1.867398934124702E-3</v>
      </c>
      <c r="G9755" s="422">
        <v>51.533326392258488</v>
      </c>
      <c r="H9755" s="417" t="s">
        <v>2616</v>
      </c>
      <c r="I9755" s="417" t="s">
        <v>1392</v>
      </c>
      <c r="J9755" s="417" t="s">
        <v>20833</v>
      </c>
      <c r="K9755" s="417" t="s">
        <v>21955</v>
      </c>
      <c r="L9755" s="417"/>
      <c r="M9755" s="417" t="s">
        <v>28840</v>
      </c>
    </row>
    <row r="9756" spans="1:13" x14ac:dyDescent="0.25">
      <c r="A9756" s="417" t="s">
        <v>3385</v>
      </c>
      <c r="B9756" s="417" t="s">
        <v>2437</v>
      </c>
      <c r="C9756" s="417" t="s">
        <v>21956</v>
      </c>
      <c r="D9756" s="417" t="s">
        <v>17280</v>
      </c>
      <c r="E9756" s="423">
        <v>4.8299654373639721E-2</v>
      </c>
      <c r="F9756" s="423">
        <v>6.8261884830394127E-3</v>
      </c>
      <c r="G9756" s="422">
        <v>185.32828504577631</v>
      </c>
      <c r="H9756" s="417" t="s">
        <v>2616</v>
      </c>
      <c r="I9756" s="417" t="s">
        <v>1392</v>
      </c>
      <c r="J9756" s="417" t="s">
        <v>20833</v>
      </c>
      <c r="K9756" s="417" t="s">
        <v>21957</v>
      </c>
      <c r="L9756" s="417"/>
      <c r="M9756" s="417" t="s">
        <v>28840</v>
      </c>
    </row>
    <row r="9757" spans="1:13" x14ac:dyDescent="0.25">
      <c r="A9757" s="417" t="s">
        <v>3385</v>
      </c>
      <c r="B9757" s="417" t="s">
        <v>2437</v>
      </c>
      <c r="C9757" s="417" t="s">
        <v>21958</v>
      </c>
      <c r="D9757" s="417" t="s">
        <v>17280</v>
      </c>
      <c r="E9757" s="423">
        <v>4.6771132435932603E-2</v>
      </c>
      <c r="F9757" s="423">
        <v>6.6989331934220594E-3</v>
      </c>
      <c r="G9757" s="422">
        <v>183.77244247460649</v>
      </c>
      <c r="H9757" s="417" t="s">
        <v>2616</v>
      </c>
      <c r="I9757" s="417" t="s">
        <v>1392</v>
      </c>
      <c r="J9757" s="417" t="s">
        <v>20833</v>
      </c>
      <c r="K9757" s="417" t="s">
        <v>21959</v>
      </c>
      <c r="L9757" s="417"/>
      <c r="M9757" s="417" t="s">
        <v>28840</v>
      </c>
    </row>
    <row r="9758" spans="1:13" x14ac:dyDescent="0.25">
      <c r="A9758" s="417" t="s">
        <v>3385</v>
      </c>
      <c r="B9758" s="417" t="s">
        <v>2437</v>
      </c>
      <c r="C9758" s="417" t="s">
        <v>21960</v>
      </c>
      <c r="D9758" s="417" t="s">
        <v>17280</v>
      </c>
      <c r="E9758" s="423">
        <v>3.246511754243598E-2</v>
      </c>
      <c r="F9758" s="423">
        <v>4.6131075396331073E-3</v>
      </c>
      <c r="G9758" s="422">
        <v>125.0769378874913</v>
      </c>
      <c r="H9758" s="417" t="s">
        <v>2616</v>
      </c>
      <c r="I9758" s="417" t="s">
        <v>1392</v>
      </c>
      <c r="J9758" s="417" t="s">
        <v>20833</v>
      </c>
      <c r="K9758" s="417" t="s">
        <v>21961</v>
      </c>
      <c r="L9758" s="417"/>
      <c r="M9758" s="417" t="s">
        <v>28840</v>
      </c>
    </row>
    <row r="9759" spans="1:13" x14ac:dyDescent="0.25">
      <c r="A9759" s="417" t="s">
        <v>3385</v>
      </c>
      <c r="B9759" s="417" t="s">
        <v>2437</v>
      </c>
      <c r="C9759" s="417" t="s">
        <v>21962</v>
      </c>
      <c r="D9759" s="417" t="s">
        <v>17280</v>
      </c>
      <c r="E9759" s="423">
        <v>6.0617286844963231E-2</v>
      </c>
      <c r="F9759" s="423">
        <v>8.6411605961277897E-3</v>
      </c>
      <c r="G9759" s="422">
        <v>245.31871125475359</v>
      </c>
      <c r="H9759" s="417" t="s">
        <v>2616</v>
      </c>
      <c r="I9759" s="417" t="s">
        <v>1392</v>
      </c>
      <c r="J9759" s="417" t="s">
        <v>20833</v>
      </c>
      <c r="K9759" s="417" t="s">
        <v>21963</v>
      </c>
      <c r="L9759" s="417"/>
      <c r="M9759" s="417" t="s">
        <v>28840</v>
      </c>
    </row>
    <row r="9760" spans="1:13" x14ac:dyDescent="0.25">
      <c r="A9760" s="417" t="s">
        <v>3385</v>
      </c>
      <c r="B9760" s="417" t="s">
        <v>2437</v>
      </c>
      <c r="C9760" s="417" t="s">
        <v>21964</v>
      </c>
      <c r="D9760" s="417" t="s">
        <v>17280</v>
      </c>
      <c r="E9760" s="423">
        <v>2.867739152020916E-2</v>
      </c>
      <c r="F9760" s="423">
        <v>3.371532257603691E-3</v>
      </c>
      <c r="G9760" s="422">
        <v>91.377619985142374</v>
      </c>
      <c r="H9760" s="417" t="s">
        <v>2616</v>
      </c>
      <c r="I9760" s="417" t="s">
        <v>1392</v>
      </c>
      <c r="J9760" s="417" t="s">
        <v>20833</v>
      </c>
      <c r="K9760" s="417" t="s">
        <v>21965</v>
      </c>
      <c r="L9760" s="417"/>
      <c r="M9760" s="417" t="s">
        <v>28840</v>
      </c>
    </row>
    <row r="9761" spans="1:13" x14ac:dyDescent="0.25">
      <c r="A9761" s="417" t="s">
        <v>3385</v>
      </c>
      <c r="B9761" s="417" t="s">
        <v>2437</v>
      </c>
      <c r="C9761" s="417" t="s">
        <v>21966</v>
      </c>
      <c r="D9761" s="417" t="s">
        <v>17280</v>
      </c>
      <c r="E9761" s="423">
        <v>2.7478655480029979E-2</v>
      </c>
      <c r="F9761" s="423">
        <v>3.3023384267561401E-3</v>
      </c>
      <c r="G9761" s="422">
        <v>91.400777915857816</v>
      </c>
      <c r="H9761" s="417" t="s">
        <v>2616</v>
      </c>
      <c r="I9761" s="417" t="s">
        <v>1392</v>
      </c>
      <c r="J9761" s="417" t="s">
        <v>20833</v>
      </c>
      <c r="K9761" s="417" t="s">
        <v>21967</v>
      </c>
      <c r="L9761" s="417"/>
      <c r="M9761" s="417" t="s">
        <v>28840</v>
      </c>
    </row>
    <row r="9762" spans="1:13" x14ac:dyDescent="0.25">
      <c r="A9762" s="417" t="s">
        <v>3385</v>
      </c>
      <c r="B9762" s="417" t="s">
        <v>2437</v>
      </c>
      <c r="C9762" s="417" t="s">
        <v>21968</v>
      </c>
      <c r="D9762" s="417" t="s">
        <v>17280</v>
      </c>
      <c r="E9762" s="423">
        <v>1.919123389006119E-2</v>
      </c>
      <c r="F9762" s="423">
        <v>2.276134214022348E-3</v>
      </c>
      <c r="G9762" s="422">
        <v>61.5220757362423</v>
      </c>
      <c r="H9762" s="417" t="s">
        <v>2616</v>
      </c>
      <c r="I9762" s="417" t="s">
        <v>1392</v>
      </c>
      <c r="J9762" s="417" t="s">
        <v>20833</v>
      </c>
      <c r="K9762" s="417" t="s">
        <v>21969</v>
      </c>
      <c r="L9762" s="417"/>
      <c r="M9762" s="417" t="s">
        <v>28840</v>
      </c>
    </row>
    <row r="9763" spans="1:13" x14ac:dyDescent="0.25">
      <c r="A9763" s="417" t="s">
        <v>3385</v>
      </c>
      <c r="B9763" s="417" t="s">
        <v>2437</v>
      </c>
      <c r="C9763" s="417" t="s">
        <v>21970</v>
      </c>
      <c r="D9763" s="417" t="s">
        <v>17280</v>
      </c>
      <c r="E9763" s="423">
        <v>3.6130681484403807E-2</v>
      </c>
      <c r="F9763" s="423">
        <v>4.3300979985167352E-3</v>
      </c>
      <c r="G9763" s="422">
        <v>128.07775410587081</v>
      </c>
      <c r="H9763" s="417" t="s">
        <v>2616</v>
      </c>
      <c r="I9763" s="417" t="s">
        <v>1392</v>
      </c>
      <c r="J9763" s="417" t="s">
        <v>20833</v>
      </c>
      <c r="K9763" s="417" t="s">
        <v>21971</v>
      </c>
      <c r="L9763" s="417"/>
      <c r="M9763" s="417" t="s">
        <v>28840</v>
      </c>
    </row>
    <row r="9764" spans="1:13" x14ac:dyDescent="0.25">
      <c r="A9764" s="417" t="s">
        <v>3385</v>
      </c>
      <c r="B9764" s="417" t="s">
        <v>2437</v>
      </c>
      <c r="C9764" s="417" t="s">
        <v>21972</v>
      </c>
      <c r="D9764" s="417" t="s">
        <v>17280</v>
      </c>
      <c r="E9764" s="423">
        <v>5.1867277303923917E-2</v>
      </c>
      <c r="F9764" s="423">
        <v>6.6161636986274844E-3</v>
      </c>
      <c r="G9764" s="422">
        <v>193.58693847106119</v>
      </c>
      <c r="H9764" s="417" t="s">
        <v>2616</v>
      </c>
      <c r="I9764" s="417" t="s">
        <v>1392</v>
      </c>
      <c r="J9764" s="417" t="s">
        <v>20833</v>
      </c>
      <c r="K9764" s="417" t="s">
        <v>21973</v>
      </c>
      <c r="L9764" s="417"/>
      <c r="M9764" s="417" t="s">
        <v>28840</v>
      </c>
    </row>
    <row r="9765" spans="1:13" x14ac:dyDescent="0.25">
      <c r="A9765" s="417" t="s">
        <v>3385</v>
      </c>
      <c r="B9765" s="417" t="s">
        <v>2437</v>
      </c>
      <c r="C9765" s="417" t="s">
        <v>21974</v>
      </c>
      <c r="D9765" s="417" t="s">
        <v>17280</v>
      </c>
      <c r="E9765" s="423">
        <v>5.0335840627184762E-2</v>
      </c>
      <c r="F9765" s="423">
        <v>6.491705149483197E-3</v>
      </c>
      <c r="G9765" s="422">
        <v>192.0448565485153</v>
      </c>
      <c r="H9765" s="417" t="s">
        <v>2616</v>
      </c>
      <c r="I9765" s="417" t="s">
        <v>1392</v>
      </c>
      <c r="J9765" s="417" t="s">
        <v>20833</v>
      </c>
      <c r="K9765" s="417" t="s">
        <v>21975</v>
      </c>
      <c r="L9765" s="417"/>
      <c r="M9765" s="417" t="s">
        <v>28840</v>
      </c>
    </row>
    <row r="9766" spans="1:13" x14ac:dyDescent="0.25">
      <c r="A9766" s="417" t="s">
        <v>3385</v>
      </c>
      <c r="B9766" s="417" t="s">
        <v>2437</v>
      </c>
      <c r="C9766" s="417" t="s">
        <v>21976</v>
      </c>
      <c r="D9766" s="417" t="s">
        <v>17280</v>
      </c>
      <c r="E9766" s="423">
        <v>3.5349252697233408E-2</v>
      </c>
      <c r="F9766" s="423">
        <v>4.5299265291881248E-3</v>
      </c>
      <c r="G9766" s="422">
        <v>132.42207496022169</v>
      </c>
      <c r="H9766" s="417" t="s">
        <v>2616</v>
      </c>
      <c r="I9766" s="417" t="s">
        <v>1392</v>
      </c>
      <c r="J9766" s="417" t="s">
        <v>20833</v>
      </c>
      <c r="K9766" s="417" t="s">
        <v>21977</v>
      </c>
      <c r="L9766" s="417"/>
      <c r="M9766" s="417" t="s">
        <v>28840</v>
      </c>
    </row>
    <row r="9767" spans="1:13" x14ac:dyDescent="0.25">
      <c r="A9767" s="417" t="s">
        <v>3385</v>
      </c>
      <c r="B9767" s="417" t="s">
        <v>2437</v>
      </c>
      <c r="C9767" s="417" t="s">
        <v>21978</v>
      </c>
      <c r="D9767" s="417" t="s">
        <v>17280</v>
      </c>
      <c r="E9767" s="423">
        <v>6.6088782463874146E-2</v>
      </c>
      <c r="F9767" s="423">
        <v>8.4379912853658132E-3</v>
      </c>
      <c r="G9767" s="422">
        <v>258.95150697605573</v>
      </c>
      <c r="H9767" s="417" t="s">
        <v>2616</v>
      </c>
      <c r="I9767" s="417" t="s">
        <v>1392</v>
      </c>
      <c r="J9767" s="417" t="s">
        <v>20833</v>
      </c>
      <c r="K9767" s="417" t="s">
        <v>21979</v>
      </c>
      <c r="L9767" s="417"/>
      <c r="M9767" s="417" t="s">
        <v>28840</v>
      </c>
    </row>
    <row r="9768" spans="1:13" x14ac:dyDescent="0.25">
      <c r="A9768" s="417" t="s">
        <v>3385</v>
      </c>
      <c r="B9768" s="417" t="s">
        <v>2437</v>
      </c>
      <c r="C9768" s="417" t="s">
        <v>21980</v>
      </c>
      <c r="D9768" s="417" t="s">
        <v>17280</v>
      </c>
      <c r="E9768" s="423">
        <v>3.3729051114108628E-2</v>
      </c>
      <c r="F9768" s="423">
        <v>3.4227839962548872E-3</v>
      </c>
      <c r="G9768" s="422">
        <v>106.741784101992</v>
      </c>
      <c r="H9768" s="417" t="s">
        <v>2616</v>
      </c>
      <c r="I9768" s="417" t="s">
        <v>1392</v>
      </c>
      <c r="J9768" s="417" t="s">
        <v>20833</v>
      </c>
      <c r="K9768" s="417" t="s">
        <v>21981</v>
      </c>
      <c r="L9768" s="417"/>
      <c r="M9768" s="417" t="s">
        <v>28840</v>
      </c>
    </row>
    <row r="9769" spans="1:13" x14ac:dyDescent="0.25">
      <c r="A9769" s="417" t="s">
        <v>3385</v>
      </c>
      <c r="B9769" s="417" t="s">
        <v>2437</v>
      </c>
      <c r="C9769" s="417" t="s">
        <v>21982</v>
      </c>
      <c r="D9769" s="417" t="s">
        <v>17280</v>
      </c>
      <c r="E9769" s="423">
        <v>3.2527400334608908E-2</v>
      </c>
      <c r="F9769" s="423">
        <v>3.356386903959271E-3</v>
      </c>
      <c r="G9769" s="422">
        <v>106.7787039517997</v>
      </c>
      <c r="H9769" s="417" t="s">
        <v>2616</v>
      </c>
      <c r="I9769" s="417" t="s">
        <v>1392</v>
      </c>
      <c r="J9769" s="417" t="s">
        <v>20833</v>
      </c>
      <c r="K9769" s="417" t="s">
        <v>21983</v>
      </c>
      <c r="L9769" s="417"/>
      <c r="M9769" s="417" t="s">
        <v>28840</v>
      </c>
    </row>
    <row r="9770" spans="1:13" x14ac:dyDescent="0.25">
      <c r="A9770" s="417" t="s">
        <v>3385</v>
      </c>
      <c r="B9770" s="417" t="s">
        <v>2437</v>
      </c>
      <c r="C9770" s="417" t="s">
        <v>21984</v>
      </c>
      <c r="D9770" s="417" t="s">
        <v>17280</v>
      </c>
      <c r="E9770" s="423">
        <v>2.2899833810040369E-2</v>
      </c>
      <c r="F9770" s="423">
        <v>2.3381068119592919E-3</v>
      </c>
      <c r="G9770" s="422">
        <v>72.81471898344968</v>
      </c>
      <c r="H9770" s="417" t="s">
        <v>2616</v>
      </c>
      <c r="I9770" s="417" t="s">
        <v>1392</v>
      </c>
      <c r="J9770" s="417" t="s">
        <v>20833</v>
      </c>
      <c r="K9770" s="417" t="s">
        <v>21985</v>
      </c>
      <c r="L9770" s="417"/>
      <c r="M9770" s="417" t="s">
        <v>28840</v>
      </c>
    </row>
    <row r="9771" spans="1:13" x14ac:dyDescent="0.25">
      <c r="A9771" s="417" t="s">
        <v>3385</v>
      </c>
      <c r="B9771" s="417" t="s">
        <v>2437</v>
      </c>
      <c r="C9771" s="417" t="s">
        <v>21986</v>
      </c>
      <c r="D9771" s="417" t="s">
        <v>17280</v>
      </c>
      <c r="E9771" s="423">
        <v>4.3415999774318537E-2</v>
      </c>
      <c r="F9771" s="423">
        <v>4.4462666784978204E-3</v>
      </c>
      <c r="G9771" s="422">
        <v>150.39506666119229</v>
      </c>
      <c r="H9771" s="417" t="s">
        <v>2616</v>
      </c>
      <c r="I9771" s="417" t="s">
        <v>1392</v>
      </c>
      <c r="J9771" s="417" t="s">
        <v>20833</v>
      </c>
      <c r="K9771" s="417" t="s">
        <v>21987</v>
      </c>
      <c r="L9771" s="417"/>
      <c r="M9771" s="417" t="s">
        <v>28840</v>
      </c>
    </row>
    <row r="9772" spans="1:13" x14ac:dyDescent="0.25">
      <c r="A9772" s="417" t="s">
        <v>3385</v>
      </c>
      <c r="B9772" s="417" t="s">
        <v>2437</v>
      </c>
      <c r="C9772" s="417" t="s">
        <v>21988</v>
      </c>
      <c r="D9772" s="417" t="s">
        <v>17280</v>
      </c>
      <c r="E9772" s="423">
        <v>4.8586554448180261E-2</v>
      </c>
      <c r="F9772" s="423">
        <v>6.3221193039455928E-3</v>
      </c>
      <c r="G9772" s="422">
        <v>184.95871421973979</v>
      </c>
      <c r="H9772" s="417" t="s">
        <v>2616</v>
      </c>
      <c r="I9772" s="417" t="s">
        <v>1392</v>
      </c>
      <c r="J9772" s="417" t="s">
        <v>20833</v>
      </c>
      <c r="K9772" s="417" t="s">
        <v>21989</v>
      </c>
      <c r="L9772" s="417"/>
      <c r="M9772" s="417" t="s">
        <v>28840</v>
      </c>
    </row>
    <row r="9773" spans="1:13" x14ac:dyDescent="0.25">
      <c r="A9773" s="417" t="s">
        <v>3385</v>
      </c>
      <c r="B9773" s="417" t="s">
        <v>2437</v>
      </c>
      <c r="C9773" s="417" t="s">
        <v>21990</v>
      </c>
      <c r="D9773" s="417" t="s">
        <v>17280</v>
      </c>
      <c r="E9773" s="423">
        <v>4.72577470826566E-2</v>
      </c>
      <c r="F9773" s="423">
        <v>6.2239348995956944E-3</v>
      </c>
      <c r="G9773" s="422">
        <v>184.13476493491959</v>
      </c>
      <c r="H9773" s="417" t="s">
        <v>2616</v>
      </c>
      <c r="I9773" s="417" t="s">
        <v>1392</v>
      </c>
      <c r="J9773" s="417" t="s">
        <v>20833</v>
      </c>
      <c r="K9773" s="417" t="s">
        <v>21991</v>
      </c>
      <c r="L9773" s="417"/>
      <c r="M9773" s="417" t="s">
        <v>28840</v>
      </c>
    </row>
    <row r="9774" spans="1:13" x14ac:dyDescent="0.25">
      <c r="A9774" s="417" t="s">
        <v>3385</v>
      </c>
      <c r="B9774" s="417" t="s">
        <v>2437</v>
      </c>
      <c r="C9774" s="417" t="s">
        <v>21992</v>
      </c>
      <c r="D9774" s="417" t="s">
        <v>17280</v>
      </c>
      <c r="E9774" s="423">
        <v>3.3053512690652223E-2</v>
      </c>
      <c r="F9774" s="423">
        <v>4.3239407441658757E-3</v>
      </c>
      <c r="G9774" s="422">
        <v>126.36000915285651</v>
      </c>
      <c r="H9774" s="417" t="s">
        <v>2616</v>
      </c>
      <c r="I9774" s="417" t="s">
        <v>1392</v>
      </c>
      <c r="J9774" s="417" t="s">
        <v>20833</v>
      </c>
      <c r="K9774" s="417" t="s">
        <v>21993</v>
      </c>
      <c r="L9774" s="417"/>
      <c r="M9774" s="417" t="s">
        <v>28840</v>
      </c>
    </row>
    <row r="9775" spans="1:13" x14ac:dyDescent="0.25">
      <c r="A9775" s="417" t="s">
        <v>3385</v>
      </c>
      <c r="B9775" s="417" t="s">
        <v>2437</v>
      </c>
      <c r="C9775" s="417" t="s">
        <v>21994</v>
      </c>
      <c r="D9775" s="417" t="s">
        <v>17280</v>
      </c>
      <c r="E9775" s="423">
        <v>6.2064855789683807E-2</v>
      </c>
      <c r="F9775" s="423">
        <v>8.0830599660463767E-3</v>
      </c>
      <c r="G9775" s="422">
        <v>248.48379136982101</v>
      </c>
      <c r="H9775" s="417" t="s">
        <v>2616</v>
      </c>
      <c r="I9775" s="417" t="s">
        <v>1392</v>
      </c>
      <c r="J9775" s="417" t="s">
        <v>20833</v>
      </c>
      <c r="K9775" s="417" t="s">
        <v>21995</v>
      </c>
      <c r="L9775" s="417"/>
      <c r="M9775" s="417" t="s">
        <v>28840</v>
      </c>
    </row>
    <row r="9776" spans="1:13" x14ac:dyDescent="0.25">
      <c r="A9776" s="417" t="s">
        <v>3385</v>
      </c>
      <c r="B9776" s="417" t="s">
        <v>2437</v>
      </c>
      <c r="C9776" s="417" t="s">
        <v>21996</v>
      </c>
      <c r="D9776" s="417" t="s">
        <v>17280</v>
      </c>
      <c r="E9776" s="423">
        <v>3.1272793117702168E-2</v>
      </c>
      <c r="F9776" s="423">
        <v>3.273893240774968E-3</v>
      </c>
      <c r="G9776" s="422">
        <v>102.061067575057</v>
      </c>
      <c r="H9776" s="417" t="s">
        <v>2616</v>
      </c>
      <c r="I9776" s="417" t="s">
        <v>1392</v>
      </c>
      <c r="J9776" s="417" t="s">
        <v>20833</v>
      </c>
      <c r="K9776" s="417" t="s">
        <v>21997</v>
      </c>
      <c r="L9776" s="417"/>
      <c r="M9776" s="417" t="s">
        <v>28840</v>
      </c>
    </row>
    <row r="9777" spans="1:13" x14ac:dyDescent="0.25">
      <c r="A9777" s="417" t="s">
        <v>3385</v>
      </c>
      <c r="B9777" s="417" t="s">
        <v>2437</v>
      </c>
      <c r="C9777" s="417" t="s">
        <v>21998</v>
      </c>
      <c r="D9777" s="417" t="s">
        <v>17280</v>
      </c>
      <c r="E9777" s="423">
        <v>3.0191325123982031E-2</v>
      </c>
      <c r="F9777" s="423">
        <v>3.2192549056564361E-3</v>
      </c>
      <c r="G9777" s="422">
        <v>102.4213694802648</v>
      </c>
      <c r="H9777" s="417" t="s">
        <v>2616</v>
      </c>
      <c r="I9777" s="417" t="s">
        <v>1392</v>
      </c>
      <c r="J9777" s="417" t="s">
        <v>20833</v>
      </c>
      <c r="K9777" s="417" t="s">
        <v>21999</v>
      </c>
      <c r="L9777" s="417"/>
      <c r="M9777" s="417" t="s">
        <v>28840</v>
      </c>
    </row>
    <row r="9778" spans="1:13" x14ac:dyDescent="0.25">
      <c r="A9778" s="417" t="s">
        <v>3385</v>
      </c>
      <c r="B9778" s="417" t="s">
        <v>2437</v>
      </c>
      <c r="C9778" s="417" t="s">
        <v>22000</v>
      </c>
      <c r="D9778" s="417" t="s">
        <v>17280</v>
      </c>
      <c r="E9778" s="423">
        <v>2.1181219148464742E-2</v>
      </c>
      <c r="F9778" s="423">
        <v>2.2337285826624699E-3</v>
      </c>
      <c r="G9778" s="422">
        <v>69.51590738205519</v>
      </c>
      <c r="H9778" s="417" t="s">
        <v>2616</v>
      </c>
      <c r="I9778" s="417" t="s">
        <v>1392</v>
      </c>
      <c r="J9778" s="417" t="s">
        <v>20833</v>
      </c>
      <c r="K9778" s="417" t="s">
        <v>22001</v>
      </c>
      <c r="L9778" s="417"/>
      <c r="M9778" s="417" t="s">
        <v>28840</v>
      </c>
    </row>
    <row r="9779" spans="1:13" x14ac:dyDescent="0.25">
      <c r="A9779" s="417" t="s">
        <v>3385</v>
      </c>
      <c r="B9779" s="417" t="s">
        <v>2437</v>
      </c>
      <c r="C9779" s="417" t="s">
        <v>22002</v>
      </c>
      <c r="D9779" s="417" t="s">
        <v>17280</v>
      </c>
      <c r="E9779" s="423">
        <v>4.0381430857338481E-2</v>
      </c>
      <c r="F9779" s="423">
        <v>4.2655197062685338E-3</v>
      </c>
      <c r="G9779" s="422">
        <v>144.6643561554481</v>
      </c>
      <c r="H9779" s="417" t="s">
        <v>2616</v>
      </c>
      <c r="I9779" s="417" t="s">
        <v>1392</v>
      </c>
      <c r="J9779" s="417" t="s">
        <v>20833</v>
      </c>
      <c r="K9779" s="417" t="s">
        <v>22003</v>
      </c>
      <c r="L9779" s="417"/>
      <c r="M9779" s="417" t="s">
        <v>28840</v>
      </c>
    </row>
    <row r="9780" spans="1:13" x14ac:dyDescent="0.25">
      <c r="A9780" s="417" t="s">
        <v>3385</v>
      </c>
      <c r="B9780" s="417" t="s">
        <v>2437</v>
      </c>
      <c r="C9780" s="417" t="s">
        <v>22004</v>
      </c>
      <c r="D9780" s="417" t="s">
        <v>17280</v>
      </c>
      <c r="E9780" s="423">
        <v>5.0294818155717007E-2</v>
      </c>
      <c r="F9780" s="423">
        <v>6.4856241062565684E-3</v>
      </c>
      <c r="G9780" s="422">
        <v>189.88783294893511</v>
      </c>
      <c r="H9780" s="417" t="s">
        <v>2616</v>
      </c>
      <c r="I9780" s="417" t="s">
        <v>1392</v>
      </c>
      <c r="J9780" s="417" t="s">
        <v>20833</v>
      </c>
      <c r="K9780" s="417" t="s">
        <v>22005</v>
      </c>
      <c r="L9780" s="417"/>
      <c r="M9780" s="417" t="s">
        <v>28840</v>
      </c>
    </row>
    <row r="9781" spans="1:13" x14ac:dyDescent="0.25">
      <c r="A9781" s="417" t="s">
        <v>3385</v>
      </c>
      <c r="B9781" s="417" t="s">
        <v>2437</v>
      </c>
      <c r="C9781" s="417" t="s">
        <v>22006</v>
      </c>
      <c r="D9781" s="417" t="s">
        <v>17280</v>
      </c>
      <c r="E9781" s="423">
        <v>4.8903424068856727E-2</v>
      </c>
      <c r="F9781" s="423">
        <v>6.3845828028312518E-3</v>
      </c>
      <c r="G9781" s="422">
        <v>188.8950952373163</v>
      </c>
      <c r="H9781" s="417" t="s">
        <v>2616</v>
      </c>
      <c r="I9781" s="417" t="s">
        <v>1392</v>
      </c>
      <c r="J9781" s="417" t="s">
        <v>20833</v>
      </c>
      <c r="K9781" s="417" t="s">
        <v>22007</v>
      </c>
      <c r="L9781" s="417"/>
      <c r="M9781" s="417" t="s">
        <v>28840</v>
      </c>
    </row>
    <row r="9782" spans="1:13" x14ac:dyDescent="0.25">
      <c r="A9782" s="417" t="s">
        <v>3385</v>
      </c>
      <c r="B9782" s="417" t="s">
        <v>2437</v>
      </c>
      <c r="C9782" s="417" t="s">
        <v>22008</v>
      </c>
      <c r="D9782" s="417" t="s">
        <v>17280</v>
      </c>
      <c r="E9782" s="423">
        <v>3.4248436506329867E-2</v>
      </c>
      <c r="F9782" s="423">
        <v>4.4419086557060602E-3</v>
      </c>
      <c r="G9782" s="422">
        <v>129.8584428593629</v>
      </c>
      <c r="H9782" s="417" t="s">
        <v>2616</v>
      </c>
      <c r="I9782" s="417" t="s">
        <v>1392</v>
      </c>
      <c r="J9782" s="417" t="s">
        <v>20833</v>
      </c>
      <c r="K9782" s="417" t="s">
        <v>22009</v>
      </c>
      <c r="L9782" s="417"/>
      <c r="M9782" s="417" t="s">
        <v>28840</v>
      </c>
    </row>
    <row r="9783" spans="1:13" x14ac:dyDescent="0.25">
      <c r="A9783" s="417" t="s">
        <v>3385</v>
      </c>
      <c r="B9783" s="417" t="s">
        <v>2437</v>
      </c>
      <c r="C9783" s="417" t="s">
        <v>22010</v>
      </c>
      <c r="D9783" s="417" t="s">
        <v>17280</v>
      </c>
      <c r="E9783" s="423">
        <v>6.4195153213239931E-2</v>
      </c>
      <c r="F9783" s="423">
        <v>8.2872589956137568E-3</v>
      </c>
      <c r="G9783" s="422">
        <v>254.6424876832113</v>
      </c>
      <c r="H9783" s="417" t="s">
        <v>2616</v>
      </c>
      <c r="I9783" s="417" t="s">
        <v>1392</v>
      </c>
      <c r="J9783" s="417" t="s">
        <v>20833</v>
      </c>
      <c r="K9783" s="417" t="s">
        <v>22011</v>
      </c>
      <c r="L9783" s="417"/>
      <c r="M9783" s="417" t="s">
        <v>28840</v>
      </c>
    </row>
    <row r="9784" spans="1:13" x14ac:dyDescent="0.25">
      <c r="A9784" s="417" t="s">
        <v>3385</v>
      </c>
      <c r="B9784" s="417" t="s">
        <v>2437</v>
      </c>
      <c r="C9784" s="417" t="s">
        <v>22012</v>
      </c>
      <c r="D9784" s="417" t="s">
        <v>17280</v>
      </c>
      <c r="E9784" s="423">
        <v>3.2651270829796783E-2</v>
      </c>
      <c r="F9784" s="423">
        <v>3.3793365850840421E-3</v>
      </c>
      <c r="G9784" s="422">
        <v>105.41118291862151</v>
      </c>
      <c r="H9784" s="417" t="s">
        <v>2616</v>
      </c>
      <c r="I9784" s="417" t="s">
        <v>1392</v>
      </c>
      <c r="J9784" s="417" t="s">
        <v>20833</v>
      </c>
      <c r="K9784" s="417" t="s">
        <v>22013</v>
      </c>
      <c r="L9784" s="417"/>
      <c r="M9784" s="417" t="s">
        <v>28840</v>
      </c>
    </row>
    <row r="9785" spans="1:13" x14ac:dyDescent="0.25">
      <c r="A9785" s="417" t="s">
        <v>3385</v>
      </c>
      <c r="B9785" s="417" t="s">
        <v>2437</v>
      </c>
      <c r="C9785" s="417" t="s">
        <v>22014</v>
      </c>
      <c r="D9785" s="417" t="s">
        <v>17280</v>
      </c>
      <c r="E9785" s="423">
        <v>3.150721625506727E-2</v>
      </c>
      <c r="F9785" s="423">
        <v>3.321841366346685E-3</v>
      </c>
      <c r="G9785" s="422">
        <v>105.6026965558405</v>
      </c>
      <c r="H9785" s="417" t="s">
        <v>2616</v>
      </c>
      <c r="I9785" s="417" t="s">
        <v>1392</v>
      </c>
      <c r="J9785" s="417" t="s">
        <v>20833</v>
      </c>
      <c r="K9785" s="417" t="s">
        <v>22015</v>
      </c>
      <c r="L9785" s="417"/>
      <c r="M9785" s="417" t="s">
        <v>28840</v>
      </c>
    </row>
    <row r="9786" spans="1:13" x14ac:dyDescent="0.25">
      <c r="A9786" s="417" t="s">
        <v>3385</v>
      </c>
      <c r="B9786" s="417" t="s">
        <v>2437</v>
      </c>
      <c r="C9786" s="417" t="s">
        <v>22016</v>
      </c>
      <c r="D9786" s="417" t="s">
        <v>17280</v>
      </c>
      <c r="E9786" s="423">
        <v>2.212880362393228E-2</v>
      </c>
      <c r="F9786" s="423">
        <v>2.3081504115179058E-3</v>
      </c>
      <c r="G9786" s="422">
        <v>71.830089378035083</v>
      </c>
      <c r="H9786" s="417" t="s">
        <v>2616</v>
      </c>
      <c r="I9786" s="417" t="s">
        <v>1392</v>
      </c>
      <c r="J9786" s="417" t="s">
        <v>20833</v>
      </c>
      <c r="K9786" s="417" t="s">
        <v>22017</v>
      </c>
      <c r="L9786" s="417"/>
      <c r="M9786" s="417" t="s">
        <v>28840</v>
      </c>
    </row>
    <row r="9787" spans="1:13" x14ac:dyDescent="0.25">
      <c r="A9787" s="417" t="s">
        <v>3385</v>
      </c>
      <c r="B9787" s="417" t="s">
        <v>2437</v>
      </c>
      <c r="C9787" s="417" t="s">
        <v>22018</v>
      </c>
      <c r="D9787" s="417" t="s">
        <v>17280</v>
      </c>
      <c r="E9787" s="423">
        <v>4.2099495681608069E-2</v>
      </c>
      <c r="F9787" s="423">
        <v>4.3971418924480914E-3</v>
      </c>
      <c r="G9787" s="422">
        <v>148.84929999215331</v>
      </c>
      <c r="H9787" s="417" t="s">
        <v>2616</v>
      </c>
      <c r="I9787" s="417" t="s">
        <v>1392</v>
      </c>
      <c r="J9787" s="417" t="s">
        <v>20833</v>
      </c>
      <c r="K9787" s="417" t="s">
        <v>22019</v>
      </c>
      <c r="L9787" s="417"/>
      <c r="M9787" s="417" t="s">
        <v>28840</v>
      </c>
    </row>
    <row r="9788" spans="1:13" x14ac:dyDescent="0.25">
      <c r="A9788" s="417" t="s">
        <v>3385</v>
      </c>
      <c r="B9788" s="417" t="s">
        <v>2437</v>
      </c>
      <c r="C9788" s="417" t="s">
        <v>22020</v>
      </c>
      <c r="D9788" s="417" t="s">
        <v>17280</v>
      </c>
      <c r="E9788" s="423">
        <v>3.4318396588726381E-2</v>
      </c>
      <c r="F9788" s="423">
        <v>4.6090589467866559E-2</v>
      </c>
      <c r="G9788" s="422">
        <v>91.634481982944138</v>
      </c>
      <c r="H9788" s="417" t="s">
        <v>2616</v>
      </c>
      <c r="I9788" s="417" t="s">
        <v>1392</v>
      </c>
      <c r="J9788" s="417" t="s">
        <v>20833</v>
      </c>
      <c r="K9788" s="417" t="s">
        <v>22021</v>
      </c>
      <c r="L9788" s="417"/>
      <c r="M9788" s="417" t="s">
        <v>28840</v>
      </c>
    </row>
    <row r="9789" spans="1:13" x14ac:dyDescent="0.25">
      <c r="A9789" s="417" t="s">
        <v>3385</v>
      </c>
      <c r="B9789" s="417" t="s">
        <v>2437</v>
      </c>
      <c r="C9789" s="417" t="s">
        <v>22022</v>
      </c>
      <c r="D9789" s="417" t="s">
        <v>17280</v>
      </c>
      <c r="E9789" s="423">
        <v>3.0984137673068089E-2</v>
      </c>
      <c r="F9789" s="423">
        <v>4.2180734042524419E-2</v>
      </c>
      <c r="G9789" s="422">
        <v>85.424416058370966</v>
      </c>
      <c r="H9789" s="417" t="s">
        <v>2616</v>
      </c>
      <c r="I9789" s="417" t="s">
        <v>1392</v>
      </c>
      <c r="J9789" s="417" t="s">
        <v>20833</v>
      </c>
      <c r="K9789" s="417" t="s">
        <v>22023</v>
      </c>
      <c r="L9789" s="417"/>
      <c r="M9789" s="417" t="s">
        <v>28840</v>
      </c>
    </row>
    <row r="9790" spans="1:13" x14ac:dyDescent="0.25">
      <c r="A9790" s="417" t="s">
        <v>3385</v>
      </c>
      <c r="B9790" s="417" t="s">
        <v>2437</v>
      </c>
      <c r="C9790" s="417" t="s">
        <v>22024</v>
      </c>
      <c r="D9790" s="417" t="s">
        <v>17280</v>
      </c>
      <c r="E9790" s="423">
        <v>7.5681877863182936E-2</v>
      </c>
      <c r="F9790" s="423">
        <v>0.1083199141626008</v>
      </c>
      <c r="G9790" s="422">
        <v>202.75872998235781</v>
      </c>
      <c r="H9790" s="417" t="s">
        <v>2616</v>
      </c>
      <c r="I9790" s="417" t="s">
        <v>1392</v>
      </c>
      <c r="J9790" s="417" t="s">
        <v>20833</v>
      </c>
      <c r="K9790" s="417" t="s">
        <v>22025</v>
      </c>
      <c r="L9790" s="417"/>
      <c r="M9790" s="417" t="s">
        <v>28840</v>
      </c>
    </row>
    <row r="9791" spans="1:13" x14ac:dyDescent="0.25">
      <c r="A9791" s="417" t="s">
        <v>3385</v>
      </c>
      <c r="B9791" s="417" t="s">
        <v>2437</v>
      </c>
      <c r="C9791" s="417" t="s">
        <v>22026</v>
      </c>
      <c r="D9791" s="417" t="s">
        <v>17280</v>
      </c>
      <c r="E9791" s="423">
        <v>7.1638621450478765E-2</v>
      </c>
      <c r="F9791" s="423">
        <v>0.10685998019831761</v>
      </c>
      <c r="G9791" s="422">
        <v>196.98964043737831</v>
      </c>
      <c r="H9791" s="417" t="s">
        <v>2616</v>
      </c>
      <c r="I9791" s="417" t="s">
        <v>1392</v>
      </c>
      <c r="J9791" s="417" t="s">
        <v>20833</v>
      </c>
      <c r="K9791" s="417" t="s">
        <v>22027</v>
      </c>
      <c r="L9791" s="417"/>
      <c r="M9791" s="417" t="s">
        <v>28840</v>
      </c>
    </row>
    <row r="9792" spans="1:13" x14ac:dyDescent="0.25">
      <c r="A9792" s="417" t="s">
        <v>3385</v>
      </c>
      <c r="B9792" s="417" t="s">
        <v>2437</v>
      </c>
      <c r="C9792" s="417" t="s">
        <v>22028</v>
      </c>
      <c r="D9792" s="417" t="s">
        <v>17280</v>
      </c>
      <c r="E9792" s="423">
        <v>3.4106082461149309E-2</v>
      </c>
      <c r="F9792" s="423">
        <v>4.5483205669139333E-2</v>
      </c>
      <c r="G9792" s="422">
        <v>92.49446276686443</v>
      </c>
      <c r="H9792" s="417" t="s">
        <v>2616</v>
      </c>
      <c r="I9792" s="417" t="s">
        <v>1392</v>
      </c>
      <c r="J9792" s="417" t="s">
        <v>20833</v>
      </c>
      <c r="K9792" s="417" t="s">
        <v>22029</v>
      </c>
      <c r="L9792" s="417"/>
      <c r="M9792" s="417" t="s">
        <v>28840</v>
      </c>
    </row>
    <row r="9793" spans="1:13" x14ac:dyDescent="0.25">
      <c r="A9793" s="417" t="s">
        <v>3385</v>
      </c>
      <c r="B9793" s="417" t="s">
        <v>2437</v>
      </c>
      <c r="C9793" s="417" t="s">
        <v>22030</v>
      </c>
      <c r="D9793" s="417" t="s">
        <v>17280</v>
      </c>
      <c r="E9793" s="423">
        <v>3.0416603514995619E-2</v>
      </c>
      <c r="F9793" s="423">
        <v>4.2073207941781293E-2</v>
      </c>
      <c r="G9793" s="422">
        <v>85.958832630542631</v>
      </c>
      <c r="H9793" s="417" t="s">
        <v>2616</v>
      </c>
      <c r="I9793" s="417" t="s">
        <v>1392</v>
      </c>
      <c r="J9793" s="417" t="s">
        <v>20833</v>
      </c>
      <c r="K9793" s="417" t="s">
        <v>22031</v>
      </c>
      <c r="L9793" s="417"/>
      <c r="M9793" s="417" t="s">
        <v>28840</v>
      </c>
    </row>
    <row r="9794" spans="1:13" x14ac:dyDescent="0.25">
      <c r="A9794" s="417" t="s">
        <v>3385</v>
      </c>
      <c r="B9794" s="417" t="s">
        <v>2437</v>
      </c>
      <c r="C9794" s="417" t="s">
        <v>22032</v>
      </c>
      <c r="D9794" s="417" t="s">
        <v>17280</v>
      </c>
      <c r="E9794" s="423">
        <v>7.5579657497118313E-2</v>
      </c>
      <c r="F9794" s="423">
        <v>0.1083738792863608</v>
      </c>
      <c r="G9794" s="422">
        <v>206.5614597386656</v>
      </c>
      <c r="H9794" s="417" t="s">
        <v>2616</v>
      </c>
      <c r="I9794" s="417" t="s">
        <v>1392</v>
      </c>
      <c r="J9794" s="417" t="s">
        <v>20833</v>
      </c>
      <c r="K9794" s="417" t="s">
        <v>22033</v>
      </c>
      <c r="L9794" s="417"/>
      <c r="M9794" s="417" t="s">
        <v>28840</v>
      </c>
    </row>
    <row r="9795" spans="1:13" x14ac:dyDescent="0.25">
      <c r="A9795" s="417" t="s">
        <v>3385</v>
      </c>
      <c r="B9795" s="417" t="s">
        <v>2437</v>
      </c>
      <c r="C9795" s="417" t="s">
        <v>22034</v>
      </c>
      <c r="D9795" s="417" t="s">
        <v>17280</v>
      </c>
      <c r="E9795" s="423">
        <v>6.9624584947323168E-2</v>
      </c>
      <c r="F9795" s="423">
        <v>0.1043704630403476</v>
      </c>
      <c r="G9795" s="422">
        <v>197.34611305495699</v>
      </c>
      <c r="H9795" s="417" t="s">
        <v>2616</v>
      </c>
      <c r="I9795" s="417" t="s">
        <v>1392</v>
      </c>
      <c r="J9795" s="417" t="s">
        <v>20833</v>
      </c>
      <c r="K9795" s="417" t="s">
        <v>22035</v>
      </c>
      <c r="L9795" s="417"/>
      <c r="M9795" s="417" t="s">
        <v>28840</v>
      </c>
    </row>
    <row r="9796" spans="1:13" x14ac:dyDescent="0.25">
      <c r="A9796" s="417" t="s">
        <v>3385</v>
      </c>
      <c r="B9796" s="417" t="s">
        <v>2437</v>
      </c>
      <c r="C9796" s="417" t="s">
        <v>22036</v>
      </c>
      <c r="D9796" s="417" t="s">
        <v>17280</v>
      </c>
      <c r="E9796" s="423">
        <v>5.0677711185218612E-2</v>
      </c>
      <c r="F9796" s="423">
        <v>7.2978133080289748E-2</v>
      </c>
      <c r="G9796" s="422">
        <v>135.54080256797559</v>
      </c>
      <c r="H9796" s="417" t="s">
        <v>2616</v>
      </c>
      <c r="I9796" s="417" t="s">
        <v>1392</v>
      </c>
      <c r="J9796" s="417" t="s">
        <v>20833</v>
      </c>
      <c r="K9796" s="417" t="s">
        <v>22037</v>
      </c>
      <c r="L9796" s="417"/>
      <c r="M9796" s="417" t="s">
        <v>28840</v>
      </c>
    </row>
    <row r="9797" spans="1:13" x14ac:dyDescent="0.25">
      <c r="A9797" s="417" t="s">
        <v>3385</v>
      </c>
      <c r="B9797" s="417" t="s">
        <v>2437</v>
      </c>
      <c r="C9797" s="417" t="s">
        <v>22038</v>
      </c>
      <c r="D9797" s="417" t="s">
        <v>17280</v>
      </c>
      <c r="E9797" s="423">
        <v>4.7996749120001847E-2</v>
      </c>
      <c r="F9797" s="423">
        <v>7.170192400442979E-2</v>
      </c>
      <c r="G9797" s="422">
        <v>131.79309488101561</v>
      </c>
      <c r="H9797" s="417" t="s">
        <v>2616</v>
      </c>
      <c r="I9797" s="417" t="s">
        <v>1392</v>
      </c>
      <c r="J9797" s="417" t="s">
        <v>20833</v>
      </c>
      <c r="K9797" s="417" t="s">
        <v>22039</v>
      </c>
      <c r="L9797" s="417"/>
      <c r="M9797" s="417" t="s">
        <v>28840</v>
      </c>
    </row>
    <row r="9798" spans="1:13" x14ac:dyDescent="0.25">
      <c r="A9798" s="417" t="s">
        <v>3385</v>
      </c>
      <c r="B9798" s="417" t="s">
        <v>2437</v>
      </c>
      <c r="C9798" s="417" t="s">
        <v>22040</v>
      </c>
      <c r="D9798" s="417" t="s">
        <v>17280</v>
      </c>
      <c r="E9798" s="423">
        <v>0.1069424089140146</v>
      </c>
      <c r="F9798" s="423">
        <v>0.15276858524337461</v>
      </c>
      <c r="G9798" s="422">
        <v>301.63551604759459</v>
      </c>
      <c r="H9798" s="417" t="s">
        <v>2616</v>
      </c>
      <c r="I9798" s="417" t="s">
        <v>1392</v>
      </c>
      <c r="J9798" s="417" t="s">
        <v>20833</v>
      </c>
      <c r="K9798" s="417" t="s">
        <v>22041</v>
      </c>
      <c r="L9798" s="417"/>
      <c r="M9798" s="417" t="s">
        <v>28840</v>
      </c>
    </row>
    <row r="9799" spans="1:13" x14ac:dyDescent="0.25">
      <c r="A9799" s="417" t="s">
        <v>3385</v>
      </c>
      <c r="B9799" s="417" t="s">
        <v>2437</v>
      </c>
      <c r="C9799" s="417" t="s">
        <v>22042</v>
      </c>
      <c r="D9799" s="417" t="s">
        <v>17280</v>
      </c>
      <c r="E9799" s="423">
        <v>9.7972291116593793E-2</v>
      </c>
      <c r="F9799" s="423">
        <v>0.15021632872209109</v>
      </c>
      <c r="G9799" s="422">
        <v>290.6079088219351</v>
      </c>
      <c r="H9799" s="417" t="s">
        <v>2616</v>
      </c>
      <c r="I9799" s="417" t="s">
        <v>1392</v>
      </c>
      <c r="J9799" s="417" t="s">
        <v>20833</v>
      </c>
      <c r="K9799" s="417" t="s">
        <v>22043</v>
      </c>
      <c r="L9799" s="417"/>
      <c r="M9799" s="417" t="s">
        <v>28840</v>
      </c>
    </row>
    <row r="9800" spans="1:13" x14ac:dyDescent="0.25">
      <c r="A9800" s="417" t="s">
        <v>3385</v>
      </c>
      <c r="B9800" s="417" t="s">
        <v>2437</v>
      </c>
      <c r="C9800" s="417" t="s">
        <v>22044</v>
      </c>
      <c r="D9800" s="417" t="s">
        <v>17280</v>
      </c>
      <c r="E9800" s="423">
        <v>5.2794936490809061E-2</v>
      </c>
      <c r="F9800" s="423">
        <v>1.31936411517205E-2</v>
      </c>
      <c r="G9800" s="422">
        <v>113.1238979806086</v>
      </c>
      <c r="H9800" s="417" t="s">
        <v>2616</v>
      </c>
      <c r="I9800" s="417" t="s">
        <v>1392</v>
      </c>
      <c r="J9800" s="417" t="s">
        <v>20833</v>
      </c>
      <c r="K9800" s="417" t="s">
        <v>22045</v>
      </c>
      <c r="L9800" s="417"/>
      <c r="M9800" s="417" t="s">
        <v>28840</v>
      </c>
    </row>
    <row r="9801" spans="1:13" x14ac:dyDescent="0.25">
      <c r="A9801" s="417" t="s">
        <v>3385</v>
      </c>
      <c r="B9801" s="417" t="s">
        <v>2437</v>
      </c>
      <c r="C9801" s="417" t="s">
        <v>22046</v>
      </c>
      <c r="D9801" s="417" t="s">
        <v>17280</v>
      </c>
      <c r="E9801" s="423">
        <v>4.800583188850862E-2</v>
      </c>
      <c r="F9801" s="423">
        <v>1.2196931265568881E-2</v>
      </c>
      <c r="G9801" s="422">
        <v>105.2217519027033</v>
      </c>
      <c r="H9801" s="417" t="s">
        <v>2616</v>
      </c>
      <c r="I9801" s="417" t="s">
        <v>1392</v>
      </c>
      <c r="J9801" s="417" t="s">
        <v>20833</v>
      </c>
      <c r="K9801" s="417" t="s">
        <v>22047</v>
      </c>
      <c r="L9801" s="417"/>
      <c r="M9801" s="417" t="s">
        <v>28840</v>
      </c>
    </row>
    <row r="9802" spans="1:13" x14ac:dyDescent="0.25">
      <c r="A9802" s="417" t="s">
        <v>3385</v>
      </c>
      <c r="B9802" s="417" t="s">
        <v>2437</v>
      </c>
      <c r="C9802" s="417" t="s">
        <v>22048</v>
      </c>
      <c r="D9802" s="417" t="s">
        <v>17280</v>
      </c>
      <c r="E9802" s="423">
        <v>0.11932724766838269</v>
      </c>
      <c r="F9802" s="423">
        <v>3.0925548061628779E-2</v>
      </c>
      <c r="G9802" s="422">
        <v>253.52112980852681</v>
      </c>
      <c r="H9802" s="417" t="s">
        <v>2616</v>
      </c>
      <c r="I9802" s="417" t="s">
        <v>1392</v>
      </c>
      <c r="J9802" s="417" t="s">
        <v>20833</v>
      </c>
      <c r="K9802" s="417" t="s">
        <v>22049</v>
      </c>
      <c r="L9802" s="417"/>
      <c r="M9802" s="417" t="s">
        <v>28840</v>
      </c>
    </row>
    <row r="9803" spans="1:13" x14ac:dyDescent="0.25">
      <c r="A9803" s="417" t="s">
        <v>3385</v>
      </c>
      <c r="B9803" s="417" t="s">
        <v>2437</v>
      </c>
      <c r="C9803" s="417" t="s">
        <v>22050</v>
      </c>
      <c r="D9803" s="417" t="s">
        <v>17280</v>
      </c>
      <c r="E9803" s="423">
        <v>0.1145565683919053</v>
      </c>
      <c r="F9803" s="423">
        <v>3.0422186869599101E-2</v>
      </c>
      <c r="G9803" s="422">
        <v>246.9059998715548</v>
      </c>
      <c r="H9803" s="417" t="s">
        <v>2616</v>
      </c>
      <c r="I9803" s="417" t="s">
        <v>1392</v>
      </c>
      <c r="J9803" s="417" t="s">
        <v>20833</v>
      </c>
      <c r="K9803" s="417" t="s">
        <v>22051</v>
      </c>
      <c r="L9803" s="417"/>
      <c r="M9803" s="417" t="s">
        <v>28840</v>
      </c>
    </row>
    <row r="9804" spans="1:13" x14ac:dyDescent="0.25">
      <c r="A9804" s="417" t="s">
        <v>3385</v>
      </c>
      <c r="B9804" s="417" t="s">
        <v>2437</v>
      </c>
      <c r="C9804" s="417" t="s">
        <v>22052</v>
      </c>
      <c r="D9804" s="417" t="s">
        <v>17280</v>
      </c>
      <c r="E9804" s="423">
        <v>5.2437137788435249E-2</v>
      </c>
      <c r="F9804" s="423">
        <v>1.3077571908164359E-2</v>
      </c>
      <c r="G9804" s="422">
        <v>113.8146708257657</v>
      </c>
      <c r="H9804" s="417" t="s">
        <v>2616</v>
      </c>
      <c r="I9804" s="417" t="s">
        <v>1392</v>
      </c>
      <c r="J9804" s="417" t="s">
        <v>20833</v>
      </c>
      <c r="K9804" s="417" t="s">
        <v>22053</v>
      </c>
      <c r="L9804" s="417"/>
      <c r="M9804" s="417" t="s">
        <v>28840</v>
      </c>
    </row>
    <row r="9805" spans="1:13" x14ac:dyDescent="0.25">
      <c r="A9805" s="417" t="s">
        <v>3385</v>
      </c>
      <c r="B9805" s="417" t="s">
        <v>2437</v>
      </c>
      <c r="C9805" s="417" t="s">
        <v>22054</v>
      </c>
      <c r="D9805" s="417" t="s">
        <v>17280</v>
      </c>
      <c r="E9805" s="423">
        <v>4.7292813179132927E-2</v>
      </c>
      <c r="F9805" s="423">
        <v>1.208071971854054E-2</v>
      </c>
      <c r="G9805" s="422">
        <v>105.5869607258108</v>
      </c>
      <c r="H9805" s="417" t="s">
        <v>2616</v>
      </c>
      <c r="I9805" s="417" t="s">
        <v>1392</v>
      </c>
      <c r="J9805" s="417" t="s">
        <v>20833</v>
      </c>
      <c r="K9805" s="417" t="s">
        <v>22055</v>
      </c>
      <c r="L9805" s="417"/>
      <c r="M9805" s="417" t="s">
        <v>28840</v>
      </c>
    </row>
    <row r="9806" spans="1:13" x14ac:dyDescent="0.25">
      <c r="A9806" s="417" t="s">
        <v>3385</v>
      </c>
      <c r="B9806" s="417" t="s">
        <v>2437</v>
      </c>
      <c r="C9806" s="417" t="s">
        <v>22056</v>
      </c>
      <c r="D9806" s="417" t="s">
        <v>17280</v>
      </c>
      <c r="E9806" s="423">
        <v>0.1193705118510852</v>
      </c>
      <c r="F9806" s="423">
        <v>3.0988198642153901E-2</v>
      </c>
      <c r="G9806" s="422">
        <v>257.49306662295822</v>
      </c>
      <c r="H9806" s="417" t="s">
        <v>2616</v>
      </c>
      <c r="I9806" s="417" t="s">
        <v>1392</v>
      </c>
      <c r="J9806" s="417" t="s">
        <v>20833</v>
      </c>
      <c r="K9806" s="417" t="s">
        <v>22057</v>
      </c>
      <c r="L9806" s="417"/>
      <c r="M9806" s="417" t="s">
        <v>28840</v>
      </c>
    </row>
    <row r="9807" spans="1:13" x14ac:dyDescent="0.25">
      <c r="A9807" s="417" t="s">
        <v>3385</v>
      </c>
      <c r="B9807" s="417" t="s">
        <v>2437</v>
      </c>
      <c r="C9807" s="417" t="s">
        <v>22058</v>
      </c>
      <c r="D9807" s="417" t="s">
        <v>17280</v>
      </c>
      <c r="E9807" s="423">
        <v>0.11181510911286061</v>
      </c>
      <c r="F9807" s="423">
        <v>2.98892424933286E-2</v>
      </c>
      <c r="G9807" s="422">
        <v>246.41643272138489</v>
      </c>
      <c r="H9807" s="417" t="s">
        <v>2616</v>
      </c>
      <c r="I9807" s="417" t="s">
        <v>1392</v>
      </c>
      <c r="J9807" s="417" t="s">
        <v>20833</v>
      </c>
      <c r="K9807" s="417" t="s">
        <v>22059</v>
      </c>
      <c r="L9807" s="417"/>
      <c r="M9807" s="417" t="s">
        <v>28840</v>
      </c>
    </row>
    <row r="9808" spans="1:13" x14ac:dyDescent="0.25">
      <c r="A9808" s="417" t="s">
        <v>3385</v>
      </c>
      <c r="B9808" s="417" t="s">
        <v>2437</v>
      </c>
      <c r="C9808" s="417" t="s">
        <v>22060</v>
      </c>
      <c r="D9808" s="417" t="s">
        <v>17280</v>
      </c>
      <c r="E9808" s="423">
        <v>7.992010893598632E-2</v>
      </c>
      <c r="F9808" s="423">
        <v>2.072390779559995E-2</v>
      </c>
      <c r="G9808" s="422">
        <v>169.55161055396209</v>
      </c>
      <c r="H9808" s="417" t="s">
        <v>2616</v>
      </c>
      <c r="I9808" s="417" t="s">
        <v>1392</v>
      </c>
      <c r="J9808" s="417" t="s">
        <v>20833</v>
      </c>
      <c r="K9808" s="417" t="s">
        <v>22061</v>
      </c>
      <c r="L9808" s="417"/>
      <c r="M9808" s="417" t="s">
        <v>28840</v>
      </c>
    </row>
    <row r="9809" spans="1:13" x14ac:dyDescent="0.25">
      <c r="A9809" s="417" t="s">
        <v>3385</v>
      </c>
      <c r="B9809" s="417" t="s">
        <v>2437</v>
      </c>
      <c r="C9809" s="417" t="s">
        <v>22062</v>
      </c>
      <c r="D9809" s="417" t="s">
        <v>17280</v>
      </c>
      <c r="E9809" s="423">
        <v>7.6802693175820516E-2</v>
      </c>
      <c r="F9809" s="423">
        <v>2.0421642377427732E-2</v>
      </c>
      <c r="G9809" s="422">
        <v>165.29627846748551</v>
      </c>
      <c r="H9809" s="417" t="s">
        <v>2616</v>
      </c>
      <c r="I9809" s="417" t="s">
        <v>1392</v>
      </c>
      <c r="J9809" s="417" t="s">
        <v>20833</v>
      </c>
      <c r="K9809" s="417" t="s">
        <v>22063</v>
      </c>
      <c r="L9809" s="417"/>
      <c r="M9809" s="417" t="s">
        <v>28840</v>
      </c>
    </row>
    <row r="9810" spans="1:13" x14ac:dyDescent="0.25">
      <c r="A9810" s="417" t="s">
        <v>3385</v>
      </c>
      <c r="B9810" s="417" t="s">
        <v>2437</v>
      </c>
      <c r="C9810" s="417" t="s">
        <v>22064</v>
      </c>
      <c r="D9810" s="417" t="s">
        <v>17280</v>
      </c>
      <c r="E9810" s="423">
        <v>0.1683368957143315</v>
      </c>
      <c r="F9810" s="423">
        <v>4.3433843606068473E-2</v>
      </c>
      <c r="G9810" s="422">
        <v>373.04129184338592</v>
      </c>
      <c r="H9810" s="417" t="s">
        <v>2616</v>
      </c>
      <c r="I9810" s="417" t="s">
        <v>1392</v>
      </c>
      <c r="J9810" s="417" t="s">
        <v>20833</v>
      </c>
      <c r="K9810" s="417" t="s">
        <v>22065</v>
      </c>
      <c r="L9810" s="417"/>
      <c r="M9810" s="417" t="s">
        <v>28840</v>
      </c>
    </row>
    <row r="9811" spans="1:13" x14ac:dyDescent="0.25">
      <c r="A9811" s="417" t="s">
        <v>3385</v>
      </c>
      <c r="B9811" s="417" t="s">
        <v>2437</v>
      </c>
      <c r="C9811" s="417" t="s">
        <v>22066</v>
      </c>
      <c r="D9811" s="417" t="s">
        <v>17280</v>
      </c>
      <c r="E9811" s="423">
        <v>0.15849387052306721</v>
      </c>
      <c r="F9811" s="423">
        <v>4.2829474411698702E-2</v>
      </c>
      <c r="G9811" s="422">
        <v>360.99843623041988</v>
      </c>
      <c r="H9811" s="417" t="s">
        <v>2616</v>
      </c>
      <c r="I9811" s="417" t="s">
        <v>1392</v>
      </c>
      <c r="J9811" s="417" t="s">
        <v>20833</v>
      </c>
      <c r="K9811" s="417" t="s">
        <v>22067</v>
      </c>
      <c r="L9811" s="417"/>
      <c r="M9811" s="417" t="s">
        <v>28840</v>
      </c>
    </row>
    <row r="9812" spans="1:13" x14ac:dyDescent="0.25">
      <c r="A9812" s="417" t="s">
        <v>3385</v>
      </c>
      <c r="B9812" s="417" t="s">
        <v>2437</v>
      </c>
      <c r="C9812" s="417" t="s">
        <v>22068</v>
      </c>
      <c r="D9812" s="417" t="s">
        <v>17280</v>
      </c>
      <c r="E9812" s="423">
        <v>4.6502700838856513E-2</v>
      </c>
      <c r="F9812" s="423">
        <v>3.2886887313402428E-3</v>
      </c>
      <c r="G9812" s="422">
        <v>78.702921353934101</v>
      </c>
      <c r="H9812" s="417" t="s">
        <v>2616</v>
      </c>
      <c r="I9812" s="417" t="s">
        <v>1392</v>
      </c>
      <c r="J9812" s="417" t="s">
        <v>20833</v>
      </c>
      <c r="K9812" s="417" t="s">
        <v>22069</v>
      </c>
      <c r="L9812" s="417"/>
      <c r="M9812" s="417" t="s">
        <v>28840</v>
      </c>
    </row>
    <row r="9813" spans="1:13" x14ac:dyDescent="0.25">
      <c r="A9813" s="417" t="s">
        <v>3385</v>
      </c>
      <c r="B9813" s="417" t="s">
        <v>2437</v>
      </c>
      <c r="C9813" s="417" t="s">
        <v>22070</v>
      </c>
      <c r="D9813" s="417" t="s">
        <v>17280</v>
      </c>
      <c r="E9813" s="423">
        <v>0.1323516666890138</v>
      </c>
      <c r="F9813" s="423">
        <v>9.5680609019850316E-3</v>
      </c>
      <c r="G9813" s="422">
        <v>207.6570375401914</v>
      </c>
      <c r="H9813" s="417" t="s">
        <v>2616</v>
      </c>
      <c r="I9813" s="417" t="s">
        <v>1392</v>
      </c>
      <c r="J9813" s="417" t="s">
        <v>20833</v>
      </c>
      <c r="K9813" s="417" t="s">
        <v>22071</v>
      </c>
      <c r="L9813" s="417"/>
      <c r="M9813" s="417" t="s">
        <v>28840</v>
      </c>
    </row>
    <row r="9814" spans="1:13" x14ac:dyDescent="0.25">
      <c r="A9814" s="417" t="s">
        <v>3385</v>
      </c>
      <c r="B9814" s="417" t="s">
        <v>2437</v>
      </c>
      <c r="C9814" s="417" t="s">
        <v>22072</v>
      </c>
      <c r="D9814" s="417" t="s">
        <v>17280</v>
      </c>
      <c r="E9814" s="423">
        <v>4.5568989432440483E-2</v>
      </c>
      <c r="F9814" s="423">
        <v>3.2331215025024639E-3</v>
      </c>
      <c r="G9814" s="422">
        <v>78.912970288447625</v>
      </c>
      <c r="H9814" s="417" t="s">
        <v>2616</v>
      </c>
      <c r="I9814" s="417" t="s">
        <v>1392</v>
      </c>
      <c r="J9814" s="417" t="s">
        <v>20833</v>
      </c>
      <c r="K9814" s="417" t="s">
        <v>22073</v>
      </c>
      <c r="L9814" s="417"/>
      <c r="M9814" s="417" t="s">
        <v>28840</v>
      </c>
    </row>
    <row r="9815" spans="1:13" x14ac:dyDescent="0.25">
      <c r="A9815" s="417" t="s">
        <v>3385</v>
      </c>
      <c r="B9815" s="417" t="s">
        <v>2437</v>
      </c>
      <c r="C9815" s="417" t="s">
        <v>22074</v>
      </c>
      <c r="D9815" s="417" t="s">
        <v>17280</v>
      </c>
      <c r="E9815" s="423">
        <v>0.129823556193807</v>
      </c>
      <c r="F9815" s="423">
        <v>9.4231925612727578E-3</v>
      </c>
      <c r="G9815" s="422">
        <v>208.55983692921029</v>
      </c>
      <c r="H9815" s="417" t="s">
        <v>2616</v>
      </c>
      <c r="I9815" s="417" t="s">
        <v>1392</v>
      </c>
      <c r="J9815" s="417" t="s">
        <v>20833</v>
      </c>
      <c r="K9815" s="417" t="s">
        <v>22075</v>
      </c>
      <c r="L9815" s="417"/>
      <c r="M9815" s="417" t="s">
        <v>28840</v>
      </c>
    </row>
    <row r="9816" spans="1:13" x14ac:dyDescent="0.25">
      <c r="A9816" s="417" t="s">
        <v>3385</v>
      </c>
      <c r="B9816" s="417" t="s">
        <v>2437</v>
      </c>
      <c r="C9816" s="417" t="s">
        <v>22076</v>
      </c>
      <c r="D9816" s="417" t="s">
        <v>17280</v>
      </c>
      <c r="E9816" s="423">
        <v>8.8604064170911753E-2</v>
      </c>
      <c r="F9816" s="423">
        <v>6.41471866838154E-3</v>
      </c>
      <c r="G9816" s="422">
        <v>138.84626109645421</v>
      </c>
      <c r="H9816" s="417" t="s">
        <v>2616</v>
      </c>
      <c r="I9816" s="417" t="s">
        <v>1392</v>
      </c>
      <c r="J9816" s="417" t="s">
        <v>20833</v>
      </c>
      <c r="K9816" s="417" t="s">
        <v>22077</v>
      </c>
      <c r="L9816" s="417"/>
      <c r="M9816" s="417" t="s">
        <v>28840</v>
      </c>
    </row>
    <row r="9817" spans="1:13" x14ac:dyDescent="0.25">
      <c r="A9817" s="417" t="s">
        <v>3385</v>
      </c>
      <c r="B9817" s="417" t="s">
        <v>2437</v>
      </c>
      <c r="C9817" s="417" t="s">
        <v>22078</v>
      </c>
      <c r="D9817" s="417" t="s">
        <v>17280</v>
      </c>
      <c r="E9817" s="423">
        <v>0.16955472435919161</v>
      </c>
      <c r="F9817" s="423">
        <v>1.237264087017551E-2</v>
      </c>
      <c r="G9817" s="422">
        <v>287.63603083132341</v>
      </c>
      <c r="H9817" s="417" t="s">
        <v>2616</v>
      </c>
      <c r="I9817" s="417" t="s">
        <v>1392</v>
      </c>
      <c r="J9817" s="417" t="s">
        <v>20833</v>
      </c>
      <c r="K9817" s="417" t="s">
        <v>22079</v>
      </c>
      <c r="L9817" s="417"/>
      <c r="M9817" s="417" t="s">
        <v>28840</v>
      </c>
    </row>
    <row r="9818" spans="1:13" x14ac:dyDescent="0.25">
      <c r="A9818" s="417" t="s">
        <v>3385</v>
      </c>
      <c r="B9818" s="417" t="s">
        <v>2437</v>
      </c>
      <c r="C9818" s="417" t="s">
        <v>22080</v>
      </c>
      <c r="D9818" s="417" t="s">
        <v>17280</v>
      </c>
      <c r="E9818" s="423">
        <v>5.1149217297643088E-2</v>
      </c>
      <c r="F9818" s="423">
        <v>3.5360249247511901E-3</v>
      </c>
      <c r="G9818" s="422">
        <v>112.82496561572231</v>
      </c>
      <c r="H9818" s="417" t="s">
        <v>2616</v>
      </c>
      <c r="I9818" s="417" t="s">
        <v>1392</v>
      </c>
      <c r="J9818" s="417" t="s">
        <v>20833</v>
      </c>
      <c r="K9818" s="417" t="s">
        <v>22081</v>
      </c>
      <c r="L9818" s="417"/>
      <c r="M9818" s="417" t="s">
        <v>28840</v>
      </c>
    </row>
    <row r="9819" spans="1:13" x14ac:dyDescent="0.25">
      <c r="A9819" s="417" t="s">
        <v>3385</v>
      </c>
      <c r="B9819" s="417" t="s">
        <v>2437</v>
      </c>
      <c r="C9819" s="417" t="s">
        <v>22082</v>
      </c>
      <c r="D9819" s="417" t="s">
        <v>17280</v>
      </c>
      <c r="E9819" s="423">
        <v>5.1208665005882843E-2</v>
      </c>
      <c r="F9819" s="423">
        <v>3.5356227062343379E-3</v>
      </c>
      <c r="G9819" s="422">
        <v>91.534997367519367</v>
      </c>
      <c r="H9819" s="417" t="s">
        <v>2616</v>
      </c>
      <c r="I9819" s="417" t="s">
        <v>1392</v>
      </c>
      <c r="J9819" s="417" t="s">
        <v>20833</v>
      </c>
      <c r="K9819" s="417" t="s">
        <v>22083</v>
      </c>
      <c r="L9819" s="417"/>
      <c r="M9819" s="417" t="s">
        <v>28840</v>
      </c>
    </row>
    <row r="9820" spans="1:13" x14ac:dyDescent="0.25">
      <c r="A9820" s="417" t="s">
        <v>3385</v>
      </c>
      <c r="B9820" s="417" t="s">
        <v>2437</v>
      </c>
      <c r="C9820" s="417" t="s">
        <v>22084</v>
      </c>
      <c r="D9820" s="417" t="s">
        <v>17280</v>
      </c>
      <c r="E9820" s="423">
        <v>5.14400075430669E-2</v>
      </c>
      <c r="F9820" s="423">
        <v>3.5349938707469079E-3</v>
      </c>
      <c r="G9820" s="422">
        <v>91.105753384808082</v>
      </c>
      <c r="H9820" s="417" t="s">
        <v>2616</v>
      </c>
      <c r="I9820" s="417" t="s">
        <v>1392</v>
      </c>
      <c r="J9820" s="417" t="s">
        <v>20833</v>
      </c>
      <c r="K9820" s="417" t="s">
        <v>22085</v>
      </c>
      <c r="L9820" s="417"/>
      <c r="M9820" s="417" t="s">
        <v>28840</v>
      </c>
    </row>
    <row r="9821" spans="1:13" x14ac:dyDescent="0.25">
      <c r="A9821" s="417" t="s">
        <v>3385</v>
      </c>
      <c r="B9821" s="417" t="s">
        <v>2437</v>
      </c>
      <c r="C9821" s="417" t="s">
        <v>22086</v>
      </c>
      <c r="D9821" s="417" t="s">
        <v>17280</v>
      </c>
      <c r="E9821" s="423">
        <v>4.9393642302689528E-2</v>
      </c>
      <c r="F9821" s="423">
        <v>3.5030297555890392E-3</v>
      </c>
      <c r="G9821" s="422">
        <v>82.256902094235812</v>
      </c>
      <c r="H9821" s="417" t="s">
        <v>2616</v>
      </c>
      <c r="I9821" s="417" t="s">
        <v>1392</v>
      </c>
      <c r="J9821" s="417" t="s">
        <v>20833</v>
      </c>
      <c r="K9821" s="417" t="s">
        <v>22087</v>
      </c>
      <c r="L9821" s="417"/>
      <c r="M9821" s="417" t="s">
        <v>28840</v>
      </c>
    </row>
    <row r="9822" spans="1:13" x14ac:dyDescent="0.25">
      <c r="A9822" s="417" t="s">
        <v>3385</v>
      </c>
      <c r="B9822" s="417" t="s">
        <v>2437</v>
      </c>
      <c r="C9822" s="417" t="s">
        <v>22088</v>
      </c>
      <c r="D9822" s="417" t="s">
        <v>17280</v>
      </c>
      <c r="E9822" s="423">
        <v>0.14510905219236031</v>
      </c>
      <c r="F9822" s="423">
        <v>1.034562489129353E-2</v>
      </c>
      <c r="G9822" s="422">
        <v>312.2767585591576</v>
      </c>
      <c r="H9822" s="417" t="s">
        <v>2616</v>
      </c>
      <c r="I9822" s="417" t="s">
        <v>1392</v>
      </c>
      <c r="J9822" s="417" t="s">
        <v>20833</v>
      </c>
      <c r="K9822" s="417" t="s">
        <v>22089</v>
      </c>
      <c r="L9822" s="417"/>
      <c r="M9822" s="417" t="s">
        <v>28840</v>
      </c>
    </row>
    <row r="9823" spans="1:13" x14ac:dyDescent="0.25">
      <c r="A9823" s="417" t="s">
        <v>3385</v>
      </c>
      <c r="B9823" s="417" t="s">
        <v>2437</v>
      </c>
      <c r="C9823" s="417" t="s">
        <v>22090</v>
      </c>
      <c r="D9823" s="417" t="s">
        <v>17280</v>
      </c>
      <c r="E9823" s="423">
        <v>0.1453094784313749</v>
      </c>
      <c r="F9823" s="423">
        <v>1.0344806575845271E-2</v>
      </c>
      <c r="G9823" s="422">
        <v>246.09426386271821</v>
      </c>
      <c r="H9823" s="417" t="s">
        <v>2616</v>
      </c>
      <c r="I9823" s="417" t="s">
        <v>1392</v>
      </c>
      <c r="J9823" s="417" t="s">
        <v>20833</v>
      </c>
      <c r="K9823" s="417" t="s">
        <v>22091</v>
      </c>
      <c r="L9823" s="417"/>
      <c r="M9823" s="417" t="s">
        <v>28840</v>
      </c>
    </row>
    <row r="9824" spans="1:13" x14ac:dyDescent="0.25">
      <c r="A9824" s="417" t="s">
        <v>3385</v>
      </c>
      <c r="B9824" s="417" t="s">
        <v>2437</v>
      </c>
      <c r="C9824" s="417" t="s">
        <v>22092</v>
      </c>
      <c r="D9824" s="417" t="s">
        <v>17280</v>
      </c>
      <c r="E9824" s="423">
        <v>0.14606698665595219</v>
      </c>
      <c r="F9824" s="423">
        <v>1.034398825999411E-2</v>
      </c>
      <c r="G9824" s="422">
        <v>244.93532653015981</v>
      </c>
      <c r="H9824" s="417" t="s">
        <v>2616</v>
      </c>
      <c r="I9824" s="417" t="s">
        <v>1392</v>
      </c>
      <c r="J9824" s="417" t="s">
        <v>20833</v>
      </c>
      <c r="K9824" s="417" t="s">
        <v>22093</v>
      </c>
      <c r="L9824" s="417"/>
      <c r="M9824" s="417" t="s">
        <v>28840</v>
      </c>
    </row>
    <row r="9825" spans="1:13" x14ac:dyDescent="0.25">
      <c r="A9825" s="417" t="s">
        <v>3385</v>
      </c>
      <c r="B9825" s="417" t="s">
        <v>2437</v>
      </c>
      <c r="C9825" s="417" t="s">
        <v>22094</v>
      </c>
      <c r="D9825" s="417" t="s">
        <v>17280</v>
      </c>
      <c r="E9825" s="423">
        <v>0.1403890110835278</v>
      </c>
      <c r="F9825" s="423">
        <v>1.016689401460283E-2</v>
      </c>
      <c r="G9825" s="422">
        <v>217.9705909233557</v>
      </c>
      <c r="H9825" s="417" t="s">
        <v>2616</v>
      </c>
      <c r="I9825" s="417" t="s">
        <v>1392</v>
      </c>
      <c r="J9825" s="417" t="s">
        <v>20833</v>
      </c>
      <c r="K9825" s="417" t="s">
        <v>22095</v>
      </c>
      <c r="L9825" s="417"/>
      <c r="M9825" s="417" t="s">
        <v>28840</v>
      </c>
    </row>
    <row r="9826" spans="1:13" x14ac:dyDescent="0.25">
      <c r="A9826" s="417" t="s">
        <v>3385</v>
      </c>
      <c r="B9826" s="417" t="s">
        <v>2437</v>
      </c>
      <c r="C9826" s="417" t="s">
        <v>22096</v>
      </c>
      <c r="D9826" s="417" t="s">
        <v>17280</v>
      </c>
      <c r="E9826" s="423">
        <v>5.0684469052424061E-2</v>
      </c>
      <c r="F9826" s="423">
        <v>3.4889217765613168E-3</v>
      </c>
      <c r="G9826" s="422">
        <v>113.16166966510001</v>
      </c>
      <c r="H9826" s="417" t="s">
        <v>2616</v>
      </c>
      <c r="I9826" s="417" t="s">
        <v>1392</v>
      </c>
      <c r="J9826" s="417" t="s">
        <v>20833</v>
      </c>
      <c r="K9826" s="417" t="s">
        <v>22097</v>
      </c>
      <c r="L9826" s="417"/>
      <c r="M9826" s="417" t="s">
        <v>28840</v>
      </c>
    </row>
    <row r="9827" spans="1:13" x14ac:dyDescent="0.25">
      <c r="A9827" s="417" t="s">
        <v>3385</v>
      </c>
      <c r="B9827" s="417" t="s">
        <v>2437</v>
      </c>
      <c r="C9827" s="417" t="s">
        <v>22098</v>
      </c>
      <c r="D9827" s="417" t="s">
        <v>17280</v>
      </c>
      <c r="E9827" s="423">
        <v>5.0746683605182842E-2</v>
      </c>
      <c r="F9827" s="423">
        <v>3.488620053697654E-3</v>
      </c>
      <c r="G9827" s="422">
        <v>92.100767745478478</v>
      </c>
      <c r="H9827" s="417" t="s">
        <v>2616</v>
      </c>
      <c r="I9827" s="417" t="s">
        <v>1392</v>
      </c>
      <c r="J9827" s="417" t="s">
        <v>20833</v>
      </c>
      <c r="K9827" s="417" t="s">
        <v>22099</v>
      </c>
      <c r="L9827" s="417"/>
      <c r="M9827" s="417" t="s">
        <v>28840</v>
      </c>
    </row>
    <row r="9828" spans="1:13" x14ac:dyDescent="0.25">
      <c r="A9828" s="417" t="s">
        <v>3385</v>
      </c>
      <c r="B9828" s="417" t="s">
        <v>2437</v>
      </c>
      <c r="C9828" s="417" t="s">
        <v>22100</v>
      </c>
      <c r="D9828" s="417" t="s">
        <v>17280</v>
      </c>
      <c r="E9828" s="423">
        <v>5.0983860516483202E-2</v>
      </c>
      <c r="F9828" s="423">
        <v>3.488302644103583E-3</v>
      </c>
      <c r="G9828" s="422">
        <v>91.732536602396678</v>
      </c>
      <c r="H9828" s="417" t="s">
        <v>2616</v>
      </c>
      <c r="I9828" s="417" t="s">
        <v>1392</v>
      </c>
      <c r="J9828" s="417" t="s">
        <v>20833</v>
      </c>
      <c r="K9828" s="417" t="s">
        <v>22101</v>
      </c>
      <c r="L9828" s="417"/>
      <c r="M9828" s="417" t="s">
        <v>28840</v>
      </c>
    </row>
    <row r="9829" spans="1:13" x14ac:dyDescent="0.25">
      <c r="A9829" s="417" t="s">
        <v>3385</v>
      </c>
      <c r="B9829" s="417" t="s">
        <v>2437</v>
      </c>
      <c r="C9829" s="417" t="s">
        <v>22102</v>
      </c>
      <c r="D9829" s="417" t="s">
        <v>17280</v>
      </c>
      <c r="E9829" s="423">
        <v>4.8200856508388089E-2</v>
      </c>
      <c r="F9829" s="423">
        <v>3.4276273704960409E-3</v>
      </c>
      <c r="G9829" s="422">
        <v>82.109869508580786</v>
      </c>
      <c r="H9829" s="417" t="s">
        <v>2616</v>
      </c>
      <c r="I9829" s="417" t="s">
        <v>1392</v>
      </c>
      <c r="J9829" s="417" t="s">
        <v>20833</v>
      </c>
      <c r="K9829" s="417" t="s">
        <v>22103</v>
      </c>
      <c r="L9829" s="417"/>
      <c r="M9829" s="417" t="s">
        <v>28840</v>
      </c>
    </row>
    <row r="9830" spans="1:13" x14ac:dyDescent="0.25">
      <c r="A9830" s="417" t="s">
        <v>3385</v>
      </c>
      <c r="B9830" s="417" t="s">
        <v>2437</v>
      </c>
      <c r="C9830" s="417" t="s">
        <v>22104</v>
      </c>
      <c r="D9830" s="417" t="s">
        <v>17280</v>
      </c>
      <c r="E9830" s="423">
        <v>0.14502945890257141</v>
      </c>
      <c r="F9830" s="423">
        <v>1.031580266980542E-2</v>
      </c>
      <c r="G9830" s="422">
        <v>315.81318554220968</v>
      </c>
      <c r="H9830" s="417" t="s">
        <v>2616</v>
      </c>
      <c r="I9830" s="417" t="s">
        <v>1392</v>
      </c>
      <c r="J9830" s="417" t="s">
        <v>20833</v>
      </c>
      <c r="K9830" s="417" t="s">
        <v>22105</v>
      </c>
      <c r="L9830" s="417"/>
      <c r="M9830" s="417" t="s">
        <v>28840</v>
      </c>
    </row>
    <row r="9831" spans="1:13" x14ac:dyDescent="0.25">
      <c r="A9831" s="417" t="s">
        <v>3385</v>
      </c>
      <c r="B9831" s="417" t="s">
        <v>2437</v>
      </c>
      <c r="C9831" s="417" t="s">
        <v>22106</v>
      </c>
      <c r="D9831" s="417" t="s">
        <v>17280</v>
      </c>
      <c r="E9831" s="423">
        <v>0.14485069232179171</v>
      </c>
      <c r="F9831" s="423">
        <v>1.028644121996933E-2</v>
      </c>
      <c r="G9831" s="422">
        <v>249.32641719091981</v>
      </c>
      <c r="H9831" s="417" t="s">
        <v>2616</v>
      </c>
      <c r="I9831" s="417" t="s">
        <v>1392</v>
      </c>
      <c r="J9831" s="417" t="s">
        <v>20833</v>
      </c>
      <c r="K9831" s="417" t="s">
        <v>22107</v>
      </c>
      <c r="L9831" s="417"/>
      <c r="M9831" s="417" t="s">
        <v>28840</v>
      </c>
    </row>
    <row r="9832" spans="1:13" x14ac:dyDescent="0.25">
      <c r="A9832" s="417" t="s">
        <v>3385</v>
      </c>
      <c r="B9832" s="417" t="s">
        <v>2437</v>
      </c>
      <c r="C9832" s="417" t="s">
        <v>22108</v>
      </c>
      <c r="D9832" s="417" t="s">
        <v>17280</v>
      </c>
      <c r="E9832" s="423">
        <v>0.14560416920040031</v>
      </c>
      <c r="F9832" s="423">
        <v>1.0285583200305421E-2</v>
      </c>
      <c r="G9832" s="422">
        <v>248.17205862054689</v>
      </c>
      <c r="H9832" s="417" t="s">
        <v>2616</v>
      </c>
      <c r="I9832" s="417" t="s">
        <v>1392</v>
      </c>
      <c r="J9832" s="417" t="s">
        <v>20833</v>
      </c>
      <c r="K9832" s="417" t="s">
        <v>22109</v>
      </c>
      <c r="L9832" s="417"/>
      <c r="M9832" s="417" t="s">
        <v>28840</v>
      </c>
    </row>
    <row r="9833" spans="1:13" x14ac:dyDescent="0.25">
      <c r="A9833" s="417" t="s">
        <v>3385</v>
      </c>
      <c r="B9833" s="417" t="s">
        <v>2437</v>
      </c>
      <c r="C9833" s="417" t="s">
        <v>22110</v>
      </c>
      <c r="D9833" s="417" t="s">
        <v>17280</v>
      </c>
      <c r="E9833" s="423">
        <v>0.13940027009670719</v>
      </c>
      <c r="F9833" s="423">
        <v>1.0136471401081169E-2</v>
      </c>
      <c r="G9833" s="422">
        <v>220.7983729437795</v>
      </c>
      <c r="H9833" s="417" t="s">
        <v>2616</v>
      </c>
      <c r="I9833" s="417" t="s">
        <v>1392</v>
      </c>
      <c r="J9833" s="417" t="s">
        <v>20833</v>
      </c>
      <c r="K9833" s="417" t="s">
        <v>22111</v>
      </c>
      <c r="L9833" s="417"/>
      <c r="M9833" s="417" t="s">
        <v>28840</v>
      </c>
    </row>
    <row r="9834" spans="1:13" x14ac:dyDescent="0.25">
      <c r="A9834" s="417" t="s">
        <v>3385</v>
      </c>
      <c r="B9834" s="417" t="s">
        <v>2437</v>
      </c>
      <c r="C9834" s="417" t="s">
        <v>22112</v>
      </c>
      <c r="D9834" s="417" t="s">
        <v>17280</v>
      </c>
      <c r="E9834" s="423">
        <v>9.715060159675569E-2</v>
      </c>
      <c r="F9834" s="423">
        <v>6.9330468040243844E-3</v>
      </c>
      <c r="G9834" s="422">
        <v>208.79683598725401</v>
      </c>
      <c r="H9834" s="417" t="s">
        <v>2616</v>
      </c>
      <c r="I9834" s="417" t="s">
        <v>1392</v>
      </c>
      <c r="J9834" s="417" t="s">
        <v>20833</v>
      </c>
      <c r="K9834" s="417" t="s">
        <v>22113</v>
      </c>
      <c r="L9834" s="417"/>
      <c r="M9834" s="417" t="s">
        <v>28840</v>
      </c>
    </row>
    <row r="9835" spans="1:13" x14ac:dyDescent="0.25">
      <c r="A9835" s="417" t="s">
        <v>3385</v>
      </c>
      <c r="B9835" s="417" t="s">
        <v>2437</v>
      </c>
      <c r="C9835" s="417" t="s">
        <v>22114</v>
      </c>
      <c r="D9835" s="417" t="s">
        <v>17280</v>
      </c>
      <c r="E9835" s="423">
        <v>9.7282332356236262E-2</v>
      </c>
      <c r="F9835" s="423">
        <v>6.9323925732274966E-3</v>
      </c>
      <c r="G9835" s="422">
        <v>164.39707677814491</v>
      </c>
      <c r="H9835" s="417" t="s">
        <v>2616</v>
      </c>
      <c r="I9835" s="417" t="s">
        <v>1392</v>
      </c>
      <c r="J9835" s="417" t="s">
        <v>20833</v>
      </c>
      <c r="K9835" s="417" t="s">
        <v>22115</v>
      </c>
      <c r="L9835" s="417"/>
      <c r="M9835" s="417" t="s">
        <v>28840</v>
      </c>
    </row>
    <row r="9836" spans="1:13" x14ac:dyDescent="0.25">
      <c r="A9836" s="417" t="s">
        <v>3385</v>
      </c>
      <c r="B9836" s="417" t="s">
        <v>2437</v>
      </c>
      <c r="C9836" s="417" t="s">
        <v>22116</v>
      </c>
      <c r="D9836" s="417" t="s">
        <v>17280</v>
      </c>
      <c r="E9836" s="423">
        <v>9.7797847788086478E-2</v>
      </c>
      <c r="F9836" s="423">
        <v>6.9320959132046674E-3</v>
      </c>
      <c r="G9836" s="422">
        <v>163.62565803889589</v>
      </c>
      <c r="H9836" s="417" t="s">
        <v>2616</v>
      </c>
      <c r="I9836" s="417" t="s">
        <v>1392</v>
      </c>
      <c r="J9836" s="417" t="s">
        <v>20833</v>
      </c>
      <c r="K9836" s="417" t="s">
        <v>22117</v>
      </c>
      <c r="L9836" s="417"/>
      <c r="M9836" s="417" t="s">
        <v>28840</v>
      </c>
    </row>
    <row r="9837" spans="1:13" x14ac:dyDescent="0.25">
      <c r="A9837" s="417" t="s">
        <v>3385</v>
      </c>
      <c r="B9837" s="417" t="s">
        <v>2437</v>
      </c>
      <c r="C9837" s="417" t="s">
        <v>22118</v>
      </c>
      <c r="D9837" s="417" t="s">
        <v>17280</v>
      </c>
      <c r="E9837" s="423">
        <v>9.4338568644562498E-2</v>
      </c>
      <c r="F9837" s="423">
        <v>6.8423877874630099E-3</v>
      </c>
      <c r="G9837" s="422">
        <v>146.0009572659427</v>
      </c>
      <c r="H9837" s="417" t="s">
        <v>2616</v>
      </c>
      <c r="I9837" s="417" t="s">
        <v>1392</v>
      </c>
      <c r="J9837" s="417" t="s">
        <v>20833</v>
      </c>
      <c r="K9837" s="417" t="s">
        <v>22119</v>
      </c>
      <c r="L9837" s="417"/>
      <c r="M9837" s="417" t="s">
        <v>28840</v>
      </c>
    </row>
    <row r="9838" spans="1:13" x14ac:dyDescent="0.25">
      <c r="A9838" s="417" t="s">
        <v>3385</v>
      </c>
      <c r="B9838" s="417" t="s">
        <v>2437</v>
      </c>
      <c r="C9838" s="417" t="s">
        <v>22120</v>
      </c>
      <c r="D9838" s="417" t="s">
        <v>17280</v>
      </c>
      <c r="E9838" s="423">
        <v>0.18858130464158709</v>
      </c>
      <c r="F9838" s="423">
        <v>1.328838673325302E-2</v>
      </c>
      <c r="G9838" s="422">
        <v>423.21909621625599</v>
      </c>
      <c r="H9838" s="417" t="s">
        <v>2616</v>
      </c>
      <c r="I9838" s="417" t="s">
        <v>1392</v>
      </c>
      <c r="J9838" s="417" t="s">
        <v>20833</v>
      </c>
      <c r="K9838" s="417" t="s">
        <v>22121</v>
      </c>
      <c r="L9838" s="417"/>
      <c r="M9838" s="417" t="s">
        <v>28840</v>
      </c>
    </row>
    <row r="9839" spans="1:13" x14ac:dyDescent="0.25">
      <c r="A9839" s="417" t="s">
        <v>3385</v>
      </c>
      <c r="B9839" s="417" t="s">
        <v>2437</v>
      </c>
      <c r="C9839" s="417" t="s">
        <v>22122</v>
      </c>
      <c r="D9839" s="417" t="s">
        <v>17280</v>
      </c>
      <c r="E9839" s="423">
        <v>0.18884261986258749</v>
      </c>
      <c r="F9839" s="423">
        <v>1.328745675099607E-2</v>
      </c>
      <c r="G9839" s="422">
        <v>338.72195519531812</v>
      </c>
      <c r="H9839" s="417" t="s">
        <v>2616</v>
      </c>
      <c r="I9839" s="417" t="s">
        <v>1392</v>
      </c>
      <c r="J9839" s="417" t="s">
        <v>20833</v>
      </c>
      <c r="K9839" s="417" t="s">
        <v>22123</v>
      </c>
      <c r="L9839" s="417"/>
      <c r="M9839" s="417" t="s">
        <v>28840</v>
      </c>
    </row>
    <row r="9840" spans="1:13" x14ac:dyDescent="0.25">
      <c r="A9840" s="417" t="s">
        <v>3385</v>
      </c>
      <c r="B9840" s="417" t="s">
        <v>2437</v>
      </c>
      <c r="C9840" s="417" t="s">
        <v>22124</v>
      </c>
      <c r="D9840" s="417" t="s">
        <v>17280</v>
      </c>
      <c r="E9840" s="423">
        <v>0.189432461666799</v>
      </c>
      <c r="F9840" s="423">
        <v>1.325805130618243E-2</v>
      </c>
      <c r="G9840" s="422">
        <v>336.72766305325558</v>
      </c>
      <c r="H9840" s="417" t="s">
        <v>2616</v>
      </c>
      <c r="I9840" s="417" t="s">
        <v>1392</v>
      </c>
      <c r="J9840" s="417" t="s">
        <v>20833</v>
      </c>
      <c r="K9840" s="417" t="s">
        <v>22125</v>
      </c>
      <c r="L9840" s="417"/>
      <c r="M9840" s="417" t="s">
        <v>28840</v>
      </c>
    </row>
    <row r="9841" spans="1:13" x14ac:dyDescent="0.25">
      <c r="A9841" s="417" t="s">
        <v>3385</v>
      </c>
      <c r="B9841" s="417" t="s">
        <v>2437</v>
      </c>
      <c r="C9841" s="417" t="s">
        <v>22126</v>
      </c>
      <c r="D9841" s="417" t="s">
        <v>17280</v>
      </c>
      <c r="E9841" s="423">
        <v>0.1788989077702762</v>
      </c>
      <c r="F9841" s="423">
        <v>1.307844551835978E-2</v>
      </c>
      <c r="G9841" s="422">
        <v>299.1751779445317</v>
      </c>
      <c r="H9841" s="417" t="s">
        <v>2616</v>
      </c>
      <c r="I9841" s="417" t="s">
        <v>1392</v>
      </c>
      <c r="J9841" s="417" t="s">
        <v>20833</v>
      </c>
      <c r="K9841" s="417" t="s">
        <v>22127</v>
      </c>
      <c r="L9841" s="417"/>
      <c r="M9841" s="417" t="s">
        <v>28840</v>
      </c>
    </row>
    <row r="9842" spans="1:13" x14ac:dyDescent="0.25">
      <c r="A9842" s="417" t="s">
        <v>3385</v>
      </c>
      <c r="B9842" s="417" t="s">
        <v>2437</v>
      </c>
      <c r="C9842" s="417" t="s">
        <v>22128</v>
      </c>
      <c r="D9842" s="417" t="s">
        <v>17280</v>
      </c>
      <c r="E9842" s="423">
        <v>0.12582008149266341</v>
      </c>
      <c r="F9842" s="423">
        <v>9.5454862436848212E-3</v>
      </c>
      <c r="G9842" s="422">
        <v>207.60122593117549</v>
      </c>
      <c r="H9842" s="417" t="s">
        <v>2616</v>
      </c>
      <c r="I9842" s="417" t="s">
        <v>28994</v>
      </c>
      <c r="J9842" s="417" t="s">
        <v>20833</v>
      </c>
      <c r="K9842" s="417" t="s">
        <v>22129</v>
      </c>
      <c r="L9842" s="417"/>
      <c r="M9842" s="417" t="s">
        <v>28840</v>
      </c>
    </row>
    <row r="9843" spans="1:13" x14ac:dyDescent="0.25">
      <c r="A9843" s="417" t="s">
        <v>3385</v>
      </c>
      <c r="B9843" s="417" t="s">
        <v>2437</v>
      </c>
      <c r="C9843" s="417" t="s">
        <v>22130</v>
      </c>
      <c r="D9843" s="417" t="s">
        <v>17280</v>
      </c>
      <c r="E9843" s="423">
        <v>2.6378373123018141E-2</v>
      </c>
      <c r="F9843" s="423">
        <v>4.231287374456597E-3</v>
      </c>
      <c r="G9843" s="422">
        <v>105.572282312014</v>
      </c>
      <c r="H9843" s="417" t="s">
        <v>2616</v>
      </c>
      <c r="I9843" s="417" t="s">
        <v>1392</v>
      </c>
      <c r="J9843" s="417" t="s">
        <v>20833</v>
      </c>
      <c r="K9843" s="417" t="s">
        <v>22131</v>
      </c>
      <c r="L9843" s="417"/>
      <c r="M9843" s="417" t="s">
        <v>28840</v>
      </c>
    </row>
    <row r="9844" spans="1:13" x14ac:dyDescent="0.25">
      <c r="A9844" s="417" t="s">
        <v>3385</v>
      </c>
      <c r="B9844" s="417" t="s">
        <v>2437</v>
      </c>
      <c r="C9844" s="417" t="s">
        <v>22132</v>
      </c>
      <c r="D9844" s="417" t="s">
        <v>17280</v>
      </c>
      <c r="E9844" s="423">
        <v>7.3908573192384086E-2</v>
      </c>
      <c r="F9844" s="423">
        <v>1.3509567299274749E-2</v>
      </c>
      <c r="G9844" s="422">
        <v>314.9831902329131</v>
      </c>
      <c r="H9844" s="417" t="s">
        <v>2616</v>
      </c>
      <c r="I9844" s="417" t="s">
        <v>1392</v>
      </c>
      <c r="J9844" s="417" t="s">
        <v>20833</v>
      </c>
      <c r="K9844" s="417" t="s">
        <v>22133</v>
      </c>
      <c r="L9844" s="417"/>
      <c r="M9844" s="417" t="s">
        <v>28840</v>
      </c>
    </row>
    <row r="9845" spans="1:13" x14ac:dyDescent="0.25">
      <c r="A9845" s="417" t="s">
        <v>3385</v>
      </c>
      <c r="B9845" s="417" t="s">
        <v>2437</v>
      </c>
      <c r="C9845" s="417" t="s">
        <v>22134</v>
      </c>
      <c r="D9845" s="417" t="s">
        <v>17280</v>
      </c>
      <c r="E9845" s="423">
        <v>2.521971594048435E-2</v>
      </c>
      <c r="F9845" s="423">
        <v>4.0576949847136194E-3</v>
      </c>
      <c r="G9845" s="422">
        <v>102.29038070541991</v>
      </c>
      <c r="H9845" s="417" t="s">
        <v>2616</v>
      </c>
      <c r="I9845" s="417" t="s">
        <v>1392</v>
      </c>
      <c r="J9845" s="417" t="s">
        <v>20833</v>
      </c>
      <c r="K9845" s="417" t="s">
        <v>22135</v>
      </c>
      <c r="L9845" s="417"/>
      <c r="M9845" s="417" t="s">
        <v>28840</v>
      </c>
    </row>
    <row r="9846" spans="1:13" x14ac:dyDescent="0.25">
      <c r="A9846" s="417" t="s">
        <v>3385</v>
      </c>
      <c r="B9846" s="417" t="s">
        <v>2437</v>
      </c>
      <c r="C9846" s="417" t="s">
        <v>22136</v>
      </c>
      <c r="D9846" s="417" t="s">
        <v>17280</v>
      </c>
      <c r="E9846" s="423">
        <v>7.1990283703043986E-2</v>
      </c>
      <c r="F9846" s="423">
        <v>1.326788587447544E-2</v>
      </c>
      <c r="G9846" s="422">
        <v>311.28716575934931</v>
      </c>
      <c r="H9846" s="417" t="s">
        <v>2616</v>
      </c>
      <c r="I9846" s="417" t="s">
        <v>1392</v>
      </c>
      <c r="J9846" s="417" t="s">
        <v>20833</v>
      </c>
      <c r="K9846" s="417" t="s">
        <v>22137</v>
      </c>
      <c r="L9846" s="417"/>
      <c r="M9846" s="417" t="s">
        <v>28840</v>
      </c>
    </row>
    <row r="9847" spans="1:13" x14ac:dyDescent="0.25">
      <c r="A9847" s="417" t="s">
        <v>3385</v>
      </c>
      <c r="B9847" s="417" t="s">
        <v>2437</v>
      </c>
      <c r="C9847" s="417" t="s">
        <v>22138</v>
      </c>
      <c r="D9847" s="417" t="s">
        <v>17280</v>
      </c>
      <c r="E9847" s="423">
        <v>4.9764021835626157E-2</v>
      </c>
      <c r="F9847" s="423">
        <v>9.12479869762973E-3</v>
      </c>
      <c r="G9847" s="422">
        <v>212.62512736908829</v>
      </c>
      <c r="H9847" s="417" t="s">
        <v>2616</v>
      </c>
      <c r="I9847" s="417" t="s">
        <v>1392</v>
      </c>
      <c r="J9847" s="417" t="s">
        <v>20833</v>
      </c>
      <c r="K9847" s="417" t="s">
        <v>22139</v>
      </c>
      <c r="L9847" s="417"/>
      <c r="M9847" s="417" t="s">
        <v>28840</v>
      </c>
    </row>
    <row r="9848" spans="1:13" x14ac:dyDescent="0.25">
      <c r="A9848" s="417" t="s">
        <v>3385</v>
      </c>
      <c r="B9848" s="417" t="s">
        <v>2437</v>
      </c>
      <c r="C9848" s="417" t="s">
        <v>22140</v>
      </c>
      <c r="D9848" s="417" t="s">
        <v>17280</v>
      </c>
      <c r="E9848" s="423">
        <v>9.1143313014512894E-2</v>
      </c>
      <c r="F9848" s="423">
        <v>1.671910581211563E-2</v>
      </c>
      <c r="G9848" s="422">
        <v>400.82885388797462</v>
      </c>
      <c r="H9848" s="417" t="s">
        <v>2616</v>
      </c>
      <c r="I9848" s="417" t="s">
        <v>1392</v>
      </c>
      <c r="J9848" s="417" t="s">
        <v>20833</v>
      </c>
      <c r="K9848" s="417" t="s">
        <v>22141</v>
      </c>
      <c r="L9848" s="417"/>
      <c r="M9848" s="417" t="s">
        <v>28840</v>
      </c>
    </row>
    <row r="9849" spans="1:13" x14ac:dyDescent="0.25">
      <c r="A9849" s="417" t="s">
        <v>3385</v>
      </c>
      <c r="B9849" s="417" t="s">
        <v>2437</v>
      </c>
      <c r="C9849" s="417" t="s">
        <v>22142</v>
      </c>
      <c r="D9849" s="417" t="s">
        <v>17280</v>
      </c>
      <c r="E9849" s="423">
        <v>1.356899295745212E-2</v>
      </c>
      <c r="F9849" s="423">
        <v>1.9760936148341709E-3</v>
      </c>
      <c r="G9849" s="422">
        <v>44.241445456849277</v>
      </c>
      <c r="H9849" s="417" t="s">
        <v>2616</v>
      </c>
      <c r="I9849" s="417" t="s">
        <v>1392</v>
      </c>
      <c r="J9849" s="417" t="s">
        <v>20833</v>
      </c>
      <c r="K9849" s="417" t="s">
        <v>22143</v>
      </c>
      <c r="L9849" s="417"/>
      <c r="M9849" s="417" t="s">
        <v>28840</v>
      </c>
    </row>
    <row r="9850" spans="1:13" x14ac:dyDescent="0.25">
      <c r="A9850" s="417" t="s">
        <v>3385</v>
      </c>
      <c r="B9850" s="417" t="s">
        <v>2437</v>
      </c>
      <c r="C9850" s="417" t="s">
        <v>22144</v>
      </c>
      <c r="D9850" s="417" t="s">
        <v>17280</v>
      </c>
      <c r="E9850" s="423">
        <v>3.0493574840733E-2</v>
      </c>
      <c r="F9850" s="423">
        <v>5.8660098250958104E-3</v>
      </c>
      <c r="G9850" s="422">
        <v>107.11378731473479</v>
      </c>
      <c r="H9850" s="417" t="s">
        <v>2616</v>
      </c>
      <c r="I9850" s="417" t="s">
        <v>1392</v>
      </c>
      <c r="J9850" s="417" t="s">
        <v>20833</v>
      </c>
      <c r="K9850" s="417" t="s">
        <v>22145</v>
      </c>
      <c r="L9850" s="417"/>
      <c r="M9850" s="417" t="s">
        <v>28840</v>
      </c>
    </row>
    <row r="9851" spans="1:13" x14ac:dyDescent="0.25">
      <c r="A9851" s="417" t="s">
        <v>3385</v>
      </c>
      <c r="B9851" s="417" t="s">
        <v>2437</v>
      </c>
      <c r="C9851" s="417" t="s">
        <v>22146</v>
      </c>
      <c r="D9851" s="417" t="s">
        <v>17280</v>
      </c>
      <c r="E9851" s="423">
        <v>1.2948134200714089E-2</v>
      </c>
      <c r="F9851" s="423">
        <v>1.897184932767765E-3</v>
      </c>
      <c r="G9851" s="422">
        <v>43.534502483381118</v>
      </c>
      <c r="H9851" s="417" t="s">
        <v>2616</v>
      </c>
      <c r="I9851" s="417" t="s">
        <v>1392</v>
      </c>
      <c r="J9851" s="417" t="s">
        <v>20833</v>
      </c>
      <c r="K9851" s="417" t="s">
        <v>22147</v>
      </c>
      <c r="L9851" s="417"/>
      <c r="M9851" s="417" t="s">
        <v>28840</v>
      </c>
    </row>
    <row r="9852" spans="1:13" x14ac:dyDescent="0.25">
      <c r="A9852" s="417" t="s">
        <v>3385</v>
      </c>
      <c r="B9852" s="417" t="s">
        <v>2437</v>
      </c>
      <c r="C9852" s="417" t="s">
        <v>22148</v>
      </c>
      <c r="D9852" s="417" t="s">
        <v>17280</v>
      </c>
      <c r="E9852" s="423">
        <v>2.930864676895208E-2</v>
      </c>
      <c r="F9852" s="423">
        <v>5.7534425471184418E-3</v>
      </c>
      <c r="G9852" s="422">
        <v>106.9290707200549</v>
      </c>
      <c r="H9852" s="417" t="s">
        <v>2616</v>
      </c>
      <c r="I9852" s="417" t="s">
        <v>1392</v>
      </c>
      <c r="J9852" s="417" t="s">
        <v>20833</v>
      </c>
      <c r="K9852" s="417" t="s">
        <v>22149</v>
      </c>
      <c r="L9852" s="417"/>
      <c r="M9852" s="417" t="s">
        <v>28840</v>
      </c>
    </row>
    <row r="9853" spans="1:13" x14ac:dyDescent="0.25">
      <c r="A9853" s="417" t="s">
        <v>3385</v>
      </c>
      <c r="B9853" s="417" t="s">
        <v>2437</v>
      </c>
      <c r="C9853" s="417" t="s">
        <v>22150</v>
      </c>
      <c r="D9853" s="417" t="s">
        <v>17280</v>
      </c>
      <c r="E9853" s="423">
        <v>2.0429563487680571E-2</v>
      </c>
      <c r="F9853" s="423">
        <v>3.9602328368379507E-3</v>
      </c>
      <c r="G9853" s="422">
        <v>72.172828345492292</v>
      </c>
      <c r="H9853" s="417" t="s">
        <v>2616</v>
      </c>
      <c r="I9853" s="417" t="s">
        <v>1392</v>
      </c>
      <c r="J9853" s="417" t="s">
        <v>20833</v>
      </c>
      <c r="K9853" s="417" t="s">
        <v>22151</v>
      </c>
      <c r="L9853" s="417"/>
      <c r="M9853" s="417" t="s">
        <v>28840</v>
      </c>
    </row>
    <row r="9854" spans="1:13" x14ac:dyDescent="0.25">
      <c r="A9854" s="417" t="s">
        <v>3385</v>
      </c>
      <c r="B9854" s="417" t="s">
        <v>2437</v>
      </c>
      <c r="C9854" s="417" t="s">
        <v>22152</v>
      </c>
      <c r="D9854" s="417" t="s">
        <v>17280</v>
      </c>
      <c r="E9854" s="423">
        <v>3.7852380361524711E-2</v>
      </c>
      <c r="F9854" s="423">
        <v>7.3368111643883288E-3</v>
      </c>
      <c r="G9854" s="422">
        <v>145.6738449894772</v>
      </c>
      <c r="H9854" s="417" t="s">
        <v>2616</v>
      </c>
      <c r="I9854" s="417" t="s">
        <v>1392</v>
      </c>
      <c r="J9854" s="417" t="s">
        <v>20833</v>
      </c>
      <c r="K9854" s="417" t="s">
        <v>22153</v>
      </c>
      <c r="L9854" s="417"/>
      <c r="M9854" s="417" t="s">
        <v>28840</v>
      </c>
    </row>
    <row r="9855" spans="1:13" x14ac:dyDescent="0.25">
      <c r="A9855" s="417" t="s">
        <v>3385</v>
      </c>
      <c r="B9855" s="417" t="s">
        <v>2437</v>
      </c>
      <c r="C9855" s="417" t="s">
        <v>22154</v>
      </c>
      <c r="D9855" s="417" t="s">
        <v>17280</v>
      </c>
      <c r="E9855" s="423">
        <v>4.3947266121206828E-2</v>
      </c>
      <c r="F9855" s="423">
        <v>1.0149243597209639E-3</v>
      </c>
      <c r="G9855" s="422">
        <v>75.560915750903106</v>
      </c>
      <c r="H9855" s="417" t="s">
        <v>2616</v>
      </c>
      <c r="I9855" s="417" t="s">
        <v>1392</v>
      </c>
      <c r="J9855" s="417" t="s">
        <v>20833</v>
      </c>
      <c r="K9855" s="417" t="s">
        <v>22155</v>
      </c>
      <c r="L9855" s="417"/>
      <c r="M9855" s="417" t="s">
        <v>28840</v>
      </c>
    </row>
    <row r="9856" spans="1:13" x14ac:dyDescent="0.25">
      <c r="A9856" s="417" t="s">
        <v>3385</v>
      </c>
      <c r="B9856" s="417" t="s">
        <v>2437</v>
      </c>
      <c r="C9856" s="417" t="s">
        <v>22156</v>
      </c>
      <c r="D9856" s="417" t="s">
        <v>17280</v>
      </c>
      <c r="E9856" s="423">
        <v>0.13345505030993909</v>
      </c>
      <c r="F9856" s="423">
        <v>2.6083063962971959E-3</v>
      </c>
      <c r="G9856" s="422">
        <v>213.26527440710939</v>
      </c>
      <c r="H9856" s="417" t="s">
        <v>2616</v>
      </c>
      <c r="I9856" s="417" t="s">
        <v>1392</v>
      </c>
      <c r="J9856" s="417" t="s">
        <v>20833</v>
      </c>
      <c r="K9856" s="417" t="s">
        <v>22157</v>
      </c>
      <c r="L9856" s="417"/>
      <c r="M9856" s="417" t="s">
        <v>28840</v>
      </c>
    </row>
    <row r="9857" spans="1:13" x14ac:dyDescent="0.25">
      <c r="A9857" s="417" t="s">
        <v>3385</v>
      </c>
      <c r="B9857" s="417" t="s">
        <v>2437</v>
      </c>
      <c r="C9857" s="417" t="s">
        <v>22158</v>
      </c>
      <c r="D9857" s="417" t="s">
        <v>17280</v>
      </c>
      <c r="E9857" s="423">
        <v>4.2050983686132533E-2</v>
      </c>
      <c r="F9857" s="423">
        <v>9.7637011243723384E-4</v>
      </c>
      <c r="G9857" s="422">
        <v>73.539033131547299</v>
      </c>
      <c r="H9857" s="417" t="s">
        <v>2616</v>
      </c>
      <c r="I9857" s="417" t="s">
        <v>1392</v>
      </c>
      <c r="J9857" s="417" t="s">
        <v>20833</v>
      </c>
      <c r="K9857" s="417" t="s">
        <v>22159</v>
      </c>
      <c r="L9857" s="417"/>
      <c r="M9857" s="417" t="s">
        <v>28840</v>
      </c>
    </row>
    <row r="9858" spans="1:13" x14ac:dyDescent="0.25">
      <c r="A9858" s="417" t="s">
        <v>3385</v>
      </c>
      <c r="B9858" s="417" t="s">
        <v>2437</v>
      </c>
      <c r="C9858" s="417" t="s">
        <v>22160</v>
      </c>
      <c r="D9858" s="417" t="s">
        <v>17280</v>
      </c>
      <c r="E9858" s="423">
        <v>0.13053090811520141</v>
      </c>
      <c r="F9858" s="423">
        <v>2.5507678932551749E-3</v>
      </c>
      <c r="G9858" s="422">
        <v>211.28745862443549</v>
      </c>
      <c r="H9858" s="417" t="s">
        <v>2616</v>
      </c>
      <c r="I9858" s="417" t="s">
        <v>1392</v>
      </c>
      <c r="J9858" s="417" t="s">
        <v>20833</v>
      </c>
      <c r="K9858" s="417" t="s">
        <v>22161</v>
      </c>
      <c r="L9858" s="417"/>
      <c r="M9858" s="417" t="s">
        <v>28840</v>
      </c>
    </row>
    <row r="9859" spans="1:13" x14ac:dyDescent="0.25">
      <c r="A9859" s="417" t="s">
        <v>3385</v>
      </c>
      <c r="B9859" s="417" t="s">
        <v>2437</v>
      </c>
      <c r="C9859" s="417" t="s">
        <v>22162</v>
      </c>
      <c r="D9859" s="417" t="s">
        <v>17280</v>
      </c>
      <c r="E9859" s="423">
        <v>8.9998127980849274E-2</v>
      </c>
      <c r="F9859" s="423">
        <v>1.7590818722133599E-3</v>
      </c>
      <c r="G9859" s="422">
        <v>143.89680618247951</v>
      </c>
      <c r="H9859" s="417" t="s">
        <v>2616</v>
      </c>
      <c r="I9859" s="417" t="s">
        <v>1392</v>
      </c>
      <c r="J9859" s="417" t="s">
        <v>20833</v>
      </c>
      <c r="K9859" s="417" t="s">
        <v>22163</v>
      </c>
      <c r="L9859" s="417"/>
      <c r="M9859" s="417" t="s">
        <v>28840</v>
      </c>
    </row>
    <row r="9860" spans="1:13" x14ac:dyDescent="0.25">
      <c r="A9860" s="417" t="s">
        <v>3385</v>
      </c>
      <c r="B9860" s="417" t="s">
        <v>2437</v>
      </c>
      <c r="C9860" s="417" t="s">
        <v>22164</v>
      </c>
      <c r="D9860" s="417" t="s">
        <v>17280</v>
      </c>
      <c r="E9860" s="423">
        <v>0.16423527253448619</v>
      </c>
      <c r="F9860" s="423">
        <v>3.338053576685247E-3</v>
      </c>
      <c r="G9860" s="422">
        <v>275.97240479118818</v>
      </c>
      <c r="H9860" s="417" t="s">
        <v>2616</v>
      </c>
      <c r="I9860" s="417" t="s">
        <v>1392</v>
      </c>
      <c r="J9860" s="417" t="s">
        <v>20833</v>
      </c>
      <c r="K9860" s="417" t="s">
        <v>22165</v>
      </c>
      <c r="L9860" s="417"/>
      <c r="M9860" s="417" t="s">
        <v>28840</v>
      </c>
    </row>
    <row r="9861" spans="1:13" x14ac:dyDescent="0.25">
      <c r="A9861" s="417" t="s">
        <v>3385</v>
      </c>
      <c r="B9861" s="417" t="s">
        <v>2437</v>
      </c>
      <c r="C9861" s="417" t="s">
        <v>22166</v>
      </c>
      <c r="D9861" s="417" t="s">
        <v>17280</v>
      </c>
      <c r="E9861" s="423">
        <v>5.0220277808828387E-2</v>
      </c>
      <c r="F9861" s="423">
        <v>1.0385543349054361E-2</v>
      </c>
      <c r="G9861" s="422">
        <v>189.44209318361399</v>
      </c>
      <c r="H9861" s="417" t="s">
        <v>2616</v>
      </c>
      <c r="I9861" s="417" t="s">
        <v>1392</v>
      </c>
      <c r="J9861" s="417" t="s">
        <v>4420</v>
      </c>
      <c r="K9861" s="417" t="s">
        <v>22167</v>
      </c>
      <c r="L9861" s="417"/>
      <c r="M9861" s="417" t="s">
        <v>28840</v>
      </c>
    </row>
    <row r="9862" spans="1:13" x14ac:dyDescent="0.25">
      <c r="A9862" s="417" t="s">
        <v>3385</v>
      </c>
      <c r="B9862" s="417" t="s">
        <v>2437</v>
      </c>
      <c r="C9862" s="417" t="s">
        <v>22168</v>
      </c>
      <c r="D9862" s="417" t="s">
        <v>3936</v>
      </c>
      <c r="E9862" s="423">
        <v>0.12616795973629991</v>
      </c>
      <c r="F9862" s="423">
        <v>1.1128901945784911E-2</v>
      </c>
      <c r="G9862" s="422">
        <v>408.40146163527601</v>
      </c>
      <c r="H9862" s="417" t="s">
        <v>2616</v>
      </c>
      <c r="I9862" s="417" t="s">
        <v>1392</v>
      </c>
      <c r="J9862" s="417" t="s">
        <v>20833</v>
      </c>
      <c r="K9862" s="417" t="s">
        <v>22169</v>
      </c>
      <c r="L9862" s="417"/>
      <c r="M9862" s="417" t="s">
        <v>28840</v>
      </c>
    </row>
    <row r="9863" spans="1:13" x14ac:dyDescent="0.25">
      <c r="A9863" s="417" t="s">
        <v>3385</v>
      </c>
      <c r="B9863" s="417" t="s">
        <v>2437</v>
      </c>
      <c r="C9863" s="417" t="s">
        <v>22170</v>
      </c>
      <c r="D9863" s="417" t="s">
        <v>3936</v>
      </c>
      <c r="E9863" s="423">
        <v>8.2841046147685116E-2</v>
      </c>
      <c r="F9863" s="423">
        <v>8.1284106217374957E-3</v>
      </c>
      <c r="G9863" s="422">
        <v>280.41650271382611</v>
      </c>
      <c r="H9863" s="417" t="s">
        <v>2616</v>
      </c>
      <c r="I9863" s="417" t="s">
        <v>1392</v>
      </c>
      <c r="J9863" s="417" t="s">
        <v>20833</v>
      </c>
      <c r="K9863" s="417" t="s">
        <v>22171</v>
      </c>
      <c r="L9863" s="417"/>
      <c r="M9863" s="417" t="s">
        <v>28840</v>
      </c>
    </row>
    <row r="9864" spans="1:13" x14ac:dyDescent="0.25">
      <c r="A9864" s="417" t="s">
        <v>3385</v>
      </c>
      <c r="B9864" s="417" t="s">
        <v>2437</v>
      </c>
      <c r="C9864" s="417" t="s">
        <v>22172</v>
      </c>
      <c r="D9864" s="417" t="s">
        <v>3936</v>
      </c>
      <c r="E9864" s="423">
        <v>6.7258660936579617E-2</v>
      </c>
      <c r="F9864" s="423">
        <v>5.3850071710123413E-3</v>
      </c>
      <c r="G9864" s="422">
        <v>205.8086217115908</v>
      </c>
      <c r="H9864" s="417" t="s">
        <v>2616</v>
      </c>
      <c r="I9864" s="417" t="s">
        <v>1392</v>
      </c>
      <c r="J9864" s="417" t="s">
        <v>20833</v>
      </c>
      <c r="K9864" s="417" t="s">
        <v>22173</v>
      </c>
      <c r="L9864" s="417"/>
      <c r="M9864" s="417" t="s">
        <v>28840</v>
      </c>
    </row>
    <row r="9865" spans="1:13" x14ac:dyDescent="0.25">
      <c r="A9865" s="417" t="s">
        <v>3385</v>
      </c>
      <c r="B9865" s="417" t="s">
        <v>2437</v>
      </c>
      <c r="C9865" s="417" t="s">
        <v>22174</v>
      </c>
      <c r="D9865" s="417" t="s">
        <v>3936</v>
      </c>
      <c r="E9865" s="423">
        <v>0.1216131160618186</v>
      </c>
      <c r="F9865" s="423">
        <v>8.3656688346118047E-3</v>
      </c>
      <c r="G9865" s="422">
        <v>345.78687204548589</v>
      </c>
      <c r="H9865" s="417" t="s">
        <v>2616</v>
      </c>
      <c r="I9865" s="417" t="s">
        <v>1392</v>
      </c>
      <c r="J9865" s="417" t="s">
        <v>20833</v>
      </c>
      <c r="K9865" s="417" t="s">
        <v>22175</v>
      </c>
      <c r="L9865" s="417"/>
      <c r="M9865" s="417" t="s">
        <v>28840</v>
      </c>
    </row>
    <row r="9866" spans="1:13" x14ac:dyDescent="0.25">
      <c r="A9866" s="417" t="s">
        <v>3385</v>
      </c>
      <c r="B9866" s="417" t="s">
        <v>2437</v>
      </c>
      <c r="C9866" s="417" t="s">
        <v>22176</v>
      </c>
      <c r="D9866" s="417" t="s">
        <v>3936</v>
      </c>
      <c r="E9866" s="423">
        <v>0.1048904827010355</v>
      </c>
      <c r="F9866" s="423">
        <v>7.3468727348799407E-3</v>
      </c>
      <c r="G9866" s="422">
        <v>304.52113037439989</v>
      </c>
      <c r="H9866" s="417" t="s">
        <v>2616</v>
      </c>
      <c r="I9866" s="417" t="s">
        <v>1392</v>
      </c>
      <c r="J9866" s="417" t="s">
        <v>20833</v>
      </c>
      <c r="K9866" s="417" t="s">
        <v>22177</v>
      </c>
      <c r="L9866" s="417"/>
      <c r="M9866" s="417" t="s">
        <v>28840</v>
      </c>
    </row>
    <row r="9867" spans="1:13" x14ac:dyDescent="0.25">
      <c r="A9867" s="417" t="s">
        <v>3385</v>
      </c>
      <c r="B9867" s="417" t="s">
        <v>2437</v>
      </c>
      <c r="C9867" s="417" t="s">
        <v>22178</v>
      </c>
      <c r="D9867" s="417" t="s">
        <v>3936</v>
      </c>
      <c r="E9867" s="423">
        <v>7.8934043946825128E-2</v>
      </c>
      <c r="F9867" s="423">
        <v>6.0312370792649436E-3</v>
      </c>
      <c r="G9867" s="422">
        <v>235.8503200528493</v>
      </c>
      <c r="H9867" s="417" t="s">
        <v>2616</v>
      </c>
      <c r="I9867" s="417" t="s">
        <v>1392</v>
      </c>
      <c r="J9867" s="417" t="s">
        <v>20833</v>
      </c>
      <c r="K9867" s="417" t="s">
        <v>22179</v>
      </c>
      <c r="L9867" s="417"/>
      <c r="M9867" s="417" t="s">
        <v>28840</v>
      </c>
    </row>
    <row r="9868" spans="1:13" x14ac:dyDescent="0.25">
      <c r="A9868" s="417" t="s">
        <v>3385</v>
      </c>
      <c r="B9868" s="417" t="s">
        <v>2437</v>
      </c>
      <c r="C9868" s="417" t="s">
        <v>22180</v>
      </c>
      <c r="D9868" s="417" t="s">
        <v>3936</v>
      </c>
      <c r="E9868" s="423">
        <v>7.8001848567591389E-2</v>
      </c>
      <c r="F9868" s="423">
        <v>5.1141217323267974E-3</v>
      </c>
      <c r="G9868" s="422">
        <v>241.49526741510931</v>
      </c>
      <c r="H9868" s="417" t="s">
        <v>2616</v>
      </c>
      <c r="I9868" s="417" t="s">
        <v>1392</v>
      </c>
      <c r="J9868" s="417" t="s">
        <v>20833</v>
      </c>
      <c r="K9868" s="417" t="s">
        <v>22181</v>
      </c>
      <c r="L9868" s="417"/>
      <c r="M9868" s="417" t="s">
        <v>28840</v>
      </c>
    </row>
    <row r="9869" spans="1:13" x14ac:dyDescent="0.25">
      <c r="A9869" s="417" t="s">
        <v>3385</v>
      </c>
      <c r="B9869" s="417" t="s">
        <v>2437</v>
      </c>
      <c r="C9869" s="417" t="s">
        <v>22182</v>
      </c>
      <c r="D9869" s="417" t="s">
        <v>3936</v>
      </c>
      <c r="E9869" s="423">
        <v>0.14486302419050781</v>
      </c>
      <c r="F9869" s="423">
        <v>1.245900097169775E-2</v>
      </c>
      <c r="G9869" s="422">
        <v>457.10657034035779</v>
      </c>
      <c r="H9869" s="417" t="s">
        <v>2616</v>
      </c>
      <c r="I9869" s="417" t="s">
        <v>1392</v>
      </c>
      <c r="J9869" s="417" t="s">
        <v>20833</v>
      </c>
      <c r="K9869" s="417" t="s">
        <v>22183</v>
      </c>
      <c r="L9869" s="417"/>
      <c r="M9869" s="417" t="s">
        <v>28840</v>
      </c>
    </row>
    <row r="9870" spans="1:13" x14ac:dyDescent="0.25">
      <c r="A9870" s="417" t="s">
        <v>3385</v>
      </c>
      <c r="B9870" s="417" t="s">
        <v>2437</v>
      </c>
      <c r="C9870" s="417" t="s">
        <v>22184</v>
      </c>
      <c r="D9870" s="417" t="s">
        <v>3936</v>
      </c>
      <c r="E9870" s="423">
        <v>0.1249249780044423</v>
      </c>
      <c r="F9870" s="423">
        <v>1.0874105765655879E-2</v>
      </c>
      <c r="G9870" s="422">
        <v>400.44554983641808</v>
      </c>
      <c r="H9870" s="417" t="s">
        <v>2616</v>
      </c>
      <c r="I9870" s="417" t="s">
        <v>1392</v>
      </c>
      <c r="J9870" s="417" t="s">
        <v>20833</v>
      </c>
      <c r="K9870" s="417" t="s">
        <v>22185</v>
      </c>
      <c r="L9870" s="417"/>
      <c r="M9870" s="417" t="s">
        <v>28840</v>
      </c>
    </row>
    <row r="9871" spans="1:13" x14ac:dyDescent="0.25">
      <c r="A9871" s="417" t="s">
        <v>3385</v>
      </c>
      <c r="B9871" s="417" t="s">
        <v>2437</v>
      </c>
      <c r="C9871" s="417" t="s">
        <v>22186</v>
      </c>
      <c r="D9871" s="417" t="s">
        <v>3936</v>
      </c>
      <c r="E9871" s="423">
        <v>9.6330251896364488E-2</v>
      </c>
      <c r="F9871" s="423">
        <v>9.0939785330889505E-3</v>
      </c>
      <c r="G9871" s="422">
        <v>319.14271907133673</v>
      </c>
      <c r="H9871" s="417" t="s">
        <v>2616</v>
      </c>
      <c r="I9871" s="417" t="s">
        <v>1392</v>
      </c>
      <c r="J9871" s="417" t="s">
        <v>20833</v>
      </c>
      <c r="K9871" s="417" t="s">
        <v>22187</v>
      </c>
      <c r="L9871" s="417"/>
      <c r="M9871" s="417" t="s">
        <v>28840</v>
      </c>
    </row>
    <row r="9872" spans="1:13" x14ac:dyDescent="0.25">
      <c r="A9872" s="417" t="s">
        <v>3385</v>
      </c>
      <c r="B9872" s="417" t="s">
        <v>2437</v>
      </c>
      <c r="C9872" s="417" t="s">
        <v>22188</v>
      </c>
      <c r="D9872" s="417" t="s">
        <v>3936</v>
      </c>
      <c r="E9872" s="423">
        <v>8.7987503217357266E-2</v>
      </c>
      <c r="F9872" s="423">
        <v>6.8721760578219259E-3</v>
      </c>
      <c r="G9872" s="422">
        <v>289.30621109355479</v>
      </c>
      <c r="H9872" s="417" t="s">
        <v>2616</v>
      </c>
      <c r="I9872" s="417" t="s">
        <v>1392</v>
      </c>
      <c r="J9872" s="417" t="s">
        <v>20833</v>
      </c>
      <c r="K9872" s="417" t="s">
        <v>22189</v>
      </c>
      <c r="L9872" s="417"/>
      <c r="M9872" s="417" t="s">
        <v>28840</v>
      </c>
    </row>
    <row r="9873" spans="1:13" x14ac:dyDescent="0.25">
      <c r="A9873" s="417" t="s">
        <v>3385</v>
      </c>
      <c r="B9873" s="417" t="s">
        <v>2437</v>
      </c>
      <c r="C9873" s="417" t="s">
        <v>22190</v>
      </c>
      <c r="D9873" s="417" t="s">
        <v>3936</v>
      </c>
      <c r="E9873" s="423">
        <v>8.4083445592051345E-2</v>
      </c>
      <c r="F9873" s="423">
        <v>8.2274284837583946E-3</v>
      </c>
      <c r="G9873" s="422">
        <v>288.42868394234011</v>
      </c>
      <c r="H9873" s="417" t="s">
        <v>2616</v>
      </c>
      <c r="I9873" s="417" t="s">
        <v>1392</v>
      </c>
      <c r="J9873" s="417" t="s">
        <v>20833</v>
      </c>
      <c r="K9873" s="417" t="s">
        <v>22191</v>
      </c>
      <c r="L9873" s="417"/>
      <c r="M9873" s="417" t="s">
        <v>28840</v>
      </c>
    </row>
    <row r="9874" spans="1:13" x14ac:dyDescent="0.25">
      <c r="A9874" s="417" t="s">
        <v>3385</v>
      </c>
      <c r="B9874" s="417" t="s">
        <v>2437</v>
      </c>
      <c r="C9874" s="417" t="s">
        <v>22192</v>
      </c>
      <c r="D9874" s="417" t="s">
        <v>3936</v>
      </c>
      <c r="E9874" s="423">
        <v>6.8501060307538622E-2</v>
      </c>
      <c r="F9874" s="423">
        <v>5.4840250216947927E-3</v>
      </c>
      <c r="G9874" s="422">
        <v>213.82080204286009</v>
      </c>
      <c r="H9874" s="417" t="s">
        <v>2616</v>
      </c>
      <c r="I9874" s="417" t="s">
        <v>1392</v>
      </c>
      <c r="J9874" s="417" t="s">
        <v>20833</v>
      </c>
      <c r="K9874" s="417" t="s">
        <v>22193</v>
      </c>
      <c r="L9874" s="417"/>
      <c r="M9874" s="417" t="s">
        <v>28840</v>
      </c>
    </row>
    <row r="9875" spans="1:13" x14ac:dyDescent="0.25">
      <c r="A9875" s="417" t="s">
        <v>3385</v>
      </c>
      <c r="B9875" s="417" t="s">
        <v>2437</v>
      </c>
      <c r="C9875" s="417" t="s">
        <v>22194</v>
      </c>
      <c r="D9875" s="417" t="s">
        <v>3936</v>
      </c>
      <c r="E9875" s="423">
        <v>0.1245788582038595</v>
      </c>
      <c r="F9875" s="423">
        <v>8.6017225169340104E-3</v>
      </c>
      <c r="G9875" s="422">
        <v>365.01195881465952</v>
      </c>
      <c r="H9875" s="417" t="s">
        <v>2616</v>
      </c>
      <c r="I9875" s="417" t="s">
        <v>1392</v>
      </c>
      <c r="J9875" s="417" t="s">
        <v>20833</v>
      </c>
      <c r="K9875" s="417" t="s">
        <v>22195</v>
      </c>
      <c r="L9875" s="417"/>
      <c r="M9875" s="417" t="s">
        <v>28840</v>
      </c>
    </row>
    <row r="9876" spans="1:13" x14ac:dyDescent="0.25">
      <c r="A9876" s="417" t="s">
        <v>3385</v>
      </c>
      <c r="B9876" s="417" t="s">
        <v>2437</v>
      </c>
      <c r="C9876" s="417" t="s">
        <v>22196</v>
      </c>
      <c r="D9876" s="417" t="s">
        <v>3936</v>
      </c>
      <c r="E9876" s="423">
        <v>0.1074792743441144</v>
      </c>
      <c r="F9876" s="423">
        <v>7.5542390417539639E-3</v>
      </c>
      <c r="G9876" s="422">
        <v>321.29526125269888</v>
      </c>
      <c r="H9876" s="417" t="s">
        <v>2616</v>
      </c>
      <c r="I9876" s="417" t="s">
        <v>1392</v>
      </c>
      <c r="J9876" s="417" t="s">
        <v>20833</v>
      </c>
      <c r="K9876" s="417" t="s">
        <v>22197</v>
      </c>
      <c r="L9876" s="417"/>
      <c r="M9876" s="417" t="s">
        <v>28840</v>
      </c>
    </row>
    <row r="9877" spans="1:13" x14ac:dyDescent="0.25">
      <c r="A9877" s="417" t="s">
        <v>3385</v>
      </c>
      <c r="B9877" s="417" t="s">
        <v>2437</v>
      </c>
      <c r="C9877" s="417" t="s">
        <v>22198</v>
      </c>
      <c r="D9877" s="417" t="s">
        <v>3936</v>
      </c>
      <c r="E9877" s="423">
        <v>8.0540226427732023E-2</v>
      </c>
      <c r="F9877" s="423">
        <v>6.1597921742000666E-3</v>
      </c>
      <c r="G9877" s="422">
        <v>246.2853897132099</v>
      </c>
      <c r="H9877" s="417" t="s">
        <v>2616</v>
      </c>
      <c r="I9877" s="417" t="s">
        <v>1392</v>
      </c>
      <c r="J9877" s="417" t="s">
        <v>20833</v>
      </c>
      <c r="K9877" s="417" t="s">
        <v>22199</v>
      </c>
      <c r="L9877" s="417"/>
      <c r="M9877" s="417" t="s">
        <v>28840</v>
      </c>
    </row>
    <row r="9878" spans="1:13" x14ac:dyDescent="0.25">
      <c r="A9878" s="417" t="s">
        <v>3385</v>
      </c>
      <c r="B9878" s="417" t="s">
        <v>2437</v>
      </c>
      <c r="C9878" s="417" t="s">
        <v>22200</v>
      </c>
      <c r="D9878" s="417" t="s">
        <v>3936</v>
      </c>
      <c r="E9878" s="423">
        <v>7.9797272975378669E-2</v>
      </c>
      <c r="F9878" s="423">
        <v>5.2574715506584456E-3</v>
      </c>
      <c r="G9878" s="422">
        <v>253.13138867655169</v>
      </c>
      <c r="H9878" s="417" t="s">
        <v>2616</v>
      </c>
      <c r="I9878" s="417" t="s">
        <v>1392</v>
      </c>
      <c r="J9878" s="417" t="s">
        <v>20833</v>
      </c>
      <c r="K9878" s="417" t="s">
        <v>22201</v>
      </c>
      <c r="L9878" s="417"/>
      <c r="M9878" s="417" t="s">
        <v>28840</v>
      </c>
    </row>
    <row r="9879" spans="1:13" x14ac:dyDescent="0.25">
      <c r="A9879" s="417" t="s">
        <v>3385</v>
      </c>
      <c r="B9879" s="417" t="s">
        <v>2437</v>
      </c>
      <c r="C9879" s="417" t="s">
        <v>22202</v>
      </c>
      <c r="D9879" s="417" t="s">
        <v>3936</v>
      </c>
      <c r="E9879" s="423">
        <v>0.14782876636496661</v>
      </c>
      <c r="F9879" s="423">
        <v>1.2695054655187041E-2</v>
      </c>
      <c r="G9879" s="422">
        <v>476.33165538869889</v>
      </c>
      <c r="H9879" s="417" t="s">
        <v>2616</v>
      </c>
      <c r="I9879" s="417" t="s">
        <v>1392</v>
      </c>
      <c r="J9879" s="417" t="s">
        <v>20833</v>
      </c>
      <c r="K9879" s="417" t="s">
        <v>22203</v>
      </c>
      <c r="L9879" s="417"/>
      <c r="M9879" s="417" t="s">
        <v>28840</v>
      </c>
    </row>
    <row r="9880" spans="1:13" x14ac:dyDescent="0.25">
      <c r="A9880" s="417" t="s">
        <v>3385</v>
      </c>
      <c r="B9880" s="417" t="s">
        <v>2437</v>
      </c>
      <c r="C9880" s="417" t="s">
        <v>22204</v>
      </c>
      <c r="D9880" s="417" t="s">
        <v>3936</v>
      </c>
      <c r="E9880" s="423">
        <v>0.12751376962642291</v>
      </c>
      <c r="F9880" s="423">
        <v>1.1081472083517599E-2</v>
      </c>
      <c r="G9880" s="422">
        <v>417.21968441432062</v>
      </c>
      <c r="H9880" s="417" t="s">
        <v>2616</v>
      </c>
      <c r="I9880" s="417" t="s">
        <v>1392</v>
      </c>
      <c r="J9880" s="417" t="s">
        <v>20833</v>
      </c>
      <c r="K9880" s="417" t="s">
        <v>22205</v>
      </c>
      <c r="L9880" s="417"/>
      <c r="M9880" s="417" t="s">
        <v>28840</v>
      </c>
    </row>
    <row r="9881" spans="1:13" x14ac:dyDescent="0.25">
      <c r="A9881" s="417" t="s">
        <v>3385</v>
      </c>
      <c r="B9881" s="417" t="s">
        <v>2437</v>
      </c>
      <c r="C9881" s="417" t="s">
        <v>22206</v>
      </c>
      <c r="D9881" s="417" t="s">
        <v>3936</v>
      </c>
      <c r="E9881" s="423">
        <v>9.7936434297473812E-2</v>
      </c>
      <c r="F9881" s="423">
        <v>9.2225336012573024E-3</v>
      </c>
      <c r="G9881" s="422">
        <v>329.57778672626131</v>
      </c>
      <c r="H9881" s="417" t="s">
        <v>2616</v>
      </c>
      <c r="I9881" s="417" t="s">
        <v>1392</v>
      </c>
      <c r="J9881" s="417" t="s">
        <v>20833</v>
      </c>
      <c r="K9881" s="417" t="s">
        <v>22207</v>
      </c>
      <c r="L9881" s="417"/>
      <c r="M9881" s="417" t="s">
        <v>28840</v>
      </c>
    </row>
    <row r="9882" spans="1:13" x14ac:dyDescent="0.25">
      <c r="A9882" s="417" t="s">
        <v>3385</v>
      </c>
      <c r="B9882" s="417" t="s">
        <v>2437</v>
      </c>
      <c r="C9882" s="417" t="s">
        <v>22208</v>
      </c>
      <c r="D9882" s="417" t="s">
        <v>3936</v>
      </c>
      <c r="E9882" s="423">
        <v>8.9782927631630607E-2</v>
      </c>
      <c r="F9882" s="423">
        <v>7.015525878961276E-3</v>
      </c>
      <c r="G9882" s="422">
        <v>300.9423328543553</v>
      </c>
      <c r="H9882" s="417" t="s">
        <v>2616</v>
      </c>
      <c r="I9882" s="417" t="s">
        <v>1392</v>
      </c>
      <c r="J9882" s="417" t="s">
        <v>20833</v>
      </c>
      <c r="K9882" s="417" t="s">
        <v>22209</v>
      </c>
      <c r="L9882" s="417"/>
      <c r="M9882" s="417" t="s">
        <v>28840</v>
      </c>
    </row>
    <row r="9883" spans="1:13" x14ac:dyDescent="0.25">
      <c r="A9883" s="417" t="s">
        <v>3385</v>
      </c>
      <c r="B9883" s="417" t="s">
        <v>2437</v>
      </c>
      <c r="C9883" s="417" t="s">
        <v>22210</v>
      </c>
      <c r="D9883" s="417" t="s">
        <v>3936</v>
      </c>
      <c r="E9883" s="423">
        <v>8.3777154908056373E-2</v>
      </c>
      <c r="F9883" s="423">
        <v>8.2437831027124524E-3</v>
      </c>
      <c r="G9883" s="422">
        <v>285.26443827325278</v>
      </c>
      <c r="H9883" s="417" t="s">
        <v>2616</v>
      </c>
      <c r="I9883" s="417" t="s">
        <v>1392</v>
      </c>
      <c r="J9883" s="417" t="s">
        <v>20833</v>
      </c>
      <c r="K9883" s="417" t="s">
        <v>22211</v>
      </c>
      <c r="L9883" s="417"/>
      <c r="M9883" s="417" t="s">
        <v>28840</v>
      </c>
    </row>
    <row r="9884" spans="1:13" x14ac:dyDescent="0.25">
      <c r="A9884" s="417" t="s">
        <v>3385</v>
      </c>
      <c r="B9884" s="417" t="s">
        <v>2437</v>
      </c>
      <c r="C9884" s="417" t="s">
        <v>22212</v>
      </c>
      <c r="D9884" s="417" t="s">
        <v>3936</v>
      </c>
      <c r="E9884" s="423">
        <v>6.8194769635868818E-2</v>
      </c>
      <c r="F9884" s="423">
        <v>5.5003796337688001E-3</v>
      </c>
      <c r="G9884" s="422">
        <v>210.65655635004899</v>
      </c>
      <c r="H9884" s="417" t="s">
        <v>2616</v>
      </c>
      <c r="I9884" s="417" t="s">
        <v>1392</v>
      </c>
      <c r="J9884" s="417" t="s">
        <v>20833</v>
      </c>
      <c r="K9884" s="417" t="s">
        <v>22213</v>
      </c>
      <c r="L9884" s="417"/>
      <c r="M9884" s="417" t="s">
        <v>28840</v>
      </c>
    </row>
    <row r="9885" spans="1:13" x14ac:dyDescent="0.25">
      <c r="A9885" s="417" t="s">
        <v>3385</v>
      </c>
      <c r="B9885" s="417" t="s">
        <v>2437</v>
      </c>
      <c r="C9885" s="417" t="s">
        <v>22214</v>
      </c>
      <c r="D9885" s="417" t="s">
        <v>3936</v>
      </c>
      <c r="E9885" s="423">
        <v>0.12384449862214141</v>
      </c>
      <c r="F9885" s="423">
        <v>8.6409341766314519E-3</v>
      </c>
      <c r="G9885" s="422">
        <v>357.42539448684829</v>
      </c>
      <c r="H9885" s="417" t="s">
        <v>2616</v>
      </c>
      <c r="I9885" s="417" t="s">
        <v>1392</v>
      </c>
      <c r="J9885" s="417" t="s">
        <v>20833</v>
      </c>
      <c r="K9885" s="417" t="s">
        <v>22215</v>
      </c>
      <c r="L9885" s="417"/>
      <c r="M9885" s="417" t="s">
        <v>28840</v>
      </c>
    </row>
    <row r="9886" spans="1:13" x14ac:dyDescent="0.25">
      <c r="A9886" s="417" t="s">
        <v>3385</v>
      </c>
      <c r="B9886" s="417" t="s">
        <v>2437</v>
      </c>
      <c r="C9886" s="417" t="s">
        <v>22216</v>
      </c>
      <c r="D9886" s="417" t="s">
        <v>3936</v>
      </c>
      <c r="E9886" s="423">
        <v>0.106835325867329</v>
      </c>
      <c r="F9886" s="423">
        <v>7.5886231352285914E-3</v>
      </c>
      <c r="G9886" s="422">
        <v>314.64272098801109</v>
      </c>
      <c r="H9886" s="417" t="s">
        <v>2616</v>
      </c>
      <c r="I9886" s="417" t="s">
        <v>1392</v>
      </c>
      <c r="J9886" s="417" t="s">
        <v>20833</v>
      </c>
      <c r="K9886" s="417" t="s">
        <v>22217</v>
      </c>
      <c r="L9886" s="417"/>
      <c r="M9886" s="417" t="s">
        <v>28840</v>
      </c>
    </row>
    <row r="9887" spans="1:13" x14ac:dyDescent="0.25">
      <c r="A9887" s="417" t="s">
        <v>3385</v>
      </c>
      <c r="B9887" s="417" t="s">
        <v>2437</v>
      </c>
      <c r="C9887" s="417" t="s">
        <v>22218</v>
      </c>
      <c r="D9887" s="417" t="s">
        <v>3936</v>
      </c>
      <c r="E9887" s="423">
        <v>8.0139834390011738E-2</v>
      </c>
      <c r="F9887" s="423">
        <v>6.1811713955334724E-3</v>
      </c>
      <c r="G9887" s="422">
        <v>242.14899644087461</v>
      </c>
      <c r="H9887" s="417" t="s">
        <v>2616</v>
      </c>
      <c r="I9887" s="417" t="s">
        <v>1392</v>
      </c>
      <c r="J9887" s="417" t="s">
        <v>20833</v>
      </c>
      <c r="K9887" s="417" t="s">
        <v>22219</v>
      </c>
      <c r="L9887" s="417"/>
      <c r="M9887" s="417" t="s">
        <v>28840</v>
      </c>
    </row>
    <row r="9888" spans="1:13" x14ac:dyDescent="0.25">
      <c r="A9888" s="417" t="s">
        <v>3385</v>
      </c>
      <c r="B9888" s="417" t="s">
        <v>2437</v>
      </c>
      <c r="C9888" s="417" t="s">
        <v>22220</v>
      </c>
      <c r="D9888" s="417" t="s">
        <v>3936</v>
      </c>
      <c r="E9888" s="423">
        <v>7.9351708598631415E-2</v>
      </c>
      <c r="F9888" s="423">
        <v>5.2812627820581753E-3</v>
      </c>
      <c r="G9888" s="422">
        <v>248.52832678689231</v>
      </c>
      <c r="H9888" s="417" t="s">
        <v>2616</v>
      </c>
      <c r="I9888" s="417" t="s">
        <v>1392</v>
      </c>
      <c r="J9888" s="417" t="s">
        <v>20833</v>
      </c>
      <c r="K9888" s="417" t="s">
        <v>22221</v>
      </c>
      <c r="L9888" s="417"/>
      <c r="M9888" s="417" t="s">
        <v>28840</v>
      </c>
    </row>
    <row r="9889" spans="1:13" x14ac:dyDescent="0.25">
      <c r="A9889" s="417" t="s">
        <v>3385</v>
      </c>
      <c r="B9889" s="417" t="s">
        <v>2437</v>
      </c>
      <c r="C9889" s="417" t="s">
        <v>22222</v>
      </c>
      <c r="D9889" s="417" t="s">
        <v>3936</v>
      </c>
      <c r="E9889" s="423">
        <v>0.1470944066302097</v>
      </c>
      <c r="F9889" s="423">
        <v>1.273426630141037E-2</v>
      </c>
      <c r="G9889" s="422">
        <v>468.74509072421688</v>
      </c>
      <c r="H9889" s="417" t="s">
        <v>2616</v>
      </c>
      <c r="I9889" s="417" t="s">
        <v>1392</v>
      </c>
      <c r="J9889" s="417" t="s">
        <v>20833</v>
      </c>
      <c r="K9889" s="417" t="s">
        <v>22223</v>
      </c>
      <c r="L9889" s="417"/>
      <c r="M9889" s="417" t="s">
        <v>28840</v>
      </c>
    </row>
    <row r="9890" spans="1:13" x14ac:dyDescent="0.25">
      <c r="A9890" s="417" t="s">
        <v>3385</v>
      </c>
      <c r="B9890" s="417" t="s">
        <v>2437</v>
      </c>
      <c r="C9890" s="417" t="s">
        <v>22224</v>
      </c>
      <c r="D9890" s="417" t="s">
        <v>3936</v>
      </c>
      <c r="E9890" s="423">
        <v>0.1268698213081188</v>
      </c>
      <c r="F9890" s="423">
        <v>1.111585617727587E-2</v>
      </c>
      <c r="G9890" s="422">
        <v>410.56714046280621</v>
      </c>
      <c r="H9890" s="417" t="s">
        <v>2616</v>
      </c>
      <c r="I9890" s="417" t="s">
        <v>1392</v>
      </c>
      <c r="J9890" s="417" t="s">
        <v>20833</v>
      </c>
      <c r="K9890" s="417" t="s">
        <v>22225</v>
      </c>
      <c r="L9890" s="417"/>
      <c r="M9890" s="417" t="s">
        <v>28840</v>
      </c>
    </row>
    <row r="9891" spans="1:13" x14ac:dyDescent="0.25">
      <c r="A9891" s="417" t="s">
        <v>3385</v>
      </c>
      <c r="B9891" s="417" t="s">
        <v>2437</v>
      </c>
      <c r="C9891" s="417" t="s">
        <v>22226</v>
      </c>
      <c r="D9891" s="417" t="s">
        <v>3936</v>
      </c>
      <c r="E9891" s="423">
        <v>9.7536042272873394E-2</v>
      </c>
      <c r="F9891" s="423">
        <v>9.2439128014915641E-3</v>
      </c>
      <c r="G9891" s="422">
        <v>325.4413934436825</v>
      </c>
      <c r="H9891" s="417" t="s">
        <v>2616</v>
      </c>
      <c r="I9891" s="417" t="s">
        <v>1392</v>
      </c>
      <c r="J9891" s="417" t="s">
        <v>20833</v>
      </c>
      <c r="K9891" s="417" t="s">
        <v>22227</v>
      </c>
      <c r="L9891" s="417"/>
      <c r="M9891" s="417" t="s">
        <v>28840</v>
      </c>
    </row>
    <row r="9892" spans="1:13" x14ac:dyDescent="0.25">
      <c r="A9892" s="417" t="s">
        <v>3385</v>
      </c>
      <c r="B9892" s="417" t="s">
        <v>2437</v>
      </c>
      <c r="C9892" s="417" t="s">
        <v>22228</v>
      </c>
      <c r="D9892" s="417" t="s">
        <v>3936</v>
      </c>
      <c r="E9892" s="423">
        <v>8.9337363275193885E-2</v>
      </c>
      <c r="F9892" s="423">
        <v>7.0393171076220283E-3</v>
      </c>
      <c r="G9892" s="422">
        <v>296.33927024912612</v>
      </c>
      <c r="H9892" s="417" t="s">
        <v>2616</v>
      </c>
      <c r="I9892" s="417" t="s">
        <v>1392</v>
      </c>
      <c r="J9892" s="417" t="s">
        <v>20833</v>
      </c>
      <c r="K9892" s="417" t="s">
        <v>22229</v>
      </c>
      <c r="L9892" s="417"/>
      <c r="M9892" s="417" t="s">
        <v>28840</v>
      </c>
    </row>
    <row r="9893" spans="1:13" x14ac:dyDescent="0.25">
      <c r="A9893" s="417" t="s">
        <v>3385</v>
      </c>
      <c r="B9893" s="417" t="s">
        <v>2437</v>
      </c>
      <c r="C9893" s="417" t="s">
        <v>22230</v>
      </c>
      <c r="D9893" s="417" t="s">
        <v>3936</v>
      </c>
      <c r="E9893" s="423">
        <v>0.14212366113406341</v>
      </c>
      <c r="F9893" s="423">
        <v>0.17492977682072761</v>
      </c>
      <c r="G9893" s="422">
        <v>290.73190514714889</v>
      </c>
      <c r="H9893" s="417" t="s">
        <v>2616</v>
      </c>
      <c r="I9893" s="417" t="s">
        <v>1392</v>
      </c>
      <c r="J9893" s="417" t="s">
        <v>20833</v>
      </c>
      <c r="K9893" s="417" t="s">
        <v>22231</v>
      </c>
      <c r="L9893" s="417"/>
      <c r="M9893" s="417" t="s">
        <v>28840</v>
      </c>
    </row>
    <row r="9894" spans="1:13" x14ac:dyDescent="0.25">
      <c r="A9894" s="417" t="s">
        <v>3385</v>
      </c>
      <c r="B9894" s="417" t="s">
        <v>2437</v>
      </c>
      <c r="C9894" s="417" t="s">
        <v>22232</v>
      </c>
      <c r="D9894" s="417" t="s">
        <v>3936</v>
      </c>
      <c r="E9894" s="423">
        <v>0.1423936211440634</v>
      </c>
      <c r="F9894" s="423">
        <v>0.17568977682072759</v>
      </c>
      <c r="G9894" s="422">
        <v>328.60110664714892</v>
      </c>
      <c r="H9894" s="417" t="s">
        <v>2616</v>
      </c>
      <c r="I9894" s="417" t="s">
        <v>1392</v>
      </c>
      <c r="J9894" s="417" t="s">
        <v>20833</v>
      </c>
      <c r="K9894" s="417" t="s">
        <v>22233</v>
      </c>
      <c r="L9894" s="417"/>
      <c r="M9894" s="417" t="s">
        <v>28840</v>
      </c>
    </row>
    <row r="9895" spans="1:13" x14ac:dyDescent="0.25">
      <c r="A9895" s="417" t="s">
        <v>3385</v>
      </c>
      <c r="B9895" s="417" t="s">
        <v>2437</v>
      </c>
      <c r="C9895" s="417" t="s">
        <v>22234</v>
      </c>
      <c r="D9895" s="417" t="s">
        <v>3936</v>
      </c>
      <c r="E9895" s="423">
        <v>0.1395631925075794</v>
      </c>
      <c r="F9895" s="423">
        <v>0.16816808757685739</v>
      </c>
      <c r="G9895" s="422">
        <v>290.54334280315851</v>
      </c>
      <c r="H9895" s="417" t="s">
        <v>2616</v>
      </c>
      <c r="I9895" s="417" t="s">
        <v>1392</v>
      </c>
      <c r="J9895" s="417" t="s">
        <v>20833</v>
      </c>
      <c r="K9895" s="417" t="s">
        <v>22235</v>
      </c>
      <c r="L9895" s="417"/>
      <c r="M9895" s="417" t="s">
        <v>28840</v>
      </c>
    </row>
    <row r="9896" spans="1:13" x14ac:dyDescent="0.25">
      <c r="A9896" s="417" t="s">
        <v>3385</v>
      </c>
      <c r="B9896" s="417" t="s">
        <v>2437</v>
      </c>
      <c r="C9896" s="417" t="s">
        <v>22236</v>
      </c>
      <c r="D9896" s="417" t="s">
        <v>3936</v>
      </c>
      <c r="E9896" s="423">
        <v>0.1400696224875794</v>
      </c>
      <c r="F9896" s="423">
        <v>0.1681280875768574</v>
      </c>
      <c r="G9896" s="422">
        <v>339.25093471315847</v>
      </c>
      <c r="H9896" s="417" t="s">
        <v>2616</v>
      </c>
      <c r="I9896" s="417" t="s">
        <v>1392</v>
      </c>
      <c r="J9896" s="417" t="s">
        <v>20833</v>
      </c>
      <c r="K9896" s="417" t="s">
        <v>22237</v>
      </c>
      <c r="L9896" s="417"/>
      <c r="M9896" s="417" t="s">
        <v>28840</v>
      </c>
    </row>
    <row r="9897" spans="1:13" x14ac:dyDescent="0.25">
      <c r="A9897" s="417" t="s">
        <v>3385</v>
      </c>
      <c r="B9897" s="417" t="s">
        <v>2437</v>
      </c>
      <c r="C9897" s="417" t="s">
        <v>22238</v>
      </c>
      <c r="D9897" s="417" t="s">
        <v>3936</v>
      </c>
      <c r="E9897" s="423">
        <v>0.13403580832733761</v>
      </c>
      <c r="F9897" s="423">
        <v>0.1572498906629228</v>
      </c>
      <c r="G9897" s="422">
        <v>331.7032650745245</v>
      </c>
      <c r="H9897" s="417" t="s">
        <v>2616</v>
      </c>
      <c r="I9897" s="417" t="s">
        <v>1392</v>
      </c>
      <c r="J9897" s="417" t="s">
        <v>20833</v>
      </c>
      <c r="K9897" s="417" t="s">
        <v>22239</v>
      </c>
      <c r="L9897" s="417"/>
      <c r="M9897" s="417" t="s">
        <v>28840</v>
      </c>
    </row>
    <row r="9898" spans="1:13" x14ac:dyDescent="0.25">
      <c r="A9898" s="417" t="s">
        <v>3385</v>
      </c>
      <c r="B9898" s="417" t="s">
        <v>2437</v>
      </c>
      <c r="C9898" s="417" t="s">
        <v>22240</v>
      </c>
      <c r="D9898" s="417" t="s">
        <v>3936</v>
      </c>
      <c r="E9898" s="423">
        <v>0.13403580832733761</v>
      </c>
      <c r="F9898" s="423">
        <v>0.1572498906629228</v>
      </c>
      <c r="G9898" s="422">
        <v>331.7032650745245</v>
      </c>
      <c r="H9898" s="417" t="s">
        <v>2616</v>
      </c>
      <c r="I9898" s="417" t="s">
        <v>1392</v>
      </c>
      <c r="J9898" s="417" t="s">
        <v>20833</v>
      </c>
      <c r="K9898" s="417" t="s">
        <v>22241</v>
      </c>
      <c r="L9898" s="417"/>
      <c r="M9898" s="417" t="s">
        <v>28840</v>
      </c>
    </row>
    <row r="9899" spans="1:13" x14ac:dyDescent="0.25">
      <c r="A9899" s="417" t="s">
        <v>3385</v>
      </c>
      <c r="B9899" s="417" t="s">
        <v>2437</v>
      </c>
      <c r="C9899" s="417" t="s">
        <v>22242</v>
      </c>
      <c r="D9899" s="417" t="s">
        <v>3936</v>
      </c>
      <c r="E9899" s="423">
        <v>0.1280379721947342</v>
      </c>
      <c r="F9899" s="423">
        <v>0.1490090705824372</v>
      </c>
      <c r="G9899" s="422">
        <v>294.79572583690708</v>
      </c>
      <c r="H9899" s="417" t="s">
        <v>2616</v>
      </c>
      <c r="I9899" s="417" t="s">
        <v>1392</v>
      </c>
      <c r="J9899" s="417" t="s">
        <v>20833</v>
      </c>
      <c r="K9899" s="417" t="s">
        <v>22243</v>
      </c>
      <c r="L9899" s="417"/>
      <c r="M9899" s="417" t="s">
        <v>28840</v>
      </c>
    </row>
    <row r="9900" spans="1:13" x14ac:dyDescent="0.25">
      <c r="A9900" s="417" t="s">
        <v>3385</v>
      </c>
      <c r="B9900" s="417" t="s">
        <v>2437</v>
      </c>
      <c r="C9900" s="417" t="s">
        <v>22244</v>
      </c>
      <c r="D9900" s="417" t="s">
        <v>3936</v>
      </c>
      <c r="E9900" s="423">
        <v>0.1280379721947342</v>
      </c>
      <c r="F9900" s="423">
        <v>0.1490090705824372</v>
      </c>
      <c r="G9900" s="422">
        <v>294.79572583690708</v>
      </c>
      <c r="H9900" s="417" t="s">
        <v>2616</v>
      </c>
      <c r="I9900" s="417" t="s">
        <v>1392</v>
      </c>
      <c r="J9900" s="417" t="s">
        <v>20833</v>
      </c>
      <c r="K9900" s="417" t="s">
        <v>22245</v>
      </c>
      <c r="L9900" s="417"/>
      <c r="M9900" s="417" t="s">
        <v>28840</v>
      </c>
    </row>
    <row r="9901" spans="1:13" x14ac:dyDescent="0.25">
      <c r="A9901" s="417" t="s">
        <v>3385</v>
      </c>
      <c r="B9901" s="417" t="s">
        <v>2437</v>
      </c>
      <c r="C9901" s="417" t="s">
        <v>22246</v>
      </c>
      <c r="D9901" s="417" t="s">
        <v>3936</v>
      </c>
      <c r="E9901" s="423">
        <v>0.1190903211880507</v>
      </c>
      <c r="F9901" s="423">
        <v>0.14544203021475099</v>
      </c>
      <c r="G9901" s="422">
        <v>276.16031912269671</v>
      </c>
      <c r="H9901" s="417" t="s">
        <v>2616</v>
      </c>
      <c r="I9901" s="417" t="s">
        <v>1392</v>
      </c>
      <c r="J9901" s="417" t="s">
        <v>20833</v>
      </c>
      <c r="K9901" s="417" t="s">
        <v>22247</v>
      </c>
      <c r="L9901" s="417"/>
      <c r="M9901" s="417" t="s">
        <v>28840</v>
      </c>
    </row>
    <row r="9902" spans="1:13" x14ac:dyDescent="0.25">
      <c r="A9902" s="417" t="s">
        <v>3385</v>
      </c>
      <c r="B9902" s="417" t="s">
        <v>2437</v>
      </c>
      <c r="C9902" s="417" t="s">
        <v>22248</v>
      </c>
      <c r="D9902" s="417" t="s">
        <v>3936</v>
      </c>
      <c r="E9902" s="423">
        <v>0.1190903211880507</v>
      </c>
      <c r="F9902" s="423">
        <v>0.14544203021475099</v>
      </c>
      <c r="G9902" s="422">
        <v>276.16031912269671</v>
      </c>
      <c r="H9902" s="417" t="s">
        <v>2616</v>
      </c>
      <c r="I9902" s="417" t="s">
        <v>1392</v>
      </c>
      <c r="J9902" s="417" t="s">
        <v>20833</v>
      </c>
      <c r="K9902" s="417" t="s">
        <v>22249</v>
      </c>
      <c r="L9902" s="417"/>
      <c r="M9902" s="417" t="s">
        <v>28840</v>
      </c>
    </row>
    <row r="9903" spans="1:13" x14ac:dyDescent="0.25">
      <c r="A9903" s="417" t="s">
        <v>3385</v>
      </c>
      <c r="B9903" s="417" t="s">
        <v>2437</v>
      </c>
      <c r="C9903" s="417" t="s">
        <v>22250</v>
      </c>
      <c r="D9903" s="417" t="s">
        <v>3936</v>
      </c>
      <c r="E9903" s="423">
        <v>0.1182393390598052</v>
      </c>
      <c r="F9903" s="423">
        <v>0.14374433409993359</v>
      </c>
      <c r="G9903" s="422">
        <v>274.56636729653599</v>
      </c>
      <c r="H9903" s="417" t="s">
        <v>2616</v>
      </c>
      <c r="I9903" s="417" t="s">
        <v>1392</v>
      </c>
      <c r="J9903" s="417" t="s">
        <v>20833</v>
      </c>
      <c r="K9903" s="417" t="s">
        <v>22251</v>
      </c>
      <c r="L9903" s="417"/>
      <c r="M9903" s="417" t="s">
        <v>28840</v>
      </c>
    </row>
    <row r="9904" spans="1:13" x14ac:dyDescent="0.25">
      <c r="A9904" s="417" t="s">
        <v>3385</v>
      </c>
      <c r="B9904" s="417" t="s">
        <v>2437</v>
      </c>
      <c r="C9904" s="417" t="s">
        <v>22252</v>
      </c>
      <c r="D9904" s="417" t="s">
        <v>3936</v>
      </c>
      <c r="E9904" s="423">
        <v>0.1182393390598052</v>
      </c>
      <c r="F9904" s="423">
        <v>0.14374433409993359</v>
      </c>
      <c r="G9904" s="422">
        <v>274.56636729653599</v>
      </c>
      <c r="H9904" s="417" t="s">
        <v>2616</v>
      </c>
      <c r="I9904" s="417" t="s">
        <v>1392</v>
      </c>
      <c r="J9904" s="417" t="s">
        <v>20833</v>
      </c>
      <c r="K9904" s="417" t="s">
        <v>22253</v>
      </c>
      <c r="L9904" s="417"/>
      <c r="M9904" s="417" t="s">
        <v>28840</v>
      </c>
    </row>
    <row r="9905" spans="1:13" x14ac:dyDescent="0.25">
      <c r="A9905" s="417" t="s">
        <v>3385</v>
      </c>
      <c r="B9905" s="417" t="s">
        <v>2437</v>
      </c>
      <c r="C9905" s="417" t="s">
        <v>22254</v>
      </c>
      <c r="D9905" s="417" t="s">
        <v>3936</v>
      </c>
      <c r="E9905" s="423">
        <v>0.11671584017481181</v>
      </c>
      <c r="F9905" s="423">
        <v>0.1407025334684413</v>
      </c>
      <c r="G9905" s="422">
        <v>271.88167059626062</v>
      </c>
      <c r="H9905" s="417" t="s">
        <v>2616</v>
      </c>
      <c r="I9905" s="417" t="s">
        <v>1392</v>
      </c>
      <c r="J9905" s="417" t="s">
        <v>20833</v>
      </c>
      <c r="K9905" s="417" t="s">
        <v>22255</v>
      </c>
      <c r="L9905" s="417"/>
      <c r="M9905" s="417" t="s">
        <v>28840</v>
      </c>
    </row>
    <row r="9906" spans="1:13" x14ac:dyDescent="0.25">
      <c r="A9906" s="417" t="s">
        <v>3385</v>
      </c>
      <c r="B9906" s="417" t="s">
        <v>2437</v>
      </c>
      <c r="C9906" s="417" t="s">
        <v>22256</v>
      </c>
      <c r="D9906" s="417" t="s">
        <v>3936</v>
      </c>
      <c r="E9906" s="423">
        <v>0.11671584017481181</v>
      </c>
      <c r="F9906" s="423">
        <v>0.1407025334684413</v>
      </c>
      <c r="G9906" s="422">
        <v>271.88167059626062</v>
      </c>
      <c r="H9906" s="417" t="s">
        <v>2616</v>
      </c>
      <c r="I9906" s="417" t="s">
        <v>1392</v>
      </c>
      <c r="J9906" s="417" t="s">
        <v>20833</v>
      </c>
      <c r="K9906" s="417" t="s">
        <v>22257</v>
      </c>
      <c r="L9906" s="417"/>
      <c r="M9906" s="417" t="s">
        <v>28840</v>
      </c>
    </row>
    <row r="9907" spans="1:13" x14ac:dyDescent="0.25">
      <c r="A9907" s="417" t="s">
        <v>3385</v>
      </c>
      <c r="B9907" s="417" t="s">
        <v>2437</v>
      </c>
      <c r="C9907" s="417" t="s">
        <v>22258</v>
      </c>
      <c r="D9907" s="417" t="s">
        <v>3936</v>
      </c>
      <c r="E9907" s="423">
        <v>0.25716776402461949</v>
      </c>
      <c r="F9907" s="423">
        <v>0.32837385753271198</v>
      </c>
      <c r="G9907" s="422">
        <v>543.54261852171419</v>
      </c>
      <c r="H9907" s="417" t="s">
        <v>2616</v>
      </c>
      <c r="I9907" s="417" t="s">
        <v>1392</v>
      </c>
      <c r="J9907" s="417" t="s">
        <v>20833</v>
      </c>
      <c r="K9907" s="417" t="s">
        <v>22259</v>
      </c>
      <c r="L9907" s="417"/>
      <c r="M9907" s="417" t="s">
        <v>28840</v>
      </c>
    </row>
    <row r="9908" spans="1:13" x14ac:dyDescent="0.25">
      <c r="A9908" s="417" t="s">
        <v>3385</v>
      </c>
      <c r="B9908" s="417" t="s">
        <v>2437</v>
      </c>
      <c r="C9908" s="417" t="s">
        <v>22260</v>
      </c>
      <c r="D9908" s="417" t="s">
        <v>3936</v>
      </c>
      <c r="E9908" s="423">
        <v>0.25716776402461949</v>
      </c>
      <c r="F9908" s="423">
        <v>0.32837385753271198</v>
      </c>
      <c r="G9908" s="422">
        <v>543.54261852171419</v>
      </c>
      <c r="H9908" s="417" t="s">
        <v>2616</v>
      </c>
      <c r="I9908" s="417" t="s">
        <v>1392</v>
      </c>
      <c r="J9908" s="417" t="s">
        <v>20833</v>
      </c>
      <c r="K9908" s="417" t="s">
        <v>22261</v>
      </c>
      <c r="L9908" s="417"/>
      <c r="M9908" s="417" t="s">
        <v>28840</v>
      </c>
    </row>
    <row r="9909" spans="1:13" x14ac:dyDescent="0.25">
      <c r="A9909" s="417" t="s">
        <v>3385</v>
      </c>
      <c r="B9909" s="417" t="s">
        <v>2437</v>
      </c>
      <c r="C9909" s="417" t="s">
        <v>22262</v>
      </c>
      <c r="D9909" s="417" t="s">
        <v>3936</v>
      </c>
      <c r="E9909" s="423">
        <v>0.2475997816499777</v>
      </c>
      <c r="F9909" s="423">
        <v>0.30802472870888759</v>
      </c>
      <c r="G9909" s="422">
        <v>553.86688242705486</v>
      </c>
      <c r="H9909" s="417" t="s">
        <v>2616</v>
      </c>
      <c r="I9909" s="417" t="s">
        <v>1392</v>
      </c>
      <c r="J9909" s="417" t="s">
        <v>20833</v>
      </c>
      <c r="K9909" s="417" t="s">
        <v>22263</v>
      </c>
      <c r="L9909" s="417"/>
      <c r="M9909" s="417" t="s">
        <v>28840</v>
      </c>
    </row>
    <row r="9910" spans="1:13" x14ac:dyDescent="0.25">
      <c r="A9910" s="417" t="s">
        <v>3385</v>
      </c>
      <c r="B9910" s="417" t="s">
        <v>2437</v>
      </c>
      <c r="C9910" s="417" t="s">
        <v>22264</v>
      </c>
      <c r="D9910" s="417" t="s">
        <v>3936</v>
      </c>
      <c r="E9910" s="423">
        <v>0.2475997816499777</v>
      </c>
      <c r="F9910" s="423">
        <v>0.30802472870888759</v>
      </c>
      <c r="G9910" s="422">
        <v>553.86688242705486</v>
      </c>
      <c r="H9910" s="417" t="s">
        <v>2616</v>
      </c>
      <c r="I9910" s="417" t="s">
        <v>1392</v>
      </c>
      <c r="J9910" s="417" t="s">
        <v>20833</v>
      </c>
      <c r="K9910" s="417" t="s">
        <v>22265</v>
      </c>
      <c r="L9910" s="417"/>
      <c r="M9910" s="417" t="s">
        <v>28840</v>
      </c>
    </row>
    <row r="9911" spans="1:13" x14ac:dyDescent="0.25">
      <c r="A9911" s="417" t="s">
        <v>3385</v>
      </c>
      <c r="B9911" s="417" t="s">
        <v>2437</v>
      </c>
      <c r="C9911" s="417" t="s">
        <v>22266</v>
      </c>
      <c r="D9911" s="417" t="s">
        <v>3936</v>
      </c>
      <c r="E9911" s="423">
        <v>0.23192232583534719</v>
      </c>
      <c r="F9911" s="423">
        <v>0.27998635449753972</v>
      </c>
      <c r="G9911" s="422">
        <v>535.06440628947132</v>
      </c>
      <c r="H9911" s="417" t="s">
        <v>2616</v>
      </c>
      <c r="I9911" s="417" t="s">
        <v>1392</v>
      </c>
      <c r="J9911" s="417" t="s">
        <v>20833</v>
      </c>
      <c r="K9911" s="417" t="s">
        <v>22267</v>
      </c>
      <c r="L9911" s="417"/>
      <c r="M9911" s="417" t="s">
        <v>28840</v>
      </c>
    </row>
    <row r="9912" spans="1:13" x14ac:dyDescent="0.25">
      <c r="A9912" s="417" t="s">
        <v>3385</v>
      </c>
      <c r="B9912" s="417" t="s">
        <v>2437</v>
      </c>
      <c r="C9912" s="417" t="s">
        <v>22268</v>
      </c>
      <c r="D9912" s="417" t="s">
        <v>3936</v>
      </c>
      <c r="E9912" s="423">
        <v>0.23192232583534719</v>
      </c>
      <c r="F9912" s="423">
        <v>0.27998635449753972</v>
      </c>
      <c r="G9912" s="422">
        <v>535.06440628947132</v>
      </c>
      <c r="H9912" s="417" t="s">
        <v>2616</v>
      </c>
      <c r="I9912" s="417" t="s">
        <v>1392</v>
      </c>
      <c r="J9912" s="417" t="s">
        <v>20833</v>
      </c>
      <c r="K9912" s="417" t="s">
        <v>22269</v>
      </c>
      <c r="L9912" s="417"/>
      <c r="M9912" s="417" t="s">
        <v>28840</v>
      </c>
    </row>
    <row r="9913" spans="1:13" x14ac:dyDescent="0.25">
      <c r="A9913" s="417" t="s">
        <v>3385</v>
      </c>
      <c r="B9913" s="417" t="s">
        <v>2437</v>
      </c>
      <c r="C9913" s="417" t="s">
        <v>22270</v>
      </c>
      <c r="D9913" s="417" t="s">
        <v>3936</v>
      </c>
      <c r="E9913" s="423">
        <v>0.2200062118596548</v>
      </c>
      <c r="F9913" s="423">
        <v>0.26132857317318459</v>
      </c>
      <c r="G9913" s="422">
        <v>468.96139149500237</v>
      </c>
      <c r="H9913" s="417" t="s">
        <v>2616</v>
      </c>
      <c r="I9913" s="417" t="s">
        <v>1392</v>
      </c>
      <c r="J9913" s="417" t="s">
        <v>20833</v>
      </c>
      <c r="K9913" s="417" t="s">
        <v>22271</v>
      </c>
      <c r="L9913" s="417"/>
      <c r="M9913" s="417" t="s">
        <v>28840</v>
      </c>
    </row>
    <row r="9914" spans="1:13" x14ac:dyDescent="0.25">
      <c r="A9914" s="417" t="s">
        <v>3385</v>
      </c>
      <c r="B9914" s="417" t="s">
        <v>2437</v>
      </c>
      <c r="C9914" s="417" t="s">
        <v>22272</v>
      </c>
      <c r="D9914" s="417" t="s">
        <v>3936</v>
      </c>
      <c r="E9914" s="423">
        <v>0.2200062118596548</v>
      </c>
      <c r="F9914" s="423">
        <v>0.26132857317318459</v>
      </c>
      <c r="G9914" s="422">
        <v>468.96139149500237</v>
      </c>
      <c r="H9914" s="417" t="s">
        <v>2616</v>
      </c>
      <c r="I9914" s="417" t="s">
        <v>1392</v>
      </c>
      <c r="J9914" s="417" t="s">
        <v>20833</v>
      </c>
      <c r="K9914" s="417" t="s">
        <v>22273</v>
      </c>
      <c r="L9914" s="417"/>
      <c r="M9914" s="417" t="s">
        <v>28840</v>
      </c>
    </row>
    <row r="9915" spans="1:13" x14ac:dyDescent="0.25">
      <c r="A9915" s="417" t="s">
        <v>3385</v>
      </c>
      <c r="B9915" s="417" t="s">
        <v>2437</v>
      </c>
      <c r="C9915" s="417" t="s">
        <v>22274</v>
      </c>
      <c r="D9915" s="417" t="s">
        <v>3936</v>
      </c>
      <c r="E9915" s="423">
        <v>0.20787529486563619</v>
      </c>
      <c r="F9915" s="423">
        <v>0.25341279886935231</v>
      </c>
      <c r="G9915" s="422">
        <v>444.67003169399709</v>
      </c>
      <c r="H9915" s="417" t="s">
        <v>2616</v>
      </c>
      <c r="I9915" s="417" t="s">
        <v>1392</v>
      </c>
      <c r="J9915" s="417" t="s">
        <v>20833</v>
      </c>
      <c r="K9915" s="417" t="s">
        <v>22275</v>
      </c>
      <c r="L9915" s="417"/>
      <c r="M9915" s="417" t="s">
        <v>28840</v>
      </c>
    </row>
    <row r="9916" spans="1:13" x14ac:dyDescent="0.25">
      <c r="A9916" s="417" t="s">
        <v>3385</v>
      </c>
      <c r="B9916" s="417" t="s">
        <v>2437</v>
      </c>
      <c r="C9916" s="417" t="s">
        <v>22276</v>
      </c>
      <c r="D9916" s="417" t="s">
        <v>3936</v>
      </c>
      <c r="E9916" s="423">
        <v>0.20787529486563619</v>
      </c>
      <c r="F9916" s="423">
        <v>0.25341279886935231</v>
      </c>
      <c r="G9916" s="422">
        <v>444.67003169399709</v>
      </c>
      <c r="H9916" s="417" t="s">
        <v>2616</v>
      </c>
      <c r="I9916" s="417" t="s">
        <v>1392</v>
      </c>
      <c r="J9916" s="417" t="s">
        <v>20833</v>
      </c>
      <c r="K9916" s="417" t="s">
        <v>22277</v>
      </c>
      <c r="L9916" s="417"/>
      <c r="M9916" s="417" t="s">
        <v>28840</v>
      </c>
    </row>
    <row r="9917" spans="1:13" x14ac:dyDescent="0.25">
      <c r="A9917" s="417" t="s">
        <v>3385</v>
      </c>
      <c r="B9917" s="417" t="s">
        <v>2437</v>
      </c>
      <c r="C9917" s="417" t="s">
        <v>22278</v>
      </c>
      <c r="D9917" s="417" t="s">
        <v>3936</v>
      </c>
      <c r="E9917" s="423">
        <v>0.20570976364576599</v>
      </c>
      <c r="F9917" s="423">
        <v>0.24887463725332479</v>
      </c>
      <c r="G9917" s="422">
        <v>440.64202997801902</v>
      </c>
      <c r="H9917" s="417" t="s">
        <v>2616</v>
      </c>
      <c r="I9917" s="417" t="s">
        <v>1392</v>
      </c>
      <c r="J9917" s="417" t="s">
        <v>20833</v>
      </c>
      <c r="K9917" s="417" t="s">
        <v>22279</v>
      </c>
      <c r="L9917" s="417"/>
      <c r="M9917" s="417" t="s">
        <v>28840</v>
      </c>
    </row>
    <row r="9918" spans="1:13" x14ac:dyDescent="0.25">
      <c r="A9918" s="417" t="s">
        <v>3385</v>
      </c>
      <c r="B9918" s="417" t="s">
        <v>2437</v>
      </c>
      <c r="C9918" s="417" t="s">
        <v>22280</v>
      </c>
      <c r="D9918" s="417" t="s">
        <v>3936</v>
      </c>
      <c r="E9918" s="423">
        <v>0.20570976364576599</v>
      </c>
      <c r="F9918" s="423">
        <v>0.24887463725332479</v>
      </c>
      <c r="G9918" s="422">
        <v>440.64202997801902</v>
      </c>
      <c r="H9918" s="417" t="s">
        <v>2616</v>
      </c>
      <c r="I9918" s="417" t="s">
        <v>1392</v>
      </c>
      <c r="J9918" s="417" t="s">
        <v>20833</v>
      </c>
      <c r="K9918" s="417" t="s">
        <v>22281</v>
      </c>
      <c r="L9918" s="417"/>
      <c r="M9918" s="417" t="s">
        <v>28840</v>
      </c>
    </row>
    <row r="9919" spans="1:13" x14ac:dyDescent="0.25">
      <c r="A9919" s="417" t="s">
        <v>3385</v>
      </c>
      <c r="B9919" s="417" t="s">
        <v>2437</v>
      </c>
      <c r="C9919" s="417" t="s">
        <v>22282</v>
      </c>
      <c r="D9919" s="417" t="s">
        <v>3936</v>
      </c>
      <c r="E9919" s="423">
        <v>0.20193914105380789</v>
      </c>
      <c r="F9919" s="423">
        <v>0.24107639398753619</v>
      </c>
      <c r="G9919" s="422">
        <v>433.95836443755047</v>
      </c>
      <c r="H9919" s="417" t="s">
        <v>2616</v>
      </c>
      <c r="I9919" s="417" t="s">
        <v>1392</v>
      </c>
      <c r="J9919" s="417" t="s">
        <v>20833</v>
      </c>
      <c r="K9919" s="417" t="s">
        <v>22283</v>
      </c>
      <c r="L9919" s="417"/>
      <c r="M9919" s="417" t="s">
        <v>28840</v>
      </c>
    </row>
    <row r="9920" spans="1:13" x14ac:dyDescent="0.25">
      <c r="A9920" s="417" t="s">
        <v>3385</v>
      </c>
      <c r="B9920" s="417" t="s">
        <v>2437</v>
      </c>
      <c r="C9920" s="417" t="s">
        <v>22284</v>
      </c>
      <c r="D9920" s="417" t="s">
        <v>3936</v>
      </c>
      <c r="E9920" s="423">
        <v>0.20193914105380789</v>
      </c>
      <c r="F9920" s="423">
        <v>0.24107639398753619</v>
      </c>
      <c r="G9920" s="422">
        <v>433.95836443755047</v>
      </c>
      <c r="H9920" s="417" t="s">
        <v>2616</v>
      </c>
      <c r="I9920" s="417" t="s">
        <v>1392</v>
      </c>
      <c r="J9920" s="417" t="s">
        <v>20833</v>
      </c>
      <c r="K9920" s="417" t="s">
        <v>22285</v>
      </c>
      <c r="L9920" s="417"/>
      <c r="M9920" s="417" t="s">
        <v>28840</v>
      </c>
    </row>
    <row r="9921" spans="1:13" x14ac:dyDescent="0.25">
      <c r="A9921" s="417" t="s">
        <v>3385</v>
      </c>
      <c r="B9921" s="417" t="s">
        <v>2437</v>
      </c>
      <c r="C9921" s="417" t="s">
        <v>22286</v>
      </c>
      <c r="D9921" s="417" t="s">
        <v>3936</v>
      </c>
      <c r="E9921" s="423">
        <v>0.22157505750516521</v>
      </c>
      <c r="F9921" s="423">
        <v>0.28257559073403338</v>
      </c>
      <c r="G9921" s="422">
        <v>477.2329043044316</v>
      </c>
      <c r="H9921" s="417" t="s">
        <v>2616</v>
      </c>
      <c r="I9921" s="417" t="s">
        <v>1392</v>
      </c>
      <c r="J9921" s="417" t="s">
        <v>20833</v>
      </c>
      <c r="K9921" s="417" t="s">
        <v>22287</v>
      </c>
      <c r="L9921" s="417"/>
      <c r="M9921" s="417" t="s">
        <v>28840</v>
      </c>
    </row>
    <row r="9922" spans="1:13" x14ac:dyDescent="0.25">
      <c r="A9922" s="417" t="s">
        <v>3385</v>
      </c>
      <c r="B9922" s="417" t="s">
        <v>2437</v>
      </c>
      <c r="C9922" s="417" t="s">
        <v>22288</v>
      </c>
      <c r="D9922" s="417" t="s">
        <v>3936</v>
      </c>
      <c r="E9922" s="423">
        <v>0.22157505750516521</v>
      </c>
      <c r="F9922" s="423">
        <v>0.28257559073403338</v>
      </c>
      <c r="G9922" s="422">
        <v>477.2329043044316</v>
      </c>
      <c r="H9922" s="417" t="s">
        <v>2616</v>
      </c>
      <c r="I9922" s="417" t="s">
        <v>1392</v>
      </c>
      <c r="J9922" s="417" t="s">
        <v>20833</v>
      </c>
      <c r="K9922" s="417" t="s">
        <v>22289</v>
      </c>
      <c r="L9922" s="417"/>
      <c r="M9922" s="417" t="s">
        <v>28840</v>
      </c>
    </row>
    <row r="9923" spans="1:13" x14ac:dyDescent="0.25">
      <c r="A9923" s="417" t="s">
        <v>3385</v>
      </c>
      <c r="B9923" s="417" t="s">
        <v>2437</v>
      </c>
      <c r="C9923" s="417" t="s">
        <v>22290</v>
      </c>
      <c r="D9923" s="417" t="s">
        <v>3936</v>
      </c>
      <c r="E9923" s="423">
        <v>0.213596202465204</v>
      </c>
      <c r="F9923" s="423">
        <v>0.2653910688364261</v>
      </c>
      <c r="G9923" s="422">
        <v>486.38125520596452</v>
      </c>
      <c r="H9923" s="417" t="s">
        <v>2616</v>
      </c>
      <c r="I9923" s="417" t="s">
        <v>1392</v>
      </c>
      <c r="J9923" s="417" t="s">
        <v>20833</v>
      </c>
      <c r="K9923" s="417" t="s">
        <v>22291</v>
      </c>
      <c r="L9923" s="417"/>
      <c r="M9923" s="417" t="s">
        <v>28840</v>
      </c>
    </row>
    <row r="9924" spans="1:13" x14ac:dyDescent="0.25">
      <c r="A9924" s="417" t="s">
        <v>3385</v>
      </c>
      <c r="B9924" s="417" t="s">
        <v>2437</v>
      </c>
      <c r="C9924" s="417" t="s">
        <v>22292</v>
      </c>
      <c r="D9924" s="417" t="s">
        <v>3936</v>
      </c>
      <c r="E9924" s="423">
        <v>0.213596202465204</v>
      </c>
      <c r="F9924" s="423">
        <v>0.2653910688364261</v>
      </c>
      <c r="G9924" s="422">
        <v>486.38125520596452</v>
      </c>
      <c r="H9924" s="417" t="s">
        <v>2616</v>
      </c>
      <c r="I9924" s="417" t="s">
        <v>1392</v>
      </c>
      <c r="J9924" s="417" t="s">
        <v>20833</v>
      </c>
      <c r="K9924" s="417" t="s">
        <v>22293</v>
      </c>
      <c r="L9924" s="417"/>
      <c r="M9924" s="417" t="s">
        <v>28840</v>
      </c>
    </row>
    <row r="9925" spans="1:13" x14ac:dyDescent="0.25">
      <c r="A9925" s="417" t="s">
        <v>3385</v>
      </c>
      <c r="B9925" s="417" t="s">
        <v>2437</v>
      </c>
      <c r="C9925" s="417" t="s">
        <v>22294</v>
      </c>
      <c r="D9925" s="417" t="s">
        <v>3936</v>
      </c>
      <c r="E9925" s="423">
        <v>0.20044818879634721</v>
      </c>
      <c r="F9925" s="423">
        <v>0.2407479830306786</v>
      </c>
      <c r="G9925" s="422">
        <v>469.92929530921708</v>
      </c>
      <c r="H9925" s="417" t="s">
        <v>2616</v>
      </c>
      <c r="I9925" s="417" t="s">
        <v>1392</v>
      </c>
      <c r="J9925" s="417" t="s">
        <v>20833</v>
      </c>
      <c r="K9925" s="417" t="s">
        <v>22295</v>
      </c>
      <c r="L9925" s="417"/>
      <c r="M9925" s="417" t="s">
        <v>28840</v>
      </c>
    </row>
    <row r="9926" spans="1:13" x14ac:dyDescent="0.25">
      <c r="A9926" s="417" t="s">
        <v>3385</v>
      </c>
      <c r="B9926" s="417" t="s">
        <v>2437</v>
      </c>
      <c r="C9926" s="417" t="s">
        <v>22296</v>
      </c>
      <c r="D9926" s="417" t="s">
        <v>3936</v>
      </c>
      <c r="E9926" s="423">
        <v>0.20044818879634721</v>
      </c>
      <c r="F9926" s="423">
        <v>0.2407479830306786</v>
      </c>
      <c r="G9926" s="422">
        <v>469.92929530921708</v>
      </c>
      <c r="H9926" s="417" t="s">
        <v>2616</v>
      </c>
      <c r="I9926" s="417" t="s">
        <v>1392</v>
      </c>
      <c r="J9926" s="417" t="s">
        <v>20833</v>
      </c>
      <c r="K9926" s="417" t="s">
        <v>22297</v>
      </c>
      <c r="L9926" s="417"/>
      <c r="M9926" s="417" t="s">
        <v>28840</v>
      </c>
    </row>
    <row r="9927" spans="1:13" x14ac:dyDescent="0.25">
      <c r="A9927" s="417" t="s">
        <v>3385</v>
      </c>
      <c r="B9927" s="417" t="s">
        <v>2437</v>
      </c>
      <c r="C9927" s="417" t="s">
        <v>22298</v>
      </c>
      <c r="D9927" s="417" t="s">
        <v>3936</v>
      </c>
      <c r="E9927" s="423">
        <v>0.1904484179771172</v>
      </c>
      <c r="F9927" s="423">
        <v>0.22632624797636169</v>
      </c>
      <c r="G9927" s="422">
        <v>413.37121254153419</v>
      </c>
      <c r="H9927" s="417" t="s">
        <v>2616</v>
      </c>
      <c r="I9927" s="417" t="s">
        <v>1392</v>
      </c>
      <c r="J9927" s="417" t="s">
        <v>20833</v>
      </c>
      <c r="K9927" s="417" t="s">
        <v>22299</v>
      </c>
      <c r="L9927" s="417"/>
      <c r="M9927" s="417" t="s">
        <v>28840</v>
      </c>
    </row>
    <row r="9928" spans="1:13" x14ac:dyDescent="0.25">
      <c r="A9928" s="417" t="s">
        <v>3385</v>
      </c>
      <c r="B9928" s="417" t="s">
        <v>2437</v>
      </c>
      <c r="C9928" s="417" t="s">
        <v>22300</v>
      </c>
      <c r="D9928" s="417" t="s">
        <v>3936</v>
      </c>
      <c r="E9928" s="423">
        <v>0.1904484179771172</v>
      </c>
      <c r="F9928" s="423">
        <v>0.22632624797636169</v>
      </c>
      <c r="G9928" s="422">
        <v>413.37121254153419</v>
      </c>
      <c r="H9928" s="417" t="s">
        <v>2616</v>
      </c>
      <c r="I9928" s="417" t="s">
        <v>1392</v>
      </c>
      <c r="J9928" s="417" t="s">
        <v>20833</v>
      </c>
      <c r="K9928" s="417" t="s">
        <v>22301</v>
      </c>
      <c r="L9928" s="417"/>
      <c r="M9928" s="417" t="s">
        <v>28840</v>
      </c>
    </row>
    <row r="9929" spans="1:13" x14ac:dyDescent="0.25">
      <c r="A9929" s="417" t="s">
        <v>3385</v>
      </c>
      <c r="B9929" s="417" t="s">
        <v>2437</v>
      </c>
      <c r="C9929" s="417" t="s">
        <v>22302</v>
      </c>
      <c r="D9929" s="417" t="s">
        <v>3936</v>
      </c>
      <c r="E9929" s="423">
        <v>0.1787613029430424</v>
      </c>
      <c r="F9929" s="423">
        <v>0.21862377574170661</v>
      </c>
      <c r="G9929" s="422">
        <v>389.81022523196998</v>
      </c>
      <c r="H9929" s="417" t="s">
        <v>2616</v>
      </c>
      <c r="I9929" s="417" t="s">
        <v>1392</v>
      </c>
      <c r="J9929" s="417" t="s">
        <v>20833</v>
      </c>
      <c r="K9929" s="417" t="s">
        <v>22303</v>
      </c>
      <c r="L9929" s="417"/>
      <c r="M9929" s="417" t="s">
        <v>28840</v>
      </c>
    </row>
    <row r="9930" spans="1:13" x14ac:dyDescent="0.25">
      <c r="A9930" s="417" t="s">
        <v>3385</v>
      </c>
      <c r="B9930" s="417" t="s">
        <v>2437</v>
      </c>
      <c r="C9930" s="417" t="s">
        <v>22304</v>
      </c>
      <c r="D9930" s="417" t="s">
        <v>3936</v>
      </c>
      <c r="E9930" s="423">
        <v>0.1787613029430424</v>
      </c>
      <c r="F9930" s="423">
        <v>0.21862377574170661</v>
      </c>
      <c r="G9930" s="422">
        <v>389.81022523196998</v>
      </c>
      <c r="H9930" s="417" t="s">
        <v>2616</v>
      </c>
      <c r="I9930" s="417" t="s">
        <v>1392</v>
      </c>
      <c r="J9930" s="417" t="s">
        <v>20833</v>
      </c>
      <c r="K9930" s="417" t="s">
        <v>22305</v>
      </c>
      <c r="L9930" s="417"/>
      <c r="M9930" s="417" t="s">
        <v>28840</v>
      </c>
    </row>
    <row r="9931" spans="1:13" x14ac:dyDescent="0.25">
      <c r="A9931" s="417" t="s">
        <v>3385</v>
      </c>
      <c r="B9931" s="417" t="s">
        <v>2437</v>
      </c>
      <c r="C9931" s="417" t="s">
        <v>22306</v>
      </c>
      <c r="D9931" s="417" t="s">
        <v>3936</v>
      </c>
      <c r="E9931" s="423">
        <v>0.17707304324371201</v>
      </c>
      <c r="F9931" s="423">
        <v>0.21545877071186931</v>
      </c>
      <c r="G9931" s="422">
        <v>386.80122997808962</v>
      </c>
      <c r="H9931" s="417" t="s">
        <v>2616</v>
      </c>
      <c r="I9931" s="417" t="s">
        <v>1392</v>
      </c>
      <c r="J9931" s="417" t="s">
        <v>20833</v>
      </c>
      <c r="K9931" s="417" t="s">
        <v>22307</v>
      </c>
      <c r="L9931" s="417"/>
      <c r="M9931" s="417" t="s">
        <v>28840</v>
      </c>
    </row>
    <row r="9932" spans="1:13" x14ac:dyDescent="0.25">
      <c r="A9932" s="417" t="s">
        <v>3385</v>
      </c>
      <c r="B9932" s="417" t="s">
        <v>2437</v>
      </c>
      <c r="C9932" s="417" t="s">
        <v>22308</v>
      </c>
      <c r="D9932" s="417" t="s">
        <v>3936</v>
      </c>
      <c r="E9932" s="423">
        <v>0.17707304324371201</v>
      </c>
      <c r="F9932" s="423">
        <v>0.21545877071186931</v>
      </c>
      <c r="G9932" s="422">
        <v>386.80122997808962</v>
      </c>
      <c r="H9932" s="417" t="s">
        <v>2616</v>
      </c>
      <c r="I9932" s="417" t="s">
        <v>1392</v>
      </c>
      <c r="J9932" s="417" t="s">
        <v>20833</v>
      </c>
      <c r="K9932" s="417" t="s">
        <v>22309</v>
      </c>
      <c r="L9932" s="417"/>
      <c r="M9932" s="417" t="s">
        <v>28840</v>
      </c>
    </row>
    <row r="9933" spans="1:13" x14ac:dyDescent="0.25">
      <c r="A9933" s="417" t="s">
        <v>3385</v>
      </c>
      <c r="B9933" s="417" t="s">
        <v>2437</v>
      </c>
      <c r="C9933" s="417" t="s">
        <v>22310</v>
      </c>
      <c r="D9933" s="417" t="s">
        <v>3936</v>
      </c>
      <c r="E9933" s="423">
        <v>0.17383302878868909</v>
      </c>
      <c r="F9933" s="423">
        <v>0.20797366691564181</v>
      </c>
      <c r="G9933" s="422">
        <v>380.83811721860849</v>
      </c>
      <c r="H9933" s="417" t="s">
        <v>2616</v>
      </c>
      <c r="I9933" s="417" t="s">
        <v>1392</v>
      </c>
      <c r="J9933" s="417" t="s">
        <v>20833</v>
      </c>
      <c r="K9933" s="417" t="s">
        <v>22311</v>
      </c>
      <c r="L9933" s="417"/>
      <c r="M9933" s="417" t="s">
        <v>28840</v>
      </c>
    </row>
    <row r="9934" spans="1:13" x14ac:dyDescent="0.25">
      <c r="A9934" s="417" t="s">
        <v>3385</v>
      </c>
      <c r="B9934" s="417" t="s">
        <v>2437</v>
      </c>
      <c r="C9934" s="417" t="s">
        <v>22312</v>
      </c>
      <c r="D9934" s="417" t="s">
        <v>3936</v>
      </c>
      <c r="E9934" s="423">
        <v>0.17383302878868909</v>
      </c>
      <c r="F9934" s="423">
        <v>0.20797366691564181</v>
      </c>
      <c r="G9934" s="422">
        <v>380.83811721860849</v>
      </c>
      <c r="H9934" s="417" t="s">
        <v>2616</v>
      </c>
      <c r="I9934" s="417" t="s">
        <v>1392</v>
      </c>
      <c r="J9934" s="417" t="s">
        <v>20833</v>
      </c>
      <c r="K9934" s="417" t="s">
        <v>22313</v>
      </c>
      <c r="L9934" s="417"/>
      <c r="M9934" s="417" t="s">
        <v>28840</v>
      </c>
    </row>
    <row r="9935" spans="1:13" x14ac:dyDescent="0.25">
      <c r="A9935" s="417" t="s">
        <v>3385</v>
      </c>
      <c r="B9935" s="417" t="s">
        <v>2437</v>
      </c>
      <c r="C9935" s="417" t="s">
        <v>22314</v>
      </c>
      <c r="D9935" s="417" t="s">
        <v>3936</v>
      </c>
      <c r="E9935" s="423">
        <v>0.17307712443450321</v>
      </c>
      <c r="F9935" s="423">
        <v>0.2183705408296559</v>
      </c>
      <c r="G9935" s="422">
        <v>385.60066919891028</v>
      </c>
      <c r="H9935" s="417" t="s">
        <v>2616</v>
      </c>
      <c r="I9935" s="417" t="s">
        <v>1392</v>
      </c>
      <c r="J9935" s="417" t="s">
        <v>20833</v>
      </c>
      <c r="K9935" s="417" t="s">
        <v>22315</v>
      </c>
      <c r="L9935" s="417"/>
      <c r="M9935" s="417" t="s">
        <v>28840</v>
      </c>
    </row>
    <row r="9936" spans="1:13" x14ac:dyDescent="0.25">
      <c r="A9936" s="417" t="s">
        <v>3385</v>
      </c>
      <c r="B9936" s="417" t="s">
        <v>2437</v>
      </c>
      <c r="C9936" s="417" t="s">
        <v>22316</v>
      </c>
      <c r="D9936" s="417" t="s">
        <v>3936</v>
      </c>
      <c r="E9936" s="423">
        <v>0.17307712443450321</v>
      </c>
      <c r="F9936" s="423">
        <v>0.2183705408296559</v>
      </c>
      <c r="G9936" s="422">
        <v>385.60066919891028</v>
      </c>
      <c r="H9936" s="417" t="s">
        <v>2616</v>
      </c>
      <c r="I9936" s="417" t="s">
        <v>1392</v>
      </c>
      <c r="J9936" s="417" t="s">
        <v>20833</v>
      </c>
      <c r="K9936" s="417" t="s">
        <v>22317</v>
      </c>
      <c r="L9936" s="417"/>
      <c r="M9936" s="417" t="s">
        <v>28840</v>
      </c>
    </row>
    <row r="9937" spans="1:13" x14ac:dyDescent="0.25">
      <c r="A9937" s="417" t="s">
        <v>3385</v>
      </c>
      <c r="B9937" s="417" t="s">
        <v>2437</v>
      </c>
      <c r="C9937" s="417" t="s">
        <v>22318</v>
      </c>
      <c r="D9937" s="417" t="s">
        <v>3936</v>
      </c>
      <c r="E9937" s="423">
        <v>0.1677842363839572</v>
      </c>
      <c r="F9937" s="423">
        <v>0.20729744459516741</v>
      </c>
      <c r="G9937" s="422">
        <v>394.00506509006641</v>
      </c>
      <c r="H9937" s="417" t="s">
        <v>2616</v>
      </c>
      <c r="I9937" s="417" t="s">
        <v>1392</v>
      </c>
      <c r="J9937" s="417" t="s">
        <v>20833</v>
      </c>
      <c r="K9937" s="417" t="s">
        <v>22319</v>
      </c>
      <c r="L9937" s="417"/>
      <c r="M9937" s="417" t="s">
        <v>28840</v>
      </c>
    </row>
    <row r="9938" spans="1:13" x14ac:dyDescent="0.25">
      <c r="A9938" s="417" t="s">
        <v>3385</v>
      </c>
      <c r="B9938" s="417" t="s">
        <v>2437</v>
      </c>
      <c r="C9938" s="417" t="s">
        <v>22320</v>
      </c>
      <c r="D9938" s="417" t="s">
        <v>3936</v>
      </c>
      <c r="E9938" s="423">
        <v>0.1677842363839572</v>
      </c>
      <c r="F9938" s="423">
        <v>0.20729744459516741</v>
      </c>
      <c r="G9938" s="422">
        <v>394.00506509006641</v>
      </c>
      <c r="H9938" s="417" t="s">
        <v>2616</v>
      </c>
      <c r="I9938" s="417" t="s">
        <v>1392</v>
      </c>
      <c r="J9938" s="417" t="s">
        <v>20833</v>
      </c>
      <c r="K9938" s="417" t="s">
        <v>22321</v>
      </c>
      <c r="L9938" s="417"/>
      <c r="M9938" s="417" t="s">
        <v>28840</v>
      </c>
    </row>
    <row r="9939" spans="1:13" x14ac:dyDescent="0.25">
      <c r="A9939" s="417" t="s">
        <v>3385</v>
      </c>
      <c r="B9939" s="417" t="s">
        <v>2437</v>
      </c>
      <c r="C9939" s="417" t="s">
        <v>22322</v>
      </c>
      <c r="D9939" s="417" t="s">
        <v>3936</v>
      </c>
      <c r="E9939" s="423">
        <v>0.15875631723515241</v>
      </c>
      <c r="F9939" s="423">
        <v>0.1916306444165656</v>
      </c>
      <c r="G9939" s="422">
        <v>382.76091413270439</v>
      </c>
      <c r="H9939" s="417" t="s">
        <v>2616</v>
      </c>
      <c r="I9939" s="417" t="s">
        <v>1392</v>
      </c>
      <c r="J9939" s="417" t="s">
        <v>20833</v>
      </c>
      <c r="K9939" s="417" t="s">
        <v>22323</v>
      </c>
      <c r="L9939" s="417"/>
      <c r="M9939" s="417" t="s">
        <v>28840</v>
      </c>
    </row>
    <row r="9940" spans="1:13" x14ac:dyDescent="0.25">
      <c r="A9940" s="417" t="s">
        <v>3385</v>
      </c>
      <c r="B9940" s="417" t="s">
        <v>2437</v>
      </c>
      <c r="C9940" s="417" t="s">
        <v>22324</v>
      </c>
      <c r="D9940" s="417" t="s">
        <v>3936</v>
      </c>
      <c r="E9940" s="423">
        <v>0.15875631723515241</v>
      </c>
      <c r="F9940" s="423">
        <v>0.1916306444165656</v>
      </c>
      <c r="G9940" s="422">
        <v>382.76091413270439</v>
      </c>
      <c r="H9940" s="417" t="s">
        <v>2616</v>
      </c>
      <c r="I9940" s="417" t="s">
        <v>1392</v>
      </c>
      <c r="J9940" s="417" t="s">
        <v>20833</v>
      </c>
      <c r="K9940" s="417" t="s">
        <v>22325</v>
      </c>
      <c r="L9940" s="417"/>
      <c r="M9940" s="417" t="s">
        <v>28840</v>
      </c>
    </row>
    <row r="9941" spans="1:13" x14ac:dyDescent="0.25">
      <c r="A9941" s="417" t="s">
        <v>3385</v>
      </c>
      <c r="B9941" s="417" t="s">
        <v>2437</v>
      </c>
      <c r="C9941" s="417" t="s">
        <v>22326</v>
      </c>
      <c r="D9941" s="417" t="s">
        <v>3936</v>
      </c>
      <c r="E9941" s="423">
        <v>0.15182307043180779</v>
      </c>
      <c r="F9941" s="423">
        <v>0.18071968618869849</v>
      </c>
      <c r="G9941" s="422">
        <v>339.40044960033669</v>
      </c>
      <c r="H9941" s="417" t="s">
        <v>2616</v>
      </c>
      <c r="I9941" s="417" t="s">
        <v>1392</v>
      </c>
      <c r="J9941" s="417" t="s">
        <v>20833</v>
      </c>
      <c r="K9941" s="417" t="s">
        <v>22327</v>
      </c>
      <c r="L9941" s="417"/>
      <c r="M9941" s="417" t="s">
        <v>28840</v>
      </c>
    </row>
    <row r="9942" spans="1:13" x14ac:dyDescent="0.25">
      <c r="A9942" s="417" t="s">
        <v>3385</v>
      </c>
      <c r="B9942" s="417" t="s">
        <v>2437</v>
      </c>
      <c r="C9942" s="417" t="s">
        <v>22328</v>
      </c>
      <c r="D9942" s="417" t="s">
        <v>3936</v>
      </c>
      <c r="E9942" s="423">
        <v>0.15182307043180779</v>
      </c>
      <c r="F9942" s="423">
        <v>0.18071968618869849</v>
      </c>
      <c r="G9942" s="422">
        <v>339.40044960033669</v>
      </c>
      <c r="H9942" s="417" t="s">
        <v>2616</v>
      </c>
      <c r="I9942" s="417" t="s">
        <v>1392</v>
      </c>
      <c r="J9942" s="417" t="s">
        <v>20833</v>
      </c>
      <c r="K9942" s="417" t="s">
        <v>22329</v>
      </c>
      <c r="L9942" s="417"/>
      <c r="M9942" s="417" t="s">
        <v>28840</v>
      </c>
    </row>
    <row r="9943" spans="1:13" x14ac:dyDescent="0.25">
      <c r="A9943" s="417" t="s">
        <v>3385</v>
      </c>
      <c r="B9943" s="417" t="s">
        <v>2437</v>
      </c>
      <c r="C9943" s="417" t="s">
        <v>22330</v>
      </c>
      <c r="D9943" s="417" t="s">
        <v>3936</v>
      </c>
      <c r="E9943" s="423">
        <v>0.14162756541002339</v>
      </c>
      <c r="F9943" s="423">
        <v>0.1760768860603199</v>
      </c>
      <c r="G9943" s="422">
        <v>318.28722220594398</v>
      </c>
      <c r="H9943" s="417" t="s">
        <v>2616</v>
      </c>
      <c r="I9943" s="417" t="s">
        <v>1392</v>
      </c>
      <c r="J9943" s="417" t="s">
        <v>20833</v>
      </c>
      <c r="K9943" s="417" t="s">
        <v>22331</v>
      </c>
      <c r="L9943" s="417"/>
      <c r="M9943" s="417" t="s">
        <v>28840</v>
      </c>
    </row>
    <row r="9944" spans="1:13" x14ac:dyDescent="0.25">
      <c r="A9944" s="417" t="s">
        <v>3385</v>
      </c>
      <c r="B9944" s="417" t="s">
        <v>2437</v>
      </c>
      <c r="C9944" s="417" t="s">
        <v>22332</v>
      </c>
      <c r="D9944" s="417" t="s">
        <v>3936</v>
      </c>
      <c r="E9944" s="423">
        <v>0.14162756541002339</v>
      </c>
      <c r="F9944" s="423">
        <v>0.1760768860603199</v>
      </c>
      <c r="G9944" s="422">
        <v>318.28722220594398</v>
      </c>
      <c r="H9944" s="417" t="s">
        <v>2616</v>
      </c>
      <c r="I9944" s="417" t="s">
        <v>1392</v>
      </c>
      <c r="J9944" s="417" t="s">
        <v>20833</v>
      </c>
      <c r="K9944" s="417" t="s">
        <v>22333</v>
      </c>
      <c r="L9944" s="417"/>
      <c r="M9944" s="417" t="s">
        <v>28840</v>
      </c>
    </row>
    <row r="9945" spans="1:13" x14ac:dyDescent="0.25">
      <c r="A9945" s="417" t="s">
        <v>3385</v>
      </c>
      <c r="B9945" s="417" t="s">
        <v>2437</v>
      </c>
      <c r="C9945" s="417" t="s">
        <v>22334</v>
      </c>
      <c r="D9945" s="417" t="s">
        <v>3936</v>
      </c>
      <c r="E9945" s="423">
        <v>0.14039356915151771</v>
      </c>
      <c r="F9945" s="423">
        <v>0.17312395758077201</v>
      </c>
      <c r="G9945" s="422">
        <v>316.11647359137402</v>
      </c>
      <c r="H9945" s="417" t="s">
        <v>2616</v>
      </c>
      <c r="I9945" s="417" t="s">
        <v>1392</v>
      </c>
      <c r="J9945" s="417" t="s">
        <v>20833</v>
      </c>
      <c r="K9945" s="417" t="s">
        <v>22335</v>
      </c>
      <c r="L9945" s="417"/>
      <c r="M9945" s="417" t="s">
        <v>28840</v>
      </c>
    </row>
    <row r="9946" spans="1:13" x14ac:dyDescent="0.25">
      <c r="A9946" s="417" t="s">
        <v>3385</v>
      </c>
      <c r="B9946" s="417" t="s">
        <v>2437</v>
      </c>
      <c r="C9946" s="417" t="s">
        <v>22336</v>
      </c>
      <c r="D9946" s="417" t="s">
        <v>3936</v>
      </c>
      <c r="E9946" s="423">
        <v>0.14039356915151771</v>
      </c>
      <c r="F9946" s="423">
        <v>0.17312395758077201</v>
      </c>
      <c r="G9946" s="422">
        <v>316.11647359137402</v>
      </c>
      <c r="H9946" s="417" t="s">
        <v>2616</v>
      </c>
      <c r="I9946" s="417" t="s">
        <v>1392</v>
      </c>
      <c r="J9946" s="417" t="s">
        <v>20833</v>
      </c>
      <c r="K9946" s="417" t="s">
        <v>22337</v>
      </c>
      <c r="L9946" s="417"/>
      <c r="M9946" s="417" t="s">
        <v>28840</v>
      </c>
    </row>
    <row r="9947" spans="1:13" x14ac:dyDescent="0.25">
      <c r="A9947" s="417" t="s">
        <v>3385</v>
      </c>
      <c r="B9947" s="417" t="s">
        <v>2437</v>
      </c>
      <c r="C9947" s="417" t="s">
        <v>22338</v>
      </c>
      <c r="D9947" s="417" t="s">
        <v>3936</v>
      </c>
      <c r="E9947" s="423">
        <v>0.13824139487156839</v>
      </c>
      <c r="F9947" s="423">
        <v>0.16964905484556561</v>
      </c>
      <c r="G9947" s="422">
        <v>312.34053485986971</v>
      </c>
      <c r="H9947" s="417" t="s">
        <v>2616</v>
      </c>
      <c r="I9947" s="417" t="s">
        <v>1392</v>
      </c>
      <c r="J9947" s="417" t="s">
        <v>20833</v>
      </c>
      <c r="K9947" s="417" t="s">
        <v>22339</v>
      </c>
      <c r="L9947" s="417"/>
      <c r="M9947" s="417" t="s">
        <v>28840</v>
      </c>
    </row>
    <row r="9948" spans="1:13" x14ac:dyDescent="0.25">
      <c r="A9948" s="417" t="s">
        <v>3385</v>
      </c>
      <c r="B9948" s="417" t="s">
        <v>2437</v>
      </c>
      <c r="C9948" s="417" t="s">
        <v>22340</v>
      </c>
      <c r="D9948" s="417" t="s">
        <v>3936</v>
      </c>
      <c r="E9948" s="423">
        <v>0.13824139487156839</v>
      </c>
      <c r="F9948" s="423">
        <v>0.16964905484556561</v>
      </c>
      <c r="G9948" s="422">
        <v>312.34053485986971</v>
      </c>
      <c r="H9948" s="417" t="s">
        <v>2616</v>
      </c>
      <c r="I9948" s="417" t="s">
        <v>1392</v>
      </c>
      <c r="J9948" s="417" t="s">
        <v>20833</v>
      </c>
      <c r="K9948" s="417" t="s">
        <v>22341</v>
      </c>
      <c r="L9948" s="417"/>
      <c r="M9948" s="417" t="s">
        <v>28840</v>
      </c>
    </row>
    <row r="9949" spans="1:13" x14ac:dyDescent="0.25">
      <c r="A9949" s="417" t="s">
        <v>3385</v>
      </c>
      <c r="B9949" s="417" t="s">
        <v>2437</v>
      </c>
      <c r="C9949" s="417" t="s">
        <v>22342</v>
      </c>
      <c r="D9949" s="417" t="s">
        <v>3936</v>
      </c>
      <c r="E9949" s="423">
        <v>0.21242989126452719</v>
      </c>
      <c r="F9949" s="423">
        <v>5.1110950699155562E-2</v>
      </c>
      <c r="G9949" s="422">
        <v>410.05783665538178</v>
      </c>
      <c r="H9949" s="417" t="s">
        <v>2616</v>
      </c>
      <c r="I9949" s="417" t="s">
        <v>1392</v>
      </c>
      <c r="J9949" s="417" t="s">
        <v>20833</v>
      </c>
      <c r="K9949" s="417" t="s">
        <v>22343</v>
      </c>
      <c r="L9949" s="417"/>
      <c r="M9949" s="417" t="s">
        <v>28840</v>
      </c>
    </row>
    <row r="9950" spans="1:13" x14ac:dyDescent="0.25">
      <c r="A9950" s="417" t="s">
        <v>3385</v>
      </c>
      <c r="B9950" s="417" t="s">
        <v>2437</v>
      </c>
      <c r="C9950" s="417" t="s">
        <v>22344</v>
      </c>
      <c r="D9950" s="417" t="s">
        <v>3936</v>
      </c>
      <c r="E9950" s="423">
        <v>0.23090560478202149</v>
      </c>
      <c r="F9950" s="423">
        <v>2.025828315765037E-2</v>
      </c>
      <c r="G9950" s="422">
        <v>431.81990783419212</v>
      </c>
      <c r="H9950" s="417" t="s">
        <v>2616</v>
      </c>
      <c r="I9950" s="417" t="s">
        <v>1392</v>
      </c>
      <c r="J9950" s="417" t="s">
        <v>20833</v>
      </c>
      <c r="K9950" s="417" t="s">
        <v>22345</v>
      </c>
      <c r="L9950" s="417"/>
      <c r="M9950" s="417" t="s">
        <v>28840</v>
      </c>
    </row>
    <row r="9951" spans="1:13" x14ac:dyDescent="0.25">
      <c r="A9951" s="417" t="s">
        <v>3385</v>
      </c>
      <c r="B9951" s="417" t="s">
        <v>2437</v>
      </c>
      <c r="C9951" s="417" t="s">
        <v>22346</v>
      </c>
      <c r="D9951" s="417" t="s">
        <v>3936</v>
      </c>
      <c r="E9951" s="423">
        <v>0.20723693692103279</v>
      </c>
      <c r="F9951" s="423">
        <v>4.9177984447757603E-2</v>
      </c>
      <c r="G9951" s="422">
        <v>417.37088319526271</v>
      </c>
      <c r="H9951" s="417" t="s">
        <v>2616</v>
      </c>
      <c r="I9951" s="417" t="s">
        <v>1392</v>
      </c>
      <c r="J9951" s="417" t="s">
        <v>20833</v>
      </c>
      <c r="K9951" s="417" t="s">
        <v>22347</v>
      </c>
      <c r="L9951" s="417"/>
      <c r="M9951" s="417" t="s">
        <v>28840</v>
      </c>
    </row>
    <row r="9952" spans="1:13" x14ac:dyDescent="0.25">
      <c r="A9952" s="417" t="s">
        <v>3385</v>
      </c>
      <c r="B9952" s="417" t="s">
        <v>2437</v>
      </c>
      <c r="C9952" s="417" t="s">
        <v>22348</v>
      </c>
      <c r="D9952" s="417" t="s">
        <v>3936</v>
      </c>
      <c r="E9952" s="423">
        <v>0.22476713919855049</v>
      </c>
      <c r="F9952" s="423">
        <v>1.9610041135788962E-2</v>
      </c>
      <c r="G9952" s="422">
        <v>438.05282100049681</v>
      </c>
      <c r="H9952" s="417" t="s">
        <v>2616</v>
      </c>
      <c r="I9952" s="417" t="s">
        <v>1392</v>
      </c>
      <c r="J9952" s="417" t="s">
        <v>20833</v>
      </c>
      <c r="K9952" s="417" t="s">
        <v>22349</v>
      </c>
      <c r="L9952" s="417"/>
      <c r="M9952" s="417" t="s">
        <v>28840</v>
      </c>
    </row>
    <row r="9953" spans="1:13" x14ac:dyDescent="0.25">
      <c r="A9953" s="417" t="s">
        <v>3385</v>
      </c>
      <c r="B9953" s="417" t="s">
        <v>2437</v>
      </c>
      <c r="C9953" s="417" t="s">
        <v>22350</v>
      </c>
      <c r="D9953" s="417" t="s">
        <v>3936</v>
      </c>
      <c r="E9953" s="423">
        <v>0.19664654612393051</v>
      </c>
      <c r="F9953" s="423">
        <v>4.6031759357582608E-2</v>
      </c>
      <c r="G9953" s="422">
        <v>404.52361980438792</v>
      </c>
      <c r="H9953" s="417" t="s">
        <v>2616</v>
      </c>
      <c r="I9953" s="417" t="s">
        <v>1392</v>
      </c>
      <c r="J9953" s="417" t="s">
        <v>20833</v>
      </c>
      <c r="K9953" s="417" t="s">
        <v>22351</v>
      </c>
      <c r="L9953" s="417"/>
      <c r="M9953" s="417" t="s">
        <v>28840</v>
      </c>
    </row>
    <row r="9954" spans="1:13" x14ac:dyDescent="0.25">
      <c r="A9954" s="417" t="s">
        <v>3385</v>
      </c>
      <c r="B9954" s="417" t="s">
        <v>2437</v>
      </c>
      <c r="C9954" s="417" t="s">
        <v>22352</v>
      </c>
      <c r="D9954" s="417" t="s">
        <v>3936</v>
      </c>
      <c r="E9954" s="423">
        <v>0.21305717204055799</v>
      </c>
      <c r="F9954" s="423">
        <v>1.846877803246599E-2</v>
      </c>
      <c r="G9954" s="422">
        <v>423.87216948324561</v>
      </c>
      <c r="H9954" s="417" t="s">
        <v>2616</v>
      </c>
      <c r="I9954" s="417" t="s">
        <v>1392</v>
      </c>
      <c r="J9954" s="417" t="s">
        <v>20833</v>
      </c>
      <c r="K9954" s="417" t="s">
        <v>22353</v>
      </c>
      <c r="L9954" s="417"/>
      <c r="M9954" s="417" t="s">
        <v>28840</v>
      </c>
    </row>
    <row r="9955" spans="1:13" x14ac:dyDescent="0.25">
      <c r="A9955" s="417" t="s">
        <v>3385</v>
      </c>
      <c r="B9955" s="417" t="s">
        <v>2437</v>
      </c>
      <c r="C9955" s="417" t="s">
        <v>22354</v>
      </c>
      <c r="D9955" s="417" t="s">
        <v>3936</v>
      </c>
      <c r="E9955" s="423">
        <v>0.18744223017397771</v>
      </c>
      <c r="F9955" s="423">
        <v>4.3747512024151593E-2</v>
      </c>
      <c r="G9955" s="422">
        <v>363.8867363255905</v>
      </c>
      <c r="H9955" s="417" t="s">
        <v>2616</v>
      </c>
      <c r="I9955" s="417" t="s">
        <v>1392</v>
      </c>
      <c r="J9955" s="417" t="s">
        <v>20833</v>
      </c>
      <c r="K9955" s="417" t="s">
        <v>22355</v>
      </c>
      <c r="L9955" s="417"/>
      <c r="M9955" s="417" t="s">
        <v>28840</v>
      </c>
    </row>
    <row r="9956" spans="1:13" x14ac:dyDescent="0.25">
      <c r="A9956" s="417" t="s">
        <v>3385</v>
      </c>
      <c r="B9956" s="417" t="s">
        <v>2437</v>
      </c>
      <c r="C9956" s="417" t="s">
        <v>22356</v>
      </c>
      <c r="D9956" s="417" t="s">
        <v>3936</v>
      </c>
      <c r="E9956" s="423">
        <v>0.20280293179986919</v>
      </c>
      <c r="F9956" s="423">
        <v>1.7580822484051382E-2</v>
      </c>
      <c r="G9956" s="422">
        <v>382.03490338157047</v>
      </c>
      <c r="H9956" s="417" t="s">
        <v>2616</v>
      </c>
      <c r="I9956" s="417" t="s">
        <v>1392</v>
      </c>
      <c r="J9956" s="417" t="s">
        <v>20833</v>
      </c>
      <c r="K9956" s="417" t="s">
        <v>22357</v>
      </c>
      <c r="L9956" s="417"/>
      <c r="M9956" s="417" t="s">
        <v>28840</v>
      </c>
    </row>
    <row r="9957" spans="1:13" x14ac:dyDescent="0.25">
      <c r="A9957" s="417" t="s">
        <v>3385</v>
      </c>
      <c r="B9957" s="417" t="s">
        <v>2437</v>
      </c>
      <c r="C9957" s="417" t="s">
        <v>22358</v>
      </c>
      <c r="D9957" s="417" t="s">
        <v>3936</v>
      </c>
      <c r="E9957" s="423">
        <v>0.17697572036309869</v>
      </c>
      <c r="F9957" s="423">
        <v>4.2757795618367643E-2</v>
      </c>
      <c r="G9957" s="422">
        <v>343.48479644343058</v>
      </c>
      <c r="H9957" s="417" t="s">
        <v>2616</v>
      </c>
      <c r="I9957" s="417" t="s">
        <v>1392</v>
      </c>
      <c r="J9957" s="417" t="s">
        <v>20833</v>
      </c>
      <c r="K9957" s="417" t="s">
        <v>22359</v>
      </c>
      <c r="L9957" s="417"/>
      <c r="M9957" s="417" t="s">
        <v>28840</v>
      </c>
    </row>
    <row r="9958" spans="1:13" x14ac:dyDescent="0.25">
      <c r="A9958" s="417" t="s">
        <v>3385</v>
      </c>
      <c r="B9958" s="417" t="s">
        <v>2437</v>
      </c>
      <c r="C9958" s="417" t="s">
        <v>22360</v>
      </c>
      <c r="D9958" s="417" t="s">
        <v>3936</v>
      </c>
      <c r="E9958" s="423">
        <v>0.19204056318422891</v>
      </c>
      <c r="F9958" s="423">
        <v>1.7267160066522669E-2</v>
      </c>
      <c r="G9958" s="422">
        <v>361.26583463353398</v>
      </c>
      <c r="H9958" s="417" t="s">
        <v>2616</v>
      </c>
      <c r="I9958" s="417" t="s">
        <v>1392</v>
      </c>
      <c r="J9958" s="417" t="s">
        <v>20833</v>
      </c>
      <c r="K9958" s="417" t="s">
        <v>22361</v>
      </c>
      <c r="L9958" s="417"/>
      <c r="M9958" s="417" t="s">
        <v>28840</v>
      </c>
    </row>
    <row r="9959" spans="1:13" x14ac:dyDescent="0.25">
      <c r="A9959" s="417" t="s">
        <v>3385</v>
      </c>
      <c r="B9959" s="417" t="s">
        <v>2437</v>
      </c>
      <c r="C9959" s="417" t="s">
        <v>22362</v>
      </c>
      <c r="D9959" s="417" t="s">
        <v>3936</v>
      </c>
      <c r="E9959" s="423">
        <v>0.17544968979248241</v>
      </c>
      <c r="F9959" s="423">
        <v>4.2295799020119929E-2</v>
      </c>
      <c r="G9959" s="422">
        <v>341.10572062006679</v>
      </c>
      <c r="H9959" s="417" t="s">
        <v>2616</v>
      </c>
      <c r="I9959" s="417" t="s">
        <v>1392</v>
      </c>
      <c r="J9959" s="417" t="s">
        <v>20833</v>
      </c>
      <c r="K9959" s="417" t="s">
        <v>22363</v>
      </c>
      <c r="L9959" s="417"/>
      <c r="M9959" s="417" t="s">
        <v>28840</v>
      </c>
    </row>
    <row r="9960" spans="1:13" x14ac:dyDescent="0.25">
      <c r="A9960" s="417" t="s">
        <v>3385</v>
      </c>
      <c r="B9960" s="417" t="s">
        <v>2437</v>
      </c>
      <c r="C9960" s="417" t="s">
        <v>22364</v>
      </c>
      <c r="D9960" s="417" t="s">
        <v>3936</v>
      </c>
      <c r="E9960" s="423">
        <v>0.19018970653492659</v>
      </c>
      <c r="F9960" s="423">
        <v>1.7086298594980578E-2</v>
      </c>
      <c r="G9960" s="422">
        <v>358.53025608791012</v>
      </c>
      <c r="H9960" s="417" t="s">
        <v>2616</v>
      </c>
      <c r="I9960" s="417" t="s">
        <v>1392</v>
      </c>
      <c r="J9960" s="417" t="s">
        <v>20833</v>
      </c>
      <c r="K9960" s="417" t="s">
        <v>22365</v>
      </c>
      <c r="L9960" s="417"/>
      <c r="M9960" s="417" t="s">
        <v>28840</v>
      </c>
    </row>
    <row r="9961" spans="1:13" x14ac:dyDescent="0.25">
      <c r="A9961" s="417" t="s">
        <v>3385</v>
      </c>
      <c r="B9961" s="417" t="s">
        <v>2437</v>
      </c>
      <c r="C9961" s="417" t="s">
        <v>22366</v>
      </c>
      <c r="D9961" s="417" t="s">
        <v>3936</v>
      </c>
      <c r="E9961" s="423">
        <v>0.1725760941272651</v>
      </c>
      <c r="F9961" s="423">
        <v>4.1377397447703017E-2</v>
      </c>
      <c r="G9961" s="422">
        <v>336.85077380614251</v>
      </c>
      <c r="H9961" s="417" t="s">
        <v>2616</v>
      </c>
      <c r="I9961" s="417" t="s">
        <v>1392</v>
      </c>
      <c r="J9961" s="417" t="s">
        <v>20833</v>
      </c>
      <c r="K9961" s="417" t="s">
        <v>22367</v>
      </c>
      <c r="L9961" s="417"/>
      <c r="M9961" s="417" t="s">
        <v>28840</v>
      </c>
    </row>
    <row r="9962" spans="1:13" x14ac:dyDescent="0.25">
      <c r="A9962" s="417" t="s">
        <v>3385</v>
      </c>
      <c r="B9962" s="417" t="s">
        <v>2437</v>
      </c>
      <c r="C9962" s="417" t="s">
        <v>22368</v>
      </c>
      <c r="D9962" s="417" t="s">
        <v>3936</v>
      </c>
      <c r="E9962" s="423">
        <v>0.18724645853708591</v>
      </c>
      <c r="F9962" s="423">
        <v>1.6788167220203171E-2</v>
      </c>
      <c r="G9962" s="422">
        <v>354.14230575015648</v>
      </c>
      <c r="H9962" s="417" t="s">
        <v>2616</v>
      </c>
      <c r="I9962" s="417" t="s">
        <v>1392</v>
      </c>
      <c r="J9962" s="417" t="s">
        <v>20833</v>
      </c>
      <c r="K9962" s="417" t="s">
        <v>22369</v>
      </c>
      <c r="L9962" s="417"/>
      <c r="M9962" s="417" t="s">
        <v>28840</v>
      </c>
    </row>
    <row r="9963" spans="1:13" x14ac:dyDescent="0.25">
      <c r="A9963" s="417" t="s">
        <v>3385</v>
      </c>
      <c r="B9963" s="417" t="s">
        <v>2437</v>
      </c>
      <c r="C9963" s="417" t="s">
        <v>22370</v>
      </c>
      <c r="D9963" s="417" t="s">
        <v>3936</v>
      </c>
      <c r="E9963" s="423">
        <v>0.25117433499939013</v>
      </c>
      <c r="F9963" s="423">
        <v>5.9506189940456117E-2</v>
      </c>
      <c r="G9963" s="422">
        <v>481.31030548941948</v>
      </c>
      <c r="H9963" s="417" t="s">
        <v>2616</v>
      </c>
      <c r="I9963" s="417" t="s">
        <v>1392</v>
      </c>
      <c r="J9963" s="417" t="s">
        <v>20833</v>
      </c>
      <c r="K9963" s="417" t="s">
        <v>22371</v>
      </c>
      <c r="L9963" s="417"/>
      <c r="M9963" s="417" t="s">
        <v>28840</v>
      </c>
    </row>
    <row r="9964" spans="1:13" x14ac:dyDescent="0.25">
      <c r="A9964" s="417" t="s">
        <v>3385</v>
      </c>
      <c r="B9964" s="417" t="s">
        <v>2437</v>
      </c>
      <c r="C9964" s="417" t="s">
        <v>22372</v>
      </c>
      <c r="D9964" s="417" t="s">
        <v>3936</v>
      </c>
      <c r="E9964" s="423">
        <v>0.23603667513467561</v>
      </c>
      <c r="F9964" s="423">
        <v>2.0597614323050802E-2</v>
      </c>
      <c r="G9964" s="422">
        <v>450.71411713197091</v>
      </c>
      <c r="H9964" s="417" t="s">
        <v>2616</v>
      </c>
      <c r="I9964" s="417" t="s">
        <v>1392</v>
      </c>
      <c r="J9964" s="417" t="s">
        <v>20833</v>
      </c>
      <c r="K9964" s="417" t="s">
        <v>22373</v>
      </c>
      <c r="L9964" s="417"/>
      <c r="M9964" s="417" t="s">
        <v>28840</v>
      </c>
    </row>
    <row r="9965" spans="1:13" x14ac:dyDescent="0.25">
      <c r="A9965" s="417" t="s">
        <v>3385</v>
      </c>
      <c r="B9965" s="417" t="s">
        <v>2437</v>
      </c>
      <c r="C9965" s="417" t="s">
        <v>22374</v>
      </c>
      <c r="D9965" s="417" t="s">
        <v>3936</v>
      </c>
      <c r="E9965" s="423">
        <v>0.38880219937185578</v>
      </c>
      <c r="F9965" s="423">
        <v>9.495244940445316E-2</v>
      </c>
      <c r="G9965" s="422">
        <v>696.64201390971675</v>
      </c>
      <c r="H9965" s="417" t="s">
        <v>2616</v>
      </c>
      <c r="I9965" s="417" t="s">
        <v>1392</v>
      </c>
      <c r="J9965" s="417" t="s">
        <v>20833</v>
      </c>
      <c r="K9965" s="417" t="s">
        <v>22375</v>
      </c>
      <c r="L9965" s="417"/>
      <c r="M9965" s="417" t="s">
        <v>28840</v>
      </c>
    </row>
    <row r="9966" spans="1:13" x14ac:dyDescent="0.25">
      <c r="A9966" s="417" t="s">
        <v>3385</v>
      </c>
      <c r="B9966" s="417" t="s">
        <v>2437</v>
      </c>
      <c r="C9966" s="417" t="s">
        <v>22376</v>
      </c>
      <c r="D9966" s="417" t="s">
        <v>3936</v>
      </c>
      <c r="E9966" s="423">
        <v>0.42256329943552001</v>
      </c>
      <c r="F9966" s="423">
        <v>3.6941103208475899E-2</v>
      </c>
      <c r="G9966" s="422">
        <v>736.57988302542628</v>
      </c>
      <c r="H9966" s="417" t="s">
        <v>2616</v>
      </c>
      <c r="I9966" s="417" t="s">
        <v>1392</v>
      </c>
      <c r="J9966" s="417" t="s">
        <v>20833</v>
      </c>
      <c r="K9966" s="417" t="s">
        <v>22377</v>
      </c>
      <c r="L9966" s="417"/>
      <c r="M9966" s="417" t="s">
        <v>28840</v>
      </c>
    </row>
    <row r="9967" spans="1:13" x14ac:dyDescent="0.25">
      <c r="A9967" s="417" t="s">
        <v>3385</v>
      </c>
      <c r="B9967" s="417" t="s">
        <v>2437</v>
      </c>
      <c r="C9967" s="417" t="s">
        <v>22378</v>
      </c>
      <c r="D9967" s="417" t="s">
        <v>3936</v>
      </c>
      <c r="E9967" s="423">
        <v>0.37079611224831799</v>
      </c>
      <c r="F9967" s="423">
        <v>8.9179564700173991E-2</v>
      </c>
      <c r="G9967" s="422">
        <v>697.15221504769329</v>
      </c>
      <c r="H9967" s="417" t="s">
        <v>2616</v>
      </c>
      <c r="I9967" s="417" t="s">
        <v>1392</v>
      </c>
      <c r="J9967" s="417" t="s">
        <v>20833</v>
      </c>
      <c r="K9967" s="417" t="s">
        <v>22379</v>
      </c>
      <c r="L9967" s="417"/>
      <c r="M9967" s="417" t="s">
        <v>28840</v>
      </c>
    </row>
    <row r="9968" spans="1:13" x14ac:dyDescent="0.25">
      <c r="A9968" s="417" t="s">
        <v>3385</v>
      </c>
      <c r="B9968" s="417" t="s">
        <v>2437</v>
      </c>
      <c r="C9968" s="417" t="s">
        <v>22380</v>
      </c>
      <c r="D9968" s="417" t="s">
        <v>3936</v>
      </c>
      <c r="E9968" s="423">
        <v>0.40252688535217951</v>
      </c>
      <c r="F9968" s="423">
        <v>3.4885407359565593E-2</v>
      </c>
      <c r="G9968" s="422">
        <v>734.66381063464621</v>
      </c>
      <c r="H9968" s="417" t="s">
        <v>2616</v>
      </c>
      <c r="I9968" s="417" t="s">
        <v>1392</v>
      </c>
      <c r="J9968" s="417" t="s">
        <v>20833</v>
      </c>
      <c r="K9968" s="417" t="s">
        <v>22381</v>
      </c>
      <c r="L9968" s="417"/>
      <c r="M9968" s="417" t="s">
        <v>28840</v>
      </c>
    </row>
    <row r="9969" spans="1:13" x14ac:dyDescent="0.25">
      <c r="A9969" s="417" t="s">
        <v>3385</v>
      </c>
      <c r="B9969" s="417" t="s">
        <v>2437</v>
      </c>
      <c r="C9969" s="417" t="s">
        <v>22382</v>
      </c>
      <c r="D9969" s="417" t="s">
        <v>3936</v>
      </c>
      <c r="E9969" s="423">
        <v>0.34381159602741579</v>
      </c>
      <c r="F9969" s="423">
        <v>8.1346157609100286E-2</v>
      </c>
      <c r="G9969" s="422">
        <v>665.19889200639022</v>
      </c>
      <c r="H9969" s="417" t="s">
        <v>2616</v>
      </c>
      <c r="I9969" s="417" t="s">
        <v>1392</v>
      </c>
      <c r="J9969" s="417" t="s">
        <v>20833</v>
      </c>
      <c r="K9969" s="417" t="s">
        <v>22383</v>
      </c>
      <c r="L9969" s="417"/>
      <c r="M9969" s="417" t="s">
        <v>28840</v>
      </c>
    </row>
    <row r="9970" spans="1:13" x14ac:dyDescent="0.25">
      <c r="A9970" s="417" t="s">
        <v>3385</v>
      </c>
      <c r="B9970" s="417" t="s">
        <v>2437</v>
      </c>
      <c r="C9970" s="417" t="s">
        <v>22384</v>
      </c>
      <c r="D9970" s="417" t="s">
        <v>3936</v>
      </c>
      <c r="E9970" s="423">
        <v>0.37291453131392038</v>
      </c>
      <c r="F9970" s="423">
        <v>3.2042313391183651E-2</v>
      </c>
      <c r="G9970" s="422">
        <v>699.5520819996151</v>
      </c>
      <c r="H9970" s="417" t="s">
        <v>2616</v>
      </c>
      <c r="I9970" s="417" t="s">
        <v>1392</v>
      </c>
      <c r="J9970" s="417" t="s">
        <v>20833</v>
      </c>
      <c r="K9970" s="417" t="s">
        <v>22385</v>
      </c>
      <c r="L9970" s="417"/>
      <c r="M9970" s="417" t="s">
        <v>28840</v>
      </c>
    </row>
    <row r="9971" spans="1:13" x14ac:dyDescent="0.25">
      <c r="A9971" s="417" t="s">
        <v>3385</v>
      </c>
      <c r="B9971" s="417" t="s">
        <v>2437</v>
      </c>
      <c r="C9971" s="417" t="s">
        <v>22386</v>
      </c>
      <c r="D9971" s="417" t="s">
        <v>3936</v>
      </c>
      <c r="E9971" s="423">
        <v>0.32446994942784529</v>
      </c>
      <c r="F9971" s="423">
        <v>7.6165071049620198E-2</v>
      </c>
      <c r="G9971" s="422">
        <v>590.45950492691043</v>
      </c>
      <c r="H9971" s="417" t="s">
        <v>2616</v>
      </c>
      <c r="I9971" s="417" t="s">
        <v>1392</v>
      </c>
      <c r="J9971" s="417" t="s">
        <v>20833</v>
      </c>
      <c r="K9971" s="417" t="s">
        <v>22387</v>
      </c>
      <c r="L9971" s="417"/>
      <c r="M9971" s="417" t="s">
        <v>28840</v>
      </c>
    </row>
    <row r="9972" spans="1:13" x14ac:dyDescent="0.25">
      <c r="A9972" s="417" t="s">
        <v>3385</v>
      </c>
      <c r="B9972" s="417" t="s">
        <v>2437</v>
      </c>
      <c r="C9972" s="417" t="s">
        <v>22388</v>
      </c>
      <c r="D9972" s="417" t="s">
        <v>3936</v>
      </c>
      <c r="E9972" s="423">
        <v>0.3512757969278385</v>
      </c>
      <c r="F9972" s="423">
        <v>3.0197312984817471E-2</v>
      </c>
      <c r="G9972" s="422">
        <v>622.16717234313774</v>
      </c>
      <c r="H9972" s="417" t="s">
        <v>2616</v>
      </c>
      <c r="I9972" s="417" t="s">
        <v>1392</v>
      </c>
      <c r="J9972" s="417" t="s">
        <v>20833</v>
      </c>
      <c r="K9972" s="417" t="s">
        <v>22389</v>
      </c>
      <c r="L9972" s="417"/>
      <c r="M9972" s="417" t="s">
        <v>28840</v>
      </c>
    </row>
    <row r="9973" spans="1:13" x14ac:dyDescent="0.25">
      <c r="A9973" s="417" t="s">
        <v>3385</v>
      </c>
      <c r="B9973" s="417" t="s">
        <v>2437</v>
      </c>
      <c r="C9973" s="417" t="s">
        <v>22390</v>
      </c>
      <c r="D9973" s="417" t="s">
        <v>3936</v>
      </c>
      <c r="E9973" s="423">
        <v>0.30896379060033308</v>
      </c>
      <c r="F9973" s="423">
        <v>7.3847794407512601E-2</v>
      </c>
      <c r="G9973" s="422">
        <v>562.24251712854164</v>
      </c>
      <c r="H9973" s="417" t="s">
        <v>2616</v>
      </c>
      <c r="I9973" s="417" t="s">
        <v>1392</v>
      </c>
      <c r="J9973" s="417" t="s">
        <v>20833</v>
      </c>
      <c r="K9973" s="417" t="s">
        <v>22391</v>
      </c>
      <c r="L9973" s="417"/>
      <c r="M9973" s="417" t="s">
        <v>28840</v>
      </c>
    </row>
    <row r="9974" spans="1:13" x14ac:dyDescent="0.25">
      <c r="A9974" s="417" t="s">
        <v>3385</v>
      </c>
      <c r="B9974" s="417" t="s">
        <v>2437</v>
      </c>
      <c r="C9974" s="417" t="s">
        <v>22392</v>
      </c>
      <c r="D9974" s="417" t="s">
        <v>3936</v>
      </c>
      <c r="E9974" s="423">
        <v>0.33472550736647949</v>
      </c>
      <c r="F9974" s="423">
        <v>2.9343711881648742E-2</v>
      </c>
      <c r="G9974" s="422">
        <v>592.74767545934844</v>
      </c>
      <c r="H9974" s="417" t="s">
        <v>2616</v>
      </c>
      <c r="I9974" s="417" t="s">
        <v>1392</v>
      </c>
      <c r="J9974" s="417" t="s">
        <v>20833</v>
      </c>
      <c r="K9974" s="417" t="s">
        <v>22393</v>
      </c>
      <c r="L9974" s="417"/>
      <c r="M9974" s="417" t="s">
        <v>28840</v>
      </c>
    </row>
    <row r="9975" spans="1:13" x14ac:dyDescent="0.25">
      <c r="A9975" s="417" t="s">
        <v>3385</v>
      </c>
      <c r="B9975" s="417" t="s">
        <v>2437</v>
      </c>
      <c r="C9975" s="417" t="s">
        <v>22394</v>
      </c>
      <c r="D9975" s="417" t="s">
        <v>3936</v>
      </c>
      <c r="E9975" s="423">
        <v>0.30511063847796849</v>
      </c>
      <c r="F9975" s="423">
        <v>7.2688881611557343E-2</v>
      </c>
      <c r="G9975" s="422">
        <v>556.2517028190573</v>
      </c>
      <c r="H9975" s="417" t="s">
        <v>2616</v>
      </c>
      <c r="I9975" s="417" t="s">
        <v>1392</v>
      </c>
      <c r="J9975" s="417" t="s">
        <v>20833</v>
      </c>
      <c r="K9975" s="417" t="s">
        <v>22395</v>
      </c>
      <c r="L9975" s="417"/>
      <c r="M9975" s="417" t="s">
        <v>28840</v>
      </c>
    </row>
    <row r="9976" spans="1:13" x14ac:dyDescent="0.25">
      <c r="A9976" s="417" t="s">
        <v>3385</v>
      </c>
      <c r="B9976" s="417" t="s">
        <v>2437</v>
      </c>
      <c r="C9976" s="417" t="s">
        <v>22396</v>
      </c>
      <c r="D9976" s="417" t="s">
        <v>3936</v>
      </c>
      <c r="E9976" s="423">
        <v>0.33093028984091272</v>
      </c>
      <c r="F9976" s="423">
        <v>2.8858636883597698E-2</v>
      </c>
      <c r="G9976" s="422">
        <v>586.73560667340314</v>
      </c>
      <c r="H9976" s="417" t="s">
        <v>2616</v>
      </c>
      <c r="I9976" s="417" t="s">
        <v>1392</v>
      </c>
      <c r="J9976" s="417" t="s">
        <v>20833</v>
      </c>
      <c r="K9976" s="417" t="s">
        <v>22397</v>
      </c>
      <c r="L9976" s="417"/>
      <c r="M9976" s="417" t="s">
        <v>28840</v>
      </c>
    </row>
    <row r="9977" spans="1:13" x14ac:dyDescent="0.25">
      <c r="A9977" s="417" t="s">
        <v>3385</v>
      </c>
      <c r="B9977" s="417" t="s">
        <v>2437</v>
      </c>
      <c r="C9977" s="417" t="s">
        <v>22398</v>
      </c>
      <c r="D9977" s="417" t="s">
        <v>3936</v>
      </c>
      <c r="E9977" s="423">
        <v>0.29813353623883038</v>
      </c>
      <c r="F9977" s="423">
        <v>7.0499211126533803E-2</v>
      </c>
      <c r="G9977" s="422">
        <v>545.83869324309251</v>
      </c>
      <c r="H9977" s="417" t="s">
        <v>2616</v>
      </c>
      <c r="I9977" s="417" t="s">
        <v>1392</v>
      </c>
      <c r="J9977" s="417" t="s">
        <v>20833</v>
      </c>
      <c r="K9977" s="417" t="s">
        <v>22399</v>
      </c>
      <c r="L9977" s="417"/>
      <c r="M9977" s="417" t="s">
        <v>28840</v>
      </c>
    </row>
    <row r="9978" spans="1:13" x14ac:dyDescent="0.25">
      <c r="A9978" s="417" t="s">
        <v>3385</v>
      </c>
      <c r="B9978" s="417" t="s">
        <v>2437</v>
      </c>
      <c r="C9978" s="417" t="s">
        <v>22400</v>
      </c>
      <c r="D9978" s="417" t="s">
        <v>3936</v>
      </c>
      <c r="E9978" s="423">
        <v>0.32267126330824092</v>
      </c>
      <c r="F9978" s="423">
        <v>2.814645814078183E-2</v>
      </c>
      <c r="G9978" s="422">
        <v>574.89021325089095</v>
      </c>
      <c r="H9978" s="417" t="s">
        <v>2616</v>
      </c>
      <c r="I9978" s="417" t="s">
        <v>1392</v>
      </c>
      <c r="J9978" s="417" t="s">
        <v>20833</v>
      </c>
      <c r="K9978" s="417" t="s">
        <v>22401</v>
      </c>
      <c r="L9978" s="417"/>
      <c r="M9978" s="417" t="s">
        <v>28840</v>
      </c>
    </row>
    <row r="9979" spans="1:13" x14ac:dyDescent="0.25">
      <c r="A9979" s="417" t="s">
        <v>3385</v>
      </c>
      <c r="B9979" s="417" t="s">
        <v>2437</v>
      </c>
      <c r="C9979" s="417" t="s">
        <v>22402</v>
      </c>
      <c r="D9979" s="417" t="s">
        <v>3936</v>
      </c>
      <c r="E9979" s="423">
        <v>0.33464566231044002</v>
      </c>
      <c r="F9979" s="423">
        <v>8.1685919648666672E-2</v>
      </c>
      <c r="G9979" s="422">
        <v>608.74136104630293</v>
      </c>
      <c r="H9979" s="417" t="s">
        <v>2616</v>
      </c>
      <c r="I9979" s="417" t="s">
        <v>1392</v>
      </c>
      <c r="J9979" s="417" t="s">
        <v>20833</v>
      </c>
      <c r="K9979" s="417" t="s">
        <v>22403</v>
      </c>
      <c r="L9979" s="417"/>
      <c r="M9979" s="417" t="s">
        <v>28840</v>
      </c>
    </row>
    <row r="9980" spans="1:13" x14ac:dyDescent="0.25">
      <c r="A9980" s="417" t="s">
        <v>3385</v>
      </c>
      <c r="B9980" s="417" t="s">
        <v>2437</v>
      </c>
      <c r="C9980" s="417" t="s">
        <v>22404</v>
      </c>
      <c r="D9980" s="417" t="s">
        <v>3936</v>
      </c>
      <c r="E9980" s="423">
        <v>0.36440404317884711</v>
      </c>
      <c r="F9980" s="423">
        <v>3.1898788915334063E-2</v>
      </c>
      <c r="G9980" s="422">
        <v>643.80542644755417</v>
      </c>
      <c r="H9980" s="417" t="s">
        <v>2616</v>
      </c>
      <c r="I9980" s="417" t="s">
        <v>1392</v>
      </c>
      <c r="J9980" s="417" t="s">
        <v>20833</v>
      </c>
      <c r="K9980" s="417" t="s">
        <v>22405</v>
      </c>
      <c r="L9980" s="417"/>
      <c r="M9980" s="417" t="s">
        <v>28840</v>
      </c>
    </row>
    <row r="9981" spans="1:13" x14ac:dyDescent="0.25">
      <c r="A9981" s="417" t="s">
        <v>3385</v>
      </c>
      <c r="B9981" s="417" t="s">
        <v>2437</v>
      </c>
      <c r="C9981" s="417" t="s">
        <v>22406</v>
      </c>
      <c r="D9981" s="417" t="s">
        <v>3936</v>
      </c>
      <c r="E9981" s="423">
        <v>0.31957879911927112</v>
      </c>
      <c r="F9981" s="423">
        <v>7.6838242813554364E-2</v>
      </c>
      <c r="G9981" s="422">
        <v>609.64589874563819</v>
      </c>
      <c r="H9981" s="417" t="s">
        <v>2616</v>
      </c>
      <c r="I9981" s="417" t="s">
        <v>1392</v>
      </c>
      <c r="J9981" s="417" t="s">
        <v>20833</v>
      </c>
      <c r="K9981" s="417" t="s">
        <v>22407</v>
      </c>
      <c r="L9981" s="417"/>
      <c r="M9981" s="417" t="s">
        <v>28840</v>
      </c>
    </row>
    <row r="9982" spans="1:13" x14ac:dyDescent="0.25">
      <c r="A9982" s="417" t="s">
        <v>3385</v>
      </c>
      <c r="B9982" s="417" t="s">
        <v>2437</v>
      </c>
      <c r="C9982" s="417" t="s">
        <v>22408</v>
      </c>
      <c r="D9982" s="417" t="s">
        <v>3936</v>
      </c>
      <c r="E9982" s="423">
        <v>0.34656450547660678</v>
      </c>
      <c r="F9982" s="423">
        <v>3.0182830742674312E-2</v>
      </c>
      <c r="G9982" s="422">
        <v>641.60469516273417</v>
      </c>
      <c r="H9982" s="417" t="s">
        <v>2616</v>
      </c>
      <c r="I9982" s="417" t="s">
        <v>1392</v>
      </c>
      <c r="J9982" s="417" t="s">
        <v>20833</v>
      </c>
      <c r="K9982" s="417" t="s">
        <v>22409</v>
      </c>
      <c r="L9982" s="417"/>
      <c r="M9982" s="417" t="s">
        <v>28840</v>
      </c>
    </row>
    <row r="9983" spans="1:13" x14ac:dyDescent="0.25">
      <c r="A9983" s="417" t="s">
        <v>3385</v>
      </c>
      <c r="B9983" s="417" t="s">
        <v>2437</v>
      </c>
      <c r="C9983" s="417" t="s">
        <v>22410</v>
      </c>
      <c r="D9983" s="417" t="s">
        <v>3936</v>
      </c>
      <c r="E9983" s="423">
        <v>0.29681134611248988</v>
      </c>
      <c r="F9983" s="423">
        <v>7.0180875287254654E-2</v>
      </c>
      <c r="G9983" s="422">
        <v>582.00590611909888</v>
      </c>
      <c r="H9983" s="417" t="s">
        <v>2616</v>
      </c>
      <c r="I9983" s="417" t="s">
        <v>1392</v>
      </c>
      <c r="J9983" s="417" t="s">
        <v>20833</v>
      </c>
      <c r="K9983" s="417" t="s">
        <v>22411</v>
      </c>
      <c r="L9983" s="417"/>
      <c r="M9983" s="417" t="s">
        <v>28840</v>
      </c>
    </row>
    <row r="9984" spans="1:13" x14ac:dyDescent="0.25">
      <c r="A9984" s="417" t="s">
        <v>3385</v>
      </c>
      <c r="B9984" s="417" t="s">
        <v>2437</v>
      </c>
      <c r="C9984" s="417" t="s">
        <v>22412</v>
      </c>
      <c r="D9984" s="417" t="s">
        <v>3936</v>
      </c>
      <c r="E9984" s="423">
        <v>0.32227127986006038</v>
      </c>
      <c r="F9984" s="423">
        <v>2.7725938546515529E-2</v>
      </c>
      <c r="G9984" s="422">
        <v>611.98755060565384</v>
      </c>
      <c r="H9984" s="417" t="s">
        <v>2616</v>
      </c>
      <c r="I9984" s="417" t="s">
        <v>1392</v>
      </c>
      <c r="J9984" s="417" t="s">
        <v>20833</v>
      </c>
      <c r="K9984" s="417" t="s">
        <v>22413</v>
      </c>
      <c r="L9984" s="417"/>
      <c r="M9984" s="417" t="s">
        <v>28840</v>
      </c>
    </row>
    <row r="9985" spans="1:13" x14ac:dyDescent="0.25">
      <c r="A9985" s="417" t="s">
        <v>3385</v>
      </c>
      <c r="B9985" s="417" t="s">
        <v>2437</v>
      </c>
      <c r="C9985" s="417" t="s">
        <v>22414</v>
      </c>
      <c r="D9985" s="417" t="s">
        <v>3936</v>
      </c>
      <c r="E9985" s="423">
        <v>0.28056737742649501</v>
      </c>
      <c r="F9985" s="423">
        <v>6.5826360848673993E-2</v>
      </c>
      <c r="G9985" s="422">
        <v>518.18541603067843</v>
      </c>
      <c r="H9985" s="417" t="s">
        <v>2616</v>
      </c>
      <c r="I9985" s="417" t="s">
        <v>1392</v>
      </c>
      <c r="J9985" s="417" t="s">
        <v>20833</v>
      </c>
      <c r="K9985" s="417" t="s">
        <v>22415</v>
      </c>
      <c r="L9985" s="417"/>
      <c r="M9985" s="417" t="s">
        <v>28840</v>
      </c>
    </row>
    <row r="9986" spans="1:13" x14ac:dyDescent="0.25">
      <c r="A9986" s="417" t="s">
        <v>3385</v>
      </c>
      <c r="B9986" s="417" t="s">
        <v>2437</v>
      </c>
      <c r="C9986" s="417" t="s">
        <v>22416</v>
      </c>
      <c r="D9986" s="417" t="s">
        <v>3936</v>
      </c>
      <c r="E9986" s="423">
        <v>0.30438566932873168</v>
      </c>
      <c r="F9986" s="423">
        <v>2.6108223894094649E-2</v>
      </c>
      <c r="G9986" s="422">
        <v>546.23241948132886</v>
      </c>
      <c r="H9986" s="417" t="s">
        <v>2616</v>
      </c>
      <c r="I9986" s="417" t="s">
        <v>1392</v>
      </c>
      <c r="J9986" s="417" t="s">
        <v>20833</v>
      </c>
      <c r="K9986" s="417" t="s">
        <v>22417</v>
      </c>
      <c r="L9986" s="417"/>
      <c r="M9986" s="417" t="s">
        <v>28840</v>
      </c>
    </row>
    <row r="9987" spans="1:13" x14ac:dyDescent="0.25">
      <c r="A9987" s="417" t="s">
        <v>3385</v>
      </c>
      <c r="B9987" s="417" t="s">
        <v>2437</v>
      </c>
      <c r="C9987" s="417" t="s">
        <v>22418</v>
      </c>
      <c r="D9987" s="417" t="s">
        <v>3936</v>
      </c>
      <c r="E9987" s="423">
        <v>0.26584254467579238</v>
      </c>
      <c r="F9987" s="423">
        <v>6.3742536506243577E-2</v>
      </c>
      <c r="G9987" s="422">
        <v>491.09136541269419</v>
      </c>
      <c r="H9987" s="417" t="s">
        <v>2616</v>
      </c>
      <c r="I9987" s="417" t="s">
        <v>1392</v>
      </c>
      <c r="J9987" s="417" t="s">
        <v>20833</v>
      </c>
      <c r="K9987" s="417" t="s">
        <v>22419</v>
      </c>
      <c r="L9987" s="417"/>
      <c r="M9987" s="417" t="s">
        <v>28840</v>
      </c>
    </row>
    <row r="9988" spans="1:13" x14ac:dyDescent="0.25">
      <c r="A9988" s="417" t="s">
        <v>3385</v>
      </c>
      <c r="B9988" s="417" t="s">
        <v>2437</v>
      </c>
      <c r="C9988" s="417" t="s">
        <v>22420</v>
      </c>
      <c r="D9988" s="417" t="s">
        <v>3936</v>
      </c>
      <c r="E9988" s="423">
        <v>0.28814111895008082</v>
      </c>
      <c r="F9988" s="423">
        <v>2.539970750835769E-2</v>
      </c>
      <c r="G9988" s="422">
        <v>517.47610960881048</v>
      </c>
      <c r="H9988" s="417" t="s">
        <v>2616</v>
      </c>
      <c r="I9988" s="417" t="s">
        <v>1392</v>
      </c>
      <c r="J9988" s="417" t="s">
        <v>20833</v>
      </c>
      <c r="K9988" s="417" t="s">
        <v>22421</v>
      </c>
      <c r="L9988" s="417"/>
      <c r="M9988" s="417" t="s">
        <v>28840</v>
      </c>
    </row>
    <row r="9989" spans="1:13" x14ac:dyDescent="0.25">
      <c r="A9989" s="417" t="s">
        <v>3385</v>
      </c>
      <c r="B9989" s="417" t="s">
        <v>2437</v>
      </c>
      <c r="C9989" s="417" t="s">
        <v>22422</v>
      </c>
      <c r="D9989" s="417" t="s">
        <v>3936</v>
      </c>
      <c r="E9989" s="423">
        <v>0.26280418840708519</v>
      </c>
      <c r="F9989" s="423">
        <v>6.2816930547646643E-2</v>
      </c>
      <c r="G9989" s="422">
        <v>486.51212087551067</v>
      </c>
      <c r="H9989" s="417" t="s">
        <v>2616</v>
      </c>
      <c r="I9989" s="417" t="s">
        <v>1392</v>
      </c>
      <c r="J9989" s="417" t="s">
        <v>20833</v>
      </c>
      <c r="K9989" s="417" t="s">
        <v>22423</v>
      </c>
      <c r="L9989" s="417"/>
      <c r="M9989" s="417" t="s">
        <v>28840</v>
      </c>
    </row>
    <row r="9990" spans="1:13" x14ac:dyDescent="0.25">
      <c r="A9990" s="417" t="s">
        <v>3385</v>
      </c>
      <c r="B9990" s="417" t="s">
        <v>2437</v>
      </c>
      <c r="C9990" s="417" t="s">
        <v>22424</v>
      </c>
      <c r="D9990" s="417" t="s">
        <v>3936</v>
      </c>
      <c r="E9990" s="423">
        <v>0.28468510993630758</v>
      </c>
      <c r="F9990" s="423">
        <v>2.5059571747495821E-2</v>
      </c>
      <c r="G9990" s="422">
        <v>512.41586129328778</v>
      </c>
      <c r="H9990" s="417" t="s">
        <v>2616</v>
      </c>
      <c r="I9990" s="417" t="s">
        <v>1392</v>
      </c>
      <c r="J9990" s="417" t="s">
        <v>20833</v>
      </c>
      <c r="K9990" s="417" t="s">
        <v>22425</v>
      </c>
      <c r="L9990" s="417"/>
      <c r="M9990" s="417" t="s">
        <v>28840</v>
      </c>
    </row>
    <row r="9991" spans="1:13" x14ac:dyDescent="0.25">
      <c r="A9991" s="417" t="s">
        <v>3385</v>
      </c>
      <c r="B9991" s="417" t="s">
        <v>2437</v>
      </c>
      <c r="C9991" s="417" t="s">
        <v>22426</v>
      </c>
      <c r="D9991" s="417" t="s">
        <v>3936</v>
      </c>
      <c r="E9991" s="423">
        <v>0.25686398034692381</v>
      </c>
      <c r="F9991" s="423">
        <v>6.0970624871628479E-2</v>
      </c>
      <c r="G9991" s="422">
        <v>477.40850656800268</v>
      </c>
      <c r="H9991" s="417" t="s">
        <v>2616</v>
      </c>
      <c r="I9991" s="417" t="s">
        <v>1392</v>
      </c>
      <c r="J9991" s="417" t="s">
        <v>20833</v>
      </c>
      <c r="K9991" s="417" t="s">
        <v>22427</v>
      </c>
      <c r="L9991" s="417"/>
      <c r="M9991" s="417" t="s">
        <v>28840</v>
      </c>
    </row>
    <row r="9992" spans="1:13" x14ac:dyDescent="0.25">
      <c r="A9992" s="417" t="s">
        <v>3385</v>
      </c>
      <c r="B9992" s="417" t="s">
        <v>2437</v>
      </c>
      <c r="C9992" s="417" t="s">
        <v>22428</v>
      </c>
      <c r="D9992" s="417" t="s">
        <v>3936</v>
      </c>
      <c r="E9992" s="423">
        <v>0.27906959742199833</v>
      </c>
      <c r="F9992" s="423">
        <v>2.4384206508733249E-2</v>
      </c>
      <c r="G9992" s="422">
        <v>503.51023863735799</v>
      </c>
      <c r="H9992" s="417" t="s">
        <v>2616</v>
      </c>
      <c r="I9992" s="417" t="s">
        <v>1392</v>
      </c>
      <c r="J9992" s="417" t="s">
        <v>20833</v>
      </c>
      <c r="K9992" s="417" t="s">
        <v>22429</v>
      </c>
      <c r="L9992" s="417"/>
      <c r="M9992" s="417" t="s">
        <v>28840</v>
      </c>
    </row>
    <row r="9993" spans="1:13" x14ac:dyDescent="0.25">
      <c r="A9993" s="417" t="s">
        <v>3385</v>
      </c>
      <c r="B9993" s="417" t="s">
        <v>2437</v>
      </c>
      <c r="C9993" s="417" t="s">
        <v>22430</v>
      </c>
      <c r="D9993" s="417" t="s">
        <v>3936</v>
      </c>
      <c r="E9993" s="423">
        <v>0.26066465258167598</v>
      </c>
      <c r="F9993" s="423">
        <v>6.3519526945731847E-2</v>
      </c>
      <c r="G9993" s="422">
        <v>487.47065163855638</v>
      </c>
      <c r="H9993" s="417" t="s">
        <v>2616</v>
      </c>
      <c r="I9993" s="417" t="s">
        <v>1392</v>
      </c>
      <c r="J9993" s="417" t="s">
        <v>20833</v>
      </c>
      <c r="K9993" s="417" t="s">
        <v>22431</v>
      </c>
      <c r="L9993" s="417"/>
      <c r="M9993" s="417" t="s">
        <v>28840</v>
      </c>
    </row>
    <row r="9994" spans="1:13" x14ac:dyDescent="0.25">
      <c r="A9994" s="417" t="s">
        <v>3385</v>
      </c>
      <c r="B9994" s="417" t="s">
        <v>2437</v>
      </c>
      <c r="C9994" s="417" t="s">
        <v>22432</v>
      </c>
      <c r="D9994" s="417" t="s">
        <v>3936</v>
      </c>
      <c r="E9994" s="423">
        <v>0.28340984622627291</v>
      </c>
      <c r="F9994" s="423">
        <v>2.4986146597640639E-2</v>
      </c>
      <c r="G9994" s="422">
        <v>514.32577285181071</v>
      </c>
      <c r="H9994" s="417" t="s">
        <v>2616</v>
      </c>
      <c r="I9994" s="417" t="s">
        <v>1392</v>
      </c>
      <c r="J9994" s="417" t="s">
        <v>20833</v>
      </c>
      <c r="K9994" s="417" t="s">
        <v>22433</v>
      </c>
      <c r="L9994" s="417"/>
      <c r="M9994" s="417" t="s">
        <v>28840</v>
      </c>
    </row>
    <row r="9995" spans="1:13" x14ac:dyDescent="0.25">
      <c r="A9995" s="417" t="s">
        <v>3385</v>
      </c>
      <c r="B9995" s="417" t="s">
        <v>2437</v>
      </c>
      <c r="C9995" s="417" t="s">
        <v>22434</v>
      </c>
      <c r="D9995" s="417" t="s">
        <v>3936</v>
      </c>
      <c r="E9995" s="423">
        <v>0.25064642567833773</v>
      </c>
      <c r="F9995" s="423">
        <v>6.0284327405877407E-2</v>
      </c>
      <c r="G9995" s="422">
        <v>490.37917311164949</v>
      </c>
      <c r="H9995" s="417" t="s">
        <v>2616</v>
      </c>
      <c r="I9995" s="417" t="s">
        <v>1392</v>
      </c>
      <c r="J9995" s="417" t="s">
        <v>20833</v>
      </c>
      <c r="K9995" s="417" t="s">
        <v>22435</v>
      </c>
      <c r="L9995" s="417"/>
      <c r="M9995" s="417" t="s">
        <v>28840</v>
      </c>
    </row>
    <row r="9996" spans="1:13" x14ac:dyDescent="0.25">
      <c r="A9996" s="417" t="s">
        <v>3385</v>
      </c>
      <c r="B9996" s="417" t="s">
        <v>2437</v>
      </c>
      <c r="C9996" s="417" t="s">
        <v>22436</v>
      </c>
      <c r="D9996" s="417" t="s">
        <v>3936</v>
      </c>
      <c r="E9996" s="423">
        <v>0.2719298361612984</v>
      </c>
      <c r="F9996" s="423">
        <v>2.3800092841405631E-2</v>
      </c>
      <c r="G9996" s="422">
        <v>515.55078136565191</v>
      </c>
      <c r="H9996" s="417" t="s">
        <v>2616</v>
      </c>
      <c r="I9996" s="417" t="s">
        <v>1392</v>
      </c>
      <c r="J9996" s="417" t="s">
        <v>20833</v>
      </c>
      <c r="K9996" s="417" t="s">
        <v>22437</v>
      </c>
      <c r="L9996" s="417"/>
      <c r="M9996" s="417" t="s">
        <v>28840</v>
      </c>
    </row>
    <row r="9997" spans="1:13" x14ac:dyDescent="0.25">
      <c r="A9997" s="417" t="s">
        <v>3385</v>
      </c>
      <c r="B9997" s="417" t="s">
        <v>2437</v>
      </c>
      <c r="C9997" s="417" t="s">
        <v>22438</v>
      </c>
      <c r="D9997" s="417" t="s">
        <v>3936</v>
      </c>
      <c r="E9997" s="423">
        <v>0.23520554688051171</v>
      </c>
      <c r="F9997" s="423">
        <v>5.5834672742512102E-2</v>
      </c>
      <c r="G9997" s="422">
        <v>471.67633316842029</v>
      </c>
      <c r="H9997" s="417" t="s">
        <v>2616</v>
      </c>
      <c r="I9997" s="417" t="s">
        <v>1392</v>
      </c>
      <c r="J9997" s="417" t="s">
        <v>20833</v>
      </c>
      <c r="K9997" s="417" t="s">
        <v>22439</v>
      </c>
      <c r="L9997" s="417"/>
      <c r="M9997" s="417" t="s">
        <v>28840</v>
      </c>
    </row>
    <row r="9998" spans="1:13" x14ac:dyDescent="0.25">
      <c r="A9998" s="417" t="s">
        <v>3385</v>
      </c>
      <c r="B9998" s="417" t="s">
        <v>2437</v>
      </c>
      <c r="C9998" s="417" t="s">
        <v>22440</v>
      </c>
      <c r="D9998" s="417" t="s">
        <v>3936</v>
      </c>
      <c r="E9998" s="423">
        <v>0.25508510913154497</v>
      </c>
      <c r="F9998" s="423">
        <v>2.218942172916219E-2</v>
      </c>
      <c r="G9998" s="422">
        <v>495.14317333819719</v>
      </c>
      <c r="H9998" s="417" t="s">
        <v>2616</v>
      </c>
      <c r="I9998" s="417" t="s">
        <v>1392</v>
      </c>
      <c r="J9998" s="417" t="s">
        <v>20833</v>
      </c>
      <c r="K9998" s="417" t="s">
        <v>22441</v>
      </c>
      <c r="L9998" s="417"/>
      <c r="M9998" s="417" t="s">
        <v>28840</v>
      </c>
    </row>
    <row r="9999" spans="1:13" x14ac:dyDescent="0.25">
      <c r="A9999" s="417" t="s">
        <v>3385</v>
      </c>
      <c r="B9999" s="417" t="s">
        <v>2437</v>
      </c>
      <c r="C9999" s="417" t="s">
        <v>22442</v>
      </c>
      <c r="D9999" s="417" t="s">
        <v>3936</v>
      </c>
      <c r="E9999" s="423">
        <v>0.22388448571593819</v>
      </c>
      <c r="F9999" s="423">
        <v>5.2781761466107822E-2</v>
      </c>
      <c r="G9999" s="422">
        <v>423.21255630112859</v>
      </c>
      <c r="H9999" s="417" t="s">
        <v>2616</v>
      </c>
      <c r="I9999" s="417" t="s">
        <v>1392</v>
      </c>
      <c r="J9999" s="417" t="s">
        <v>20833</v>
      </c>
      <c r="K9999" s="417" t="s">
        <v>22443</v>
      </c>
      <c r="L9999" s="417"/>
      <c r="M9999" s="417" t="s">
        <v>28840</v>
      </c>
    </row>
    <row r="10000" spans="1:13" x14ac:dyDescent="0.25">
      <c r="A10000" s="417" t="s">
        <v>3385</v>
      </c>
      <c r="B10000" s="417" t="s">
        <v>2437</v>
      </c>
      <c r="C10000" s="417" t="s">
        <v>22444</v>
      </c>
      <c r="D10000" s="417" t="s">
        <v>3936</v>
      </c>
      <c r="E10000" s="423">
        <v>0.24298667781298569</v>
      </c>
      <c r="F10000" s="423">
        <v>2.1097288636072738E-2</v>
      </c>
      <c r="G10000" s="422">
        <v>445.69613385827432</v>
      </c>
      <c r="H10000" s="417" t="s">
        <v>2616</v>
      </c>
      <c r="I10000" s="417" t="s">
        <v>1392</v>
      </c>
      <c r="J10000" s="417" t="s">
        <v>20833</v>
      </c>
      <c r="K10000" s="417" t="s">
        <v>22445</v>
      </c>
      <c r="L10000" s="417"/>
      <c r="M10000" s="417" t="s">
        <v>28840</v>
      </c>
    </row>
    <row r="10001" spans="1:13" x14ac:dyDescent="0.25">
      <c r="A10001" s="417" t="s">
        <v>3385</v>
      </c>
      <c r="B10001" s="417" t="s">
        <v>2437</v>
      </c>
      <c r="C10001" s="417" t="s">
        <v>22446</v>
      </c>
      <c r="D10001" s="417" t="s">
        <v>3936</v>
      </c>
      <c r="E10001" s="423">
        <v>0.21183259757347889</v>
      </c>
      <c r="F10001" s="423">
        <v>5.1508135036139963E-2</v>
      </c>
      <c r="G10001" s="422">
        <v>399.94023314610479</v>
      </c>
      <c r="H10001" s="417" t="s">
        <v>2616</v>
      </c>
      <c r="I10001" s="417" t="s">
        <v>1392</v>
      </c>
      <c r="J10001" s="417" t="s">
        <v>20833</v>
      </c>
      <c r="K10001" s="417" t="s">
        <v>22447</v>
      </c>
      <c r="L10001" s="417"/>
      <c r="M10001" s="417" t="s">
        <v>28840</v>
      </c>
    </row>
    <row r="10002" spans="1:13" x14ac:dyDescent="0.25">
      <c r="A10002" s="417" t="s">
        <v>3385</v>
      </c>
      <c r="B10002" s="417" t="s">
        <v>2437</v>
      </c>
      <c r="C10002" s="417" t="s">
        <v>22448</v>
      </c>
      <c r="D10002" s="417" t="s">
        <v>3936</v>
      </c>
      <c r="E10002" s="423">
        <v>0.23007051789568539</v>
      </c>
      <c r="F10002" s="423">
        <v>2.05764837621829E-2</v>
      </c>
      <c r="G10002" s="422">
        <v>421.47243065984469</v>
      </c>
      <c r="H10002" s="417" t="s">
        <v>2616</v>
      </c>
      <c r="I10002" s="417" t="s">
        <v>1392</v>
      </c>
      <c r="J10002" s="417" t="s">
        <v>20833</v>
      </c>
      <c r="K10002" s="417" t="s">
        <v>22449</v>
      </c>
      <c r="L10002" s="417"/>
      <c r="M10002" s="417" t="s">
        <v>28840</v>
      </c>
    </row>
    <row r="10003" spans="1:13" x14ac:dyDescent="0.25">
      <c r="A10003" s="417" t="s">
        <v>3385</v>
      </c>
      <c r="B10003" s="417" t="s">
        <v>2437</v>
      </c>
      <c r="C10003" s="417" t="s">
        <v>22450</v>
      </c>
      <c r="D10003" s="417" t="s">
        <v>3936</v>
      </c>
      <c r="E10003" s="423">
        <v>0.209586028764219</v>
      </c>
      <c r="F10003" s="423">
        <v>5.0814755863632363E-2</v>
      </c>
      <c r="G10003" s="422">
        <v>396.59179578459668</v>
      </c>
      <c r="H10003" s="417" t="s">
        <v>2616</v>
      </c>
      <c r="I10003" s="417" t="s">
        <v>1392</v>
      </c>
      <c r="J10003" s="417" t="s">
        <v>20833</v>
      </c>
      <c r="K10003" s="417" t="s">
        <v>22451</v>
      </c>
      <c r="L10003" s="417"/>
      <c r="M10003" s="417" t="s">
        <v>28840</v>
      </c>
    </row>
    <row r="10004" spans="1:13" x14ac:dyDescent="0.25">
      <c r="A10004" s="417" t="s">
        <v>3385</v>
      </c>
      <c r="B10004" s="417" t="s">
        <v>2437</v>
      </c>
      <c r="C10004" s="417" t="s">
        <v>22452</v>
      </c>
      <c r="D10004" s="417" t="s">
        <v>3936</v>
      </c>
      <c r="E10004" s="423">
        <v>0.2276267095239263</v>
      </c>
      <c r="F10004" s="423">
        <v>2.0345407224628291E-2</v>
      </c>
      <c r="G10004" s="422">
        <v>417.87923997845758</v>
      </c>
      <c r="H10004" s="417" t="s">
        <v>2616</v>
      </c>
      <c r="I10004" s="417" t="s">
        <v>1392</v>
      </c>
      <c r="J10004" s="417" t="s">
        <v>20833</v>
      </c>
      <c r="K10004" s="417" t="s">
        <v>22453</v>
      </c>
      <c r="L10004" s="417"/>
      <c r="M10004" s="417" t="s">
        <v>28840</v>
      </c>
    </row>
    <row r="10005" spans="1:13" x14ac:dyDescent="0.25">
      <c r="A10005" s="417" t="s">
        <v>3385</v>
      </c>
      <c r="B10005" s="417" t="s">
        <v>2437</v>
      </c>
      <c r="C10005" s="417" t="s">
        <v>22454</v>
      </c>
      <c r="D10005" s="417" t="s">
        <v>3936</v>
      </c>
      <c r="E10005" s="423">
        <v>0.20557747153542161</v>
      </c>
      <c r="F10005" s="423">
        <v>4.9549026862259198E-2</v>
      </c>
      <c r="G10005" s="422">
        <v>390.65676612331578</v>
      </c>
      <c r="H10005" s="417" t="s">
        <v>2616</v>
      </c>
      <c r="I10005" s="417" t="s">
        <v>1392</v>
      </c>
      <c r="J10005" s="417" t="s">
        <v>20833</v>
      </c>
      <c r="K10005" s="417" t="s">
        <v>22455</v>
      </c>
      <c r="L10005" s="417"/>
      <c r="M10005" s="417" t="s">
        <v>28840</v>
      </c>
    </row>
    <row r="10006" spans="1:13" x14ac:dyDescent="0.25">
      <c r="A10006" s="417" t="s">
        <v>3385</v>
      </c>
      <c r="B10006" s="417" t="s">
        <v>2437</v>
      </c>
      <c r="C10006" s="417" t="s">
        <v>22456</v>
      </c>
      <c r="D10006" s="417" t="s">
        <v>3936</v>
      </c>
      <c r="E10006" s="423">
        <v>0.22321788034368231</v>
      </c>
      <c r="F10006" s="423">
        <v>1.990209975510818E-2</v>
      </c>
      <c r="G10006" s="422">
        <v>411.45682922020939</v>
      </c>
      <c r="H10006" s="417" t="s">
        <v>2616</v>
      </c>
      <c r="I10006" s="417" t="s">
        <v>1392</v>
      </c>
      <c r="J10006" s="417" t="s">
        <v>20833</v>
      </c>
      <c r="K10006" s="417" t="s">
        <v>22457</v>
      </c>
      <c r="L10006" s="417"/>
      <c r="M10006" s="417" t="s">
        <v>28840</v>
      </c>
    </row>
    <row r="10007" spans="1:13" x14ac:dyDescent="0.25">
      <c r="A10007" s="417" t="s">
        <v>3385</v>
      </c>
      <c r="B10007" s="417" t="s">
        <v>2437</v>
      </c>
      <c r="C10007" s="417" t="s">
        <v>22458</v>
      </c>
      <c r="D10007" s="417" t="s">
        <v>3936</v>
      </c>
      <c r="E10007" s="423">
        <v>0.1841730851870253</v>
      </c>
      <c r="F10007" s="423">
        <v>1.2430962395203689E-2</v>
      </c>
      <c r="G10007" s="422">
        <v>352.14820877275622</v>
      </c>
      <c r="H10007" s="417" t="s">
        <v>2616</v>
      </c>
      <c r="I10007" s="417" t="s">
        <v>1392</v>
      </c>
      <c r="J10007" s="417" t="s">
        <v>20833</v>
      </c>
      <c r="K10007" s="417" t="s">
        <v>22459</v>
      </c>
      <c r="L10007" s="417"/>
      <c r="M10007" s="417" t="s">
        <v>28840</v>
      </c>
    </row>
    <row r="10008" spans="1:13" x14ac:dyDescent="0.25">
      <c r="A10008" s="417" t="s">
        <v>3385</v>
      </c>
      <c r="B10008" s="417" t="s">
        <v>2437</v>
      </c>
      <c r="C10008" s="417" t="s">
        <v>22460</v>
      </c>
      <c r="D10008" s="417" t="s">
        <v>3936</v>
      </c>
      <c r="E10008" s="423">
        <v>0.1839931904623078</v>
      </c>
      <c r="F10008" s="423">
        <v>1.716095752638697E-2</v>
      </c>
      <c r="G10008" s="422">
        <v>361.84894166597962</v>
      </c>
      <c r="H10008" s="417" t="s">
        <v>2616</v>
      </c>
      <c r="I10008" s="417" t="s">
        <v>1392</v>
      </c>
      <c r="J10008" s="417" t="s">
        <v>20833</v>
      </c>
      <c r="K10008" s="417" t="s">
        <v>22461</v>
      </c>
      <c r="L10008" s="417"/>
      <c r="M10008" s="417" t="s">
        <v>28840</v>
      </c>
    </row>
    <row r="10009" spans="1:13" x14ac:dyDescent="0.25">
      <c r="A10009" s="417" t="s">
        <v>3385</v>
      </c>
      <c r="B10009" s="417" t="s">
        <v>2437</v>
      </c>
      <c r="C10009" s="417" t="s">
        <v>22462</v>
      </c>
      <c r="D10009" s="417" t="s">
        <v>3936</v>
      </c>
      <c r="E10009" s="423">
        <v>0.17850220687905141</v>
      </c>
      <c r="F10009" s="423">
        <v>1.191088349310704E-2</v>
      </c>
      <c r="G10009" s="422">
        <v>348.46134738251772</v>
      </c>
      <c r="H10009" s="417" t="s">
        <v>2616</v>
      </c>
      <c r="I10009" s="417" t="s">
        <v>1392</v>
      </c>
      <c r="J10009" s="417" t="s">
        <v>20833</v>
      </c>
      <c r="K10009" s="417" t="s">
        <v>22463</v>
      </c>
      <c r="L10009" s="417"/>
      <c r="M10009" s="417" t="s">
        <v>28840</v>
      </c>
    </row>
    <row r="10010" spans="1:13" x14ac:dyDescent="0.25">
      <c r="A10010" s="417" t="s">
        <v>3385</v>
      </c>
      <c r="B10010" s="417" t="s">
        <v>2437</v>
      </c>
      <c r="C10010" s="417" t="s">
        <v>22464</v>
      </c>
      <c r="D10010" s="417" t="s">
        <v>3936</v>
      </c>
      <c r="E10010" s="423">
        <v>0.178361743394918</v>
      </c>
      <c r="F10010" s="423">
        <v>1.6358285164501669E-2</v>
      </c>
      <c r="G10010" s="422">
        <v>357.61485032317239</v>
      </c>
      <c r="H10010" s="417" t="s">
        <v>2616</v>
      </c>
      <c r="I10010" s="417" t="s">
        <v>1392</v>
      </c>
      <c r="J10010" s="417" t="s">
        <v>20833</v>
      </c>
      <c r="K10010" s="417" t="s">
        <v>22465</v>
      </c>
      <c r="L10010" s="417"/>
      <c r="M10010" s="417" t="s">
        <v>28840</v>
      </c>
    </row>
    <row r="10011" spans="1:13" x14ac:dyDescent="0.25">
      <c r="A10011" s="417" t="s">
        <v>3385</v>
      </c>
      <c r="B10011" s="417" t="s">
        <v>2437</v>
      </c>
      <c r="C10011" s="417" t="s">
        <v>22466</v>
      </c>
      <c r="D10011" s="417" t="s">
        <v>3936</v>
      </c>
      <c r="E10011" s="423">
        <v>0.1663409771286419</v>
      </c>
      <c r="F10011" s="423">
        <v>1.158666430246595E-2</v>
      </c>
      <c r="G10011" s="422">
        <v>325.10590937262998</v>
      </c>
      <c r="H10011" s="417" t="s">
        <v>2616</v>
      </c>
      <c r="I10011" s="417" t="s">
        <v>1392</v>
      </c>
      <c r="J10011" s="417" t="s">
        <v>20833</v>
      </c>
      <c r="K10011" s="417" t="s">
        <v>22467</v>
      </c>
      <c r="L10011" s="417"/>
      <c r="M10011" s="417" t="s">
        <v>28840</v>
      </c>
    </row>
    <row r="10012" spans="1:13" x14ac:dyDescent="0.25">
      <c r="A10012" s="417" t="s">
        <v>3385</v>
      </c>
      <c r="B10012" s="417" t="s">
        <v>2437</v>
      </c>
      <c r="C10012" s="417" t="s">
        <v>22468</v>
      </c>
      <c r="D10012" s="417" t="s">
        <v>3936</v>
      </c>
      <c r="E10012" s="423">
        <v>0.16616225970311879</v>
      </c>
      <c r="F10012" s="423">
        <v>1.5857691155974411E-2</v>
      </c>
      <c r="G10012" s="422">
        <v>333.85062309445198</v>
      </c>
      <c r="H10012" s="417" t="s">
        <v>2616</v>
      </c>
      <c r="I10012" s="417" t="s">
        <v>1392</v>
      </c>
      <c r="J10012" s="417" t="s">
        <v>20833</v>
      </c>
      <c r="K10012" s="417" t="s">
        <v>22469</v>
      </c>
      <c r="L10012" s="417"/>
      <c r="M10012" s="417" t="s">
        <v>28840</v>
      </c>
    </row>
    <row r="10013" spans="1:13" x14ac:dyDescent="0.25">
      <c r="A10013" s="417" t="s">
        <v>3385</v>
      </c>
      <c r="B10013" s="417" t="s">
        <v>2437</v>
      </c>
      <c r="C10013" s="417" t="s">
        <v>22470</v>
      </c>
      <c r="D10013" s="417" t="s">
        <v>3936</v>
      </c>
      <c r="E10013" s="423">
        <v>0.16404513396087131</v>
      </c>
      <c r="F10013" s="423">
        <v>1.1416931958186299E-2</v>
      </c>
      <c r="G10013" s="422">
        <v>315.95655600005688</v>
      </c>
      <c r="H10013" s="417" t="s">
        <v>2616</v>
      </c>
      <c r="I10013" s="417" t="s">
        <v>1392</v>
      </c>
      <c r="J10013" s="417" t="s">
        <v>20833</v>
      </c>
      <c r="K10013" s="417" t="s">
        <v>22471</v>
      </c>
      <c r="L10013" s="417"/>
      <c r="M10013" s="417" t="s">
        <v>28840</v>
      </c>
    </row>
    <row r="10014" spans="1:13" x14ac:dyDescent="0.25">
      <c r="A10014" s="417" t="s">
        <v>3385</v>
      </c>
      <c r="B10014" s="417" t="s">
        <v>2437</v>
      </c>
      <c r="C10014" s="417" t="s">
        <v>22472</v>
      </c>
      <c r="D10014" s="417" t="s">
        <v>3936</v>
      </c>
      <c r="E10014" s="423">
        <v>0.16394728957193111</v>
      </c>
      <c r="F10014" s="423">
        <v>1.559977140367021E-2</v>
      </c>
      <c r="G10014" s="422">
        <v>324.59689332870852</v>
      </c>
      <c r="H10014" s="417" t="s">
        <v>2616</v>
      </c>
      <c r="I10014" s="417" t="s">
        <v>1392</v>
      </c>
      <c r="J10014" s="417" t="s">
        <v>20833</v>
      </c>
      <c r="K10014" s="417" t="s">
        <v>22473</v>
      </c>
      <c r="L10014" s="417"/>
      <c r="M10014" s="417" t="s">
        <v>28840</v>
      </c>
    </row>
    <row r="10015" spans="1:13" x14ac:dyDescent="0.25">
      <c r="A10015" s="417" t="s">
        <v>3385</v>
      </c>
      <c r="B10015" s="417" t="s">
        <v>2437</v>
      </c>
      <c r="C10015" s="417" t="s">
        <v>22474</v>
      </c>
      <c r="D10015" s="417" t="s">
        <v>3936</v>
      </c>
      <c r="E10015" s="423">
        <v>0.1615819347240981</v>
      </c>
      <c r="F10015" s="423">
        <v>1.1241447497063829E-2</v>
      </c>
      <c r="G10015" s="422">
        <v>311.70205585618442</v>
      </c>
      <c r="H10015" s="417" t="s">
        <v>2616</v>
      </c>
      <c r="I10015" s="417" t="s">
        <v>1392</v>
      </c>
      <c r="J10015" s="417" t="s">
        <v>20833</v>
      </c>
      <c r="K10015" s="417" t="s">
        <v>22475</v>
      </c>
      <c r="L10015" s="417"/>
      <c r="M10015" s="417" t="s">
        <v>28840</v>
      </c>
    </row>
    <row r="10016" spans="1:13" x14ac:dyDescent="0.25">
      <c r="A10016" s="417" t="s">
        <v>3385</v>
      </c>
      <c r="B10016" s="417" t="s">
        <v>2437</v>
      </c>
      <c r="C10016" s="417" t="s">
        <v>22476</v>
      </c>
      <c r="D10016" s="417" t="s">
        <v>3936</v>
      </c>
      <c r="E10016" s="423">
        <v>0.16156496334655249</v>
      </c>
      <c r="F10016" s="423">
        <v>1.534609953380058E-2</v>
      </c>
      <c r="G10016" s="422">
        <v>320.23800418386168</v>
      </c>
      <c r="H10016" s="417" t="s">
        <v>2616</v>
      </c>
      <c r="I10016" s="417" t="s">
        <v>1392</v>
      </c>
      <c r="J10016" s="417" t="s">
        <v>20833</v>
      </c>
      <c r="K10016" s="417" t="s">
        <v>22477</v>
      </c>
      <c r="L10016" s="417"/>
      <c r="M10016" s="417" t="s">
        <v>28840</v>
      </c>
    </row>
    <row r="10017" spans="1:13" x14ac:dyDescent="0.25">
      <c r="A10017" s="417" t="s">
        <v>3385</v>
      </c>
      <c r="B10017" s="417" t="s">
        <v>2437</v>
      </c>
      <c r="C10017" s="417" t="s">
        <v>22478</v>
      </c>
      <c r="D10017" s="417" t="s">
        <v>3936</v>
      </c>
      <c r="E10017" s="423">
        <v>0.34145166440323332</v>
      </c>
      <c r="F10017" s="423">
        <v>2.2929005460219112E-2</v>
      </c>
      <c r="G10017" s="422">
        <v>604.68276474454399</v>
      </c>
      <c r="H10017" s="417" t="s">
        <v>2616</v>
      </c>
      <c r="I10017" s="417" t="s">
        <v>1392</v>
      </c>
      <c r="J10017" s="417" t="s">
        <v>20833</v>
      </c>
      <c r="K10017" s="417" t="s">
        <v>22479</v>
      </c>
      <c r="L10017" s="417"/>
      <c r="M10017" s="417" t="s">
        <v>28840</v>
      </c>
    </row>
    <row r="10018" spans="1:13" x14ac:dyDescent="0.25">
      <c r="A10018" s="417" t="s">
        <v>3385</v>
      </c>
      <c r="B10018" s="417" t="s">
        <v>2437</v>
      </c>
      <c r="C10018" s="417" t="s">
        <v>22480</v>
      </c>
      <c r="D10018" s="417" t="s">
        <v>3936</v>
      </c>
      <c r="E10018" s="423">
        <v>0.34135310861910573</v>
      </c>
      <c r="F10018" s="423">
        <v>3.2307315013633167E-2</v>
      </c>
      <c r="G10018" s="422">
        <v>624.27674311988096</v>
      </c>
      <c r="H10018" s="417" t="s">
        <v>2616</v>
      </c>
      <c r="I10018" s="417" t="s">
        <v>1392</v>
      </c>
      <c r="J10018" s="417" t="s">
        <v>20833</v>
      </c>
      <c r="K10018" s="417" t="s">
        <v>22481</v>
      </c>
      <c r="L10018" s="417"/>
      <c r="M10018" s="417" t="s">
        <v>28840</v>
      </c>
    </row>
    <row r="10019" spans="1:13" x14ac:dyDescent="0.25">
      <c r="A10019" s="417" t="s">
        <v>3385</v>
      </c>
      <c r="B10019" s="417" t="s">
        <v>2437</v>
      </c>
      <c r="C10019" s="417" t="s">
        <v>22482</v>
      </c>
      <c r="D10019" s="417" t="s">
        <v>3936</v>
      </c>
      <c r="E10019" s="423">
        <v>0.33118994013369413</v>
      </c>
      <c r="F10019" s="423">
        <v>2.201081756916598E-2</v>
      </c>
      <c r="G10019" s="422">
        <v>598.08255038590119</v>
      </c>
      <c r="H10019" s="417" t="s">
        <v>2616</v>
      </c>
      <c r="I10019" s="417" t="s">
        <v>1392</v>
      </c>
      <c r="J10019" s="417" t="s">
        <v>20833</v>
      </c>
      <c r="K10019" s="417" t="s">
        <v>22483</v>
      </c>
      <c r="L10019" s="417"/>
      <c r="M10019" s="417" t="s">
        <v>28840</v>
      </c>
    </row>
    <row r="10020" spans="1:13" x14ac:dyDescent="0.25">
      <c r="A10020" s="417" t="s">
        <v>3385</v>
      </c>
      <c r="B10020" s="417" t="s">
        <v>2437</v>
      </c>
      <c r="C10020" s="417" t="s">
        <v>22484</v>
      </c>
      <c r="D10020" s="417" t="s">
        <v>3936</v>
      </c>
      <c r="E10020" s="423">
        <v>0.33158937382697612</v>
      </c>
      <c r="F10020" s="423">
        <v>3.0952127609456179E-2</v>
      </c>
      <c r="G10020" s="422">
        <v>617.18657736603552</v>
      </c>
      <c r="H10020" s="417" t="s">
        <v>2616</v>
      </c>
      <c r="I10020" s="417" t="s">
        <v>1392</v>
      </c>
      <c r="J10020" s="417" t="s">
        <v>20833</v>
      </c>
      <c r="K10020" s="417" t="s">
        <v>22485</v>
      </c>
      <c r="L10020" s="417"/>
      <c r="M10020" s="417" t="s">
        <v>28840</v>
      </c>
    </row>
    <row r="10021" spans="1:13" x14ac:dyDescent="0.25">
      <c r="A10021" s="417" t="s">
        <v>3385</v>
      </c>
      <c r="B10021" s="417" t="s">
        <v>2437</v>
      </c>
      <c r="C10021" s="417" t="s">
        <v>22486</v>
      </c>
      <c r="D10021" s="417" t="s">
        <v>3936</v>
      </c>
      <c r="E10021" s="423">
        <v>0.31496051311739459</v>
      </c>
      <c r="F10021" s="423">
        <v>2.140481655434243E-2</v>
      </c>
      <c r="G10021" s="422">
        <v>559.29335863533811</v>
      </c>
      <c r="H10021" s="417" t="s">
        <v>2616</v>
      </c>
      <c r="I10021" s="417" t="s">
        <v>1392</v>
      </c>
      <c r="J10021" s="417" t="s">
        <v>20833</v>
      </c>
      <c r="K10021" s="417" t="s">
        <v>22487</v>
      </c>
      <c r="L10021" s="417"/>
      <c r="M10021" s="417" t="s">
        <v>28840</v>
      </c>
    </row>
    <row r="10022" spans="1:13" x14ac:dyDescent="0.25">
      <c r="A10022" s="417" t="s">
        <v>3385</v>
      </c>
      <c r="B10022" s="417" t="s">
        <v>2437</v>
      </c>
      <c r="C10022" s="417" t="s">
        <v>22488</v>
      </c>
      <c r="D10022" s="417" t="s">
        <v>3936</v>
      </c>
      <c r="E10022" s="423">
        <v>0.3145930024180873</v>
      </c>
      <c r="F10022" s="423">
        <v>3.0027470664926729E-2</v>
      </c>
      <c r="G10022" s="422">
        <v>576.98190543553267</v>
      </c>
      <c r="H10022" s="417" t="s">
        <v>2616</v>
      </c>
      <c r="I10022" s="417" t="s">
        <v>1392</v>
      </c>
      <c r="J10022" s="417" t="s">
        <v>20833</v>
      </c>
      <c r="K10022" s="417" t="s">
        <v>22489</v>
      </c>
      <c r="L10022" s="417"/>
      <c r="M10022" s="417" t="s">
        <v>28840</v>
      </c>
    </row>
    <row r="10023" spans="1:13" x14ac:dyDescent="0.25">
      <c r="A10023" s="417" t="s">
        <v>3385</v>
      </c>
      <c r="B10023" s="417" t="s">
        <v>2437</v>
      </c>
      <c r="C10023" s="417" t="s">
        <v>22490</v>
      </c>
      <c r="D10023" s="417" t="s">
        <v>3936</v>
      </c>
      <c r="E10023" s="423">
        <v>0.31103761062731411</v>
      </c>
      <c r="F10023" s="423">
        <v>2.1119366922877782E-2</v>
      </c>
      <c r="G10023" s="422">
        <v>541.81523253455271</v>
      </c>
      <c r="H10023" s="417" t="s">
        <v>2616</v>
      </c>
      <c r="I10023" s="417" t="s">
        <v>1392</v>
      </c>
      <c r="J10023" s="417" t="s">
        <v>20833</v>
      </c>
      <c r="K10023" s="417" t="s">
        <v>22491</v>
      </c>
      <c r="L10023" s="417"/>
      <c r="M10023" s="417" t="s">
        <v>28840</v>
      </c>
    </row>
    <row r="10024" spans="1:13" x14ac:dyDescent="0.25">
      <c r="A10024" s="417" t="s">
        <v>3385</v>
      </c>
      <c r="B10024" s="417" t="s">
        <v>2437</v>
      </c>
      <c r="C10024" s="417" t="s">
        <v>22492</v>
      </c>
      <c r="D10024" s="417" t="s">
        <v>3936</v>
      </c>
      <c r="E10024" s="423">
        <v>0.31063822163443428</v>
      </c>
      <c r="F10024" s="423">
        <v>2.9591708686803171E-2</v>
      </c>
      <c r="G10024" s="422">
        <v>559.16313172803882</v>
      </c>
      <c r="H10024" s="417" t="s">
        <v>2616</v>
      </c>
      <c r="I10024" s="417" t="s">
        <v>1392</v>
      </c>
      <c r="J10024" s="417" t="s">
        <v>20833</v>
      </c>
      <c r="K10024" s="417" t="s">
        <v>22493</v>
      </c>
      <c r="L10024" s="417"/>
      <c r="M10024" s="417" t="s">
        <v>28840</v>
      </c>
    </row>
    <row r="10025" spans="1:13" x14ac:dyDescent="0.25">
      <c r="A10025" s="417" t="s">
        <v>3385</v>
      </c>
      <c r="B10025" s="417" t="s">
        <v>2437</v>
      </c>
      <c r="C10025" s="417" t="s">
        <v>22494</v>
      </c>
      <c r="D10025" s="417" t="s">
        <v>3936</v>
      </c>
      <c r="E10025" s="423">
        <v>0.30382643193271153</v>
      </c>
      <c r="F10025" s="423">
        <v>2.0599592742417148E-2</v>
      </c>
      <c r="G10025" s="422">
        <v>530.33540995596582</v>
      </c>
      <c r="H10025" s="417" t="s">
        <v>2616</v>
      </c>
      <c r="I10025" s="417" t="s">
        <v>1392</v>
      </c>
      <c r="J10025" s="417" t="s">
        <v>20833</v>
      </c>
      <c r="K10025" s="417" t="s">
        <v>22495</v>
      </c>
      <c r="L10025" s="417"/>
      <c r="M10025" s="417" t="s">
        <v>28840</v>
      </c>
    </row>
    <row r="10026" spans="1:13" x14ac:dyDescent="0.25">
      <c r="A10026" s="417" t="s">
        <v>3385</v>
      </c>
      <c r="B10026" s="417" t="s">
        <v>2437</v>
      </c>
      <c r="C10026" s="417" t="s">
        <v>22496</v>
      </c>
      <c r="D10026" s="417" t="s">
        <v>3936</v>
      </c>
      <c r="E10026" s="423">
        <v>0.30376966202018491</v>
      </c>
      <c r="F10026" s="423">
        <v>2.881737227966355E-2</v>
      </c>
      <c r="G10026" s="422">
        <v>547.47014387921297</v>
      </c>
      <c r="H10026" s="417" t="s">
        <v>2616</v>
      </c>
      <c r="I10026" s="417" t="s">
        <v>1392</v>
      </c>
      <c r="J10026" s="417" t="s">
        <v>20833</v>
      </c>
      <c r="K10026" s="417" t="s">
        <v>22497</v>
      </c>
      <c r="L10026" s="417"/>
      <c r="M10026" s="417" t="s">
        <v>28840</v>
      </c>
    </row>
    <row r="10027" spans="1:13" x14ac:dyDescent="0.25">
      <c r="A10027" s="417" t="s">
        <v>3385</v>
      </c>
      <c r="B10027" s="417" t="s">
        <v>2437</v>
      </c>
      <c r="C10027" s="417" t="s">
        <v>22498</v>
      </c>
      <c r="D10027" s="417" t="s">
        <v>3936</v>
      </c>
      <c r="E10027" s="423">
        <v>0.29790318935541932</v>
      </c>
      <c r="F10027" s="423">
        <v>2.0098523246601139E-2</v>
      </c>
      <c r="G10027" s="422">
        <v>533.38137679745239</v>
      </c>
      <c r="H10027" s="417" t="s">
        <v>2616</v>
      </c>
      <c r="I10027" s="417" t="s">
        <v>1392</v>
      </c>
      <c r="J10027" s="417" t="s">
        <v>20833</v>
      </c>
      <c r="K10027" s="417" t="s">
        <v>22499</v>
      </c>
      <c r="L10027" s="417"/>
      <c r="M10027" s="417" t="s">
        <v>28840</v>
      </c>
    </row>
    <row r="10028" spans="1:13" x14ac:dyDescent="0.25">
      <c r="A10028" s="417" t="s">
        <v>3385</v>
      </c>
      <c r="B10028" s="417" t="s">
        <v>2437</v>
      </c>
      <c r="C10028" s="417" t="s">
        <v>22500</v>
      </c>
      <c r="D10028" s="417" t="s">
        <v>3936</v>
      </c>
      <c r="E10028" s="423">
        <v>0.2975496072536245</v>
      </c>
      <c r="F10028" s="423">
        <v>2.8324334018486819E-2</v>
      </c>
      <c r="G10028" s="422">
        <v>550.25017521704024</v>
      </c>
      <c r="H10028" s="417" t="s">
        <v>2616</v>
      </c>
      <c r="I10028" s="417" t="s">
        <v>1392</v>
      </c>
      <c r="J10028" s="417" t="s">
        <v>20833</v>
      </c>
      <c r="K10028" s="417" t="s">
        <v>22501</v>
      </c>
      <c r="L10028" s="417"/>
      <c r="M10028" s="417" t="s">
        <v>28840</v>
      </c>
    </row>
    <row r="10029" spans="1:13" x14ac:dyDescent="0.25">
      <c r="A10029" s="417" t="s">
        <v>3385</v>
      </c>
      <c r="B10029" s="417" t="s">
        <v>2437</v>
      </c>
      <c r="C10029" s="417" t="s">
        <v>22502</v>
      </c>
      <c r="D10029" s="417" t="s">
        <v>3936</v>
      </c>
      <c r="E10029" s="423">
        <v>0.28275175471500169</v>
      </c>
      <c r="F10029" s="423">
        <v>1.8837564334769651E-2</v>
      </c>
      <c r="G10029" s="422">
        <v>518.58148582509693</v>
      </c>
      <c r="H10029" s="417" t="s">
        <v>2616</v>
      </c>
      <c r="I10029" s="417" t="s">
        <v>1392</v>
      </c>
      <c r="J10029" s="417" t="s">
        <v>20833</v>
      </c>
      <c r="K10029" s="417" t="s">
        <v>22503</v>
      </c>
      <c r="L10029" s="417"/>
      <c r="M10029" s="417" t="s">
        <v>28840</v>
      </c>
    </row>
    <row r="10030" spans="1:13" x14ac:dyDescent="0.25">
      <c r="A10030" s="417" t="s">
        <v>3385</v>
      </c>
      <c r="B10030" s="417" t="s">
        <v>2437</v>
      </c>
      <c r="C10030" s="417" t="s">
        <v>22504</v>
      </c>
      <c r="D10030" s="417" t="s">
        <v>3936</v>
      </c>
      <c r="E10030" s="423">
        <v>0.28245790815606819</v>
      </c>
      <c r="F10030" s="423">
        <v>2.641000077495036E-2</v>
      </c>
      <c r="G10030" s="422">
        <v>534.1514349368</v>
      </c>
      <c r="H10030" s="417" t="s">
        <v>2616</v>
      </c>
      <c r="I10030" s="417" t="s">
        <v>1392</v>
      </c>
      <c r="J10030" s="417" t="s">
        <v>20833</v>
      </c>
      <c r="K10030" s="417" t="s">
        <v>22505</v>
      </c>
      <c r="L10030" s="417"/>
      <c r="M10030" s="417" t="s">
        <v>28840</v>
      </c>
    </row>
    <row r="10031" spans="1:13" x14ac:dyDescent="0.25">
      <c r="A10031" s="417" t="s">
        <v>3385</v>
      </c>
      <c r="B10031" s="417" t="s">
        <v>2437</v>
      </c>
      <c r="C10031" s="417" t="s">
        <v>22506</v>
      </c>
      <c r="D10031" s="417" t="s">
        <v>3936</v>
      </c>
      <c r="E10031" s="423">
        <v>0.26425903841251119</v>
      </c>
      <c r="F10031" s="423">
        <v>1.806343309393766E-2</v>
      </c>
      <c r="G10031" s="422">
        <v>479.37827226429181</v>
      </c>
      <c r="H10031" s="417" t="s">
        <v>2616</v>
      </c>
      <c r="I10031" s="417" t="s">
        <v>1392</v>
      </c>
      <c r="J10031" s="417" t="s">
        <v>20833</v>
      </c>
      <c r="K10031" s="417" t="s">
        <v>22507</v>
      </c>
      <c r="L10031" s="417"/>
      <c r="M10031" s="417" t="s">
        <v>28840</v>
      </c>
    </row>
    <row r="10032" spans="1:13" x14ac:dyDescent="0.25">
      <c r="A10032" s="417" t="s">
        <v>3385</v>
      </c>
      <c r="B10032" s="417" t="s">
        <v>2437</v>
      </c>
      <c r="C10032" s="417" t="s">
        <v>22508</v>
      </c>
      <c r="D10032" s="417" t="s">
        <v>3936</v>
      </c>
      <c r="E10032" s="423">
        <v>0.26397912046263872</v>
      </c>
      <c r="F10032" s="423">
        <v>2.522902619532311E-2</v>
      </c>
      <c r="G10032" s="422">
        <v>494.12848583432731</v>
      </c>
      <c r="H10032" s="417" t="s">
        <v>2616</v>
      </c>
      <c r="I10032" s="417" t="s">
        <v>1392</v>
      </c>
      <c r="J10032" s="417" t="s">
        <v>20833</v>
      </c>
      <c r="K10032" s="417" t="s">
        <v>22509</v>
      </c>
      <c r="L10032" s="417"/>
      <c r="M10032" s="417" t="s">
        <v>28840</v>
      </c>
    </row>
    <row r="10033" spans="1:13" x14ac:dyDescent="0.25">
      <c r="A10033" s="417" t="s">
        <v>3385</v>
      </c>
      <c r="B10033" s="417" t="s">
        <v>2437</v>
      </c>
      <c r="C10033" s="417" t="s">
        <v>22510</v>
      </c>
      <c r="D10033" s="417" t="s">
        <v>3936</v>
      </c>
      <c r="E10033" s="423">
        <v>0.25919090818292212</v>
      </c>
      <c r="F10033" s="423">
        <v>1.7692132492418279E-2</v>
      </c>
      <c r="G10033" s="422">
        <v>462.44171519603321</v>
      </c>
      <c r="H10033" s="417" t="s">
        <v>2616</v>
      </c>
      <c r="I10033" s="417" t="s">
        <v>1392</v>
      </c>
      <c r="J10033" s="417" t="s">
        <v>20833</v>
      </c>
      <c r="K10033" s="417" t="s">
        <v>22511</v>
      </c>
      <c r="L10033" s="417"/>
      <c r="M10033" s="417" t="s">
        <v>28840</v>
      </c>
    </row>
    <row r="10034" spans="1:13" x14ac:dyDescent="0.25">
      <c r="A10034" s="417" t="s">
        <v>3385</v>
      </c>
      <c r="B10034" s="417" t="s">
        <v>2437</v>
      </c>
      <c r="C10034" s="417" t="s">
        <v>22512</v>
      </c>
      <c r="D10034" s="417" t="s">
        <v>3936</v>
      </c>
      <c r="E10034" s="423">
        <v>0.2586891878254089</v>
      </c>
      <c r="F10034" s="423">
        <v>2.4636812842670951E-2</v>
      </c>
      <c r="G10034" s="422">
        <v>476.45216091852473</v>
      </c>
      <c r="H10034" s="417" t="s">
        <v>2616</v>
      </c>
      <c r="I10034" s="417" t="s">
        <v>1392</v>
      </c>
      <c r="J10034" s="417" t="s">
        <v>20833</v>
      </c>
      <c r="K10034" s="417" t="s">
        <v>22513</v>
      </c>
      <c r="L10034" s="417"/>
      <c r="M10034" s="417" t="s">
        <v>28840</v>
      </c>
    </row>
    <row r="10035" spans="1:13" x14ac:dyDescent="0.25">
      <c r="A10035" s="417" t="s">
        <v>3385</v>
      </c>
      <c r="B10035" s="417" t="s">
        <v>2437</v>
      </c>
      <c r="C10035" s="417" t="s">
        <v>22514</v>
      </c>
      <c r="D10035" s="417" t="s">
        <v>3936</v>
      </c>
      <c r="E10035" s="423">
        <v>0.25231534261355187</v>
      </c>
      <c r="F10035" s="423">
        <v>1.7198053843069629E-2</v>
      </c>
      <c r="G10035" s="422">
        <v>451.62130524666168</v>
      </c>
      <c r="H10035" s="417" t="s">
        <v>2616</v>
      </c>
      <c r="I10035" s="417" t="s">
        <v>1392</v>
      </c>
      <c r="J10035" s="417" t="s">
        <v>20833</v>
      </c>
      <c r="K10035" s="417" t="s">
        <v>22515</v>
      </c>
      <c r="L10035" s="417"/>
      <c r="M10035" s="417" t="s">
        <v>28840</v>
      </c>
    </row>
    <row r="10036" spans="1:13" x14ac:dyDescent="0.25">
      <c r="A10036" s="417" t="s">
        <v>3385</v>
      </c>
      <c r="B10036" s="417" t="s">
        <v>2437</v>
      </c>
      <c r="C10036" s="417" t="s">
        <v>22516</v>
      </c>
      <c r="D10036" s="417" t="s">
        <v>3936</v>
      </c>
      <c r="E10036" s="423">
        <v>0.2518594291647222</v>
      </c>
      <c r="F10036" s="423">
        <v>2.3896203202144761E-2</v>
      </c>
      <c r="G10036" s="422">
        <v>465.15265015046123</v>
      </c>
      <c r="H10036" s="417" t="s">
        <v>2616</v>
      </c>
      <c r="I10036" s="417" t="s">
        <v>1392</v>
      </c>
      <c r="J10036" s="417" t="s">
        <v>20833</v>
      </c>
      <c r="K10036" s="417" t="s">
        <v>22517</v>
      </c>
      <c r="L10036" s="417"/>
      <c r="M10036" s="417" t="s">
        <v>28840</v>
      </c>
    </row>
    <row r="10037" spans="1:13" x14ac:dyDescent="0.25">
      <c r="A10037" s="417" t="s">
        <v>3385</v>
      </c>
      <c r="B10037" s="417" t="s">
        <v>2437</v>
      </c>
      <c r="C10037" s="417" t="s">
        <v>22518</v>
      </c>
      <c r="D10037" s="417" t="s">
        <v>3936</v>
      </c>
      <c r="E10037" s="423">
        <v>0.2162198044440144</v>
      </c>
      <c r="F10037" s="423">
        <v>1.4505533484846209E-2</v>
      </c>
      <c r="G10037" s="422">
        <v>404.98023919937111</v>
      </c>
      <c r="H10037" s="417" t="s">
        <v>2616</v>
      </c>
      <c r="I10037" s="417" t="s">
        <v>1392</v>
      </c>
      <c r="J10037" s="417" t="s">
        <v>20833</v>
      </c>
      <c r="K10037" s="417" t="s">
        <v>22519</v>
      </c>
      <c r="L10037" s="417"/>
      <c r="M10037" s="417" t="s">
        <v>28840</v>
      </c>
    </row>
    <row r="10038" spans="1:13" x14ac:dyDescent="0.25">
      <c r="A10038" s="417" t="s">
        <v>3385</v>
      </c>
      <c r="B10038" s="417" t="s">
        <v>2437</v>
      </c>
      <c r="C10038" s="417" t="s">
        <v>22520</v>
      </c>
      <c r="D10038" s="417" t="s">
        <v>3936</v>
      </c>
      <c r="E10038" s="423">
        <v>0.21580835228758519</v>
      </c>
      <c r="F10038" s="423">
        <v>2.013587816772297E-2</v>
      </c>
      <c r="G10038" s="422">
        <v>416.38771807748958</v>
      </c>
      <c r="H10038" s="417" t="s">
        <v>2616</v>
      </c>
      <c r="I10038" s="417" t="s">
        <v>1392</v>
      </c>
      <c r="J10038" s="417" t="s">
        <v>20833</v>
      </c>
      <c r="K10038" s="417" t="s">
        <v>22521</v>
      </c>
      <c r="L10038" s="417"/>
      <c r="M10038" s="417" t="s">
        <v>28840</v>
      </c>
    </row>
    <row r="10039" spans="1:13" x14ac:dyDescent="0.25">
      <c r="A10039" s="417" t="s">
        <v>3385</v>
      </c>
      <c r="B10039" s="417" t="s">
        <v>2437</v>
      </c>
      <c r="C10039" s="417" t="s">
        <v>22522</v>
      </c>
      <c r="D10039" s="417" t="s">
        <v>3936</v>
      </c>
      <c r="E10039" s="423">
        <v>0.21053399193076311</v>
      </c>
      <c r="F10039" s="423">
        <v>1.3987741495280761E-2</v>
      </c>
      <c r="G10039" s="422">
        <v>401.67307795884699</v>
      </c>
      <c r="H10039" s="417" t="s">
        <v>2616</v>
      </c>
      <c r="I10039" s="417" t="s">
        <v>1392</v>
      </c>
      <c r="J10039" s="417" t="s">
        <v>20833</v>
      </c>
      <c r="K10039" s="417" t="s">
        <v>22523</v>
      </c>
      <c r="L10039" s="417"/>
      <c r="M10039" s="417" t="s">
        <v>28840</v>
      </c>
    </row>
    <row r="10040" spans="1:13" x14ac:dyDescent="0.25">
      <c r="A10040" s="417" t="s">
        <v>3385</v>
      </c>
      <c r="B10040" s="417" t="s">
        <v>2437</v>
      </c>
      <c r="C10040" s="417" t="s">
        <v>22524</v>
      </c>
      <c r="D10040" s="417" t="s">
        <v>3936</v>
      </c>
      <c r="E10040" s="423">
        <v>0.2103847981963661</v>
      </c>
      <c r="F10040" s="423">
        <v>1.9327017252262591E-2</v>
      </c>
      <c r="G10040" s="422">
        <v>412.6704654565325</v>
      </c>
      <c r="H10040" s="417" t="s">
        <v>2616</v>
      </c>
      <c r="I10040" s="417" t="s">
        <v>1392</v>
      </c>
      <c r="J10040" s="417" t="s">
        <v>20833</v>
      </c>
      <c r="K10040" s="417" t="s">
        <v>22525</v>
      </c>
      <c r="L10040" s="417"/>
      <c r="M10040" s="417" t="s">
        <v>28840</v>
      </c>
    </row>
    <row r="10041" spans="1:13" x14ac:dyDescent="0.25">
      <c r="A10041" s="417" t="s">
        <v>3385</v>
      </c>
      <c r="B10041" s="417" t="s">
        <v>2437</v>
      </c>
      <c r="C10041" s="417" t="s">
        <v>22526</v>
      </c>
      <c r="D10041" s="417" t="s">
        <v>3936</v>
      </c>
      <c r="E10041" s="423">
        <v>0.19780507855723459</v>
      </c>
      <c r="F10041" s="423">
        <v>1.3640603249032501E-2</v>
      </c>
      <c r="G10041" s="422">
        <v>375.27434334449862</v>
      </c>
      <c r="H10041" s="417" t="s">
        <v>2616</v>
      </c>
      <c r="I10041" s="417" t="s">
        <v>1392</v>
      </c>
      <c r="J10041" s="417" t="s">
        <v>20833</v>
      </c>
      <c r="K10041" s="417" t="s">
        <v>22527</v>
      </c>
      <c r="L10041" s="417"/>
      <c r="M10041" s="417" t="s">
        <v>28840</v>
      </c>
    </row>
    <row r="10042" spans="1:13" x14ac:dyDescent="0.25">
      <c r="A10042" s="417" t="s">
        <v>3385</v>
      </c>
      <c r="B10042" s="417" t="s">
        <v>2437</v>
      </c>
      <c r="C10042" s="417" t="s">
        <v>22528</v>
      </c>
      <c r="D10042" s="417" t="s">
        <v>3936</v>
      </c>
      <c r="E10042" s="423">
        <v>0.19721763087925531</v>
      </c>
      <c r="F10042" s="423">
        <v>1.8803504190867161E-2</v>
      </c>
      <c r="G10042" s="422">
        <v>385.46295389547322</v>
      </c>
      <c r="H10042" s="417" t="s">
        <v>2616</v>
      </c>
      <c r="I10042" s="417" t="s">
        <v>1392</v>
      </c>
      <c r="J10042" s="417" t="s">
        <v>20833</v>
      </c>
      <c r="K10042" s="417" t="s">
        <v>22529</v>
      </c>
      <c r="L10042" s="417"/>
      <c r="M10042" s="417" t="s">
        <v>28840</v>
      </c>
    </row>
    <row r="10043" spans="1:13" x14ac:dyDescent="0.25">
      <c r="A10043" s="417" t="s">
        <v>3385</v>
      </c>
      <c r="B10043" s="417" t="s">
        <v>2437</v>
      </c>
      <c r="C10043" s="417" t="s">
        <v>22530</v>
      </c>
      <c r="D10043" s="417" t="s">
        <v>3936</v>
      </c>
      <c r="E10043" s="423">
        <v>0.19540574022091839</v>
      </c>
      <c r="F10043" s="423">
        <v>1.346797761213544E-2</v>
      </c>
      <c r="G10043" s="422">
        <v>364.64776797987088</v>
      </c>
      <c r="H10043" s="417" t="s">
        <v>2616</v>
      </c>
      <c r="I10043" s="417" t="s">
        <v>1392</v>
      </c>
      <c r="J10043" s="417" t="s">
        <v>20833</v>
      </c>
      <c r="K10043" s="417" t="s">
        <v>22531</v>
      </c>
      <c r="L10043" s="417"/>
      <c r="M10043" s="417" t="s">
        <v>28840</v>
      </c>
    </row>
    <row r="10044" spans="1:13" x14ac:dyDescent="0.25">
      <c r="A10044" s="417" t="s">
        <v>3385</v>
      </c>
      <c r="B10044" s="417" t="s">
        <v>2437</v>
      </c>
      <c r="C10044" s="417" t="s">
        <v>22532</v>
      </c>
      <c r="D10044" s="417" t="s">
        <v>3936</v>
      </c>
      <c r="E10044" s="423">
        <v>0.1955991655724463</v>
      </c>
      <c r="F10044" s="423">
        <v>1.8542691143180759E-2</v>
      </c>
      <c r="G10044" s="422">
        <v>375.43199005338067</v>
      </c>
      <c r="H10044" s="417" t="s">
        <v>2616</v>
      </c>
      <c r="I10044" s="417" t="s">
        <v>1392</v>
      </c>
      <c r="J10044" s="417" t="s">
        <v>20833</v>
      </c>
      <c r="K10044" s="417" t="s">
        <v>22533</v>
      </c>
      <c r="L10044" s="417"/>
      <c r="M10044" s="417" t="s">
        <v>28840</v>
      </c>
    </row>
    <row r="10045" spans="1:13" x14ac:dyDescent="0.25">
      <c r="A10045" s="417" t="s">
        <v>3385</v>
      </c>
      <c r="B10045" s="417" t="s">
        <v>2437</v>
      </c>
      <c r="C10045" s="417" t="s">
        <v>22534</v>
      </c>
      <c r="D10045" s="417" t="s">
        <v>3936</v>
      </c>
      <c r="E10045" s="423">
        <v>0.19147763784503019</v>
      </c>
      <c r="F10045" s="423">
        <v>1.319334346712777E-2</v>
      </c>
      <c r="G10045" s="422">
        <v>358.06711900690658</v>
      </c>
      <c r="H10045" s="417" t="s">
        <v>2616</v>
      </c>
      <c r="I10045" s="417" t="s">
        <v>1392</v>
      </c>
      <c r="J10045" s="417" t="s">
        <v>20833</v>
      </c>
      <c r="K10045" s="417" t="s">
        <v>22535</v>
      </c>
      <c r="L10045" s="417"/>
      <c r="M10045" s="417" t="s">
        <v>28840</v>
      </c>
    </row>
    <row r="10046" spans="1:13" x14ac:dyDescent="0.25">
      <c r="A10046" s="417" t="s">
        <v>3385</v>
      </c>
      <c r="B10046" s="417" t="s">
        <v>2437</v>
      </c>
      <c r="C10046" s="417" t="s">
        <v>22536</v>
      </c>
      <c r="D10046" s="417" t="s">
        <v>3936</v>
      </c>
      <c r="E10046" s="423">
        <v>0.19134237272220569</v>
      </c>
      <c r="F10046" s="423">
        <v>1.813577588615476E-2</v>
      </c>
      <c r="G10046" s="422">
        <v>368.2447582888019</v>
      </c>
      <c r="H10046" s="417" t="s">
        <v>2616</v>
      </c>
      <c r="I10046" s="417" t="s">
        <v>1392</v>
      </c>
      <c r="J10046" s="417" t="s">
        <v>20833</v>
      </c>
      <c r="K10046" s="417" t="s">
        <v>22537</v>
      </c>
      <c r="L10046" s="417"/>
      <c r="M10046" s="417" t="s">
        <v>28840</v>
      </c>
    </row>
    <row r="10047" spans="1:13" x14ac:dyDescent="0.25">
      <c r="A10047" s="417" t="s">
        <v>3385</v>
      </c>
      <c r="B10047" s="417" t="s">
        <v>2437</v>
      </c>
      <c r="C10047" s="417" t="s">
        <v>22538</v>
      </c>
      <c r="D10047" s="417" t="s">
        <v>3936</v>
      </c>
      <c r="E10047" s="423">
        <v>0.22292701377313551</v>
      </c>
      <c r="F10047" s="423">
        <v>1.5432313559181191E-2</v>
      </c>
      <c r="G10047" s="422">
        <v>382.32678677200761</v>
      </c>
      <c r="H10047" s="417" t="s">
        <v>2616</v>
      </c>
      <c r="I10047" s="417" t="s">
        <v>1392</v>
      </c>
      <c r="J10047" s="417" t="s">
        <v>20833</v>
      </c>
      <c r="K10047" s="417" t="s">
        <v>22539</v>
      </c>
      <c r="L10047" s="417"/>
      <c r="M10047" s="417" t="s">
        <v>28840</v>
      </c>
    </row>
    <row r="10048" spans="1:13" x14ac:dyDescent="0.25">
      <c r="A10048" s="417" t="s">
        <v>3385</v>
      </c>
      <c r="B10048" s="417" t="s">
        <v>2437</v>
      </c>
      <c r="C10048" s="417" t="s">
        <v>22540</v>
      </c>
      <c r="D10048" s="417" t="s">
        <v>3936</v>
      </c>
      <c r="E10048" s="423">
        <v>0.22362968855644069</v>
      </c>
      <c r="F10048" s="423">
        <v>2.171558834473369E-2</v>
      </c>
      <c r="G10048" s="422">
        <v>442.62021321661621</v>
      </c>
      <c r="H10048" s="417" t="s">
        <v>2616</v>
      </c>
      <c r="I10048" s="417" t="s">
        <v>1392</v>
      </c>
      <c r="J10048" s="417" t="s">
        <v>20833</v>
      </c>
      <c r="K10048" s="417" t="s">
        <v>22541</v>
      </c>
      <c r="L10048" s="417"/>
      <c r="M10048" s="417" t="s">
        <v>28840</v>
      </c>
    </row>
    <row r="10049" spans="1:13" x14ac:dyDescent="0.25">
      <c r="A10049" s="417" t="s">
        <v>3385</v>
      </c>
      <c r="B10049" s="417" t="s">
        <v>2437</v>
      </c>
      <c r="C10049" s="417" t="s">
        <v>22542</v>
      </c>
      <c r="D10049" s="417" t="s">
        <v>3936</v>
      </c>
      <c r="E10049" s="423">
        <v>0.2125892174689791</v>
      </c>
      <c r="F10049" s="423">
        <v>1.465918715735539E-2</v>
      </c>
      <c r="G10049" s="422">
        <v>364.53862257253428</v>
      </c>
      <c r="H10049" s="417" t="s">
        <v>2616</v>
      </c>
      <c r="I10049" s="417" t="s">
        <v>1392</v>
      </c>
      <c r="J10049" s="417" t="s">
        <v>20833</v>
      </c>
      <c r="K10049" s="417" t="s">
        <v>22543</v>
      </c>
      <c r="L10049" s="417"/>
      <c r="M10049" s="417" t="s">
        <v>28840</v>
      </c>
    </row>
    <row r="10050" spans="1:13" x14ac:dyDescent="0.25">
      <c r="A10050" s="417" t="s">
        <v>3385</v>
      </c>
      <c r="B10050" s="417" t="s">
        <v>2437</v>
      </c>
      <c r="C10050" s="417" t="s">
        <v>22544</v>
      </c>
      <c r="D10050" s="417" t="s">
        <v>3936</v>
      </c>
      <c r="E10050" s="423">
        <v>0.21324421078924541</v>
      </c>
      <c r="F10050" s="423">
        <v>2.05456186029019E-2</v>
      </c>
      <c r="G10050" s="422">
        <v>405.01549761274867</v>
      </c>
      <c r="H10050" s="417" t="s">
        <v>2616</v>
      </c>
      <c r="I10050" s="417" t="s">
        <v>1392</v>
      </c>
      <c r="J10050" s="417" t="s">
        <v>20833</v>
      </c>
      <c r="K10050" s="417" t="s">
        <v>22545</v>
      </c>
      <c r="L10050" s="417"/>
      <c r="M10050" s="417" t="s">
        <v>28840</v>
      </c>
    </row>
    <row r="10051" spans="1:13" x14ac:dyDescent="0.25">
      <c r="A10051" s="417" t="s">
        <v>3385</v>
      </c>
      <c r="B10051" s="417" t="s">
        <v>2437</v>
      </c>
      <c r="C10051" s="417" t="s">
        <v>22546</v>
      </c>
      <c r="D10051" s="417" t="s">
        <v>3936</v>
      </c>
      <c r="E10051" s="423">
        <v>0.19974056635211421</v>
      </c>
      <c r="F10051" s="423">
        <v>1.372633121977191E-2</v>
      </c>
      <c r="G10051" s="422">
        <v>346.96299106275808</v>
      </c>
      <c r="H10051" s="417" t="s">
        <v>2616</v>
      </c>
      <c r="I10051" s="417" t="s">
        <v>1392</v>
      </c>
      <c r="J10051" s="417" t="s">
        <v>20833</v>
      </c>
      <c r="K10051" s="417" t="s">
        <v>22547</v>
      </c>
      <c r="L10051" s="417"/>
      <c r="M10051" s="417" t="s">
        <v>28840</v>
      </c>
    </row>
    <row r="10052" spans="1:13" x14ac:dyDescent="0.25">
      <c r="A10052" s="417" t="s">
        <v>3385</v>
      </c>
      <c r="B10052" s="417" t="s">
        <v>2437</v>
      </c>
      <c r="C10052" s="417" t="s">
        <v>22548</v>
      </c>
      <c r="D10052" s="417" t="s">
        <v>3936</v>
      </c>
      <c r="E10052" s="423">
        <v>0.2008779585647944</v>
      </c>
      <c r="F10052" s="423">
        <v>1.9153794388105799E-2</v>
      </c>
      <c r="G10052" s="422">
        <v>384.17165408854169</v>
      </c>
      <c r="H10052" s="417" t="s">
        <v>2616</v>
      </c>
      <c r="I10052" s="417" t="s">
        <v>1392</v>
      </c>
      <c r="J10052" s="417" t="s">
        <v>20833</v>
      </c>
      <c r="K10052" s="417" t="s">
        <v>22549</v>
      </c>
      <c r="L10052" s="417"/>
      <c r="M10052" s="417" t="s">
        <v>28840</v>
      </c>
    </row>
    <row r="10053" spans="1:13" x14ac:dyDescent="0.25">
      <c r="A10053" s="417" t="s">
        <v>3385</v>
      </c>
      <c r="B10053" s="417" t="s">
        <v>2437</v>
      </c>
      <c r="C10053" s="417" t="s">
        <v>22550</v>
      </c>
      <c r="D10053" s="417" t="s">
        <v>3936</v>
      </c>
      <c r="E10053" s="423">
        <v>0.19467502145440341</v>
      </c>
      <c r="F10053" s="423">
        <v>1.332699848940151E-2</v>
      </c>
      <c r="G10053" s="422">
        <v>341.55676025347958</v>
      </c>
      <c r="H10053" s="417" t="s">
        <v>2616</v>
      </c>
      <c r="I10053" s="417" t="s">
        <v>1392</v>
      </c>
      <c r="J10053" s="417" t="s">
        <v>20833</v>
      </c>
      <c r="K10053" s="417" t="s">
        <v>22551</v>
      </c>
      <c r="L10053" s="417"/>
      <c r="M10053" s="417" t="s">
        <v>28840</v>
      </c>
    </row>
    <row r="10054" spans="1:13" x14ac:dyDescent="0.25">
      <c r="A10054" s="417" t="s">
        <v>3385</v>
      </c>
      <c r="B10054" s="417" t="s">
        <v>2437</v>
      </c>
      <c r="C10054" s="417" t="s">
        <v>22552</v>
      </c>
      <c r="D10054" s="417" t="s">
        <v>3936</v>
      </c>
      <c r="E10054" s="423">
        <v>0.19695630270102679</v>
      </c>
      <c r="F10054" s="423">
        <v>1.8552024370140911E-2</v>
      </c>
      <c r="G10054" s="422">
        <v>383.06438399385121</v>
      </c>
      <c r="H10054" s="417" t="s">
        <v>2616</v>
      </c>
      <c r="I10054" s="417" t="s">
        <v>1392</v>
      </c>
      <c r="J10054" s="417" t="s">
        <v>20833</v>
      </c>
      <c r="K10054" s="417" t="s">
        <v>22553</v>
      </c>
      <c r="L10054" s="417"/>
      <c r="M10054" s="417" t="s">
        <v>28840</v>
      </c>
    </row>
    <row r="10055" spans="1:13" x14ac:dyDescent="0.25">
      <c r="A10055" s="417" t="s">
        <v>3385</v>
      </c>
      <c r="B10055" s="417" t="s">
        <v>2437</v>
      </c>
      <c r="C10055" s="417" t="s">
        <v>22554</v>
      </c>
      <c r="D10055" s="417" t="s">
        <v>3936</v>
      </c>
      <c r="E10055" s="423">
        <v>0.1833275691427704</v>
      </c>
      <c r="F10055" s="423">
        <v>1.306912784158569E-2</v>
      </c>
      <c r="G10055" s="422">
        <v>326.84637223165652</v>
      </c>
      <c r="H10055" s="417" t="s">
        <v>2616</v>
      </c>
      <c r="I10055" s="417" t="s">
        <v>1392</v>
      </c>
      <c r="J10055" s="417" t="s">
        <v>20833</v>
      </c>
      <c r="K10055" s="417" t="s">
        <v>22555</v>
      </c>
      <c r="L10055" s="417"/>
      <c r="M10055" s="417" t="s">
        <v>28840</v>
      </c>
    </row>
    <row r="10056" spans="1:13" x14ac:dyDescent="0.25">
      <c r="A10056" s="417" t="s">
        <v>3385</v>
      </c>
      <c r="B10056" s="417" t="s">
        <v>2437</v>
      </c>
      <c r="C10056" s="417" t="s">
        <v>22556</v>
      </c>
      <c r="D10056" s="417" t="s">
        <v>3936</v>
      </c>
      <c r="E10056" s="423">
        <v>0.185187818149841</v>
      </c>
      <c r="F10056" s="423">
        <v>1.8151872608738701E-2</v>
      </c>
      <c r="G10056" s="422">
        <v>358.22325146256082</v>
      </c>
      <c r="H10056" s="417" t="s">
        <v>2616</v>
      </c>
      <c r="I10056" s="417" t="s">
        <v>1392</v>
      </c>
      <c r="J10056" s="417" t="s">
        <v>20833</v>
      </c>
      <c r="K10056" s="417" t="s">
        <v>22557</v>
      </c>
      <c r="L10056" s="417"/>
      <c r="M10056" s="417" t="s">
        <v>28840</v>
      </c>
    </row>
    <row r="10057" spans="1:13" x14ac:dyDescent="0.25">
      <c r="A10057" s="417" t="s">
        <v>3385</v>
      </c>
      <c r="B10057" s="417" t="s">
        <v>2437</v>
      </c>
      <c r="C10057" s="417" t="s">
        <v>22558</v>
      </c>
      <c r="D10057" s="417" t="s">
        <v>3936</v>
      </c>
      <c r="E10057" s="423">
        <v>0.18177940838593681</v>
      </c>
      <c r="F10057" s="423">
        <v>1.2954510867919E-2</v>
      </c>
      <c r="G10057" s="422">
        <v>323.43564571278603</v>
      </c>
      <c r="H10057" s="417" t="s">
        <v>2616</v>
      </c>
      <c r="I10057" s="417" t="s">
        <v>1392</v>
      </c>
      <c r="J10057" s="417" t="s">
        <v>20833</v>
      </c>
      <c r="K10057" s="417" t="s">
        <v>22559</v>
      </c>
      <c r="L10057" s="417"/>
      <c r="M10057" s="417" t="s">
        <v>28840</v>
      </c>
    </row>
    <row r="10058" spans="1:13" x14ac:dyDescent="0.25">
      <c r="A10058" s="417" t="s">
        <v>3385</v>
      </c>
      <c r="B10058" s="417" t="s">
        <v>2437</v>
      </c>
      <c r="C10058" s="417" t="s">
        <v>22560</v>
      </c>
      <c r="D10058" s="417" t="s">
        <v>3936</v>
      </c>
      <c r="E10058" s="423">
        <v>0.1837701076335328</v>
      </c>
      <c r="F10058" s="423">
        <v>1.7975130696621711E-2</v>
      </c>
      <c r="G10058" s="422">
        <v>348.91257227174037</v>
      </c>
      <c r="H10058" s="417" t="s">
        <v>2616</v>
      </c>
      <c r="I10058" s="417" t="s">
        <v>1392</v>
      </c>
      <c r="J10058" s="417" t="s">
        <v>20833</v>
      </c>
      <c r="K10058" s="417" t="s">
        <v>22561</v>
      </c>
      <c r="L10058" s="417"/>
      <c r="M10058" s="417" t="s">
        <v>28840</v>
      </c>
    </row>
    <row r="10059" spans="1:13" x14ac:dyDescent="0.25">
      <c r="A10059" s="417" t="s">
        <v>3385</v>
      </c>
      <c r="B10059" s="417" t="s">
        <v>2437</v>
      </c>
      <c r="C10059" s="417" t="s">
        <v>22562</v>
      </c>
      <c r="D10059" s="417" t="s">
        <v>3936</v>
      </c>
      <c r="E10059" s="423">
        <v>0.18009097731460069</v>
      </c>
      <c r="F10059" s="423">
        <v>1.283342810566407E-2</v>
      </c>
      <c r="G10059" s="422">
        <v>320.92035105685522</v>
      </c>
      <c r="H10059" s="417" t="s">
        <v>2616</v>
      </c>
      <c r="I10059" s="417" t="s">
        <v>1392</v>
      </c>
      <c r="J10059" s="417" t="s">
        <v>20833</v>
      </c>
      <c r="K10059" s="417" t="s">
        <v>22563</v>
      </c>
      <c r="L10059" s="417"/>
      <c r="M10059" s="417" t="s">
        <v>28840</v>
      </c>
    </row>
    <row r="10060" spans="1:13" x14ac:dyDescent="0.25">
      <c r="A10060" s="417" t="s">
        <v>3385</v>
      </c>
      <c r="B10060" s="417" t="s">
        <v>2437</v>
      </c>
      <c r="C10060" s="417" t="s">
        <v>22564</v>
      </c>
      <c r="D10060" s="417" t="s">
        <v>3936</v>
      </c>
      <c r="E10060" s="423">
        <v>0.1820259258021952</v>
      </c>
      <c r="F10060" s="423">
        <v>1.7838429693463151E-2</v>
      </c>
      <c r="G10060" s="422">
        <v>345.46683684893509</v>
      </c>
      <c r="H10060" s="417" t="s">
        <v>2616</v>
      </c>
      <c r="I10060" s="417" t="s">
        <v>1392</v>
      </c>
      <c r="J10060" s="417" t="s">
        <v>20833</v>
      </c>
      <c r="K10060" s="417" t="s">
        <v>22565</v>
      </c>
      <c r="L10060" s="417"/>
      <c r="M10060" s="417" t="s">
        <v>28840</v>
      </c>
    </row>
    <row r="10061" spans="1:13" x14ac:dyDescent="0.25">
      <c r="A10061" s="417" t="s">
        <v>3385</v>
      </c>
      <c r="B10061" s="417" t="s">
        <v>2437</v>
      </c>
      <c r="C10061" s="417" t="s">
        <v>22566</v>
      </c>
      <c r="D10061" s="417" t="s">
        <v>3936</v>
      </c>
      <c r="E10061" s="423">
        <v>0.31289824905496211</v>
      </c>
      <c r="F10061" s="423">
        <v>2.1340705387164351E-2</v>
      </c>
      <c r="G10061" s="422">
        <v>552.14077365038952</v>
      </c>
      <c r="H10061" s="417" t="s">
        <v>2616</v>
      </c>
      <c r="I10061" s="417" t="s">
        <v>1392</v>
      </c>
      <c r="J10061" s="417" t="s">
        <v>20833</v>
      </c>
      <c r="K10061" s="417" t="s">
        <v>22567</v>
      </c>
      <c r="L10061" s="417"/>
      <c r="M10061" s="417" t="s">
        <v>28840</v>
      </c>
    </row>
    <row r="10062" spans="1:13" x14ac:dyDescent="0.25">
      <c r="A10062" s="417" t="s">
        <v>3385</v>
      </c>
      <c r="B10062" s="417" t="s">
        <v>2437</v>
      </c>
      <c r="C10062" s="417" t="s">
        <v>22568</v>
      </c>
      <c r="D10062" s="417" t="s">
        <v>3936</v>
      </c>
      <c r="E10062" s="423">
        <v>0.2334787525161478</v>
      </c>
      <c r="F10062" s="423">
        <v>2.2498840975072751E-2</v>
      </c>
      <c r="G10062" s="422">
        <v>438.99035522093681</v>
      </c>
      <c r="H10062" s="417" t="s">
        <v>2616</v>
      </c>
      <c r="I10062" s="417" t="s">
        <v>1392</v>
      </c>
      <c r="J10062" s="417" t="s">
        <v>20833</v>
      </c>
      <c r="K10062" s="417" t="s">
        <v>22569</v>
      </c>
      <c r="L10062" s="417"/>
      <c r="M10062" s="417" t="s">
        <v>28840</v>
      </c>
    </row>
    <row r="10063" spans="1:13" x14ac:dyDescent="0.25">
      <c r="A10063" s="417" t="s">
        <v>3385</v>
      </c>
      <c r="B10063" s="417" t="s">
        <v>2437</v>
      </c>
      <c r="C10063" s="417" t="s">
        <v>22570</v>
      </c>
      <c r="D10063" s="417" t="s">
        <v>3936</v>
      </c>
      <c r="E10063" s="423">
        <v>0.41358497364101732</v>
      </c>
      <c r="F10063" s="423">
        <v>2.841472460418E-2</v>
      </c>
      <c r="G10063" s="422">
        <v>749.02900052719008</v>
      </c>
      <c r="H10063" s="417" t="s">
        <v>2616</v>
      </c>
      <c r="I10063" s="417" t="s">
        <v>1392</v>
      </c>
      <c r="J10063" s="417" t="s">
        <v>20833</v>
      </c>
      <c r="K10063" s="417" t="s">
        <v>22571</v>
      </c>
      <c r="L10063" s="417"/>
      <c r="M10063" s="417" t="s">
        <v>28840</v>
      </c>
    </row>
    <row r="10064" spans="1:13" x14ac:dyDescent="0.25">
      <c r="A10064" s="417" t="s">
        <v>3385</v>
      </c>
      <c r="B10064" s="417" t="s">
        <v>2437</v>
      </c>
      <c r="C10064" s="417" t="s">
        <v>22572</v>
      </c>
      <c r="D10064" s="417" t="s">
        <v>3936</v>
      </c>
      <c r="E10064" s="423">
        <v>0.41390485671136429</v>
      </c>
      <c r="F10064" s="423">
        <v>4.0711093710307671E-2</v>
      </c>
      <c r="G10064" s="422">
        <v>774.97274132892119</v>
      </c>
      <c r="H10064" s="417" t="s">
        <v>2616</v>
      </c>
      <c r="I10064" s="417" t="s">
        <v>1392</v>
      </c>
      <c r="J10064" s="417" t="s">
        <v>20833</v>
      </c>
      <c r="K10064" s="417" t="s">
        <v>22573</v>
      </c>
      <c r="L10064" s="417"/>
      <c r="M10064" s="417" t="s">
        <v>28840</v>
      </c>
    </row>
    <row r="10065" spans="1:13" x14ac:dyDescent="0.25">
      <c r="A10065" s="417" t="s">
        <v>3385</v>
      </c>
      <c r="B10065" s="417" t="s">
        <v>2437</v>
      </c>
      <c r="C10065" s="417" t="s">
        <v>22574</v>
      </c>
      <c r="D10065" s="417" t="s">
        <v>3936</v>
      </c>
      <c r="E10065" s="423">
        <v>0.39140776468289917</v>
      </c>
      <c r="F10065" s="423">
        <v>2.6757200770368299E-2</v>
      </c>
      <c r="G10065" s="422">
        <v>675.33648347316318</v>
      </c>
      <c r="H10065" s="417" t="s">
        <v>2616</v>
      </c>
      <c r="I10065" s="417" t="s">
        <v>1392</v>
      </c>
      <c r="J10065" s="417" t="s">
        <v>20833</v>
      </c>
      <c r="K10065" s="417" t="s">
        <v>22575</v>
      </c>
      <c r="L10065" s="417"/>
      <c r="M10065" s="417" t="s">
        <v>28840</v>
      </c>
    </row>
    <row r="10066" spans="1:13" x14ac:dyDescent="0.25">
      <c r="A10066" s="417" t="s">
        <v>3385</v>
      </c>
      <c r="B10066" s="417" t="s">
        <v>2437</v>
      </c>
      <c r="C10066" s="417" t="s">
        <v>22576</v>
      </c>
      <c r="D10066" s="417" t="s">
        <v>3936</v>
      </c>
      <c r="E10066" s="423">
        <v>0.39094275364835951</v>
      </c>
      <c r="F10066" s="423">
        <v>3.8167758255333702E-2</v>
      </c>
      <c r="G10066" s="422">
        <v>698.78186829859078</v>
      </c>
      <c r="H10066" s="417" t="s">
        <v>2616</v>
      </c>
      <c r="I10066" s="417" t="s">
        <v>1392</v>
      </c>
      <c r="J10066" s="417" t="s">
        <v>20833</v>
      </c>
      <c r="K10066" s="417" t="s">
        <v>22577</v>
      </c>
      <c r="L10066" s="417"/>
      <c r="M10066" s="417" t="s">
        <v>28840</v>
      </c>
    </row>
    <row r="10067" spans="1:13" x14ac:dyDescent="0.25">
      <c r="A10067" s="417" t="s">
        <v>3385</v>
      </c>
      <c r="B10067" s="417" t="s">
        <v>2437</v>
      </c>
      <c r="C10067" s="417" t="s">
        <v>22578</v>
      </c>
      <c r="D10067" s="417" t="s">
        <v>3936</v>
      </c>
      <c r="E10067" s="423">
        <v>0.36936851033580631</v>
      </c>
      <c r="F10067" s="423">
        <v>2.5122044533970211E-2</v>
      </c>
      <c r="G10067" s="422">
        <v>640.14295722270424</v>
      </c>
      <c r="H10067" s="417" t="s">
        <v>2616</v>
      </c>
      <c r="I10067" s="417" t="s">
        <v>1392</v>
      </c>
      <c r="J10067" s="417" t="s">
        <v>20833</v>
      </c>
      <c r="K10067" s="417" t="s">
        <v>22579</v>
      </c>
      <c r="L10067" s="417"/>
      <c r="M10067" s="417" t="s">
        <v>28840</v>
      </c>
    </row>
    <row r="10068" spans="1:13" x14ac:dyDescent="0.25">
      <c r="A10068" s="417" t="s">
        <v>3385</v>
      </c>
      <c r="B10068" s="417" t="s">
        <v>2437</v>
      </c>
      <c r="C10068" s="417" t="s">
        <v>22580</v>
      </c>
      <c r="D10068" s="417" t="s">
        <v>3936</v>
      </c>
      <c r="E10068" s="423">
        <v>0.36893135656684217</v>
      </c>
      <c r="F10068" s="423">
        <v>3.5738915340733167E-2</v>
      </c>
      <c r="G10068" s="422">
        <v>661.93024511817566</v>
      </c>
      <c r="H10068" s="417" t="s">
        <v>2616</v>
      </c>
      <c r="I10068" s="417" t="s">
        <v>1392</v>
      </c>
      <c r="J10068" s="417" t="s">
        <v>20833</v>
      </c>
      <c r="K10068" s="417" t="s">
        <v>22581</v>
      </c>
      <c r="L10068" s="417"/>
      <c r="M10068" s="417" t="s">
        <v>28840</v>
      </c>
    </row>
    <row r="10069" spans="1:13" x14ac:dyDescent="0.25">
      <c r="A10069" s="417" t="s">
        <v>3385</v>
      </c>
      <c r="B10069" s="417" t="s">
        <v>2437</v>
      </c>
      <c r="C10069" s="417" t="s">
        <v>22582</v>
      </c>
      <c r="D10069" s="417" t="s">
        <v>3936</v>
      </c>
      <c r="E10069" s="423">
        <v>0.36492368547113341</v>
      </c>
      <c r="F10069" s="423">
        <v>2.460468547547312E-2</v>
      </c>
      <c r="G10069" s="422">
        <v>643.53331290748486</v>
      </c>
      <c r="H10069" s="417" t="s">
        <v>2616</v>
      </c>
      <c r="I10069" s="417" t="s">
        <v>1392</v>
      </c>
      <c r="J10069" s="417" t="s">
        <v>20833</v>
      </c>
      <c r="K10069" s="417" t="s">
        <v>22583</v>
      </c>
      <c r="L10069" s="417"/>
      <c r="M10069" s="417" t="s">
        <v>28840</v>
      </c>
    </row>
    <row r="10070" spans="1:13" x14ac:dyDescent="0.25">
      <c r="A10070" s="417" t="s">
        <v>3385</v>
      </c>
      <c r="B10070" s="417" t="s">
        <v>2437</v>
      </c>
      <c r="C10070" s="417" t="s">
        <v>22584</v>
      </c>
      <c r="D10070" s="417" t="s">
        <v>3936</v>
      </c>
      <c r="E10070" s="423">
        <v>0.36482915076218031</v>
      </c>
      <c r="F10070" s="423">
        <v>3.4956994054738788E-2</v>
      </c>
      <c r="G10070" s="422">
        <v>665.1074356762557</v>
      </c>
      <c r="H10070" s="417" t="s">
        <v>2616</v>
      </c>
      <c r="I10070" s="417" t="s">
        <v>1392</v>
      </c>
      <c r="J10070" s="417" t="s">
        <v>20833</v>
      </c>
      <c r="K10070" s="417" t="s">
        <v>22585</v>
      </c>
      <c r="L10070" s="417"/>
      <c r="M10070" s="417" t="s">
        <v>28840</v>
      </c>
    </row>
    <row r="10071" spans="1:13" x14ac:dyDescent="0.25">
      <c r="A10071" s="417" t="s">
        <v>3385</v>
      </c>
      <c r="B10071" s="417" t="s">
        <v>2437</v>
      </c>
      <c r="C10071" s="417" t="s">
        <v>22586</v>
      </c>
      <c r="D10071" s="417" t="s">
        <v>3936</v>
      </c>
      <c r="E10071" s="423">
        <v>0.35265465700601623</v>
      </c>
      <c r="F10071" s="423">
        <v>2.4290074778711611E-2</v>
      </c>
      <c r="G10071" s="422">
        <v>607.38473355204644</v>
      </c>
      <c r="H10071" s="417" t="s">
        <v>2616</v>
      </c>
      <c r="I10071" s="417" t="s">
        <v>1392</v>
      </c>
      <c r="J10071" s="417" t="s">
        <v>20833</v>
      </c>
      <c r="K10071" s="417" t="s">
        <v>22587</v>
      </c>
      <c r="L10071" s="417"/>
      <c r="M10071" s="417" t="s">
        <v>28840</v>
      </c>
    </row>
    <row r="10072" spans="1:13" x14ac:dyDescent="0.25">
      <c r="A10072" s="417" t="s">
        <v>3385</v>
      </c>
      <c r="B10072" s="417" t="s">
        <v>2437</v>
      </c>
      <c r="C10072" s="417" t="s">
        <v>22588</v>
      </c>
      <c r="D10072" s="417" t="s">
        <v>3936</v>
      </c>
      <c r="E10072" s="423">
        <v>0.35282505617378052</v>
      </c>
      <c r="F10072" s="423">
        <v>3.4464039777557257E-2</v>
      </c>
      <c r="G10072" s="422">
        <v>628.88426433881023</v>
      </c>
      <c r="H10072" s="417" t="s">
        <v>2616</v>
      </c>
      <c r="I10072" s="417" t="s">
        <v>1392</v>
      </c>
      <c r="J10072" s="417" t="s">
        <v>20833</v>
      </c>
      <c r="K10072" s="417" t="s">
        <v>22589</v>
      </c>
      <c r="L10072" s="417"/>
      <c r="M10072" s="417" t="s">
        <v>28840</v>
      </c>
    </row>
    <row r="10073" spans="1:13" x14ac:dyDescent="0.25">
      <c r="A10073" s="417" t="s">
        <v>3385</v>
      </c>
      <c r="B10073" s="417" t="s">
        <v>2437</v>
      </c>
      <c r="C10073" s="417" t="s">
        <v>22590</v>
      </c>
      <c r="D10073" s="417" t="s">
        <v>3936</v>
      </c>
      <c r="E10073" s="423">
        <v>0.35013824455601472</v>
      </c>
      <c r="F10073" s="423">
        <v>2.4115282377582609E-2</v>
      </c>
      <c r="G10073" s="422">
        <v>589.72926967125136</v>
      </c>
      <c r="H10073" s="417" t="s">
        <v>2616</v>
      </c>
      <c r="I10073" s="417" t="s">
        <v>1392</v>
      </c>
      <c r="J10073" s="417" t="s">
        <v>20833</v>
      </c>
      <c r="K10073" s="417" t="s">
        <v>22591</v>
      </c>
      <c r="L10073" s="417"/>
      <c r="M10073" s="417" t="s">
        <v>28840</v>
      </c>
    </row>
    <row r="10074" spans="1:13" x14ac:dyDescent="0.25">
      <c r="A10074" s="417" t="s">
        <v>3385</v>
      </c>
      <c r="B10074" s="417" t="s">
        <v>2437</v>
      </c>
      <c r="C10074" s="417" t="s">
        <v>22592</v>
      </c>
      <c r="D10074" s="417" t="s">
        <v>3936</v>
      </c>
      <c r="E10074" s="423">
        <v>0.35008951674876598</v>
      </c>
      <c r="F10074" s="423">
        <v>3.4201059967787682E-2</v>
      </c>
      <c r="G10074" s="422">
        <v>610.82429243173533</v>
      </c>
      <c r="H10074" s="417" t="s">
        <v>2616</v>
      </c>
      <c r="I10074" s="417" t="s">
        <v>1392</v>
      </c>
      <c r="J10074" s="417" t="s">
        <v>20833</v>
      </c>
      <c r="K10074" s="417" t="s">
        <v>22593</v>
      </c>
      <c r="L10074" s="417"/>
      <c r="M10074" s="417" t="s">
        <v>28840</v>
      </c>
    </row>
    <row r="10075" spans="1:13" x14ac:dyDescent="0.25">
      <c r="A10075" s="417" t="s">
        <v>3385</v>
      </c>
      <c r="B10075" s="417" t="s">
        <v>2437</v>
      </c>
      <c r="C10075" s="417" t="s">
        <v>22594</v>
      </c>
      <c r="D10075" s="417" t="s">
        <v>3936</v>
      </c>
      <c r="E10075" s="423">
        <v>0.34562235285984738</v>
      </c>
      <c r="F10075" s="423">
        <v>2.3781731120512909E-2</v>
      </c>
      <c r="G10075" s="422">
        <v>581.81537119998825</v>
      </c>
      <c r="H10075" s="417" t="s">
        <v>2616</v>
      </c>
      <c r="I10075" s="417" t="s">
        <v>1392</v>
      </c>
      <c r="J10075" s="417" t="s">
        <v>20833</v>
      </c>
      <c r="K10075" s="417" t="s">
        <v>22595</v>
      </c>
      <c r="L10075" s="417"/>
      <c r="M10075" s="417" t="s">
        <v>28840</v>
      </c>
    </row>
    <row r="10076" spans="1:13" x14ac:dyDescent="0.25">
      <c r="A10076" s="417" t="s">
        <v>3385</v>
      </c>
      <c r="B10076" s="417" t="s">
        <v>2437</v>
      </c>
      <c r="C10076" s="417" t="s">
        <v>22596</v>
      </c>
      <c r="D10076" s="417" t="s">
        <v>3936</v>
      </c>
      <c r="E10076" s="423">
        <v>0.34513537114182302</v>
      </c>
      <c r="F10076" s="423">
        <v>3.3691133893264537E-2</v>
      </c>
      <c r="G10076" s="422">
        <v>602.10161601977211</v>
      </c>
      <c r="H10076" s="417" t="s">
        <v>2616</v>
      </c>
      <c r="I10076" s="417" t="s">
        <v>1392</v>
      </c>
      <c r="J10076" s="417" t="s">
        <v>20833</v>
      </c>
      <c r="K10076" s="417" t="s">
        <v>22597</v>
      </c>
      <c r="L10076" s="417"/>
      <c r="M10076" s="417" t="s">
        <v>28840</v>
      </c>
    </row>
    <row r="10077" spans="1:13" x14ac:dyDescent="0.25">
      <c r="A10077" s="417" t="s">
        <v>3385</v>
      </c>
      <c r="B10077" s="417" t="s">
        <v>2437</v>
      </c>
      <c r="C10077" s="417" t="s">
        <v>22598</v>
      </c>
      <c r="D10077" s="417" t="s">
        <v>3936</v>
      </c>
      <c r="E10077" s="423">
        <v>0.38197888426871568</v>
      </c>
      <c r="F10077" s="423">
        <v>2.6484176794213349E-2</v>
      </c>
      <c r="G10077" s="422">
        <v>692.36767090223998</v>
      </c>
      <c r="H10077" s="417" t="s">
        <v>2616</v>
      </c>
      <c r="I10077" s="417" t="s">
        <v>1392</v>
      </c>
      <c r="J10077" s="417" t="s">
        <v>20833</v>
      </c>
      <c r="K10077" s="417" t="s">
        <v>22599</v>
      </c>
      <c r="L10077" s="417"/>
      <c r="M10077" s="417" t="s">
        <v>28840</v>
      </c>
    </row>
    <row r="10078" spans="1:13" x14ac:dyDescent="0.25">
      <c r="A10078" s="417" t="s">
        <v>3385</v>
      </c>
      <c r="B10078" s="417" t="s">
        <v>2437</v>
      </c>
      <c r="C10078" s="417" t="s">
        <v>22600</v>
      </c>
      <c r="D10078" s="417" t="s">
        <v>3936</v>
      </c>
      <c r="E10078" s="423">
        <v>0.38154575154226061</v>
      </c>
      <c r="F10078" s="423">
        <v>3.8075046628084253E-2</v>
      </c>
      <c r="G10078" s="422">
        <v>716.07990388386304</v>
      </c>
      <c r="H10078" s="417" t="s">
        <v>2616</v>
      </c>
      <c r="I10078" s="417" t="s">
        <v>1392</v>
      </c>
      <c r="J10078" s="417" t="s">
        <v>20833</v>
      </c>
      <c r="K10078" s="417" t="s">
        <v>22601</v>
      </c>
      <c r="L10078" s="417"/>
      <c r="M10078" s="417" t="s">
        <v>28840</v>
      </c>
    </row>
    <row r="10079" spans="1:13" x14ac:dyDescent="0.25">
      <c r="A10079" s="417" t="s">
        <v>3385</v>
      </c>
      <c r="B10079" s="417" t="s">
        <v>2437</v>
      </c>
      <c r="C10079" s="417" t="s">
        <v>22602</v>
      </c>
      <c r="D10079" s="417" t="s">
        <v>3936</v>
      </c>
      <c r="E10079" s="423">
        <v>0.35188207593804122</v>
      </c>
      <c r="F10079" s="423">
        <v>2.4232576085209678E-2</v>
      </c>
      <c r="G10079" s="422">
        <v>609.46577388648575</v>
      </c>
      <c r="H10079" s="417" t="s">
        <v>2616</v>
      </c>
      <c r="I10079" s="417" t="s">
        <v>1392</v>
      </c>
      <c r="J10079" s="417" t="s">
        <v>20833</v>
      </c>
      <c r="K10079" s="417" t="s">
        <v>22603</v>
      </c>
      <c r="L10079" s="417"/>
      <c r="M10079" s="417" t="s">
        <v>28840</v>
      </c>
    </row>
    <row r="10080" spans="1:13" x14ac:dyDescent="0.25">
      <c r="A10080" s="417" t="s">
        <v>3385</v>
      </c>
      <c r="B10080" s="417" t="s">
        <v>2437</v>
      </c>
      <c r="C10080" s="417" t="s">
        <v>22604</v>
      </c>
      <c r="D10080" s="417" t="s">
        <v>3936</v>
      </c>
      <c r="E10080" s="423">
        <v>0.35189710471618291</v>
      </c>
      <c r="F10080" s="423">
        <v>3.4578978370887199E-2</v>
      </c>
      <c r="G10080" s="422">
        <v>631.2590113878997</v>
      </c>
      <c r="H10080" s="417" t="s">
        <v>2616</v>
      </c>
      <c r="I10080" s="417" t="s">
        <v>1392</v>
      </c>
      <c r="J10080" s="417" t="s">
        <v>20833</v>
      </c>
      <c r="K10080" s="417" t="s">
        <v>22605</v>
      </c>
      <c r="L10080" s="417"/>
      <c r="M10080" s="417" t="s">
        <v>28840</v>
      </c>
    </row>
    <row r="10081" spans="1:13" x14ac:dyDescent="0.25">
      <c r="A10081" s="417" t="s">
        <v>3385</v>
      </c>
      <c r="B10081" s="417" t="s">
        <v>2437</v>
      </c>
      <c r="C10081" s="417" t="s">
        <v>22606</v>
      </c>
      <c r="D10081" s="417" t="s">
        <v>3936</v>
      </c>
      <c r="E10081" s="423">
        <v>0.3220619506648294</v>
      </c>
      <c r="F10081" s="423">
        <v>2.201185093976538E-2</v>
      </c>
      <c r="G10081" s="422">
        <v>563.43312480549923</v>
      </c>
      <c r="H10081" s="417" t="s">
        <v>2616</v>
      </c>
      <c r="I10081" s="417" t="s">
        <v>1392</v>
      </c>
      <c r="J10081" s="417" t="s">
        <v>20833</v>
      </c>
      <c r="K10081" s="417" t="s">
        <v>22607</v>
      </c>
      <c r="L10081" s="417"/>
      <c r="M10081" s="417" t="s">
        <v>28840</v>
      </c>
    </row>
    <row r="10082" spans="1:13" x14ac:dyDescent="0.25">
      <c r="A10082" s="417" t="s">
        <v>3385</v>
      </c>
      <c r="B10082" s="417" t="s">
        <v>2437</v>
      </c>
      <c r="C10082" s="417" t="s">
        <v>22608</v>
      </c>
      <c r="D10082" s="417" t="s">
        <v>3936</v>
      </c>
      <c r="E10082" s="423">
        <v>0.32233789226834503</v>
      </c>
      <c r="F10082" s="423">
        <v>3.1305910614929322E-2</v>
      </c>
      <c r="G10082" s="422">
        <v>583.15458540883537</v>
      </c>
      <c r="H10082" s="417" t="s">
        <v>2616</v>
      </c>
      <c r="I10082" s="417" t="s">
        <v>1392</v>
      </c>
      <c r="J10082" s="417" t="s">
        <v>20833</v>
      </c>
      <c r="K10082" s="417" t="s">
        <v>22609</v>
      </c>
      <c r="L10082" s="417"/>
      <c r="M10082" s="417" t="s">
        <v>28840</v>
      </c>
    </row>
    <row r="10083" spans="1:13" x14ac:dyDescent="0.25">
      <c r="A10083" s="417" t="s">
        <v>3385</v>
      </c>
      <c r="B10083" s="417" t="s">
        <v>2437</v>
      </c>
      <c r="C10083" s="417" t="s">
        <v>22610</v>
      </c>
      <c r="D10083" s="417" t="s">
        <v>3936</v>
      </c>
      <c r="E10083" s="423">
        <v>0.31236266556254461</v>
      </c>
      <c r="F10083" s="423">
        <v>2.112741701316953E-2</v>
      </c>
      <c r="G10083" s="422">
        <v>557.78055212984532</v>
      </c>
      <c r="H10083" s="417" t="s">
        <v>2616</v>
      </c>
      <c r="I10083" s="417" t="s">
        <v>1392</v>
      </c>
      <c r="J10083" s="417" t="s">
        <v>20833</v>
      </c>
      <c r="K10083" s="417" t="s">
        <v>22611</v>
      </c>
      <c r="L10083" s="417"/>
      <c r="M10083" s="417" t="s">
        <v>28840</v>
      </c>
    </row>
    <row r="10084" spans="1:13" x14ac:dyDescent="0.25">
      <c r="A10084" s="417" t="s">
        <v>3385</v>
      </c>
      <c r="B10084" s="417" t="s">
        <v>2437</v>
      </c>
      <c r="C10084" s="417" t="s">
        <v>22612</v>
      </c>
      <c r="D10084" s="417" t="s">
        <v>3936</v>
      </c>
      <c r="E10084" s="423">
        <v>0.31183978448344318</v>
      </c>
      <c r="F10084" s="423">
        <v>2.9952508411209139E-2</v>
      </c>
      <c r="G10084" s="422">
        <v>575.74600582309643</v>
      </c>
      <c r="H10084" s="417" t="s">
        <v>2616</v>
      </c>
      <c r="I10084" s="417" t="s">
        <v>1392</v>
      </c>
      <c r="J10084" s="417" t="s">
        <v>20833</v>
      </c>
      <c r="K10084" s="417" t="s">
        <v>22613</v>
      </c>
      <c r="L10084" s="417"/>
      <c r="M10084" s="417" t="s">
        <v>28840</v>
      </c>
    </row>
    <row r="10085" spans="1:13" x14ac:dyDescent="0.25">
      <c r="A10085" s="417" t="s">
        <v>3385</v>
      </c>
      <c r="B10085" s="417" t="s">
        <v>2437</v>
      </c>
      <c r="C10085" s="417" t="s">
        <v>22614</v>
      </c>
      <c r="D10085" s="417" t="s">
        <v>3936</v>
      </c>
      <c r="E10085" s="423">
        <v>0.29664561101704712</v>
      </c>
      <c r="F10085" s="423">
        <v>2.0555807121500739E-2</v>
      </c>
      <c r="G10085" s="422">
        <v>520.10275639906092</v>
      </c>
      <c r="H10085" s="417" t="s">
        <v>2616</v>
      </c>
      <c r="I10085" s="417" t="s">
        <v>1392</v>
      </c>
      <c r="J10085" s="417" t="s">
        <v>20833</v>
      </c>
      <c r="K10085" s="417" t="s">
        <v>22615</v>
      </c>
      <c r="L10085" s="417"/>
      <c r="M10085" s="417" t="s">
        <v>28840</v>
      </c>
    </row>
    <row r="10086" spans="1:13" x14ac:dyDescent="0.25">
      <c r="A10086" s="417" t="s">
        <v>3385</v>
      </c>
      <c r="B10086" s="417" t="s">
        <v>2437</v>
      </c>
      <c r="C10086" s="417" t="s">
        <v>22616</v>
      </c>
      <c r="D10086" s="417" t="s">
        <v>3936</v>
      </c>
      <c r="E10086" s="423">
        <v>0.297058973330662</v>
      </c>
      <c r="F10086" s="423">
        <v>2.9090273822947661E-2</v>
      </c>
      <c r="G10086" s="422">
        <v>538.38691464912858</v>
      </c>
      <c r="H10086" s="417" t="s">
        <v>2616</v>
      </c>
      <c r="I10086" s="417" t="s">
        <v>1392</v>
      </c>
      <c r="J10086" s="417" t="s">
        <v>20833</v>
      </c>
      <c r="K10086" s="417" t="s">
        <v>22617</v>
      </c>
      <c r="L10086" s="417"/>
      <c r="M10086" s="417" t="s">
        <v>28840</v>
      </c>
    </row>
    <row r="10087" spans="1:13" x14ac:dyDescent="0.25">
      <c r="A10087" s="417" t="s">
        <v>3385</v>
      </c>
      <c r="B10087" s="417" t="s">
        <v>2437</v>
      </c>
      <c r="C10087" s="417" t="s">
        <v>22618</v>
      </c>
      <c r="D10087" s="417" t="s">
        <v>3936</v>
      </c>
      <c r="E10087" s="423">
        <v>0.29297152852940689</v>
      </c>
      <c r="F10087" s="423">
        <v>2.029564941222332E-2</v>
      </c>
      <c r="G10087" s="422">
        <v>503.21139466331209</v>
      </c>
      <c r="H10087" s="417" t="s">
        <v>2616</v>
      </c>
      <c r="I10087" s="417" t="s">
        <v>1392</v>
      </c>
      <c r="J10087" s="417" t="s">
        <v>20833</v>
      </c>
      <c r="K10087" s="417" t="s">
        <v>22619</v>
      </c>
      <c r="L10087" s="417"/>
      <c r="M10087" s="417" t="s">
        <v>28840</v>
      </c>
    </row>
    <row r="10088" spans="1:13" x14ac:dyDescent="0.25">
      <c r="A10088" s="417" t="s">
        <v>3385</v>
      </c>
      <c r="B10088" s="417" t="s">
        <v>2437</v>
      </c>
      <c r="C10088" s="417" t="s">
        <v>22620</v>
      </c>
      <c r="D10088" s="417" t="s">
        <v>3936</v>
      </c>
      <c r="E10088" s="423">
        <v>0.29305620037960461</v>
      </c>
      <c r="F10088" s="423">
        <v>2.8697835001246511E-2</v>
      </c>
      <c r="G10088" s="422">
        <v>520.88897030260114</v>
      </c>
      <c r="H10088" s="417" t="s">
        <v>2616</v>
      </c>
      <c r="I10088" s="417" t="s">
        <v>1392</v>
      </c>
      <c r="J10088" s="417" t="s">
        <v>20833</v>
      </c>
      <c r="K10088" s="417" t="s">
        <v>22621</v>
      </c>
      <c r="L10088" s="417"/>
      <c r="M10088" s="417" t="s">
        <v>28840</v>
      </c>
    </row>
    <row r="10089" spans="1:13" x14ac:dyDescent="0.25">
      <c r="A10089" s="417" t="s">
        <v>3385</v>
      </c>
      <c r="B10089" s="417" t="s">
        <v>2437</v>
      </c>
      <c r="C10089" s="417" t="s">
        <v>22622</v>
      </c>
      <c r="D10089" s="417" t="s">
        <v>3936</v>
      </c>
      <c r="E10089" s="423">
        <v>0.28692089175950158</v>
      </c>
      <c r="F10089" s="423">
        <v>1.984565041901314E-2</v>
      </c>
      <c r="G10089" s="422">
        <v>493.46100492152982</v>
      </c>
      <c r="H10089" s="417" t="s">
        <v>2616</v>
      </c>
      <c r="I10089" s="417" t="s">
        <v>1392</v>
      </c>
      <c r="J10089" s="417" t="s">
        <v>20833</v>
      </c>
      <c r="K10089" s="417" t="s">
        <v>22623</v>
      </c>
      <c r="L10089" s="417"/>
      <c r="M10089" s="417" t="s">
        <v>28840</v>
      </c>
    </row>
    <row r="10090" spans="1:13" x14ac:dyDescent="0.25">
      <c r="A10090" s="417" t="s">
        <v>3385</v>
      </c>
      <c r="B10090" s="417" t="s">
        <v>2437</v>
      </c>
      <c r="C10090" s="417" t="s">
        <v>22624</v>
      </c>
      <c r="D10090" s="417" t="s">
        <v>3936</v>
      </c>
      <c r="E10090" s="423">
        <v>0.28667419771710001</v>
      </c>
      <c r="F10090" s="423">
        <v>2.7972829551308309E-2</v>
      </c>
      <c r="G10090" s="422">
        <v>510.19661903199932</v>
      </c>
      <c r="H10090" s="417" t="s">
        <v>2616</v>
      </c>
      <c r="I10090" s="417" t="s">
        <v>1392</v>
      </c>
      <c r="J10090" s="417" t="s">
        <v>20833</v>
      </c>
      <c r="K10090" s="417" t="s">
        <v>22625</v>
      </c>
      <c r="L10090" s="417"/>
      <c r="M10090" s="417" t="s">
        <v>28840</v>
      </c>
    </row>
    <row r="10091" spans="1:13" x14ac:dyDescent="0.25">
      <c r="A10091" s="417" t="s">
        <v>3385</v>
      </c>
      <c r="B10091" s="417" t="s">
        <v>2437</v>
      </c>
      <c r="C10091" s="417" t="s">
        <v>22626</v>
      </c>
      <c r="D10091" s="417" t="s">
        <v>3936</v>
      </c>
      <c r="E10091" s="423">
        <v>0.25776662593367677</v>
      </c>
      <c r="F10091" s="423">
        <v>1.7698175755161409E-2</v>
      </c>
      <c r="G10091" s="422">
        <v>487.85252544145942</v>
      </c>
      <c r="H10091" s="417" t="s">
        <v>2616</v>
      </c>
      <c r="I10091" s="417" t="s">
        <v>1392</v>
      </c>
      <c r="J10091" s="417" t="s">
        <v>20833</v>
      </c>
      <c r="K10091" s="417" t="s">
        <v>22627</v>
      </c>
      <c r="L10091" s="417"/>
      <c r="M10091" s="417" t="s">
        <v>28840</v>
      </c>
    </row>
    <row r="10092" spans="1:13" x14ac:dyDescent="0.25">
      <c r="A10092" s="417" t="s">
        <v>3385</v>
      </c>
      <c r="B10092" s="417" t="s">
        <v>2437</v>
      </c>
      <c r="C10092" s="417" t="s">
        <v>22628</v>
      </c>
      <c r="D10092" s="417" t="s">
        <v>3936</v>
      </c>
      <c r="E10092" s="423">
        <v>0.25743822564148849</v>
      </c>
      <c r="F10092" s="423">
        <v>2.4987574506980501E-2</v>
      </c>
      <c r="G10092" s="422">
        <v>502.71164857088058</v>
      </c>
      <c r="H10092" s="417" t="s">
        <v>2616</v>
      </c>
      <c r="I10092" s="417" t="s">
        <v>1392</v>
      </c>
      <c r="J10092" s="417" t="s">
        <v>20833</v>
      </c>
      <c r="K10092" s="417" t="s">
        <v>22629</v>
      </c>
      <c r="L10092" s="417"/>
      <c r="M10092" s="417" t="s">
        <v>28840</v>
      </c>
    </row>
    <row r="10093" spans="1:13" x14ac:dyDescent="0.25">
      <c r="A10093" s="417" t="s">
        <v>3385</v>
      </c>
      <c r="B10093" s="417" t="s">
        <v>2437</v>
      </c>
      <c r="C10093" s="417" t="s">
        <v>22630</v>
      </c>
      <c r="D10093" s="417" t="s">
        <v>3936</v>
      </c>
      <c r="E10093" s="423">
        <v>0.24508631878533399</v>
      </c>
      <c r="F10093" s="423">
        <v>1.67536533979693E-2</v>
      </c>
      <c r="G10093" s="422">
        <v>444.39351614067431</v>
      </c>
      <c r="H10093" s="417" t="s">
        <v>2616</v>
      </c>
      <c r="I10093" s="417" t="s">
        <v>1392</v>
      </c>
      <c r="J10093" s="417" t="s">
        <v>20833</v>
      </c>
      <c r="K10093" s="417" t="s">
        <v>22631</v>
      </c>
      <c r="L10093" s="417"/>
      <c r="M10093" s="417" t="s">
        <v>28840</v>
      </c>
    </row>
    <row r="10094" spans="1:13" x14ac:dyDescent="0.25">
      <c r="A10094" s="417" t="s">
        <v>3385</v>
      </c>
      <c r="B10094" s="417" t="s">
        <v>2437</v>
      </c>
      <c r="C10094" s="417" t="s">
        <v>22632</v>
      </c>
      <c r="D10094" s="417" t="s">
        <v>3936</v>
      </c>
      <c r="E10094" s="423">
        <v>0.24463308079216051</v>
      </c>
      <c r="F10094" s="423">
        <v>2.3584528099796151E-2</v>
      </c>
      <c r="G10094" s="422">
        <v>458.27126775451268</v>
      </c>
      <c r="H10094" s="417" t="s">
        <v>2616</v>
      </c>
      <c r="I10094" s="417" t="s">
        <v>1392</v>
      </c>
      <c r="J10094" s="417" t="s">
        <v>20833</v>
      </c>
      <c r="K10094" s="417" t="s">
        <v>22633</v>
      </c>
      <c r="L10094" s="417"/>
      <c r="M10094" s="417" t="s">
        <v>28840</v>
      </c>
    </row>
    <row r="10095" spans="1:13" x14ac:dyDescent="0.25">
      <c r="A10095" s="417" t="s">
        <v>3385</v>
      </c>
      <c r="B10095" s="417" t="s">
        <v>2437</v>
      </c>
      <c r="C10095" s="417" t="s">
        <v>22634</v>
      </c>
      <c r="D10095" s="417" t="s">
        <v>3936</v>
      </c>
      <c r="E10095" s="423">
        <v>0.23318905295861109</v>
      </c>
      <c r="F10095" s="423">
        <v>1.5873184520604971E-2</v>
      </c>
      <c r="G10095" s="422">
        <v>425.0570811711965</v>
      </c>
      <c r="H10095" s="417" t="s">
        <v>2616</v>
      </c>
      <c r="I10095" s="417" t="s">
        <v>1392</v>
      </c>
      <c r="J10095" s="417" t="s">
        <v>20833</v>
      </c>
      <c r="K10095" s="417" t="s">
        <v>22635</v>
      </c>
      <c r="L10095" s="417"/>
      <c r="M10095" s="417" t="s">
        <v>28840</v>
      </c>
    </row>
    <row r="10096" spans="1:13" x14ac:dyDescent="0.25">
      <c r="A10096" s="417" t="s">
        <v>3385</v>
      </c>
      <c r="B10096" s="417" t="s">
        <v>2437</v>
      </c>
      <c r="C10096" s="417" t="s">
        <v>22636</v>
      </c>
      <c r="D10096" s="417" t="s">
        <v>3936</v>
      </c>
      <c r="E10096" s="423">
        <v>0.23334336786915491</v>
      </c>
      <c r="F10096" s="423">
        <v>2.2281153408708839E-2</v>
      </c>
      <c r="G10096" s="422">
        <v>438.63592698980511</v>
      </c>
      <c r="H10096" s="417" t="s">
        <v>2616</v>
      </c>
      <c r="I10096" s="417" t="s">
        <v>1392</v>
      </c>
      <c r="J10096" s="417" t="s">
        <v>20833</v>
      </c>
      <c r="K10096" s="417" t="s">
        <v>22637</v>
      </c>
      <c r="L10096" s="417"/>
      <c r="M10096" s="417" t="s">
        <v>28840</v>
      </c>
    </row>
    <row r="10097" spans="1:13" x14ac:dyDescent="0.25">
      <c r="A10097" s="417" t="s">
        <v>3385</v>
      </c>
      <c r="B10097" s="417" t="s">
        <v>2437</v>
      </c>
      <c r="C10097" s="417" t="s">
        <v>22638</v>
      </c>
      <c r="D10097" s="417" t="s">
        <v>3936</v>
      </c>
      <c r="E10097" s="423">
        <v>0.23124459203311309</v>
      </c>
      <c r="F10097" s="423">
        <v>1.561527720623276E-2</v>
      </c>
      <c r="G10097" s="422">
        <v>428.21001913520621</v>
      </c>
      <c r="H10097" s="417" t="s">
        <v>2616</v>
      </c>
      <c r="I10097" s="417" t="s">
        <v>1392</v>
      </c>
      <c r="J10097" s="417" t="s">
        <v>20833</v>
      </c>
      <c r="K10097" s="417" t="s">
        <v>22639</v>
      </c>
      <c r="L10097" s="417"/>
      <c r="M10097" s="417" t="s">
        <v>28840</v>
      </c>
    </row>
    <row r="10098" spans="1:13" x14ac:dyDescent="0.25">
      <c r="A10098" s="417" t="s">
        <v>3385</v>
      </c>
      <c r="B10098" s="417" t="s">
        <v>2437</v>
      </c>
      <c r="C10098" s="417" t="s">
        <v>22640</v>
      </c>
      <c r="D10098" s="417" t="s">
        <v>3936</v>
      </c>
      <c r="E10098" s="423">
        <v>0.23098985588652221</v>
      </c>
      <c r="F10098" s="423">
        <v>2.1854458287580501E-2</v>
      </c>
      <c r="G10098" s="422">
        <v>440.98535695945628</v>
      </c>
      <c r="H10098" s="417" t="s">
        <v>2616</v>
      </c>
      <c r="I10098" s="417" t="s">
        <v>1392</v>
      </c>
      <c r="J10098" s="417" t="s">
        <v>20833</v>
      </c>
      <c r="K10098" s="417" t="s">
        <v>22641</v>
      </c>
      <c r="L10098" s="417"/>
      <c r="M10098" s="417" t="s">
        <v>28840</v>
      </c>
    </row>
    <row r="10099" spans="1:13" x14ac:dyDescent="0.25">
      <c r="A10099" s="417" t="s">
        <v>3385</v>
      </c>
      <c r="B10099" s="417" t="s">
        <v>2437</v>
      </c>
      <c r="C10099" s="417" t="s">
        <v>22642</v>
      </c>
      <c r="D10099" s="417" t="s">
        <v>3936</v>
      </c>
      <c r="E10099" s="423">
        <v>0.2209103912991606</v>
      </c>
      <c r="F10099" s="423">
        <v>1.544160751207021E-2</v>
      </c>
      <c r="G10099" s="422">
        <v>403.36545664774673</v>
      </c>
      <c r="H10099" s="417" t="s">
        <v>2616</v>
      </c>
      <c r="I10099" s="417" t="s">
        <v>1392</v>
      </c>
      <c r="J10099" s="417" t="s">
        <v>20833</v>
      </c>
      <c r="K10099" s="417" t="s">
        <v>22643</v>
      </c>
      <c r="L10099" s="417"/>
      <c r="M10099" s="417" t="s">
        <v>28840</v>
      </c>
    </row>
    <row r="10100" spans="1:13" x14ac:dyDescent="0.25">
      <c r="A10100" s="417" t="s">
        <v>3385</v>
      </c>
      <c r="B10100" s="417" t="s">
        <v>2437</v>
      </c>
      <c r="C10100" s="417" t="s">
        <v>22644</v>
      </c>
      <c r="D10100" s="417" t="s">
        <v>3936</v>
      </c>
      <c r="E10100" s="423">
        <v>0.22043652817295059</v>
      </c>
      <c r="F10100" s="423">
        <v>2.159260118325947E-2</v>
      </c>
      <c r="G10100" s="422">
        <v>415.73641752659552</v>
      </c>
      <c r="H10100" s="417" t="s">
        <v>2616</v>
      </c>
      <c r="I10100" s="417" t="s">
        <v>1392</v>
      </c>
      <c r="J10100" s="417" t="s">
        <v>20833</v>
      </c>
      <c r="K10100" s="417" t="s">
        <v>22645</v>
      </c>
      <c r="L10100" s="417"/>
      <c r="M10100" s="417" t="s">
        <v>28840</v>
      </c>
    </row>
    <row r="10101" spans="1:13" x14ac:dyDescent="0.25">
      <c r="A10101" s="417" t="s">
        <v>3385</v>
      </c>
      <c r="B10101" s="417" t="s">
        <v>2437</v>
      </c>
      <c r="C10101" s="417" t="s">
        <v>22646</v>
      </c>
      <c r="D10101" s="417" t="s">
        <v>3936</v>
      </c>
      <c r="E10101" s="423">
        <v>0.21968413270080969</v>
      </c>
      <c r="F10101" s="423">
        <v>1.535539841820726E-2</v>
      </c>
      <c r="G10101" s="422">
        <v>393.01430390940197</v>
      </c>
      <c r="H10101" s="417" t="s">
        <v>2616</v>
      </c>
      <c r="I10101" s="417" t="s">
        <v>1392</v>
      </c>
      <c r="J10101" s="417" t="s">
        <v>20833</v>
      </c>
      <c r="K10101" s="417" t="s">
        <v>22647</v>
      </c>
      <c r="L10101" s="417"/>
      <c r="M10101" s="417" t="s">
        <v>28840</v>
      </c>
    </row>
    <row r="10102" spans="1:13" x14ac:dyDescent="0.25">
      <c r="A10102" s="417" t="s">
        <v>3385</v>
      </c>
      <c r="B10102" s="417" t="s">
        <v>2437</v>
      </c>
      <c r="C10102" s="417" t="s">
        <v>22648</v>
      </c>
      <c r="D10102" s="417" t="s">
        <v>3936</v>
      </c>
      <c r="E10102" s="423">
        <v>0.219100706059524</v>
      </c>
      <c r="F10102" s="423">
        <v>2.1462298384728209E-2</v>
      </c>
      <c r="G10102" s="422">
        <v>405.18307125726221</v>
      </c>
      <c r="H10102" s="417" t="s">
        <v>2616</v>
      </c>
      <c r="I10102" s="417" t="s">
        <v>1392</v>
      </c>
      <c r="J10102" s="417" t="s">
        <v>20833</v>
      </c>
      <c r="K10102" s="417" t="s">
        <v>22649</v>
      </c>
      <c r="L10102" s="417"/>
      <c r="M10102" s="417" t="s">
        <v>28840</v>
      </c>
    </row>
    <row r="10103" spans="1:13" x14ac:dyDescent="0.25">
      <c r="A10103" s="417" t="s">
        <v>3385</v>
      </c>
      <c r="B10103" s="417" t="s">
        <v>2437</v>
      </c>
      <c r="C10103" s="417" t="s">
        <v>22650</v>
      </c>
      <c r="D10103" s="417" t="s">
        <v>3936</v>
      </c>
      <c r="E10103" s="423">
        <v>0.2171838895773967</v>
      </c>
      <c r="F10103" s="423">
        <v>1.5177526490723891E-2</v>
      </c>
      <c r="G10103" s="422">
        <v>388.36565872365179</v>
      </c>
      <c r="H10103" s="417" t="s">
        <v>2616</v>
      </c>
      <c r="I10103" s="417" t="s">
        <v>1392</v>
      </c>
      <c r="J10103" s="417" t="s">
        <v>20833</v>
      </c>
      <c r="K10103" s="417" t="s">
        <v>22651</v>
      </c>
      <c r="L10103" s="417"/>
      <c r="M10103" s="417" t="s">
        <v>28840</v>
      </c>
    </row>
    <row r="10104" spans="1:13" x14ac:dyDescent="0.25">
      <c r="A10104" s="417" t="s">
        <v>3385</v>
      </c>
      <c r="B10104" s="417" t="s">
        <v>2437</v>
      </c>
      <c r="C10104" s="417" t="s">
        <v>22652</v>
      </c>
      <c r="D10104" s="417" t="s">
        <v>3936</v>
      </c>
      <c r="E10104" s="423">
        <v>0.21746169664177839</v>
      </c>
      <c r="F10104" s="423">
        <v>2.1232745749480239E-2</v>
      </c>
      <c r="G10104" s="422">
        <v>401.32695127133218</v>
      </c>
      <c r="H10104" s="417" t="s">
        <v>2616</v>
      </c>
      <c r="I10104" s="417" t="s">
        <v>1392</v>
      </c>
      <c r="J10104" s="417" t="s">
        <v>20833</v>
      </c>
      <c r="K10104" s="417" t="s">
        <v>22653</v>
      </c>
      <c r="L10104" s="417"/>
      <c r="M10104" s="417" t="s">
        <v>28840</v>
      </c>
    </row>
    <row r="10105" spans="1:13" x14ac:dyDescent="0.25">
      <c r="A10105" s="417" t="s">
        <v>3385</v>
      </c>
      <c r="B10105" s="417" t="s">
        <v>2437</v>
      </c>
      <c r="C10105" s="417" t="s">
        <v>22654</v>
      </c>
      <c r="D10105" s="417" t="s">
        <v>3936</v>
      </c>
      <c r="E10105" s="423">
        <v>0.30613531171791269</v>
      </c>
      <c r="F10105" s="423">
        <v>1.7091349448304149E-2</v>
      </c>
      <c r="G10105" s="422">
        <v>531.20818001796795</v>
      </c>
      <c r="H10105" s="417" t="s">
        <v>2616</v>
      </c>
      <c r="I10105" s="417" t="s">
        <v>28994</v>
      </c>
      <c r="J10105" s="417" t="s">
        <v>20833</v>
      </c>
      <c r="K10105" s="417" t="s">
        <v>22655</v>
      </c>
      <c r="L10105" s="417"/>
      <c r="M10105" s="417" t="s">
        <v>28840</v>
      </c>
    </row>
    <row r="10106" spans="1:13" x14ac:dyDescent="0.25">
      <c r="A10106" s="417" t="s">
        <v>3385</v>
      </c>
      <c r="B10106" s="417" t="s">
        <v>2437</v>
      </c>
      <c r="C10106" s="417" t="s">
        <v>22656</v>
      </c>
      <c r="D10106" s="417" t="s">
        <v>3936</v>
      </c>
      <c r="E10106" s="423">
        <v>0.24444148744920821</v>
      </c>
      <c r="F10106" s="423">
        <v>2.1193263895789689E-2</v>
      </c>
      <c r="G10106" s="422">
        <v>448.30438693233918</v>
      </c>
      <c r="H10106" s="417" t="s">
        <v>2616</v>
      </c>
      <c r="I10106" s="417" t="s">
        <v>1392</v>
      </c>
      <c r="J10106" s="417" t="s">
        <v>20833</v>
      </c>
      <c r="K10106" s="417" t="s">
        <v>22657</v>
      </c>
      <c r="L10106" s="417"/>
      <c r="M10106" s="417" t="s">
        <v>28840</v>
      </c>
    </row>
    <row r="10107" spans="1:13" x14ac:dyDescent="0.25">
      <c r="A10107" s="417" t="s">
        <v>3385</v>
      </c>
      <c r="B10107" s="417" t="s">
        <v>2437</v>
      </c>
      <c r="C10107" s="417" t="s">
        <v>22658</v>
      </c>
      <c r="D10107" s="417" t="s">
        <v>3936</v>
      </c>
      <c r="E10107" s="423">
        <v>0.1121533127502948</v>
      </c>
      <c r="F10107" s="423">
        <v>1.5957896228628528E-2</v>
      </c>
      <c r="G10107" s="422">
        <v>428.77361096487482</v>
      </c>
      <c r="H10107" s="417" t="s">
        <v>2616</v>
      </c>
      <c r="I10107" s="417" t="s">
        <v>1392</v>
      </c>
      <c r="J10107" s="417" t="s">
        <v>20833</v>
      </c>
      <c r="K10107" s="417" t="s">
        <v>22659</v>
      </c>
      <c r="L10107" s="417"/>
      <c r="M10107" s="417" t="s">
        <v>28840</v>
      </c>
    </row>
    <row r="10108" spans="1:13" x14ac:dyDescent="0.25">
      <c r="A10108" s="417" t="s">
        <v>3385</v>
      </c>
      <c r="B10108" s="417" t="s">
        <v>2437</v>
      </c>
      <c r="C10108" s="417" t="s">
        <v>22660</v>
      </c>
      <c r="D10108" s="417" t="s">
        <v>3936</v>
      </c>
      <c r="E10108" s="423">
        <v>6.8200516034129161E-2</v>
      </c>
      <c r="F10108" s="423">
        <v>8.2196550461907415E-3</v>
      </c>
      <c r="G10108" s="422">
        <v>218.32924969494911</v>
      </c>
      <c r="H10108" s="417" t="s">
        <v>2616</v>
      </c>
      <c r="I10108" s="417" t="s">
        <v>1392</v>
      </c>
      <c r="J10108" s="417" t="s">
        <v>20833</v>
      </c>
      <c r="K10108" s="417" t="s">
        <v>22661</v>
      </c>
      <c r="L10108" s="417"/>
      <c r="M10108" s="417" t="s">
        <v>28840</v>
      </c>
    </row>
    <row r="10109" spans="1:13" x14ac:dyDescent="0.25">
      <c r="A10109" s="417" t="s">
        <v>3385</v>
      </c>
      <c r="B10109" s="417" t="s">
        <v>2437</v>
      </c>
      <c r="C10109" s="417" t="s">
        <v>22662</v>
      </c>
      <c r="D10109" s="417" t="s">
        <v>3936</v>
      </c>
      <c r="E10109" s="423">
        <v>0.11951548230991341</v>
      </c>
      <c r="F10109" s="423">
        <v>1.2992894059955479E-2</v>
      </c>
      <c r="G10109" s="422">
        <v>350.86509822260479</v>
      </c>
      <c r="H10109" s="417" t="s">
        <v>2616</v>
      </c>
      <c r="I10109" s="417" t="s">
        <v>1392</v>
      </c>
      <c r="J10109" s="417" t="s">
        <v>20833</v>
      </c>
      <c r="K10109" s="417" t="s">
        <v>22663</v>
      </c>
      <c r="L10109" s="417"/>
      <c r="M10109" s="417" t="s">
        <v>28840</v>
      </c>
    </row>
    <row r="10110" spans="1:13" x14ac:dyDescent="0.25">
      <c r="A10110" s="417" t="s">
        <v>3385</v>
      </c>
      <c r="B10110" s="417" t="s">
        <v>2437</v>
      </c>
      <c r="C10110" s="417" t="s">
        <v>22664</v>
      </c>
      <c r="D10110" s="417" t="s">
        <v>3936</v>
      </c>
      <c r="E10110" s="423">
        <v>0.1034032957640513</v>
      </c>
      <c r="F10110" s="423">
        <v>1.1291508983342739E-2</v>
      </c>
      <c r="G10110" s="422">
        <v>309.68463846117339</v>
      </c>
      <c r="H10110" s="417" t="s">
        <v>2616</v>
      </c>
      <c r="I10110" s="417" t="s">
        <v>1392</v>
      </c>
      <c r="J10110" s="417" t="s">
        <v>20833</v>
      </c>
      <c r="K10110" s="417" t="s">
        <v>22665</v>
      </c>
      <c r="L10110" s="417"/>
      <c r="M10110" s="417" t="s">
        <v>28840</v>
      </c>
    </row>
    <row r="10111" spans="1:13" x14ac:dyDescent="0.25">
      <c r="A10111" s="417" t="s">
        <v>3385</v>
      </c>
      <c r="B10111" s="417" t="s">
        <v>2437</v>
      </c>
      <c r="C10111" s="417" t="s">
        <v>22666</v>
      </c>
      <c r="D10111" s="417" t="s">
        <v>3936</v>
      </c>
      <c r="E10111" s="423">
        <v>7.9094285413442572E-2</v>
      </c>
      <c r="F10111" s="423">
        <v>9.205063434681136E-3</v>
      </c>
      <c r="G10111" s="422">
        <v>246.5384551792211</v>
      </c>
      <c r="H10111" s="417" t="s">
        <v>2616</v>
      </c>
      <c r="I10111" s="417" t="s">
        <v>1392</v>
      </c>
      <c r="J10111" s="417" t="s">
        <v>20833</v>
      </c>
      <c r="K10111" s="417" t="s">
        <v>22667</v>
      </c>
      <c r="L10111" s="417"/>
      <c r="M10111" s="417" t="s">
        <v>28840</v>
      </c>
    </row>
    <row r="10112" spans="1:13" x14ac:dyDescent="0.25">
      <c r="A10112" s="417" t="s">
        <v>3385</v>
      </c>
      <c r="B10112" s="417" t="s">
        <v>2437</v>
      </c>
      <c r="C10112" s="417" t="s">
        <v>22668</v>
      </c>
      <c r="D10112" s="417" t="s">
        <v>3936</v>
      </c>
      <c r="E10112" s="423">
        <v>0.1904070901062688</v>
      </c>
      <c r="F10112" s="423">
        <v>2.5473928226966178E-2</v>
      </c>
      <c r="G10112" s="422">
        <v>690.2914796848446</v>
      </c>
      <c r="H10112" s="417" t="s">
        <v>2616</v>
      </c>
      <c r="I10112" s="417" t="s">
        <v>1392</v>
      </c>
      <c r="J10112" s="417" t="s">
        <v>20833</v>
      </c>
      <c r="K10112" s="417" t="s">
        <v>22669</v>
      </c>
      <c r="L10112" s="417"/>
      <c r="M10112" s="417" t="s">
        <v>28840</v>
      </c>
    </row>
    <row r="10113" spans="1:13" x14ac:dyDescent="0.25">
      <c r="A10113" s="417" t="s">
        <v>3385</v>
      </c>
      <c r="B10113" s="417" t="s">
        <v>2437</v>
      </c>
      <c r="C10113" s="417" t="s">
        <v>22670</v>
      </c>
      <c r="D10113" s="417" t="s">
        <v>3936</v>
      </c>
      <c r="E10113" s="423">
        <v>0.1640278429211538</v>
      </c>
      <c r="F10113" s="423">
        <v>2.196494509468221E-2</v>
      </c>
      <c r="G10113" s="422">
        <v>599.95272507832351</v>
      </c>
      <c r="H10113" s="417" t="s">
        <v>2616</v>
      </c>
      <c r="I10113" s="417" t="s">
        <v>1392</v>
      </c>
      <c r="J10113" s="417" t="s">
        <v>20833</v>
      </c>
      <c r="K10113" s="417" t="s">
        <v>22671</v>
      </c>
      <c r="L10113" s="417"/>
      <c r="M10113" s="417" t="s">
        <v>28840</v>
      </c>
    </row>
    <row r="10114" spans="1:13" x14ac:dyDescent="0.25">
      <c r="A10114" s="417" t="s">
        <v>3385</v>
      </c>
      <c r="B10114" s="417" t="s">
        <v>2437</v>
      </c>
      <c r="C10114" s="417" t="s">
        <v>22672</v>
      </c>
      <c r="D10114" s="417" t="s">
        <v>3936</v>
      </c>
      <c r="E10114" s="423">
        <v>0.1284739569721659</v>
      </c>
      <c r="F10114" s="423">
        <v>1.7898749300834571E-2</v>
      </c>
      <c r="G10114" s="422">
        <v>482.96649195523372</v>
      </c>
      <c r="H10114" s="417" t="s">
        <v>2616</v>
      </c>
      <c r="I10114" s="417" t="s">
        <v>1392</v>
      </c>
      <c r="J10114" s="417" t="s">
        <v>20833</v>
      </c>
      <c r="K10114" s="417" t="s">
        <v>22673</v>
      </c>
      <c r="L10114" s="417"/>
      <c r="M10114" s="417" t="s">
        <v>28840</v>
      </c>
    </row>
    <row r="10115" spans="1:13" x14ac:dyDescent="0.25">
      <c r="A10115" s="417" t="s">
        <v>3385</v>
      </c>
      <c r="B10115" s="417" t="s">
        <v>2437</v>
      </c>
      <c r="C10115" s="417" t="s">
        <v>22674</v>
      </c>
      <c r="D10115" s="417" t="s">
        <v>3936</v>
      </c>
      <c r="E10115" s="423">
        <v>0.17243741520818831</v>
      </c>
      <c r="F10115" s="423">
        <v>4.9215971831108232E-3</v>
      </c>
      <c r="G10115" s="422">
        <v>325.79567659327779</v>
      </c>
      <c r="H10115" s="417" t="s">
        <v>2616</v>
      </c>
      <c r="I10115" s="417" t="s">
        <v>1392</v>
      </c>
      <c r="J10115" s="417" t="s">
        <v>20833</v>
      </c>
      <c r="K10115" s="417" t="s">
        <v>22675</v>
      </c>
      <c r="L10115" s="417"/>
      <c r="M10115" s="417" t="s">
        <v>28840</v>
      </c>
    </row>
    <row r="10116" spans="1:13" x14ac:dyDescent="0.25">
      <c r="A10116" s="417" t="s">
        <v>3385</v>
      </c>
      <c r="B10116" s="417" t="s">
        <v>2437</v>
      </c>
      <c r="C10116" s="417" t="s">
        <v>22676</v>
      </c>
      <c r="D10116" s="417" t="s">
        <v>3936</v>
      </c>
      <c r="E10116" s="423">
        <v>0.28763951316853142</v>
      </c>
      <c r="F10116" s="423">
        <v>7.6734458942431111E-3</v>
      </c>
      <c r="G10116" s="422">
        <v>524.1980446608901</v>
      </c>
      <c r="H10116" s="417" t="s">
        <v>2616</v>
      </c>
      <c r="I10116" s="417" t="s">
        <v>1392</v>
      </c>
      <c r="J10116" s="417" t="s">
        <v>20833</v>
      </c>
      <c r="K10116" s="417" t="s">
        <v>22677</v>
      </c>
      <c r="L10116" s="417"/>
      <c r="M10116" s="417" t="s">
        <v>28840</v>
      </c>
    </row>
    <row r="10117" spans="1:13" x14ac:dyDescent="0.25">
      <c r="A10117" s="417" t="s">
        <v>3385</v>
      </c>
      <c r="B10117" s="417" t="s">
        <v>2437</v>
      </c>
      <c r="C10117" s="417" t="s">
        <v>22678</v>
      </c>
      <c r="D10117" s="417" t="s">
        <v>3936</v>
      </c>
      <c r="E10117" s="423">
        <v>0.24717832907264309</v>
      </c>
      <c r="F10117" s="423">
        <v>6.7424636554455084E-3</v>
      </c>
      <c r="G10117" s="422">
        <v>457.91419268270499</v>
      </c>
      <c r="H10117" s="417" t="s">
        <v>2616</v>
      </c>
      <c r="I10117" s="417" t="s">
        <v>1392</v>
      </c>
      <c r="J10117" s="417" t="s">
        <v>20833</v>
      </c>
      <c r="K10117" s="417" t="s">
        <v>22679</v>
      </c>
      <c r="L10117" s="417"/>
      <c r="M10117" s="417" t="s">
        <v>28840</v>
      </c>
    </row>
    <row r="10118" spans="1:13" x14ac:dyDescent="0.25">
      <c r="A10118" s="417" t="s">
        <v>3385</v>
      </c>
      <c r="B10118" s="417" t="s">
        <v>2437</v>
      </c>
      <c r="C10118" s="417" t="s">
        <v>22680</v>
      </c>
      <c r="D10118" s="417" t="s">
        <v>3936</v>
      </c>
      <c r="E10118" s="423">
        <v>0.1962013689901845</v>
      </c>
      <c r="F10118" s="423">
        <v>5.4997926443421984E-3</v>
      </c>
      <c r="G10118" s="422">
        <v>367.27381813220921</v>
      </c>
      <c r="H10118" s="417" t="s">
        <v>2616</v>
      </c>
      <c r="I10118" s="417" t="s">
        <v>1392</v>
      </c>
      <c r="J10118" s="417" t="s">
        <v>20833</v>
      </c>
      <c r="K10118" s="417" t="s">
        <v>22681</v>
      </c>
      <c r="L10118" s="417"/>
      <c r="M10118" s="417" t="s">
        <v>28840</v>
      </c>
    </row>
    <row r="10119" spans="1:13" x14ac:dyDescent="0.25">
      <c r="A10119" s="417" t="s">
        <v>3385</v>
      </c>
      <c r="B10119" s="417" t="s">
        <v>2437</v>
      </c>
      <c r="C10119" s="417" t="s">
        <v>22682</v>
      </c>
      <c r="D10119" s="417" t="s">
        <v>3936</v>
      </c>
      <c r="E10119" s="423">
        <v>0.21804471917138951</v>
      </c>
      <c r="F10119" s="423">
        <v>1.014270027898298E-2</v>
      </c>
      <c r="G10119" s="422">
        <v>398.70783117404142</v>
      </c>
      <c r="H10119" s="417" t="s">
        <v>2616</v>
      </c>
      <c r="I10119" s="417" t="s">
        <v>1392</v>
      </c>
      <c r="J10119" s="417" t="s">
        <v>20833</v>
      </c>
      <c r="K10119" s="417" t="s">
        <v>22683</v>
      </c>
      <c r="L10119" s="417"/>
      <c r="M10119" s="417" t="s">
        <v>28840</v>
      </c>
    </row>
    <row r="10120" spans="1:13" x14ac:dyDescent="0.25">
      <c r="A10120" s="417" t="s">
        <v>3385</v>
      </c>
      <c r="B10120" s="417" t="s">
        <v>2437</v>
      </c>
      <c r="C10120" s="417" t="s">
        <v>22684</v>
      </c>
      <c r="D10120" s="417" t="s">
        <v>3936</v>
      </c>
      <c r="E10120" s="423">
        <v>0.2177365788911591</v>
      </c>
      <c r="F10120" s="423">
        <v>1.4264861567110831E-2</v>
      </c>
      <c r="G10120" s="422">
        <v>398.47983364957349</v>
      </c>
      <c r="H10120" s="417" t="s">
        <v>2616</v>
      </c>
      <c r="I10120" s="417" t="s">
        <v>1392</v>
      </c>
      <c r="J10120" s="417" t="s">
        <v>20833</v>
      </c>
      <c r="K10120" s="417" t="s">
        <v>22685</v>
      </c>
      <c r="L10120" s="417"/>
      <c r="M10120" s="417" t="s">
        <v>28840</v>
      </c>
    </row>
    <row r="10121" spans="1:13" x14ac:dyDescent="0.25">
      <c r="A10121" s="417" t="s">
        <v>3385</v>
      </c>
      <c r="B10121" s="417" t="s">
        <v>2437</v>
      </c>
      <c r="C10121" s="417" t="s">
        <v>22686</v>
      </c>
      <c r="D10121" s="417" t="s">
        <v>3936</v>
      </c>
      <c r="E10121" s="423">
        <v>0.21007052193997719</v>
      </c>
      <c r="F10121" s="423">
        <v>9.7942531261070408E-3</v>
      </c>
      <c r="G10121" s="422">
        <v>381.44370375644309</v>
      </c>
      <c r="H10121" s="417" t="s">
        <v>2616</v>
      </c>
      <c r="I10121" s="417" t="s">
        <v>1392</v>
      </c>
      <c r="J10121" s="417" t="s">
        <v>20833</v>
      </c>
      <c r="K10121" s="417" t="s">
        <v>22687</v>
      </c>
      <c r="L10121" s="417"/>
      <c r="M10121" s="417" t="s">
        <v>28840</v>
      </c>
    </row>
    <row r="10122" spans="1:13" x14ac:dyDescent="0.25">
      <c r="A10122" s="417" t="s">
        <v>3385</v>
      </c>
      <c r="B10122" s="417" t="s">
        <v>2437</v>
      </c>
      <c r="C10122" s="417" t="s">
        <v>22688</v>
      </c>
      <c r="D10122" s="417" t="s">
        <v>3936</v>
      </c>
      <c r="E10122" s="423">
        <v>0.20920688884918151</v>
      </c>
      <c r="F10122" s="423">
        <v>1.369514691572422E-2</v>
      </c>
      <c r="G10122" s="422">
        <v>380.6783439374318</v>
      </c>
      <c r="H10122" s="417" t="s">
        <v>2616</v>
      </c>
      <c r="I10122" s="417" t="s">
        <v>1392</v>
      </c>
      <c r="J10122" s="417" t="s">
        <v>20833</v>
      </c>
      <c r="K10122" s="417" t="s">
        <v>22689</v>
      </c>
      <c r="L10122" s="417"/>
      <c r="M10122" s="417" t="s">
        <v>28840</v>
      </c>
    </row>
    <row r="10123" spans="1:13" x14ac:dyDescent="0.25">
      <c r="A10123" s="417" t="s">
        <v>3385</v>
      </c>
      <c r="B10123" s="417" t="s">
        <v>2437</v>
      </c>
      <c r="C10123" s="417" t="s">
        <v>22690</v>
      </c>
      <c r="D10123" s="417" t="s">
        <v>3936</v>
      </c>
      <c r="E10123" s="423">
        <v>0.1971776961288762</v>
      </c>
      <c r="F10123" s="423">
        <v>9.5768540866584106E-3</v>
      </c>
      <c r="G10123" s="422">
        <v>361.31299285630269</v>
      </c>
      <c r="H10123" s="417" t="s">
        <v>2616</v>
      </c>
      <c r="I10123" s="417" t="s">
        <v>1392</v>
      </c>
      <c r="J10123" s="417" t="s">
        <v>20833</v>
      </c>
      <c r="K10123" s="417" t="s">
        <v>22691</v>
      </c>
      <c r="L10123" s="417"/>
      <c r="M10123" s="417" t="s">
        <v>28840</v>
      </c>
    </row>
    <row r="10124" spans="1:13" x14ac:dyDescent="0.25">
      <c r="A10124" s="417" t="s">
        <v>3385</v>
      </c>
      <c r="B10124" s="417" t="s">
        <v>2437</v>
      </c>
      <c r="C10124" s="417" t="s">
        <v>22692</v>
      </c>
      <c r="D10124" s="417" t="s">
        <v>3936</v>
      </c>
      <c r="E10124" s="423">
        <v>0.19620962884082269</v>
      </c>
      <c r="F10124" s="423">
        <v>1.332599820299606E-2</v>
      </c>
      <c r="G10124" s="422">
        <v>360.35024206526879</v>
      </c>
      <c r="H10124" s="417" t="s">
        <v>2616</v>
      </c>
      <c r="I10124" s="417" t="s">
        <v>1392</v>
      </c>
      <c r="J10124" s="417" t="s">
        <v>20833</v>
      </c>
      <c r="K10124" s="417" t="s">
        <v>22693</v>
      </c>
      <c r="L10124" s="417"/>
      <c r="M10124" s="417" t="s">
        <v>28840</v>
      </c>
    </row>
    <row r="10125" spans="1:13" x14ac:dyDescent="0.25">
      <c r="A10125" s="417" t="s">
        <v>3385</v>
      </c>
      <c r="B10125" s="417" t="s">
        <v>2437</v>
      </c>
      <c r="C10125" s="417" t="s">
        <v>22694</v>
      </c>
      <c r="D10125" s="417" t="s">
        <v>3936</v>
      </c>
      <c r="E10125" s="423">
        <v>0.19454148232266871</v>
      </c>
      <c r="F10125" s="423">
        <v>9.4604007747777375E-3</v>
      </c>
      <c r="G10125" s="422">
        <v>362.94417798234753</v>
      </c>
      <c r="H10125" s="417" t="s">
        <v>2616</v>
      </c>
      <c r="I10125" s="417" t="s">
        <v>1392</v>
      </c>
      <c r="J10125" s="417" t="s">
        <v>20833</v>
      </c>
      <c r="K10125" s="417" t="s">
        <v>22695</v>
      </c>
      <c r="L10125" s="417"/>
      <c r="M10125" s="417" t="s">
        <v>28840</v>
      </c>
    </row>
    <row r="10126" spans="1:13" x14ac:dyDescent="0.25">
      <c r="A10126" s="417" t="s">
        <v>3385</v>
      </c>
      <c r="B10126" s="417" t="s">
        <v>2437</v>
      </c>
      <c r="C10126" s="417" t="s">
        <v>22696</v>
      </c>
      <c r="D10126" s="417" t="s">
        <v>3936</v>
      </c>
      <c r="E10126" s="423">
        <v>0.19381547505154459</v>
      </c>
      <c r="F10126" s="423">
        <v>1.316246837550207E-2</v>
      </c>
      <c r="G10126" s="422">
        <v>362.33369498442721</v>
      </c>
      <c r="H10126" s="417" t="s">
        <v>2616</v>
      </c>
      <c r="I10126" s="417" t="s">
        <v>1392</v>
      </c>
      <c r="J10126" s="417" t="s">
        <v>20833</v>
      </c>
      <c r="K10126" s="417" t="s">
        <v>22697</v>
      </c>
      <c r="L10126" s="417"/>
      <c r="M10126" s="417" t="s">
        <v>28840</v>
      </c>
    </row>
    <row r="10127" spans="1:13" x14ac:dyDescent="0.25">
      <c r="A10127" s="417" t="s">
        <v>3385</v>
      </c>
      <c r="B10127" s="417" t="s">
        <v>2437</v>
      </c>
      <c r="C10127" s="417" t="s">
        <v>22698</v>
      </c>
      <c r="D10127" s="417" t="s">
        <v>3936</v>
      </c>
      <c r="E10127" s="423">
        <v>0.19090389440542699</v>
      </c>
      <c r="F10127" s="423">
        <v>9.3023767612789403E-3</v>
      </c>
      <c r="G10127" s="422">
        <v>357.97221754481211</v>
      </c>
      <c r="H10127" s="417" t="s">
        <v>2616</v>
      </c>
      <c r="I10127" s="417" t="s">
        <v>1392</v>
      </c>
      <c r="J10127" s="417" t="s">
        <v>20833</v>
      </c>
      <c r="K10127" s="417" t="s">
        <v>22699</v>
      </c>
      <c r="L10127" s="417"/>
      <c r="M10127" s="417" t="s">
        <v>28840</v>
      </c>
    </row>
    <row r="10128" spans="1:13" x14ac:dyDescent="0.25">
      <c r="A10128" s="417" t="s">
        <v>3385</v>
      </c>
      <c r="B10128" s="417" t="s">
        <v>2437</v>
      </c>
      <c r="C10128" s="417" t="s">
        <v>22700</v>
      </c>
      <c r="D10128" s="417" t="s">
        <v>3936</v>
      </c>
      <c r="E10128" s="423">
        <v>0.18984592780151641</v>
      </c>
      <c r="F10128" s="423">
        <v>1.288245992698331E-2</v>
      </c>
      <c r="G10128" s="422">
        <v>356.93338277592852</v>
      </c>
      <c r="H10128" s="417" t="s">
        <v>2616</v>
      </c>
      <c r="I10128" s="417" t="s">
        <v>1392</v>
      </c>
      <c r="J10128" s="417" t="s">
        <v>20833</v>
      </c>
      <c r="K10128" s="417" t="s">
        <v>22701</v>
      </c>
      <c r="L10128" s="417"/>
      <c r="M10128" s="417" t="s">
        <v>28840</v>
      </c>
    </row>
    <row r="10129" spans="1:13" x14ac:dyDescent="0.25">
      <c r="A10129" s="417" t="s">
        <v>3385</v>
      </c>
      <c r="B10129" s="417" t="s">
        <v>2437</v>
      </c>
      <c r="C10129" s="417" t="s">
        <v>22702</v>
      </c>
      <c r="D10129" s="417" t="s">
        <v>3936</v>
      </c>
      <c r="E10129" s="423">
        <v>0.39520450508344118</v>
      </c>
      <c r="F10129" s="423">
        <v>1.7807840767577899E-2</v>
      </c>
      <c r="G10129" s="422">
        <v>669.38509498979454</v>
      </c>
      <c r="H10129" s="417" t="s">
        <v>2616</v>
      </c>
      <c r="I10129" s="417" t="s">
        <v>1392</v>
      </c>
      <c r="J10129" s="417" t="s">
        <v>20833</v>
      </c>
      <c r="K10129" s="417" t="s">
        <v>22703</v>
      </c>
      <c r="L10129" s="417"/>
      <c r="M10129" s="417" t="s">
        <v>28840</v>
      </c>
    </row>
    <row r="10130" spans="1:13" x14ac:dyDescent="0.25">
      <c r="A10130" s="417" t="s">
        <v>3385</v>
      </c>
      <c r="B10130" s="417" t="s">
        <v>2437</v>
      </c>
      <c r="C10130" s="417" t="s">
        <v>22704</v>
      </c>
      <c r="D10130" s="417" t="s">
        <v>3936</v>
      </c>
      <c r="E10130" s="423">
        <v>0.39399711045484898</v>
      </c>
      <c r="F10130" s="423">
        <v>2.5574733077696331E-2</v>
      </c>
      <c r="G10130" s="422">
        <v>668.27179055308432</v>
      </c>
      <c r="H10130" s="417" t="s">
        <v>2616</v>
      </c>
      <c r="I10130" s="417" t="s">
        <v>1392</v>
      </c>
      <c r="J10130" s="417" t="s">
        <v>20833</v>
      </c>
      <c r="K10130" s="417" t="s">
        <v>22705</v>
      </c>
      <c r="L10130" s="417"/>
      <c r="M10130" s="417" t="s">
        <v>28840</v>
      </c>
    </row>
    <row r="10131" spans="1:13" x14ac:dyDescent="0.25">
      <c r="A10131" s="417" t="s">
        <v>3385</v>
      </c>
      <c r="B10131" s="417" t="s">
        <v>2437</v>
      </c>
      <c r="C10131" s="417" t="s">
        <v>22706</v>
      </c>
      <c r="D10131" s="417" t="s">
        <v>3936</v>
      </c>
      <c r="E10131" s="423">
        <v>0.37366063524537829</v>
      </c>
      <c r="F10131" s="423">
        <v>1.686967811106491E-2</v>
      </c>
      <c r="G10131" s="422">
        <v>629.23715380669876</v>
      </c>
      <c r="H10131" s="417" t="s">
        <v>2616</v>
      </c>
      <c r="I10131" s="417" t="s">
        <v>1392</v>
      </c>
      <c r="J10131" s="417" t="s">
        <v>20833</v>
      </c>
      <c r="K10131" s="417" t="s">
        <v>22707</v>
      </c>
      <c r="L10131" s="417"/>
      <c r="M10131" s="417" t="s">
        <v>28840</v>
      </c>
    </row>
    <row r="10132" spans="1:13" x14ac:dyDescent="0.25">
      <c r="A10132" s="417" t="s">
        <v>3385</v>
      </c>
      <c r="B10132" s="417" t="s">
        <v>2437</v>
      </c>
      <c r="C10132" s="417" t="s">
        <v>22708</v>
      </c>
      <c r="D10132" s="417" t="s">
        <v>3936</v>
      </c>
      <c r="E10132" s="423">
        <v>0.37281184010115082</v>
      </c>
      <c r="F10132" s="423">
        <v>2.4107193667563E-2</v>
      </c>
      <c r="G10132" s="422">
        <v>628.63237815667003</v>
      </c>
      <c r="H10132" s="417" t="s">
        <v>2616</v>
      </c>
      <c r="I10132" s="417" t="s">
        <v>1392</v>
      </c>
      <c r="J10132" s="417" t="s">
        <v>20833</v>
      </c>
      <c r="K10132" s="417" t="s">
        <v>22709</v>
      </c>
      <c r="L10132" s="417"/>
      <c r="M10132" s="417" t="s">
        <v>28840</v>
      </c>
    </row>
    <row r="10133" spans="1:13" x14ac:dyDescent="0.25">
      <c r="A10133" s="417" t="s">
        <v>3385</v>
      </c>
      <c r="B10133" s="417" t="s">
        <v>2437</v>
      </c>
      <c r="C10133" s="417" t="s">
        <v>22710</v>
      </c>
      <c r="D10133" s="417" t="s">
        <v>3936</v>
      </c>
      <c r="E10133" s="423">
        <v>0.35230363930191883</v>
      </c>
      <c r="F10133" s="423">
        <v>1.6281807627801809E-2</v>
      </c>
      <c r="G10133" s="422">
        <v>593.02563188860006</v>
      </c>
      <c r="H10133" s="417" t="s">
        <v>2616</v>
      </c>
      <c r="I10133" s="417" t="s">
        <v>1392</v>
      </c>
      <c r="J10133" s="417" t="s">
        <v>20833</v>
      </c>
      <c r="K10133" s="417" t="s">
        <v>22711</v>
      </c>
      <c r="L10133" s="417"/>
      <c r="M10133" s="417" t="s">
        <v>28840</v>
      </c>
    </row>
    <row r="10134" spans="1:13" x14ac:dyDescent="0.25">
      <c r="A10134" s="417" t="s">
        <v>3385</v>
      </c>
      <c r="B10134" s="417" t="s">
        <v>2437</v>
      </c>
      <c r="C10134" s="417" t="s">
        <v>22712</v>
      </c>
      <c r="D10134" s="417" t="s">
        <v>3936</v>
      </c>
      <c r="E10134" s="423">
        <v>0.35148803584858418</v>
      </c>
      <c r="F10134" s="423">
        <v>2.3158747324245939E-2</v>
      </c>
      <c r="G10134" s="422">
        <v>592.37828128083117</v>
      </c>
      <c r="H10134" s="417" t="s">
        <v>2616</v>
      </c>
      <c r="I10134" s="417" t="s">
        <v>1392</v>
      </c>
      <c r="J10134" s="417" t="s">
        <v>20833</v>
      </c>
      <c r="K10134" s="417" t="s">
        <v>22713</v>
      </c>
      <c r="L10134" s="417"/>
      <c r="M10134" s="417" t="s">
        <v>28840</v>
      </c>
    </row>
    <row r="10135" spans="1:13" x14ac:dyDescent="0.25">
      <c r="A10135" s="417" t="s">
        <v>3385</v>
      </c>
      <c r="B10135" s="417" t="s">
        <v>2437</v>
      </c>
      <c r="C10135" s="417" t="s">
        <v>22714</v>
      </c>
      <c r="D10135" s="417" t="s">
        <v>3936</v>
      </c>
      <c r="E10135" s="423">
        <v>0.34592169810082352</v>
      </c>
      <c r="F10135" s="423">
        <v>1.599997120165093E-2</v>
      </c>
      <c r="G10135" s="422">
        <v>593.74399047974657</v>
      </c>
      <c r="H10135" s="417" t="s">
        <v>2616</v>
      </c>
      <c r="I10135" s="417" t="s">
        <v>1392</v>
      </c>
      <c r="J10135" s="417" t="s">
        <v>20833</v>
      </c>
      <c r="K10135" s="417" t="s">
        <v>22715</v>
      </c>
      <c r="L10135" s="417"/>
      <c r="M10135" s="417" t="s">
        <v>28840</v>
      </c>
    </row>
    <row r="10136" spans="1:13" x14ac:dyDescent="0.25">
      <c r="A10136" s="417" t="s">
        <v>3385</v>
      </c>
      <c r="B10136" s="417" t="s">
        <v>2437</v>
      </c>
      <c r="C10136" s="417" t="s">
        <v>22716</v>
      </c>
      <c r="D10136" s="417" t="s">
        <v>3936</v>
      </c>
      <c r="E10136" s="423">
        <v>0.34501619529611038</v>
      </c>
      <c r="F10136" s="423">
        <v>2.2717849944555508E-2</v>
      </c>
      <c r="G10136" s="422">
        <v>593.02062784153134</v>
      </c>
      <c r="H10136" s="417" t="s">
        <v>2616</v>
      </c>
      <c r="I10136" s="417" t="s">
        <v>1392</v>
      </c>
      <c r="J10136" s="417" t="s">
        <v>20833</v>
      </c>
      <c r="K10136" s="417" t="s">
        <v>22717</v>
      </c>
      <c r="L10136" s="417"/>
      <c r="M10136" s="417" t="s">
        <v>28840</v>
      </c>
    </row>
    <row r="10137" spans="1:13" x14ac:dyDescent="0.25">
      <c r="A10137" s="417" t="s">
        <v>3385</v>
      </c>
      <c r="B10137" s="417" t="s">
        <v>2437</v>
      </c>
      <c r="C10137" s="417" t="s">
        <v>22718</v>
      </c>
      <c r="D10137" s="417" t="s">
        <v>3936</v>
      </c>
      <c r="E10137" s="423">
        <v>0.33561691938562971</v>
      </c>
      <c r="F10137" s="423">
        <v>1.55535056717981E-2</v>
      </c>
      <c r="G10137" s="422">
        <v>579.72753222600704</v>
      </c>
      <c r="H10137" s="417" t="s">
        <v>2616</v>
      </c>
      <c r="I10137" s="417" t="s">
        <v>1392</v>
      </c>
      <c r="J10137" s="417" t="s">
        <v>20833</v>
      </c>
      <c r="K10137" s="417" t="s">
        <v>22719</v>
      </c>
      <c r="L10137" s="417"/>
      <c r="M10137" s="417" t="s">
        <v>28840</v>
      </c>
    </row>
    <row r="10138" spans="1:13" x14ac:dyDescent="0.25">
      <c r="A10138" s="417" t="s">
        <v>3385</v>
      </c>
      <c r="B10138" s="417" t="s">
        <v>2437</v>
      </c>
      <c r="C10138" s="417" t="s">
        <v>22720</v>
      </c>
      <c r="D10138" s="417" t="s">
        <v>3936</v>
      </c>
      <c r="E10138" s="423">
        <v>0.33428955795402898</v>
      </c>
      <c r="F10138" s="423">
        <v>2.1980339031443152E-2</v>
      </c>
      <c r="G10138" s="422">
        <v>578.49967403837695</v>
      </c>
      <c r="H10138" s="417" t="s">
        <v>2616</v>
      </c>
      <c r="I10138" s="417" t="s">
        <v>1392</v>
      </c>
      <c r="J10138" s="417" t="s">
        <v>20833</v>
      </c>
      <c r="K10138" s="417" t="s">
        <v>22721</v>
      </c>
      <c r="L10138" s="417"/>
      <c r="M10138" s="417" t="s">
        <v>28840</v>
      </c>
    </row>
    <row r="10139" spans="1:13" x14ac:dyDescent="0.25">
      <c r="A10139" s="417" t="s">
        <v>3385</v>
      </c>
      <c r="B10139" s="417" t="s">
        <v>2437</v>
      </c>
      <c r="C10139" s="417" t="s">
        <v>22722</v>
      </c>
      <c r="D10139" s="417" t="s">
        <v>3936</v>
      </c>
      <c r="E10139" s="423">
        <v>0.34707667655883129</v>
      </c>
      <c r="F10139" s="423">
        <v>1.572303111449665E-2</v>
      </c>
      <c r="G10139" s="422">
        <v>594.26910801618283</v>
      </c>
      <c r="H10139" s="417" t="s">
        <v>2616</v>
      </c>
      <c r="I10139" s="417" t="s">
        <v>1392</v>
      </c>
      <c r="J10139" s="417" t="s">
        <v>20833</v>
      </c>
      <c r="K10139" s="417" t="s">
        <v>22723</v>
      </c>
      <c r="L10139" s="417"/>
      <c r="M10139" s="417" t="s">
        <v>28840</v>
      </c>
    </row>
    <row r="10140" spans="1:13" x14ac:dyDescent="0.25">
      <c r="A10140" s="417" t="s">
        <v>3385</v>
      </c>
      <c r="B10140" s="417" t="s">
        <v>2437</v>
      </c>
      <c r="C10140" s="417" t="s">
        <v>22724</v>
      </c>
      <c r="D10140" s="417" t="s">
        <v>3936</v>
      </c>
      <c r="E10140" s="423">
        <v>0.34656795439963067</v>
      </c>
      <c r="F10140" s="423">
        <v>2.2587529500541881E-2</v>
      </c>
      <c r="G10140" s="422">
        <v>593.92950688789301</v>
      </c>
      <c r="H10140" s="417" t="s">
        <v>2616</v>
      </c>
      <c r="I10140" s="417" t="s">
        <v>1392</v>
      </c>
      <c r="J10140" s="417" t="s">
        <v>20833</v>
      </c>
      <c r="K10140" s="417" t="s">
        <v>22725</v>
      </c>
      <c r="L10140" s="417"/>
      <c r="M10140" s="417" t="s">
        <v>28840</v>
      </c>
    </row>
    <row r="10141" spans="1:13" x14ac:dyDescent="0.25">
      <c r="A10141" s="417" t="s">
        <v>3385</v>
      </c>
      <c r="B10141" s="417" t="s">
        <v>2437</v>
      </c>
      <c r="C10141" s="417" t="s">
        <v>22726</v>
      </c>
      <c r="D10141" s="417" t="s">
        <v>3936</v>
      </c>
      <c r="E10141" s="423">
        <v>0.32569696622174038</v>
      </c>
      <c r="F10141" s="423">
        <v>1.47874610078923E-2</v>
      </c>
      <c r="G10141" s="422">
        <v>555.46181894342749</v>
      </c>
      <c r="H10141" s="417" t="s">
        <v>2616</v>
      </c>
      <c r="I10141" s="417" t="s">
        <v>1392</v>
      </c>
      <c r="J10141" s="417" t="s">
        <v>20833</v>
      </c>
      <c r="K10141" s="417" t="s">
        <v>22727</v>
      </c>
      <c r="L10141" s="417"/>
      <c r="M10141" s="417" t="s">
        <v>28840</v>
      </c>
    </row>
    <row r="10142" spans="1:13" x14ac:dyDescent="0.25">
      <c r="A10142" s="417" t="s">
        <v>3385</v>
      </c>
      <c r="B10142" s="417" t="s">
        <v>2437</v>
      </c>
      <c r="C10142" s="417" t="s">
        <v>22728</v>
      </c>
      <c r="D10142" s="417" t="s">
        <v>3936</v>
      </c>
      <c r="E10142" s="423">
        <v>0.32535906154746358</v>
      </c>
      <c r="F10142" s="423">
        <v>2.1082557340706989E-2</v>
      </c>
      <c r="G10142" s="422">
        <v>555.23459254536601</v>
      </c>
      <c r="H10142" s="417" t="s">
        <v>2616</v>
      </c>
      <c r="I10142" s="417" t="s">
        <v>1392</v>
      </c>
      <c r="J10142" s="417" t="s">
        <v>20833</v>
      </c>
      <c r="K10142" s="417" t="s">
        <v>22729</v>
      </c>
      <c r="L10142" s="417"/>
      <c r="M10142" s="417" t="s">
        <v>28840</v>
      </c>
    </row>
    <row r="10143" spans="1:13" x14ac:dyDescent="0.25">
      <c r="A10143" s="417" t="s">
        <v>3385</v>
      </c>
      <c r="B10143" s="417" t="s">
        <v>2437</v>
      </c>
      <c r="C10143" s="417" t="s">
        <v>22730</v>
      </c>
      <c r="D10143" s="417" t="s">
        <v>3936</v>
      </c>
      <c r="E10143" s="423">
        <v>0.30438437498516691</v>
      </c>
      <c r="F10143" s="423">
        <v>1.420231308056679E-2</v>
      </c>
      <c r="G10143" s="422">
        <v>520.69549213772802</v>
      </c>
      <c r="H10143" s="417" t="s">
        <v>2616</v>
      </c>
      <c r="I10143" s="417" t="s">
        <v>1392</v>
      </c>
      <c r="J10143" s="417" t="s">
        <v>20833</v>
      </c>
      <c r="K10143" s="417" t="s">
        <v>22731</v>
      </c>
      <c r="L10143" s="417"/>
      <c r="M10143" s="417" t="s">
        <v>28840</v>
      </c>
    </row>
    <row r="10144" spans="1:13" x14ac:dyDescent="0.25">
      <c r="A10144" s="417" t="s">
        <v>3385</v>
      </c>
      <c r="B10144" s="417" t="s">
        <v>2437</v>
      </c>
      <c r="C10144" s="417" t="s">
        <v>22732</v>
      </c>
      <c r="D10144" s="417" t="s">
        <v>3936</v>
      </c>
      <c r="E10144" s="423">
        <v>0.3031735530157767</v>
      </c>
      <c r="F10144" s="423">
        <v>2.0156846206122681E-2</v>
      </c>
      <c r="G10144" s="422">
        <v>519.62390640798071</v>
      </c>
      <c r="H10144" s="417" t="s">
        <v>2616</v>
      </c>
      <c r="I10144" s="417" t="s">
        <v>1392</v>
      </c>
      <c r="J10144" s="417" t="s">
        <v>20833</v>
      </c>
      <c r="K10144" s="417" t="s">
        <v>22733</v>
      </c>
      <c r="L10144" s="417"/>
      <c r="M10144" s="417" t="s">
        <v>28840</v>
      </c>
    </row>
    <row r="10145" spans="1:13" x14ac:dyDescent="0.25">
      <c r="A10145" s="417" t="s">
        <v>3385</v>
      </c>
      <c r="B10145" s="417" t="s">
        <v>2437</v>
      </c>
      <c r="C10145" s="417" t="s">
        <v>22734</v>
      </c>
      <c r="D10145" s="417" t="s">
        <v>3936</v>
      </c>
      <c r="E10145" s="423">
        <v>0.29798256628814229</v>
      </c>
      <c r="F10145" s="423">
        <v>1.3919627496087E-2</v>
      </c>
      <c r="G10145" s="422">
        <v>520.12205745070514</v>
      </c>
      <c r="H10145" s="417" t="s">
        <v>2616</v>
      </c>
      <c r="I10145" s="417" t="s">
        <v>1392</v>
      </c>
      <c r="J10145" s="417" t="s">
        <v>20833</v>
      </c>
      <c r="K10145" s="417" t="s">
        <v>22735</v>
      </c>
      <c r="L10145" s="417"/>
      <c r="M10145" s="417" t="s">
        <v>28840</v>
      </c>
    </row>
    <row r="10146" spans="1:13" x14ac:dyDescent="0.25">
      <c r="A10146" s="417" t="s">
        <v>3385</v>
      </c>
      <c r="B10146" s="417" t="s">
        <v>2437</v>
      </c>
      <c r="C10146" s="417" t="s">
        <v>22736</v>
      </c>
      <c r="D10146" s="417" t="s">
        <v>3936</v>
      </c>
      <c r="E10146" s="423">
        <v>0.29768184500595812</v>
      </c>
      <c r="F10146" s="423">
        <v>1.9705099668202671E-2</v>
      </c>
      <c r="G10146" s="422">
        <v>519.97439931315057</v>
      </c>
      <c r="H10146" s="417" t="s">
        <v>2616</v>
      </c>
      <c r="I10146" s="417" t="s">
        <v>1392</v>
      </c>
      <c r="J10146" s="417" t="s">
        <v>20833</v>
      </c>
      <c r="K10146" s="417" t="s">
        <v>22737</v>
      </c>
      <c r="L10146" s="417"/>
      <c r="M10146" s="417" t="s">
        <v>28840</v>
      </c>
    </row>
    <row r="10147" spans="1:13" x14ac:dyDescent="0.25">
      <c r="A10147" s="417" t="s">
        <v>3385</v>
      </c>
      <c r="B10147" s="417" t="s">
        <v>2437</v>
      </c>
      <c r="C10147" s="417" t="s">
        <v>22738</v>
      </c>
      <c r="D10147" s="417" t="s">
        <v>3936</v>
      </c>
      <c r="E10147" s="423">
        <v>0.28964166387470069</v>
      </c>
      <c r="F10147" s="423">
        <v>1.355866331408212E-2</v>
      </c>
      <c r="G10147" s="422">
        <v>508.68022261098031</v>
      </c>
      <c r="H10147" s="417" t="s">
        <v>2616</v>
      </c>
      <c r="I10147" s="417" t="s">
        <v>1392</v>
      </c>
      <c r="J10147" s="417" t="s">
        <v>20833</v>
      </c>
      <c r="K10147" s="417" t="s">
        <v>22739</v>
      </c>
      <c r="L10147" s="417"/>
      <c r="M10147" s="417" t="s">
        <v>28840</v>
      </c>
    </row>
    <row r="10148" spans="1:13" x14ac:dyDescent="0.25">
      <c r="A10148" s="417" t="s">
        <v>3385</v>
      </c>
      <c r="B10148" s="417" t="s">
        <v>2437</v>
      </c>
      <c r="C10148" s="417" t="s">
        <v>22740</v>
      </c>
      <c r="D10148" s="417" t="s">
        <v>3936</v>
      </c>
      <c r="E10148" s="423">
        <v>0.28947856847036812</v>
      </c>
      <c r="F10148" s="423">
        <v>1.914530929601397E-2</v>
      </c>
      <c r="G10148" s="422">
        <v>508.68745304945162</v>
      </c>
      <c r="H10148" s="417" t="s">
        <v>2616</v>
      </c>
      <c r="I10148" s="417" t="s">
        <v>1392</v>
      </c>
      <c r="J10148" s="417" t="s">
        <v>20833</v>
      </c>
      <c r="K10148" s="417" t="s">
        <v>22741</v>
      </c>
      <c r="L10148" s="417"/>
      <c r="M10148" s="417" t="s">
        <v>28840</v>
      </c>
    </row>
    <row r="10149" spans="1:13" x14ac:dyDescent="0.25">
      <c r="A10149" s="417" t="s">
        <v>3385</v>
      </c>
      <c r="B10149" s="417" t="s">
        <v>2437</v>
      </c>
      <c r="C10149" s="417" t="s">
        <v>22742</v>
      </c>
      <c r="D10149" s="417" t="s">
        <v>3936</v>
      </c>
      <c r="E10149" s="423">
        <v>0.2644285550927114</v>
      </c>
      <c r="F10149" s="423">
        <v>1.214597504005839E-2</v>
      </c>
      <c r="G10149" s="422">
        <v>470.43462001865259</v>
      </c>
      <c r="H10149" s="417" t="s">
        <v>2616</v>
      </c>
      <c r="I10149" s="417" t="s">
        <v>1392</v>
      </c>
      <c r="J10149" s="417" t="s">
        <v>20833</v>
      </c>
      <c r="K10149" s="417" t="s">
        <v>22743</v>
      </c>
      <c r="L10149" s="417"/>
      <c r="M10149" s="417" t="s">
        <v>28840</v>
      </c>
    </row>
    <row r="10150" spans="1:13" x14ac:dyDescent="0.25">
      <c r="A10150" s="417" t="s">
        <v>3385</v>
      </c>
      <c r="B10150" s="417" t="s">
        <v>2437</v>
      </c>
      <c r="C10150" s="417" t="s">
        <v>22744</v>
      </c>
      <c r="D10150" s="417" t="s">
        <v>3936</v>
      </c>
      <c r="E10150" s="423">
        <v>0.26420875202086508</v>
      </c>
      <c r="F10150" s="423">
        <v>1.7202984209721519E-2</v>
      </c>
      <c r="G10150" s="422">
        <v>470.32319277975921</v>
      </c>
      <c r="H10150" s="417" t="s">
        <v>2616</v>
      </c>
      <c r="I10150" s="417" t="s">
        <v>1392</v>
      </c>
      <c r="J10150" s="417" t="s">
        <v>20833</v>
      </c>
      <c r="K10150" s="417" t="s">
        <v>22745</v>
      </c>
      <c r="L10150" s="417"/>
      <c r="M10150" s="417" t="s">
        <v>28840</v>
      </c>
    </row>
    <row r="10151" spans="1:13" x14ac:dyDescent="0.25">
      <c r="A10151" s="417" t="s">
        <v>3385</v>
      </c>
      <c r="B10151" s="417" t="s">
        <v>2437</v>
      </c>
      <c r="C10151" s="417" t="s">
        <v>22746</v>
      </c>
      <c r="D10151" s="417" t="s">
        <v>3936</v>
      </c>
      <c r="E10151" s="423">
        <v>0.25137150686171439</v>
      </c>
      <c r="F10151" s="423">
        <v>1.1577932507457211E-2</v>
      </c>
      <c r="G10151" s="422">
        <v>444.78665529728119</v>
      </c>
      <c r="H10151" s="417" t="s">
        <v>2616</v>
      </c>
      <c r="I10151" s="417" t="s">
        <v>1392</v>
      </c>
      <c r="J10151" s="417" t="s">
        <v>20833</v>
      </c>
      <c r="K10151" s="417" t="s">
        <v>22747</v>
      </c>
      <c r="L10151" s="417"/>
      <c r="M10151" s="417" t="s">
        <v>28840</v>
      </c>
    </row>
    <row r="10152" spans="1:13" x14ac:dyDescent="0.25">
      <c r="A10152" s="417" t="s">
        <v>3385</v>
      </c>
      <c r="B10152" s="417" t="s">
        <v>2437</v>
      </c>
      <c r="C10152" s="417" t="s">
        <v>22748</v>
      </c>
      <c r="D10152" s="417" t="s">
        <v>3936</v>
      </c>
      <c r="E10152" s="423">
        <v>0.25097190515183931</v>
      </c>
      <c r="F10152" s="423">
        <v>1.6306819772935039E-2</v>
      </c>
      <c r="G10152" s="422">
        <v>444.52304741823849</v>
      </c>
      <c r="H10152" s="417" t="s">
        <v>2616</v>
      </c>
      <c r="I10152" s="417" t="s">
        <v>1392</v>
      </c>
      <c r="J10152" s="417" t="s">
        <v>20833</v>
      </c>
      <c r="K10152" s="417" t="s">
        <v>22749</v>
      </c>
      <c r="L10152" s="417"/>
      <c r="M10152" s="417" t="s">
        <v>28840</v>
      </c>
    </row>
    <row r="10153" spans="1:13" x14ac:dyDescent="0.25">
      <c r="A10153" s="417" t="s">
        <v>3385</v>
      </c>
      <c r="B10153" s="417" t="s">
        <v>2437</v>
      </c>
      <c r="C10153" s="417" t="s">
        <v>22750</v>
      </c>
      <c r="D10153" s="417" t="s">
        <v>3936</v>
      </c>
      <c r="E10153" s="423">
        <v>0.23528380781823821</v>
      </c>
      <c r="F10153" s="423">
        <v>1.122094549599131E-2</v>
      </c>
      <c r="G10153" s="422">
        <v>419.04571583096322</v>
      </c>
      <c r="H10153" s="417" t="s">
        <v>2616</v>
      </c>
      <c r="I10153" s="417" t="s">
        <v>1392</v>
      </c>
      <c r="J10153" s="417" t="s">
        <v>20833</v>
      </c>
      <c r="K10153" s="417" t="s">
        <v>22751</v>
      </c>
      <c r="L10153" s="417"/>
      <c r="M10153" s="417" t="s">
        <v>28840</v>
      </c>
    </row>
    <row r="10154" spans="1:13" x14ac:dyDescent="0.25">
      <c r="A10154" s="417" t="s">
        <v>3385</v>
      </c>
      <c r="B10154" s="417" t="s">
        <v>2437</v>
      </c>
      <c r="C10154" s="417" t="s">
        <v>22752</v>
      </c>
      <c r="D10154" s="417" t="s">
        <v>3936</v>
      </c>
      <c r="E10154" s="423">
        <v>0.23502183198399129</v>
      </c>
      <c r="F10154" s="423">
        <v>1.5741006571790419E-2</v>
      </c>
      <c r="G10154" s="422">
        <v>418.93698436777919</v>
      </c>
      <c r="H10154" s="417" t="s">
        <v>2616</v>
      </c>
      <c r="I10154" s="417" t="s">
        <v>1392</v>
      </c>
      <c r="J10154" s="417" t="s">
        <v>20833</v>
      </c>
      <c r="K10154" s="417" t="s">
        <v>22753</v>
      </c>
      <c r="L10154" s="417"/>
      <c r="M10154" s="417" t="s">
        <v>28840</v>
      </c>
    </row>
    <row r="10155" spans="1:13" x14ac:dyDescent="0.25">
      <c r="A10155" s="417" t="s">
        <v>3385</v>
      </c>
      <c r="B10155" s="417" t="s">
        <v>2437</v>
      </c>
      <c r="C10155" s="417" t="s">
        <v>22754</v>
      </c>
      <c r="D10155" s="417" t="s">
        <v>3936</v>
      </c>
      <c r="E10155" s="423">
        <v>0.2312814695320469</v>
      </c>
      <c r="F10155" s="423">
        <v>1.104411280899335E-2</v>
      </c>
      <c r="G10155" s="422">
        <v>419.71473721347672</v>
      </c>
      <c r="H10155" s="417" t="s">
        <v>2616</v>
      </c>
      <c r="I10155" s="417" t="s">
        <v>1392</v>
      </c>
      <c r="J10155" s="417" t="s">
        <v>20833</v>
      </c>
      <c r="K10155" s="417" t="s">
        <v>22755</v>
      </c>
      <c r="L10155" s="417"/>
      <c r="M10155" s="417" t="s">
        <v>28840</v>
      </c>
    </row>
    <row r="10156" spans="1:13" x14ac:dyDescent="0.25">
      <c r="A10156" s="417" t="s">
        <v>3385</v>
      </c>
      <c r="B10156" s="417" t="s">
        <v>2437</v>
      </c>
      <c r="C10156" s="417" t="s">
        <v>22756</v>
      </c>
      <c r="D10156" s="417" t="s">
        <v>3936</v>
      </c>
      <c r="E10156" s="423">
        <v>0.23108830663529351</v>
      </c>
      <c r="F10156" s="423">
        <v>1.5459760793110891E-2</v>
      </c>
      <c r="G10156" s="422">
        <v>419.68346230070949</v>
      </c>
      <c r="H10156" s="417" t="s">
        <v>2616</v>
      </c>
      <c r="I10156" s="417" t="s">
        <v>1392</v>
      </c>
      <c r="J10156" s="417" t="s">
        <v>20833</v>
      </c>
      <c r="K10156" s="417" t="s">
        <v>22757</v>
      </c>
      <c r="L10156" s="417"/>
      <c r="M10156" s="417" t="s">
        <v>28840</v>
      </c>
    </row>
    <row r="10157" spans="1:13" x14ac:dyDescent="0.25">
      <c r="A10157" s="417" t="s">
        <v>3385</v>
      </c>
      <c r="B10157" s="417" t="s">
        <v>2437</v>
      </c>
      <c r="C10157" s="417" t="s">
        <v>22758</v>
      </c>
      <c r="D10157" s="417" t="s">
        <v>3936</v>
      </c>
      <c r="E10157" s="423">
        <v>0.2262038632239409</v>
      </c>
      <c r="F10157" s="423">
        <v>1.0824820653723531E-2</v>
      </c>
      <c r="G10157" s="422">
        <v>412.6579475485857</v>
      </c>
      <c r="H10157" s="417" t="s">
        <v>2616</v>
      </c>
      <c r="I10157" s="417" t="s">
        <v>1392</v>
      </c>
      <c r="J10157" s="417" t="s">
        <v>20833</v>
      </c>
      <c r="K10157" s="417" t="s">
        <v>22759</v>
      </c>
      <c r="L10157" s="417"/>
      <c r="M10157" s="417" t="s">
        <v>28840</v>
      </c>
    </row>
    <row r="10158" spans="1:13" x14ac:dyDescent="0.25">
      <c r="A10158" s="417" t="s">
        <v>3385</v>
      </c>
      <c r="B10158" s="417" t="s">
        <v>2437</v>
      </c>
      <c r="C10158" s="417" t="s">
        <v>22760</v>
      </c>
      <c r="D10158" s="417" t="s">
        <v>3936</v>
      </c>
      <c r="E10158" s="423">
        <v>0.22559938485341741</v>
      </c>
      <c r="F10158" s="423">
        <v>1.5091160274431709E-2</v>
      </c>
      <c r="G10158" s="422">
        <v>412.12153194300322</v>
      </c>
      <c r="H10158" s="417" t="s">
        <v>2616</v>
      </c>
      <c r="I10158" s="417" t="s">
        <v>1392</v>
      </c>
      <c r="J10158" s="417" t="s">
        <v>20833</v>
      </c>
      <c r="K10158" s="417" t="s">
        <v>22761</v>
      </c>
      <c r="L10158" s="417"/>
      <c r="M10158" s="417" t="s">
        <v>28840</v>
      </c>
    </row>
    <row r="10159" spans="1:13" x14ac:dyDescent="0.25">
      <c r="A10159" s="417" t="s">
        <v>3385</v>
      </c>
      <c r="B10159" s="417" t="s">
        <v>2437</v>
      </c>
      <c r="C10159" s="417" t="s">
        <v>22762</v>
      </c>
      <c r="D10159" s="417" t="s">
        <v>3936</v>
      </c>
      <c r="E10159" s="423">
        <v>0.26104015392413438</v>
      </c>
      <c r="F10159" s="423">
        <v>1.205069620995871E-2</v>
      </c>
      <c r="G10159" s="422">
        <v>433.42700525219999</v>
      </c>
      <c r="H10159" s="417" t="s">
        <v>2616</v>
      </c>
      <c r="I10159" s="417" t="s">
        <v>1392</v>
      </c>
      <c r="J10159" s="417" t="s">
        <v>20833</v>
      </c>
      <c r="K10159" s="417" t="s">
        <v>22763</v>
      </c>
      <c r="L10159" s="417"/>
      <c r="M10159" s="417" t="s">
        <v>28840</v>
      </c>
    </row>
    <row r="10160" spans="1:13" x14ac:dyDescent="0.25">
      <c r="A10160" s="417" t="s">
        <v>3385</v>
      </c>
      <c r="B10160" s="417" t="s">
        <v>2437</v>
      </c>
      <c r="C10160" s="417" t="s">
        <v>22764</v>
      </c>
      <c r="D10160" s="417" t="s">
        <v>3936</v>
      </c>
      <c r="E10160" s="423">
        <v>0.26053546435526909</v>
      </c>
      <c r="F10160" s="423">
        <v>1.731897287599039E-2</v>
      </c>
      <c r="G10160" s="422">
        <v>475.44868355070503</v>
      </c>
      <c r="H10160" s="417" t="s">
        <v>2616</v>
      </c>
      <c r="I10160" s="417" t="s">
        <v>1392</v>
      </c>
      <c r="J10160" s="417" t="s">
        <v>20833</v>
      </c>
      <c r="K10160" s="417" t="s">
        <v>22765</v>
      </c>
      <c r="L10160" s="417"/>
      <c r="M10160" s="417" t="s">
        <v>28840</v>
      </c>
    </row>
    <row r="10161" spans="1:13" x14ac:dyDescent="0.25">
      <c r="A10161" s="417" t="s">
        <v>3385</v>
      </c>
      <c r="B10161" s="417" t="s">
        <v>2437</v>
      </c>
      <c r="C10161" s="417" t="s">
        <v>22766</v>
      </c>
      <c r="D10161" s="417" t="s">
        <v>3936</v>
      </c>
      <c r="E10161" s="423">
        <v>0.2492691112310037</v>
      </c>
      <c r="F10161" s="423">
        <v>1.153640518429617E-2</v>
      </c>
      <c r="G10161" s="422">
        <v>414.08762316118413</v>
      </c>
      <c r="H10161" s="417" t="s">
        <v>2616</v>
      </c>
      <c r="I10161" s="417" t="s">
        <v>1392</v>
      </c>
      <c r="J10161" s="417" t="s">
        <v>20833</v>
      </c>
      <c r="K10161" s="417" t="s">
        <v>22767</v>
      </c>
      <c r="L10161" s="417"/>
      <c r="M10161" s="417" t="s">
        <v>28840</v>
      </c>
    </row>
    <row r="10162" spans="1:13" x14ac:dyDescent="0.25">
      <c r="A10162" s="417" t="s">
        <v>3385</v>
      </c>
      <c r="B10162" s="417" t="s">
        <v>2437</v>
      </c>
      <c r="C10162" s="417" t="s">
        <v>22768</v>
      </c>
      <c r="D10162" s="417" t="s">
        <v>3936</v>
      </c>
      <c r="E10162" s="423">
        <v>0.2486090804763941</v>
      </c>
      <c r="F10162" s="423">
        <v>1.6503883880425119E-2</v>
      </c>
      <c r="G10162" s="422">
        <v>438.94620544962629</v>
      </c>
      <c r="H10162" s="417" t="s">
        <v>2616</v>
      </c>
      <c r="I10162" s="417" t="s">
        <v>1392</v>
      </c>
      <c r="J10162" s="417" t="s">
        <v>20833</v>
      </c>
      <c r="K10162" s="417" t="s">
        <v>22769</v>
      </c>
      <c r="L10162" s="417"/>
      <c r="M10162" s="417" t="s">
        <v>28840</v>
      </c>
    </row>
    <row r="10163" spans="1:13" x14ac:dyDescent="0.25">
      <c r="A10163" s="417" t="s">
        <v>3385</v>
      </c>
      <c r="B10163" s="417" t="s">
        <v>2437</v>
      </c>
      <c r="C10163" s="417" t="s">
        <v>22770</v>
      </c>
      <c r="D10163" s="417" t="s">
        <v>3936</v>
      </c>
      <c r="E10163" s="423">
        <v>0.23354433949645881</v>
      </c>
      <c r="F10163" s="423">
        <v>1.0850924767034699E-2</v>
      </c>
      <c r="G10163" s="422">
        <v>392.56036002597421</v>
      </c>
      <c r="H10163" s="417" t="s">
        <v>2616</v>
      </c>
      <c r="I10163" s="417" t="s">
        <v>1392</v>
      </c>
      <c r="J10163" s="417" t="s">
        <v>20833</v>
      </c>
      <c r="K10163" s="417" t="s">
        <v>22771</v>
      </c>
      <c r="L10163" s="417"/>
      <c r="M10163" s="417" t="s">
        <v>28840</v>
      </c>
    </row>
    <row r="10164" spans="1:13" x14ac:dyDescent="0.25">
      <c r="A10164" s="417" t="s">
        <v>3385</v>
      </c>
      <c r="B10164" s="417" t="s">
        <v>2437</v>
      </c>
      <c r="C10164" s="417" t="s">
        <v>22772</v>
      </c>
      <c r="D10164" s="417" t="s">
        <v>3936</v>
      </c>
      <c r="E10164" s="423">
        <v>0.23293844104123321</v>
      </c>
      <c r="F10164" s="423">
        <v>1.545051632145693E-2</v>
      </c>
      <c r="G10164" s="422">
        <v>415.10784624048421</v>
      </c>
      <c r="H10164" s="417" t="s">
        <v>2616</v>
      </c>
      <c r="I10164" s="417" t="s">
        <v>1392</v>
      </c>
      <c r="J10164" s="417" t="s">
        <v>20833</v>
      </c>
      <c r="K10164" s="417" t="s">
        <v>22773</v>
      </c>
      <c r="L10164" s="417"/>
      <c r="M10164" s="417" t="s">
        <v>28840</v>
      </c>
    </row>
    <row r="10165" spans="1:13" x14ac:dyDescent="0.25">
      <c r="A10165" s="417" t="s">
        <v>3385</v>
      </c>
      <c r="B10165" s="417" t="s">
        <v>2437</v>
      </c>
      <c r="C10165" s="417" t="s">
        <v>22774</v>
      </c>
      <c r="D10165" s="417" t="s">
        <v>3936</v>
      </c>
      <c r="E10165" s="423">
        <v>0.22748168728416929</v>
      </c>
      <c r="F10165" s="423">
        <v>1.0586051103901119E-2</v>
      </c>
      <c r="G10165" s="422">
        <v>383.2896119190321</v>
      </c>
      <c r="H10165" s="417" t="s">
        <v>2616</v>
      </c>
      <c r="I10165" s="417" t="s">
        <v>1392</v>
      </c>
      <c r="J10165" s="417" t="s">
        <v>20833</v>
      </c>
      <c r="K10165" s="417" t="s">
        <v>22775</v>
      </c>
      <c r="L10165" s="417"/>
      <c r="M10165" s="417" t="s">
        <v>28840</v>
      </c>
    </row>
    <row r="10166" spans="1:13" x14ac:dyDescent="0.25">
      <c r="A10166" s="417" t="s">
        <v>3385</v>
      </c>
      <c r="B10166" s="417" t="s">
        <v>2437</v>
      </c>
      <c r="C10166" s="417" t="s">
        <v>22776</v>
      </c>
      <c r="D10166" s="417" t="s">
        <v>3936</v>
      </c>
      <c r="E10166" s="423">
        <v>0.22736792578089701</v>
      </c>
      <c r="F10166" s="423">
        <v>1.500901036481222E-2</v>
      </c>
      <c r="G10166" s="422">
        <v>399.94378452648112</v>
      </c>
      <c r="H10166" s="417" t="s">
        <v>2616</v>
      </c>
      <c r="I10166" s="417" t="s">
        <v>1392</v>
      </c>
      <c r="J10166" s="417" t="s">
        <v>20833</v>
      </c>
      <c r="K10166" s="417" t="s">
        <v>22777</v>
      </c>
      <c r="L10166" s="417"/>
      <c r="M10166" s="417" t="s">
        <v>28840</v>
      </c>
    </row>
    <row r="10167" spans="1:13" x14ac:dyDescent="0.25">
      <c r="A10167" s="417" t="s">
        <v>3385</v>
      </c>
      <c r="B10167" s="417" t="s">
        <v>2437</v>
      </c>
      <c r="C10167" s="417" t="s">
        <v>22778</v>
      </c>
      <c r="D10167" s="417" t="s">
        <v>3936</v>
      </c>
      <c r="E10167" s="423">
        <v>0.21509686454228041</v>
      </c>
      <c r="F10167" s="423">
        <v>1.0389995371763871E-2</v>
      </c>
      <c r="G10167" s="422">
        <v>368.10667372411098</v>
      </c>
      <c r="H10167" s="417" t="s">
        <v>2616</v>
      </c>
      <c r="I10167" s="417" t="s">
        <v>1392</v>
      </c>
      <c r="J10167" s="417" t="s">
        <v>20833</v>
      </c>
      <c r="K10167" s="417" t="s">
        <v>22779</v>
      </c>
      <c r="L10167" s="417"/>
      <c r="M10167" s="417" t="s">
        <v>28840</v>
      </c>
    </row>
    <row r="10168" spans="1:13" x14ac:dyDescent="0.25">
      <c r="A10168" s="417" t="s">
        <v>3385</v>
      </c>
      <c r="B10168" s="417" t="s">
        <v>2437</v>
      </c>
      <c r="C10168" s="417" t="s">
        <v>22780</v>
      </c>
      <c r="D10168" s="417" t="s">
        <v>3936</v>
      </c>
      <c r="E10168" s="423">
        <v>0.21442542040881729</v>
      </c>
      <c r="F10168" s="423">
        <v>1.472611287891286E-2</v>
      </c>
      <c r="G10168" s="422">
        <v>379.08262343654712</v>
      </c>
      <c r="H10168" s="417" t="s">
        <v>2616</v>
      </c>
      <c r="I10168" s="417" t="s">
        <v>1392</v>
      </c>
      <c r="J10168" s="417" t="s">
        <v>20833</v>
      </c>
      <c r="K10168" s="417" t="s">
        <v>22781</v>
      </c>
      <c r="L10168" s="417"/>
      <c r="M10168" s="417" t="s">
        <v>28840</v>
      </c>
    </row>
    <row r="10169" spans="1:13" x14ac:dyDescent="0.25">
      <c r="A10169" s="417" t="s">
        <v>3385</v>
      </c>
      <c r="B10169" s="417" t="s">
        <v>2437</v>
      </c>
      <c r="C10169" s="417" t="s">
        <v>22782</v>
      </c>
      <c r="D10169" s="417" t="s">
        <v>3936</v>
      </c>
      <c r="E10169" s="423">
        <v>0.21306120044533819</v>
      </c>
      <c r="F10169" s="423">
        <v>1.030140561044407E-2</v>
      </c>
      <c r="G10169" s="422">
        <v>366.63421787191442</v>
      </c>
      <c r="H10169" s="417" t="s">
        <v>2616</v>
      </c>
      <c r="I10169" s="417" t="s">
        <v>1392</v>
      </c>
      <c r="J10169" s="417" t="s">
        <v>20833</v>
      </c>
      <c r="K10169" s="417" t="s">
        <v>22783</v>
      </c>
      <c r="L10169" s="417"/>
      <c r="M10169" s="417" t="s">
        <v>28840</v>
      </c>
    </row>
    <row r="10170" spans="1:13" x14ac:dyDescent="0.25">
      <c r="A10170" s="417" t="s">
        <v>3385</v>
      </c>
      <c r="B10170" s="417" t="s">
        <v>2437</v>
      </c>
      <c r="C10170" s="417" t="s">
        <v>22784</v>
      </c>
      <c r="D10170" s="417" t="s">
        <v>3936</v>
      </c>
      <c r="E10170" s="423">
        <v>0.2129492309298753</v>
      </c>
      <c r="F10170" s="423">
        <v>1.458531657207234E-2</v>
      </c>
      <c r="G10170" s="422">
        <v>382.69704239118931</v>
      </c>
      <c r="H10170" s="417" t="s">
        <v>2616</v>
      </c>
      <c r="I10170" s="417" t="s">
        <v>1392</v>
      </c>
      <c r="J10170" s="417" t="s">
        <v>20833</v>
      </c>
      <c r="K10170" s="417" t="s">
        <v>22785</v>
      </c>
      <c r="L10170" s="417"/>
      <c r="M10170" s="417" t="s">
        <v>28840</v>
      </c>
    </row>
    <row r="10171" spans="1:13" x14ac:dyDescent="0.25">
      <c r="A10171" s="417" t="s">
        <v>3385</v>
      </c>
      <c r="B10171" s="417" t="s">
        <v>2437</v>
      </c>
      <c r="C10171" s="417" t="s">
        <v>22786</v>
      </c>
      <c r="D10171" s="417" t="s">
        <v>3936</v>
      </c>
      <c r="E10171" s="423">
        <v>0.21026962641923189</v>
      </c>
      <c r="F10171" s="423">
        <v>1.017922914516158E-2</v>
      </c>
      <c r="G10171" s="422">
        <v>362.99869046286358</v>
      </c>
      <c r="H10171" s="417" t="s">
        <v>2616</v>
      </c>
      <c r="I10171" s="417" t="s">
        <v>1392</v>
      </c>
      <c r="J10171" s="417" t="s">
        <v>20833</v>
      </c>
      <c r="K10171" s="417" t="s">
        <v>22787</v>
      </c>
      <c r="L10171" s="417"/>
      <c r="M10171" s="417" t="s">
        <v>28840</v>
      </c>
    </row>
    <row r="10172" spans="1:13" x14ac:dyDescent="0.25">
      <c r="A10172" s="417" t="s">
        <v>3385</v>
      </c>
      <c r="B10172" s="417" t="s">
        <v>2437</v>
      </c>
      <c r="C10172" s="417" t="s">
        <v>22788</v>
      </c>
      <c r="D10172" s="417" t="s">
        <v>3936</v>
      </c>
      <c r="E10172" s="423">
        <v>0.21030483138810391</v>
      </c>
      <c r="F10172" s="423">
        <v>1.4386050939508959E-2</v>
      </c>
      <c r="G10172" s="422">
        <v>379.08225759005501</v>
      </c>
      <c r="H10172" s="417" t="s">
        <v>2616</v>
      </c>
      <c r="I10172" s="417" t="s">
        <v>1392</v>
      </c>
      <c r="J10172" s="417" t="s">
        <v>20833</v>
      </c>
      <c r="K10172" s="417" t="s">
        <v>22789</v>
      </c>
      <c r="L10172" s="417"/>
      <c r="M10172" s="417" t="s">
        <v>28840</v>
      </c>
    </row>
    <row r="10173" spans="1:13" x14ac:dyDescent="0.25">
      <c r="A10173" s="417" t="s">
        <v>3385</v>
      </c>
      <c r="B10173" s="417" t="s">
        <v>2437</v>
      </c>
      <c r="C10173" s="417" t="s">
        <v>22790</v>
      </c>
      <c r="D10173" s="417" t="s">
        <v>3936</v>
      </c>
      <c r="E10173" s="423">
        <v>0.30423197869032409</v>
      </c>
      <c r="F10173" s="423">
        <v>1.3953866493997069E-2</v>
      </c>
      <c r="G10173" s="422">
        <v>518.10695426122243</v>
      </c>
      <c r="H10173" s="417" t="s">
        <v>2616</v>
      </c>
      <c r="I10173" s="417" t="s">
        <v>1392</v>
      </c>
      <c r="J10173" s="417" t="s">
        <v>20833</v>
      </c>
      <c r="K10173" s="417" t="s">
        <v>22791</v>
      </c>
      <c r="L10173" s="417"/>
      <c r="M10173" s="417" t="s">
        <v>28840</v>
      </c>
    </row>
    <row r="10174" spans="1:13" x14ac:dyDescent="0.25">
      <c r="A10174" s="417" t="s">
        <v>3385</v>
      </c>
      <c r="B10174" s="417" t="s">
        <v>2437</v>
      </c>
      <c r="C10174" s="417" t="s">
        <v>22792</v>
      </c>
      <c r="D10174" s="417" t="s">
        <v>3936</v>
      </c>
      <c r="E10174" s="423">
        <v>0.27051131113019089</v>
      </c>
      <c r="F10174" s="423">
        <v>1.805746801161523E-2</v>
      </c>
      <c r="G10174" s="422">
        <v>470.54490752670182</v>
      </c>
      <c r="H10174" s="417" t="s">
        <v>2616</v>
      </c>
      <c r="I10174" s="417" t="s">
        <v>1392</v>
      </c>
      <c r="J10174" s="417" t="s">
        <v>20833</v>
      </c>
      <c r="K10174" s="417" t="s">
        <v>22793</v>
      </c>
      <c r="L10174" s="417"/>
      <c r="M10174" s="417" t="s">
        <v>28840</v>
      </c>
    </row>
    <row r="10175" spans="1:13" x14ac:dyDescent="0.25">
      <c r="A10175" s="417" t="s">
        <v>3385</v>
      </c>
      <c r="B10175" s="417" t="s">
        <v>2437</v>
      </c>
      <c r="C10175" s="417" t="s">
        <v>22794</v>
      </c>
      <c r="D10175" s="417" t="s">
        <v>3936</v>
      </c>
      <c r="E10175" s="423">
        <v>0.48099667394710649</v>
      </c>
      <c r="F10175" s="423">
        <v>2.157631354792848E-2</v>
      </c>
      <c r="G10175" s="422">
        <v>818.05439892904758</v>
      </c>
      <c r="H10175" s="417" t="s">
        <v>2616</v>
      </c>
      <c r="I10175" s="417" t="s">
        <v>1392</v>
      </c>
      <c r="J10175" s="417" t="s">
        <v>20833</v>
      </c>
      <c r="K10175" s="417" t="s">
        <v>22795</v>
      </c>
      <c r="L10175" s="417"/>
      <c r="M10175" s="417" t="s">
        <v>28840</v>
      </c>
    </row>
    <row r="10176" spans="1:13" x14ac:dyDescent="0.25">
      <c r="A10176" s="417" t="s">
        <v>3385</v>
      </c>
      <c r="B10176" s="417" t="s">
        <v>2437</v>
      </c>
      <c r="C10176" s="417" t="s">
        <v>22796</v>
      </c>
      <c r="D10176" s="417" t="s">
        <v>3936</v>
      </c>
      <c r="E10176" s="423">
        <v>0.48017083043633529</v>
      </c>
      <c r="F10176" s="423">
        <v>3.1665449271787161E-2</v>
      </c>
      <c r="G10176" s="422">
        <v>817.4662183808739</v>
      </c>
      <c r="H10176" s="417" t="s">
        <v>2616</v>
      </c>
      <c r="I10176" s="417" t="s">
        <v>1392</v>
      </c>
      <c r="J10176" s="417" t="s">
        <v>20833</v>
      </c>
      <c r="K10176" s="417" t="s">
        <v>22797</v>
      </c>
      <c r="L10176" s="417"/>
      <c r="M10176" s="417" t="s">
        <v>28840</v>
      </c>
    </row>
    <row r="10177" spans="1:13" x14ac:dyDescent="0.25">
      <c r="A10177" s="417" t="s">
        <v>3385</v>
      </c>
      <c r="B10177" s="417" t="s">
        <v>2437</v>
      </c>
      <c r="C10177" s="417" t="s">
        <v>22798</v>
      </c>
      <c r="D10177" s="417" t="s">
        <v>3936</v>
      </c>
      <c r="E10177" s="423">
        <v>0.45485574566397258</v>
      </c>
      <c r="F10177" s="423">
        <v>2.044018139557461E-2</v>
      </c>
      <c r="G10177" s="422">
        <v>744.61694891978868</v>
      </c>
      <c r="H10177" s="417" t="s">
        <v>2616</v>
      </c>
      <c r="I10177" s="417" t="s">
        <v>1392</v>
      </c>
      <c r="J10177" s="417" t="s">
        <v>20833</v>
      </c>
      <c r="K10177" s="417" t="s">
        <v>22799</v>
      </c>
      <c r="L10177" s="417"/>
      <c r="M10177" s="417" t="s">
        <v>28840</v>
      </c>
    </row>
    <row r="10178" spans="1:13" x14ac:dyDescent="0.25">
      <c r="A10178" s="417" t="s">
        <v>3385</v>
      </c>
      <c r="B10178" s="417" t="s">
        <v>2437</v>
      </c>
      <c r="C10178" s="417" t="s">
        <v>22800</v>
      </c>
      <c r="D10178" s="417" t="s">
        <v>3936</v>
      </c>
      <c r="E10178" s="423">
        <v>0.45367030485380949</v>
      </c>
      <c r="F10178" s="423">
        <v>2.9863073306926211E-2</v>
      </c>
      <c r="G10178" s="422">
        <v>743.72687900820188</v>
      </c>
      <c r="H10178" s="417" t="s">
        <v>2616</v>
      </c>
      <c r="I10178" s="417" t="s">
        <v>1392</v>
      </c>
      <c r="J10178" s="417" t="s">
        <v>20833</v>
      </c>
      <c r="K10178" s="417" t="s">
        <v>22801</v>
      </c>
      <c r="L10178" s="417"/>
      <c r="M10178" s="417" t="s">
        <v>28840</v>
      </c>
    </row>
    <row r="10179" spans="1:13" x14ac:dyDescent="0.25">
      <c r="A10179" s="417" t="s">
        <v>3385</v>
      </c>
      <c r="B10179" s="417" t="s">
        <v>2437</v>
      </c>
      <c r="C10179" s="417" t="s">
        <v>22802</v>
      </c>
      <c r="D10179" s="417" t="s">
        <v>3936</v>
      </c>
      <c r="E10179" s="423">
        <v>0.42121957637650098</v>
      </c>
      <c r="F10179" s="423">
        <v>1.897086421196973E-2</v>
      </c>
      <c r="G10179" s="422">
        <v>698.59141838825167</v>
      </c>
      <c r="H10179" s="417" t="s">
        <v>2616</v>
      </c>
      <c r="I10179" s="417" t="s">
        <v>1392</v>
      </c>
      <c r="J10179" s="417" t="s">
        <v>20833</v>
      </c>
      <c r="K10179" s="417" t="s">
        <v>22803</v>
      </c>
      <c r="L10179" s="417"/>
      <c r="M10179" s="417" t="s">
        <v>28840</v>
      </c>
    </row>
    <row r="10180" spans="1:13" x14ac:dyDescent="0.25">
      <c r="A10180" s="417" t="s">
        <v>3385</v>
      </c>
      <c r="B10180" s="417" t="s">
        <v>2437</v>
      </c>
      <c r="C10180" s="417" t="s">
        <v>22804</v>
      </c>
      <c r="D10180" s="417" t="s">
        <v>3936</v>
      </c>
      <c r="E10180" s="423">
        <v>0.41978309443989009</v>
      </c>
      <c r="F10180" s="423">
        <v>2.7543308689605459E-2</v>
      </c>
      <c r="G10180" s="422">
        <v>697.28759097275054</v>
      </c>
      <c r="H10180" s="417" t="s">
        <v>2616</v>
      </c>
      <c r="I10180" s="417" t="s">
        <v>1392</v>
      </c>
      <c r="J10180" s="417" t="s">
        <v>20833</v>
      </c>
      <c r="K10180" s="417" t="s">
        <v>22805</v>
      </c>
      <c r="L10180" s="417"/>
      <c r="M10180" s="417" t="s">
        <v>28840</v>
      </c>
    </row>
    <row r="10181" spans="1:13" x14ac:dyDescent="0.25">
      <c r="A10181" s="417" t="s">
        <v>3385</v>
      </c>
      <c r="B10181" s="417" t="s">
        <v>2437</v>
      </c>
      <c r="C10181" s="417" t="s">
        <v>22806</v>
      </c>
      <c r="D10181" s="417" t="s">
        <v>3936</v>
      </c>
      <c r="E10181" s="423">
        <v>0.40660237139436578</v>
      </c>
      <c r="F10181" s="423">
        <v>1.8334293680424111E-2</v>
      </c>
      <c r="G10181" s="422">
        <v>666.8745638445489</v>
      </c>
      <c r="H10181" s="417" t="s">
        <v>2616</v>
      </c>
      <c r="I10181" s="417" t="s">
        <v>1392</v>
      </c>
      <c r="J10181" s="417" t="s">
        <v>20833</v>
      </c>
      <c r="K10181" s="417" t="s">
        <v>22807</v>
      </c>
      <c r="L10181" s="417"/>
      <c r="M10181" s="417" t="s">
        <v>28840</v>
      </c>
    </row>
    <row r="10182" spans="1:13" x14ac:dyDescent="0.25">
      <c r="A10182" s="417" t="s">
        <v>3385</v>
      </c>
      <c r="B10182" s="417" t="s">
        <v>2437</v>
      </c>
      <c r="C10182" s="417" t="s">
        <v>22808</v>
      </c>
      <c r="D10182" s="417" t="s">
        <v>3936</v>
      </c>
      <c r="E10182" s="423">
        <v>0.40521361605409623</v>
      </c>
      <c r="F10182" s="423">
        <v>2.6538851021459049E-2</v>
      </c>
      <c r="G10182" s="422">
        <v>665.64958914898784</v>
      </c>
      <c r="H10182" s="417" t="s">
        <v>2616</v>
      </c>
      <c r="I10182" s="417" t="s">
        <v>1392</v>
      </c>
      <c r="J10182" s="417" t="s">
        <v>20833</v>
      </c>
      <c r="K10182" s="417" t="s">
        <v>22809</v>
      </c>
      <c r="L10182" s="417"/>
      <c r="M10182" s="417" t="s">
        <v>28840</v>
      </c>
    </row>
    <row r="10183" spans="1:13" x14ac:dyDescent="0.25">
      <c r="A10183" s="417" t="s">
        <v>3385</v>
      </c>
      <c r="B10183" s="417" t="s">
        <v>2437</v>
      </c>
      <c r="C10183" s="417" t="s">
        <v>22810</v>
      </c>
      <c r="D10183" s="417" t="s">
        <v>3936</v>
      </c>
      <c r="E10183" s="423">
        <v>0.38939110457674231</v>
      </c>
      <c r="F10183" s="423">
        <v>1.792880607151778E-2</v>
      </c>
      <c r="G10183" s="422">
        <v>634.92499403093007</v>
      </c>
      <c r="H10183" s="417" t="s">
        <v>2616</v>
      </c>
      <c r="I10183" s="417" t="s">
        <v>1392</v>
      </c>
      <c r="J10183" s="417" t="s">
        <v>20833</v>
      </c>
      <c r="K10183" s="417" t="s">
        <v>22811</v>
      </c>
      <c r="L10183" s="417"/>
      <c r="M10183" s="417" t="s">
        <v>28840</v>
      </c>
    </row>
    <row r="10184" spans="1:13" x14ac:dyDescent="0.25">
      <c r="A10184" s="417" t="s">
        <v>3385</v>
      </c>
      <c r="B10184" s="417" t="s">
        <v>2437</v>
      </c>
      <c r="C10184" s="417" t="s">
        <v>22812</v>
      </c>
      <c r="D10184" s="417" t="s">
        <v>3936</v>
      </c>
      <c r="E10184" s="423">
        <v>0.38806061891801569</v>
      </c>
      <c r="F10184" s="423">
        <v>2.5887213290154001E-2</v>
      </c>
      <c r="G10184" s="422">
        <v>633.7781319458644</v>
      </c>
      <c r="H10184" s="417" t="s">
        <v>2616</v>
      </c>
      <c r="I10184" s="417" t="s">
        <v>1392</v>
      </c>
      <c r="J10184" s="417" t="s">
        <v>20833</v>
      </c>
      <c r="K10184" s="417" t="s">
        <v>22813</v>
      </c>
      <c r="L10184" s="417"/>
      <c r="M10184" s="417" t="s">
        <v>28840</v>
      </c>
    </row>
    <row r="10185" spans="1:13" x14ac:dyDescent="0.25">
      <c r="A10185" s="417" t="s">
        <v>3385</v>
      </c>
      <c r="B10185" s="417" t="s">
        <v>2437</v>
      </c>
      <c r="C10185" s="417" t="s">
        <v>22814</v>
      </c>
      <c r="D10185" s="417" t="s">
        <v>3936</v>
      </c>
      <c r="E10185" s="423">
        <v>0.384616206936014</v>
      </c>
      <c r="F10185" s="423">
        <v>1.7717591869436802E-2</v>
      </c>
      <c r="G10185" s="422">
        <v>639.3075607146593</v>
      </c>
      <c r="H10185" s="417" t="s">
        <v>2616</v>
      </c>
      <c r="I10185" s="417" t="s">
        <v>1392</v>
      </c>
      <c r="J10185" s="417" t="s">
        <v>20833</v>
      </c>
      <c r="K10185" s="417" t="s">
        <v>22815</v>
      </c>
      <c r="L10185" s="417"/>
      <c r="M10185" s="417" t="s">
        <v>28840</v>
      </c>
    </row>
    <row r="10186" spans="1:13" x14ac:dyDescent="0.25">
      <c r="A10186" s="417" t="s">
        <v>3385</v>
      </c>
      <c r="B10186" s="417" t="s">
        <v>2437</v>
      </c>
      <c r="C10186" s="417" t="s">
        <v>22816</v>
      </c>
      <c r="D10186" s="417" t="s">
        <v>3936</v>
      </c>
      <c r="E10186" s="423">
        <v>0.38396829682747968</v>
      </c>
      <c r="F10186" s="423">
        <v>2.5556703377668619E-2</v>
      </c>
      <c r="G10186" s="422">
        <v>638.85356917683373</v>
      </c>
      <c r="H10186" s="417" t="s">
        <v>2616</v>
      </c>
      <c r="I10186" s="417" t="s">
        <v>1392</v>
      </c>
      <c r="J10186" s="417" t="s">
        <v>20833</v>
      </c>
      <c r="K10186" s="417" t="s">
        <v>22817</v>
      </c>
      <c r="L10186" s="417"/>
      <c r="M10186" s="417" t="s">
        <v>28840</v>
      </c>
    </row>
    <row r="10187" spans="1:13" x14ac:dyDescent="0.25">
      <c r="A10187" s="417" t="s">
        <v>3385</v>
      </c>
      <c r="B10187" s="417" t="s">
        <v>2437</v>
      </c>
      <c r="C10187" s="417" t="s">
        <v>22818</v>
      </c>
      <c r="D10187" s="417" t="s">
        <v>3936</v>
      </c>
      <c r="E10187" s="423">
        <v>0.37897921410757979</v>
      </c>
      <c r="F10187" s="423">
        <v>1.7472539907479569E-2</v>
      </c>
      <c r="G10187" s="422">
        <v>631.64021875835147</v>
      </c>
      <c r="H10187" s="417" t="s">
        <v>2616</v>
      </c>
      <c r="I10187" s="417" t="s">
        <v>1392</v>
      </c>
      <c r="J10187" s="417" t="s">
        <v>20833</v>
      </c>
      <c r="K10187" s="417" t="s">
        <v>22819</v>
      </c>
      <c r="L10187" s="417"/>
      <c r="M10187" s="417" t="s">
        <v>28840</v>
      </c>
    </row>
    <row r="10188" spans="1:13" x14ac:dyDescent="0.25">
      <c r="A10188" s="417" t="s">
        <v>3385</v>
      </c>
      <c r="B10188" s="417" t="s">
        <v>2437</v>
      </c>
      <c r="C10188" s="417" t="s">
        <v>22820</v>
      </c>
      <c r="D10188" s="417" t="s">
        <v>3936</v>
      </c>
      <c r="E10188" s="423">
        <v>0.37862764206719701</v>
      </c>
      <c r="F10188" s="423">
        <v>2.5167473081175121E-2</v>
      </c>
      <c r="G10188" s="422">
        <v>631.49471607409782</v>
      </c>
      <c r="H10188" s="417" t="s">
        <v>2616</v>
      </c>
      <c r="I10188" s="417" t="s">
        <v>1392</v>
      </c>
      <c r="J10188" s="417" t="s">
        <v>20833</v>
      </c>
      <c r="K10188" s="417" t="s">
        <v>22821</v>
      </c>
      <c r="L10188" s="417"/>
      <c r="M10188" s="417" t="s">
        <v>28840</v>
      </c>
    </row>
    <row r="10189" spans="1:13" x14ac:dyDescent="0.25">
      <c r="A10189" s="417" t="s">
        <v>3385</v>
      </c>
      <c r="B10189" s="417" t="s">
        <v>2437</v>
      </c>
      <c r="C10189" s="417" t="s">
        <v>22822</v>
      </c>
      <c r="D10189" s="417" t="s">
        <v>3936</v>
      </c>
      <c r="E10189" s="423">
        <v>0.43050013625731981</v>
      </c>
      <c r="F10189" s="423">
        <v>1.9383848924818099E-2</v>
      </c>
      <c r="G10189" s="422">
        <v>736.80354356473413</v>
      </c>
      <c r="H10189" s="417" t="s">
        <v>2616</v>
      </c>
      <c r="I10189" s="417" t="s">
        <v>1392</v>
      </c>
      <c r="J10189" s="417" t="s">
        <v>20833</v>
      </c>
      <c r="K10189" s="417" t="s">
        <v>22823</v>
      </c>
      <c r="L10189" s="417"/>
      <c r="M10189" s="417" t="s">
        <v>28840</v>
      </c>
    </row>
    <row r="10190" spans="1:13" x14ac:dyDescent="0.25">
      <c r="A10190" s="417" t="s">
        <v>3385</v>
      </c>
      <c r="B10190" s="417" t="s">
        <v>2437</v>
      </c>
      <c r="C10190" s="417" t="s">
        <v>22824</v>
      </c>
      <c r="D10190" s="417" t="s">
        <v>3936</v>
      </c>
      <c r="E10190" s="423">
        <v>0.42921425294230742</v>
      </c>
      <c r="F10190" s="423">
        <v>2.8515942867949819E-2</v>
      </c>
      <c r="G10190" s="422">
        <v>735.83364174936605</v>
      </c>
      <c r="H10190" s="417" t="s">
        <v>2616</v>
      </c>
      <c r="I10190" s="417" t="s">
        <v>1392</v>
      </c>
      <c r="J10190" s="417" t="s">
        <v>20833</v>
      </c>
      <c r="K10190" s="417" t="s">
        <v>22825</v>
      </c>
      <c r="L10190" s="417"/>
      <c r="M10190" s="417" t="s">
        <v>28840</v>
      </c>
    </row>
    <row r="10191" spans="1:13" x14ac:dyDescent="0.25">
      <c r="A10191" s="417" t="s">
        <v>3385</v>
      </c>
      <c r="B10191" s="417" t="s">
        <v>2437</v>
      </c>
      <c r="C10191" s="417" t="s">
        <v>22826</v>
      </c>
      <c r="D10191" s="417" t="s">
        <v>3936</v>
      </c>
      <c r="E10191" s="423">
        <v>0.40527616077482298</v>
      </c>
      <c r="F10191" s="423">
        <v>1.8287517917554969E-2</v>
      </c>
      <c r="G10191" s="422">
        <v>668.23185839120868</v>
      </c>
      <c r="H10191" s="417" t="s">
        <v>2616</v>
      </c>
      <c r="I10191" s="417" t="s">
        <v>1392</v>
      </c>
      <c r="J10191" s="417" t="s">
        <v>20833</v>
      </c>
      <c r="K10191" s="417" t="s">
        <v>22827</v>
      </c>
      <c r="L10191" s="417"/>
      <c r="M10191" s="417" t="s">
        <v>28840</v>
      </c>
    </row>
    <row r="10192" spans="1:13" x14ac:dyDescent="0.25">
      <c r="A10192" s="417" t="s">
        <v>3385</v>
      </c>
      <c r="B10192" s="417" t="s">
        <v>2437</v>
      </c>
      <c r="C10192" s="417" t="s">
        <v>22828</v>
      </c>
      <c r="D10192" s="417" t="s">
        <v>3936</v>
      </c>
      <c r="E10192" s="423">
        <v>0.40382913562713202</v>
      </c>
      <c r="F10192" s="423">
        <v>2.6728225370674961E-2</v>
      </c>
      <c r="G10192" s="422">
        <v>666.94809113071301</v>
      </c>
      <c r="H10192" s="417" t="s">
        <v>2616</v>
      </c>
      <c r="I10192" s="417" t="s">
        <v>1392</v>
      </c>
      <c r="J10192" s="417" t="s">
        <v>20833</v>
      </c>
      <c r="K10192" s="417" t="s">
        <v>22829</v>
      </c>
      <c r="L10192" s="417"/>
      <c r="M10192" s="417" t="s">
        <v>28840</v>
      </c>
    </row>
    <row r="10193" spans="1:13" x14ac:dyDescent="0.25">
      <c r="A10193" s="417" t="s">
        <v>3385</v>
      </c>
      <c r="B10193" s="417" t="s">
        <v>2437</v>
      </c>
      <c r="C10193" s="417" t="s">
        <v>22830</v>
      </c>
      <c r="D10193" s="417" t="s">
        <v>3936</v>
      </c>
      <c r="E10193" s="423">
        <v>0.37072830797770312</v>
      </c>
      <c r="F10193" s="423">
        <v>1.6779381152216371E-2</v>
      </c>
      <c r="G10193" s="422">
        <v>620.42267787624223</v>
      </c>
      <c r="H10193" s="417" t="s">
        <v>2616</v>
      </c>
      <c r="I10193" s="417" t="s">
        <v>1392</v>
      </c>
      <c r="J10193" s="417" t="s">
        <v>20833</v>
      </c>
      <c r="K10193" s="417" t="s">
        <v>22831</v>
      </c>
      <c r="L10193" s="417"/>
      <c r="M10193" s="417" t="s">
        <v>28840</v>
      </c>
    </row>
    <row r="10194" spans="1:13" x14ac:dyDescent="0.25">
      <c r="A10194" s="417" t="s">
        <v>3385</v>
      </c>
      <c r="B10194" s="417" t="s">
        <v>2437</v>
      </c>
      <c r="C10194" s="417" t="s">
        <v>22832</v>
      </c>
      <c r="D10194" s="417" t="s">
        <v>3936</v>
      </c>
      <c r="E10194" s="423">
        <v>0.37013866757410052</v>
      </c>
      <c r="F10194" s="423">
        <v>2.4382342539219538E-2</v>
      </c>
      <c r="G10194" s="422">
        <v>620.0467986588219</v>
      </c>
      <c r="H10194" s="417" t="s">
        <v>2616</v>
      </c>
      <c r="I10194" s="417" t="s">
        <v>1392</v>
      </c>
      <c r="J10194" s="417" t="s">
        <v>20833</v>
      </c>
      <c r="K10194" s="417" t="s">
        <v>22833</v>
      </c>
      <c r="L10194" s="417"/>
      <c r="M10194" s="417" t="s">
        <v>28840</v>
      </c>
    </row>
    <row r="10195" spans="1:13" x14ac:dyDescent="0.25">
      <c r="A10195" s="417" t="s">
        <v>3385</v>
      </c>
      <c r="B10195" s="417" t="s">
        <v>2437</v>
      </c>
      <c r="C10195" s="417" t="s">
        <v>22834</v>
      </c>
      <c r="D10195" s="417" t="s">
        <v>3936</v>
      </c>
      <c r="E10195" s="423">
        <v>0.35457878381056313</v>
      </c>
      <c r="F10195" s="423">
        <v>1.6073867761583021E-2</v>
      </c>
      <c r="G10195" s="422">
        <v>587.88586398636039</v>
      </c>
      <c r="H10195" s="417" t="s">
        <v>2616</v>
      </c>
      <c r="I10195" s="417" t="s">
        <v>1392</v>
      </c>
      <c r="J10195" s="417" t="s">
        <v>20833</v>
      </c>
      <c r="K10195" s="417" t="s">
        <v>22835</v>
      </c>
      <c r="L10195" s="417"/>
      <c r="M10195" s="417" t="s">
        <v>28840</v>
      </c>
    </row>
    <row r="10196" spans="1:13" x14ac:dyDescent="0.25">
      <c r="A10196" s="417" t="s">
        <v>3385</v>
      </c>
      <c r="B10196" s="417" t="s">
        <v>2437</v>
      </c>
      <c r="C10196" s="417" t="s">
        <v>22836</v>
      </c>
      <c r="D10196" s="417" t="s">
        <v>3936</v>
      </c>
      <c r="E10196" s="423">
        <v>0.35417050415664808</v>
      </c>
      <c r="F10196" s="423">
        <v>2.3239164122694271E-2</v>
      </c>
      <c r="G10196" s="422">
        <v>587.62177511223592</v>
      </c>
      <c r="H10196" s="417" t="s">
        <v>2616</v>
      </c>
      <c r="I10196" s="417" t="s">
        <v>1392</v>
      </c>
      <c r="J10196" s="417" t="s">
        <v>20833</v>
      </c>
      <c r="K10196" s="417" t="s">
        <v>22837</v>
      </c>
      <c r="L10196" s="417"/>
      <c r="M10196" s="417" t="s">
        <v>28840</v>
      </c>
    </row>
    <row r="10197" spans="1:13" x14ac:dyDescent="0.25">
      <c r="A10197" s="417" t="s">
        <v>3385</v>
      </c>
      <c r="B10197" s="417" t="s">
        <v>2437</v>
      </c>
      <c r="C10197" s="417" t="s">
        <v>22838</v>
      </c>
      <c r="D10197" s="417" t="s">
        <v>3936</v>
      </c>
      <c r="E10197" s="423">
        <v>0.33638725785011542</v>
      </c>
      <c r="F10197" s="423">
        <v>1.5627027722821051E-2</v>
      </c>
      <c r="G10197" s="422">
        <v>555.97013705444783</v>
      </c>
      <c r="H10197" s="417" t="s">
        <v>2616</v>
      </c>
      <c r="I10197" s="417" t="s">
        <v>1392</v>
      </c>
      <c r="J10197" s="417" t="s">
        <v>20833</v>
      </c>
      <c r="K10197" s="417" t="s">
        <v>22839</v>
      </c>
      <c r="L10197" s="417"/>
      <c r="M10197" s="417" t="s">
        <v>28840</v>
      </c>
    </row>
    <row r="10198" spans="1:13" x14ac:dyDescent="0.25">
      <c r="A10198" s="417" t="s">
        <v>3385</v>
      </c>
      <c r="B10198" s="417" t="s">
        <v>2437</v>
      </c>
      <c r="C10198" s="417" t="s">
        <v>22840</v>
      </c>
      <c r="D10198" s="417" t="s">
        <v>3936</v>
      </c>
      <c r="E10198" s="423">
        <v>0.33565101048665691</v>
      </c>
      <c r="F10198" s="423">
        <v>2.2531291344608712E-2</v>
      </c>
      <c r="G10198" s="422">
        <v>555.39965932257678</v>
      </c>
      <c r="H10198" s="417" t="s">
        <v>2616</v>
      </c>
      <c r="I10198" s="417" t="s">
        <v>1392</v>
      </c>
      <c r="J10198" s="417" t="s">
        <v>20833</v>
      </c>
      <c r="K10198" s="417" t="s">
        <v>22841</v>
      </c>
      <c r="L10198" s="417"/>
      <c r="M10198" s="417" t="s">
        <v>28840</v>
      </c>
    </row>
    <row r="10199" spans="1:13" x14ac:dyDescent="0.25">
      <c r="A10199" s="417" t="s">
        <v>3385</v>
      </c>
      <c r="B10199" s="417" t="s">
        <v>2437</v>
      </c>
      <c r="C10199" s="417" t="s">
        <v>22842</v>
      </c>
      <c r="D10199" s="417" t="s">
        <v>3936</v>
      </c>
      <c r="E10199" s="423">
        <v>0.33161646563553221</v>
      </c>
      <c r="F10199" s="423">
        <v>1.5415448967618589E-2</v>
      </c>
      <c r="G10199" s="422">
        <v>558.92861398146351</v>
      </c>
      <c r="H10199" s="417" t="s">
        <v>2616</v>
      </c>
      <c r="I10199" s="417" t="s">
        <v>1392</v>
      </c>
      <c r="J10199" s="417" t="s">
        <v>20833</v>
      </c>
      <c r="K10199" s="417" t="s">
        <v>22843</v>
      </c>
      <c r="L10199" s="417"/>
      <c r="M10199" s="417" t="s">
        <v>28840</v>
      </c>
    </row>
    <row r="10200" spans="1:13" x14ac:dyDescent="0.25">
      <c r="A10200" s="417" t="s">
        <v>3385</v>
      </c>
      <c r="B10200" s="417" t="s">
        <v>2437</v>
      </c>
      <c r="C10200" s="417" t="s">
        <v>22844</v>
      </c>
      <c r="D10200" s="417" t="s">
        <v>3936</v>
      </c>
      <c r="E10200" s="423">
        <v>0.33046890281566071</v>
      </c>
      <c r="F10200" s="423">
        <v>2.2180404228653219E-2</v>
      </c>
      <c r="G10200" s="422">
        <v>557.85294783877725</v>
      </c>
      <c r="H10200" s="417" t="s">
        <v>2616</v>
      </c>
      <c r="I10200" s="417" t="s">
        <v>1392</v>
      </c>
      <c r="J10200" s="417" t="s">
        <v>20833</v>
      </c>
      <c r="K10200" s="417" t="s">
        <v>22845</v>
      </c>
      <c r="L10200" s="417"/>
      <c r="M10200" s="417" t="s">
        <v>28840</v>
      </c>
    </row>
    <row r="10201" spans="1:13" x14ac:dyDescent="0.25">
      <c r="A10201" s="417" t="s">
        <v>3385</v>
      </c>
      <c r="B10201" s="417" t="s">
        <v>2437</v>
      </c>
      <c r="C10201" s="417" t="s">
        <v>22846</v>
      </c>
      <c r="D10201" s="417" t="s">
        <v>3936</v>
      </c>
      <c r="E10201" s="423">
        <v>0.32526202562407103</v>
      </c>
      <c r="F10201" s="423">
        <v>1.5139120725308319E-2</v>
      </c>
      <c r="G10201" s="422">
        <v>550.37819521612198</v>
      </c>
      <c r="H10201" s="417" t="s">
        <v>2616</v>
      </c>
      <c r="I10201" s="417" t="s">
        <v>1392</v>
      </c>
      <c r="J10201" s="417" t="s">
        <v>20833</v>
      </c>
      <c r="K10201" s="417" t="s">
        <v>22847</v>
      </c>
      <c r="L10201" s="417"/>
      <c r="M10201" s="417" t="s">
        <v>28840</v>
      </c>
    </row>
    <row r="10202" spans="1:13" x14ac:dyDescent="0.25">
      <c r="A10202" s="417" t="s">
        <v>3385</v>
      </c>
      <c r="B10202" s="417" t="s">
        <v>2437</v>
      </c>
      <c r="C10202" s="417" t="s">
        <v>22848</v>
      </c>
      <c r="D10202" s="417" t="s">
        <v>3936</v>
      </c>
      <c r="E10202" s="423">
        <v>0.3240245634995455</v>
      </c>
      <c r="F10202" s="423">
        <v>2.1735015035398739E-2</v>
      </c>
      <c r="G10202" s="422">
        <v>549.22639649071846</v>
      </c>
      <c r="H10202" s="417" t="s">
        <v>2616</v>
      </c>
      <c r="I10202" s="417" t="s">
        <v>1392</v>
      </c>
      <c r="J10202" s="417" t="s">
        <v>20833</v>
      </c>
      <c r="K10202" s="417" t="s">
        <v>22849</v>
      </c>
      <c r="L10202" s="417"/>
      <c r="M10202" s="417" t="s">
        <v>28840</v>
      </c>
    </row>
    <row r="10203" spans="1:13" x14ac:dyDescent="0.25">
      <c r="A10203" s="417" t="s">
        <v>3385</v>
      </c>
      <c r="B10203" s="417" t="s">
        <v>2437</v>
      </c>
      <c r="C10203" s="417" t="s">
        <v>22850</v>
      </c>
      <c r="D10203" s="417" t="s">
        <v>3936</v>
      </c>
      <c r="E10203" s="423">
        <v>0.30742937313710228</v>
      </c>
      <c r="F10203" s="423">
        <v>1.4049083830163541E-2</v>
      </c>
      <c r="G10203" s="422">
        <v>548.01244606106661</v>
      </c>
      <c r="H10203" s="417" t="s">
        <v>2616</v>
      </c>
      <c r="I10203" s="417" t="s">
        <v>1392</v>
      </c>
      <c r="J10203" s="417" t="s">
        <v>20833</v>
      </c>
      <c r="K10203" s="417" t="s">
        <v>22851</v>
      </c>
      <c r="L10203" s="417"/>
      <c r="M10203" s="417" t="s">
        <v>28840</v>
      </c>
    </row>
    <row r="10204" spans="1:13" x14ac:dyDescent="0.25">
      <c r="A10204" s="417" t="s">
        <v>3385</v>
      </c>
      <c r="B10204" s="417" t="s">
        <v>2437</v>
      </c>
      <c r="C10204" s="417" t="s">
        <v>22852</v>
      </c>
      <c r="D10204" s="417" t="s">
        <v>3936</v>
      </c>
      <c r="E10204" s="423">
        <v>0.30639834978728742</v>
      </c>
      <c r="F10204" s="423">
        <v>2.0341738856625779E-2</v>
      </c>
      <c r="G10204" s="422">
        <v>547.10416489779402</v>
      </c>
      <c r="H10204" s="417" t="s">
        <v>2616</v>
      </c>
      <c r="I10204" s="417" t="s">
        <v>1392</v>
      </c>
      <c r="J10204" s="417" t="s">
        <v>20833</v>
      </c>
      <c r="K10204" s="417" t="s">
        <v>22853</v>
      </c>
      <c r="L10204" s="417"/>
      <c r="M10204" s="417" t="s">
        <v>28840</v>
      </c>
    </row>
    <row r="10205" spans="1:13" x14ac:dyDescent="0.25">
      <c r="A10205" s="417" t="s">
        <v>3385</v>
      </c>
      <c r="B10205" s="417" t="s">
        <v>2437</v>
      </c>
      <c r="C10205" s="417" t="s">
        <v>22854</v>
      </c>
      <c r="D10205" s="417" t="s">
        <v>3936</v>
      </c>
      <c r="E10205" s="423">
        <v>0.29314392339673612</v>
      </c>
      <c r="F10205" s="423">
        <v>1.3428653696338781E-2</v>
      </c>
      <c r="G10205" s="422">
        <v>504.53101250210239</v>
      </c>
      <c r="H10205" s="417" t="s">
        <v>2616</v>
      </c>
      <c r="I10205" s="417" t="s">
        <v>1392</v>
      </c>
      <c r="J10205" s="417" t="s">
        <v>20833</v>
      </c>
      <c r="K10205" s="417" t="s">
        <v>22855</v>
      </c>
      <c r="L10205" s="417"/>
      <c r="M10205" s="417" t="s">
        <v>28840</v>
      </c>
    </row>
    <row r="10206" spans="1:13" x14ac:dyDescent="0.25">
      <c r="A10206" s="417" t="s">
        <v>3385</v>
      </c>
      <c r="B10206" s="417" t="s">
        <v>2437</v>
      </c>
      <c r="C10206" s="417" t="s">
        <v>22856</v>
      </c>
      <c r="D10206" s="417" t="s">
        <v>3936</v>
      </c>
      <c r="E10206" s="423">
        <v>0.29285374532508168</v>
      </c>
      <c r="F10206" s="423">
        <v>1.9355862891558329E-2</v>
      </c>
      <c r="G10206" s="422">
        <v>504.39616282414528</v>
      </c>
      <c r="H10206" s="417" t="s">
        <v>2616</v>
      </c>
      <c r="I10206" s="417" t="s">
        <v>1392</v>
      </c>
      <c r="J10206" s="417" t="s">
        <v>20833</v>
      </c>
      <c r="K10206" s="417" t="s">
        <v>22857</v>
      </c>
      <c r="L10206" s="417"/>
      <c r="M10206" s="417" t="s">
        <v>28840</v>
      </c>
    </row>
    <row r="10207" spans="1:13" x14ac:dyDescent="0.25">
      <c r="A10207" s="417" t="s">
        <v>3385</v>
      </c>
      <c r="B10207" s="417" t="s">
        <v>2437</v>
      </c>
      <c r="C10207" s="417" t="s">
        <v>22858</v>
      </c>
      <c r="D10207" s="417" t="s">
        <v>3936</v>
      </c>
      <c r="E10207" s="423">
        <v>0.27345286960867471</v>
      </c>
      <c r="F10207" s="423">
        <v>1.2570550359002961E-2</v>
      </c>
      <c r="G10207" s="422">
        <v>475.54622030321769</v>
      </c>
      <c r="H10207" s="417" t="s">
        <v>2616</v>
      </c>
      <c r="I10207" s="417" t="s">
        <v>1392</v>
      </c>
      <c r="J10207" s="417" t="s">
        <v>20833</v>
      </c>
      <c r="K10207" s="417" t="s">
        <v>22859</v>
      </c>
      <c r="L10207" s="417"/>
      <c r="M10207" s="417" t="s">
        <v>28840</v>
      </c>
    </row>
    <row r="10208" spans="1:13" x14ac:dyDescent="0.25">
      <c r="A10208" s="417" t="s">
        <v>3385</v>
      </c>
      <c r="B10208" s="417" t="s">
        <v>2437</v>
      </c>
      <c r="C10208" s="417" t="s">
        <v>22860</v>
      </c>
      <c r="D10208" s="417" t="s">
        <v>3936</v>
      </c>
      <c r="E10208" s="423">
        <v>0.27287845902839541</v>
      </c>
      <c r="F10208" s="423">
        <v>1.8007888191584189E-2</v>
      </c>
      <c r="G10208" s="422">
        <v>475.04825191267508</v>
      </c>
      <c r="H10208" s="417" t="s">
        <v>2616</v>
      </c>
      <c r="I10208" s="417" t="s">
        <v>1392</v>
      </c>
      <c r="J10208" s="417" t="s">
        <v>20833</v>
      </c>
      <c r="K10208" s="417" t="s">
        <v>22861</v>
      </c>
      <c r="L10208" s="417"/>
      <c r="M10208" s="417" t="s">
        <v>28840</v>
      </c>
    </row>
    <row r="10209" spans="1:13" x14ac:dyDescent="0.25">
      <c r="A10209" s="417" t="s">
        <v>3385</v>
      </c>
      <c r="B10209" s="417" t="s">
        <v>2437</v>
      </c>
      <c r="C10209" s="417" t="s">
        <v>22862</v>
      </c>
      <c r="D10209" s="417" t="s">
        <v>3936</v>
      </c>
      <c r="E10209" s="423">
        <v>0.26448408365522852</v>
      </c>
      <c r="F10209" s="423">
        <v>1.2179888701117509E-2</v>
      </c>
      <c r="G10209" s="422">
        <v>455.0418629723091</v>
      </c>
      <c r="H10209" s="417" t="s">
        <v>2616</v>
      </c>
      <c r="I10209" s="417" t="s">
        <v>1392</v>
      </c>
      <c r="J10209" s="417" t="s">
        <v>20833</v>
      </c>
      <c r="K10209" s="417" t="s">
        <v>22863</v>
      </c>
      <c r="L10209" s="417"/>
      <c r="M10209" s="417" t="s">
        <v>28840</v>
      </c>
    </row>
    <row r="10210" spans="1:13" x14ac:dyDescent="0.25">
      <c r="A10210" s="417" t="s">
        <v>3385</v>
      </c>
      <c r="B10210" s="417" t="s">
        <v>2437</v>
      </c>
      <c r="C10210" s="417" t="s">
        <v>22864</v>
      </c>
      <c r="D10210" s="417" t="s">
        <v>3936</v>
      </c>
      <c r="E10210" s="423">
        <v>0.26366106121434879</v>
      </c>
      <c r="F10210" s="423">
        <v>1.739351751410427E-2</v>
      </c>
      <c r="G10210" s="422">
        <v>454.31428068426891</v>
      </c>
      <c r="H10210" s="417" t="s">
        <v>2616</v>
      </c>
      <c r="I10210" s="417" t="s">
        <v>1392</v>
      </c>
      <c r="J10210" s="417" t="s">
        <v>20833</v>
      </c>
      <c r="K10210" s="417" t="s">
        <v>22865</v>
      </c>
      <c r="L10210" s="417"/>
      <c r="M10210" s="417" t="s">
        <v>28840</v>
      </c>
    </row>
    <row r="10211" spans="1:13" x14ac:dyDescent="0.25">
      <c r="A10211" s="417" t="s">
        <v>3385</v>
      </c>
      <c r="B10211" s="417" t="s">
        <v>2437</v>
      </c>
      <c r="C10211" s="417" t="s">
        <v>22866</v>
      </c>
      <c r="D10211" s="417" t="s">
        <v>3936</v>
      </c>
      <c r="E10211" s="423">
        <v>0.25083030969183701</v>
      </c>
      <c r="F10211" s="423">
        <v>1.19295567164191E-2</v>
      </c>
      <c r="G10211" s="422">
        <v>431.86346737783549</v>
      </c>
      <c r="H10211" s="417" t="s">
        <v>2616</v>
      </c>
      <c r="I10211" s="417" t="s">
        <v>1392</v>
      </c>
      <c r="J10211" s="417" t="s">
        <v>20833</v>
      </c>
      <c r="K10211" s="417" t="s">
        <v>22867</v>
      </c>
      <c r="L10211" s="417"/>
      <c r="M10211" s="417" t="s">
        <v>28840</v>
      </c>
    </row>
    <row r="10212" spans="1:13" x14ac:dyDescent="0.25">
      <c r="A10212" s="417" t="s">
        <v>3385</v>
      </c>
      <c r="B10212" s="417" t="s">
        <v>2437</v>
      </c>
      <c r="C10212" s="417" t="s">
        <v>22868</v>
      </c>
      <c r="D10212" s="417" t="s">
        <v>3936</v>
      </c>
      <c r="E10212" s="423">
        <v>0.25030362532886319</v>
      </c>
      <c r="F10212" s="423">
        <v>1.699900719544617E-2</v>
      </c>
      <c r="G10212" s="422">
        <v>431.44430246475468</v>
      </c>
      <c r="H10212" s="417" t="s">
        <v>2616</v>
      </c>
      <c r="I10212" s="417" t="s">
        <v>1392</v>
      </c>
      <c r="J10212" s="417" t="s">
        <v>20833</v>
      </c>
      <c r="K10212" s="417" t="s">
        <v>22869</v>
      </c>
      <c r="L10212" s="417"/>
      <c r="M10212" s="417" t="s">
        <v>28840</v>
      </c>
    </row>
    <row r="10213" spans="1:13" x14ac:dyDescent="0.25">
      <c r="A10213" s="417" t="s">
        <v>3385</v>
      </c>
      <c r="B10213" s="417" t="s">
        <v>2437</v>
      </c>
      <c r="C10213" s="417" t="s">
        <v>22870</v>
      </c>
      <c r="D10213" s="417" t="s">
        <v>3936</v>
      </c>
      <c r="E10213" s="423">
        <v>0.24800382973415741</v>
      </c>
      <c r="F10213" s="423">
        <v>1.1804889376789319E-2</v>
      </c>
      <c r="G10213" s="422">
        <v>434.88341869796318</v>
      </c>
      <c r="H10213" s="417" t="s">
        <v>2616</v>
      </c>
      <c r="I10213" s="417" t="s">
        <v>1392</v>
      </c>
      <c r="J10213" s="417" t="s">
        <v>20833</v>
      </c>
      <c r="K10213" s="417" t="s">
        <v>22871</v>
      </c>
      <c r="L10213" s="417"/>
      <c r="M10213" s="417" t="s">
        <v>28840</v>
      </c>
    </row>
    <row r="10214" spans="1:13" x14ac:dyDescent="0.25">
      <c r="A10214" s="417" t="s">
        <v>3385</v>
      </c>
      <c r="B10214" s="417" t="s">
        <v>2437</v>
      </c>
      <c r="C10214" s="417" t="s">
        <v>22872</v>
      </c>
      <c r="D10214" s="417" t="s">
        <v>3936</v>
      </c>
      <c r="E10214" s="423">
        <v>0.2476253144247898</v>
      </c>
      <c r="F10214" s="423">
        <v>1.679725068746904E-2</v>
      </c>
      <c r="G10214" s="422">
        <v>434.61846194368229</v>
      </c>
      <c r="H10214" s="417" t="s">
        <v>2616</v>
      </c>
      <c r="I10214" s="417" t="s">
        <v>1392</v>
      </c>
      <c r="J10214" s="417" t="s">
        <v>20833</v>
      </c>
      <c r="K10214" s="417" t="s">
        <v>22873</v>
      </c>
      <c r="L10214" s="417"/>
      <c r="M10214" s="417" t="s">
        <v>28840</v>
      </c>
    </row>
    <row r="10215" spans="1:13" x14ac:dyDescent="0.25">
      <c r="A10215" s="417" t="s">
        <v>3385</v>
      </c>
      <c r="B10215" s="417" t="s">
        <v>2437</v>
      </c>
      <c r="C10215" s="417" t="s">
        <v>22874</v>
      </c>
      <c r="D10215" s="417" t="s">
        <v>3936</v>
      </c>
      <c r="E10215" s="423">
        <v>0.2452637301222538</v>
      </c>
      <c r="F10215" s="423">
        <v>1.168638036641931E-2</v>
      </c>
      <c r="G10215" s="422">
        <v>431.18167916772768</v>
      </c>
      <c r="H10215" s="417" t="s">
        <v>2616</v>
      </c>
      <c r="I10215" s="417" t="s">
        <v>1392</v>
      </c>
      <c r="J10215" s="417" t="s">
        <v>20833</v>
      </c>
      <c r="K10215" s="417" t="s">
        <v>22875</v>
      </c>
      <c r="L10215" s="417"/>
      <c r="M10215" s="417" t="s">
        <v>28840</v>
      </c>
    </row>
    <row r="10216" spans="1:13" x14ac:dyDescent="0.25">
      <c r="A10216" s="417" t="s">
        <v>3385</v>
      </c>
      <c r="B10216" s="417" t="s">
        <v>2437</v>
      </c>
      <c r="C10216" s="417" t="s">
        <v>22876</v>
      </c>
      <c r="D10216" s="417" t="s">
        <v>3936</v>
      </c>
      <c r="E10216" s="423">
        <v>0.24503338384620399</v>
      </c>
      <c r="F10216" s="423">
        <v>1.6601652512886679E-2</v>
      </c>
      <c r="G10216" s="422">
        <v>431.07093154153853</v>
      </c>
      <c r="H10216" s="417" t="s">
        <v>2616</v>
      </c>
      <c r="I10216" s="417" t="s">
        <v>1392</v>
      </c>
      <c r="J10216" s="417" t="s">
        <v>20833</v>
      </c>
      <c r="K10216" s="417" t="s">
        <v>22877</v>
      </c>
      <c r="L10216" s="417"/>
      <c r="M10216" s="417" t="s">
        <v>28840</v>
      </c>
    </row>
    <row r="10217" spans="1:13" x14ac:dyDescent="0.25">
      <c r="A10217" s="417" t="s">
        <v>3385</v>
      </c>
      <c r="B10217" s="417" t="s">
        <v>2437</v>
      </c>
      <c r="C10217" s="417" t="s">
        <v>22878</v>
      </c>
      <c r="D10217" s="417" t="s">
        <v>3936</v>
      </c>
      <c r="E10217" s="423">
        <v>0.16053850324489691</v>
      </c>
      <c r="F10217" s="423">
        <v>1.203318772675661E-2</v>
      </c>
      <c r="G10217" s="422">
        <v>350.09276560870632</v>
      </c>
      <c r="H10217" s="417" t="s">
        <v>2616</v>
      </c>
      <c r="I10217" s="417" t="s">
        <v>1392</v>
      </c>
      <c r="J10217" s="417" t="s">
        <v>20833</v>
      </c>
      <c r="K10217" s="417" t="s">
        <v>22879</v>
      </c>
      <c r="L10217" s="417"/>
      <c r="M10217" s="417" t="s">
        <v>28840</v>
      </c>
    </row>
    <row r="10218" spans="1:13" x14ac:dyDescent="0.25">
      <c r="A10218" s="417" t="s">
        <v>3385</v>
      </c>
      <c r="B10218" s="417" t="s">
        <v>2437</v>
      </c>
      <c r="C10218" s="417" t="s">
        <v>22880</v>
      </c>
      <c r="D10218" s="417" t="s">
        <v>3936</v>
      </c>
      <c r="E10218" s="423">
        <v>0.17916285048818639</v>
      </c>
      <c r="F10218" s="423">
        <v>1.6551913911020281E-2</v>
      </c>
      <c r="G10218" s="422">
        <v>370.56170446792208</v>
      </c>
      <c r="H10218" s="417" t="s">
        <v>2616</v>
      </c>
      <c r="I10218" s="417" t="s">
        <v>1392</v>
      </c>
      <c r="J10218" s="417" t="s">
        <v>20833</v>
      </c>
      <c r="K10218" s="417" t="s">
        <v>22881</v>
      </c>
      <c r="L10218" s="417"/>
      <c r="M10218" s="417" t="s">
        <v>28840</v>
      </c>
    </row>
    <row r="10219" spans="1:13" x14ac:dyDescent="0.25">
      <c r="A10219" s="417" t="s">
        <v>3385</v>
      </c>
      <c r="B10219" s="417" t="s">
        <v>2437</v>
      </c>
      <c r="C10219" s="417" t="s">
        <v>22882</v>
      </c>
      <c r="D10219" s="417" t="s">
        <v>3936</v>
      </c>
      <c r="E10219" s="423">
        <v>0.15940866978609219</v>
      </c>
      <c r="F10219" s="423">
        <v>1.178120765571739E-2</v>
      </c>
      <c r="G10219" s="422">
        <v>347.62577617935722</v>
      </c>
      <c r="H10219" s="417" t="s">
        <v>2616</v>
      </c>
      <c r="I10219" s="417" t="s">
        <v>1392</v>
      </c>
      <c r="J10219" s="417" t="s">
        <v>20833</v>
      </c>
      <c r="K10219" s="417" t="s">
        <v>22883</v>
      </c>
      <c r="L10219" s="417"/>
      <c r="M10219" s="417" t="s">
        <v>28840</v>
      </c>
    </row>
    <row r="10220" spans="1:13" x14ac:dyDescent="0.25">
      <c r="A10220" s="417" t="s">
        <v>3385</v>
      </c>
      <c r="B10220" s="417" t="s">
        <v>2437</v>
      </c>
      <c r="C10220" s="417" t="s">
        <v>22884</v>
      </c>
      <c r="D10220" s="417" t="s">
        <v>3936</v>
      </c>
      <c r="E10220" s="423">
        <v>0.17686637622114901</v>
      </c>
      <c r="F10220" s="423">
        <v>1.6147929180904332E-2</v>
      </c>
      <c r="G10220" s="422">
        <v>367.08391037843842</v>
      </c>
      <c r="H10220" s="417" t="s">
        <v>2616</v>
      </c>
      <c r="I10220" s="417" t="s">
        <v>1392</v>
      </c>
      <c r="J10220" s="417" t="s">
        <v>20833</v>
      </c>
      <c r="K10220" s="417" t="s">
        <v>22885</v>
      </c>
      <c r="L10220" s="417"/>
      <c r="M10220" s="417" t="s">
        <v>28840</v>
      </c>
    </row>
    <row r="10221" spans="1:13" x14ac:dyDescent="0.25">
      <c r="A10221" s="417" t="s">
        <v>3385</v>
      </c>
      <c r="B10221" s="417" t="s">
        <v>2437</v>
      </c>
      <c r="C10221" s="417" t="s">
        <v>22886</v>
      </c>
      <c r="D10221" s="417" t="s">
        <v>3936</v>
      </c>
      <c r="E10221" s="423">
        <v>0.15076856963337229</v>
      </c>
      <c r="F10221" s="423">
        <v>1.165941952232759E-2</v>
      </c>
      <c r="G10221" s="422">
        <v>330.63426136278639</v>
      </c>
      <c r="H10221" s="417" t="s">
        <v>2616</v>
      </c>
      <c r="I10221" s="417" t="s">
        <v>1392</v>
      </c>
      <c r="J10221" s="417" t="s">
        <v>20833</v>
      </c>
      <c r="K10221" s="417" t="s">
        <v>22887</v>
      </c>
      <c r="L10221" s="417"/>
      <c r="M10221" s="417" t="s">
        <v>28840</v>
      </c>
    </row>
    <row r="10222" spans="1:13" x14ac:dyDescent="0.25">
      <c r="A10222" s="417" t="s">
        <v>3385</v>
      </c>
      <c r="B10222" s="417" t="s">
        <v>2437</v>
      </c>
      <c r="C10222" s="417" t="s">
        <v>22888</v>
      </c>
      <c r="D10222" s="417" t="s">
        <v>3936</v>
      </c>
      <c r="E10222" s="423">
        <v>0.1675060760939529</v>
      </c>
      <c r="F10222" s="423">
        <v>1.594840700795884E-2</v>
      </c>
      <c r="G10222" s="422">
        <v>349.50175028304119</v>
      </c>
      <c r="H10222" s="417" t="s">
        <v>2616</v>
      </c>
      <c r="I10222" s="417" t="s">
        <v>1392</v>
      </c>
      <c r="J10222" s="417" t="s">
        <v>20833</v>
      </c>
      <c r="K10222" s="417" t="s">
        <v>22889</v>
      </c>
      <c r="L10222" s="417"/>
      <c r="M10222" s="417" t="s">
        <v>28840</v>
      </c>
    </row>
    <row r="10223" spans="1:13" x14ac:dyDescent="0.25">
      <c r="A10223" s="417" t="s">
        <v>3385</v>
      </c>
      <c r="B10223" s="417" t="s">
        <v>2437</v>
      </c>
      <c r="C10223" s="417" t="s">
        <v>22890</v>
      </c>
      <c r="D10223" s="417" t="s">
        <v>3936</v>
      </c>
      <c r="E10223" s="423">
        <v>0.149892532316239</v>
      </c>
      <c r="F10223" s="423">
        <v>1.1565790348935999E-2</v>
      </c>
      <c r="G10223" s="422">
        <v>325.20933203130352</v>
      </c>
      <c r="H10223" s="417" t="s">
        <v>2616</v>
      </c>
      <c r="I10223" s="417" t="s">
        <v>1392</v>
      </c>
      <c r="J10223" s="417" t="s">
        <v>20833</v>
      </c>
      <c r="K10223" s="417" t="s">
        <v>22891</v>
      </c>
      <c r="L10223" s="417"/>
      <c r="M10223" s="417" t="s">
        <v>28840</v>
      </c>
    </row>
    <row r="10224" spans="1:13" x14ac:dyDescent="0.25">
      <c r="A10224" s="417" t="s">
        <v>3385</v>
      </c>
      <c r="B10224" s="417" t="s">
        <v>2437</v>
      </c>
      <c r="C10224" s="417" t="s">
        <v>22892</v>
      </c>
      <c r="D10224" s="417" t="s">
        <v>3936</v>
      </c>
      <c r="E10224" s="423">
        <v>0.16628040249885939</v>
      </c>
      <c r="F10224" s="423">
        <v>1.5801790809529408E-2</v>
      </c>
      <c r="G10224" s="422">
        <v>343.75850038341503</v>
      </c>
      <c r="H10224" s="417" t="s">
        <v>2616</v>
      </c>
      <c r="I10224" s="417" t="s">
        <v>1392</v>
      </c>
      <c r="J10224" s="417" t="s">
        <v>20833</v>
      </c>
      <c r="K10224" s="417" t="s">
        <v>22893</v>
      </c>
      <c r="L10224" s="417"/>
      <c r="M10224" s="417" t="s">
        <v>28840</v>
      </c>
    </row>
    <row r="10225" spans="1:13" x14ac:dyDescent="0.25">
      <c r="A10225" s="417" t="s">
        <v>3385</v>
      </c>
      <c r="B10225" s="417" t="s">
        <v>2437</v>
      </c>
      <c r="C10225" s="417" t="s">
        <v>22894</v>
      </c>
      <c r="D10225" s="417" t="s">
        <v>3936</v>
      </c>
      <c r="E10225" s="423">
        <v>0.15486433705018179</v>
      </c>
      <c r="F10225" s="423">
        <v>1.190415623434506E-2</v>
      </c>
      <c r="G10225" s="422">
        <v>329.35931119289279</v>
      </c>
      <c r="H10225" s="417" t="s">
        <v>2616</v>
      </c>
      <c r="I10225" s="417" t="s">
        <v>1392</v>
      </c>
      <c r="J10225" s="417" t="s">
        <v>20833</v>
      </c>
      <c r="K10225" s="417" t="s">
        <v>22895</v>
      </c>
      <c r="L10225" s="417"/>
      <c r="M10225" s="417" t="s">
        <v>28840</v>
      </c>
    </row>
    <row r="10226" spans="1:13" x14ac:dyDescent="0.25">
      <c r="A10226" s="417" t="s">
        <v>3385</v>
      </c>
      <c r="B10226" s="417" t="s">
        <v>2437</v>
      </c>
      <c r="C10226" s="417" t="s">
        <v>22896</v>
      </c>
      <c r="D10226" s="417" t="s">
        <v>3936</v>
      </c>
      <c r="E10226" s="423">
        <v>0.17069614281125781</v>
      </c>
      <c r="F10226" s="423">
        <v>1.6310484686532858E-2</v>
      </c>
      <c r="G10226" s="422">
        <v>347.92946735060468</v>
      </c>
      <c r="H10226" s="417" t="s">
        <v>2616</v>
      </c>
      <c r="I10226" s="417" t="s">
        <v>1392</v>
      </c>
      <c r="J10226" s="417" t="s">
        <v>20833</v>
      </c>
      <c r="K10226" s="417" t="s">
        <v>22897</v>
      </c>
      <c r="L10226" s="417"/>
      <c r="M10226" s="417" t="s">
        <v>28840</v>
      </c>
    </row>
    <row r="10227" spans="1:13" x14ac:dyDescent="0.25">
      <c r="A10227" s="417" t="s">
        <v>3385</v>
      </c>
      <c r="B10227" s="417" t="s">
        <v>2437</v>
      </c>
      <c r="C10227" s="417" t="s">
        <v>22898</v>
      </c>
      <c r="D10227" s="417" t="s">
        <v>3936</v>
      </c>
      <c r="E10227" s="423">
        <v>0.15259890691675859</v>
      </c>
      <c r="F10227" s="423">
        <v>1.06353583393767E-2</v>
      </c>
      <c r="G10227" s="422">
        <v>306.90327269009651</v>
      </c>
      <c r="H10227" s="417" t="s">
        <v>2616</v>
      </c>
      <c r="I10227" s="417" t="s">
        <v>1392</v>
      </c>
      <c r="J10227" s="417" t="s">
        <v>20833</v>
      </c>
      <c r="K10227" s="417" t="s">
        <v>22899</v>
      </c>
      <c r="L10227" s="417"/>
      <c r="M10227" s="417" t="s">
        <v>28840</v>
      </c>
    </row>
    <row r="10228" spans="1:13" x14ac:dyDescent="0.25">
      <c r="A10228" s="417" t="s">
        <v>3385</v>
      </c>
      <c r="B10228" s="417" t="s">
        <v>2437</v>
      </c>
      <c r="C10228" s="417" t="s">
        <v>22900</v>
      </c>
      <c r="D10228" s="417" t="s">
        <v>3936</v>
      </c>
      <c r="E10228" s="423">
        <v>0.15196375237719389</v>
      </c>
      <c r="F10228" s="423">
        <v>1.0470470449241841E-2</v>
      </c>
      <c r="G10228" s="422">
        <v>306.80478818460813</v>
      </c>
      <c r="H10228" s="417" t="s">
        <v>2616</v>
      </c>
      <c r="I10228" s="417" t="s">
        <v>1392</v>
      </c>
      <c r="J10228" s="417" t="s">
        <v>20833</v>
      </c>
      <c r="K10228" s="417" t="s">
        <v>22901</v>
      </c>
      <c r="L10228" s="417"/>
      <c r="M10228" s="417" t="s">
        <v>28840</v>
      </c>
    </row>
    <row r="10229" spans="1:13" x14ac:dyDescent="0.25">
      <c r="A10229" s="417" t="s">
        <v>3385</v>
      </c>
      <c r="B10229" s="417" t="s">
        <v>2437</v>
      </c>
      <c r="C10229" s="417" t="s">
        <v>22902</v>
      </c>
      <c r="D10229" s="417" t="s">
        <v>3936</v>
      </c>
      <c r="E10229" s="423">
        <v>0.1436287042683628</v>
      </c>
      <c r="F10229" s="423">
        <v>1.0402389156924719E-2</v>
      </c>
      <c r="G10229" s="422">
        <v>291.27385053865521</v>
      </c>
      <c r="H10229" s="417" t="s">
        <v>2616</v>
      </c>
      <c r="I10229" s="417" t="s">
        <v>1392</v>
      </c>
      <c r="J10229" s="417" t="s">
        <v>20833</v>
      </c>
      <c r="K10229" s="417" t="s">
        <v>22903</v>
      </c>
      <c r="L10229" s="417"/>
      <c r="M10229" s="417" t="s">
        <v>28840</v>
      </c>
    </row>
    <row r="10230" spans="1:13" x14ac:dyDescent="0.25">
      <c r="A10230" s="417" t="s">
        <v>3385</v>
      </c>
      <c r="B10230" s="417" t="s">
        <v>2437</v>
      </c>
      <c r="C10230" s="417" t="s">
        <v>22904</v>
      </c>
      <c r="D10230" s="417" t="s">
        <v>3936</v>
      </c>
      <c r="E10230" s="423">
        <v>0.14290107052037071</v>
      </c>
      <c r="F10230" s="423">
        <v>1.0334887626907929E-2</v>
      </c>
      <c r="G10230" s="422">
        <v>286.5594723249564</v>
      </c>
      <c r="H10230" s="417" t="s">
        <v>2616</v>
      </c>
      <c r="I10230" s="417" t="s">
        <v>1392</v>
      </c>
      <c r="J10230" s="417" t="s">
        <v>20833</v>
      </c>
      <c r="K10230" s="417" t="s">
        <v>22905</v>
      </c>
      <c r="L10230" s="417"/>
      <c r="M10230" s="417" t="s">
        <v>28840</v>
      </c>
    </row>
    <row r="10231" spans="1:13" x14ac:dyDescent="0.25">
      <c r="A10231" s="417" t="s">
        <v>3385</v>
      </c>
      <c r="B10231" s="417" t="s">
        <v>2437</v>
      </c>
      <c r="C10231" s="417" t="s">
        <v>22906</v>
      </c>
      <c r="D10231" s="417" t="s">
        <v>3936</v>
      </c>
      <c r="E10231" s="423">
        <v>0.1481037254576921</v>
      </c>
      <c r="F10231" s="423">
        <v>1.0713896527782429E-2</v>
      </c>
      <c r="G10231" s="422">
        <v>291.81475415031679</v>
      </c>
      <c r="H10231" s="417" t="s">
        <v>2616</v>
      </c>
      <c r="I10231" s="417" t="s">
        <v>1392</v>
      </c>
      <c r="J10231" s="417" t="s">
        <v>20833</v>
      </c>
      <c r="K10231" s="417" t="s">
        <v>22907</v>
      </c>
      <c r="L10231" s="417"/>
      <c r="M10231" s="417" t="s">
        <v>28840</v>
      </c>
    </row>
    <row r="10232" spans="1:13" x14ac:dyDescent="0.25">
      <c r="A10232" s="417" t="s">
        <v>3385</v>
      </c>
      <c r="B10232" s="417" t="s">
        <v>2437</v>
      </c>
      <c r="C10232" s="417" t="s">
        <v>22908</v>
      </c>
      <c r="D10232" s="417" t="s">
        <v>3936</v>
      </c>
      <c r="E10232" s="423">
        <v>0.27949725888167942</v>
      </c>
      <c r="F10232" s="423">
        <v>1.9141860629391438E-2</v>
      </c>
      <c r="G10232" s="422">
        <v>520.17024489244761</v>
      </c>
      <c r="H10232" s="417" t="s">
        <v>2616</v>
      </c>
      <c r="I10232" s="417" t="s">
        <v>1392</v>
      </c>
      <c r="J10232" s="417" t="s">
        <v>20833</v>
      </c>
      <c r="K10232" s="417" t="s">
        <v>22909</v>
      </c>
      <c r="L10232" s="417"/>
      <c r="M10232" s="417" t="s">
        <v>28840</v>
      </c>
    </row>
    <row r="10233" spans="1:13" x14ac:dyDescent="0.25">
      <c r="A10233" s="417" t="s">
        <v>3385</v>
      </c>
      <c r="B10233" s="417" t="s">
        <v>2437</v>
      </c>
      <c r="C10233" s="417" t="s">
        <v>22910</v>
      </c>
      <c r="D10233" s="417" t="s">
        <v>3936</v>
      </c>
      <c r="E10233" s="423">
        <v>0.27881893856603912</v>
      </c>
      <c r="F10233" s="423">
        <v>1.8898214675317E-2</v>
      </c>
      <c r="G10233" s="422">
        <v>518.77402017555926</v>
      </c>
      <c r="H10233" s="417" t="s">
        <v>2616</v>
      </c>
      <c r="I10233" s="417" t="s">
        <v>1392</v>
      </c>
      <c r="J10233" s="417" t="s">
        <v>20833</v>
      </c>
      <c r="K10233" s="417" t="s">
        <v>22911</v>
      </c>
      <c r="L10233" s="417"/>
      <c r="M10233" s="417" t="s">
        <v>28840</v>
      </c>
    </row>
    <row r="10234" spans="1:13" x14ac:dyDescent="0.25">
      <c r="A10234" s="417" t="s">
        <v>3385</v>
      </c>
      <c r="B10234" s="417" t="s">
        <v>2437</v>
      </c>
      <c r="C10234" s="417" t="s">
        <v>22912</v>
      </c>
      <c r="D10234" s="417" t="s">
        <v>3936</v>
      </c>
      <c r="E10234" s="423">
        <v>0.26966776478614018</v>
      </c>
      <c r="F10234" s="423">
        <v>1.876789092315331E-2</v>
      </c>
      <c r="G10234" s="422">
        <v>496.52054465931297</v>
      </c>
      <c r="H10234" s="417" t="s">
        <v>2616</v>
      </c>
      <c r="I10234" s="417" t="s">
        <v>1392</v>
      </c>
      <c r="J10234" s="417" t="s">
        <v>20833</v>
      </c>
      <c r="K10234" s="417" t="s">
        <v>22913</v>
      </c>
      <c r="L10234" s="417"/>
      <c r="M10234" s="417" t="s">
        <v>28840</v>
      </c>
    </row>
    <row r="10235" spans="1:13" x14ac:dyDescent="0.25">
      <c r="A10235" s="417" t="s">
        <v>3385</v>
      </c>
      <c r="B10235" s="417" t="s">
        <v>2437</v>
      </c>
      <c r="C10235" s="417" t="s">
        <v>22914</v>
      </c>
      <c r="D10235" s="417" t="s">
        <v>3936</v>
      </c>
      <c r="E10235" s="423">
        <v>0.26883773427126911</v>
      </c>
      <c r="F10235" s="423">
        <v>1.8689860981209991E-2</v>
      </c>
      <c r="G10235" s="422">
        <v>489.05729908025228</v>
      </c>
      <c r="H10235" s="417" t="s">
        <v>2616</v>
      </c>
      <c r="I10235" s="417" t="s">
        <v>1392</v>
      </c>
      <c r="J10235" s="417" t="s">
        <v>20833</v>
      </c>
      <c r="K10235" s="417" t="s">
        <v>22915</v>
      </c>
      <c r="L10235" s="417"/>
      <c r="M10235" s="417" t="s">
        <v>28840</v>
      </c>
    </row>
    <row r="10236" spans="1:13" x14ac:dyDescent="0.25">
      <c r="A10236" s="417" t="s">
        <v>3385</v>
      </c>
      <c r="B10236" s="417" t="s">
        <v>2437</v>
      </c>
      <c r="C10236" s="417" t="s">
        <v>22916</v>
      </c>
      <c r="D10236" s="417" t="s">
        <v>3936</v>
      </c>
      <c r="E10236" s="423">
        <v>0.26674420791276687</v>
      </c>
      <c r="F10236" s="423">
        <v>1.8505596339218319E-2</v>
      </c>
      <c r="G10236" s="422">
        <v>484.68857851925412</v>
      </c>
      <c r="H10236" s="417" t="s">
        <v>2616</v>
      </c>
      <c r="I10236" s="417" t="s">
        <v>1392</v>
      </c>
      <c r="J10236" s="417" t="s">
        <v>20833</v>
      </c>
      <c r="K10236" s="417" t="s">
        <v>22917</v>
      </c>
      <c r="L10236" s="417"/>
      <c r="M10236" s="417" t="s">
        <v>28840</v>
      </c>
    </row>
    <row r="10237" spans="1:13" x14ac:dyDescent="0.25">
      <c r="A10237" s="417" t="s">
        <v>3385</v>
      </c>
      <c r="B10237" s="417" t="s">
        <v>2437</v>
      </c>
      <c r="C10237" s="417" t="s">
        <v>22918</v>
      </c>
      <c r="D10237" s="417" t="s">
        <v>3936</v>
      </c>
      <c r="E10237" s="423">
        <v>0.24757456265395339</v>
      </c>
      <c r="F10237" s="423">
        <v>1.6997306752616521E-2</v>
      </c>
      <c r="G10237" s="422">
        <v>463.10773065334263</v>
      </c>
      <c r="H10237" s="417" t="s">
        <v>2616</v>
      </c>
      <c r="I10237" s="417" t="s">
        <v>1392</v>
      </c>
      <c r="J10237" s="417" t="s">
        <v>20833</v>
      </c>
      <c r="K10237" s="417" t="s">
        <v>22919</v>
      </c>
      <c r="L10237" s="417"/>
      <c r="M10237" s="417" t="s">
        <v>28840</v>
      </c>
    </row>
    <row r="10238" spans="1:13" x14ac:dyDescent="0.25">
      <c r="A10238" s="417" t="s">
        <v>3385</v>
      </c>
      <c r="B10238" s="417" t="s">
        <v>2437</v>
      </c>
      <c r="C10238" s="417" t="s">
        <v>22920</v>
      </c>
      <c r="D10238" s="417" t="s">
        <v>3936</v>
      </c>
      <c r="E10238" s="423">
        <v>0.24521191525907149</v>
      </c>
      <c r="F10238" s="423">
        <v>1.667629772880537E-2</v>
      </c>
      <c r="G10238" s="422">
        <v>459.14434158121787</v>
      </c>
      <c r="H10238" s="417" t="s">
        <v>2616</v>
      </c>
      <c r="I10238" s="417" t="s">
        <v>1392</v>
      </c>
      <c r="J10238" s="417" t="s">
        <v>20833</v>
      </c>
      <c r="K10238" s="417" t="s">
        <v>22921</v>
      </c>
      <c r="L10238" s="417"/>
      <c r="M10238" s="417" t="s">
        <v>28840</v>
      </c>
    </row>
    <row r="10239" spans="1:13" x14ac:dyDescent="0.25">
      <c r="A10239" s="417" t="s">
        <v>3385</v>
      </c>
      <c r="B10239" s="417" t="s">
        <v>2437</v>
      </c>
      <c r="C10239" s="417" t="s">
        <v>22922</v>
      </c>
      <c r="D10239" s="417" t="s">
        <v>3936</v>
      </c>
      <c r="E10239" s="423">
        <v>0.23519495090623921</v>
      </c>
      <c r="F10239" s="423">
        <v>1.6482555760983869E-2</v>
      </c>
      <c r="G10239" s="422">
        <v>438.46368639216257</v>
      </c>
      <c r="H10239" s="417" t="s">
        <v>2616</v>
      </c>
      <c r="I10239" s="417" t="s">
        <v>1392</v>
      </c>
      <c r="J10239" s="417" t="s">
        <v>20833</v>
      </c>
      <c r="K10239" s="417" t="s">
        <v>22923</v>
      </c>
      <c r="L10239" s="417"/>
      <c r="M10239" s="417" t="s">
        <v>28840</v>
      </c>
    </row>
    <row r="10240" spans="1:13" x14ac:dyDescent="0.25">
      <c r="A10240" s="417" t="s">
        <v>3385</v>
      </c>
      <c r="B10240" s="417" t="s">
        <v>2437</v>
      </c>
      <c r="C10240" s="417" t="s">
        <v>22924</v>
      </c>
      <c r="D10240" s="417" t="s">
        <v>3936</v>
      </c>
      <c r="E10240" s="423">
        <v>0.23417896222726861</v>
      </c>
      <c r="F10240" s="423">
        <v>1.6384500444862411E-2</v>
      </c>
      <c r="G10240" s="422">
        <v>432.34293326646713</v>
      </c>
      <c r="H10240" s="417" t="s">
        <v>2616</v>
      </c>
      <c r="I10240" s="417" t="s">
        <v>1392</v>
      </c>
      <c r="J10240" s="417" t="s">
        <v>20833</v>
      </c>
      <c r="K10240" s="417" t="s">
        <v>22925</v>
      </c>
      <c r="L10240" s="417"/>
      <c r="M10240" s="417" t="s">
        <v>28840</v>
      </c>
    </row>
    <row r="10241" spans="1:13" x14ac:dyDescent="0.25">
      <c r="A10241" s="417" t="s">
        <v>3385</v>
      </c>
      <c r="B10241" s="417" t="s">
        <v>2437</v>
      </c>
      <c r="C10241" s="417" t="s">
        <v>22926</v>
      </c>
      <c r="D10241" s="417" t="s">
        <v>3936</v>
      </c>
      <c r="E10241" s="423">
        <v>0.24121380528717681</v>
      </c>
      <c r="F10241" s="423">
        <v>1.6902190263696461E-2</v>
      </c>
      <c r="G10241" s="422">
        <v>439.44634097601693</v>
      </c>
      <c r="H10241" s="417" t="s">
        <v>2616</v>
      </c>
      <c r="I10241" s="417" t="s">
        <v>1392</v>
      </c>
      <c r="J10241" s="417" t="s">
        <v>20833</v>
      </c>
      <c r="K10241" s="417" t="s">
        <v>22927</v>
      </c>
      <c r="L10241" s="417"/>
      <c r="M10241" s="417" t="s">
        <v>28840</v>
      </c>
    </row>
    <row r="10242" spans="1:13" x14ac:dyDescent="0.25">
      <c r="A10242" s="417" t="s">
        <v>3385</v>
      </c>
      <c r="B10242" s="417" t="s">
        <v>2437</v>
      </c>
      <c r="C10242" s="417" t="s">
        <v>22928</v>
      </c>
      <c r="D10242" s="417" t="s">
        <v>3936</v>
      </c>
      <c r="E10242" s="423">
        <v>0.1815721121056042</v>
      </c>
      <c r="F10242" s="423">
        <v>1.258842822330869E-2</v>
      </c>
      <c r="G10242" s="422">
        <v>353.03765096652279</v>
      </c>
      <c r="H10242" s="417" t="s">
        <v>2616</v>
      </c>
      <c r="I10242" s="417" t="s">
        <v>1392</v>
      </c>
      <c r="J10242" s="417" t="s">
        <v>20833</v>
      </c>
      <c r="K10242" s="417" t="s">
        <v>22929</v>
      </c>
      <c r="L10242" s="417"/>
      <c r="M10242" s="417" t="s">
        <v>28840</v>
      </c>
    </row>
    <row r="10243" spans="1:13" x14ac:dyDescent="0.25">
      <c r="A10243" s="417" t="s">
        <v>3385</v>
      </c>
      <c r="B10243" s="417" t="s">
        <v>2437</v>
      </c>
      <c r="C10243" s="417" t="s">
        <v>22930</v>
      </c>
      <c r="D10243" s="417" t="s">
        <v>3936</v>
      </c>
      <c r="E10243" s="423">
        <v>0.17867838229472729</v>
      </c>
      <c r="F10243" s="423">
        <v>1.227653003874935E-2</v>
      </c>
      <c r="G10243" s="422">
        <v>348.75344991696602</v>
      </c>
      <c r="H10243" s="417" t="s">
        <v>2616</v>
      </c>
      <c r="I10243" s="417" t="s">
        <v>1392</v>
      </c>
      <c r="J10243" s="417" t="s">
        <v>20833</v>
      </c>
      <c r="K10243" s="417" t="s">
        <v>22931</v>
      </c>
      <c r="L10243" s="417"/>
      <c r="M10243" s="417" t="s">
        <v>28840</v>
      </c>
    </row>
    <row r="10244" spans="1:13" x14ac:dyDescent="0.25">
      <c r="A10244" s="417" t="s">
        <v>3385</v>
      </c>
      <c r="B10244" s="417" t="s">
        <v>2437</v>
      </c>
      <c r="C10244" s="417" t="s">
        <v>22932</v>
      </c>
      <c r="D10244" s="417" t="s">
        <v>3936</v>
      </c>
      <c r="E10244" s="423">
        <v>0.16849461940639909</v>
      </c>
      <c r="F10244" s="423">
        <v>1.209325787499106E-2</v>
      </c>
      <c r="G10244" s="422">
        <v>329.50872797163441</v>
      </c>
      <c r="H10244" s="417" t="s">
        <v>2616</v>
      </c>
      <c r="I10244" s="417" t="s">
        <v>1392</v>
      </c>
      <c r="J10244" s="417" t="s">
        <v>20833</v>
      </c>
      <c r="K10244" s="417" t="s">
        <v>22933</v>
      </c>
      <c r="L10244" s="417"/>
      <c r="M10244" s="417" t="s">
        <v>28840</v>
      </c>
    </row>
    <row r="10245" spans="1:13" x14ac:dyDescent="0.25">
      <c r="A10245" s="417" t="s">
        <v>3385</v>
      </c>
      <c r="B10245" s="417" t="s">
        <v>2437</v>
      </c>
      <c r="C10245" s="417" t="s">
        <v>22934</v>
      </c>
      <c r="D10245" s="417" t="s">
        <v>3936</v>
      </c>
      <c r="E10245" s="423">
        <v>0.16730367455574099</v>
      </c>
      <c r="F10245" s="423">
        <v>1.199404606920715E-2</v>
      </c>
      <c r="G10245" s="422">
        <v>323.90674489505233</v>
      </c>
      <c r="H10245" s="417" t="s">
        <v>2616</v>
      </c>
      <c r="I10245" s="417" t="s">
        <v>1392</v>
      </c>
      <c r="J10245" s="417" t="s">
        <v>20833</v>
      </c>
      <c r="K10245" s="417" t="s">
        <v>22935</v>
      </c>
      <c r="L10245" s="417"/>
      <c r="M10245" s="417" t="s">
        <v>28840</v>
      </c>
    </row>
    <row r="10246" spans="1:13" x14ac:dyDescent="0.25">
      <c r="A10246" s="417" t="s">
        <v>3385</v>
      </c>
      <c r="B10246" s="417" t="s">
        <v>2437</v>
      </c>
      <c r="C10246" s="417" t="s">
        <v>22936</v>
      </c>
      <c r="D10246" s="417" t="s">
        <v>3936</v>
      </c>
      <c r="E10246" s="423">
        <v>0.17279546130739179</v>
      </c>
      <c r="F10246" s="423">
        <v>1.2402107032664729E-2</v>
      </c>
      <c r="G10246" s="422">
        <v>329.34938101793489</v>
      </c>
      <c r="H10246" s="417" t="s">
        <v>2616</v>
      </c>
      <c r="I10246" s="417" t="s">
        <v>1392</v>
      </c>
      <c r="J10246" s="417" t="s">
        <v>20833</v>
      </c>
      <c r="K10246" s="417" t="s">
        <v>22937</v>
      </c>
      <c r="L10246" s="417"/>
      <c r="M10246" s="417" t="s">
        <v>28840</v>
      </c>
    </row>
    <row r="10247" spans="1:13" x14ac:dyDescent="0.25">
      <c r="A10247" s="417" t="s">
        <v>3385</v>
      </c>
      <c r="B10247" s="417" t="s">
        <v>2437</v>
      </c>
      <c r="C10247" s="417" t="s">
        <v>22938</v>
      </c>
      <c r="D10247" s="417" t="s">
        <v>3936</v>
      </c>
      <c r="E10247" s="423">
        <v>0.29188457309106158</v>
      </c>
      <c r="F10247" s="423">
        <v>2.1310631663530859E-2</v>
      </c>
      <c r="G10247" s="422">
        <v>584.63257524755545</v>
      </c>
      <c r="H10247" s="417" t="s">
        <v>2616</v>
      </c>
      <c r="I10247" s="417" t="s">
        <v>1392</v>
      </c>
      <c r="J10247" s="417" t="s">
        <v>20833</v>
      </c>
      <c r="K10247" s="417" t="s">
        <v>22939</v>
      </c>
      <c r="L10247" s="417"/>
      <c r="M10247" s="417" t="s">
        <v>28840</v>
      </c>
    </row>
    <row r="10248" spans="1:13" x14ac:dyDescent="0.25">
      <c r="A10248" s="417" t="s">
        <v>3385</v>
      </c>
      <c r="B10248" s="417" t="s">
        <v>2437</v>
      </c>
      <c r="C10248" s="417" t="s">
        <v>22940</v>
      </c>
      <c r="D10248" s="417" t="s">
        <v>3936</v>
      </c>
      <c r="E10248" s="423">
        <v>0.32094185592234709</v>
      </c>
      <c r="F10248" s="423">
        <v>2.9801044601572409E-2</v>
      </c>
      <c r="G10248" s="422">
        <v>619.55065273721686</v>
      </c>
      <c r="H10248" s="417" t="s">
        <v>2616</v>
      </c>
      <c r="I10248" s="417" t="s">
        <v>1392</v>
      </c>
      <c r="J10248" s="417" t="s">
        <v>20833</v>
      </c>
      <c r="K10248" s="417" t="s">
        <v>22941</v>
      </c>
      <c r="L10248" s="417"/>
      <c r="M10248" s="417" t="s">
        <v>28840</v>
      </c>
    </row>
    <row r="10249" spans="1:13" x14ac:dyDescent="0.25">
      <c r="A10249" s="417" t="s">
        <v>3385</v>
      </c>
      <c r="B10249" s="417" t="s">
        <v>2437</v>
      </c>
      <c r="C10249" s="417" t="s">
        <v>22942</v>
      </c>
      <c r="D10249" s="417" t="s">
        <v>3936</v>
      </c>
      <c r="E10249" s="423">
        <v>0.29033671218524859</v>
      </c>
      <c r="F10249" s="423">
        <v>2.0926010783103369E-2</v>
      </c>
      <c r="G10249" s="422">
        <v>579.09569141643419</v>
      </c>
      <c r="H10249" s="417" t="s">
        <v>2616</v>
      </c>
      <c r="I10249" s="417" t="s">
        <v>1392</v>
      </c>
      <c r="J10249" s="417" t="s">
        <v>20833</v>
      </c>
      <c r="K10249" s="417" t="s">
        <v>22943</v>
      </c>
      <c r="L10249" s="417"/>
      <c r="M10249" s="417" t="s">
        <v>28840</v>
      </c>
    </row>
    <row r="10250" spans="1:13" x14ac:dyDescent="0.25">
      <c r="A10250" s="417" t="s">
        <v>3385</v>
      </c>
      <c r="B10250" s="417" t="s">
        <v>2437</v>
      </c>
      <c r="C10250" s="417" t="s">
        <v>22944</v>
      </c>
      <c r="D10250" s="417" t="s">
        <v>3936</v>
      </c>
      <c r="E10250" s="423">
        <v>0.31727240157002562</v>
      </c>
      <c r="F10250" s="423">
        <v>2.918582654293455E-2</v>
      </c>
      <c r="G10250" s="422">
        <v>612.27050219191847</v>
      </c>
      <c r="H10250" s="417" t="s">
        <v>2616</v>
      </c>
      <c r="I10250" s="417" t="s">
        <v>1392</v>
      </c>
      <c r="J10250" s="417" t="s">
        <v>20833</v>
      </c>
      <c r="K10250" s="417" t="s">
        <v>22945</v>
      </c>
      <c r="L10250" s="417"/>
      <c r="M10250" s="417" t="s">
        <v>28840</v>
      </c>
    </row>
    <row r="10251" spans="1:13" x14ac:dyDescent="0.25">
      <c r="A10251" s="417" t="s">
        <v>3385</v>
      </c>
      <c r="B10251" s="417" t="s">
        <v>2437</v>
      </c>
      <c r="C10251" s="417" t="s">
        <v>22946</v>
      </c>
      <c r="D10251" s="417" t="s">
        <v>3936</v>
      </c>
      <c r="E10251" s="423">
        <v>0.28062490233075932</v>
      </c>
      <c r="F10251" s="423">
        <v>2.0696982560754529E-2</v>
      </c>
      <c r="G10251" s="422">
        <v>554.15791297056342</v>
      </c>
      <c r="H10251" s="417" t="s">
        <v>2616</v>
      </c>
      <c r="I10251" s="417" t="s">
        <v>1392</v>
      </c>
      <c r="J10251" s="417" t="s">
        <v>20833</v>
      </c>
      <c r="K10251" s="417" t="s">
        <v>22947</v>
      </c>
      <c r="L10251" s="417"/>
      <c r="M10251" s="417" t="s">
        <v>28840</v>
      </c>
    </row>
    <row r="10252" spans="1:13" x14ac:dyDescent="0.25">
      <c r="A10252" s="417" t="s">
        <v>3385</v>
      </c>
      <c r="B10252" s="417" t="s">
        <v>2437</v>
      </c>
      <c r="C10252" s="417" t="s">
        <v>22948</v>
      </c>
      <c r="D10252" s="417" t="s">
        <v>3936</v>
      </c>
      <c r="E10252" s="423">
        <v>0.30623649966471511</v>
      </c>
      <c r="F10252" s="423">
        <v>2.8823916330607761E-2</v>
      </c>
      <c r="G10252" s="422">
        <v>586.26759560801395</v>
      </c>
      <c r="H10252" s="417" t="s">
        <v>2616</v>
      </c>
      <c r="I10252" s="417" t="s">
        <v>1392</v>
      </c>
      <c r="J10252" s="417" t="s">
        <v>20833</v>
      </c>
      <c r="K10252" s="417" t="s">
        <v>22949</v>
      </c>
      <c r="L10252" s="417"/>
      <c r="M10252" s="417" t="s">
        <v>28840</v>
      </c>
    </row>
    <row r="10253" spans="1:13" x14ac:dyDescent="0.25">
      <c r="A10253" s="417" t="s">
        <v>3385</v>
      </c>
      <c r="B10253" s="417" t="s">
        <v>2437</v>
      </c>
      <c r="C10253" s="417" t="s">
        <v>22950</v>
      </c>
      <c r="D10253" s="417" t="s">
        <v>3936</v>
      </c>
      <c r="E10253" s="423">
        <v>0.2795227984624401</v>
      </c>
      <c r="F10253" s="423">
        <v>2.0571051926537229E-2</v>
      </c>
      <c r="G10253" s="422">
        <v>545.39198874802833</v>
      </c>
      <c r="H10253" s="417" t="s">
        <v>2616</v>
      </c>
      <c r="I10253" s="417" t="s">
        <v>1392</v>
      </c>
      <c r="J10253" s="417" t="s">
        <v>20833</v>
      </c>
      <c r="K10253" s="417" t="s">
        <v>22951</v>
      </c>
      <c r="L10253" s="417"/>
      <c r="M10253" s="417" t="s">
        <v>28840</v>
      </c>
    </row>
    <row r="10254" spans="1:13" x14ac:dyDescent="0.25">
      <c r="A10254" s="417" t="s">
        <v>3385</v>
      </c>
      <c r="B10254" s="417" t="s">
        <v>2437</v>
      </c>
      <c r="C10254" s="417" t="s">
        <v>22952</v>
      </c>
      <c r="D10254" s="417" t="s">
        <v>3936</v>
      </c>
      <c r="E10254" s="423">
        <v>0.30449220918876863</v>
      </c>
      <c r="F10254" s="423">
        <v>2.8625461554134101E-2</v>
      </c>
      <c r="G10254" s="422">
        <v>576.96835944442819</v>
      </c>
      <c r="H10254" s="417" t="s">
        <v>2616</v>
      </c>
      <c r="I10254" s="417" t="s">
        <v>1392</v>
      </c>
      <c r="J10254" s="417" t="s">
        <v>20833</v>
      </c>
      <c r="K10254" s="417" t="s">
        <v>22953</v>
      </c>
      <c r="L10254" s="417"/>
      <c r="M10254" s="417" t="s">
        <v>28840</v>
      </c>
    </row>
    <row r="10255" spans="1:13" x14ac:dyDescent="0.25">
      <c r="A10255" s="417" t="s">
        <v>3385</v>
      </c>
      <c r="B10255" s="417" t="s">
        <v>2437</v>
      </c>
      <c r="C10255" s="417" t="s">
        <v>22954</v>
      </c>
      <c r="D10255" s="417" t="s">
        <v>3936</v>
      </c>
      <c r="E10255" s="423">
        <v>0.27705826289607022</v>
      </c>
      <c r="F10255" s="423">
        <v>2.0321468154218508E-2</v>
      </c>
      <c r="G10255" s="422">
        <v>539.24689117125001</v>
      </c>
      <c r="H10255" s="417" t="s">
        <v>2616</v>
      </c>
      <c r="I10255" s="417" t="s">
        <v>1392</v>
      </c>
      <c r="J10255" s="417" t="s">
        <v>20833</v>
      </c>
      <c r="K10255" s="417" t="s">
        <v>22955</v>
      </c>
      <c r="L10255" s="417"/>
      <c r="M10255" s="417" t="s">
        <v>28840</v>
      </c>
    </row>
    <row r="10256" spans="1:13" x14ac:dyDescent="0.25">
      <c r="A10256" s="417" t="s">
        <v>3385</v>
      </c>
      <c r="B10256" s="417" t="s">
        <v>2437</v>
      </c>
      <c r="C10256" s="417" t="s">
        <v>22956</v>
      </c>
      <c r="D10256" s="417" t="s">
        <v>3936</v>
      </c>
      <c r="E10256" s="423">
        <v>0.30115429540811489</v>
      </c>
      <c r="F10256" s="423">
        <v>2.8228639003079412E-2</v>
      </c>
      <c r="G10256" s="422">
        <v>569.99728295131672</v>
      </c>
      <c r="H10256" s="417" t="s">
        <v>2616</v>
      </c>
      <c r="I10256" s="417" t="s">
        <v>1392</v>
      </c>
      <c r="J10256" s="417" t="s">
        <v>20833</v>
      </c>
      <c r="K10256" s="417" t="s">
        <v>22957</v>
      </c>
      <c r="L10256" s="417"/>
      <c r="M10256" s="417" t="s">
        <v>28840</v>
      </c>
    </row>
    <row r="10257" spans="1:13" x14ac:dyDescent="0.25">
      <c r="A10257" s="417" t="s">
        <v>3385</v>
      </c>
      <c r="B10257" s="417" t="s">
        <v>2437</v>
      </c>
      <c r="C10257" s="417" t="s">
        <v>22958</v>
      </c>
      <c r="D10257" s="417" t="s">
        <v>3936</v>
      </c>
      <c r="E10257" s="423">
        <v>0.25816893565249188</v>
      </c>
      <c r="F10257" s="423">
        <v>1.8862530802682069E-2</v>
      </c>
      <c r="G10257" s="422">
        <v>519.00819640511554</v>
      </c>
      <c r="H10257" s="417" t="s">
        <v>2616</v>
      </c>
      <c r="I10257" s="417" t="s">
        <v>1392</v>
      </c>
      <c r="J10257" s="417" t="s">
        <v>20833</v>
      </c>
      <c r="K10257" s="417" t="s">
        <v>22959</v>
      </c>
      <c r="L10257" s="417"/>
      <c r="M10257" s="417" t="s">
        <v>28840</v>
      </c>
    </row>
    <row r="10258" spans="1:13" x14ac:dyDescent="0.25">
      <c r="A10258" s="417" t="s">
        <v>3385</v>
      </c>
      <c r="B10258" s="417" t="s">
        <v>2437</v>
      </c>
      <c r="C10258" s="417" t="s">
        <v>22960</v>
      </c>
      <c r="D10258" s="417" t="s">
        <v>3936</v>
      </c>
      <c r="E10258" s="423">
        <v>0.28295087195462693</v>
      </c>
      <c r="F10258" s="423">
        <v>2.634130628199266E-2</v>
      </c>
      <c r="G10258" s="422">
        <v>549.28063195136622</v>
      </c>
      <c r="H10258" s="417" t="s">
        <v>2616</v>
      </c>
      <c r="I10258" s="417" t="s">
        <v>1392</v>
      </c>
      <c r="J10258" s="417" t="s">
        <v>20833</v>
      </c>
      <c r="K10258" s="417" t="s">
        <v>22961</v>
      </c>
      <c r="L10258" s="417"/>
      <c r="M10258" s="417" t="s">
        <v>28840</v>
      </c>
    </row>
    <row r="10259" spans="1:13" x14ac:dyDescent="0.25">
      <c r="A10259" s="417" t="s">
        <v>3385</v>
      </c>
      <c r="B10259" s="417" t="s">
        <v>2437</v>
      </c>
      <c r="C10259" s="417" t="s">
        <v>22962</v>
      </c>
      <c r="D10259" s="417" t="s">
        <v>3936</v>
      </c>
      <c r="E10259" s="423">
        <v>0.25509724855226379</v>
      </c>
      <c r="F10259" s="423">
        <v>1.841668966278949E-2</v>
      </c>
      <c r="G10259" s="422">
        <v>511.64995109438638</v>
      </c>
      <c r="H10259" s="417" t="s">
        <v>2616</v>
      </c>
      <c r="I10259" s="417" t="s">
        <v>1392</v>
      </c>
      <c r="J10259" s="417" t="s">
        <v>20833</v>
      </c>
      <c r="K10259" s="417" t="s">
        <v>22963</v>
      </c>
      <c r="L10259" s="417"/>
      <c r="M10259" s="417" t="s">
        <v>28840</v>
      </c>
    </row>
    <row r="10260" spans="1:13" x14ac:dyDescent="0.25">
      <c r="A10260" s="417" t="s">
        <v>3385</v>
      </c>
      <c r="B10260" s="417" t="s">
        <v>2437</v>
      </c>
      <c r="C10260" s="417" t="s">
        <v>22964</v>
      </c>
      <c r="D10260" s="417" t="s">
        <v>3936</v>
      </c>
      <c r="E10260" s="423">
        <v>0.2782090174108125</v>
      </c>
      <c r="F10260" s="423">
        <v>2.563573995340912E-2</v>
      </c>
      <c r="G10260" s="422">
        <v>540.38812820923783</v>
      </c>
      <c r="H10260" s="417" t="s">
        <v>2616</v>
      </c>
      <c r="I10260" s="417" t="s">
        <v>1392</v>
      </c>
      <c r="J10260" s="417" t="s">
        <v>20833</v>
      </c>
      <c r="K10260" s="417" t="s">
        <v>22965</v>
      </c>
      <c r="L10260" s="417"/>
      <c r="M10260" s="417" t="s">
        <v>28840</v>
      </c>
    </row>
    <row r="10261" spans="1:13" x14ac:dyDescent="0.25">
      <c r="A10261" s="417" t="s">
        <v>3385</v>
      </c>
      <c r="B10261" s="417" t="s">
        <v>2437</v>
      </c>
      <c r="C10261" s="417" t="s">
        <v>22966</v>
      </c>
      <c r="D10261" s="417" t="s">
        <v>3936</v>
      </c>
      <c r="E10261" s="423">
        <v>0.2446350731889792</v>
      </c>
      <c r="F10261" s="423">
        <v>1.8144564741247919E-2</v>
      </c>
      <c r="G10261" s="422">
        <v>488.83764152242298</v>
      </c>
      <c r="H10261" s="417" t="s">
        <v>2616</v>
      </c>
      <c r="I10261" s="417" t="s">
        <v>1392</v>
      </c>
      <c r="J10261" s="417" t="s">
        <v>20833</v>
      </c>
      <c r="K10261" s="417" t="s">
        <v>22967</v>
      </c>
      <c r="L10261" s="417"/>
      <c r="M10261" s="417" t="s">
        <v>28840</v>
      </c>
    </row>
    <row r="10262" spans="1:13" x14ac:dyDescent="0.25">
      <c r="A10262" s="417" t="s">
        <v>3385</v>
      </c>
      <c r="B10262" s="417" t="s">
        <v>2437</v>
      </c>
      <c r="C10262" s="417" t="s">
        <v>22968</v>
      </c>
      <c r="D10262" s="417" t="s">
        <v>3936</v>
      </c>
      <c r="E10262" s="423">
        <v>0.26669793355454002</v>
      </c>
      <c r="F10262" s="423">
        <v>2.5204653978680939E-2</v>
      </c>
      <c r="G10262" s="422">
        <v>516.62085731162392</v>
      </c>
      <c r="H10262" s="417" t="s">
        <v>2616</v>
      </c>
      <c r="I10262" s="417" t="s">
        <v>1392</v>
      </c>
      <c r="J10262" s="417" t="s">
        <v>20833</v>
      </c>
      <c r="K10262" s="417" t="s">
        <v>22969</v>
      </c>
      <c r="L10262" s="417"/>
      <c r="M10262" s="417" t="s">
        <v>28840</v>
      </c>
    </row>
    <row r="10263" spans="1:13" x14ac:dyDescent="0.25">
      <c r="A10263" s="417" t="s">
        <v>3385</v>
      </c>
      <c r="B10263" s="417" t="s">
        <v>2437</v>
      </c>
      <c r="C10263" s="417" t="s">
        <v>22970</v>
      </c>
      <c r="D10263" s="417" t="s">
        <v>3936</v>
      </c>
      <c r="E10263" s="423">
        <v>0.24339647899576139</v>
      </c>
      <c r="F10263" s="423">
        <v>1.8007317941171389E-2</v>
      </c>
      <c r="G10263" s="422">
        <v>481.65106093930729</v>
      </c>
      <c r="H10263" s="417" t="s">
        <v>2616</v>
      </c>
      <c r="I10263" s="417" t="s">
        <v>1392</v>
      </c>
      <c r="J10263" s="417" t="s">
        <v>20833</v>
      </c>
      <c r="K10263" s="417" t="s">
        <v>22971</v>
      </c>
      <c r="L10263" s="417"/>
      <c r="M10263" s="417" t="s">
        <v>28840</v>
      </c>
    </row>
    <row r="10264" spans="1:13" x14ac:dyDescent="0.25">
      <c r="A10264" s="417" t="s">
        <v>3385</v>
      </c>
      <c r="B10264" s="417" t="s">
        <v>2437</v>
      </c>
      <c r="C10264" s="417" t="s">
        <v>22972</v>
      </c>
      <c r="D10264" s="417" t="s">
        <v>3936</v>
      </c>
      <c r="E10264" s="423">
        <v>0.26493488515177971</v>
      </c>
      <c r="F10264" s="423">
        <v>2.4987926659505211E-2</v>
      </c>
      <c r="G10264" s="422">
        <v>508.95678474330668</v>
      </c>
      <c r="H10264" s="417" t="s">
        <v>2616</v>
      </c>
      <c r="I10264" s="417" t="s">
        <v>1392</v>
      </c>
      <c r="J10264" s="417" t="s">
        <v>20833</v>
      </c>
      <c r="K10264" s="417" t="s">
        <v>22973</v>
      </c>
      <c r="L10264" s="417"/>
      <c r="M10264" s="417" t="s">
        <v>28840</v>
      </c>
    </row>
    <row r="10265" spans="1:13" x14ac:dyDescent="0.25">
      <c r="A10265" s="417" t="s">
        <v>3385</v>
      </c>
      <c r="B10265" s="417" t="s">
        <v>2437</v>
      </c>
      <c r="C10265" s="417" t="s">
        <v>22974</v>
      </c>
      <c r="D10265" s="417" t="s">
        <v>3936</v>
      </c>
      <c r="E10265" s="423">
        <v>0.25012627006393517</v>
      </c>
      <c r="F10265" s="423">
        <v>1.847130091697511E-2</v>
      </c>
      <c r="G10265" s="422">
        <v>487.29389077523592</v>
      </c>
      <c r="H10265" s="417" t="s">
        <v>2616</v>
      </c>
      <c r="I10265" s="417" t="s">
        <v>1392</v>
      </c>
      <c r="J10265" s="417" t="s">
        <v>20833</v>
      </c>
      <c r="K10265" s="417" t="s">
        <v>22975</v>
      </c>
      <c r="L10265" s="417"/>
      <c r="M10265" s="417" t="s">
        <v>28840</v>
      </c>
    </row>
    <row r="10266" spans="1:13" x14ac:dyDescent="0.25">
      <c r="A10266" s="417" t="s">
        <v>3385</v>
      </c>
      <c r="B10266" s="417" t="s">
        <v>2437</v>
      </c>
      <c r="C10266" s="417" t="s">
        <v>22976</v>
      </c>
      <c r="D10266" s="417" t="s">
        <v>3936</v>
      </c>
      <c r="E10266" s="423">
        <v>0.2709295205900154</v>
      </c>
      <c r="F10266" s="423">
        <v>2.568437152872852E-2</v>
      </c>
      <c r="G10266" s="422">
        <v>514.64242987816681</v>
      </c>
      <c r="H10266" s="417" t="s">
        <v>2616</v>
      </c>
      <c r="I10266" s="417" t="s">
        <v>1392</v>
      </c>
      <c r="J10266" s="417" t="s">
        <v>20833</v>
      </c>
      <c r="K10266" s="417" t="s">
        <v>22977</v>
      </c>
      <c r="L10266" s="417"/>
      <c r="M10266" s="417" t="s">
        <v>28840</v>
      </c>
    </row>
    <row r="10267" spans="1:13" x14ac:dyDescent="0.25">
      <c r="A10267" s="417" t="s">
        <v>3385</v>
      </c>
      <c r="B10267" s="417" t="s">
        <v>2437</v>
      </c>
      <c r="C10267" s="417" t="s">
        <v>22978</v>
      </c>
      <c r="D10267" s="417" t="s">
        <v>3936</v>
      </c>
      <c r="E10267" s="423">
        <v>0.19002287657932149</v>
      </c>
      <c r="F10267" s="423">
        <v>1.407625285213087E-2</v>
      </c>
      <c r="G10267" s="422">
        <v>398.67459593781177</v>
      </c>
      <c r="H10267" s="417" t="s">
        <v>2616</v>
      </c>
      <c r="I10267" s="417" t="s">
        <v>1392</v>
      </c>
      <c r="J10267" s="417" t="s">
        <v>20833</v>
      </c>
      <c r="K10267" s="417" t="s">
        <v>22979</v>
      </c>
      <c r="L10267" s="417"/>
      <c r="M10267" s="417" t="s">
        <v>28840</v>
      </c>
    </row>
    <row r="10268" spans="1:13" x14ac:dyDescent="0.25">
      <c r="A10268" s="417" t="s">
        <v>3385</v>
      </c>
      <c r="B10268" s="417" t="s">
        <v>2437</v>
      </c>
      <c r="C10268" s="417" t="s">
        <v>22980</v>
      </c>
      <c r="D10268" s="417" t="s">
        <v>3936</v>
      </c>
      <c r="E10268" s="423">
        <v>0.20981655071563329</v>
      </c>
      <c r="F10268" s="423">
        <v>1.9502921631857361E-2</v>
      </c>
      <c r="G10268" s="422">
        <v>421.72139817123468</v>
      </c>
      <c r="H10268" s="417" t="s">
        <v>2616</v>
      </c>
      <c r="I10268" s="417" t="s">
        <v>1392</v>
      </c>
      <c r="J10268" s="417" t="s">
        <v>20833</v>
      </c>
      <c r="K10268" s="417" t="s">
        <v>22981</v>
      </c>
      <c r="L10268" s="417"/>
      <c r="M10268" s="417" t="s">
        <v>28840</v>
      </c>
    </row>
    <row r="10269" spans="1:13" x14ac:dyDescent="0.25">
      <c r="A10269" s="417" t="s">
        <v>3385</v>
      </c>
      <c r="B10269" s="417" t="s">
        <v>2437</v>
      </c>
      <c r="C10269" s="417" t="s">
        <v>22982</v>
      </c>
      <c r="D10269" s="417" t="s">
        <v>3936</v>
      </c>
      <c r="E10269" s="423">
        <v>0.18659324472373071</v>
      </c>
      <c r="F10269" s="423">
        <v>1.367000482627061E-2</v>
      </c>
      <c r="G10269" s="422">
        <v>391.82451802547428</v>
      </c>
      <c r="H10269" s="417" t="s">
        <v>2616</v>
      </c>
      <c r="I10269" s="417" t="s">
        <v>1392</v>
      </c>
      <c r="J10269" s="417" t="s">
        <v>20833</v>
      </c>
      <c r="K10269" s="417" t="s">
        <v>22983</v>
      </c>
      <c r="L10269" s="417"/>
      <c r="M10269" s="417" t="s">
        <v>28840</v>
      </c>
    </row>
    <row r="10270" spans="1:13" x14ac:dyDescent="0.25">
      <c r="A10270" s="417" t="s">
        <v>3385</v>
      </c>
      <c r="B10270" s="417" t="s">
        <v>2437</v>
      </c>
      <c r="C10270" s="417" t="s">
        <v>22984</v>
      </c>
      <c r="D10270" s="417" t="s">
        <v>3936</v>
      </c>
      <c r="E10270" s="423">
        <v>0.2051256098079616</v>
      </c>
      <c r="F10270" s="423">
        <v>1.8879071613017769E-2</v>
      </c>
      <c r="G10270" s="422">
        <v>413.6682008745189</v>
      </c>
      <c r="H10270" s="417" t="s">
        <v>2616</v>
      </c>
      <c r="I10270" s="417" t="s">
        <v>1392</v>
      </c>
      <c r="J10270" s="417" t="s">
        <v>20833</v>
      </c>
      <c r="K10270" s="417" t="s">
        <v>22985</v>
      </c>
      <c r="L10270" s="417"/>
      <c r="M10270" s="417" t="s">
        <v>28840</v>
      </c>
    </row>
    <row r="10271" spans="1:13" x14ac:dyDescent="0.25">
      <c r="A10271" s="417" t="s">
        <v>3385</v>
      </c>
      <c r="B10271" s="417" t="s">
        <v>2437</v>
      </c>
      <c r="C10271" s="417" t="s">
        <v>22986</v>
      </c>
      <c r="D10271" s="417" t="s">
        <v>3936</v>
      </c>
      <c r="E10271" s="423">
        <v>0.1760714511666257</v>
      </c>
      <c r="F10271" s="423">
        <v>1.342721966401853E-2</v>
      </c>
      <c r="G10271" s="422">
        <v>370.96131709738881</v>
      </c>
      <c r="H10271" s="417" t="s">
        <v>2616</v>
      </c>
      <c r="I10271" s="417" t="s">
        <v>1392</v>
      </c>
      <c r="J10271" s="417" t="s">
        <v>20833</v>
      </c>
      <c r="K10271" s="417" t="s">
        <v>22987</v>
      </c>
      <c r="L10271" s="417"/>
      <c r="M10271" s="417" t="s">
        <v>28840</v>
      </c>
    </row>
    <row r="10272" spans="1:13" x14ac:dyDescent="0.25">
      <c r="A10272" s="417" t="s">
        <v>3385</v>
      </c>
      <c r="B10272" s="417" t="s">
        <v>2437</v>
      </c>
      <c r="C10272" s="417" t="s">
        <v>22988</v>
      </c>
      <c r="D10272" s="417" t="s">
        <v>3936</v>
      </c>
      <c r="E10272" s="423">
        <v>0.19380773936825069</v>
      </c>
      <c r="F10272" s="423">
        <v>1.8509028819305159E-2</v>
      </c>
      <c r="G10272" s="422">
        <v>392.06653124454277</v>
      </c>
      <c r="H10272" s="417" t="s">
        <v>2616</v>
      </c>
      <c r="I10272" s="417" t="s">
        <v>1392</v>
      </c>
      <c r="J10272" s="417" t="s">
        <v>20833</v>
      </c>
      <c r="K10272" s="417" t="s">
        <v>22989</v>
      </c>
      <c r="L10272" s="417"/>
      <c r="M10272" s="417" t="s">
        <v>28840</v>
      </c>
    </row>
    <row r="10273" spans="1:13" x14ac:dyDescent="0.25">
      <c r="A10273" s="417" t="s">
        <v>3385</v>
      </c>
      <c r="B10273" s="417" t="s">
        <v>2437</v>
      </c>
      <c r="C10273" s="417" t="s">
        <v>22990</v>
      </c>
      <c r="D10273" s="417" t="s">
        <v>3936</v>
      </c>
      <c r="E10273" s="423">
        <v>0.1747156133257621</v>
      </c>
      <c r="F10273" s="423">
        <v>1.3298977136254969E-2</v>
      </c>
      <c r="G10273" s="422">
        <v>364.56983225736099</v>
      </c>
      <c r="H10273" s="417" t="s">
        <v>2616</v>
      </c>
      <c r="I10273" s="417" t="s">
        <v>1392</v>
      </c>
      <c r="J10273" s="417" t="s">
        <v>20833</v>
      </c>
      <c r="K10273" s="417" t="s">
        <v>22991</v>
      </c>
      <c r="L10273" s="417"/>
      <c r="M10273" s="417" t="s">
        <v>28840</v>
      </c>
    </row>
    <row r="10274" spans="1:13" x14ac:dyDescent="0.25">
      <c r="A10274" s="417" t="s">
        <v>3385</v>
      </c>
      <c r="B10274" s="417" t="s">
        <v>2437</v>
      </c>
      <c r="C10274" s="417" t="s">
        <v>22992</v>
      </c>
      <c r="D10274" s="417" t="s">
        <v>3936</v>
      </c>
      <c r="E10274" s="423">
        <v>0.19206397082528179</v>
      </c>
      <c r="F10274" s="423">
        <v>1.8310423087115571E-2</v>
      </c>
      <c r="G10274" s="422">
        <v>385.297883224381</v>
      </c>
      <c r="H10274" s="417" t="s">
        <v>2616</v>
      </c>
      <c r="I10274" s="417" t="s">
        <v>1392</v>
      </c>
      <c r="J10274" s="417" t="s">
        <v>20833</v>
      </c>
      <c r="K10274" s="417" t="s">
        <v>22993</v>
      </c>
      <c r="L10274" s="417"/>
      <c r="M10274" s="417" t="s">
        <v>28840</v>
      </c>
    </row>
    <row r="10275" spans="1:13" x14ac:dyDescent="0.25">
      <c r="A10275" s="417" t="s">
        <v>3385</v>
      </c>
      <c r="B10275" s="417" t="s">
        <v>2437</v>
      </c>
      <c r="C10275" s="417" t="s">
        <v>22994</v>
      </c>
      <c r="D10275" s="417" t="s">
        <v>3936</v>
      </c>
      <c r="E10275" s="423">
        <v>0.17997654999818249</v>
      </c>
      <c r="F10275" s="423">
        <v>1.366639508694663E-2</v>
      </c>
      <c r="G10275" s="422">
        <v>368.90716732915712</v>
      </c>
      <c r="H10275" s="417" t="s">
        <v>2616</v>
      </c>
      <c r="I10275" s="417" t="s">
        <v>1392</v>
      </c>
      <c r="J10275" s="417" t="s">
        <v>20833</v>
      </c>
      <c r="K10275" s="417" t="s">
        <v>22995</v>
      </c>
      <c r="L10275" s="417"/>
      <c r="M10275" s="417" t="s">
        <v>28840</v>
      </c>
    </row>
    <row r="10276" spans="1:13" x14ac:dyDescent="0.25">
      <c r="A10276" s="417" t="s">
        <v>3385</v>
      </c>
      <c r="B10276" s="417" t="s">
        <v>2437</v>
      </c>
      <c r="C10276" s="417" t="s">
        <v>22996</v>
      </c>
      <c r="D10276" s="417" t="s">
        <v>3936</v>
      </c>
      <c r="E10276" s="423">
        <v>0.196768130767454</v>
      </c>
      <c r="F10276" s="423">
        <v>1.8862940263282859E-2</v>
      </c>
      <c r="G10276" s="422">
        <v>389.68637023491448</v>
      </c>
      <c r="H10276" s="417" t="s">
        <v>2616</v>
      </c>
      <c r="I10276" s="417" t="s">
        <v>1392</v>
      </c>
      <c r="J10276" s="417" t="s">
        <v>20833</v>
      </c>
      <c r="K10276" s="417" t="s">
        <v>22997</v>
      </c>
      <c r="L10276" s="417"/>
      <c r="M10276" s="417" t="s">
        <v>28840</v>
      </c>
    </row>
    <row r="10277" spans="1:13" x14ac:dyDescent="0.25">
      <c r="A10277" s="417" t="s">
        <v>3385</v>
      </c>
      <c r="B10277" s="417" t="s">
        <v>2437</v>
      </c>
      <c r="C10277" s="417" t="s">
        <v>22998</v>
      </c>
      <c r="D10277" s="417" t="s">
        <v>3936</v>
      </c>
      <c r="E10277" s="423">
        <v>0.20224705721267711</v>
      </c>
      <c r="F10277" s="423">
        <v>1.36332398617987E-2</v>
      </c>
      <c r="G10277" s="422">
        <v>377.84311534378668</v>
      </c>
      <c r="H10277" s="417" t="s">
        <v>2616</v>
      </c>
      <c r="I10277" s="417" t="s">
        <v>1392</v>
      </c>
      <c r="J10277" s="417" t="s">
        <v>20833</v>
      </c>
      <c r="K10277" s="417" t="s">
        <v>22999</v>
      </c>
      <c r="L10277" s="417"/>
      <c r="M10277" s="417" t="s">
        <v>28840</v>
      </c>
    </row>
    <row r="10278" spans="1:13" x14ac:dyDescent="0.25">
      <c r="A10278" s="417" t="s">
        <v>3385</v>
      </c>
      <c r="B10278" s="417" t="s">
        <v>2437</v>
      </c>
      <c r="C10278" s="417" t="s">
        <v>23000</v>
      </c>
      <c r="D10278" s="417" t="s">
        <v>3936</v>
      </c>
      <c r="E10278" s="423">
        <v>0.20164977186781419</v>
      </c>
      <c r="F10278" s="423">
        <v>1.346433588825911E-2</v>
      </c>
      <c r="G10278" s="422">
        <v>382.82139927653071</v>
      </c>
      <c r="H10278" s="417" t="s">
        <v>2616</v>
      </c>
      <c r="I10278" s="417" t="s">
        <v>1392</v>
      </c>
      <c r="J10278" s="417" t="s">
        <v>20833</v>
      </c>
      <c r="K10278" s="417" t="s">
        <v>23001</v>
      </c>
      <c r="L10278" s="417"/>
      <c r="M10278" s="417" t="s">
        <v>28840</v>
      </c>
    </row>
    <row r="10279" spans="1:13" x14ac:dyDescent="0.25">
      <c r="A10279" s="417" t="s">
        <v>3385</v>
      </c>
      <c r="B10279" s="417" t="s">
        <v>2437</v>
      </c>
      <c r="C10279" s="417" t="s">
        <v>23002</v>
      </c>
      <c r="D10279" s="417" t="s">
        <v>3936</v>
      </c>
      <c r="E10279" s="423">
        <v>0.1927469938340608</v>
      </c>
      <c r="F10279" s="423">
        <v>1.337276777328128E-2</v>
      </c>
      <c r="G10279" s="422">
        <v>362.88783572080052</v>
      </c>
      <c r="H10279" s="417" t="s">
        <v>2616</v>
      </c>
      <c r="I10279" s="417" t="s">
        <v>1392</v>
      </c>
      <c r="J10279" s="417" t="s">
        <v>20833</v>
      </c>
      <c r="K10279" s="417" t="s">
        <v>23003</v>
      </c>
      <c r="L10279" s="417"/>
      <c r="M10279" s="417" t="s">
        <v>28840</v>
      </c>
    </row>
    <row r="10280" spans="1:13" x14ac:dyDescent="0.25">
      <c r="A10280" s="417" t="s">
        <v>3385</v>
      </c>
      <c r="B10280" s="417" t="s">
        <v>2437</v>
      </c>
      <c r="C10280" s="417" t="s">
        <v>23004</v>
      </c>
      <c r="D10280" s="417" t="s">
        <v>3936</v>
      </c>
      <c r="E10280" s="423">
        <v>0.1920996169898111</v>
      </c>
      <c r="F10280" s="423">
        <v>1.332156723321865E-2</v>
      </c>
      <c r="G10280" s="422">
        <v>355.04616807116469</v>
      </c>
      <c r="H10280" s="417" t="s">
        <v>2616</v>
      </c>
      <c r="I10280" s="417" t="s">
        <v>1392</v>
      </c>
      <c r="J10280" s="417" t="s">
        <v>20833</v>
      </c>
      <c r="K10280" s="417" t="s">
        <v>23005</v>
      </c>
      <c r="L10280" s="417"/>
      <c r="M10280" s="417" t="s">
        <v>28840</v>
      </c>
    </row>
    <row r="10281" spans="1:13" x14ac:dyDescent="0.25">
      <c r="A10281" s="417" t="s">
        <v>3385</v>
      </c>
      <c r="B10281" s="417" t="s">
        <v>2437</v>
      </c>
      <c r="C10281" s="417" t="s">
        <v>23006</v>
      </c>
      <c r="D10281" s="417" t="s">
        <v>3936</v>
      </c>
      <c r="E10281" s="423">
        <v>0.19107758198998159</v>
      </c>
      <c r="F10281" s="423">
        <v>1.324219822056529E-2</v>
      </c>
      <c r="G10281" s="422">
        <v>353.09846130211019</v>
      </c>
      <c r="H10281" s="417" t="s">
        <v>2616</v>
      </c>
      <c r="I10281" s="417" t="s">
        <v>1392</v>
      </c>
      <c r="J10281" s="417" t="s">
        <v>20833</v>
      </c>
      <c r="K10281" s="417" t="s">
        <v>23007</v>
      </c>
      <c r="L10281" s="417"/>
      <c r="M10281" s="417" t="s">
        <v>28840</v>
      </c>
    </row>
    <row r="10282" spans="1:13" x14ac:dyDescent="0.25">
      <c r="A10282" s="417" t="s">
        <v>3385</v>
      </c>
      <c r="B10282" s="417" t="s">
        <v>2437</v>
      </c>
      <c r="C10282" s="417" t="s">
        <v>23008</v>
      </c>
      <c r="D10282" s="417" t="s">
        <v>3936</v>
      </c>
      <c r="E10282" s="423">
        <v>0.38013677474583291</v>
      </c>
      <c r="F10282" s="423">
        <v>2.551962582969728E-2</v>
      </c>
      <c r="G10282" s="422">
        <v>665.4837573801484</v>
      </c>
      <c r="H10282" s="417" t="s">
        <v>2616</v>
      </c>
      <c r="I10282" s="417" t="s">
        <v>1392</v>
      </c>
      <c r="J10282" s="417" t="s">
        <v>20833</v>
      </c>
      <c r="K10282" s="417" t="s">
        <v>23009</v>
      </c>
      <c r="L10282" s="417"/>
      <c r="M10282" s="417" t="s">
        <v>28840</v>
      </c>
    </row>
    <row r="10283" spans="1:13" x14ac:dyDescent="0.25">
      <c r="A10283" s="417" t="s">
        <v>3385</v>
      </c>
      <c r="B10283" s="417" t="s">
        <v>2437</v>
      </c>
      <c r="C10283" s="417" t="s">
        <v>23010</v>
      </c>
      <c r="D10283" s="417" t="s">
        <v>3936</v>
      </c>
      <c r="E10283" s="423">
        <v>0.38010291543588898</v>
      </c>
      <c r="F10283" s="423">
        <v>2.529752188955758E-2</v>
      </c>
      <c r="G10283" s="422">
        <v>676.71290859331748</v>
      </c>
      <c r="H10283" s="417" t="s">
        <v>2616</v>
      </c>
      <c r="I10283" s="417" t="s">
        <v>1392</v>
      </c>
      <c r="J10283" s="417" t="s">
        <v>20833</v>
      </c>
      <c r="K10283" s="417" t="s">
        <v>23011</v>
      </c>
      <c r="L10283" s="417"/>
      <c r="M10283" s="417" t="s">
        <v>28840</v>
      </c>
    </row>
    <row r="10284" spans="1:13" x14ac:dyDescent="0.25">
      <c r="A10284" s="417" t="s">
        <v>3385</v>
      </c>
      <c r="B10284" s="417" t="s">
        <v>2437</v>
      </c>
      <c r="C10284" s="417" t="s">
        <v>23012</v>
      </c>
      <c r="D10284" s="417" t="s">
        <v>3936</v>
      </c>
      <c r="E10284" s="423">
        <v>0.37015350305955108</v>
      </c>
      <c r="F10284" s="423">
        <v>2.5140396288140032E-2</v>
      </c>
      <c r="G10284" s="422">
        <v>644.36898918345128</v>
      </c>
      <c r="H10284" s="417" t="s">
        <v>2616</v>
      </c>
      <c r="I10284" s="417" t="s">
        <v>1392</v>
      </c>
      <c r="J10284" s="417" t="s">
        <v>20833</v>
      </c>
      <c r="K10284" s="417" t="s">
        <v>23013</v>
      </c>
      <c r="L10284" s="417"/>
      <c r="M10284" s="417" t="s">
        <v>28840</v>
      </c>
    </row>
    <row r="10285" spans="1:13" x14ac:dyDescent="0.25">
      <c r="A10285" s="417" t="s">
        <v>3385</v>
      </c>
      <c r="B10285" s="417" t="s">
        <v>2437</v>
      </c>
      <c r="C10285" s="417" t="s">
        <v>23014</v>
      </c>
      <c r="D10285" s="417" t="s">
        <v>3936</v>
      </c>
      <c r="E10285" s="423">
        <v>0.36907568939251217</v>
      </c>
      <c r="F10285" s="423">
        <v>2.506234102392808E-2</v>
      </c>
      <c r="G10285" s="422">
        <v>628.89593495442818</v>
      </c>
      <c r="H10285" s="417" t="s">
        <v>2616</v>
      </c>
      <c r="I10285" s="417" t="s">
        <v>1392</v>
      </c>
      <c r="J10285" s="417" t="s">
        <v>20833</v>
      </c>
      <c r="K10285" s="417" t="s">
        <v>23015</v>
      </c>
      <c r="L10285" s="417"/>
      <c r="M10285" s="417" t="s">
        <v>28840</v>
      </c>
    </row>
    <row r="10286" spans="1:13" x14ac:dyDescent="0.25">
      <c r="A10286" s="417" t="s">
        <v>3385</v>
      </c>
      <c r="B10286" s="417" t="s">
        <v>2437</v>
      </c>
      <c r="C10286" s="417" t="s">
        <v>23016</v>
      </c>
      <c r="D10286" s="417" t="s">
        <v>3936</v>
      </c>
      <c r="E10286" s="423">
        <v>0.36562785217569971</v>
      </c>
      <c r="F10286" s="423">
        <v>2.4799388686890609E-2</v>
      </c>
      <c r="G10286" s="422">
        <v>623.25649287342617</v>
      </c>
      <c r="H10286" s="417" t="s">
        <v>2616</v>
      </c>
      <c r="I10286" s="417" t="s">
        <v>1392</v>
      </c>
      <c r="J10286" s="417" t="s">
        <v>20833</v>
      </c>
      <c r="K10286" s="417" t="s">
        <v>23017</v>
      </c>
      <c r="L10286" s="417"/>
      <c r="M10286" s="417" t="s">
        <v>28840</v>
      </c>
    </row>
    <row r="10287" spans="1:13" x14ac:dyDescent="0.25">
      <c r="A10287" s="417" t="s">
        <v>3385</v>
      </c>
      <c r="B10287" s="417" t="s">
        <v>2437</v>
      </c>
      <c r="C10287" s="417" t="s">
        <v>23018</v>
      </c>
      <c r="D10287" s="417" t="s">
        <v>3936</v>
      </c>
      <c r="E10287" s="423">
        <v>0.33710477035199288</v>
      </c>
      <c r="F10287" s="423">
        <v>2.2724998810748361E-2</v>
      </c>
      <c r="G10287" s="422">
        <v>595.50808272448205</v>
      </c>
      <c r="H10287" s="417" t="s">
        <v>2616</v>
      </c>
      <c r="I10287" s="417" t="s">
        <v>1392</v>
      </c>
      <c r="J10287" s="417" t="s">
        <v>20833</v>
      </c>
      <c r="K10287" s="417" t="s">
        <v>23019</v>
      </c>
      <c r="L10287" s="417"/>
      <c r="M10287" s="417" t="s">
        <v>28840</v>
      </c>
    </row>
    <row r="10288" spans="1:13" x14ac:dyDescent="0.25">
      <c r="A10288" s="417" t="s">
        <v>3385</v>
      </c>
      <c r="B10288" s="417" t="s">
        <v>2437</v>
      </c>
      <c r="C10288" s="417" t="s">
        <v>23020</v>
      </c>
      <c r="D10288" s="417" t="s">
        <v>3936</v>
      </c>
      <c r="E10288" s="423">
        <v>0.33419020188893261</v>
      </c>
      <c r="F10288" s="423">
        <v>2.2306615500387719E-2</v>
      </c>
      <c r="G10288" s="422">
        <v>601.40266578556179</v>
      </c>
      <c r="H10288" s="417" t="s">
        <v>2616</v>
      </c>
      <c r="I10288" s="417" t="s">
        <v>1392</v>
      </c>
      <c r="J10288" s="417" t="s">
        <v>20833</v>
      </c>
      <c r="K10288" s="417" t="s">
        <v>23021</v>
      </c>
      <c r="L10288" s="417"/>
      <c r="M10288" s="417" t="s">
        <v>28840</v>
      </c>
    </row>
    <row r="10289" spans="1:13" x14ac:dyDescent="0.25">
      <c r="A10289" s="417" t="s">
        <v>3385</v>
      </c>
      <c r="B10289" s="417" t="s">
        <v>2437</v>
      </c>
      <c r="C10289" s="417" t="s">
        <v>23022</v>
      </c>
      <c r="D10289" s="417" t="s">
        <v>3936</v>
      </c>
      <c r="E10289" s="423">
        <v>0.32292646468254221</v>
      </c>
      <c r="F10289" s="423">
        <v>2.2045526460718171E-2</v>
      </c>
      <c r="G10289" s="422">
        <v>570.17019138486569</v>
      </c>
      <c r="H10289" s="417" t="s">
        <v>2616</v>
      </c>
      <c r="I10289" s="417" t="s">
        <v>1392</v>
      </c>
      <c r="J10289" s="417" t="s">
        <v>20833</v>
      </c>
      <c r="K10289" s="417" t="s">
        <v>23023</v>
      </c>
      <c r="L10289" s="417"/>
      <c r="M10289" s="417" t="s">
        <v>28840</v>
      </c>
    </row>
    <row r="10290" spans="1:13" x14ac:dyDescent="0.25">
      <c r="A10290" s="417" t="s">
        <v>3385</v>
      </c>
      <c r="B10290" s="417" t="s">
        <v>2437</v>
      </c>
      <c r="C10290" s="417" t="s">
        <v>23024</v>
      </c>
      <c r="D10290" s="417" t="s">
        <v>3936</v>
      </c>
      <c r="E10290" s="423">
        <v>0.32113919666631258</v>
      </c>
      <c r="F10290" s="423">
        <v>2.1910216112721089E-2</v>
      </c>
      <c r="G10290" s="422">
        <v>555.50068587970009</v>
      </c>
      <c r="H10290" s="417" t="s">
        <v>2616</v>
      </c>
      <c r="I10290" s="417" t="s">
        <v>1392</v>
      </c>
      <c r="J10290" s="417" t="s">
        <v>20833</v>
      </c>
      <c r="K10290" s="417" t="s">
        <v>23025</v>
      </c>
      <c r="L10290" s="417"/>
      <c r="M10290" s="417" t="s">
        <v>28840</v>
      </c>
    </row>
    <row r="10291" spans="1:13" x14ac:dyDescent="0.25">
      <c r="A10291" s="417" t="s">
        <v>3385</v>
      </c>
      <c r="B10291" s="417" t="s">
        <v>2437</v>
      </c>
      <c r="C10291" s="417" t="s">
        <v>23026</v>
      </c>
      <c r="D10291" s="417" t="s">
        <v>3936</v>
      </c>
      <c r="E10291" s="423">
        <v>0.31666316415124168</v>
      </c>
      <c r="F10291" s="423">
        <v>2.157706519628436E-2</v>
      </c>
      <c r="G10291" s="422">
        <v>548.49203637304549</v>
      </c>
      <c r="H10291" s="417" t="s">
        <v>2616</v>
      </c>
      <c r="I10291" s="417" t="s">
        <v>1392</v>
      </c>
      <c r="J10291" s="417" t="s">
        <v>20833</v>
      </c>
      <c r="K10291" s="417" t="s">
        <v>23027</v>
      </c>
      <c r="L10291" s="417"/>
      <c r="M10291" s="417" t="s">
        <v>28840</v>
      </c>
    </row>
    <row r="10292" spans="1:13" x14ac:dyDescent="0.25">
      <c r="A10292" s="417" t="s">
        <v>3385</v>
      </c>
      <c r="B10292" s="417" t="s">
        <v>2437</v>
      </c>
      <c r="C10292" s="417" t="s">
        <v>23028</v>
      </c>
      <c r="D10292" s="417" t="s">
        <v>3936</v>
      </c>
      <c r="E10292" s="423">
        <v>0.24485527365606979</v>
      </c>
      <c r="F10292" s="423">
        <v>1.6530767437310211E-2</v>
      </c>
      <c r="G10292" s="422">
        <v>446.21091499259842</v>
      </c>
      <c r="H10292" s="417" t="s">
        <v>2616</v>
      </c>
      <c r="I10292" s="417" t="s">
        <v>1392</v>
      </c>
      <c r="J10292" s="417" t="s">
        <v>20833</v>
      </c>
      <c r="K10292" s="417" t="s">
        <v>23029</v>
      </c>
      <c r="L10292" s="417"/>
      <c r="M10292" s="417" t="s">
        <v>28840</v>
      </c>
    </row>
    <row r="10293" spans="1:13" x14ac:dyDescent="0.25">
      <c r="A10293" s="417" t="s">
        <v>3385</v>
      </c>
      <c r="B10293" s="417" t="s">
        <v>2437</v>
      </c>
      <c r="C10293" s="417" t="s">
        <v>23030</v>
      </c>
      <c r="D10293" s="417" t="s">
        <v>3936</v>
      </c>
      <c r="E10293" s="423">
        <v>0.2415889201078395</v>
      </c>
      <c r="F10293" s="423">
        <v>1.616456105648206E-2</v>
      </c>
      <c r="G10293" s="422">
        <v>448.32114185810133</v>
      </c>
      <c r="H10293" s="417" t="s">
        <v>2616</v>
      </c>
      <c r="I10293" s="417" t="s">
        <v>1392</v>
      </c>
      <c r="J10293" s="417" t="s">
        <v>20833</v>
      </c>
      <c r="K10293" s="417" t="s">
        <v>23031</v>
      </c>
      <c r="L10293" s="417"/>
      <c r="M10293" s="417" t="s">
        <v>28840</v>
      </c>
    </row>
    <row r="10294" spans="1:13" x14ac:dyDescent="0.25">
      <c r="A10294" s="417" t="s">
        <v>3385</v>
      </c>
      <c r="B10294" s="417" t="s">
        <v>2437</v>
      </c>
      <c r="C10294" s="417" t="s">
        <v>23032</v>
      </c>
      <c r="D10294" s="417" t="s">
        <v>3936</v>
      </c>
      <c r="E10294" s="423">
        <v>0.23013964828263039</v>
      </c>
      <c r="F10294" s="423">
        <v>1.5905865102159002E-2</v>
      </c>
      <c r="G10294" s="422">
        <v>421.90656035376043</v>
      </c>
      <c r="H10294" s="417" t="s">
        <v>2616</v>
      </c>
      <c r="I10294" s="417" t="s">
        <v>1392</v>
      </c>
      <c r="J10294" s="417" t="s">
        <v>20833</v>
      </c>
      <c r="K10294" s="417" t="s">
        <v>23033</v>
      </c>
      <c r="L10294" s="417"/>
      <c r="M10294" s="417" t="s">
        <v>28840</v>
      </c>
    </row>
    <row r="10295" spans="1:13" x14ac:dyDescent="0.25">
      <c r="A10295" s="417" t="s">
        <v>3385</v>
      </c>
      <c r="B10295" s="417" t="s">
        <v>2437</v>
      </c>
      <c r="C10295" s="417" t="s">
        <v>23034</v>
      </c>
      <c r="D10295" s="417" t="s">
        <v>3936</v>
      </c>
      <c r="E10295" s="423">
        <v>0.22866797401843569</v>
      </c>
      <c r="F10295" s="423">
        <v>1.5796627653551599E-2</v>
      </c>
      <c r="G10295" s="422">
        <v>411.2850742522445</v>
      </c>
      <c r="H10295" s="417" t="s">
        <v>2616</v>
      </c>
      <c r="I10295" s="417" t="s">
        <v>1392</v>
      </c>
      <c r="J10295" s="417" t="s">
        <v>20833</v>
      </c>
      <c r="K10295" s="417" t="s">
        <v>23035</v>
      </c>
      <c r="L10295" s="417"/>
      <c r="M10295" s="417" t="s">
        <v>28840</v>
      </c>
    </row>
    <row r="10296" spans="1:13" x14ac:dyDescent="0.25">
      <c r="A10296" s="417" t="s">
        <v>3385</v>
      </c>
      <c r="B10296" s="417" t="s">
        <v>2437</v>
      </c>
      <c r="C10296" s="417" t="s">
        <v>23036</v>
      </c>
      <c r="D10296" s="417" t="s">
        <v>3936</v>
      </c>
      <c r="E10296" s="423">
        <v>0.2260410267500457</v>
      </c>
      <c r="F10296" s="423">
        <v>1.5602726075416981E-2</v>
      </c>
      <c r="G10296" s="422">
        <v>407.09567869360541</v>
      </c>
      <c r="H10296" s="417" t="s">
        <v>2616</v>
      </c>
      <c r="I10296" s="417" t="s">
        <v>1392</v>
      </c>
      <c r="J10296" s="417" t="s">
        <v>20833</v>
      </c>
      <c r="K10296" s="417" t="s">
        <v>23037</v>
      </c>
      <c r="L10296" s="417"/>
      <c r="M10296" s="417" t="s">
        <v>28840</v>
      </c>
    </row>
    <row r="10297" spans="1:13" x14ac:dyDescent="0.25">
      <c r="A10297" s="417" t="s">
        <v>3385</v>
      </c>
      <c r="B10297" s="417" t="s">
        <v>2437</v>
      </c>
      <c r="C10297" s="417" t="s">
        <v>23038</v>
      </c>
      <c r="D10297" s="417" t="s">
        <v>3936</v>
      </c>
      <c r="E10297" s="423">
        <v>0.1876156952693088</v>
      </c>
      <c r="F10297" s="423">
        <v>1.0588450733851189E-2</v>
      </c>
      <c r="G10297" s="422">
        <v>386.86234071913282</v>
      </c>
      <c r="H10297" s="417" t="s">
        <v>2616</v>
      </c>
      <c r="I10297" s="417" t="s">
        <v>1392</v>
      </c>
      <c r="J10297" s="417" t="s">
        <v>20833</v>
      </c>
      <c r="K10297" s="417" t="s">
        <v>23039</v>
      </c>
      <c r="L10297" s="417"/>
      <c r="M10297" s="417" t="s">
        <v>28840</v>
      </c>
    </row>
    <row r="10298" spans="1:13" x14ac:dyDescent="0.25">
      <c r="A10298" s="417" t="s">
        <v>3385</v>
      </c>
      <c r="B10298" s="417" t="s">
        <v>2437</v>
      </c>
      <c r="C10298" s="417" t="s">
        <v>23040</v>
      </c>
      <c r="D10298" s="417" t="s">
        <v>3936</v>
      </c>
      <c r="E10298" s="423">
        <v>0.20490107684937681</v>
      </c>
      <c r="F10298" s="423">
        <v>1.46700941327269E-2</v>
      </c>
      <c r="G10298" s="422">
        <v>398.93102906988452</v>
      </c>
      <c r="H10298" s="417" t="s">
        <v>2616</v>
      </c>
      <c r="I10298" s="417" t="s">
        <v>1392</v>
      </c>
      <c r="J10298" s="417" t="s">
        <v>20833</v>
      </c>
      <c r="K10298" s="417" t="s">
        <v>23041</v>
      </c>
      <c r="L10298" s="417"/>
      <c r="M10298" s="417" t="s">
        <v>28840</v>
      </c>
    </row>
    <row r="10299" spans="1:13" x14ac:dyDescent="0.25">
      <c r="A10299" s="417" t="s">
        <v>3385</v>
      </c>
      <c r="B10299" s="417" t="s">
        <v>2437</v>
      </c>
      <c r="C10299" s="417" t="s">
        <v>23042</v>
      </c>
      <c r="D10299" s="417" t="s">
        <v>3936</v>
      </c>
      <c r="E10299" s="423">
        <v>0.18771715430413111</v>
      </c>
      <c r="F10299" s="423">
        <v>1.04796270537701E-2</v>
      </c>
      <c r="G10299" s="422">
        <v>379.75682464217238</v>
      </c>
      <c r="H10299" s="417" t="s">
        <v>2616</v>
      </c>
      <c r="I10299" s="417" t="s">
        <v>1392</v>
      </c>
      <c r="J10299" s="417" t="s">
        <v>20833</v>
      </c>
      <c r="K10299" s="417" t="s">
        <v>23043</v>
      </c>
      <c r="L10299" s="417"/>
      <c r="M10299" s="417" t="s">
        <v>28840</v>
      </c>
    </row>
    <row r="10300" spans="1:13" x14ac:dyDescent="0.25">
      <c r="A10300" s="417" t="s">
        <v>3385</v>
      </c>
      <c r="B10300" s="417" t="s">
        <v>2437</v>
      </c>
      <c r="C10300" s="417" t="s">
        <v>23044</v>
      </c>
      <c r="D10300" s="417" t="s">
        <v>3936</v>
      </c>
      <c r="E10300" s="423">
        <v>0.20383233417186511</v>
      </c>
      <c r="F10300" s="423">
        <v>1.448312196846081E-2</v>
      </c>
      <c r="G10300" s="422">
        <v>390.96539992645228</v>
      </c>
      <c r="H10300" s="417" t="s">
        <v>2616</v>
      </c>
      <c r="I10300" s="417" t="s">
        <v>1392</v>
      </c>
      <c r="J10300" s="417" t="s">
        <v>20833</v>
      </c>
      <c r="K10300" s="417" t="s">
        <v>23045</v>
      </c>
      <c r="L10300" s="417"/>
      <c r="M10300" s="417" t="s">
        <v>28840</v>
      </c>
    </row>
    <row r="10301" spans="1:13" x14ac:dyDescent="0.25">
      <c r="A10301" s="417" t="s">
        <v>3385</v>
      </c>
      <c r="B10301" s="417" t="s">
        <v>2437</v>
      </c>
      <c r="C10301" s="417" t="s">
        <v>23046</v>
      </c>
      <c r="D10301" s="417" t="s">
        <v>3936</v>
      </c>
      <c r="E10301" s="423">
        <v>0.18023747757380271</v>
      </c>
      <c r="F10301" s="423">
        <v>1.042853962786798E-2</v>
      </c>
      <c r="G10301" s="422">
        <v>367.39156762380128</v>
      </c>
      <c r="H10301" s="417" t="s">
        <v>2616</v>
      </c>
      <c r="I10301" s="417" t="s">
        <v>1392</v>
      </c>
      <c r="J10301" s="417" t="s">
        <v>20833</v>
      </c>
      <c r="K10301" s="417" t="s">
        <v>23047</v>
      </c>
      <c r="L10301" s="417"/>
      <c r="M10301" s="417" t="s">
        <v>28840</v>
      </c>
    </row>
    <row r="10302" spans="1:13" x14ac:dyDescent="0.25">
      <c r="A10302" s="417" t="s">
        <v>3385</v>
      </c>
      <c r="B10302" s="417" t="s">
        <v>2437</v>
      </c>
      <c r="C10302" s="417" t="s">
        <v>23048</v>
      </c>
      <c r="D10302" s="417" t="s">
        <v>3936</v>
      </c>
      <c r="E10302" s="423">
        <v>0.19562559181823119</v>
      </c>
      <c r="F10302" s="423">
        <v>1.4394124276798891E-2</v>
      </c>
      <c r="G10302" s="422">
        <v>378.06339901696953</v>
      </c>
      <c r="H10302" s="417" t="s">
        <v>2616</v>
      </c>
      <c r="I10302" s="417" t="s">
        <v>1392</v>
      </c>
      <c r="J10302" s="417" t="s">
        <v>20833</v>
      </c>
      <c r="K10302" s="417" t="s">
        <v>23049</v>
      </c>
      <c r="L10302" s="417"/>
      <c r="M10302" s="417" t="s">
        <v>28840</v>
      </c>
    </row>
    <row r="10303" spans="1:13" x14ac:dyDescent="0.25">
      <c r="A10303" s="417" t="s">
        <v>3385</v>
      </c>
      <c r="B10303" s="417" t="s">
        <v>2437</v>
      </c>
      <c r="C10303" s="417" t="s">
        <v>23050</v>
      </c>
      <c r="D10303" s="417" t="s">
        <v>3936</v>
      </c>
      <c r="E10303" s="423">
        <v>0.18017805112397109</v>
      </c>
      <c r="F10303" s="423">
        <v>1.039086645089846E-2</v>
      </c>
      <c r="G10303" s="422">
        <v>369.01377564777601</v>
      </c>
      <c r="H10303" s="417" t="s">
        <v>2616</v>
      </c>
      <c r="I10303" s="417" t="s">
        <v>1392</v>
      </c>
      <c r="J10303" s="417" t="s">
        <v>20833</v>
      </c>
      <c r="K10303" s="417" t="s">
        <v>23051</v>
      </c>
      <c r="L10303" s="417"/>
      <c r="M10303" s="417" t="s">
        <v>28840</v>
      </c>
    </row>
    <row r="10304" spans="1:13" x14ac:dyDescent="0.25">
      <c r="A10304" s="417" t="s">
        <v>3385</v>
      </c>
      <c r="B10304" s="417" t="s">
        <v>2437</v>
      </c>
      <c r="C10304" s="417" t="s">
        <v>23052</v>
      </c>
      <c r="D10304" s="417" t="s">
        <v>3936</v>
      </c>
      <c r="E10304" s="423">
        <v>0.195215104862726</v>
      </c>
      <c r="F10304" s="423">
        <v>1.4333006550796159E-2</v>
      </c>
      <c r="G10304" s="422">
        <v>379.42758047828158</v>
      </c>
      <c r="H10304" s="417" t="s">
        <v>2616</v>
      </c>
      <c r="I10304" s="417" t="s">
        <v>1392</v>
      </c>
      <c r="J10304" s="417" t="s">
        <v>20833</v>
      </c>
      <c r="K10304" s="417" t="s">
        <v>23053</v>
      </c>
      <c r="L10304" s="417"/>
      <c r="M10304" s="417" t="s">
        <v>28840</v>
      </c>
    </row>
    <row r="10305" spans="1:13" x14ac:dyDescent="0.25">
      <c r="A10305" s="417" t="s">
        <v>3385</v>
      </c>
      <c r="B10305" s="417" t="s">
        <v>2437</v>
      </c>
      <c r="C10305" s="417" t="s">
        <v>23054</v>
      </c>
      <c r="D10305" s="417" t="s">
        <v>3936</v>
      </c>
      <c r="E10305" s="423">
        <v>0.17929107300626429</v>
      </c>
      <c r="F10305" s="423">
        <v>1.03030789402408E-2</v>
      </c>
      <c r="G10305" s="422">
        <v>366.14172773839101</v>
      </c>
      <c r="H10305" s="417" t="s">
        <v>2616</v>
      </c>
      <c r="I10305" s="417" t="s">
        <v>1392</v>
      </c>
      <c r="J10305" s="417" t="s">
        <v>20833</v>
      </c>
      <c r="K10305" s="417" t="s">
        <v>23055</v>
      </c>
      <c r="L10305" s="417"/>
      <c r="M10305" s="417" t="s">
        <v>28840</v>
      </c>
    </row>
    <row r="10306" spans="1:13" x14ac:dyDescent="0.25">
      <c r="A10306" s="417" t="s">
        <v>3385</v>
      </c>
      <c r="B10306" s="417" t="s">
        <v>2437</v>
      </c>
      <c r="C10306" s="417" t="s">
        <v>23056</v>
      </c>
      <c r="D10306" s="417" t="s">
        <v>3936</v>
      </c>
      <c r="E10306" s="423">
        <v>0.19379291517097441</v>
      </c>
      <c r="F10306" s="423">
        <v>1.4188187126617711E-2</v>
      </c>
      <c r="G10306" s="422">
        <v>376.1667116620057</v>
      </c>
      <c r="H10306" s="417" t="s">
        <v>2616</v>
      </c>
      <c r="I10306" s="417" t="s">
        <v>1392</v>
      </c>
      <c r="J10306" s="417" t="s">
        <v>20833</v>
      </c>
      <c r="K10306" s="417" t="s">
        <v>23057</v>
      </c>
      <c r="L10306" s="417"/>
      <c r="M10306" s="417" t="s">
        <v>28840</v>
      </c>
    </row>
    <row r="10307" spans="1:13" x14ac:dyDescent="0.25">
      <c r="A10307" s="417" t="s">
        <v>3385</v>
      </c>
      <c r="B10307" s="417" t="s">
        <v>2437</v>
      </c>
      <c r="C10307" s="417" t="s">
        <v>23058</v>
      </c>
      <c r="D10307" s="417" t="s">
        <v>3936</v>
      </c>
      <c r="E10307" s="423">
        <v>0.1796760989569765</v>
      </c>
      <c r="F10307" s="423">
        <v>9.190621346409706E-3</v>
      </c>
      <c r="G10307" s="422">
        <v>343.67284805522161</v>
      </c>
      <c r="H10307" s="417" t="s">
        <v>2616</v>
      </c>
      <c r="I10307" s="417" t="s">
        <v>1392</v>
      </c>
      <c r="J10307" s="417" t="s">
        <v>20833</v>
      </c>
      <c r="K10307" s="417" t="s">
        <v>23059</v>
      </c>
      <c r="L10307" s="417"/>
      <c r="M10307" s="417" t="s">
        <v>28840</v>
      </c>
    </row>
    <row r="10308" spans="1:13" x14ac:dyDescent="0.25">
      <c r="A10308" s="417" t="s">
        <v>3385</v>
      </c>
      <c r="B10308" s="417" t="s">
        <v>2437</v>
      </c>
      <c r="C10308" s="417" t="s">
        <v>23060</v>
      </c>
      <c r="D10308" s="417" t="s">
        <v>3936</v>
      </c>
      <c r="E10308" s="423">
        <v>0.18027223687823091</v>
      </c>
      <c r="F10308" s="423">
        <v>9.168889849062974E-3</v>
      </c>
      <c r="G10308" s="422">
        <v>338.93583618658801</v>
      </c>
      <c r="H10308" s="417" t="s">
        <v>2616</v>
      </c>
      <c r="I10308" s="417" t="s">
        <v>1392</v>
      </c>
      <c r="J10308" s="417" t="s">
        <v>20833</v>
      </c>
      <c r="K10308" s="417" t="s">
        <v>23061</v>
      </c>
      <c r="L10308" s="417"/>
      <c r="M10308" s="417" t="s">
        <v>28840</v>
      </c>
    </row>
    <row r="10309" spans="1:13" x14ac:dyDescent="0.25">
      <c r="A10309" s="417" t="s">
        <v>3385</v>
      </c>
      <c r="B10309" s="417" t="s">
        <v>2437</v>
      </c>
      <c r="C10309" s="417" t="s">
        <v>23062</v>
      </c>
      <c r="D10309" s="417" t="s">
        <v>3936</v>
      </c>
      <c r="E10309" s="423">
        <v>0.17309761217648881</v>
      </c>
      <c r="F10309" s="423">
        <v>9.1715092563401501E-3</v>
      </c>
      <c r="G10309" s="422">
        <v>328.03115658851948</v>
      </c>
      <c r="H10309" s="417" t="s">
        <v>2616</v>
      </c>
      <c r="I10309" s="417" t="s">
        <v>1392</v>
      </c>
      <c r="J10309" s="417" t="s">
        <v>20833</v>
      </c>
      <c r="K10309" s="417" t="s">
        <v>23063</v>
      </c>
      <c r="L10309" s="417"/>
      <c r="M10309" s="417" t="s">
        <v>28840</v>
      </c>
    </row>
    <row r="10310" spans="1:13" x14ac:dyDescent="0.25">
      <c r="A10310" s="417" t="s">
        <v>3385</v>
      </c>
      <c r="B10310" s="417" t="s">
        <v>2437</v>
      </c>
      <c r="C10310" s="417" t="s">
        <v>23064</v>
      </c>
      <c r="D10310" s="417" t="s">
        <v>3936</v>
      </c>
      <c r="E10310" s="423">
        <v>0.17318658940564491</v>
      </c>
      <c r="F10310" s="423">
        <v>9.1599637313470837E-3</v>
      </c>
      <c r="G10310" s="422">
        <v>330.36391639869248</v>
      </c>
      <c r="H10310" s="417" t="s">
        <v>2616</v>
      </c>
      <c r="I10310" s="417" t="s">
        <v>1392</v>
      </c>
      <c r="J10310" s="417" t="s">
        <v>20833</v>
      </c>
      <c r="K10310" s="417" t="s">
        <v>23065</v>
      </c>
      <c r="L10310" s="417"/>
      <c r="M10310" s="417" t="s">
        <v>28840</v>
      </c>
    </row>
    <row r="10311" spans="1:13" x14ac:dyDescent="0.25">
      <c r="A10311" s="417" t="s">
        <v>3385</v>
      </c>
      <c r="B10311" s="417" t="s">
        <v>2437</v>
      </c>
      <c r="C10311" s="417" t="s">
        <v>23066</v>
      </c>
      <c r="D10311" s="417" t="s">
        <v>3936</v>
      </c>
      <c r="E10311" s="423">
        <v>0.17253046138078981</v>
      </c>
      <c r="F10311" s="423">
        <v>9.1128192361270201E-3</v>
      </c>
      <c r="G10311" s="422">
        <v>328.597170616884</v>
      </c>
      <c r="H10311" s="417" t="s">
        <v>2616</v>
      </c>
      <c r="I10311" s="417" t="s">
        <v>1392</v>
      </c>
      <c r="J10311" s="417" t="s">
        <v>20833</v>
      </c>
      <c r="K10311" s="417" t="s">
        <v>23067</v>
      </c>
      <c r="L10311" s="417"/>
      <c r="M10311" s="417" t="s">
        <v>28840</v>
      </c>
    </row>
    <row r="10312" spans="1:13" x14ac:dyDescent="0.25">
      <c r="A10312" s="417" t="s">
        <v>3385</v>
      </c>
      <c r="B10312" s="417" t="s">
        <v>2437</v>
      </c>
      <c r="C10312" s="417" t="s">
        <v>23068</v>
      </c>
      <c r="D10312" s="417" t="s">
        <v>3936</v>
      </c>
      <c r="E10312" s="423">
        <v>0.31811466375047992</v>
      </c>
      <c r="F10312" s="423">
        <v>1.5581490907855331E-2</v>
      </c>
      <c r="G10312" s="422">
        <v>565.97852216540139</v>
      </c>
      <c r="H10312" s="417" t="s">
        <v>2616</v>
      </c>
      <c r="I10312" s="417" t="s">
        <v>1392</v>
      </c>
      <c r="J10312" s="417" t="s">
        <v>20833</v>
      </c>
      <c r="K10312" s="417" t="s">
        <v>23069</v>
      </c>
      <c r="L10312" s="417"/>
      <c r="M10312" s="417" t="s">
        <v>28840</v>
      </c>
    </row>
    <row r="10313" spans="1:13" x14ac:dyDescent="0.25">
      <c r="A10313" s="417" t="s">
        <v>3385</v>
      </c>
      <c r="B10313" s="417" t="s">
        <v>2437</v>
      </c>
      <c r="C10313" s="417" t="s">
        <v>23070</v>
      </c>
      <c r="D10313" s="417" t="s">
        <v>3936</v>
      </c>
      <c r="E10313" s="423">
        <v>0.31577881814066783</v>
      </c>
      <c r="F10313" s="423">
        <v>1.539542725494248E-2</v>
      </c>
      <c r="G10313" s="422">
        <v>554.57042620169932</v>
      </c>
      <c r="H10313" s="417" t="s">
        <v>2616</v>
      </c>
      <c r="I10313" s="417" t="s">
        <v>1392</v>
      </c>
      <c r="J10313" s="417" t="s">
        <v>20833</v>
      </c>
      <c r="K10313" s="417" t="s">
        <v>23071</v>
      </c>
      <c r="L10313" s="417"/>
      <c r="M10313" s="417" t="s">
        <v>28840</v>
      </c>
    </row>
    <row r="10314" spans="1:13" x14ac:dyDescent="0.25">
      <c r="A10314" s="417" t="s">
        <v>3385</v>
      </c>
      <c r="B10314" s="417" t="s">
        <v>2437</v>
      </c>
      <c r="C10314" s="417" t="s">
        <v>23072</v>
      </c>
      <c r="D10314" s="417" t="s">
        <v>3936</v>
      </c>
      <c r="E10314" s="423">
        <v>0.30640445732585608</v>
      </c>
      <c r="F10314" s="423">
        <v>1.5278283840956501E-2</v>
      </c>
      <c r="G10314" s="422">
        <v>538.76012389742755</v>
      </c>
      <c r="H10314" s="417" t="s">
        <v>2616</v>
      </c>
      <c r="I10314" s="417" t="s">
        <v>1392</v>
      </c>
      <c r="J10314" s="417" t="s">
        <v>20833</v>
      </c>
      <c r="K10314" s="417" t="s">
        <v>23073</v>
      </c>
      <c r="L10314" s="417"/>
      <c r="M10314" s="417" t="s">
        <v>28840</v>
      </c>
    </row>
    <row r="10315" spans="1:13" x14ac:dyDescent="0.25">
      <c r="A10315" s="417" t="s">
        <v>3385</v>
      </c>
      <c r="B10315" s="417" t="s">
        <v>2437</v>
      </c>
      <c r="C10315" s="417" t="s">
        <v>23074</v>
      </c>
      <c r="D10315" s="417" t="s">
        <v>3936</v>
      </c>
      <c r="E10315" s="423">
        <v>0.30570226919171101</v>
      </c>
      <c r="F10315" s="423">
        <v>1.522137479032884E-2</v>
      </c>
      <c r="G10315" s="422">
        <v>541.00588526758099</v>
      </c>
      <c r="H10315" s="417" t="s">
        <v>2616</v>
      </c>
      <c r="I10315" s="417" t="s">
        <v>1392</v>
      </c>
      <c r="J10315" s="417" t="s">
        <v>20833</v>
      </c>
      <c r="K10315" s="417" t="s">
        <v>23075</v>
      </c>
      <c r="L10315" s="417"/>
      <c r="M10315" s="417" t="s">
        <v>28840</v>
      </c>
    </row>
    <row r="10316" spans="1:13" x14ac:dyDescent="0.25">
      <c r="A10316" s="417" t="s">
        <v>3385</v>
      </c>
      <c r="B10316" s="417" t="s">
        <v>2437</v>
      </c>
      <c r="C10316" s="417" t="s">
        <v>23076</v>
      </c>
      <c r="D10316" s="417" t="s">
        <v>3936</v>
      </c>
      <c r="E10316" s="423">
        <v>0.30283380932937548</v>
      </c>
      <c r="F10316" s="423">
        <v>1.5064777955433919E-2</v>
      </c>
      <c r="G10316" s="422">
        <v>536.23186705636408</v>
      </c>
      <c r="H10316" s="417" t="s">
        <v>2616</v>
      </c>
      <c r="I10316" s="417" t="s">
        <v>1392</v>
      </c>
      <c r="J10316" s="417" t="s">
        <v>20833</v>
      </c>
      <c r="K10316" s="417" t="s">
        <v>23077</v>
      </c>
      <c r="L10316" s="417"/>
      <c r="M10316" s="417" t="s">
        <v>28840</v>
      </c>
    </row>
    <row r="10317" spans="1:13" x14ac:dyDescent="0.25">
      <c r="A10317" s="417" t="s">
        <v>3385</v>
      </c>
      <c r="B10317" s="417" t="s">
        <v>2437</v>
      </c>
      <c r="C10317" s="417" t="s">
        <v>23078</v>
      </c>
      <c r="D10317" s="417" t="s">
        <v>3936</v>
      </c>
      <c r="E10317" s="423">
        <v>0.28166177224814859</v>
      </c>
      <c r="F10317" s="423">
        <v>1.382968600981108E-2</v>
      </c>
      <c r="G10317" s="422">
        <v>504.9770296693743</v>
      </c>
      <c r="H10317" s="417" t="s">
        <v>2616</v>
      </c>
      <c r="I10317" s="417" t="s">
        <v>1392</v>
      </c>
      <c r="J10317" s="417" t="s">
        <v>20833</v>
      </c>
      <c r="K10317" s="417" t="s">
        <v>23079</v>
      </c>
      <c r="L10317" s="417"/>
      <c r="M10317" s="417" t="s">
        <v>28840</v>
      </c>
    </row>
    <row r="10318" spans="1:13" x14ac:dyDescent="0.25">
      <c r="A10318" s="417" t="s">
        <v>3385</v>
      </c>
      <c r="B10318" s="417" t="s">
        <v>2437</v>
      </c>
      <c r="C10318" s="417" t="s">
        <v>23080</v>
      </c>
      <c r="D10318" s="417" t="s">
        <v>3936</v>
      </c>
      <c r="E10318" s="423">
        <v>0.2777550892124917</v>
      </c>
      <c r="F10318" s="423">
        <v>1.3592599477135561E-2</v>
      </c>
      <c r="G10318" s="422">
        <v>492.79233060839249</v>
      </c>
      <c r="H10318" s="417" t="s">
        <v>2616</v>
      </c>
      <c r="I10318" s="417" t="s">
        <v>1392</v>
      </c>
      <c r="J10318" s="417" t="s">
        <v>20833</v>
      </c>
      <c r="K10318" s="417" t="s">
        <v>23081</v>
      </c>
      <c r="L10318" s="417"/>
      <c r="M10318" s="417" t="s">
        <v>28840</v>
      </c>
    </row>
    <row r="10319" spans="1:13" x14ac:dyDescent="0.25">
      <c r="A10319" s="417" t="s">
        <v>3385</v>
      </c>
      <c r="B10319" s="417" t="s">
        <v>2437</v>
      </c>
      <c r="C10319" s="417" t="s">
        <v>23082</v>
      </c>
      <c r="D10319" s="417" t="s">
        <v>3936</v>
      </c>
      <c r="E10319" s="423">
        <v>0.26738689963665602</v>
      </c>
      <c r="F10319" s="423">
        <v>1.3444130450424051E-2</v>
      </c>
      <c r="G10319" s="422">
        <v>477.08271688616702</v>
      </c>
      <c r="H10319" s="417" t="s">
        <v>2616</v>
      </c>
      <c r="I10319" s="417" t="s">
        <v>1392</v>
      </c>
      <c r="J10319" s="417" t="s">
        <v>20833</v>
      </c>
      <c r="K10319" s="417" t="s">
        <v>23083</v>
      </c>
      <c r="L10319" s="417"/>
      <c r="M10319" s="417" t="s">
        <v>28840</v>
      </c>
    </row>
    <row r="10320" spans="1:13" x14ac:dyDescent="0.25">
      <c r="A10320" s="417" t="s">
        <v>3385</v>
      </c>
      <c r="B10320" s="417" t="s">
        <v>2437</v>
      </c>
      <c r="C10320" s="417" t="s">
        <v>23084</v>
      </c>
      <c r="D10320" s="417" t="s">
        <v>3936</v>
      </c>
      <c r="E10320" s="423">
        <v>0.26632681060130758</v>
      </c>
      <c r="F10320" s="423">
        <v>1.3374518653033469E-2</v>
      </c>
      <c r="G10320" s="422">
        <v>478.05689282194339</v>
      </c>
      <c r="H10320" s="417" t="s">
        <v>2616</v>
      </c>
      <c r="I10320" s="417" t="s">
        <v>1392</v>
      </c>
      <c r="J10320" s="417" t="s">
        <v>20833</v>
      </c>
      <c r="K10320" s="417" t="s">
        <v>23085</v>
      </c>
      <c r="L10320" s="417"/>
      <c r="M10320" s="417" t="s">
        <v>28840</v>
      </c>
    </row>
    <row r="10321" spans="1:13" x14ac:dyDescent="0.25">
      <c r="A10321" s="417" t="s">
        <v>3385</v>
      </c>
      <c r="B10321" s="417" t="s">
        <v>2437</v>
      </c>
      <c r="C10321" s="417" t="s">
        <v>23086</v>
      </c>
      <c r="D10321" s="417" t="s">
        <v>3936</v>
      </c>
      <c r="E10321" s="423">
        <v>0.26322816234858071</v>
      </c>
      <c r="F10321" s="423">
        <v>1.321222474263802E-2</v>
      </c>
      <c r="G10321" s="422">
        <v>473.14449702303301</v>
      </c>
      <c r="H10321" s="417" t="s">
        <v>2616</v>
      </c>
      <c r="I10321" s="417" t="s">
        <v>1392</v>
      </c>
      <c r="J10321" s="417" t="s">
        <v>20833</v>
      </c>
      <c r="K10321" s="417" t="s">
        <v>23087</v>
      </c>
      <c r="L10321" s="417"/>
      <c r="M10321" s="417" t="s">
        <v>28840</v>
      </c>
    </row>
    <row r="10322" spans="1:13" x14ac:dyDescent="0.25">
      <c r="A10322" s="417" t="s">
        <v>3385</v>
      </c>
      <c r="B10322" s="417" t="s">
        <v>2437</v>
      </c>
      <c r="C10322" s="417" t="s">
        <v>23088</v>
      </c>
      <c r="D10322" s="417" t="s">
        <v>3936</v>
      </c>
      <c r="E10322" s="423">
        <v>0.20736629817976851</v>
      </c>
      <c r="F10322" s="423">
        <v>1.0429155539276961E-2</v>
      </c>
      <c r="G10322" s="422">
        <v>386.14487759762778</v>
      </c>
      <c r="H10322" s="417" t="s">
        <v>2616</v>
      </c>
      <c r="I10322" s="417" t="s">
        <v>1392</v>
      </c>
      <c r="J10322" s="417" t="s">
        <v>20833</v>
      </c>
      <c r="K10322" s="417" t="s">
        <v>23089</v>
      </c>
      <c r="L10322" s="417"/>
      <c r="M10322" s="417" t="s">
        <v>28840</v>
      </c>
    </row>
    <row r="10323" spans="1:13" x14ac:dyDescent="0.25">
      <c r="A10323" s="417" t="s">
        <v>3385</v>
      </c>
      <c r="B10323" s="417" t="s">
        <v>2437</v>
      </c>
      <c r="C10323" s="417" t="s">
        <v>23090</v>
      </c>
      <c r="D10323" s="417" t="s">
        <v>3936</v>
      </c>
      <c r="E10323" s="423">
        <v>0.20592732037005501</v>
      </c>
      <c r="F10323" s="423">
        <v>1.031710116762369E-2</v>
      </c>
      <c r="G10323" s="422">
        <v>377.8232724524546</v>
      </c>
      <c r="H10323" s="417" t="s">
        <v>2616</v>
      </c>
      <c r="I10323" s="417" t="s">
        <v>1392</v>
      </c>
      <c r="J10323" s="417" t="s">
        <v>20833</v>
      </c>
      <c r="K10323" s="417" t="s">
        <v>23091</v>
      </c>
      <c r="L10323" s="417"/>
      <c r="M10323" s="417" t="s">
        <v>28840</v>
      </c>
    </row>
    <row r="10324" spans="1:13" x14ac:dyDescent="0.25">
      <c r="A10324" s="417" t="s">
        <v>3385</v>
      </c>
      <c r="B10324" s="417" t="s">
        <v>2437</v>
      </c>
      <c r="C10324" s="417" t="s">
        <v>23092</v>
      </c>
      <c r="D10324" s="417" t="s">
        <v>3936</v>
      </c>
      <c r="E10324" s="423">
        <v>0.19718305109344811</v>
      </c>
      <c r="F10324" s="423">
        <v>1.024954676192116E-2</v>
      </c>
      <c r="G10324" s="422">
        <v>364.50568392627542</v>
      </c>
      <c r="H10324" s="417" t="s">
        <v>2616</v>
      </c>
      <c r="I10324" s="417" t="s">
        <v>1392</v>
      </c>
      <c r="J10324" s="417" t="s">
        <v>20833</v>
      </c>
      <c r="K10324" s="417" t="s">
        <v>23093</v>
      </c>
      <c r="L10324" s="417"/>
      <c r="M10324" s="417" t="s">
        <v>28840</v>
      </c>
    </row>
    <row r="10325" spans="1:13" x14ac:dyDescent="0.25">
      <c r="A10325" s="417" t="s">
        <v>3385</v>
      </c>
      <c r="B10325" s="417" t="s">
        <v>2437</v>
      </c>
      <c r="C10325" s="417" t="s">
        <v>23094</v>
      </c>
      <c r="D10325" s="417" t="s">
        <v>3936</v>
      </c>
      <c r="E10325" s="423">
        <v>0.19679848628796021</v>
      </c>
      <c r="F10325" s="423">
        <v>1.0216882853893669E-2</v>
      </c>
      <c r="G10325" s="422">
        <v>366.03259259227372</v>
      </c>
      <c r="H10325" s="417" t="s">
        <v>2616</v>
      </c>
      <c r="I10325" s="417" t="s">
        <v>1392</v>
      </c>
      <c r="J10325" s="417" t="s">
        <v>20833</v>
      </c>
      <c r="K10325" s="417" t="s">
        <v>23095</v>
      </c>
      <c r="L10325" s="417"/>
      <c r="M10325" s="417" t="s">
        <v>28840</v>
      </c>
    </row>
    <row r="10326" spans="1:13" x14ac:dyDescent="0.25">
      <c r="A10326" s="417" t="s">
        <v>3385</v>
      </c>
      <c r="B10326" s="417" t="s">
        <v>2437</v>
      </c>
      <c r="C10326" s="417" t="s">
        <v>23096</v>
      </c>
      <c r="D10326" s="417" t="s">
        <v>3936</v>
      </c>
      <c r="E10326" s="423">
        <v>0.19490290019747539</v>
      </c>
      <c r="F10326" s="423">
        <v>1.0114802633201289E-2</v>
      </c>
      <c r="G10326" s="422">
        <v>362.34334778128363</v>
      </c>
      <c r="H10326" s="417" t="s">
        <v>2616</v>
      </c>
      <c r="I10326" s="417" t="s">
        <v>1392</v>
      </c>
      <c r="J10326" s="417" t="s">
        <v>20833</v>
      </c>
      <c r="K10326" s="417" t="s">
        <v>23097</v>
      </c>
      <c r="L10326" s="417"/>
      <c r="M10326" s="417" t="s">
        <v>28840</v>
      </c>
    </row>
    <row r="10327" spans="1:13" x14ac:dyDescent="0.25">
      <c r="A10327" s="417" t="s">
        <v>3385</v>
      </c>
      <c r="B10327" s="417" t="s">
        <v>2437</v>
      </c>
      <c r="C10327" s="417" t="s">
        <v>23098</v>
      </c>
      <c r="D10327" s="417" t="s">
        <v>3936</v>
      </c>
      <c r="E10327" s="423">
        <v>0.3305311039573669</v>
      </c>
      <c r="F10327" s="423">
        <v>1.7767504452733611E-2</v>
      </c>
      <c r="G10327" s="422">
        <v>630.60297792323308</v>
      </c>
      <c r="H10327" s="417" t="s">
        <v>2616</v>
      </c>
      <c r="I10327" s="417" t="s">
        <v>1392</v>
      </c>
      <c r="J10327" s="417" t="s">
        <v>20833</v>
      </c>
      <c r="K10327" s="417" t="s">
        <v>23099</v>
      </c>
      <c r="L10327" s="417"/>
      <c r="M10327" s="417" t="s">
        <v>28840</v>
      </c>
    </row>
    <row r="10328" spans="1:13" x14ac:dyDescent="0.25">
      <c r="A10328" s="417" t="s">
        <v>3385</v>
      </c>
      <c r="B10328" s="417" t="s">
        <v>2437</v>
      </c>
      <c r="C10328" s="417" t="s">
        <v>23100</v>
      </c>
      <c r="D10328" s="417" t="s">
        <v>3936</v>
      </c>
      <c r="E10328" s="423">
        <v>0.35711178321701448</v>
      </c>
      <c r="F10328" s="423">
        <v>2.5003343367918991E-2</v>
      </c>
      <c r="G10328" s="422">
        <v>648.95358765350784</v>
      </c>
      <c r="H10328" s="417" t="s">
        <v>2616</v>
      </c>
      <c r="I10328" s="417" t="s">
        <v>1392</v>
      </c>
      <c r="J10328" s="417" t="s">
        <v>20833</v>
      </c>
      <c r="K10328" s="417" t="s">
        <v>23101</v>
      </c>
      <c r="L10328" s="417"/>
      <c r="M10328" s="417" t="s">
        <v>28840</v>
      </c>
    </row>
    <row r="10329" spans="1:13" x14ac:dyDescent="0.25">
      <c r="A10329" s="417" t="s">
        <v>3385</v>
      </c>
      <c r="B10329" s="417" t="s">
        <v>2437</v>
      </c>
      <c r="C10329" s="417" t="s">
        <v>23102</v>
      </c>
      <c r="D10329" s="417" t="s">
        <v>3936</v>
      </c>
      <c r="E10329" s="423">
        <v>0.32729659174068482</v>
      </c>
      <c r="F10329" s="423">
        <v>1.7423223356798089E-2</v>
      </c>
      <c r="G10329" s="422">
        <v>614.89210018857045</v>
      </c>
      <c r="H10329" s="417" t="s">
        <v>2616</v>
      </c>
      <c r="I10329" s="417" t="s">
        <v>1392</v>
      </c>
      <c r="J10329" s="417" t="s">
        <v>20833</v>
      </c>
      <c r="K10329" s="417" t="s">
        <v>23103</v>
      </c>
      <c r="L10329" s="417"/>
      <c r="M10329" s="417" t="s">
        <v>28840</v>
      </c>
    </row>
    <row r="10330" spans="1:13" x14ac:dyDescent="0.25">
      <c r="A10330" s="417" t="s">
        <v>3385</v>
      </c>
      <c r="B10330" s="417" t="s">
        <v>2437</v>
      </c>
      <c r="C10330" s="417" t="s">
        <v>23104</v>
      </c>
      <c r="D10330" s="417" t="s">
        <v>3936</v>
      </c>
      <c r="E10330" s="423">
        <v>0.3517894936036281</v>
      </c>
      <c r="F10330" s="423">
        <v>2.444512334137848E-2</v>
      </c>
      <c r="G10330" s="422">
        <v>631.72422393493719</v>
      </c>
      <c r="H10330" s="417" t="s">
        <v>2616</v>
      </c>
      <c r="I10330" s="417" t="s">
        <v>1392</v>
      </c>
      <c r="J10330" s="417" t="s">
        <v>20833</v>
      </c>
      <c r="K10330" s="417" t="s">
        <v>23105</v>
      </c>
      <c r="L10330" s="417"/>
      <c r="M10330" s="417" t="s">
        <v>28840</v>
      </c>
    </row>
    <row r="10331" spans="1:13" x14ac:dyDescent="0.25">
      <c r="A10331" s="417" t="s">
        <v>3385</v>
      </c>
      <c r="B10331" s="417" t="s">
        <v>2437</v>
      </c>
      <c r="C10331" s="417" t="s">
        <v>23106</v>
      </c>
      <c r="D10331" s="417" t="s">
        <v>3936</v>
      </c>
      <c r="E10331" s="423">
        <v>0.31736159482862691</v>
      </c>
      <c r="F10331" s="423">
        <v>1.720737547633364E-2</v>
      </c>
      <c r="G10331" s="422">
        <v>596.39749185158928</v>
      </c>
      <c r="H10331" s="417" t="s">
        <v>2616</v>
      </c>
      <c r="I10331" s="417" t="s">
        <v>1392</v>
      </c>
      <c r="J10331" s="417" t="s">
        <v>20833</v>
      </c>
      <c r="K10331" s="417" t="s">
        <v>23107</v>
      </c>
      <c r="L10331" s="417"/>
      <c r="M10331" s="417" t="s">
        <v>28840</v>
      </c>
    </row>
    <row r="10332" spans="1:13" x14ac:dyDescent="0.25">
      <c r="A10332" s="417" t="s">
        <v>3385</v>
      </c>
      <c r="B10332" s="417" t="s">
        <v>2437</v>
      </c>
      <c r="C10332" s="417" t="s">
        <v>23108</v>
      </c>
      <c r="D10332" s="417" t="s">
        <v>3936</v>
      </c>
      <c r="E10332" s="423">
        <v>0.34055003330670008</v>
      </c>
      <c r="F10332" s="423">
        <v>2.4099581934413961E-2</v>
      </c>
      <c r="G10332" s="422">
        <v>612.27998065351198</v>
      </c>
      <c r="H10332" s="417" t="s">
        <v>2616</v>
      </c>
      <c r="I10332" s="417" t="s">
        <v>1392</v>
      </c>
      <c r="J10332" s="417" t="s">
        <v>20833</v>
      </c>
      <c r="K10332" s="417" t="s">
        <v>23109</v>
      </c>
      <c r="L10332" s="417"/>
      <c r="M10332" s="417" t="s">
        <v>28840</v>
      </c>
    </row>
    <row r="10333" spans="1:13" x14ac:dyDescent="0.25">
      <c r="A10333" s="417" t="s">
        <v>3385</v>
      </c>
      <c r="B10333" s="417" t="s">
        <v>2437</v>
      </c>
      <c r="C10333" s="417" t="s">
        <v>23110</v>
      </c>
      <c r="D10333" s="417" t="s">
        <v>3936</v>
      </c>
      <c r="E10333" s="423">
        <v>0.31638733344729009</v>
      </c>
      <c r="F10333" s="423">
        <v>1.710256573974045E-2</v>
      </c>
      <c r="G10333" s="422">
        <v>597.34057501907193</v>
      </c>
      <c r="H10333" s="417" t="s">
        <v>2616</v>
      </c>
      <c r="I10333" s="417" t="s">
        <v>1392</v>
      </c>
      <c r="J10333" s="417" t="s">
        <v>20833</v>
      </c>
      <c r="K10333" s="417" t="s">
        <v>23111</v>
      </c>
      <c r="L10333" s="417"/>
      <c r="M10333" s="417" t="s">
        <v>28840</v>
      </c>
    </row>
    <row r="10334" spans="1:13" x14ac:dyDescent="0.25">
      <c r="A10334" s="417" t="s">
        <v>3385</v>
      </c>
      <c r="B10334" s="417" t="s">
        <v>2437</v>
      </c>
      <c r="C10334" s="417" t="s">
        <v>23112</v>
      </c>
      <c r="D10334" s="417" t="s">
        <v>3936</v>
      </c>
      <c r="E10334" s="423">
        <v>0.33894304346150478</v>
      </c>
      <c r="F10334" s="423">
        <v>2.393122790126832E-2</v>
      </c>
      <c r="G10334" s="422">
        <v>612.76259165892066</v>
      </c>
      <c r="H10334" s="417" t="s">
        <v>2616</v>
      </c>
      <c r="I10334" s="417" t="s">
        <v>1392</v>
      </c>
      <c r="J10334" s="417" t="s">
        <v>20833</v>
      </c>
      <c r="K10334" s="417" t="s">
        <v>23113</v>
      </c>
      <c r="L10334" s="417"/>
      <c r="M10334" s="417" t="s">
        <v>28840</v>
      </c>
    </row>
    <row r="10335" spans="1:13" x14ac:dyDescent="0.25">
      <c r="A10335" s="417" t="s">
        <v>3385</v>
      </c>
      <c r="B10335" s="417" t="s">
        <v>2437</v>
      </c>
      <c r="C10335" s="417" t="s">
        <v>23114</v>
      </c>
      <c r="D10335" s="417" t="s">
        <v>3936</v>
      </c>
      <c r="E10335" s="423">
        <v>0.31314786438713232</v>
      </c>
      <c r="F10335" s="423">
        <v>1.688064978494291E-2</v>
      </c>
      <c r="G10335" s="422">
        <v>590.79017838229822</v>
      </c>
      <c r="H10335" s="417" t="s">
        <v>2616</v>
      </c>
      <c r="I10335" s="417" t="s">
        <v>1392</v>
      </c>
      <c r="J10335" s="417" t="s">
        <v>20833</v>
      </c>
      <c r="K10335" s="417" t="s">
        <v>23115</v>
      </c>
      <c r="L10335" s="417"/>
      <c r="M10335" s="417" t="s">
        <v>28840</v>
      </c>
    </row>
    <row r="10336" spans="1:13" x14ac:dyDescent="0.25">
      <c r="A10336" s="417" t="s">
        <v>3385</v>
      </c>
      <c r="B10336" s="417" t="s">
        <v>2437</v>
      </c>
      <c r="C10336" s="417" t="s">
        <v>23116</v>
      </c>
      <c r="D10336" s="417" t="s">
        <v>3936</v>
      </c>
      <c r="E10336" s="423">
        <v>0.33486945348902891</v>
      </c>
      <c r="F10336" s="423">
        <v>2.356845008992367E-2</v>
      </c>
      <c r="G10336" s="422">
        <v>605.61746386854361</v>
      </c>
      <c r="H10336" s="417" t="s">
        <v>2616</v>
      </c>
      <c r="I10336" s="417" t="s">
        <v>1392</v>
      </c>
      <c r="J10336" s="417" t="s">
        <v>20833</v>
      </c>
      <c r="K10336" s="417" t="s">
        <v>23117</v>
      </c>
      <c r="L10336" s="417"/>
      <c r="M10336" s="417" t="s">
        <v>28840</v>
      </c>
    </row>
    <row r="10337" spans="1:13" x14ac:dyDescent="0.25">
      <c r="A10337" s="417" t="s">
        <v>3385</v>
      </c>
      <c r="B10337" s="417" t="s">
        <v>2437</v>
      </c>
      <c r="C10337" s="417" t="s">
        <v>23118</v>
      </c>
      <c r="D10337" s="417" t="s">
        <v>3936</v>
      </c>
      <c r="E10337" s="423">
        <v>0.29225614525149551</v>
      </c>
      <c r="F10337" s="423">
        <v>1.5694910057140181E-2</v>
      </c>
      <c r="G10337" s="422">
        <v>560.87749495383605</v>
      </c>
      <c r="H10337" s="417" t="s">
        <v>2616</v>
      </c>
      <c r="I10337" s="417" t="s">
        <v>1392</v>
      </c>
      <c r="J10337" s="417" t="s">
        <v>20833</v>
      </c>
      <c r="K10337" s="417" t="s">
        <v>23119</v>
      </c>
      <c r="L10337" s="417"/>
      <c r="M10337" s="417" t="s">
        <v>28840</v>
      </c>
    </row>
    <row r="10338" spans="1:13" x14ac:dyDescent="0.25">
      <c r="A10338" s="417" t="s">
        <v>3385</v>
      </c>
      <c r="B10338" s="417" t="s">
        <v>2437</v>
      </c>
      <c r="C10338" s="417" t="s">
        <v>23120</v>
      </c>
      <c r="D10338" s="417" t="s">
        <v>3936</v>
      </c>
      <c r="E10338" s="423">
        <v>0.31484217655714541</v>
      </c>
      <c r="F10338" s="423">
        <v>2.2046586072599701E-2</v>
      </c>
      <c r="G10338" s="422">
        <v>576.42612537739296</v>
      </c>
      <c r="H10338" s="417" t="s">
        <v>2616</v>
      </c>
      <c r="I10338" s="417" t="s">
        <v>1392</v>
      </c>
      <c r="J10338" s="417" t="s">
        <v>20833</v>
      </c>
      <c r="K10338" s="417" t="s">
        <v>23121</v>
      </c>
      <c r="L10338" s="417"/>
      <c r="M10338" s="417" t="s">
        <v>28840</v>
      </c>
    </row>
    <row r="10339" spans="1:13" x14ac:dyDescent="0.25">
      <c r="A10339" s="417" t="s">
        <v>3385</v>
      </c>
      <c r="B10339" s="417" t="s">
        <v>2437</v>
      </c>
      <c r="C10339" s="417" t="s">
        <v>23122</v>
      </c>
      <c r="D10339" s="417" t="s">
        <v>3936</v>
      </c>
      <c r="E10339" s="423">
        <v>0.28764042253396638</v>
      </c>
      <c r="F10339" s="423">
        <v>1.533299142093569E-2</v>
      </c>
      <c r="G10339" s="422">
        <v>545.29793973045139</v>
      </c>
      <c r="H10339" s="417" t="s">
        <v>2616</v>
      </c>
      <c r="I10339" s="417" t="s">
        <v>1392</v>
      </c>
      <c r="J10339" s="417" t="s">
        <v>20833</v>
      </c>
      <c r="K10339" s="417" t="s">
        <v>23123</v>
      </c>
      <c r="L10339" s="417"/>
      <c r="M10339" s="417" t="s">
        <v>28840</v>
      </c>
    </row>
    <row r="10340" spans="1:13" x14ac:dyDescent="0.25">
      <c r="A10340" s="417" t="s">
        <v>3385</v>
      </c>
      <c r="B10340" s="417" t="s">
        <v>2437</v>
      </c>
      <c r="C10340" s="417" t="s">
        <v>23124</v>
      </c>
      <c r="D10340" s="417" t="s">
        <v>3936</v>
      </c>
      <c r="E10340" s="423">
        <v>0.3086090188987875</v>
      </c>
      <c r="F10340" s="423">
        <v>2.1459560178867829E-2</v>
      </c>
      <c r="G10340" s="422">
        <v>559.68298860509572</v>
      </c>
      <c r="H10340" s="417" t="s">
        <v>2616</v>
      </c>
      <c r="I10340" s="417" t="s">
        <v>1392</v>
      </c>
      <c r="J10340" s="417" t="s">
        <v>20833</v>
      </c>
      <c r="K10340" s="417" t="s">
        <v>23125</v>
      </c>
      <c r="L10340" s="417"/>
      <c r="M10340" s="417" t="s">
        <v>28840</v>
      </c>
    </row>
    <row r="10341" spans="1:13" x14ac:dyDescent="0.25">
      <c r="A10341" s="417" t="s">
        <v>3385</v>
      </c>
      <c r="B10341" s="417" t="s">
        <v>2437</v>
      </c>
      <c r="C10341" s="417" t="s">
        <v>23126</v>
      </c>
      <c r="D10341" s="417" t="s">
        <v>3936</v>
      </c>
      <c r="E10341" s="423">
        <v>0.27682702190923503</v>
      </c>
      <c r="F10341" s="423">
        <v>1.510613942734872E-2</v>
      </c>
      <c r="G10341" s="422">
        <v>527.45667090093445</v>
      </c>
      <c r="H10341" s="417" t="s">
        <v>2616</v>
      </c>
      <c r="I10341" s="417" t="s">
        <v>1392</v>
      </c>
      <c r="J10341" s="417" t="s">
        <v>20833</v>
      </c>
      <c r="K10341" s="417" t="s">
        <v>23127</v>
      </c>
      <c r="L10341" s="417"/>
      <c r="M10341" s="417" t="s">
        <v>28840</v>
      </c>
    </row>
    <row r="10342" spans="1:13" x14ac:dyDescent="0.25">
      <c r="A10342" s="417" t="s">
        <v>3385</v>
      </c>
      <c r="B10342" s="417" t="s">
        <v>2437</v>
      </c>
      <c r="C10342" s="417" t="s">
        <v>23128</v>
      </c>
      <c r="D10342" s="417" t="s">
        <v>3936</v>
      </c>
      <c r="E10342" s="423">
        <v>0.29678052584067721</v>
      </c>
      <c r="F10342" s="423">
        <v>2.1090405388889951E-2</v>
      </c>
      <c r="G10342" s="422">
        <v>541.11168445301075</v>
      </c>
      <c r="H10342" s="417" t="s">
        <v>2616</v>
      </c>
      <c r="I10342" s="417" t="s">
        <v>1392</v>
      </c>
      <c r="J10342" s="417" t="s">
        <v>20833</v>
      </c>
      <c r="K10342" s="417" t="s">
        <v>23129</v>
      </c>
      <c r="L10342" s="417"/>
      <c r="M10342" s="417" t="s">
        <v>28840</v>
      </c>
    </row>
    <row r="10343" spans="1:13" x14ac:dyDescent="0.25">
      <c r="A10343" s="417" t="s">
        <v>3385</v>
      </c>
      <c r="B10343" s="417" t="s">
        <v>2437</v>
      </c>
      <c r="C10343" s="417" t="s">
        <v>23130</v>
      </c>
      <c r="D10343" s="417" t="s">
        <v>3936</v>
      </c>
      <c r="E10343" s="423">
        <v>0.27554432736229417</v>
      </c>
      <c r="F10343" s="423">
        <v>1.4997336147670751E-2</v>
      </c>
      <c r="G10343" s="422">
        <v>527.36502111858397</v>
      </c>
      <c r="H10343" s="417" t="s">
        <v>2616</v>
      </c>
      <c r="I10343" s="417" t="s">
        <v>1392</v>
      </c>
      <c r="J10343" s="417" t="s">
        <v>20833</v>
      </c>
      <c r="K10343" s="417" t="s">
        <v>23131</v>
      </c>
      <c r="L10343" s="417"/>
      <c r="M10343" s="417" t="s">
        <v>28840</v>
      </c>
    </row>
    <row r="10344" spans="1:13" x14ac:dyDescent="0.25">
      <c r="A10344" s="417" t="s">
        <v>3385</v>
      </c>
      <c r="B10344" s="417" t="s">
        <v>2437</v>
      </c>
      <c r="C10344" s="417" t="s">
        <v>23132</v>
      </c>
      <c r="D10344" s="417" t="s">
        <v>3936</v>
      </c>
      <c r="E10344" s="423">
        <v>0.29498756446370372</v>
      </c>
      <c r="F10344" s="423">
        <v>2.091559136517834E-2</v>
      </c>
      <c r="G10344" s="422">
        <v>540.65187847777236</v>
      </c>
      <c r="H10344" s="417" t="s">
        <v>2616</v>
      </c>
      <c r="I10344" s="417" t="s">
        <v>1392</v>
      </c>
      <c r="J10344" s="417" t="s">
        <v>20833</v>
      </c>
      <c r="K10344" s="417" t="s">
        <v>23133</v>
      </c>
      <c r="L10344" s="417"/>
      <c r="M10344" s="417" t="s">
        <v>28840</v>
      </c>
    </row>
    <row r="10345" spans="1:13" x14ac:dyDescent="0.25">
      <c r="A10345" s="417" t="s">
        <v>3385</v>
      </c>
      <c r="B10345" s="417" t="s">
        <v>2437</v>
      </c>
      <c r="C10345" s="417" t="s">
        <v>23134</v>
      </c>
      <c r="D10345" s="417" t="s">
        <v>3936</v>
      </c>
      <c r="E10345" s="423">
        <v>0.27214062712054948</v>
      </c>
      <c r="F10345" s="423">
        <v>1.4781335400643809E-2</v>
      </c>
      <c r="G10345" s="422">
        <v>520.99204878812418</v>
      </c>
      <c r="H10345" s="417" t="s">
        <v>2616</v>
      </c>
      <c r="I10345" s="417" t="s">
        <v>1392</v>
      </c>
      <c r="J10345" s="417" t="s">
        <v>20833</v>
      </c>
      <c r="K10345" s="417" t="s">
        <v>23135</v>
      </c>
      <c r="L10345" s="417"/>
      <c r="M10345" s="417" t="s">
        <v>28840</v>
      </c>
    </row>
    <row r="10346" spans="1:13" x14ac:dyDescent="0.25">
      <c r="A10346" s="417" t="s">
        <v>3385</v>
      </c>
      <c r="B10346" s="417" t="s">
        <v>2437</v>
      </c>
      <c r="C10346" s="417" t="s">
        <v>23136</v>
      </c>
      <c r="D10346" s="417" t="s">
        <v>3936</v>
      </c>
      <c r="E10346" s="423">
        <v>0.29090577013992203</v>
      </c>
      <c r="F10346" s="423">
        <v>2.0569148565211932E-2</v>
      </c>
      <c r="G10346" s="422">
        <v>533.79890865272841</v>
      </c>
      <c r="H10346" s="417" t="s">
        <v>2616</v>
      </c>
      <c r="I10346" s="417" t="s">
        <v>1392</v>
      </c>
      <c r="J10346" s="417" t="s">
        <v>20833</v>
      </c>
      <c r="K10346" s="417" t="s">
        <v>23137</v>
      </c>
      <c r="L10346" s="417"/>
      <c r="M10346" s="417" t="s">
        <v>28840</v>
      </c>
    </row>
    <row r="10347" spans="1:13" x14ac:dyDescent="0.25">
      <c r="A10347" s="417" t="s">
        <v>3385</v>
      </c>
      <c r="B10347" s="417" t="s">
        <v>2437</v>
      </c>
      <c r="C10347" s="417" t="s">
        <v>23138</v>
      </c>
      <c r="D10347" s="417" t="s">
        <v>3936</v>
      </c>
      <c r="E10347" s="423">
        <v>0.2158170626155059</v>
      </c>
      <c r="F10347" s="423">
        <v>1.191698016646538E-2</v>
      </c>
      <c r="G10347" s="422">
        <v>431.78182407885311</v>
      </c>
      <c r="H10347" s="417" t="s">
        <v>2616</v>
      </c>
      <c r="I10347" s="417" t="s">
        <v>1392</v>
      </c>
      <c r="J10347" s="417" t="s">
        <v>20833</v>
      </c>
      <c r="K10347" s="417" t="s">
        <v>23139</v>
      </c>
      <c r="L10347" s="417"/>
      <c r="M10347" s="417" t="s">
        <v>28840</v>
      </c>
    </row>
    <row r="10348" spans="1:13" x14ac:dyDescent="0.25">
      <c r="A10348" s="417" t="s">
        <v>3385</v>
      </c>
      <c r="B10348" s="417" t="s">
        <v>2437</v>
      </c>
      <c r="C10348" s="417" t="s">
        <v>23140</v>
      </c>
      <c r="D10348" s="417" t="s">
        <v>3936</v>
      </c>
      <c r="E10348" s="423">
        <v>0.23403414671570069</v>
      </c>
      <c r="F10348" s="423">
        <v>1.6603723795556209E-2</v>
      </c>
      <c r="G10348" s="422">
        <v>444.41747464880882</v>
      </c>
      <c r="H10348" s="417" t="s">
        <v>2616</v>
      </c>
      <c r="I10348" s="417" t="s">
        <v>1392</v>
      </c>
      <c r="J10348" s="417" t="s">
        <v>20833</v>
      </c>
      <c r="K10348" s="417" t="s">
        <v>23141</v>
      </c>
      <c r="L10348" s="417"/>
      <c r="M10348" s="417" t="s">
        <v>28840</v>
      </c>
    </row>
    <row r="10349" spans="1:13" x14ac:dyDescent="0.25">
      <c r="A10349" s="417" t="s">
        <v>3385</v>
      </c>
      <c r="B10349" s="417" t="s">
        <v>2437</v>
      </c>
      <c r="C10349" s="417" t="s">
        <v>23142</v>
      </c>
      <c r="D10349" s="417" t="s">
        <v>3936</v>
      </c>
      <c r="E10349" s="423">
        <v>0.21384218277983111</v>
      </c>
      <c r="F10349" s="423">
        <v>1.1710575953482891E-2</v>
      </c>
      <c r="G10349" s="422">
        <v>420.89433957502189</v>
      </c>
      <c r="H10349" s="417" t="s">
        <v>2616</v>
      </c>
      <c r="I10349" s="417" t="s">
        <v>1392</v>
      </c>
      <c r="J10349" s="417" t="s">
        <v>20833</v>
      </c>
      <c r="K10349" s="417" t="s">
        <v>23143</v>
      </c>
      <c r="L10349" s="417"/>
      <c r="M10349" s="417" t="s">
        <v>28840</v>
      </c>
    </row>
    <row r="10350" spans="1:13" x14ac:dyDescent="0.25">
      <c r="A10350" s="417" t="s">
        <v>3385</v>
      </c>
      <c r="B10350" s="417" t="s">
        <v>2437</v>
      </c>
      <c r="C10350" s="417" t="s">
        <v>23144</v>
      </c>
      <c r="D10350" s="417" t="s">
        <v>3936</v>
      </c>
      <c r="E10350" s="423">
        <v>0.23080787216218379</v>
      </c>
      <c r="F10350" s="423">
        <v>1.6281814773632101E-2</v>
      </c>
      <c r="G10350" s="422">
        <v>432.61706694029562</v>
      </c>
      <c r="H10350" s="417" t="s">
        <v>2616</v>
      </c>
      <c r="I10350" s="417" t="s">
        <v>1392</v>
      </c>
      <c r="J10350" s="417" t="s">
        <v>20833</v>
      </c>
      <c r="K10350" s="417" t="s">
        <v>23145</v>
      </c>
      <c r="L10350" s="417"/>
      <c r="M10350" s="417" t="s">
        <v>28840</v>
      </c>
    </row>
    <row r="10351" spans="1:13" x14ac:dyDescent="0.25">
      <c r="A10351" s="417" t="s">
        <v>3385</v>
      </c>
      <c r="B10351" s="417" t="s">
        <v>2437</v>
      </c>
      <c r="C10351" s="417" t="s">
        <v>23146</v>
      </c>
      <c r="D10351" s="417" t="s">
        <v>3936</v>
      </c>
      <c r="E10351" s="423">
        <v>0.20475988283945551</v>
      </c>
      <c r="F10351" s="423">
        <v>1.158350855028732E-2</v>
      </c>
      <c r="G10351" s="422">
        <v>405.95827337736279</v>
      </c>
      <c r="H10351" s="417" t="s">
        <v>2616</v>
      </c>
      <c r="I10351" s="417" t="s">
        <v>1392</v>
      </c>
      <c r="J10351" s="417" t="s">
        <v>20833</v>
      </c>
      <c r="K10351" s="417" t="s">
        <v>23147</v>
      </c>
      <c r="L10351" s="417"/>
      <c r="M10351" s="417" t="s">
        <v>28840</v>
      </c>
    </row>
    <row r="10352" spans="1:13" x14ac:dyDescent="0.25">
      <c r="A10352" s="417" t="s">
        <v>3385</v>
      </c>
      <c r="B10352" s="417" t="s">
        <v>2437</v>
      </c>
      <c r="C10352" s="417" t="s">
        <v>23148</v>
      </c>
      <c r="D10352" s="417" t="s">
        <v>3936</v>
      </c>
      <c r="E10352" s="423">
        <v>0.22093681708940199</v>
      </c>
      <c r="F10352" s="423">
        <v>1.6080783296406099E-2</v>
      </c>
      <c r="G10352" s="422">
        <v>417.1058166954939</v>
      </c>
      <c r="H10352" s="417" t="s">
        <v>2616</v>
      </c>
      <c r="I10352" s="417" t="s">
        <v>1392</v>
      </c>
      <c r="J10352" s="417" t="s">
        <v>20833</v>
      </c>
      <c r="K10352" s="417" t="s">
        <v>23149</v>
      </c>
      <c r="L10352" s="417"/>
      <c r="M10352" s="417" t="s">
        <v>28840</v>
      </c>
    </row>
    <row r="10353" spans="1:13" x14ac:dyDescent="0.25">
      <c r="A10353" s="417" t="s">
        <v>3385</v>
      </c>
      <c r="B10353" s="417" t="s">
        <v>2437</v>
      </c>
      <c r="C10353" s="417" t="s">
        <v>23150</v>
      </c>
      <c r="D10353" s="417" t="s">
        <v>3936</v>
      </c>
      <c r="E10353" s="423">
        <v>0.20421042511947551</v>
      </c>
      <c r="F10353" s="423">
        <v>1.1521813923028869E-2</v>
      </c>
      <c r="G10353" s="422">
        <v>406.69568133198891</v>
      </c>
      <c r="H10353" s="417" t="s">
        <v>2616</v>
      </c>
      <c r="I10353" s="417" t="s">
        <v>1392</v>
      </c>
      <c r="J10353" s="417" t="s">
        <v>20833</v>
      </c>
      <c r="K10353" s="417" t="s">
        <v>23151</v>
      </c>
      <c r="L10353" s="417"/>
      <c r="M10353" s="417" t="s">
        <v>28840</v>
      </c>
    </row>
    <row r="10354" spans="1:13" x14ac:dyDescent="0.25">
      <c r="A10354" s="417" t="s">
        <v>3385</v>
      </c>
      <c r="B10354" s="417" t="s">
        <v>2437</v>
      </c>
      <c r="C10354" s="417" t="s">
        <v>23152</v>
      </c>
      <c r="D10354" s="417" t="s">
        <v>3936</v>
      </c>
      <c r="E10354" s="423">
        <v>0.22000273336114351</v>
      </c>
      <c r="F10354" s="423">
        <v>1.598275785532477E-2</v>
      </c>
      <c r="G10354" s="422">
        <v>417.56280511899541</v>
      </c>
      <c r="H10354" s="417" t="s">
        <v>2616</v>
      </c>
      <c r="I10354" s="417" t="s">
        <v>1392</v>
      </c>
      <c r="J10354" s="417" t="s">
        <v>20833</v>
      </c>
      <c r="K10354" s="417" t="s">
        <v>23153</v>
      </c>
      <c r="L10354" s="417"/>
      <c r="M10354" s="417" t="s">
        <v>28840</v>
      </c>
    </row>
    <row r="10355" spans="1:13" x14ac:dyDescent="0.25">
      <c r="A10355" s="417" t="s">
        <v>3385</v>
      </c>
      <c r="B10355" s="417" t="s">
        <v>2437</v>
      </c>
      <c r="C10355" s="417" t="s">
        <v>23154</v>
      </c>
      <c r="D10355" s="417" t="s">
        <v>3936</v>
      </c>
      <c r="E10355" s="423">
        <v>0.20208398884475831</v>
      </c>
      <c r="F10355" s="423">
        <v>1.1379090676249421E-2</v>
      </c>
      <c r="G10355" s="422">
        <v>401.90113412369038</v>
      </c>
      <c r="H10355" s="417" t="s">
        <v>2616</v>
      </c>
      <c r="I10355" s="417" t="s">
        <v>1392</v>
      </c>
      <c r="J10355" s="417" t="s">
        <v>20833</v>
      </c>
      <c r="K10355" s="417" t="s">
        <v>23155</v>
      </c>
      <c r="L10355" s="417"/>
      <c r="M10355" s="417" t="s">
        <v>28840</v>
      </c>
    </row>
    <row r="10356" spans="1:13" x14ac:dyDescent="0.25">
      <c r="A10356" s="417" t="s">
        <v>3385</v>
      </c>
      <c r="B10356" s="417" t="s">
        <v>2437</v>
      </c>
      <c r="C10356" s="417" t="s">
        <v>23156</v>
      </c>
      <c r="D10356" s="417" t="s">
        <v>3936</v>
      </c>
      <c r="E10356" s="423">
        <v>0.2173519681642834</v>
      </c>
      <c r="F10356" s="423">
        <v>1.576244008694791E-2</v>
      </c>
      <c r="G10356" s="422">
        <v>412.39204380624108</v>
      </c>
      <c r="H10356" s="417" t="s">
        <v>2616</v>
      </c>
      <c r="I10356" s="417" t="s">
        <v>1392</v>
      </c>
      <c r="J10356" s="417" t="s">
        <v>20833</v>
      </c>
      <c r="K10356" s="417" t="s">
        <v>23157</v>
      </c>
      <c r="L10356" s="417"/>
      <c r="M10356" s="417" t="s">
        <v>28840</v>
      </c>
    </row>
    <row r="10357" spans="1:13" x14ac:dyDescent="0.25">
      <c r="A10357" s="417" t="s">
        <v>3385</v>
      </c>
      <c r="B10357" s="417" t="s">
        <v>2437</v>
      </c>
      <c r="C10357" s="417" t="s">
        <v>23158</v>
      </c>
      <c r="D10357" s="417" t="s">
        <v>3936</v>
      </c>
      <c r="E10357" s="423">
        <v>0.2245908822446675</v>
      </c>
      <c r="F10357" s="423">
        <v>1.038885247110803E-2</v>
      </c>
      <c r="G10357" s="422">
        <v>409.55114671558078</v>
      </c>
      <c r="H10357" s="417" t="s">
        <v>2616</v>
      </c>
      <c r="I10357" s="417" t="s">
        <v>1392</v>
      </c>
      <c r="J10357" s="417" t="s">
        <v>20833</v>
      </c>
      <c r="K10357" s="417" t="s">
        <v>23159</v>
      </c>
      <c r="L10357" s="417"/>
      <c r="M10357" s="417" t="s">
        <v>28840</v>
      </c>
    </row>
    <row r="10358" spans="1:13" x14ac:dyDescent="0.25">
      <c r="A10358" s="417" t="s">
        <v>3385</v>
      </c>
      <c r="B10358" s="417" t="s">
        <v>2437</v>
      </c>
      <c r="C10358" s="417" t="s">
        <v>23160</v>
      </c>
      <c r="D10358" s="417" t="s">
        <v>3936</v>
      </c>
      <c r="E10358" s="423">
        <v>0.22572695712322399</v>
      </c>
      <c r="F10358" s="423">
        <v>1.043883446698462E-2</v>
      </c>
      <c r="G10358" s="422">
        <v>404.94845166633911</v>
      </c>
      <c r="H10358" s="417" t="s">
        <v>2616</v>
      </c>
      <c r="I10358" s="417" t="s">
        <v>1392</v>
      </c>
      <c r="J10358" s="417" t="s">
        <v>20833</v>
      </c>
      <c r="K10358" s="417" t="s">
        <v>23161</v>
      </c>
      <c r="L10358" s="417"/>
      <c r="M10358" s="417" t="s">
        <v>28840</v>
      </c>
    </row>
    <row r="10359" spans="1:13" x14ac:dyDescent="0.25">
      <c r="A10359" s="417" t="s">
        <v>3385</v>
      </c>
      <c r="B10359" s="417" t="s">
        <v>2437</v>
      </c>
      <c r="C10359" s="417" t="s">
        <v>23162</v>
      </c>
      <c r="D10359" s="417" t="s">
        <v>3936</v>
      </c>
      <c r="E10359" s="423">
        <v>0.21824924656891281</v>
      </c>
      <c r="F10359" s="423">
        <v>1.04581293693431E-2</v>
      </c>
      <c r="G10359" s="422">
        <v>391.91864166053688</v>
      </c>
      <c r="H10359" s="417" t="s">
        <v>2616</v>
      </c>
      <c r="I10359" s="417" t="s">
        <v>1392</v>
      </c>
      <c r="J10359" s="417" t="s">
        <v>20833</v>
      </c>
      <c r="K10359" s="417" t="s">
        <v>23163</v>
      </c>
      <c r="L10359" s="417"/>
      <c r="M10359" s="417" t="s">
        <v>28840</v>
      </c>
    </row>
    <row r="10360" spans="1:13" x14ac:dyDescent="0.25">
      <c r="A10360" s="417" t="s">
        <v>3385</v>
      </c>
      <c r="B10360" s="417" t="s">
        <v>2437</v>
      </c>
      <c r="C10360" s="417" t="s">
        <v>23164</v>
      </c>
      <c r="D10360" s="417" t="s">
        <v>3936</v>
      </c>
      <c r="E10360" s="423">
        <v>0.21841283304936779</v>
      </c>
      <c r="F10360" s="423">
        <v>1.046324298299155E-2</v>
      </c>
      <c r="G10360" s="422">
        <v>397.90148890573641</v>
      </c>
      <c r="H10360" s="417" t="s">
        <v>2616</v>
      </c>
      <c r="I10360" s="417" t="s">
        <v>1392</v>
      </c>
      <c r="J10360" s="417" t="s">
        <v>20833</v>
      </c>
      <c r="K10360" s="417" t="s">
        <v>23165</v>
      </c>
      <c r="L10360" s="417"/>
      <c r="M10360" s="417" t="s">
        <v>28840</v>
      </c>
    </row>
    <row r="10361" spans="1:13" x14ac:dyDescent="0.25">
      <c r="A10361" s="417" t="s">
        <v>3385</v>
      </c>
      <c r="B10361" s="417" t="s">
        <v>2437</v>
      </c>
      <c r="C10361" s="417" t="s">
        <v>23166</v>
      </c>
      <c r="D10361" s="417" t="s">
        <v>3936</v>
      </c>
      <c r="E10361" s="423">
        <v>0.21784554972538731</v>
      </c>
      <c r="F10361" s="423">
        <v>1.0442228042561411E-2</v>
      </c>
      <c r="G10361" s="422">
        <v>397.49704162962121</v>
      </c>
      <c r="H10361" s="417" t="s">
        <v>2616</v>
      </c>
      <c r="I10361" s="417" t="s">
        <v>1392</v>
      </c>
      <c r="J10361" s="417" t="s">
        <v>20833</v>
      </c>
      <c r="K10361" s="417" t="s">
        <v>23167</v>
      </c>
      <c r="L10361" s="417"/>
      <c r="M10361" s="417" t="s">
        <v>28840</v>
      </c>
    </row>
    <row r="10362" spans="1:13" x14ac:dyDescent="0.25">
      <c r="A10362" s="417" t="s">
        <v>3385</v>
      </c>
      <c r="B10362" s="417" t="s">
        <v>2437</v>
      </c>
      <c r="C10362" s="417" t="s">
        <v>23168</v>
      </c>
      <c r="D10362" s="417" t="s">
        <v>3936</v>
      </c>
      <c r="E10362" s="423">
        <v>0.4022356516053916</v>
      </c>
      <c r="F10362" s="423">
        <v>1.8062884550505861E-2</v>
      </c>
      <c r="G10362" s="422">
        <v>686.04147625388669</v>
      </c>
      <c r="H10362" s="417" t="s">
        <v>2616</v>
      </c>
      <c r="I10362" s="417" t="s">
        <v>1392</v>
      </c>
      <c r="J10362" s="417" t="s">
        <v>20833</v>
      </c>
      <c r="K10362" s="417" t="s">
        <v>23169</v>
      </c>
      <c r="L10362" s="417"/>
      <c r="M10362" s="417" t="s">
        <v>28840</v>
      </c>
    </row>
    <row r="10363" spans="1:13" x14ac:dyDescent="0.25">
      <c r="A10363" s="417" t="s">
        <v>3385</v>
      </c>
      <c r="B10363" s="417" t="s">
        <v>2437</v>
      </c>
      <c r="C10363" s="417" t="s">
        <v>23170</v>
      </c>
      <c r="D10363" s="417" t="s">
        <v>3936</v>
      </c>
      <c r="E10363" s="423">
        <v>0.39926229041753281</v>
      </c>
      <c r="F10363" s="423">
        <v>1.793564990558659E-2</v>
      </c>
      <c r="G10363" s="422">
        <v>672.24904005508245</v>
      </c>
      <c r="H10363" s="417" t="s">
        <v>2616</v>
      </c>
      <c r="I10363" s="417" t="s">
        <v>1392</v>
      </c>
      <c r="J10363" s="417" t="s">
        <v>20833</v>
      </c>
      <c r="K10363" s="417" t="s">
        <v>23171</v>
      </c>
      <c r="L10363" s="417"/>
      <c r="M10363" s="417" t="s">
        <v>28840</v>
      </c>
    </row>
    <row r="10364" spans="1:13" x14ac:dyDescent="0.25">
      <c r="A10364" s="417" t="s">
        <v>3385</v>
      </c>
      <c r="B10364" s="417" t="s">
        <v>2437</v>
      </c>
      <c r="C10364" s="417" t="s">
        <v>23172</v>
      </c>
      <c r="D10364" s="417" t="s">
        <v>3936</v>
      </c>
      <c r="E10364" s="423">
        <v>0.38876226999044999</v>
      </c>
      <c r="F10364" s="423">
        <v>1.7824417017151949E-2</v>
      </c>
      <c r="G10364" s="422">
        <v>650.53226283683887</v>
      </c>
      <c r="H10364" s="417" t="s">
        <v>2616</v>
      </c>
      <c r="I10364" s="417" t="s">
        <v>1392</v>
      </c>
      <c r="J10364" s="417" t="s">
        <v>20833</v>
      </c>
      <c r="K10364" s="417" t="s">
        <v>23173</v>
      </c>
      <c r="L10364" s="417"/>
      <c r="M10364" s="417" t="s">
        <v>28840</v>
      </c>
    </row>
    <row r="10365" spans="1:13" x14ac:dyDescent="0.25">
      <c r="A10365" s="417" t="s">
        <v>3385</v>
      </c>
      <c r="B10365" s="417" t="s">
        <v>2437</v>
      </c>
      <c r="C10365" s="417" t="s">
        <v>23174</v>
      </c>
      <c r="D10365" s="417" t="s">
        <v>3936</v>
      </c>
      <c r="E10365" s="423">
        <v>0.38774819635587721</v>
      </c>
      <c r="F10365" s="423">
        <v>1.7778386773776321E-2</v>
      </c>
      <c r="G10365" s="422">
        <v>659.70797848425059</v>
      </c>
      <c r="H10365" s="417" t="s">
        <v>2616</v>
      </c>
      <c r="I10365" s="417" t="s">
        <v>1392</v>
      </c>
      <c r="J10365" s="417" t="s">
        <v>20833</v>
      </c>
      <c r="K10365" s="417" t="s">
        <v>23175</v>
      </c>
      <c r="L10365" s="417"/>
      <c r="M10365" s="417" t="s">
        <v>28840</v>
      </c>
    </row>
    <row r="10366" spans="1:13" x14ac:dyDescent="0.25">
      <c r="A10366" s="417" t="s">
        <v>3385</v>
      </c>
      <c r="B10366" s="417" t="s">
        <v>2437</v>
      </c>
      <c r="C10366" s="417" t="s">
        <v>23176</v>
      </c>
      <c r="D10366" s="417" t="s">
        <v>3936</v>
      </c>
      <c r="E10366" s="423">
        <v>0.38408781054760732</v>
      </c>
      <c r="F10366" s="423">
        <v>1.7621197113060219E-2</v>
      </c>
      <c r="G10366" s="422">
        <v>655.58477654937212</v>
      </c>
      <c r="H10366" s="417" t="s">
        <v>2616</v>
      </c>
      <c r="I10366" s="417" t="s">
        <v>1392</v>
      </c>
      <c r="J10366" s="417" t="s">
        <v>20833</v>
      </c>
      <c r="K10366" s="417" t="s">
        <v>23177</v>
      </c>
      <c r="L10366" s="417"/>
      <c r="M10366" s="417" t="s">
        <v>28840</v>
      </c>
    </row>
    <row r="10367" spans="1:13" x14ac:dyDescent="0.25">
      <c r="A10367" s="417" t="s">
        <v>3385</v>
      </c>
      <c r="B10367" s="417" t="s">
        <v>2437</v>
      </c>
      <c r="C10367" s="417" t="s">
        <v>23178</v>
      </c>
      <c r="D10367" s="417" t="s">
        <v>3936</v>
      </c>
      <c r="E10367" s="423">
        <v>0.35608252347788771</v>
      </c>
      <c r="F10367" s="423">
        <v>1.6062325914676309E-2</v>
      </c>
      <c r="G10367" s="422">
        <v>614.31122365655233</v>
      </c>
      <c r="H10367" s="417" t="s">
        <v>2616</v>
      </c>
      <c r="I10367" s="417" t="s">
        <v>1392</v>
      </c>
      <c r="J10367" s="417" t="s">
        <v>20833</v>
      </c>
      <c r="K10367" s="417" t="s">
        <v>23179</v>
      </c>
      <c r="L10367" s="417"/>
      <c r="M10367" s="417" t="s">
        <v>28840</v>
      </c>
    </row>
    <row r="10368" spans="1:13" x14ac:dyDescent="0.25">
      <c r="A10368" s="417" t="s">
        <v>3385</v>
      </c>
      <c r="B10368" s="417" t="s">
        <v>2437</v>
      </c>
      <c r="C10368" s="417" t="s">
        <v>23180</v>
      </c>
      <c r="D10368" s="417" t="s">
        <v>3936</v>
      </c>
      <c r="E10368" s="423">
        <v>0.35110203569465398</v>
      </c>
      <c r="F10368" s="423">
        <v>1.5846668166502369E-2</v>
      </c>
      <c r="G10368" s="422">
        <v>598.79214002575384</v>
      </c>
      <c r="H10368" s="417" t="s">
        <v>2616</v>
      </c>
      <c r="I10368" s="417" t="s">
        <v>1392</v>
      </c>
      <c r="J10368" s="417" t="s">
        <v>20833</v>
      </c>
      <c r="K10368" s="417" t="s">
        <v>23181</v>
      </c>
      <c r="L10368" s="417"/>
      <c r="M10368" s="417" t="s">
        <v>28840</v>
      </c>
    </row>
    <row r="10369" spans="1:13" x14ac:dyDescent="0.25">
      <c r="A10369" s="417" t="s">
        <v>3385</v>
      </c>
      <c r="B10369" s="417" t="s">
        <v>2437</v>
      </c>
      <c r="C10369" s="417" t="s">
        <v>23182</v>
      </c>
      <c r="D10369" s="417" t="s">
        <v>3936</v>
      </c>
      <c r="E10369" s="423">
        <v>0.3395878299239582</v>
      </c>
      <c r="F10369" s="423">
        <v>1.569203990508709E-2</v>
      </c>
      <c r="G10369" s="422">
        <v>577.2074623790927</v>
      </c>
      <c r="H10369" s="417" t="s">
        <v>2616</v>
      </c>
      <c r="I10369" s="417" t="s">
        <v>1392</v>
      </c>
      <c r="J10369" s="417" t="s">
        <v>20833</v>
      </c>
      <c r="K10369" s="417" t="s">
        <v>23183</v>
      </c>
      <c r="L10369" s="417"/>
      <c r="M10369" s="417" t="s">
        <v>28840</v>
      </c>
    </row>
    <row r="10370" spans="1:13" x14ac:dyDescent="0.25">
      <c r="A10370" s="417" t="s">
        <v>3385</v>
      </c>
      <c r="B10370" s="417" t="s">
        <v>2437</v>
      </c>
      <c r="C10370" s="417" t="s">
        <v>23184</v>
      </c>
      <c r="D10370" s="417" t="s">
        <v>3936</v>
      </c>
      <c r="E10370" s="423">
        <v>0.33780269779662092</v>
      </c>
      <c r="F10370" s="423">
        <v>1.561056281963275E-2</v>
      </c>
      <c r="G10370" s="422">
        <v>583.99973033126923</v>
      </c>
      <c r="H10370" s="417" t="s">
        <v>2616</v>
      </c>
      <c r="I10370" s="417" t="s">
        <v>1392</v>
      </c>
      <c r="J10370" s="417" t="s">
        <v>20833</v>
      </c>
      <c r="K10370" s="417" t="s">
        <v>23185</v>
      </c>
      <c r="L10370" s="417"/>
      <c r="M10370" s="417" t="s">
        <v>28840</v>
      </c>
    </row>
    <row r="10371" spans="1:13" x14ac:dyDescent="0.25">
      <c r="A10371" s="417" t="s">
        <v>3385</v>
      </c>
      <c r="B10371" s="417" t="s">
        <v>2437</v>
      </c>
      <c r="C10371" s="417" t="s">
        <v>23186</v>
      </c>
      <c r="D10371" s="417" t="s">
        <v>3936</v>
      </c>
      <c r="E10371" s="423">
        <v>0.33309553594255292</v>
      </c>
      <c r="F10371" s="423">
        <v>1.5405636398952821E-2</v>
      </c>
      <c r="G10371" s="422">
        <v>578.26190573916097</v>
      </c>
      <c r="H10371" s="417" t="s">
        <v>2616</v>
      </c>
      <c r="I10371" s="417" t="s">
        <v>1392</v>
      </c>
      <c r="J10371" s="417" t="s">
        <v>20833</v>
      </c>
      <c r="K10371" s="417" t="s">
        <v>23187</v>
      </c>
      <c r="L10371" s="417"/>
      <c r="M10371" s="417" t="s">
        <v>28840</v>
      </c>
    </row>
    <row r="10372" spans="1:13" x14ac:dyDescent="0.25">
      <c r="A10372" s="417" t="s">
        <v>3385</v>
      </c>
      <c r="B10372" s="417" t="s">
        <v>2437</v>
      </c>
      <c r="C10372" s="417" t="s">
        <v>23188</v>
      </c>
      <c r="D10372" s="417" t="s">
        <v>3936</v>
      </c>
      <c r="E10372" s="423">
        <v>0.26162662176217921</v>
      </c>
      <c r="F10372" s="423">
        <v>1.198718356600797E-2</v>
      </c>
      <c r="G10372" s="422">
        <v>467.05279257211998</v>
      </c>
      <c r="H10372" s="417" t="s">
        <v>2616</v>
      </c>
      <c r="I10372" s="417" t="s">
        <v>1392</v>
      </c>
      <c r="J10372" s="417" t="s">
        <v>20833</v>
      </c>
      <c r="K10372" s="417" t="s">
        <v>23189</v>
      </c>
      <c r="L10372" s="417"/>
      <c r="M10372" s="417" t="s">
        <v>28840</v>
      </c>
    </row>
    <row r="10373" spans="1:13" x14ac:dyDescent="0.25">
      <c r="A10373" s="417" t="s">
        <v>3385</v>
      </c>
      <c r="B10373" s="417" t="s">
        <v>2437</v>
      </c>
      <c r="C10373" s="417" t="s">
        <v>23190</v>
      </c>
      <c r="D10373" s="417" t="s">
        <v>3936</v>
      </c>
      <c r="E10373" s="423">
        <v>0.25960215945549753</v>
      </c>
      <c r="F10373" s="423">
        <v>1.190107920308448E-2</v>
      </c>
      <c r="G10373" s="422">
        <v>457.02673041604947</v>
      </c>
      <c r="H10373" s="417" t="s">
        <v>2616</v>
      </c>
      <c r="I10373" s="417" t="s">
        <v>1392</v>
      </c>
      <c r="J10373" s="417" t="s">
        <v>20833</v>
      </c>
      <c r="K10373" s="417" t="s">
        <v>23191</v>
      </c>
      <c r="L10373" s="417"/>
      <c r="M10373" s="417" t="s">
        <v>28840</v>
      </c>
    </row>
    <row r="10374" spans="1:13" x14ac:dyDescent="0.25">
      <c r="A10374" s="417" t="s">
        <v>3385</v>
      </c>
      <c r="B10374" s="417" t="s">
        <v>2437</v>
      </c>
      <c r="C10374" s="417" t="s">
        <v>23192</v>
      </c>
      <c r="D10374" s="417" t="s">
        <v>3936</v>
      </c>
      <c r="E10374" s="423">
        <v>0.2505679623354658</v>
      </c>
      <c r="F10374" s="423">
        <v>1.185400694404192E-2</v>
      </c>
      <c r="G10374" s="422">
        <v>440.80059079593661</v>
      </c>
      <c r="H10374" s="417" t="s">
        <v>2616</v>
      </c>
      <c r="I10374" s="417" t="s">
        <v>1392</v>
      </c>
      <c r="J10374" s="417" t="s">
        <v>20833</v>
      </c>
      <c r="K10374" s="417" t="s">
        <v>23193</v>
      </c>
      <c r="L10374" s="417"/>
      <c r="M10374" s="417" t="s">
        <v>28840</v>
      </c>
    </row>
    <row r="10375" spans="1:13" x14ac:dyDescent="0.25">
      <c r="A10375" s="417" t="s">
        <v>3385</v>
      </c>
      <c r="B10375" s="417" t="s">
        <v>2437</v>
      </c>
      <c r="C10375" s="417" t="s">
        <v>23194</v>
      </c>
      <c r="D10375" s="417" t="s">
        <v>3936</v>
      </c>
      <c r="E10375" s="423">
        <v>0.25026195761377079</v>
      </c>
      <c r="F10375" s="423">
        <v>1.1839792858486461E-2</v>
      </c>
      <c r="G10375" s="422">
        <v>447.03943574911978</v>
      </c>
      <c r="H10375" s="417" t="s">
        <v>2616</v>
      </c>
      <c r="I10375" s="417" t="s">
        <v>1392</v>
      </c>
      <c r="J10375" s="417" t="s">
        <v>20833</v>
      </c>
      <c r="K10375" s="417" t="s">
        <v>23195</v>
      </c>
      <c r="L10375" s="417"/>
      <c r="M10375" s="417" t="s">
        <v>28840</v>
      </c>
    </row>
    <row r="10376" spans="1:13" x14ac:dyDescent="0.25">
      <c r="A10376" s="417" t="s">
        <v>3385</v>
      </c>
      <c r="B10376" s="417" t="s">
        <v>2437</v>
      </c>
      <c r="C10376" s="417" t="s">
        <v>23196</v>
      </c>
      <c r="D10376" s="417" t="s">
        <v>3936</v>
      </c>
      <c r="E10376" s="423">
        <v>0.24804866741361351</v>
      </c>
      <c r="F10376" s="423">
        <v>1.174584627223238E-2</v>
      </c>
      <c r="G10376" s="422">
        <v>444.29414905894947</v>
      </c>
      <c r="H10376" s="417" t="s">
        <v>2616</v>
      </c>
      <c r="I10376" s="417" t="s">
        <v>1392</v>
      </c>
      <c r="J10376" s="417" t="s">
        <v>20833</v>
      </c>
      <c r="K10376" s="417" t="s">
        <v>23197</v>
      </c>
      <c r="L10376" s="417"/>
      <c r="M10376" s="417" t="s">
        <v>28840</v>
      </c>
    </row>
    <row r="10377" spans="1:13" x14ac:dyDescent="0.25">
      <c r="A10377" s="417" t="s">
        <v>3385</v>
      </c>
      <c r="B10377" s="417" t="s">
        <v>2437</v>
      </c>
      <c r="C10377" s="417" t="s">
        <v>23198</v>
      </c>
      <c r="D10377" s="417" t="s">
        <v>17280</v>
      </c>
      <c r="E10377" s="423">
        <v>4.9359506525555853E-2</v>
      </c>
      <c r="F10377" s="423">
        <v>3.4536666925042308E-3</v>
      </c>
      <c r="G10377" s="422">
        <v>87.538494510129638</v>
      </c>
      <c r="H10377" s="417" t="s">
        <v>2616</v>
      </c>
      <c r="I10377" s="417" t="s">
        <v>1392</v>
      </c>
      <c r="J10377" s="417" t="s">
        <v>20833</v>
      </c>
      <c r="K10377" s="417" t="s">
        <v>23199</v>
      </c>
      <c r="L10377" s="417"/>
      <c r="M10377" s="417" t="s">
        <v>28840</v>
      </c>
    </row>
    <row r="10378" spans="1:13" x14ac:dyDescent="0.25">
      <c r="A10378" s="417" t="s">
        <v>3385</v>
      </c>
      <c r="B10378" s="417" t="s">
        <v>2437</v>
      </c>
      <c r="C10378" s="417" t="s">
        <v>23200</v>
      </c>
      <c r="D10378" s="417" t="s">
        <v>4427</v>
      </c>
      <c r="E10378" s="423">
        <v>1402.143382463466</v>
      </c>
      <c r="F10378" s="423">
        <v>3.7791149287981849</v>
      </c>
      <c r="G10378" s="422">
        <v>1797050.6376112001</v>
      </c>
      <c r="H10378" s="417" t="s">
        <v>2616</v>
      </c>
      <c r="I10378" s="417" t="s">
        <v>1392</v>
      </c>
      <c r="J10378" s="417" t="s">
        <v>20886</v>
      </c>
      <c r="K10378" s="417" t="s">
        <v>23201</v>
      </c>
      <c r="L10378" s="417"/>
      <c r="M10378" s="417" t="s">
        <v>28840</v>
      </c>
    </row>
    <row r="10379" spans="1:13" x14ac:dyDescent="0.25">
      <c r="A10379" s="417" t="s">
        <v>3385</v>
      </c>
      <c r="B10379" s="417" t="s">
        <v>2437</v>
      </c>
      <c r="C10379" s="417" t="s">
        <v>23202</v>
      </c>
      <c r="D10379" s="417" t="s">
        <v>4427</v>
      </c>
      <c r="E10379" s="423">
        <v>1397.8013905248331</v>
      </c>
      <c r="F10379" s="423">
        <v>3.5031002650909611</v>
      </c>
      <c r="G10379" s="422">
        <v>1789337.9329238359</v>
      </c>
      <c r="H10379" s="417" t="s">
        <v>2616</v>
      </c>
      <c r="I10379" s="417" t="s">
        <v>1392</v>
      </c>
      <c r="J10379" s="417" t="s">
        <v>20886</v>
      </c>
      <c r="K10379" s="417" t="s">
        <v>23203</v>
      </c>
      <c r="L10379" s="417"/>
      <c r="M10379" s="417" t="s">
        <v>28840</v>
      </c>
    </row>
    <row r="10380" spans="1:13" x14ac:dyDescent="0.25">
      <c r="A10380" s="417" t="s">
        <v>3385</v>
      </c>
      <c r="B10380" s="417" t="s">
        <v>2437</v>
      </c>
      <c r="C10380" s="417" t="s">
        <v>23204</v>
      </c>
      <c r="D10380" s="417" t="s">
        <v>4427</v>
      </c>
      <c r="E10380" s="423">
        <v>4.3419919307292352</v>
      </c>
      <c r="F10380" s="423">
        <v>0.27601466315314099</v>
      </c>
      <c r="G10380" s="422">
        <v>7712.7047066438081</v>
      </c>
      <c r="H10380" s="417" t="s">
        <v>2616</v>
      </c>
      <c r="I10380" s="417" t="s">
        <v>1392</v>
      </c>
      <c r="J10380" s="417" t="s">
        <v>20886</v>
      </c>
      <c r="K10380" s="417" t="s">
        <v>23205</v>
      </c>
      <c r="L10380" s="417"/>
      <c r="M10380" s="417" t="s">
        <v>28840</v>
      </c>
    </row>
    <row r="10381" spans="1:13" x14ac:dyDescent="0.25">
      <c r="A10381" s="417" t="s">
        <v>3385</v>
      </c>
      <c r="B10381" s="417" t="s">
        <v>2437</v>
      </c>
      <c r="C10381" s="417" t="s">
        <v>23206</v>
      </c>
      <c r="D10381" s="417" t="s">
        <v>17280</v>
      </c>
      <c r="E10381" s="423">
        <v>0.16034039420641641</v>
      </c>
      <c r="F10381" s="423">
        <v>3.8056039231389211E-3</v>
      </c>
      <c r="G10381" s="422">
        <v>263.67278583828698</v>
      </c>
      <c r="H10381" s="417" t="s">
        <v>2616</v>
      </c>
      <c r="I10381" s="417" t="s">
        <v>1392</v>
      </c>
      <c r="J10381" s="417" t="s">
        <v>20822</v>
      </c>
      <c r="K10381" s="417" t="s">
        <v>23207</v>
      </c>
      <c r="L10381" s="417"/>
      <c r="M10381" s="417" t="s">
        <v>28840</v>
      </c>
    </row>
    <row r="10382" spans="1:13" x14ac:dyDescent="0.25">
      <c r="A10382" s="417" t="s">
        <v>3385</v>
      </c>
      <c r="B10382" s="417" t="s">
        <v>2437</v>
      </c>
      <c r="C10382" s="417" t="s">
        <v>23208</v>
      </c>
      <c r="D10382" s="417" t="s">
        <v>4427</v>
      </c>
      <c r="E10382" s="423">
        <v>962.53800997506937</v>
      </c>
      <c r="F10382" s="423">
        <v>2.6773884551063238</v>
      </c>
      <c r="G10382" s="422">
        <v>1247434.5449539861</v>
      </c>
      <c r="H10382" s="417" t="s">
        <v>2616</v>
      </c>
      <c r="I10382" s="417" t="s">
        <v>1392</v>
      </c>
      <c r="J10382" s="417" t="s">
        <v>20886</v>
      </c>
      <c r="K10382" s="417" t="s">
        <v>23209</v>
      </c>
      <c r="L10382" s="417"/>
      <c r="M10382" s="417" t="s">
        <v>28840</v>
      </c>
    </row>
    <row r="10383" spans="1:13" x14ac:dyDescent="0.25">
      <c r="A10383" s="417" t="s">
        <v>3385</v>
      </c>
      <c r="B10383" s="417" t="s">
        <v>2437</v>
      </c>
      <c r="C10383" s="417" t="s">
        <v>23210</v>
      </c>
      <c r="D10383" s="417" t="s">
        <v>4427</v>
      </c>
      <c r="E10383" s="423">
        <v>958.80800731170473</v>
      </c>
      <c r="F10383" s="423">
        <v>2.440277137494983</v>
      </c>
      <c r="G10383" s="422">
        <v>1240808.9202030229</v>
      </c>
      <c r="H10383" s="417" t="s">
        <v>2616</v>
      </c>
      <c r="I10383" s="417" t="s">
        <v>1392</v>
      </c>
      <c r="J10383" s="417" t="s">
        <v>20886</v>
      </c>
      <c r="K10383" s="417" t="s">
        <v>23211</v>
      </c>
      <c r="L10383" s="417"/>
      <c r="M10383" s="417" t="s">
        <v>28840</v>
      </c>
    </row>
    <row r="10384" spans="1:13" x14ac:dyDescent="0.25">
      <c r="A10384" s="417" t="s">
        <v>3385</v>
      </c>
      <c r="B10384" s="417" t="s">
        <v>2437</v>
      </c>
      <c r="C10384" s="417" t="s">
        <v>23212</v>
      </c>
      <c r="D10384" s="417" t="s">
        <v>4427</v>
      </c>
      <c r="E10384" s="423">
        <v>3.73000265949771</v>
      </c>
      <c r="F10384" s="423">
        <v>0.23711131757795051</v>
      </c>
      <c r="G10384" s="422">
        <v>6625.6247222658831</v>
      </c>
      <c r="H10384" s="417" t="s">
        <v>2616</v>
      </c>
      <c r="I10384" s="417" t="s">
        <v>1392</v>
      </c>
      <c r="J10384" s="417" t="s">
        <v>20886</v>
      </c>
      <c r="K10384" s="417" t="s">
        <v>23213</v>
      </c>
      <c r="L10384" s="417"/>
      <c r="M10384" s="417" t="s">
        <v>28840</v>
      </c>
    </row>
    <row r="10385" spans="1:13" x14ac:dyDescent="0.25">
      <c r="A10385" s="417" t="s">
        <v>3385</v>
      </c>
      <c r="B10385" s="417" t="s">
        <v>2437</v>
      </c>
      <c r="C10385" s="417" t="s">
        <v>23214</v>
      </c>
      <c r="D10385" s="417" t="s">
        <v>4427</v>
      </c>
      <c r="E10385" s="423">
        <v>754.58851294838792</v>
      </c>
      <c r="F10385" s="423">
        <v>2.1575161475168052</v>
      </c>
      <c r="G10385" s="422">
        <v>980950.21655254147</v>
      </c>
      <c r="H10385" s="417" t="s">
        <v>2616</v>
      </c>
      <c r="I10385" s="417" t="s">
        <v>1392</v>
      </c>
      <c r="J10385" s="417" t="s">
        <v>20886</v>
      </c>
      <c r="K10385" s="417" t="s">
        <v>23215</v>
      </c>
      <c r="L10385" s="417"/>
      <c r="M10385" s="417" t="s">
        <v>28840</v>
      </c>
    </row>
    <row r="10386" spans="1:13" x14ac:dyDescent="0.25">
      <c r="A10386" s="417" t="s">
        <v>3385</v>
      </c>
      <c r="B10386" s="417" t="s">
        <v>2437</v>
      </c>
      <c r="C10386" s="417" t="s">
        <v>23216</v>
      </c>
      <c r="D10386" s="417" t="s">
        <v>397</v>
      </c>
      <c r="E10386" s="423">
        <v>8.580178547156132E-3</v>
      </c>
      <c r="F10386" s="423">
        <v>9.8673999881031238E-4</v>
      </c>
      <c r="G10386" s="422">
        <v>27.536100399607719</v>
      </c>
      <c r="H10386" s="417" t="s">
        <v>2616</v>
      </c>
      <c r="I10386" s="417" t="s">
        <v>1392</v>
      </c>
      <c r="J10386" s="417" t="s">
        <v>23217</v>
      </c>
      <c r="K10386" s="417" t="s">
        <v>23218</v>
      </c>
      <c r="L10386" s="417"/>
      <c r="M10386" s="417" t="s">
        <v>28840</v>
      </c>
    </row>
    <row r="10387" spans="1:13" x14ac:dyDescent="0.25">
      <c r="A10387" s="417" t="s">
        <v>3385</v>
      </c>
      <c r="B10387" s="417" t="s">
        <v>2437</v>
      </c>
      <c r="C10387" s="417" t="s">
        <v>23219</v>
      </c>
      <c r="D10387" s="417" t="s">
        <v>17280</v>
      </c>
      <c r="E10387" s="423">
        <v>7.740592189663692E-3</v>
      </c>
      <c r="F10387" s="423">
        <v>7.0356143112098224E-4</v>
      </c>
      <c r="G10387" s="422">
        <v>36.797911861720891</v>
      </c>
      <c r="H10387" s="417" t="s">
        <v>2616</v>
      </c>
      <c r="I10387" s="417" t="s">
        <v>1392</v>
      </c>
      <c r="J10387" s="417" t="s">
        <v>4394</v>
      </c>
      <c r="K10387" s="417" t="s">
        <v>23220</v>
      </c>
      <c r="L10387" s="417"/>
      <c r="M10387" s="417" t="s">
        <v>28840</v>
      </c>
    </row>
    <row r="10388" spans="1:13" x14ac:dyDescent="0.25">
      <c r="A10388" s="417" t="s">
        <v>3385</v>
      </c>
      <c r="B10388" s="417" t="s">
        <v>2437</v>
      </c>
      <c r="C10388" s="417" t="s">
        <v>23221</v>
      </c>
      <c r="D10388" s="417" t="s">
        <v>17280</v>
      </c>
      <c r="E10388" s="423">
        <v>1.430009199160069E-3</v>
      </c>
      <c r="F10388" s="423">
        <v>1.7534273183957781E-4</v>
      </c>
      <c r="G10388" s="422">
        <v>19.421798726412462</v>
      </c>
      <c r="H10388" s="417" t="s">
        <v>2616</v>
      </c>
      <c r="I10388" s="417" t="s">
        <v>1392</v>
      </c>
      <c r="J10388" s="417" t="s">
        <v>4394</v>
      </c>
      <c r="K10388" s="417" t="s">
        <v>23222</v>
      </c>
      <c r="L10388" s="417"/>
      <c r="M10388" s="417" t="s">
        <v>28840</v>
      </c>
    </row>
    <row r="10389" spans="1:13" x14ac:dyDescent="0.25">
      <c r="A10389" s="417" t="s">
        <v>3385</v>
      </c>
      <c r="B10389" s="417" t="s">
        <v>2437</v>
      </c>
      <c r="C10389" s="417" t="s">
        <v>23223</v>
      </c>
      <c r="D10389" s="417" t="s">
        <v>17280</v>
      </c>
      <c r="E10389" s="423">
        <v>9.9244158282937476E-4</v>
      </c>
      <c r="F10389" s="423">
        <v>1.5535838121048779E-4</v>
      </c>
      <c r="G10389" s="422">
        <v>2.4613768015056881</v>
      </c>
      <c r="H10389" s="417" t="s">
        <v>2616</v>
      </c>
      <c r="I10389" s="417" t="s">
        <v>1392</v>
      </c>
      <c r="J10389" s="417" t="s">
        <v>4394</v>
      </c>
      <c r="K10389" s="417" t="s">
        <v>23224</v>
      </c>
      <c r="L10389" s="417"/>
      <c r="M10389" s="417" t="s">
        <v>28840</v>
      </c>
    </row>
    <row r="10390" spans="1:13" x14ac:dyDescent="0.25">
      <c r="A10390" s="417" t="s">
        <v>3385</v>
      </c>
      <c r="B10390" s="417" t="s">
        <v>2437</v>
      </c>
      <c r="C10390" s="417" t="s">
        <v>23225</v>
      </c>
      <c r="D10390" s="417" t="s">
        <v>17280</v>
      </c>
      <c r="E10390" s="423">
        <v>5.3181412499570023E-3</v>
      </c>
      <c r="F10390" s="423">
        <v>3.7286026999810588E-4</v>
      </c>
      <c r="G10390" s="422">
        <v>14.91473608031019</v>
      </c>
      <c r="H10390" s="417" t="s">
        <v>2616</v>
      </c>
      <c r="I10390" s="417" t="s">
        <v>1392</v>
      </c>
      <c r="J10390" s="417" t="s">
        <v>4394</v>
      </c>
      <c r="K10390" s="417" t="s">
        <v>23226</v>
      </c>
      <c r="L10390" s="417"/>
      <c r="M10390" s="417" t="s">
        <v>28840</v>
      </c>
    </row>
    <row r="10391" spans="1:13" x14ac:dyDescent="0.25">
      <c r="A10391" s="417" t="s">
        <v>3385</v>
      </c>
      <c r="B10391" s="417" t="s">
        <v>2437</v>
      </c>
      <c r="C10391" s="417" t="s">
        <v>23227</v>
      </c>
      <c r="D10391" s="417" t="s">
        <v>3936</v>
      </c>
      <c r="E10391" s="423">
        <v>6.1856982267293519E-2</v>
      </c>
      <c r="F10391" s="423">
        <v>4.1777824137925641E-3</v>
      </c>
      <c r="G10391" s="422">
        <v>182.97949309077899</v>
      </c>
      <c r="H10391" s="417" t="s">
        <v>2616</v>
      </c>
      <c r="I10391" s="417" t="s">
        <v>1392</v>
      </c>
      <c r="J10391" s="417" t="s">
        <v>20833</v>
      </c>
      <c r="K10391" s="417" t="s">
        <v>23228</v>
      </c>
      <c r="L10391" s="417"/>
      <c r="M10391" s="417" t="s">
        <v>28840</v>
      </c>
    </row>
    <row r="10392" spans="1:13" x14ac:dyDescent="0.25">
      <c r="A10392" s="417" t="s">
        <v>3385</v>
      </c>
      <c r="B10392" s="417" t="s">
        <v>2437</v>
      </c>
      <c r="C10392" s="417" t="s">
        <v>23229</v>
      </c>
      <c r="D10392" s="417" t="s">
        <v>3936</v>
      </c>
      <c r="E10392" s="423">
        <v>5.8493165765104237E-2</v>
      </c>
      <c r="F10392" s="423">
        <v>3.5855556326940042E-3</v>
      </c>
      <c r="G10392" s="422">
        <v>166.87366470515099</v>
      </c>
      <c r="H10392" s="417" t="s">
        <v>2616</v>
      </c>
      <c r="I10392" s="417" t="s">
        <v>1392</v>
      </c>
      <c r="J10392" s="417" t="s">
        <v>20833</v>
      </c>
      <c r="K10392" s="417" t="s">
        <v>23230</v>
      </c>
      <c r="L10392" s="417"/>
      <c r="M10392" s="417" t="s">
        <v>28840</v>
      </c>
    </row>
    <row r="10393" spans="1:13" x14ac:dyDescent="0.25">
      <c r="A10393" s="417" t="s">
        <v>3385</v>
      </c>
      <c r="B10393" s="417" t="s">
        <v>2437</v>
      </c>
      <c r="C10393" s="417" t="s">
        <v>23231</v>
      </c>
      <c r="D10393" s="417" t="s">
        <v>3936</v>
      </c>
      <c r="E10393" s="423">
        <v>5.9429236846842128E-2</v>
      </c>
      <c r="F10393" s="423">
        <v>4.1148587003210658E-3</v>
      </c>
      <c r="G10393" s="422">
        <v>180.3233713121582</v>
      </c>
      <c r="H10393" s="417" t="s">
        <v>2616</v>
      </c>
      <c r="I10393" s="417" t="s">
        <v>1392</v>
      </c>
      <c r="J10393" s="417" t="s">
        <v>20833</v>
      </c>
      <c r="K10393" s="417" t="s">
        <v>23232</v>
      </c>
      <c r="L10393" s="417"/>
      <c r="M10393" s="417" t="s">
        <v>28840</v>
      </c>
    </row>
    <row r="10394" spans="1:13" x14ac:dyDescent="0.25">
      <c r="A10394" s="417" t="s">
        <v>3385</v>
      </c>
      <c r="B10394" s="417" t="s">
        <v>2437</v>
      </c>
      <c r="C10394" s="417" t="s">
        <v>23233</v>
      </c>
      <c r="D10394" s="417" t="s">
        <v>3936</v>
      </c>
      <c r="E10394" s="423">
        <v>5.6065420358323487E-2</v>
      </c>
      <c r="F10394" s="423">
        <v>3.5226319196589198E-3</v>
      </c>
      <c r="G10394" s="422">
        <v>164.21754223600311</v>
      </c>
      <c r="H10394" s="417" t="s">
        <v>2616</v>
      </c>
      <c r="I10394" s="417" t="s">
        <v>1392</v>
      </c>
      <c r="J10394" s="417" t="s">
        <v>20833</v>
      </c>
      <c r="K10394" s="417" t="s">
        <v>23234</v>
      </c>
      <c r="L10394" s="417"/>
      <c r="M10394" s="417" t="s">
        <v>28840</v>
      </c>
    </row>
    <row r="10395" spans="1:13" x14ac:dyDescent="0.25">
      <c r="A10395" s="417" t="s">
        <v>3385</v>
      </c>
      <c r="B10395" s="417" t="s">
        <v>2437</v>
      </c>
      <c r="C10395" s="417" t="s">
        <v>23235</v>
      </c>
      <c r="D10395" s="417" t="s">
        <v>3936</v>
      </c>
      <c r="E10395" s="423">
        <v>6.0754517034056259E-2</v>
      </c>
      <c r="F10395" s="423">
        <v>4.1987118738688522E-3</v>
      </c>
      <c r="G10395" s="422">
        <v>182.9806619670988</v>
      </c>
      <c r="H10395" s="417" t="s">
        <v>2616</v>
      </c>
      <c r="I10395" s="417" t="s">
        <v>1392</v>
      </c>
      <c r="J10395" s="417" t="s">
        <v>20833</v>
      </c>
      <c r="K10395" s="417" t="s">
        <v>23236</v>
      </c>
      <c r="L10395" s="417"/>
      <c r="M10395" s="417" t="s">
        <v>28840</v>
      </c>
    </row>
    <row r="10396" spans="1:13" x14ac:dyDescent="0.25">
      <c r="A10396" s="417" t="s">
        <v>3385</v>
      </c>
      <c r="B10396" s="417" t="s">
        <v>2437</v>
      </c>
      <c r="C10396" s="417" t="s">
        <v>23237</v>
      </c>
      <c r="D10396" s="417" t="s">
        <v>3936</v>
      </c>
      <c r="E10396" s="423">
        <v>5.7390700539129327E-2</v>
      </c>
      <c r="F10396" s="423">
        <v>3.6064850930672631E-3</v>
      </c>
      <c r="G10396" s="422">
        <v>166.87483360695489</v>
      </c>
      <c r="H10396" s="417" t="s">
        <v>2616</v>
      </c>
      <c r="I10396" s="417" t="s">
        <v>1392</v>
      </c>
      <c r="J10396" s="417" t="s">
        <v>20833</v>
      </c>
      <c r="K10396" s="417" t="s">
        <v>23238</v>
      </c>
      <c r="L10396" s="417"/>
      <c r="M10396" s="417" t="s">
        <v>28840</v>
      </c>
    </row>
    <row r="10397" spans="1:13" x14ac:dyDescent="0.25">
      <c r="A10397" s="417" t="s">
        <v>3385</v>
      </c>
      <c r="B10397" s="417" t="s">
        <v>2437</v>
      </c>
      <c r="C10397" s="417" t="s">
        <v>23239</v>
      </c>
      <c r="D10397" s="417" t="s">
        <v>3936</v>
      </c>
      <c r="E10397" s="423">
        <v>7.1377385942362925E-2</v>
      </c>
      <c r="F10397" s="423">
        <v>4.8743076694278704E-3</v>
      </c>
      <c r="G10397" s="422">
        <v>210.4911177431747</v>
      </c>
      <c r="H10397" s="417" t="s">
        <v>2616</v>
      </c>
      <c r="I10397" s="417" t="s">
        <v>1392</v>
      </c>
      <c r="J10397" s="417" t="s">
        <v>20833</v>
      </c>
      <c r="K10397" s="417" t="s">
        <v>23240</v>
      </c>
      <c r="L10397" s="417"/>
      <c r="M10397" s="417" t="s">
        <v>28840</v>
      </c>
    </row>
    <row r="10398" spans="1:13" x14ac:dyDescent="0.25">
      <c r="A10398" s="417" t="s">
        <v>3385</v>
      </c>
      <c r="B10398" s="417" t="s">
        <v>2437</v>
      </c>
      <c r="C10398" s="417" t="s">
        <v>23241</v>
      </c>
      <c r="D10398" s="417" t="s">
        <v>3936</v>
      </c>
      <c r="E10398" s="423">
        <v>6.6603734615784699E-2</v>
      </c>
      <c r="F10398" s="423">
        <v>4.0338681977917313E-3</v>
      </c>
      <c r="G10398" s="422">
        <v>187.63505214159471</v>
      </c>
      <c r="H10398" s="417" t="s">
        <v>2616</v>
      </c>
      <c r="I10398" s="417" t="s">
        <v>1392</v>
      </c>
      <c r="J10398" s="417" t="s">
        <v>20833</v>
      </c>
      <c r="K10398" s="417" t="s">
        <v>23242</v>
      </c>
      <c r="L10398" s="417"/>
      <c r="M10398" s="417" t="s">
        <v>28840</v>
      </c>
    </row>
    <row r="10399" spans="1:13" x14ac:dyDescent="0.25">
      <c r="A10399" s="417" t="s">
        <v>3385</v>
      </c>
      <c r="B10399" s="417" t="s">
        <v>2437</v>
      </c>
      <c r="C10399" s="417" t="s">
        <v>23243</v>
      </c>
      <c r="D10399" s="417" t="s">
        <v>3936</v>
      </c>
      <c r="E10399" s="423">
        <v>6.6461615437710661E-2</v>
      </c>
      <c r="F10399" s="423">
        <v>4.7253686528704259E-3</v>
      </c>
      <c r="G10399" s="422">
        <v>204.1149187415364</v>
      </c>
      <c r="H10399" s="417" t="s">
        <v>2616</v>
      </c>
      <c r="I10399" s="417" t="s">
        <v>1392</v>
      </c>
      <c r="J10399" s="417" t="s">
        <v>20833</v>
      </c>
      <c r="K10399" s="417" t="s">
        <v>23244</v>
      </c>
      <c r="L10399" s="417"/>
      <c r="M10399" s="417" t="s">
        <v>28840</v>
      </c>
    </row>
    <row r="10400" spans="1:13" x14ac:dyDescent="0.25">
      <c r="A10400" s="417" t="s">
        <v>3385</v>
      </c>
      <c r="B10400" s="417" t="s">
        <v>2437</v>
      </c>
      <c r="C10400" s="417" t="s">
        <v>23245</v>
      </c>
      <c r="D10400" s="417" t="s">
        <v>3936</v>
      </c>
      <c r="E10400" s="423">
        <v>6.1687964095859631E-2</v>
      </c>
      <c r="F10400" s="423">
        <v>3.8849291813051459E-3</v>
      </c>
      <c r="G10400" s="422">
        <v>181.25885326862189</v>
      </c>
      <c r="H10400" s="417" t="s">
        <v>2616</v>
      </c>
      <c r="I10400" s="417" t="s">
        <v>1392</v>
      </c>
      <c r="J10400" s="417" t="s">
        <v>20833</v>
      </c>
      <c r="K10400" s="417" t="s">
        <v>23246</v>
      </c>
      <c r="L10400" s="417"/>
      <c r="M10400" s="417" t="s">
        <v>28840</v>
      </c>
    </row>
    <row r="10401" spans="1:13" x14ac:dyDescent="0.25">
      <c r="A10401" s="417" t="s">
        <v>3385</v>
      </c>
      <c r="B10401" s="417" t="s">
        <v>2437</v>
      </c>
      <c r="C10401" s="417" t="s">
        <v>23247</v>
      </c>
      <c r="D10401" s="417" t="s">
        <v>3936</v>
      </c>
      <c r="E10401" s="423">
        <v>6.8025043661421328E-2</v>
      </c>
      <c r="F10401" s="423">
        <v>4.8247265567560654E-3</v>
      </c>
      <c r="G10401" s="422">
        <v>207.24148795700219</v>
      </c>
      <c r="H10401" s="417" t="s">
        <v>2616</v>
      </c>
      <c r="I10401" s="417" t="s">
        <v>1392</v>
      </c>
      <c r="J10401" s="417" t="s">
        <v>20833</v>
      </c>
      <c r="K10401" s="417" t="s">
        <v>23248</v>
      </c>
      <c r="L10401" s="417"/>
      <c r="M10401" s="417" t="s">
        <v>28840</v>
      </c>
    </row>
    <row r="10402" spans="1:13" x14ac:dyDescent="0.25">
      <c r="A10402" s="417" t="s">
        <v>3385</v>
      </c>
      <c r="B10402" s="417" t="s">
        <v>2437</v>
      </c>
      <c r="C10402" s="417" t="s">
        <v>23249</v>
      </c>
      <c r="D10402" s="417" t="s">
        <v>3936</v>
      </c>
      <c r="E10402" s="423">
        <v>6.3251392305003318E-2</v>
      </c>
      <c r="F10402" s="423">
        <v>3.9842870850530943E-3</v>
      </c>
      <c r="G10402" s="422">
        <v>184.38542248532019</v>
      </c>
      <c r="H10402" s="417" t="s">
        <v>2616</v>
      </c>
      <c r="I10402" s="417" t="s">
        <v>1392</v>
      </c>
      <c r="J10402" s="417" t="s">
        <v>20833</v>
      </c>
      <c r="K10402" s="417" t="s">
        <v>23250</v>
      </c>
      <c r="L10402" s="417"/>
      <c r="M10402" s="417" t="s">
        <v>28840</v>
      </c>
    </row>
    <row r="10403" spans="1:13" x14ac:dyDescent="0.25">
      <c r="A10403" s="417" t="s">
        <v>3385</v>
      </c>
      <c r="B10403" s="417" t="s">
        <v>2437</v>
      </c>
      <c r="C10403" s="417" t="s">
        <v>23251</v>
      </c>
      <c r="D10403" s="417" t="s">
        <v>3936</v>
      </c>
      <c r="E10403" s="423">
        <v>6.0907092598946513E-2</v>
      </c>
      <c r="F10403" s="423">
        <v>4.2118490975196826E-3</v>
      </c>
      <c r="G10403" s="422">
        <v>183.48978738311041</v>
      </c>
      <c r="H10403" s="417" t="s">
        <v>2616</v>
      </c>
      <c r="I10403" s="417" t="s">
        <v>1392</v>
      </c>
      <c r="J10403" s="417" t="s">
        <v>20833</v>
      </c>
      <c r="K10403" s="417" t="s">
        <v>23252</v>
      </c>
      <c r="L10403" s="417"/>
      <c r="M10403" s="417" t="s">
        <v>28840</v>
      </c>
    </row>
    <row r="10404" spans="1:13" x14ac:dyDescent="0.25">
      <c r="A10404" s="417" t="s">
        <v>3385</v>
      </c>
      <c r="B10404" s="417" t="s">
        <v>2437</v>
      </c>
      <c r="C10404" s="417" t="s">
        <v>23253</v>
      </c>
      <c r="D10404" s="417" t="s">
        <v>3936</v>
      </c>
      <c r="E10404" s="423">
        <v>5.7513690010247739E-2</v>
      </c>
      <c r="F10404" s="423">
        <v>3.6144134520938371E-3</v>
      </c>
      <c r="G10404" s="422">
        <v>167.2423019749759</v>
      </c>
      <c r="H10404" s="417" t="s">
        <v>2616</v>
      </c>
      <c r="I10404" s="417" t="s">
        <v>1392</v>
      </c>
      <c r="J10404" s="417" t="s">
        <v>20833</v>
      </c>
      <c r="K10404" s="417" t="s">
        <v>23254</v>
      </c>
      <c r="L10404" s="417"/>
      <c r="M10404" s="417" t="s">
        <v>28840</v>
      </c>
    </row>
    <row r="10405" spans="1:13" x14ac:dyDescent="0.25">
      <c r="A10405" s="417" t="s">
        <v>3385</v>
      </c>
      <c r="B10405" s="417" t="s">
        <v>2437</v>
      </c>
      <c r="C10405" s="417" t="s">
        <v>23255</v>
      </c>
      <c r="D10405" s="417" t="s">
        <v>3936</v>
      </c>
      <c r="E10405" s="423">
        <v>0.1380195739696447</v>
      </c>
      <c r="F10405" s="423">
        <v>6.3185306416166506E-3</v>
      </c>
      <c r="G10405" s="422">
        <v>291.54716078035187</v>
      </c>
      <c r="H10405" s="417" t="s">
        <v>2616</v>
      </c>
      <c r="I10405" s="417" t="s">
        <v>1392</v>
      </c>
      <c r="J10405" s="417" t="s">
        <v>20833</v>
      </c>
      <c r="K10405" s="417" t="s">
        <v>23256</v>
      </c>
      <c r="L10405" s="417"/>
      <c r="M10405" s="417" t="s">
        <v>28840</v>
      </c>
    </row>
    <row r="10406" spans="1:13" x14ac:dyDescent="0.25">
      <c r="A10406" s="417" t="s">
        <v>3385</v>
      </c>
      <c r="B10406" s="417" t="s">
        <v>2437</v>
      </c>
      <c r="C10406" s="417" t="s">
        <v>23257</v>
      </c>
      <c r="D10406" s="417" t="s">
        <v>3936</v>
      </c>
      <c r="E10406" s="423">
        <v>0.16861439516269619</v>
      </c>
      <c r="F10406" s="423">
        <v>4.8894723849836012E-3</v>
      </c>
      <c r="G10406" s="422">
        <v>340.2156796422916</v>
      </c>
      <c r="H10406" s="417" t="s">
        <v>2616</v>
      </c>
      <c r="I10406" s="417" t="s">
        <v>1392</v>
      </c>
      <c r="J10406" s="417" t="s">
        <v>20833</v>
      </c>
      <c r="K10406" s="417" t="s">
        <v>23258</v>
      </c>
      <c r="L10406" s="417"/>
      <c r="M10406" s="417" t="s">
        <v>28840</v>
      </c>
    </row>
    <row r="10407" spans="1:13" x14ac:dyDescent="0.25">
      <c r="A10407" s="417" t="s">
        <v>3385</v>
      </c>
      <c r="B10407" s="417" t="s">
        <v>2437</v>
      </c>
      <c r="C10407" s="417" t="s">
        <v>23259</v>
      </c>
      <c r="D10407" s="417" t="s">
        <v>3936</v>
      </c>
      <c r="E10407" s="423">
        <v>0.1606318300729859</v>
      </c>
      <c r="F10407" s="423">
        <v>4.7438856156976888E-3</v>
      </c>
      <c r="G10407" s="422">
        <v>328.18213443750068</v>
      </c>
      <c r="H10407" s="417" t="s">
        <v>2616</v>
      </c>
      <c r="I10407" s="417" t="s">
        <v>1392</v>
      </c>
      <c r="J10407" s="417" t="s">
        <v>20833</v>
      </c>
      <c r="K10407" s="417" t="s">
        <v>23260</v>
      </c>
      <c r="L10407" s="417"/>
      <c r="M10407" s="417" t="s">
        <v>28840</v>
      </c>
    </row>
    <row r="10408" spans="1:13" x14ac:dyDescent="0.25">
      <c r="A10408" s="417" t="s">
        <v>3385</v>
      </c>
      <c r="B10408" s="417" t="s">
        <v>2437</v>
      </c>
      <c r="C10408" s="417" t="s">
        <v>23261</v>
      </c>
      <c r="D10408" s="417" t="s">
        <v>3936</v>
      </c>
      <c r="E10408" s="423">
        <v>0.15930323818001291</v>
      </c>
      <c r="F10408" s="423">
        <v>4.7107338128713674E-3</v>
      </c>
      <c r="G10408" s="422">
        <v>326.03367699221269</v>
      </c>
      <c r="H10408" s="417" t="s">
        <v>2616</v>
      </c>
      <c r="I10408" s="417" t="s">
        <v>1392</v>
      </c>
      <c r="J10408" s="417" t="s">
        <v>20833</v>
      </c>
      <c r="K10408" s="417" t="s">
        <v>23262</v>
      </c>
      <c r="L10408" s="417"/>
      <c r="M10408" s="417" t="s">
        <v>28840</v>
      </c>
    </row>
    <row r="10409" spans="1:13" x14ac:dyDescent="0.25">
      <c r="A10409" s="417" t="s">
        <v>3385</v>
      </c>
      <c r="B10409" s="417" t="s">
        <v>2437</v>
      </c>
      <c r="C10409" s="417" t="s">
        <v>23263</v>
      </c>
      <c r="D10409" s="417" t="s">
        <v>3936</v>
      </c>
      <c r="E10409" s="423">
        <v>0.14001697992897891</v>
      </c>
      <c r="F10409" s="423">
        <v>6.8521494466200197E-3</v>
      </c>
      <c r="G10409" s="422">
        <v>293.77577541736991</v>
      </c>
      <c r="H10409" s="417" t="s">
        <v>2616</v>
      </c>
      <c r="I10409" s="417" t="s">
        <v>1392</v>
      </c>
      <c r="J10409" s="417" t="s">
        <v>20833</v>
      </c>
      <c r="K10409" s="417" t="s">
        <v>23264</v>
      </c>
      <c r="L10409" s="417"/>
      <c r="M10409" s="417" t="s">
        <v>28840</v>
      </c>
    </row>
    <row r="10410" spans="1:13" x14ac:dyDescent="0.25">
      <c r="A10410" s="417" t="s">
        <v>3385</v>
      </c>
      <c r="B10410" s="417" t="s">
        <v>2437</v>
      </c>
      <c r="C10410" s="417" t="s">
        <v>23265</v>
      </c>
      <c r="D10410" s="417" t="s">
        <v>3936</v>
      </c>
      <c r="E10410" s="423">
        <v>0.1355961160363762</v>
      </c>
      <c r="F10410" s="423">
        <v>6.7079766440132308E-3</v>
      </c>
      <c r="G10410" s="422">
        <v>285.29668778145748</v>
      </c>
      <c r="H10410" s="417" t="s">
        <v>2616</v>
      </c>
      <c r="I10410" s="417" t="s">
        <v>1392</v>
      </c>
      <c r="J10410" s="417" t="s">
        <v>20833</v>
      </c>
      <c r="K10410" s="417" t="s">
        <v>23266</v>
      </c>
      <c r="L10410" s="417"/>
      <c r="M10410" s="417" t="s">
        <v>28840</v>
      </c>
    </row>
    <row r="10411" spans="1:13" x14ac:dyDescent="0.25">
      <c r="A10411" s="417" t="s">
        <v>3385</v>
      </c>
      <c r="B10411" s="417" t="s">
        <v>2437</v>
      </c>
      <c r="C10411" s="417" t="s">
        <v>23267</v>
      </c>
      <c r="D10411" s="417" t="s">
        <v>3936</v>
      </c>
      <c r="E10411" s="423">
        <v>0.13434468730492419</v>
      </c>
      <c r="F10411" s="423">
        <v>6.6540752215951109E-3</v>
      </c>
      <c r="G10411" s="422">
        <v>283.48124630250322</v>
      </c>
      <c r="H10411" s="417" t="s">
        <v>2616</v>
      </c>
      <c r="I10411" s="417" t="s">
        <v>1392</v>
      </c>
      <c r="J10411" s="417" t="s">
        <v>20833</v>
      </c>
      <c r="K10411" s="417" t="s">
        <v>23268</v>
      </c>
      <c r="L10411" s="417"/>
      <c r="M10411" s="417" t="s">
        <v>28840</v>
      </c>
    </row>
    <row r="10412" spans="1:13" x14ac:dyDescent="0.25">
      <c r="A10412" s="417" t="s">
        <v>3385</v>
      </c>
      <c r="B10412" s="417" t="s">
        <v>2437</v>
      </c>
      <c r="C10412" s="417" t="s">
        <v>23269</v>
      </c>
      <c r="D10412" s="417" t="s">
        <v>17280</v>
      </c>
      <c r="E10412" s="423">
        <v>1.1188467648717639E-2</v>
      </c>
      <c r="F10412" s="423">
        <v>2.2290795877275872E-3</v>
      </c>
      <c r="G10412" s="422">
        <v>48.127654638456512</v>
      </c>
      <c r="H10412" s="417" t="s">
        <v>2616</v>
      </c>
      <c r="I10412" s="417" t="s">
        <v>1392</v>
      </c>
      <c r="J10412" s="417" t="s">
        <v>20833</v>
      </c>
      <c r="K10412" s="417" t="s">
        <v>23270</v>
      </c>
      <c r="L10412" s="417"/>
      <c r="M10412" s="417" t="s">
        <v>28840</v>
      </c>
    </row>
    <row r="10413" spans="1:13" x14ac:dyDescent="0.25">
      <c r="A10413" s="417" t="s">
        <v>3385</v>
      </c>
      <c r="B10413" s="417" t="s">
        <v>2437</v>
      </c>
      <c r="C10413" s="417" t="s">
        <v>23271</v>
      </c>
      <c r="D10413" s="417" t="s">
        <v>17280</v>
      </c>
      <c r="E10413" s="423">
        <v>3.894354169093308E-3</v>
      </c>
      <c r="F10413" s="423">
        <v>9.5350550510083431E-4</v>
      </c>
      <c r="G10413" s="422">
        <v>13.386039924477361</v>
      </c>
      <c r="H10413" s="417" t="s">
        <v>2616</v>
      </c>
      <c r="I10413" s="417" t="s">
        <v>1392</v>
      </c>
      <c r="J10413" s="417" t="s">
        <v>20833</v>
      </c>
      <c r="K10413" s="417" t="s">
        <v>23272</v>
      </c>
      <c r="L10413" s="417"/>
      <c r="M10413" s="417" t="s">
        <v>28840</v>
      </c>
    </row>
    <row r="10414" spans="1:13" x14ac:dyDescent="0.25">
      <c r="A10414" s="417" t="s">
        <v>3385</v>
      </c>
      <c r="B10414" s="417" t="s">
        <v>2437</v>
      </c>
      <c r="C10414" s="417" t="s">
        <v>23273</v>
      </c>
      <c r="D10414" s="417" t="s">
        <v>397</v>
      </c>
      <c r="E10414" s="423">
        <v>1.5992762677105608E-2</v>
      </c>
      <c r="F10414" s="423">
        <v>1.2312514275996861E-4</v>
      </c>
      <c r="G10414" s="422">
        <v>38.753725408702678</v>
      </c>
      <c r="H10414" s="417" t="s">
        <v>2616</v>
      </c>
      <c r="I10414" s="417" t="s">
        <v>1392</v>
      </c>
      <c r="J10414" s="417" t="s">
        <v>20822</v>
      </c>
      <c r="K10414" s="417" t="s">
        <v>23274</v>
      </c>
      <c r="L10414" s="417"/>
      <c r="M10414" s="417" t="s">
        <v>28840</v>
      </c>
    </row>
    <row r="10415" spans="1:13" x14ac:dyDescent="0.25">
      <c r="A10415" s="417" t="s">
        <v>3385</v>
      </c>
      <c r="B10415" s="417" t="s">
        <v>2437</v>
      </c>
      <c r="C10415" s="417" t="s">
        <v>23275</v>
      </c>
      <c r="D10415" s="417" t="s">
        <v>397</v>
      </c>
      <c r="E10415" s="423">
        <v>6.8799361061877042E-3</v>
      </c>
      <c r="F10415" s="423">
        <v>9.4049903530502742E-5</v>
      </c>
      <c r="G10415" s="422">
        <v>16.542085325521771</v>
      </c>
      <c r="H10415" s="417" t="s">
        <v>2616</v>
      </c>
      <c r="I10415" s="417" t="s">
        <v>1392</v>
      </c>
      <c r="J10415" s="417" t="s">
        <v>20822</v>
      </c>
      <c r="K10415" s="417" t="s">
        <v>23276</v>
      </c>
      <c r="L10415" s="417"/>
      <c r="M10415" s="417" t="s">
        <v>28840</v>
      </c>
    </row>
    <row r="10416" spans="1:13" x14ac:dyDescent="0.25">
      <c r="A10416" s="417" t="s">
        <v>3385</v>
      </c>
      <c r="B10416" s="417" t="s">
        <v>2437</v>
      </c>
      <c r="C10416" s="417" t="s">
        <v>23277</v>
      </c>
      <c r="D10416" s="417" t="s">
        <v>397</v>
      </c>
      <c r="E10416" s="423">
        <v>6.1944062226344026E-3</v>
      </c>
      <c r="F10416" s="423">
        <v>2.0558244071669429E-5</v>
      </c>
      <c r="G10416" s="422">
        <v>15.08909546046171</v>
      </c>
      <c r="H10416" s="417" t="s">
        <v>2616</v>
      </c>
      <c r="I10416" s="417" t="s">
        <v>28995</v>
      </c>
      <c r="J10416" s="417" t="s">
        <v>20822</v>
      </c>
      <c r="K10416" s="417" t="s">
        <v>23278</v>
      </c>
      <c r="L10416" s="417"/>
      <c r="M10416" s="417" t="s">
        <v>28840</v>
      </c>
    </row>
    <row r="10417" spans="1:13" x14ac:dyDescent="0.25">
      <c r="A10417" s="417" t="s">
        <v>3385</v>
      </c>
      <c r="B10417" s="417" t="s">
        <v>2437</v>
      </c>
      <c r="C10417" s="417" t="s">
        <v>23279</v>
      </c>
      <c r="D10417" s="417" t="s">
        <v>397</v>
      </c>
      <c r="E10417" s="423">
        <v>1.2549324728304139E-4</v>
      </c>
      <c r="F10417" s="423">
        <v>3.9012700729471862E-6</v>
      </c>
      <c r="G10417" s="422">
        <v>0.26394125833357651</v>
      </c>
      <c r="H10417" s="417" t="s">
        <v>2616</v>
      </c>
      <c r="I10417" s="417" t="s">
        <v>1392</v>
      </c>
      <c r="J10417" s="417" t="s">
        <v>20822</v>
      </c>
      <c r="K10417" s="417" t="s">
        <v>23280</v>
      </c>
      <c r="L10417" s="417"/>
      <c r="M10417" s="417" t="s">
        <v>28840</v>
      </c>
    </row>
    <row r="10418" spans="1:13" x14ac:dyDescent="0.25">
      <c r="A10418" s="417" t="s">
        <v>3385</v>
      </c>
      <c r="B10418" s="417" t="s">
        <v>2437</v>
      </c>
      <c r="C10418" s="417" t="s">
        <v>23281</v>
      </c>
      <c r="D10418" s="417" t="s">
        <v>397</v>
      </c>
      <c r="E10418" s="423">
        <v>5.6003663626821442E-4</v>
      </c>
      <c r="F10418" s="423">
        <v>6.9590389386179268E-5</v>
      </c>
      <c r="G10418" s="422">
        <v>1.189048607289096</v>
      </c>
      <c r="H10418" s="417" t="s">
        <v>2616</v>
      </c>
      <c r="I10418" s="417" t="s">
        <v>1392</v>
      </c>
      <c r="J10418" s="417" t="s">
        <v>20822</v>
      </c>
      <c r="K10418" s="417" t="s">
        <v>23282</v>
      </c>
      <c r="L10418" s="417"/>
      <c r="M10418" s="417" t="s">
        <v>28840</v>
      </c>
    </row>
    <row r="10419" spans="1:13" x14ac:dyDescent="0.25">
      <c r="A10419" s="417" t="s">
        <v>3385</v>
      </c>
      <c r="B10419" s="417" t="s">
        <v>2437</v>
      </c>
      <c r="C10419" s="417" t="s">
        <v>23283</v>
      </c>
      <c r="D10419" s="417" t="s">
        <v>397</v>
      </c>
      <c r="E10419" s="423">
        <v>6.1064543819704534E-3</v>
      </c>
      <c r="F10419" s="423">
        <v>6.0663974165028753E-5</v>
      </c>
      <c r="G10419" s="422">
        <v>19.864287940631069</v>
      </c>
      <c r="H10419" s="417" t="s">
        <v>2616</v>
      </c>
      <c r="I10419" s="417" t="s">
        <v>1392</v>
      </c>
      <c r="J10419" s="417" t="s">
        <v>20822</v>
      </c>
      <c r="K10419" s="417" t="s">
        <v>23284</v>
      </c>
      <c r="L10419" s="417"/>
      <c r="M10419" s="417" t="s">
        <v>28840</v>
      </c>
    </row>
    <row r="10420" spans="1:13" x14ac:dyDescent="0.25">
      <c r="A10420" s="417" t="s">
        <v>3385</v>
      </c>
      <c r="B10420" s="417" t="s">
        <v>2437</v>
      </c>
      <c r="C10420" s="417" t="s">
        <v>23285</v>
      </c>
      <c r="D10420" s="417" t="s">
        <v>397</v>
      </c>
      <c r="E10420" s="423">
        <v>5.7203396341910543E-3</v>
      </c>
      <c r="F10420" s="423">
        <v>1.8984936218717341E-5</v>
      </c>
      <c r="G10420" s="422">
        <v>19.046837578317071</v>
      </c>
      <c r="H10420" s="417" t="s">
        <v>2616</v>
      </c>
      <c r="I10420" s="417" t="s">
        <v>1392</v>
      </c>
      <c r="J10420" s="417" t="s">
        <v>20822</v>
      </c>
      <c r="K10420" s="417" t="s">
        <v>23286</v>
      </c>
      <c r="L10420" s="417"/>
      <c r="M10420" s="417" t="s">
        <v>28840</v>
      </c>
    </row>
    <row r="10421" spans="1:13" x14ac:dyDescent="0.25">
      <c r="A10421" s="417" t="s">
        <v>3385</v>
      </c>
      <c r="B10421" s="417" t="s">
        <v>2437</v>
      </c>
      <c r="C10421" s="417" t="s">
        <v>23287</v>
      </c>
      <c r="D10421" s="417" t="s">
        <v>397</v>
      </c>
      <c r="E10421" s="423">
        <v>6.7914660782217992E-5</v>
      </c>
      <c r="F10421" s="423">
        <v>2.1393605009759269E-6</v>
      </c>
      <c r="G10421" s="422">
        <v>0.1418599713465464</v>
      </c>
      <c r="H10421" s="417" t="s">
        <v>2616</v>
      </c>
      <c r="I10421" s="417" t="s">
        <v>1392</v>
      </c>
      <c r="J10421" s="417" t="s">
        <v>20822</v>
      </c>
      <c r="K10421" s="417" t="s">
        <v>23288</v>
      </c>
      <c r="L10421" s="417"/>
      <c r="M10421" s="417" t="s">
        <v>28840</v>
      </c>
    </row>
    <row r="10422" spans="1:13" x14ac:dyDescent="0.25">
      <c r="A10422" s="417" t="s">
        <v>3385</v>
      </c>
      <c r="B10422" s="417" t="s">
        <v>2437</v>
      </c>
      <c r="C10422" s="417" t="s">
        <v>23289</v>
      </c>
      <c r="D10422" s="417" t="s">
        <v>397</v>
      </c>
      <c r="E10422" s="423">
        <v>3.1820008698427979E-4</v>
      </c>
      <c r="F10422" s="423">
        <v>3.953967744540098E-5</v>
      </c>
      <c r="G10422" s="422">
        <v>0.67559039089648676</v>
      </c>
      <c r="H10422" s="417" t="s">
        <v>2616</v>
      </c>
      <c r="I10422" s="417" t="s">
        <v>1392</v>
      </c>
      <c r="J10422" s="417" t="s">
        <v>20822</v>
      </c>
      <c r="K10422" s="417" t="s">
        <v>23290</v>
      </c>
      <c r="L10422" s="417"/>
      <c r="M10422" s="417" t="s">
        <v>28840</v>
      </c>
    </row>
    <row r="10423" spans="1:13" x14ac:dyDescent="0.25">
      <c r="A10423" s="417" t="s">
        <v>3385</v>
      </c>
      <c r="B10423" s="417" t="s">
        <v>2437</v>
      </c>
      <c r="C10423" s="417" t="s">
        <v>23291</v>
      </c>
      <c r="D10423" s="417" t="s">
        <v>88</v>
      </c>
      <c r="E10423" s="423">
        <v>3.2021365193862268</v>
      </c>
      <c r="F10423" s="423">
        <v>0.1497194042790726</v>
      </c>
      <c r="G10423" s="422">
        <v>5566.853483107433</v>
      </c>
      <c r="H10423" s="417" t="s">
        <v>2616</v>
      </c>
      <c r="I10423" s="417" t="s">
        <v>1392</v>
      </c>
      <c r="J10423" s="417" t="s">
        <v>3871</v>
      </c>
      <c r="K10423" s="417" t="s">
        <v>23292</v>
      </c>
      <c r="L10423" s="417"/>
      <c r="M10423" s="417" t="s">
        <v>28840</v>
      </c>
    </row>
    <row r="10424" spans="1:13" x14ac:dyDescent="0.25">
      <c r="A10424" s="417" t="s">
        <v>3385</v>
      </c>
      <c r="B10424" s="417" t="s">
        <v>2437</v>
      </c>
      <c r="C10424" s="417" t="s">
        <v>23293</v>
      </c>
      <c r="D10424" s="417" t="s">
        <v>88</v>
      </c>
      <c r="E10424" s="423">
        <v>5.5527640000498186</v>
      </c>
      <c r="F10424" s="423">
        <v>0.12983565381741299</v>
      </c>
      <c r="G10424" s="422">
        <v>8431.3682140485489</v>
      </c>
      <c r="H10424" s="417" t="s">
        <v>2616</v>
      </c>
      <c r="I10424" s="417" t="s">
        <v>1392</v>
      </c>
      <c r="J10424" s="417" t="s">
        <v>3871</v>
      </c>
      <c r="K10424" s="417" t="s">
        <v>23294</v>
      </c>
      <c r="L10424" s="417"/>
      <c r="M10424" s="417" t="s">
        <v>28840</v>
      </c>
    </row>
    <row r="10425" spans="1:13" x14ac:dyDescent="0.25">
      <c r="A10425" s="417" t="s">
        <v>3385</v>
      </c>
      <c r="B10425" s="417" t="s">
        <v>2437</v>
      </c>
      <c r="C10425" s="417" t="s">
        <v>23295</v>
      </c>
      <c r="D10425" s="417" t="s">
        <v>88</v>
      </c>
      <c r="E10425" s="423">
        <v>3.73094663569701</v>
      </c>
      <c r="F10425" s="423">
        <v>0.2337715922039339</v>
      </c>
      <c r="G10425" s="422">
        <v>7124.4548288753431</v>
      </c>
      <c r="H10425" s="417" t="s">
        <v>2616</v>
      </c>
      <c r="I10425" s="417" t="s">
        <v>1392</v>
      </c>
      <c r="J10425" s="417" t="s">
        <v>3871</v>
      </c>
      <c r="K10425" s="417" t="s">
        <v>23296</v>
      </c>
      <c r="L10425" s="417"/>
      <c r="M10425" s="417" t="s">
        <v>28840</v>
      </c>
    </row>
    <row r="10426" spans="1:13" x14ac:dyDescent="0.25">
      <c r="A10426" s="417" t="s">
        <v>3385</v>
      </c>
      <c r="B10426" s="417" t="s">
        <v>2627</v>
      </c>
      <c r="C10426" s="417" t="s">
        <v>23297</v>
      </c>
      <c r="D10426" s="417" t="s">
        <v>83</v>
      </c>
      <c r="E10426" s="423">
        <v>1.088512678419119</v>
      </c>
      <c r="F10426" s="423">
        <v>1.725859689156902</v>
      </c>
      <c r="G10426" s="422">
        <v>4302.9741807353776</v>
      </c>
      <c r="H10426" s="417" t="s">
        <v>2616</v>
      </c>
      <c r="I10426" s="417" t="s">
        <v>1392</v>
      </c>
      <c r="J10426" s="417" t="s">
        <v>4016</v>
      </c>
      <c r="K10426" s="417" t="s">
        <v>23298</v>
      </c>
      <c r="L10426" s="417"/>
      <c r="M10426" s="417" t="s">
        <v>28840</v>
      </c>
    </row>
    <row r="10427" spans="1:13" x14ac:dyDescent="0.25">
      <c r="A10427" s="417" t="s">
        <v>3385</v>
      </c>
      <c r="B10427" s="417" t="s">
        <v>2623</v>
      </c>
      <c r="C10427" s="417" t="s">
        <v>23299</v>
      </c>
      <c r="D10427" s="417" t="s">
        <v>989</v>
      </c>
      <c r="E10427" s="423">
        <v>57911463.637669139</v>
      </c>
      <c r="F10427" s="423">
        <v>556668.52323033474</v>
      </c>
      <c r="G10427" s="422">
        <v>80147350108.531082</v>
      </c>
      <c r="H10427" s="417" t="s">
        <v>2616</v>
      </c>
      <c r="I10427" s="417" t="s">
        <v>1392</v>
      </c>
      <c r="J10427" s="417" t="s">
        <v>4310</v>
      </c>
      <c r="K10427" s="417" t="s">
        <v>23300</v>
      </c>
      <c r="L10427" s="417"/>
      <c r="M10427" s="417" t="s">
        <v>28840</v>
      </c>
    </row>
    <row r="10428" spans="1:13" x14ac:dyDescent="0.25">
      <c r="A10428" s="417" t="s">
        <v>3385</v>
      </c>
      <c r="B10428" s="417" t="s">
        <v>2623</v>
      </c>
      <c r="C10428" s="417" t="s">
        <v>23301</v>
      </c>
      <c r="D10428" s="417" t="s">
        <v>989</v>
      </c>
      <c r="E10428" s="423">
        <v>12644986.980657119</v>
      </c>
      <c r="F10428" s="423">
        <v>61148.655967017083</v>
      </c>
      <c r="G10428" s="422">
        <v>14820092663.61817</v>
      </c>
      <c r="H10428" s="417" t="s">
        <v>2616</v>
      </c>
      <c r="I10428" s="417" t="s">
        <v>1392</v>
      </c>
      <c r="J10428" s="417" t="s">
        <v>4310</v>
      </c>
      <c r="K10428" s="417" t="s">
        <v>23302</v>
      </c>
      <c r="L10428" s="417"/>
      <c r="M10428" s="417" t="s">
        <v>28840</v>
      </c>
    </row>
    <row r="10429" spans="1:13" x14ac:dyDescent="0.25">
      <c r="A10429" s="417" t="s">
        <v>3385</v>
      </c>
      <c r="B10429" s="417" t="s">
        <v>2623</v>
      </c>
      <c r="C10429" s="417" t="s">
        <v>23303</v>
      </c>
      <c r="D10429" s="417" t="s">
        <v>989</v>
      </c>
      <c r="E10429" s="423">
        <v>3329.0299917314992</v>
      </c>
      <c r="F10429" s="423">
        <v>35.969316149685611</v>
      </c>
      <c r="G10429" s="422">
        <v>4238674.5486520212</v>
      </c>
      <c r="H10429" s="417" t="s">
        <v>2616</v>
      </c>
      <c r="I10429" s="417" t="s">
        <v>1392</v>
      </c>
      <c r="J10429" s="417" t="s">
        <v>4310</v>
      </c>
      <c r="K10429" s="417" t="s">
        <v>23304</v>
      </c>
      <c r="L10429" s="417"/>
      <c r="M10429" s="417" t="s">
        <v>28840</v>
      </c>
    </row>
    <row r="10430" spans="1:13" x14ac:dyDescent="0.25">
      <c r="A10430" s="417" t="s">
        <v>3385</v>
      </c>
      <c r="B10430" s="417" t="s">
        <v>2623</v>
      </c>
      <c r="C10430" s="417" t="s">
        <v>23305</v>
      </c>
      <c r="D10430" s="417" t="s">
        <v>989</v>
      </c>
      <c r="E10430" s="423">
        <v>3091.401171439265</v>
      </c>
      <c r="F10430" s="423">
        <v>11.83785836512955</v>
      </c>
      <c r="G10430" s="422">
        <v>3503207.8166128271</v>
      </c>
      <c r="H10430" s="417" t="s">
        <v>2616</v>
      </c>
      <c r="I10430" s="417" t="s">
        <v>1392</v>
      </c>
      <c r="J10430" s="417" t="s">
        <v>4310</v>
      </c>
      <c r="K10430" s="417" t="s">
        <v>23306</v>
      </c>
      <c r="L10430" s="417"/>
      <c r="M10430" s="417" t="s">
        <v>28840</v>
      </c>
    </row>
    <row r="10431" spans="1:13" x14ac:dyDescent="0.25">
      <c r="A10431" s="417" t="s">
        <v>3385</v>
      </c>
      <c r="B10431" s="417" t="s">
        <v>2623</v>
      </c>
      <c r="C10431" s="417" t="s">
        <v>23307</v>
      </c>
      <c r="D10431" s="417" t="s">
        <v>989</v>
      </c>
      <c r="E10431" s="423">
        <v>3271.5443233153278</v>
      </c>
      <c r="F10431" s="423">
        <v>32.7877383551875</v>
      </c>
      <c r="G10431" s="422">
        <v>4066585.0311337211</v>
      </c>
      <c r="H10431" s="417" t="s">
        <v>2616</v>
      </c>
      <c r="I10431" s="417" t="s">
        <v>1392</v>
      </c>
      <c r="J10431" s="417" t="s">
        <v>4310</v>
      </c>
      <c r="K10431" s="417" t="s">
        <v>23308</v>
      </c>
      <c r="L10431" s="417"/>
      <c r="M10431" s="417" t="s">
        <v>28840</v>
      </c>
    </row>
    <row r="10432" spans="1:13" x14ac:dyDescent="0.25">
      <c r="A10432" s="417" t="s">
        <v>3385</v>
      </c>
      <c r="B10432" s="417" t="s">
        <v>2623</v>
      </c>
      <c r="C10432" s="417" t="s">
        <v>23309</v>
      </c>
      <c r="D10432" s="417" t="s">
        <v>989</v>
      </c>
      <c r="E10432" s="423">
        <v>1379.778085738423</v>
      </c>
      <c r="F10432" s="423">
        <v>0.68432837962278836</v>
      </c>
      <c r="G10432" s="422">
        <v>1437962.7537598731</v>
      </c>
      <c r="H10432" s="417" t="s">
        <v>2616</v>
      </c>
      <c r="I10432" s="417" t="s">
        <v>1392</v>
      </c>
      <c r="J10432" s="417" t="s">
        <v>4310</v>
      </c>
      <c r="K10432" s="417" t="s">
        <v>23310</v>
      </c>
      <c r="L10432" s="417"/>
      <c r="M10432" s="417" t="s">
        <v>28840</v>
      </c>
    </row>
    <row r="10433" spans="1:13" x14ac:dyDescent="0.25">
      <c r="A10433" s="417" t="s">
        <v>3385</v>
      </c>
      <c r="B10433" s="417" t="s">
        <v>2623</v>
      </c>
      <c r="C10433" s="417" t="s">
        <v>23311</v>
      </c>
      <c r="D10433" s="417" t="s">
        <v>989</v>
      </c>
      <c r="E10433" s="423">
        <v>53.366520040087707</v>
      </c>
      <c r="F10433" s="423">
        <v>3.0027707996583559E-2</v>
      </c>
      <c r="G10433" s="422">
        <v>55622.617809158182</v>
      </c>
      <c r="H10433" s="417" t="s">
        <v>2616</v>
      </c>
      <c r="I10433" s="417" t="s">
        <v>1392</v>
      </c>
      <c r="J10433" s="417" t="s">
        <v>4310</v>
      </c>
      <c r="K10433" s="417" t="s">
        <v>23312</v>
      </c>
      <c r="L10433" s="417"/>
      <c r="M10433" s="417" t="s">
        <v>28840</v>
      </c>
    </row>
    <row r="10434" spans="1:13" x14ac:dyDescent="0.25">
      <c r="A10434" s="417" t="s">
        <v>3385</v>
      </c>
      <c r="B10434" s="417" t="s">
        <v>2623</v>
      </c>
      <c r="C10434" s="417" t="s">
        <v>23313</v>
      </c>
      <c r="D10434" s="417" t="s">
        <v>989</v>
      </c>
      <c r="E10434" s="423">
        <v>0</v>
      </c>
      <c r="F10434" s="423">
        <v>0</v>
      </c>
      <c r="G10434" s="422">
        <v>0</v>
      </c>
      <c r="H10434" s="417" t="s">
        <v>2616</v>
      </c>
      <c r="I10434" s="417" t="s">
        <v>1392</v>
      </c>
      <c r="J10434" s="417" t="s">
        <v>4310</v>
      </c>
      <c r="K10434" s="417" t="s">
        <v>23314</v>
      </c>
      <c r="L10434" s="417"/>
      <c r="M10434" s="417" t="s">
        <v>28840</v>
      </c>
    </row>
    <row r="10435" spans="1:13" x14ac:dyDescent="0.25">
      <c r="A10435" s="417" t="s">
        <v>3385</v>
      </c>
      <c r="B10435" s="417" t="s">
        <v>2623</v>
      </c>
      <c r="C10435" s="417" t="s">
        <v>23315</v>
      </c>
      <c r="D10435" s="417" t="s">
        <v>989</v>
      </c>
      <c r="E10435" s="423">
        <v>70.786754770196225</v>
      </c>
      <c r="F10435" s="423">
        <v>0.49062879011105981</v>
      </c>
      <c r="G10435" s="422">
        <v>86979.242061604717</v>
      </c>
      <c r="H10435" s="417" t="s">
        <v>2616</v>
      </c>
      <c r="I10435" s="417" t="s">
        <v>1392</v>
      </c>
      <c r="J10435" s="417" t="s">
        <v>4310</v>
      </c>
      <c r="K10435" s="417" t="s">
        <v>23316</v>
      </c>
      <c r="L10435" s="417"/>
      <c r="M10435" s="417" t="s">
        <v>28840</v>
      </c>
    </row>
    <row r="10436" spans="1:13" x14ac:dyDescent="0.25">
      <c r="A10436" s="417" t="s">
        <v>3385</v>
      </c>
      <c r="B10436" s="417" t="s">
        <v>2623</v>
      </c>
      <c r="C10436" s="417" t="s">
        <v>23317</v>
      </c>
      <c r="D10436" s="417" t="s">
        <v>989</v>
      </c>
      <c r="E10436" s="423">
        <v>1851.7709027790579</v>
      </c>
      <c r="F10436" s="423">
        <v>1.104540997237625</v>
      </c>
      <c r="G10436" s="422">
        <v>2092131.6608788869</v>
      </c>
      <c r="H10436" s="417" t="s">
        <v>2616</v>
      </c>
      <c r="I10436" s="417" t="s">
        <v>1392</v>
      </c>
      <c r="J10436" s="417" t="s">
        <v>4310</v>
      </c>
      <c r="K10436" s="417" t="s">
        <v>23318</v>
      </c>
      <c r="L10436" s="417"/>
      <c r="M10436" s="417" t="s">
        <v>28840</v>
      </c>
    </row>
    <row r="10437" spans="1:13" x14ac:dyDescent="0.25">
      <c r="A10437" s="417" t="s">
        <v>3385</v>
      </c>
      <c r="B10437" s="417" t="s">
        <v>2623</v>
      </c>
      <c r="C10437" s="417" t="s">
        <v>23319</v>
      </c>
      <c r="D10437" s="417" t="s">
        <v>989</v>
      </c>
      <c r="E10437" s="423">
        <v>1887.346847303389</v>
      </c>
      <c r="F10437" s="423">
        <v>1.1058643895193829</v>
      </c>
      <c r="G10437" s="422">
        <v>2127655.6897830619</v>
      </c>
      <c r="H10437" s="417" t="s">
        <v>2616</v>
      </c>
      <c r="I10437" s="417" t="s">
        <v>1392</v>
      </c>
      <c r="J10437" s="417" t="s">
        <v>4310</v>
      </c>
      <c r="K10437" s="417" t="s">
        <v>23320</v>
      </c>
      <c r="L10437" s="417"/>
      <c r="M10437" s="417" t="s">
        <v>28840</v>
      </c>
    </row>
    <row r="10438" spans="1:13" x14ac:dyDescent="0.25">
      <c r="A10438" s="417" t="s">
        <v>3385</v>
      </c>
      <c r="B10438" s="417" t="s">
        <v>2623</v>
      </c>
      <c r="C10438" s="417" t="s">
        <v>23321</v>
      </c>
      <c r="D10438" s="417" t="s">
        <v>3936</v>
      </c>
      <c r="E10438" s="423">
        <v>69.45911937003855</v>
      </c>
      <c r="F10438" s="423">
        <v>0.29472817319122557</v>
      </c>
      <c r="G10438" s="422">
        <v>325309.98445789068</v>
      </c>
      <c r="H10438" s="417" t="s">
        <v>2616</v>
      </c>
      <c r="I10438" s="417" t="s">
        <v>1392</v>
      </c>
      <c r="J10438" s="417" t="s">
        <v>4310</v>
      </c>
      <c r="K10438" s="417" t="s">
        <v>23322</v>
      </c>
      <c r="L10438" s="417"/>
      <c r="M10438" s="417" t="s">
        <v>28840</v>
      </c>
    </row>
    <row r="10439" spans="1:13" x14ac:dyDescent="0.25">
      <c r="A10439" s="417" t="s">
        <v>3385</v>
      </c>
      <c r="B10439" s="417" t="s">
        <v>2623</v>
      </c>
      <c r="C10439" s="417" t="s">
        <v>23323</v>
      </c>
      <c r="D10439" s="417" t="s">
        <v>3936</v>
      </c>
      <c r="E10439" s="423">
        <v>6945.9119369399832</v>
      </c>
      <c r="F10439" s="423">
        <v>29.472817320948351</v>
      </c>
      <c r="G10439" s="422">
        <v>32530998.44548085</v>
      </c>
      <c r="H10439" s="417" t="s">
        <v>2616</v>
      </c>
      <c r="I10439" s="417" t="s">
        <v>1392</v>
      </c>
      <c r="J10439" s="417" t="s">
        <v>4310</v>
      </c>
      <c r="K10439" s="417" t="s">
        <v>23324</v>
      </c>
      <c r="L10439" s="417"/>
      <c r="M10439" s="417" t="s">
        <v>28840</v>
      </c>
    </row>
    <row r="10440" spans="1:13" x14ac:dyDescent="0.25">
      <c r="A10440" s="417" t="s">
        <v>3385</v>
      </c>
      <c r="B10440" s="417" t="s">
        <v>2623</v>
      </c>
      <c r="C10440" s="417" t="s">
        <v>23325</v>
      </c>
      <c r="D10440" s="417" t="s">
        <v>83</v>
      </c>
      <c r="E10440" s="423">
        <v>0.25634884454562751</v>
      </c>
      <c r="F10440" s="423">
        <v>3.2652621366520279E-2</v>
      </c>
      <c r="G10440" s="422">
        <v>2699.3639770850732</v>
      </c>
      <c r="H10440" s="417" t="s">
        <v>2616</v>
      </c>
      <c r="I10440" s="417" t="s">
        <v>1392</v>
      </c>
      <c r="J10440" s="417" t="s">
        <v>23326</v>
      </c>
      <c r="K10440" s="417" t="s">
        <v>23327</v>
      </c>
      <c r="L10440" s="417"/>
      <c r="M10440" s="417" t="s">
        <v>28840</v>
      </c>
    </row>
    <row r="10441" spans="1:13" x14ac:dyDescent="0.25">
      <c r="A10441" s="417" t="s">
        <v>3385</v>
      </c>
      <c r="B10441" s="417" t="s">
        <v>2623</v>
      </c>
      <c r="C10441" s="417" t="s">
        <v>23328</v>
      </c>
      <c r="D10441" s="417" t="s">
        <v>88</v>
      </c>
      <c r="E10441" s="423">
        <v>0.2752437723102083</v>
      </c>
      <c r="F10441" s="423">
        <v>1.009987245221953E-2</v>
      </c>
      <c r="G10441" s="422">
        <v>402.88128350804521</v>
      </c>
      <c r="H10441" s="417" t="s">
        <v>2616</v>
      </c>
      <c r="I10441" s="417" t="s">
        <v>1392</v>
      </c>
      <c r="J10441" s="417" t="s">
        <v>2624</v>
      </c>
      <c r="K10441" s="417" t="s">
        <v>23329</v>
      </c>
      <c r="L10441" s="417"/>
      <c r="M10441" s="417" t="s">
        <v>28840</v>
      </c>
    </row>
    <row r="10442" spans="1:13" x14ac:dyDescent="0.25">
      <c r="A10442" s="417" t="s">
        <v>3385</v>
      </c>
      <c r="B10442" s="417" t="s">
        <v>2623</v>
      </c>
      <c r="C10442" s="417" t="s">
        <v>23330</v>
      </c>
      <c r="D10442" s="417" t="s">
        <v>88</v>
      </c>
      <c r="E10442" s="423">
        <v>0.29876935912569152</v>
      </c>
      <c r="F10442" s="423">
        <v>3.2743056414656142E-2</v>
      </c>
      <c r="G10442" s="422">
        <v>600.19101382747283</v>
      </c>
      <c r="H10442" s="417" t="s">
        <v>2616</v>
      </c>
      <c r="I10442" s="417" t="s">
        <v>1392</v>
      </c>
      <c r="J10442" s="417" t="s">
        <v>2624</v>
      </c>
      <c r="K10442" s="417" t="s">
        <v>23331</v>
      </c>
      <c r="L10442" s="417"/>
      <c r="M10442" s="417" t="s">
        <v>28840</v>
      </c>
    </row>
    <row r="10443" spans="1:13" x14ac:dyDescent="0.25">
      <c r="A10443" s="417" t="s">
        <v>3385</v>
      </c>
      <c r="B10443" s="417" t="s">
        <v>2623</v>
      </c>
      <c r="C10443" s="417" t="s">
        <v>23332</v>
      </c>
      <c r="D10443" s="417" t="s">
        <v>83</v>
      </c>
      <c r="E10443" s="423">
        <v>0.28491845384228542</v>
      </c>
      <c r="F10443" s="423">
        <v>3.3906718781849969E-2</v>
      </c>
      <c r="G10443" s="422">
        <v>741.25213023802314</v>
      </c>
      <c r="H10443" s="417" t="s">
        <v>2616</v>
      </c>
      <c r="I10443" s="417" t="s">
        <v>1392</v>
      </c>
      <c r="J10443" s="417" t="s">
        <v>23326</v>
      </c>
      <c r="K10443" s="417" t="s">
        <v>23333</v>
      </c>
      <c r="L10443" s="417"/>
      <c r="M10443" s="417" t="s">
        <v>28840</v>
      </c>
    </row>
    <row r="10444" spans="1:13" x14ac:dyDescent="0.25">
      <c r="A10444" s="417" t="s">
        <v>3385</v>
      </c>
      <c r="B10444" s="417" t="s">
        <v>2623</v>
      </c>
      <c r="C10444" s="417" t="s">
        <v>23334</v>
      </c>
      <c r="D10444" s="417" t="s">
        <v>83</v>
      </c>
      <c r="E10444" s="423">
        <v>0.32266481925022911</v>
      </c>
      <c r="F10444" s="423">
        <v>3.4190750980971248E-2</v>
      </c>
      <c r="G10444" s="422">
        <v>862.42947968718499</v>
      </c>
      <c r="H10444" s="417" t="s">
        <v>2616</v>
      </c>
      <c r="I10444" s="417" t="s">
        <v>1392</v>
      </c>
      <c r="J10444" s="417" t="s">
        <v>23326</v>
      </c>
      <c r="K10444" s="417" t="s">
        <v>23335</v>
      </c>
      <c r="L10444" s="417"/>
      <c r="M10444" s="417" t="s">
        <v>28840</v>
      </c>
    </row>
    <row r="10445" spans="1:13" x14ac:dyDescent="0.25">
      <c r="A10445" s="417" t="s">
        <v>3385</v>
      </c>
      <c r="B10445" s="417" t="s">
        <v>2623</v>
      </c>
      <c r="C10445" s="417" t="s">
        <v>23336</v>
      </c>
      <c r="D10445" s="417" t="s">
        <v>83</v>
      </c>
      <c r="E10445" s="423">
        <v>0.33698974410794202</v>
      </c>
      <c r="F10445" s="423">
        <v>3.3665481080045932E-2</v>
      </c>
      <c r="G10445" s="422">
        <v>4122.9778738066261</v>
      </c>
      <c r="H10445" s="417" t="s">
        <v>2616</v>
      </c>
      <c r="I10445" s="417" t="s">
        <v>1392</v>
      </c>
      <c r="J10445" s="417" t="s">
        <v>23326</v>
      </c>
      <c r="K10445" s="417" t="s">
        <v>23337</v>
      </c>
      <c r="L10445" s="417"/>
      <c r="M10445" s="417" t="s">
        <v>28840</v>
      </c>
    </row>
    <row r="10446" spans="1:13" x14ac:dyDescent="0.25">
      <c r="A10446" s="417" t="s">
        <v>3385</v>
      </c>
      <c r="B10446" s="417" t="s">
        <v>2623</v>
      </c>
      <c r="C10446" s="417" t="s">
        <v>23338</v>
      </c>
      <c r="D10446" s="417" t="s">
        <v>83</v>
      </c>
      <c r="E10446" s="423">
        <v>1.317283230990939</v>
      </c>
      <c r="F10446" s="423">
        <v>3.770051461717136E-2</v>
      </c>
      <c r="G10446" s="422">
        <v>3187.673823037534</v>
      </c>
      <c r="H10446" s="417" t="s">
        <v>2616</v>
      </c>
      <c r="I10446" s="417" t="s">
        <v>1392</v>
      </c>
      <c r="J10446" s="417" t="s">
        <v>23326</v>
      </c>
      <c r="K10446" s="417" t="s">
        <v>23339</v>
      </c>
      <c r="L10446" s="417"/>
      <c r="M10446" s="417" t="s">
        <v>28840</v>
      </c>
    </row>
    <row r="10447" spans="1:13" x14ac:dyDescent="0.25">
      <c r="A10447" s="417" t="s">
        <v>3385</v>
      </c>
      <c r="B10447" s="417" t="s">
        <v>2623</v>
      </c>
      <c r="C10447" s="417" t="s">
        <v>23340</v>
      </c>
      <c r="D10447" s="417" t="s">
        <v>83</v>
      </c>
      <c r="E10447" s="423">
        <v>0.7684031827384179</v>
      </c>
      <c r="F10447" s="423">
        <v>5.760078066364218E-2</v>
      </c>
      <c r="G10447" s="422">
        <v>1771.379192069996</v>
      </c>
      <c r="H10447" s="417" t="s">
        <v>2616</v>
      </c>
      <c r="I10447" s="417" t="s">
        <v>1392</v>
      </c>
      <c r="J10447" s="417" t="s">
        <v>23341</v>
      </c>
      <c r="K10447" s="417" t="s">
        <v>23342</v>
      </c>
      <c r="L10447" s="417"/>
      <c r="M10447" s="417" t="s">
        <v>28840</v>
      </c>
    </row>
    <row r="10448" spans="1:13" x14ac:dyDescent="0.25">
      <c r="A10448" s="417" t="s">
        <v>3385</v>
      </c>
      <c r="B10448" s="417" t="s">
        <v>2623</v>
      </c>
      <c r="C10448" s="417" t="s">
        <v>23343</v>
      </c>
      <c r="D10448" s="417" t="s">
        <v>83</v>
      </c>
      <c r="E10448" s="423">
        <v>12.70062955042879</v>
      </c>
      <c r="F10448" s="423">
        <v>120.8313667777909</v>
      </c>
      <c r="G10448" s="422">
        <v>157376.19816102381</v>
      </c>
      <c r="H10448" s="417" t="s">
        <v>2616</v>
      </c>
      <c r="I10448" s="417" t="s">
        <v>1392</v>
      </c>
      <c r="J10448" s="417" t="s">
        <v>23326</v>
      </c>
      <c r="K10448" s="417" t="s">
        <v>23344</v>
      </c>
      <c r="L10448" s="417"/>
      <c r="M10448" s="417" t="s">
        <v>28840</v>
      </c>
    </row>
    <row r="10449" spans="1:13" x14ac:dyDescent="0.25">
      <c r="A10449" s="417" t="s">
        <v>3385</v>
      </c>
      <c r="B10449" s="417" t="s">
        <v>2623</v>
      </c>
      <c r="C10449" s="417" t="s">
        <v>23345</v>
      </c>
      <c r="D10449" s="417" t="s">
        <v>83</v>
      </c>
      <c r="E10449" s="423">
        <v>0.42231523841927199</v>
      </c>
      <c r="F10449" s="423">
        <v>3.4538865556458319E-2</v>
      </c>
      <c r="G10449" s="422">
        <v>6358.220816035152</v>
      </c>
      <c r="H10449" s="417" t="s">
        <v>2616</v>
      </c>
      <c r="I10449" s="417" t="s">
        <v>1392</v>
      </c>
      <c r="J10449" s="417" t="s">
        <v>23326</v>
      </c>
      <c r="K10449" s="417" t="s">
        <v>23346</v>
      </c>
      <c r="L10449" s="417"/>
      <c r="M10449" s="417" t="s">
        <v>28840</v>
      </c>
    </row>
    <row r="10450" spans="1:13" x14ac:dyDescent="0.25">
      <c r="A10450" s="417" t="s">
        <v>3385</v>
      </c>
      <c r="B10450" s="417" t="s">
        <v>2623</v>
      </c>
      <c r="C10450" s="417" t="s">
        <v>23347</v>
      </c>
      <c r="D10450" s="417" t="s">
        <v>83</v>
      </c>
      <c r="E10450" s="423">
        <v>889.38906476985687</v>
      </c>
      <c r="F10450" s="423">
        <v>4.2690608137291326</v>
      </c>
      <c r="G10450" s="422">
        <v>1825194.052254023</v>
      </c>
      <c r="H10450" s="417" t="s">
        <v>2616</v>
      </c>
      <c r="I10450" s="417" t="s">
        <v>1392</v>
      </c>
      <c r="J10450" s="417" t="s">
        <v>23326</v>
      </c>
      <c r="K10450" s="417" t="s">
        <v>23348</v>
      </c>
      <c r="L10450" s="417"/>
      <c r="M10450" s="417" t="s">
        <v>28840</v>
      </c>
    </row>
    <row r="10451" spans="1:13" x14ac:dyDescent="0.25">
      <c r="A10451" s="417" t="s">
        <v>3385</v>
      </c>
      <c r="B10451" s="417" t="s">
        <v>2623</v>
      </c>
      <c r="C10451" s="417" t="s">
        <v>23349</v>
      </c>
      <c r="D10451" s="417" t="s">
        <v>83</v>
      </c>
      <c r="E10451" s="423">
        <v>4.4200108686092676</v>
      </c>
      <c r="F10451" s="423">
        <v>5.2714410290242493E-2</v>
      </c>
      <c r="G10451" s="422">
        <v>14264.64338720327</v>
      </c>
      <c r="H10451" s="417" t="s">
        <v>2616</v>
      </c>
      <c r="I10451" s="417" t="s">
        <v>1392</v>
      </c>
      <c r="J10451" s="417" t="s">
        <v>23326</v>
      </c>
      <c r="K10451" s="417" t="s">
        <v>23350</v>
      </c>
      <c r="L10451" s="417"/>
      <c r="M10451" s="417" t="s">
        <v>28840</v>
      </c>
    </row>
    <row r="10452" spans="1:13" x14ac:dyDescent="0.25">
      <c r="A10452" s="417" t="s">
        <v>3385</v>
      </c>
      <c r="B10452" s="417" t="s">
        <v>2623</v>
      </c>
      <c r="C10452" s="417" t="s">
        <v>23351</v>
      </c>
      <c r="D10452" s="417" t="s">
        <v>83</v>
      </c>
      <c r="E10452" s="423">
        <v>8.2295388698244984</v>
      </c>
      <c r="F10452" s="423">
        <v>0.12844606613450141</v>
      </c>
      <c r="G10452" s="422">
        <v>34518.098555852623</v>
      </c>
      <c r="H10452" s="417" t="s">
        <v>2616</v>
      </c>
      <c r="I10452" s="417" t="s">
        <v>1392</v>
      </c>
      <c r="J10452" s="417" t="s">
        <v>23326</v>
      </c>
      <c r="K10452" s="417" t="s">
        <v>23352</v>
      </c>
      <c r="L10452" s="417"/>
      <c r="M10452" s="417" t="s">
        <v>28840</v>
      </c>
    </row>
    <row r="10453" spans="1:13" x14ac:dyDescent="0.25">
      <c r="A10453" s="417" t="s">
        <v>3385</v>
      </c>
      <c r="B10453" s="417" t="s">
        <v>2623</v>
      </c>
      <c r="C10453" s="417" t="s">
        <v>23353</v>
      </c>
      <c r="D10453" s="417" t="s">
        <v>83</v>
      </c>
      <c r="E10453" s="423">
        <v>190.16382482596271</v>
      </c>
      <c r="F10453" s="423">
        <v>0.92621734154494451</v>
      </c>
      <c r="G10453" s="422">
        <v>389587.97968973068</v>
      </c>
      <c r="H10453" s="417" t="s">
        <v>2616</v>
      </c>
      <c r="I10453" s="417" t="s">
        <v>1392</v>
      </c>
      <c r="J10453" s="417" t="s">
        <v>23326</v>
      </c>
      <c r="K10453" s="417" t="s">
        <v>23354</v>
      </c>
      <c r="L10453" s="417"/>
      <c r="M10453" s="417" t="s">
        <v>28840</v>
      </c>
    </row>
    <row r="10454" spans="1:13" x14ac:dyDescent="0.25">
      <c r="A10454" s="417" t="s">
        <v>3385</v>
      </c>
      <c r="B10454" s="417" t="s">
        <v>2623</v>
      </c>
      <c r="C10454" s="417" t="s">
        <v>23355</v>
      </c>
      <c r="D10454" s="417" t="s">
        <v>83</v>
      </c>
      <c r="E10454" s="423">
        <v>0.20423012103831709</v>
      </c>
      <c r="F10454" s="423">
        <v>3.0412204100075151E-2</v>
      </c>
      <c r="G10454" s="422">
        <v>716.95439543768816</v>
      </c>
      <c r="H10454" s="417" t="s">
        <v>2616</v>
      </c>
      <c r="I10454" s="417" t="s">
        <v>1392</v>
      </c>
      <c r="J10454" s="417" t="s">
        <v>23326</v>
      </c>
      <c r="K10454" s="417" t="s">
        <v>23356</v>
      </c>
      <c r="L10454" s="417"/>
      <c r="M10454" s="417" t="s">
        <v>28840</v>
      </c>
    </row>
    <row r="10455" spans="1:13" x14ac:dyDescent="0.25">
      <c r="A10455" s="417" t="s">
        <v>3385</v>
      </c>
      <c r="B10455" s="417" t="s">
        <v>2623</v>
      </c>
      <c r="C10455" s="417" t="s">
        <v>23357</v>
      </c>
      <c r="D10455" s="417" t="s">
        <v>83</v>
      </c>
      <c r="E10455" s="423">
        <v>2.70183203344122</v>
      </c>
      <c r="F10455" s="423">
        <v>11.47849461904431</v>
      </c>
      <c r="G10455" s="422">
        <v>66835.510920288303</v>
      </c>
      <c r="H10455" s="417" t="s">
        <v>2616</v>
      </c>
      <c r="I10455" s="417" t="s">
        <v>1392</v>
      </c>
      <c r="J10455" s="417" t="s">
        <v>23326</v>
      </c>
      <c r="K10455" s="417" t="s">
        <v>23358</v>
      </c>
      <c r="L10455" s="417"/>
      <c r="M10455" s="417" t="s">
        <v>28840</v>
      </c>
    </row>
    <row r="10456" spans="1:13" x14ac:dyDescent="0.25">
      <c r="A10456" s="417" t="s">
        <v>3385</v>
      </c>
      <c r="B10456" s="417" t="s">
        <v>2627</v>
      </c>
      <c r="C10456" s="417" t="s">
        <v>23359</v>
      </c>
      <c r="D10456" s="417" t="s">
        <v>83</v>
      </c>
      <c r="E10456" s="423">
        <v>0.97535906351703439</v>
      </c>
      <c r="F10456" s="423">
        <v>0.2203488087757785</v>
      </c>
      <c r="G10456" s="422">
        <v>2584.828806013812</v>
      </c>
      <c r="H10456" s="417" t="s">
        <v>2616</v>
      </c>
      <c r="I10456" s="417" t="s">
        <v>1392</v>
      </c>
      <c r="J10456" s="417" t="s">
        <v>4016</v>
      </c>
      <c r="K10456" s="417" t="s">
        <v>23360</v>
      </c>
      <c r="L10456" s="417"/>
      <c r="M10456" s="417" t="s">
        <v>28840</v>
      </c>
    </row>
    <row r="10457" spans="1:13" x14ac:dyDescent="0.25">
      <c r="A10457" s="417" t="s">
        <v>3385</v>
      </c>
      <c r="B10457" s="417" t="s">
        <v>2627</v>
      </c>
      <c r="C10457" s="417" t="s">
        <v>23361</v>
      </c>
      <c r="D10457" s="417" t="s">
        <v>83</v>
      </c>
      <c r="E10457" s="423">
        <v>0.94789609527832186</v>
      </c>
      <c r="F10457" s="423">
        <v>4.6100179538424872E-2</v>
      </c>
      <c r="G10457" s="422">
        <v>1758.1086246562511</v>
      </c>
      <c r="H10457" s="417" t="s">
        <v>2616</v>
      </c>
      <c r="I10457" s="417" t="s">
        <v>1392</v>
      </c>
      <c r="J10457" s="417" t="s">
        <v>4016</v>
      </c>
      <c r="K10457" s="417" t="s">
        <v>23362</v>
      </c>
      <c r="L10457" s="417"/>
      <c r="M10457" s="417" t="s">
        <v>28840</v>
      </c>
    </row>
    <row r="10458" spans="1:13" x14ac:dyDescent="0.25">
      <c r="A10458" s="417" t="s">
        <v>3385</v>
      </c>
      <c r="B10458" s="417" t="s">
        <v>2623</v>
      </c>
      <c r="C10458" s="417" t="s">
        <v>23363</v>
      </c>
      <c r="D10458" s="417" t="s">
        <v>83</v>
      </c>
      <c r="E10458" s="423">
        <v>0.3189824498722818</v>
      </c>
      <c r="F10458" s="423">
        <v>0.3881029717709566</v>
      </c>
      <c r="G10458" s="422">
        <v>962.51385379151327</v>
      </c>
      <c r="H10458" s="417" t="s">
        <v>2616</v>
      </c>
      <c r="I10458" s="417" t="s">
        <v>1392</v>
      </c>
      <c r="J10458" s="417" t="s">
        <v>23326</v>
      </c>
      <c r="K10458" s="417" t="s">
        <v>23364</v>
      </c>
      <c r="L10458" s="417"/>
      <c r="M10458" s="417" t="s">
        <v>28840</v>
      </c>
    </row>
    <row r="10459" spans="1:13" x14ac:dyDescent="0.25">
      <c r="A10459" s="417" t="s">
        <v>3385</v>
      </c>
      <c r="B10459" s="417" t="s">
        <v>2623</v>
      </c>
      <c r="C10459" s="417" t="s">
        <v>23365</v>
      </c>
      <c r="D10459" s="417" t="s">
        <v>83</v>
      </c>
      <c r="E10459" s="423">
        <v>0.28474481740572039</v>
      </c>
      <c r="F10459" s="423">
        <v>3.3898340041269293E-2</v>
      </c>
      <c r="G10459" s="422">
        <v>535.97036076308973</v>
      </c>
      <c r="H10459" s="417" t="s">
        <v>2616</v>
      </c>
      <c r="I10459" s="417" t="s">
        <v>1392</v>
      </c>
      <c r="J10459" s="417" t="s">
        <v>23326</v>
      </c>
      <c r="K10459" s="417" t="s">
        <v>23366</v>
      </c>
      <c r="L10459" s="417"/>
      <c r="M10459" s="417" t="s">
        <v>28840</v>
      </c>
    </row>
    <row r="10460" spans="1:13" x14ac:dyDescent="0.25">
      <c r="A10460" s="417" t="s">
        <v>3385</v>
      </c>
      <c r="B10460" s="417" t="s">
        <v>2623</v>
      </c>
      <c r="C10460" s="417" t="s">
        <v>23367</v>
      </c>
      <c r="D10460" s="417" t="s">
        <v>83</v>
      </c>
      <c r="E10460" s="423">
        <v>0.94914145609863088</v>
      </c>
      <c r="F10460" s="423">
        <v>7.6466966090021318</v>
      </c>
      <c r="G10460" s="422">
        <v>2855.6516410589661</v>
      </c>
      <c r="H10460" s="417" t="s">
        <v>2616</v>
      </c>
      <c r="I10460" s="417" t="s">
        <v>1392</v>
      </c>
      <c r="J10460" s="417" t="s">
        <v>23326</v>
      </c>
      <c r="K10460" s="417" t="s">
        <v>23368</v>
      </c>
      <c r="L10460" s="417"/>
      <c r="M10460" s="417" t="s">
        <v>28840</v>
      </c>
    </row>
    <row r="10461" spans="1:13" x14ac:dyDescent="0.25">
      <c r="A10461" s="417" t="s">
        <v>3385</v>
      </c>
      <c r="B10461" s="417" t="s">
        <v>2623</v>
      </c>
      <c r="C10461" s="417" t="s">
        <v>23369</v>
      </c>
      <c r="D10461" s="417" t="s">
        <v>83</v>
      </c>
      <c r="E10461" s="423">
        <v>0.51323430909381729</v>
      </c>
      <c r="F10461" s="423">
        <v>2.561799710632493</v>
      </c>
      <c r="G10461" s="422">
        <v>3756.7995391111322</v>
      </c>
      <c r="H10461" s="417" t="s">
        <v>2616</v>
      </c>
      <c r="I10461" s="417" t="s">
        <v>1392</v>
      </c>
      <c r="J10461" s="417" t="s">
        <v>23326</v>
      </c>
      <c r="K10461" s="417" t="s">
        <v>23370</v>
      </c>
      <c r="L10461" s="417"/>
      <c r="M10461" s="417" t="s">
        <v>28840</v>
      </c>
    </row>
    <row r="10462" spans="1:13" x14ac:dyDescent="0.25">
      <c r="A10462" s="417" t="s">
        <v>3385</v>
      </c>
      <c r="B10462" s="417" t="s">
        <v>2623</v>
      </c>
      <c r="C10462" s="417" t="s">
        <v>23371</v>
      </c>
      <c r="D10462" s="417" t="s">
        <v>83</v>
      </c>
      <c r="E10462" s="423">
        <v>1.492662459879512</v>
      </c>
      <c r="F10462" s="423">
        <v>7.0511673474053835E-2</v>
      </c>
      <c r="G10462" s="422">
        <v>20463.53355864534</v>
      </c>
      <c r="H10462" s="417" t="s">
        <v>2616</v>
      </c>
      <c r="I10462" s="417" t="s">
        <v>1392</v>
      </c>
      <c r="J10462" s="417" t="s">
        <v>23326</v>
      </c>
      <c r="K10462" s="417" t="s">
        <v>23372</v>
      </c>
      <c r="L10462" s="417"/>
      <c r="M10462" s="417" t="s">
        <v>28840</v>
      </c>
    </row>
    <row r="10463" spans="1:13" x14ac:dyDescent="0.25">
      <c r="A10463" s="417" t="s">
        <v>3385</v>
      </c>
      <c r="B10463" s="417" t="s">
        <v>2623</v>
      </c>
      <c r="C10463" s="417" t="s">
        <v>23373</v>
      </c>
      <c r="D10463" s="417" t="s">
        <v>83</v>
      </c>
      <c r="E10463" s="423">
        <v>0.35254048818629941</v>
      </c>
      <c r="F10463" s="423">
        <v>3.355323044279894E-2</v>
      </c>
      <c r="G10463" s="422">
        <v>1151.787569052208</v>
      </c>
      <c r="H10463" s="417" t="s">
        <v>2616</v>
      </c>
      <c r="I10463" s="417" t="s">
        <v>1392</v>
      </c>
      <c r="J10463" s="417" t="s">
        <v>23326</v>
      </c>
      <c r="K10463" s="417" t="s">
        <v>23374</v>
      </c>
      <c r="L10463" s="417"/>
      <c r="M10463" s="417" t="s">
        <v>28840</v>
      </c>
    </row>
    <row r="10464" spans="1:13" x14ac:dyDescent="0.25">
      <c r="A10464" s="417" t="s">
        <v>3385</v>
      </c>
      <c r="B10464" s="417" t="s">
        <v>2623</v>
      </c>
      <c r="C10464" s="417" t="s">
        <v>23375</v>
      </c>
      <c r="D10464" s="417" t="s">
        <v>83</v>
      </c>
      <c r="E10464" s="423">
        <v>80.060981894985844</v>
      </c>
      <c r="F10464" s="423">
        <v>0.74234493591985729</v>
      </c>
      <c r="G10464" s="422">
        <v>169933.05592022551</v>
      </c>
      <c r="H10464" s="417" t="s">
        <v>2616</v>
      </c>
      <c r="I10464" s="417" t="s">
        <v>1392</v>
      </c>
      <c r="J10464" s="417" t="s">
        <v>23326</v>
      </c>
      <c r="K10464" s="417" t="s">
        <v>23376</v>
      </c>
      <c r="L10464" s="417"/>
      <c r="M10464" s="417" t="s">
        <v>28840</v>
      </c>
    </row>
    <row r="10465" spans="1:13" x14ac:dyDescent="0.25">
      <c r="A10465" s="417" t="s">
        <v>3385</v>
      </c>
      <c r="B10465" s="417" t="s">
        <v>2623</v>
      </c>
      <c r="C10465" s="417" t="s">
        <v>23377</v>
      </c>
      <c r="D10465" s="417" t="s">
        <v>83</v>
      </c>
      <c r="E10465" s="423">
        <v>17.62884762658911</v>
      </c>
      <c r="F10465" s="423">
        <v>0.35849042965348338</v>
      </c>
      <c r="G10465" s="422">
        <v>150060.0644859091</v>
      </c>
      <c r="H10465" s="417" t="s">
        <v>2616</v>
      </c>
      <c r="I10465" s="417" t="s">
        <v>1392</v>
      </c>
      <c r="J10465" s="417" t="s">
        <v>23326</v>
      </c>
      <c r="K10465" s="417" t="s">
        <v>23378</v>
      </c>
      <c r="L10465" s="417"/>
      <c r="M10465" s="417" t="s">
        <v>28840</v>
      </c>
    </row>
    <row r="10466" spans="1:13" x14ac:dyDescent="0.25">
      <c r="A10466" s="417" t="s">
        <v>3385</v>
      </c>
      <c r="B10466" s="417" t="s">
        <v>2623</v>
      </c>
      <c r="C10466" s="417" t="s">
        <v>23379</v>
      </c>
      <c r="D10466" s="417" t="s">
        <v>83</v>
      </c>
      <c r="E10466" s="423">
        <v>0.39142328325346198</v>
      </c>
      <c r="F10466" s="423">
        <v>0.23297305333060159</v>
      </c>
      <c r="G10466" s="422">
        <v>2823.0019210184191</v>
      </c>
      <c r="H10466" s="417" t="s">
        <v>2616</v>
      </c>
      <c r="I10466" s="417" t="s">
        <v>1392</v>
      </c>
      <c r="J10466" s="417" t="s">
        <v>23326</v>
      </c>
      <c r="K10466" s="417" t="s">
        <v>23380</v>
      </c>
      <c r="L10466" s="417"/>
      <c r="M10466" s="417" t="s">
        <v>28840</v>
      </c>
    </row>
    <row r="10467" spans="1:13" x14ac:dyDescent="0.25">
      <c r="A10467" s="417" t="s">
        <v>3385</v>
      </c>
      <c r="B10467" s="417" t="s">
        <v>2623</v>
      </c>
      <c r="C10467" s="417" t="s">
        <v>23381</v>
      </c>
      <c r="D10467" s="417" t="s">
        <v>83</v>
      </c>
      <c r="E10467" s="423">
        <v>0.27604365217968713</v>
      </c>
      <c r="F10467" s="423">
        <v>0.2350399228528943</v>
      </c>
      <c r="G10467" s="422">
        <v>2578.3368887634201</v>
      </c>
      <c r="H10467" s="417" t="s">
        <v>2616</v>
      </c>
      <c r="I10467" s="417" t="s">
        <v>28997</v>
      </c>
      <c r="J10467" s="417" t="s">
        <v>23326</v>
      </c>
      <c r="K10467" s="417" t="s">
        <v>23382</v>
      </c>
      <c r="L10467" s="417"/>
      <c r="M10467" s="417" t="s">
        <v>28840</v>
      </c>
    </row>
    <row r="10468" spans="1:13" x14ac:dyDescent="0.25">
      <c r="A10468" s="417" t="s">
        <v>3385</v>
      </c>
      <c r="B10468" s="417" t="s">
        <v>2623</v>
      </c>
      <c r="C10468" s="417" t="s">
        <v>23383</v>
      </c>
      <c r="D10468" s="417" t="s">
        <v>83</v>
      </c>
      <c r="E10468" s="423">
        <v>0.32708896814709182</v>
      </c>
      <c r="F10468" s="423">
        <v>0.23074814680522901</v>
      </c>
      <c r="G10468" s="422">
        <v>2706.9968296454672</v>
      </c>
      <c r="H10468" s="417" t="s">
        <v>2616</v>
      </c>
      <c r="I10468" s="417" t="s">
        <v>1392</v>
      </c>
      <c r="J10468" s="417" t="s">
        <v>23326</v>
      </c>
      <c r="K10468" s="417" t="s">
        <v>23384</v>
      </c>
      <c r="L10468" s="417"/>
      <c r="M10468" s="417" t="s">
        <v>28840</v>
      </c>
    </row>
    <row r="10469" spans="1:13" x14ac:dyDescent="0.25">
      <c r="A10469" s="417" t="s">
        <v>3385</v>
      </c>
      <c r="B10469" s="417" t="s">
        <v>2623</v>
      </c>
      <c r="C10469" s="417" t="s">
        <v>23385</v>
      </c>
      <c r="D10469" s="417" t="s">
        <v>83</v>
      </c>
      <c r="E10469" s="423">
        <v>0.3580624693947117</v>
      </c>
      <c r="F10469" s="423">
        <v>0.22688701931223201</v>
      </c>
      <c r="G10469" s="422">
        <v>2793.431643504699</v>
      </c>
      <c r="H10469" s="417" t="s">
        <v>2616</v>
      </c>
      <c r="I10469" s="417" t="s">
        <v>1392</v>
      </c>
      <c r="J10469" s="417" t="s">
        <v>23326</v>
      </c>
      <c r="K10469" s="417" t="s">
        <v>23386</v>
      </c>
      <c r="L10469" s="417"/>
      <c r="M10469" s="417" t="s">
        <v>28840</v>
      </c>
    </row>
    <row r="10470" spans="1:13" x14ac:dyDescent="0.25">
      <c r="A10470" s="417" t="s">
        <v>3385</v>
      </c>
      <c r="B10470" s="417" t="s">
        <v>2623</v>
      </c>
      <c r="C10470" s="417" t="s">
        <v>23387</v>
      </c>
      <c r="D10470" s="417" t="s">
        <v>83</v>
      </c>
      <c r="E10470" s="423">
        <v>0.39124307385186852</v>
      </c>
      <c r="F10470" s="423">
        <v>0.21277040112054399</v>
      </c>
      <c r="G10470" s="422">
        <v>2935.360766769772</v>
      </c>
      <c r="H10470" s="417" t="s">
        <v>2616</v>
      </c>
      <c r="I10470" s="417" t="s">
        <v>1392</v>
      </c>
      <c r="J10470" s="417" t="s">
        <v>23326</v>
      </c>
      <c r="K10470" s="417" t="s">
        <v>23388</v>
      </c>
      <c r="L10470" s="417"/>
      <c r="M10470" s="417" t="s">
        <v>28840</v>
      </c>
    </row>
    <row r="10471" spans="1:13" x14ac:dyDescent="0.25">
      <c r="A10471" s="417" t="s">
        <v>3385</v>
      </c>
      <c r="B10471" s="417" t="s">
        <v>2623</v>
      </c>
      <c r="C10471" s="417" t="s">
        <v>23389</v>
      </c>
      <c r="D10471" s="417" t="s">
        <v>83</v>
      </c>
      <c r="E10471" s="423">
        <v>0.42904782423890792</v>
      </c>
      <c r="F10471" s="423">
        <v>0.2147693454454557</v>
      </c>
      <c r="G10471" s="422">
        <v>3011.6027334196629</v>
      </c>
      <c r="H10471" s="417" t="s">
        <v>2616</v>
      </c>
      <c r="I10471" s="417" t="s">
        <v>1392</v>
      </c>
      <c r="J10471" s="417" t="s">
        <v>23326</v>
      </c>
      <c r="K10471" s="417" t="s">
        <v>23390</v>
      </c>
      <c r="L10471" s="417"/>
      <c r="M10471" s="417" t="s">
        <v>28840</v>
      </c>
    </row>
    <row r="10472" spans="1:13" x14ac:dyDescent="0.25">
      <c r="A10472" s="417" t="s">
        <v>3385</v>
      </c>
      <c r="B10472" s="417" t="s">
        <v>2623</v>
      </c>
      <c r="C10472" s="417" t="s">
        <v>23391</v>
      </c>
      <c r="D10472" s="417" t="s">
        <v>83</v>
      </c>
      <c r="E10472" s="423">
        <v>0.31864134209631301</v>
      </c>
      <c r="F10472" s="423">
        <v>3.4852288870506877E-2</v>
      </c>
      <c r="G10472" s="422">
        <v>562.89902961048517</v>
      </c>
      <c r="H10472" s="417" t="s">
        <v>2616</v>
      </c>
      <c r="I10472" s="417" t="s">
        <v>1392</v>
      </c>
      <c r="J10472" s="417" t="s">
        <v>23326</v>
      </c>
      <c r="K10472" s="417" t="s">
        <v>23392</v>
      </c>
      <c r="L10472" s="417"/>
      <c r="M10472" s="417" t="s">
        <v>28840</v>
      </c>
    </row>
    <row r="10473" spans="1:13" x14ac:dyDescent="0.25">
      <c r="A10473" s="417" t="s">
        <v>3385</v>
      </c>
      <c r="B10473" s="417" t="s">
        <v>2623</v>
      </c>
      <c r="C10473" s="417" t="s">
        <v>23393</v>
      </c>
      <c r="D10473" s="417" t="s">
        <v>83</v>
      </c>
      <c r="E10473" s="423">
        <v>0.28472652943293519</v>
      </c>
      <c r="F10473" s="423">
        <v>3.389764149260989E-2</v>
      </c>
      <c r="G10473" s="422">
        <v>507.28060837786859</v>
      </c>
      <c r="H10473" s="417" t="s">
        <v>2616</v>
      </c>
      <c r="I10473" s="417" t="s">
        <v>1392</v>
      </c>
      <c r="J10473" s="417" t="s">
        <v>23326</v>
      </c>
      <c r="K10473" s="417" t="s">
        <v>23394</v>
      </c>
      <c r="L10473" s="417"/>
      <c r="M10473" s="417" t="s">
        <v>28840</v>
      </c>
    </row>
    <row r="10474" spans="1:13" x14ac:dyDescent="0.25">
      <c r="A10474" s="417" t="s">
        <v>3385</v>
      </c>
      <c r="B10474" s="417" t="s">
        <v>2627</v>
      </c>
      <c r="C10474" s="417" t="s">
        <v>23395</v>
      </c>
      <c r="D10474" s="417" t="s">
        <v>83</v>
      </c>
      <c r="E10474" s="423">
        <v>1.7488736684092521</v>
      </c>
      <c r="F10474" s="423">
        <v>6.1939131996453174</v>
      </c>
      <c r="G10474" s="422">
        <v>9272.6246723180138</v>
      </c>
      <c r="H10474" s="417" t="s">
        <v>2616</v>
      </c>
      <c r="I10474" s="417" t="s">
        <v>1392</v>
      </c>
      <c r="J10474" s="417" t="s">
        <v>4016</v>
      </c>
      <c r="K10474" s="417" t="s">
        <v>23396</v>
      </c>
      <c r="L10474" s="417"/>
      <c r="M10474" s="417" t="s">
        <v>28840</v>
      </c>
    </row>
    <row r="10475" spans="1:13" x14ac:dyDescent="0.25">
      <c r="A10475" s="417" t="s">
        <v>3385</v>
      </c>
      <c r="B10475" s="417" t="s">
        <v>2623</v>
      </c>
      <c r="C10475" s="417" t="s">
        <v>23397</v>
      </c>
      <c r="D10475" s="417" t="s">
        <v>83</v>
      </c>
      <c r="E10475" s="423">
        <v>0.86287576552906575</v>
      </c>
      <c r="F10475" s="423">
        <v>6.174786140211932</v>
      </c>
      <c r="G10475" s="422">
        <v>7647.3193051526769</v>
      </c>
      <c r="H10475" s="417" t="s">
        <v>2616</v>
      </c>
      <c r="I10475" s="417" t="s">
        <v>1392</v>
      </c>
      <c r="J10475" s="417" t="s">
        <v>23326</v>
      </c>
      <c r="K10475" s="417" t="s">
        <v>23398</v>
      </c>
      <c r="L10475" s="417"/>
      <c r="M10475" s="417" t="s">
        <v>28840</v>
      </c>
    </row>
    <row r="10476" spans="1:13" x14ac:dyDescent="0.25">
      <c r="A10476" s="417" t="s">
        <v>3385</v>
      </c>
      <c r="B10476" s="417" t="s">
        <v>2623</v>
      </c>
      <c r="C10476" s="417" t="s">
        <v>23399</v>
      </c>
      <c r="D10476" s="417" t="s">
        <v>83</v>
      </c>
      <c r="E10476" s="423">
        <v>0.25450268433856899</v>
      </c>
      <c r="F10476" s="423">
        <v>3.2637581480573913E-2</v>
      </c>
      <c r="G10476" s="422">
        <v>447.27818057132748</v>
      </c>
      <c r="H10476" s="417" t="s">
        <v>2616</v>
      </c>
      <c r="I10476" s="417" t="s">
        <v>1392</v>
      </c>
      <c r="J10476" s="417" t="s">
        <v>23326</v>
      </c>
      <c r="K10476" s="417" t="s">
        <v>23400</v>
      </c>
      <c r="L10476" s="417"/>
      <c r="M10476" s="417" t="s">
        <v>28840</v>
      </c>
    </row>
    <row r="10477" spans="1:13" x14ac:dyDescent="0.25">
      <c r="A10477" s="417" t="s">
        <v>3385</v>
      </c>
      <c r="B10477" s="417" t="s">
        <v>2623</v>
      </c>
      <c r="C10477" s="417" t="s">
        <v>23401</v>
      </c>
      <c r="D10477" s="417" t="s">
        <v>83</v>
      </c>
      <c r="E10477" s="423">
        <v>0.48704591168870492</v>
      </c>
      <c r="F10477" s="423">
        <v>4.3880496644578409E-2</v>
      </c>
      <c r="G10477" s="422">
        <v>25578.07782736747</v>
      </c>
      <c r="H10477" s="417" t="s">
        <v>2616</v>
      </c>
      <c r="I10477" s="417" t="s">
        <v>1392</v>
      </c>
      <c r="J10477" s="417" t="s">
        <v>23326</v>
      </c>
      <c r="K10477" s="417" t="s">
        <v>23402</v>
      </c>
      <c r="L10477" s="417"/>
      <c r="M10477" s="417" t="s">
        <v>28840</v>
      </c>
    </row>
    <row r="10478" spans="1:13" x14ac:dyDescent="0.25">
      <c r="A10478" s="417" t="s">
        <v>3385</v>
      </c>
      <c r="B10478" s="417" t="s">
        <v>2627</v>
      </c>
      <c r="C10478" s="417" t="s">
        <v>23403</v>
      </c>
      <c r="D10478" s="417" t="s">
        <v>989</v>
      </c>
      <c r="E10478" s="423">
        <v>0.11070412677727511</v>
      </c>
      <c r="F10478" s="423">
        <v>2.877823742450443E-3</v>
      </c>
      <c r="G10478" s="422">
        <v>157.2571996382209</v>
      </c>
      <c r="H10478" s="417" t="s">
        <v>2616</v>
      </c>
      <c r="I10478" s="417" t="s">
        <v>1392</v>
      </c>
      <c r="J10478" s="417" t="s">
        <v>4016</v>
      </c>
      <c r="K10478" s="417" t="s">
        <v>23404</v>
      </c>
      <c r="L10478" s="417"/>
      <c r="M10478" s="417" t="s">
        <v>28840</v>
      </c>
    </row>
    <row r="10479" spans="1:13" x14ac:dyDescent="0.25">
      <c r="A10479" s="417" t="s">
        <v>3385</v>
      </c>
      <c r="B10479" s="417" t="s">
        <v>2627</v>
      </c>
      <c r="C10479" s="417" t="s">
        <v>23405</v>
      </c>
      <c r="D10479" s="417" t="s">
        <v>989</v>
      </c>
      <c r="E10479" s="423">
        <v>3.4490593879437398E-2</v>
      </c>
      <c r="F10479" s="423">
        <v>2.639082432127739E-3</v>
      </c>
      <c r="G10479" s="422">
        <v>61.580923781880003</v>
      </c>
      <c r="H10479" s="417" t="s">
        <v>2616</v>
      </c>
      <c r="I10479" s="417" t="s">
        <v>1392</v>
      </c>
      <c r="J10479" s="417" t="s">
        <v>4016</v>
      </c>
      <c r="K10479" s="417" t="s">
        <v>23406</v>
      </c>
      <c r="L10479" s="417"/>
      <c r="M10479" s="417" t="s">
        <v>28840</v>
      </c>
    </row>
    <row r="10480" spans="1:13" x14ac:dyDescent="0.25">
      <c r="A10480" s="417" t="s">
        <v>3385</v>
      </c>
      <c r="B10480" s="417" t="s">
        <v>2627</v>
      </c>
      <c r="C10480" s="417" t="s">
        <v>23407</v>
      </c>
      <c r="D10480" s="417" t="s">
        <v>88</v>
      </c>
      <c r="E10480" s="423">
        <v>8.5485083157728692</v>
      </c>
      <c r="F10480" s="423">
        <v>0.27784437254439431</v>
      </c>
      <c r="G10480" s="422">
        <v>14798.79469461332</v>
      </c>
      <c r="H10480" s="417" t="s">
        <v>2616</v>
      </c>
      <c r="I10480" s="417" t="s">
        <v>1392</v>
      </c>
      <c r="J10480" s="417" t="s">
        <v>3387</v>
      </c>
      <c r="K10480" s="417" t="s">
        <v>23408</v>
      </c>
      <c r="L10480" s="417"/>
      <c r="M10480" s="417" t="s">
        <v>28840</v>
      </c>
    </row>
    <row r="10481" spans="1:13" x14ac:dyDescent="0.25">
      <c r="A10481" s="417" t="s">
        <v>3385</v>
      </c>
      <c r="B10481" s="417" t="s">
        <v>2627</v>
      </c>
      <c r="C10481" s="417" t="s">
        <v>23409</v>
      </c>
      <c r="D10481" s="417" t="s">
        <v>88</v>
      </c>
      <c r="E10481" s="423">
        <v>8.8112708188930799</v>
      </c>
      <c r="F10481" s="423">
        <v>0.29539262641525338</v>
      </c>
      <c r="G10481" s="422">
        <v>14991.721565383459</v>
      </c>
      <c r="H10481" s="417" t="s">
        <v>2616</v>
      </c>
      <c r="I10481" s="417" t="s">
        <v>1392</v>
      </c>
      <c r="J10481" s="417" t="s">
        <v>3387</v>
      </c>
      <c r="K10481" s="417" t="s">
        <v>23410</v>
      </c>
      <c r="L10481" s="417"/>
      <c r="M10481" s="417" t="s">
        <v>28840</v>
      </c>
    </row>
    <row r="10482" spans="1:13" x14ac:dyDescent="0.25">
      <c r="A10482" s="417" t="s">
        <v>3385</v>
      </c>
      <c r="B10482" s="417" t="s">
        <v>2627</v>
      </c>
      <c r="C10482" s="417" t="s">
        <v>23411</v>
      </c>
      <c r="D10482" s="417" t="s">
        <v>88</v>
      </c>
      <c r="E10482" s="423">
        <v>2.298187362277595</v>
      </c>
      <c r="F10482" s="423">
        <v>0.15582311190413489</v>
      </c>
      <c r="G10482" s="422">
        <v>4851.0302419120962</v>
      </c>
      <c r="H10482" s="417" t="s">
        <v>2616</v>
      </c>
      <c r="I10482" s="417" t="s">
        <v>1392</v>
      </c>
      <c r="J10482" s="417" t="s">
        <v>3742</v>
      </c>
      <c r="K10482" s="417" t="s">
        <v>23412</v>
      </c>
      <c r="L10482" s="417"/>
      <c r="M10482" s="417" t="s">
        <v>28840</v>
      </c>
    </row>
    <row r="10483" spans="1:13" x14ac:dyDescent="0.25">
      <c r="A10483" s="417" t="s">
        <v>3385</v>
      </c>
      <c r="B10483" s="417" t="s">
        <v>2627</v>
      </c>
      <c r="C10483" s="417" t="s">
        <v>23413</v>
      </c>
      <c r="D10483" s="417" t="s">
        <v>88</v>
      </c>
      <c r="E10483" s="423">
        <v>0.54398430109840601</v>
      </c>
      <c r="F10483" s="423">
        <v>1.4265885911615491E-3</v>
      </c>
      <c r="G10483" s="422">
        <v>24220.466914485631</v>
      </c>
      <c r="H10483" s="417" t="s">
        <v>2616</v>
      </c>
      <c r="I10483" s="417" t="s">
        <v>1392</v>
      </c>
      <c r="J10483" s="417" t="s">
        <v>3396</v>
      </c>
      <c r="K10483" s="417" t="s">
        <v>23414</v>
      </c>
      <c r="L10483" s="417"/>
      <c r="M10483" s="417" t="s">
        <v>28840</v>
      </c>
    </row>
    <row r="10484" spans="1:13" x14ac:dyDescent="0.25">
      <c r="A10484" s="417" t="s">
        <v>3385</v>
      </c>
      <c r="B10484" s="417" t="s">
        <v>2627</v>
      </c>
      <c r="C10484" s="417" t="s">
        <v>23415</v>
      </c>
      <c r="D10484" s="417" t="s">
        <v>88</v>
      </c>
      <c r="E10484" s="423">
        <v>4.0461528208255908</v>
      </c>
      <c r="F10484" s="423">
        <v>8.5431639619923297E-2</v>
      </c>
      <c r="G10484" s="422">
        <v>31304.354473039661</v>
      </c>
      <c r="H10484" s="417" t="s">
        <v>2616</v>
      </c>
      <c r="I10484" s="417" t="s">
        <v>1392</v>
      </c>
      <c r="J10484" s="417" t="s">
        <v>3396</v>
      </c>
      <c r="K10484" s="417" t="s">
        <v>23416</v>
      </c>
      <c r="L10484" s="417"/>
      <c r="M10484" s="417" t="s">
        <v>28840</v>
      </c>
    </row>
    <row r="10485" spans="1:13" x14ac:dyDescent="0.25">
      <c r="A10485" s="417" t="s">
        <v>3385</v>
      </c>
      <c r="B10485" s="417" t="s">
        <v>2627</v>
      </c>
      <c r="C10485" s="417" t="s">
        <v>23417</v>
      </c>
      <c r="D10485" s="417" t="s">
        <v>88</v>
      </c>
      <c r="E10485" s="423">
        <v>2.6264948894246918</v>
      </c>
      <c r="F10485" s="423">
        <v>0.1422288592816279</v>
      </c>
      <c r="G10485" s="422">
        <v>5004.4041816949648</v>
      </c>
      <c r="H10485" s="417" t="s">
        <v>2616</v>
      </c>
      <c r="I10485" s="417" t="s">
        <v>1392</v>
      </c>
      <c r="J10485" s="417" t="s">
        <v>3396</v>
      </c>
      <c r="K10485" s="417" t="s">
        <v>23418</v>
      </c>
      <c r="L10485" s="417"/>
      <c r="M10485" s="417" t="s">
        <v>28840</v>
      </c>
    </row>
    <row r="10486" spans="1:13" x14ac:dyDescent="0.25">
      <c r="A10486" s="417" t="s">
        <v>3385</v>
      </c>
      <c r="B10486" s="417" t="s">
        <v>2627</v>
      </c>
      <c r="C10486" s="417" t="s">
        <v>23419</v>
      </c>
      <c r="D10486" s="417" t="s">
        <v>88</v>
      </c>
      <c r="E10486" s="423">
        <v>3.980971698025416</v>
      </c>
      <c r="F10486" s="423">
        <v>8.7322833360412411E-2</v>
      </c>
      <c r="G10486" s="422">
        <v>8337.9362214898738</v>
      </c>
      <c r="H10486" s="417" t="s">
        <v>2616</v>
      </c>
      <c r="I10486" s="417" t="s">
        <v>1392</v>
      </c>
      <c r="J10486" s="417" t="s">
        <v>3396</v>
      </c>
      <c r="K10486" s="417" t="s">
        <v>23420</v>
      </c>
      <c r="L10486" s="417"/>
      <c r="M10486" s="417" t="s">
        <v>28840</v>
      </c>
    </row>
    <row r="10487" spans="1:13" x14ac:dyDescent="0.25">
      <c r="A10487" s="417" t="s">
        <v>3385</v>
      </c>
      <c r="B10487" s="417" t="s">
        <v>2627</v>
      </c>
      <c r="C10487" s="417" t="s">
        <v>23421</v>
      </c>
      <c r="D10487" s="417" t="s">
        <v>88</v>
      </c>
      <c r="E10487" s="423">
        <v>3.1459013568716681</v>
      </c>
      <c r="F10487" s="423">
        <v>0.1134595249366433</v>
      </c>
      <c r="G10487" s="422">
        <v>5792.7458614460256</v>
      </c>
      <c r="H10487" s="417" t="s">
        <v>2616</v>
      </c>
      <c r="I10487" s="417" t="s">
        <v>1392</v>
      </c>
      <c r="J10487" s="417" t="s">
        <v>3396</v>
      </c>
      <c r="K10487" s="417" t="s">
        <v>23422</v>
      </c>
      <c r="L10487" s="417"/>
      <c r="M10487" s="417" t="s">
        <v>28840</v>
      </c>
    </row>
    <row r="10488" spans="1:13" x14ac:dyDescent="0.25">
      <c r="A10488" s="417" t="s">
        <v>3385</v>
      </c>
      <c r="B10488" s="417" t="s">
        <v>2627</v>
      </c>
      <c r="C10488" s="417" t="s">
        <v>23423</v>
      </c>
      <c r="D10488" s="417" t="s">
        <v>88</v>
      </c>
      <c r="E10488" s="423">
        <v>0.53675193692067369</v>
      </c>
      <c r="F10488" s="423">
        <v>3.7627272275564783E-2</v>
      </c>
      <c r="G10488" s="422">
        <v>1163.6584241741309</v>
      </c>
      <c r="H10488" s="417" t="s">
        <v>2616</v>
      </c>
      <c r="I10488" s="417" t="s">
        <v>1392</v>
      </c>
      <c r="J10488" s="417" t="s">
        <v>3396</v>
      </c>
      <c r="K10488" s="417" t="s">
        <v>23424</v>
      </c>
      <c r="L10488" s="417"/>
      <c r="M10488" s="417" t="s">
        <v>28840</v>
      </c>
    </row>
    <row r="10489" spans="1:13" x14ac:dyDescent="0.25">
      <c r="A10489" s="417" t="s">
        <v>3385</v>
      </c>
      <c r="B10489" s="417" t="s">
        <v>2627</v>
      </c>
      <c r="C10489" s="417" t="s">
        <v>23425</v>
      </c>
      <c r="D10489" s="417" t="s">
        <v>88</v>
      </c>
      <c r="E10489" s="423">
        <v>9.548884328583858</v>
      </c>
      <c r="F10489" s="423">
        <v>0.32492029824878688</v>
      </c>
      <c r="G10489" s="422">
        <v>61136.050460982093</v>
      </c>
      <c r="H10489" s="417" t="s">
        <v>2616</v>
      </c>
      <c r="I10489" s="417" t="s">
        <v>1392</v>
      </c>
      <c r="J10489" s="417" t="s">
        <v>3396</v>
      </c>
      <c r="K10489" s="417" t="s">
        <v>23426</v>
      </c>
      <c r="L10489" s="417"/>
      <c r="M10489" s="417" t="s">
        <v>28840</v>
      </c>
    </row>
    <row r="10490" spans="1:13" x14ac:dyDescent="0.25">
      <c r="A10490" s="417" t="s">
        <v>3385</v>
      </c>
      <c r="B10490" s="417" t="s">
        <v>2627</v>
      </c>
      <c r="C10490" s="417" t="s">
        <v>23427</v>
      </c>
      <c r="D10490" s="417" t="s">
        <v>88</v>
      </c>
      <c r="E10490" s="423">
        <v>2.206574623433105</v>
      </c>
      <c r="F10490" s="423">
        <v>4.2462007588955797E-2</v>
      </c>
      <c r="G10490" s="422">
        <v>3847.6413487419309</v>
      </c>
      <c r="H10490" s="417" t="s">
        <v>2616</v>
      </c>
      <c r="I10490" s="417" t="s">
        <v>1392</v>
      </c>
      <c r="J10490" s="417" t="s">
        <v>3396</v>
      </c>
      <c r="K10490" s="417" t="s">
        <v>23428</v>
      </c>
      <c r="L10490" s="417"/>
      <c r="M10490" s="417" t="s">
        <v>28840</v>
      </c>
    </row>
    <row r="10491" spans="1:13" x14ac:dyDescent="0.25">
      <c r="A10491" s="417" t="s">
        <v>3385</v>
      </c>
      <c r="B10491" s="417" t="s">
        <v>2627</v>
      </c>
      <c r="C10491" s="417" t="s">
        <v>23429</v>
      </c>
      <c r="D10491" s="417" t="s">
        <v>88</v>
      </c>
      <c r="E10491" s="423">
        <v>2.8127257947733031</v>
      </c>
      <c r="F10491" s="423">
        <v>4.1592302889642802E-2</v>
      </c>
      <c r="G10491" s="422">
        <v>4741.1874476602707</v>
      </c>
      <c r="H10491" s="417" t="s">
        <v>2616</v>
      </c>
      <c r="I10491" s="417" t="s">
        <v>1392</v>
      </c>
      <c r="J10491" s="417" t="s">
        <v>3396</v>
      </c>
      <c r="K10491" s="417" t="s">
        <v>23430</v>
      </c>
      <c r="L10491" s="417"/>
      <c r="M10491" s="417" t="s">
        <v>28840</v>
      </c>
    </row>
    <row r="10492" spans="1:13" x14ac:dyDescent="0.25">
      <c r="A10492" s="417" t="s">
        <v>3385</v>
      </c>
      <c r="B10492" s="417" t="s">
        <v>2627</v>
      </c>
      <c r="C10492" s="417" t="s">
        <v>1046</v>
      </c>
      <c r="D10492" s="417" t="s">
        <v>88</v>
      </c>
      <c r="E10492" s="423">
        <v>1.8798151966537009</v>
      </c>
      <c r="F10492" s="423">
        <v>0.10478556956338859</v>
      </c>
      <c r="G10492" s="422">
        <v>17425.482509656929</v>
      </c>
      <c r="H10492" s="417" t="s">
        <v>2616</v>
      </c>
      <c r="I10492" s="417" t="s">
        <v>28841</v>
      </c>
      <c r="J10492" s="417" t="s">
        <v>3825</v>
      </c>
      <c r="K10492" s="417" t="s">
        <v>23431</v>
      </c>
      <c r="L10492" s="417"/>
      <c r="M10492" s="417" t="s">
        <v>28840</v>
      </c>
    </row>
    <row r="10493" spans="1:13" x14ac:dyDescent="0.25">
      <c r="A10493" s="417" t="s">
        <v>3385</v>
      </c>
      <c r="B10493" s="417" t="s">
        <v>2627</v>
      </c>
      <c r="C10493" s="417" t="s">
        <v>23432</v>
      </c>
      <c r="D10493" s="417" t="s">
        <v>989</v>
      </c>
      <c r="E10493" s="423">
        <v>6567049.5684680538</v>
      </c>
      <c r="F10493" s="423">
        <v>2111415.4772595512</v>
      </c>
      <c r="G10493" s="422">
        <v>14915733655.01181</v>
      </c>
      <c r="H10493" s="417" t="s">
        <v>2616</v>
      </c>
      <c r="I10493" s="417" t="s">
        <v>1392</v>
      </c>
      <c r="J10493" s="417" t="s">
        <v>11188</v>
      </c>
      <c r="K10493" s="417" t="s">
        <v>23433</v>
      </c>
      <c r="L10493" s="417"/>
      <c r="M10493" s="417" t="s">
        <v>28840</v>
      </c>
    </row>
    <row r="10494" spans="1:13" x14ac:dyDescent="0.25">
      <c r="A10494" s="417" t="s">
        <v>3385</v>
      </c>
      <c r="B10494" s="417" t="s">
        <v>2627</v>
      </c>
      <c r="C10494" s="417" t="s">
        <v>23434</v>
      </c>
      <c r="D10494" s="417" t="s">
        <v>88</v>
      </c>
      <c r="E10494" s="423">
        <v>4.4858957045211181</v>
      </c>
      <c r="F10494" s="423">
        <v>0.28408860261192792</v>
      </c>
      <c r="G10494" s="422">
        <v>8009.92288056702</v>
      </c>
      <c r="H10494" s="417" t="s">
        <v>2616</v>
      </c>
      <c r="I10494" s="417" t="s">
        <v>1392</v>
      </c>
      <c r="J10494" s="417" t="s">
        <v>5182</v>
      </c>
      <c r="K10494" s="417" t="s">
        <v>23435</v>
      </c>
      <c r="L10494" s="417"/>
      <c r="M10494" s="417" t="s">
        <v>28840</v>
      </c>
    </row>
    <row r="10495" spans="1:13" x14ac:dyDescent="0.25">
      <c r="A10495" s="417" t="s">
        <v>3385</v>
      </c>
      <c r="B10495" s="417" t="s">
        <v>2627</v>
      </c>
      <c r="C10495" s="417" t="s">
        <v>23436</v>
      </c>
      <c r="D10495" s="417" t="s">
        <v>83</v>
      </c>
      <c r="E10495" s="423">
        <v>190.13898749434</v>
      </c>
      <c r="F10495" s="423">
        <v>93.337738174013609</v>
      </c>
      <c r="G10495" s="422">
        <v>338851.8933326304</v>
      </c>
      <c r="H10495" s="417" t="s">
        <v>2616</v>
      </c>
      <c r="I10495" s="417" t="s">
        <v>1392</v>
      </c>
      <c r="J10495" s="417" t="s">
        <v>4016</v>
      </c>
      <c r="K10495" s="417" t="s">
        <v>23437</v>
      </c>
      <c r="L10495" s="417"/>
      <c r="M10495" s="417" t="s">
        <v>28840</v>
      </c>
    </row>
    <row r="10496" spans="1:13" x14ac:dyDescent="0.25">
      <c r="A10496" s="417" t="s">
        <v>3385</v>
      </c>
      <c r="B10496" s="417" t="s">
        <v>2627</v>
      </c>
      <c r="C10496" s="417" t="s">
        <v>23438</v>
      </c>
      <c r="D10496" s="417" t="s">
        <v>83</v>
      </c>
      <c r="E10496" s="423">
        <v>190.13898749418831</v>
      </c>
      <c r="F10496" s="423">
        <v>93.337738174010155</v>
      </c>
      <c r="G10496" s="422">
        <v>329510.04618978151</v>
      </c>
      <c r="H10496" s="417" t="s">
        <v>2616</v>
      </c>
      <c r="I10496" s="417" t="s">
        <v>1392</v>
      </c>
      <c r="J10496" s="417" t="s">
        <v>4016</v>
      </c>
      <c r="K10496" s="417" t="s">
        <v>23439</v>
      </c>
      <c r="L10496" s="417"/>
      <c r="M10496" s="417" t="s">
        <v>28840</v>
      </c>
    </row>
    <row r="10497" spans="1:13" x14ac:dyDescent="0.25">
      <c r="A10497" s="417" t="s">
        <v>3385</v>
      </c>
      <c r="B10497" s="417" t="s">
        <v>2627</v>
      </c>
      <c r="C10497" s="417" t="s">
        <v>23440</v>
      </c>
      <c r="D10497" s="417" t="s">
        <v>83</v>
      </c>
      <c r="E10497" s="423">
        <v>187.00428503154549</v>
      </c>
      <c r="F10497" s="423">
        <v>93.098334852583676</v>
      </c>
      <c r="G10497" s="422">
        <v>332666.58223018597</v>
      </c>
      <c r="H10497" s="417" t="s">
        <v>2616</v>
      </c>
      <c r="I10497" s="417" t="s">
        <v>1392</v>
      </c>
      <c r="J10497" s="417" t="s">
        <v>4016</v>
      </c>
      <c r="K10497" s="417" t="s">
        <v>23441</v>
      </c>
      <c r="L10497" s="417"/>
      <c r="M10497" s="417" t="s">
        <v>28840</v>
      </c>
    </row>
    <row r="10498" spans="1:13" x14ac:dyDescent="0.25">
      <c r="A10498" s="417" t="s">
        <v>3385</v>
      </c>
      <c r="B10498" s="417" t="s">
        <v>3655</v>
      </c>
      <c r="C10498" s="417" t="s">
        <v>23442</v>
      </c>
      <c r="D10498" s="417" t="s">
        <v>88</v>
      </c>
      <c r="E10498" s="423">
        <v>5.9971615846490351</v>
      </c>
      <c r="F10498" s="423">
        <v>0.67966207724214756</v>
      </c>
      <c r="G10498" s="422">
        <v>13836.47720259189</v>
      </c>
      <c r="H10498" s="417" t="s">
        <v>2616</v>
      </c>
      <c r="I10498" s="417" t="s">
        <v>1392</v>
      </c>
      <c r="J10498" s="417" t="s">
        <v>23443</v>
      </c>
      <c r="K10498" s="417" t="s">
        <v>23444</v>
      </c>
      <c r="L10498" s="417"/>
      <c r="M10498" s="417" t="s">
        <v>28840</v>
      </c>
    </row>
    <row r="10499" spans="1:13" x14ac:dyDescent="0.25">
      <c r="A10499" s="417" t="s">
        <v>3385</v>
      </c>
      <c r="B10499" s="417" t="s">
        <v>3655</v>
      </c>
      <c r="C10499" s="417" t="s">
        <v>23445</v>
      </c>
      <c r="D10499" s="417" t="s">
        <v>88</v>
      </c>
      <c r="E10499" s="423">
        <v>5.9015166095149239</v>
      </c>
      <c r="F10499" s="423">
        <v>0.66864107066894973</v>
      </c>
      <c r="G10499" s="422">
        <v>13643.214649164591</v>
      </c>
      <c r="H10499" s="417" t="s">
        <v>2616</v>
      </c>
      <c r="I10499" s="417" t="s">
        <v>1392</v>
      </c>
      <c r="J10499" s="417" t="s">
        <v>23443</v>
      </c>
      <c r="K10499" s="417" t="s">
        <v>23446</v>
      </c>
      <c r="L10499" s="417"/>
      <c r="M10499" s="417" t="s">
        <v>28840</v>
      </c>
    </row>
    <row r="10500" spans="1:13" x14ac:dyDescent="0.25">
      <c r="A10500" s="417" t="s">
        <v>3385</v>
      </c>
      <c r="B10500" s="417" t="s">
        <v>3655</v>
      </c>
      <c r="C10500" s="417" t="s">
        <v>23447</v>
      </c>
      <c r="D10500" s="417" t="s">
        <v>88</v>
      </c>
      <c r="E10500" s="423">
        <v>3.5169091819979639</v>
      </c>
      <c r="F10500" s="423">
        <v>0.58565388718155065</v>
      </c>
      <c r="G10500" s="422">
        <v>6490.3121312543481</v>
      </c>
      <c r="H10500" s="417" t="s">
        <v>2616</v>
      </c>
      <c r="I10500" s="417" t="s">
        <v>1392</v>
      </c>
      <c r="J10500" s="417" t="s">
        <v>23443</v>
      </c>
      <c r="K10500" s="417" t="s">
        <v>23448</v>
      </c>
      <c r="L10500" s="417"/>
      <c r="M10500" s="417" t="s">
        <v>28840</v>
      </c>
    </row>
    <row r="10501" spans="1:13" x14ac:dyDescent="0.25">
      <c r="A10501" s="417" t="s">
        <v>3385</v>
      </c>
      <c r="B10501" s="417" t="s">
        <v>2437</v>
      </c>
      <c r="C10501" s="417" t="s">
        <v>23449</v>
      </c>
      <c r="D10501" s="417" t="s">
        <v>88</v>
      </c>
      <c r="E10501" s="423">
        <v>0</v>
      </c>
      <c r="F10501" s="423">
        <v>0</v>
      </c>
      <c r="G10501" s="422">
        <v>36867.235739999996</v>
      </c>
      <c r="H10501" s="417" t="s">
        <v>2616</v>
      </c>
      <c r="I10501" s="417" t="s">
        <v>1392</v>
      </c>
      <c r="J10501" s="417" t="s">
        <v>4342</v>
      </c>
      <c r="K10501" s="417" t="s">
        <v>23450</v>
      </c>
      <c r="L10501" s="417"/>
      <c r="M10501" s="417" t="s">
        <v>28840</v>
      </c>
    </row>
    <row r="10502" spans="1:13" x14ac:dyDescent="0.25">
      <c r="A10502" s="417" t="s">
        <v>3385</v>
      </c>
      <c r="B10502" s="417" t="s">
        <v>2437</v>
      </c>
      <c r="C10502" s="417" t="s">
        <v>23451</v>
      </c>
      <c r="D10502" s="417" t="s">
        <v>88</v>
      </c>
      <c r="E10502" s="423">
        <v>0</v>
      </c>
      <c r="F10502" s="423">
        <v>0</v>
      </c>
      <c r="G10502" s="422">
        <v>33642.663103999999</v>
      </c>
      <c r="H10502" s="417" t="s">
        <v>2616</v>
      </c>
      <c r="I10502" s="417" t="s">
        <v>1392</v>
      </c>
      <c r="J10502" s="417" t="s">
        <v>4342</v>
      </c>
      <c r="K10502" s="417" t="s">
        <v>23452</v>
      </c>
      <c r="L10502" s="417"/>
      <c r="M10502" s="417" t="s">
        <v>28840</v>
      </c>
    </row>
    <row r="10503" spans="1:13" x14ac:dyDescent="0.25">
      <c r="A10503" s="417" t="s">
        <v>3385</v>
      </c>
      <c r="B10503" s="417" t="s">
        <v>2627</v>
      </c>
      <c r="C10503" s="417" t="s">
        <v>23453</v>
      </c>
      <c r="D10503" s="417" t="s">
        <v>88</v>
      </c>
      <c r="E10503" s="423">
        <v>2423.1064952546139</v>
      </c>
      <c r="F10503" s="423">
        <v>42.265383726171578</v>
      </c>
      <c r="G10503" s="422">
        <v>43219413.000015587</v>
      </c>
      <c r="H10503" s="417" t="s">
        <v>2616</v>
      </c>
      <c r="I10503" s="417" t="s">
        <v>1392</v>
      </c>
      <c r="J10503" s="417" t="s">
        <v>23454</v>
      </c>
      <c r="K10503" s="417" t="s">
        <v>23455</v>
      </c>
      <c r="L10503" s="417"/>
      <c r="M10503" s="417" t="s">
        <v>28840</v>
      </c>
    </row>
    <row r="10504" spans="1:13" x14ac:dyDescent="0.25">
      <c r="A10504" s="417" t="s">
        <v>3385</v>
      </c>
      <c r="B10504" s="417" t="s">
        <v>2627</v>
      </c>
      <c r="C10504" s="417" t="s">
        <v>23456</v>
      </c>
      <c r="D10504" s="417" t="s">
        <v>88</v>
      </c>
      <c r="E10504" s="423">
        <v>3471.1924721482392</v>
      </c>
      <c r="F10504" s="423">
        <v>55.995226772102662</v>
      </c>
      <c r="G10504" s="422">
        <v>60082558.479678519</v>
      </c>
      <c r="H10504" s="417" t="s">
        <v>2616</v>
      </c>
      <c r="I10504" s="417" t="s">
        <v>1392</v>
      </c>
      <c r="J10504" s="417" t="s">
        <v>23454</v>
      </c>
      <c r="K10504" s="417" t="s">
        <v>23457</v>
      </c>
      <c r="L10504" s="417"/>
      <c r="M10504" s="417" t="s">
        <v>28840</v>
      </c>
    </row>
    <row r="10505" spans="1:13" x14ac:dyDescent="0.25">
      <c r="A10505" s="417" t="s">
        <v>3385</v>
      </c>
      <c r="B10505" s="417" t="s">
        <v>2627</v>
      </c>
      <c r="C10505" s="417" t="s">
        <v>23458</v>
      </c>
      <c r="D10505" s="417" t="s">
        <v>88</v>
      </c>
      <c r="E10505" s="423">
        <v>2222.994814245279</v>
      </c>
      <c r="F10505" s="423">
        <v>62.642367895073278</v>
      </c>
      <c r="G10505" s="422">
        <v>52409879.905482188</v>
      </c>
      <c r="H10505" s="417" t="s">
        <v>2616</v>
      </c>
      <c r="I10505" s="417" t="s">
        <v>1392</v>
      </c>
      <c r="J10505" s="417" t="s">
        <v>23454</v>
      </c>
      <c r="K10505" s="417" t="s">
        <v>23459</v>
      </c>
      <c r="L10505" s="417"/>
      <c r="M10505" s="417" t="s">
        <v>28840</v>
      </c>
    </row>
    <row r="10506" spans="1:13" x14ac:dyDescent="0.25">
      <c r="A10506" s="417" t="s">
        <v>3385</v>
      </c>
      <c r="B10506" s="417" t="s">
        <v>2627</v>
      </c>
      <c r="C10506" s="417" t="s">
        <v>23460</v>
      </c>
      <c r="D10506" s="417" t="s">
        <v>88</v>
      </c>
      <c r="E10506" s="423">
        <v>1653.32716757205</v>
      </c>
      <c r="F10506" s="423">
        <v>53.520721545899903</v>
      </c>
      <c r="G10506" s="422">
        <v>62160675.842685863</v>
      </c>
      <c r="H10506" s="417" t="s">
        <v>2616</v>
      </c>
      <c r="I10506" s="417" t="s">
        <v>1392</v>
      </c>
      <c r="J10506" s="417" t="s">
        <v>23454</v>
      </c>
      <c r="K10506" s="417" t="s">
        <v>23461</v>
      </c>
      <c r="L10506" s="417"/>
      <c r="M10506" s="417" t="s">
        <v>28840</v>
      </c>
    </row>
    <row r="10507" spans="1:13" x14ac:dyDescent="0.25">
      <c r="A10507" s="417" t="s">
        <v>3385</v>
      </c>
      <c r="B10507" s="417" t="s">
        <v>2627</v>
      </c>
      <c r="C10507" s="417" t="s">
        <v>23462</v>
      </c>
      <c r="D10507" s="417" t="s">
        <v>88</v>
      </c>
      <c r="E10507" s="423">
        <v>3287.414385321651</v>
      </c>
      <c r="F10507" s="423">
        <v>55.17305068196255</v>
      </c>
      <c r="G10507" s="422">
        <v>56291273.008429833</v>
      </c>
      <c r="H10507" s="417" t="s">
        <v>2616</v>
      </c>
      <c r="I10507" s="417" t="s">
        <v>1392</v>
      </c>
      <c r="J10507" s="417" t="s">
        <v>23454</v>
      </c>
      <c r="K10507" s="417" t="s">
        <v>23463</v>
      </c>
      <c r="L10507" s="417"/>
      <c r="M10507" s="417" t="s">
        <v>28840</v>
      </c>
    </row>
    <row r="10508" spans="1:13" x14ac:dyDescent="0.25">
      <c r="A10508" s="417" t="s">
        <v>3385</v>
      </c>
      <c r="B10508" s="417" t="s">
        <v>2627</v>
      </c>
      <c r="C10508" s="417" t="s">
        <v>23464</v>
      </c>
      <c r="D10508" s="417" t="s">
        <v>88</v>
      </c>
      <c r="E10508" s="423">
        <v>2232.4983334949752</v>
      </c>
      <c r="F10508" s="423">
        <v>56.599112994894227</v>
      </c>
      <c r="G10508" s="422">
        <v>60865939.574716613</v>
      </c>
      <c r="H10508" s="417" t="s">
        <v>2616</v>
      </c>
      <c r="I10508" s="417" t="s">
        <v>1392</v>
      </c>
      <c r="J10508" s="417" t="s">
        <v>23454</v>
      </c>
      <c r="K10508" s="417" t="s">
        <v>23465</v>
      </c>
      <c r="L10508" s="417"/>
      <c r="M10508" s="417" t="s">
        <v>28840</v>
      </c>
    </row>
    <row r="10509" spans="1:13" x14ac:dyDescent="0.25">
      <c r="A10509" s="417" t="s">
        <v>3385</v>
      </c>
      <c r="B10509" s="417" t="s">
        <v>2627</v>
      </c>
      <c r="C10509" s="417" t="s">
        <v>23466</v>
      </c>
      <c r="D10509" s="417" t="s">
        <v>88</v>
      </c>
      <c r="E10509" s="423">
        <v>3417.2417928250811</v>
      </c>
      <c r="F10509" s="423">
        <v>60.496741970381521</v>
      </c>
      <c r="G10509" s="422">
        <v>59253159.909647793</v>
      </c>
      <c r="H10509" s="417" t="s">
        <v>2616</v>
      </c>
      <c r="I10509" s="417" t="s">
        <v>1392</v>
      </c>
      <c r="J10509" s="417" t="s">
        <v>23454</v>
      </c>
      <c r="K10509" s="417" t="s">
        <v>23467</v>
      </c>
      <c r="L10509" s="417"/>
      <c r="M10509" s="417" t="s">
        <v>28840</v>
      </c>
    </row>
    <row r="10510" spans="1:13" x14ac:dyDescent="0.25">
      <c r="A10510" s="417" t="s">
        <v>3385</v>
      </c>
      <c r="B10510" s="417" t="s">
        <v>2627</v>
      </c>
      <c r="C10510" s="417" t="s">
        <v>23468</v>
      </c>
      <c r="D10510" s="417" t="s">
        <v>88</v>
      </c>
      <c r="E10510" s="423">
        <v>2291.17496134775</v>
      </c>
      <c r="F10510" s="423">
        <v>57.925745101270458</v>
      </c>
      <c r="G10510" s="422">
        <v>62321837.923309527</v>
      </c>
      <c r="H10510" s="417" t="s">
        <v>2616</v>
      </c>
      <c r="I10510" s="417" t="s">
        <v>1392</v>
      </c>
      <c r="J10510" s="417" t="s">
        <v>23454</v>
      </c>
      <c r="K10510" s="417" t="s">
        <v>23469</v>
      </c>
      <c r="L10510" s="417"/>
      <c r="M10510" s="417" t="s">
        <v>28840</v>
      </c>
    </row>
    <row r="10511" spans="1:13" x14ac:dyDescent="0.25">
      <c r="A10511" s="417" t="s">
        <v>3385</v>
      </c>
      <c r="B10511" s="417" t="s">
        <v>2627</v>
      </c>
      <c r="C10511" s="417" t="s">
        <v>23470</v>
      </c>
      <c r="D10511" s="417" t="s">
        <v>88</v>
      </c>
      <c r="E10511" s="423">
        <v>1779.647575588971</v>
      </c>
      <c r="F10511" s="423">
        <v>62.353601844630482</v>
      </c>
      <c r="G10511" s="422">
        <v>57476849.533205047</v>
      </c>
      <c r="H10511" s="417" t="s">
        <v>2616</v>
      </c>
      <c r="I10511" s="417" t="s">
        <v>1392</v>
      </c>
      <c r="J10511" s="417" t="s">
        <v>23454</v>
      </c>
      <c r="K10511" s="417" t="s">
        <v>23471</v>
      </c>
      <c r="L10511" s="417"/>
      <c r="M10511" s="417" t="s">
        <v>28840</v>
      </c>
    </row>
    <row r="10512" spans="1:13" x14ac:dyDescent="0.25">
      <c r="A10512" s="417" t="s">
        <v>3385</v>
      </c>
      <c r="B10512" s="417" t="s">
        <v>2627</v>
      </c>
      <c r="C10512" s="417" t="s">
        <v>23472</v>
      </c>
      <c r="D10512" s="417" t="s">
        <v>88</v>
      </c>
      <c r="E10512" s="423">
        <v>1818.5751846892369</v>
      </c>
      <c r="F10512" s="423">
        <v>60.726091091766307</v>
      </c>
      <c r="G10512" s="422">
        <v>64771562.739838541</v>
      </c>
      <c r="H10512" s="417" t="s">
        <v>2616</v>
      </c>
      <c r="I10512" s="417" t="s">
        <v>1392</v>
      </c>
      <c r="J10512" s="417" t="s">
        <v>23454</v>
      </c>
      <c r="K10512" s="417" t="s">
        <v>23473</v>
      </c>
      <c r="L10512" s="417"/>
      <c r="M10512" s="417" t="s">
        <v>28840</v>
      </c>
    </row>
    <row r="10513" spans="1:13" x14ac:dyDescent="0.25">
      <c r="A10513" s="417" t="s">
        <v>3385</v>
      </c>
      <c r="B10513" s="417" t="s">
        <v>2627</v>
      </c>
      <c r="C10513" s="417" t="s">
        <v>23474</v>
      </c>
      <c r="D10513" s="417" t="s">
        <v>88</v>
      </c>
      <c r="E10513" s="423">
        <v>6120.1868262965563</v>
      </c>
      <c r="F10513" s="423">
        <v>53.166337801896397</v>
      </c>
      <c r="G10513" s="422">
        <v>64920344.451375112</v>
      </c>
      <c r="H10513" s="417" t="s">
        <v>2616</v>
      </c>
      <c r="I10513" s="417" t="s">
        <v>1392</v>
      </c>
      <c r="J10513" s="417" t="s">
        <v>23454</v>
      </c>
      <c r="K10513" s="417" t="s">
        <v>23475</v>
      </c>
      <c r="L10513" s="417"/>
      <c r="M10513" s="417" t="s">
        <v>28840</v>
      </c>
    </row>
    <row r="10514" spans="1:13" x14ac:dyDescent="0.25">
      <c r="A10514" s="417" t="s">
        <v>3385</v>
      </c>
      <c r="B10514" s="417" t="s">
        <v>2627</v>
      </c>
      <c r="C10514" s="417" t="s">
        <v>23476</v>
      </c>
      <c r="D10514" s="417" t="s">
        <v>88</v>
      </c>
      <c r="E10514" s="423">
        <v>5715.3584205012976</v>
      </c>
      <c r="F10514" s="423">
        <v>60.440245641901697</v>
      </c>
      <c r="G10514" s="422">
        <v>70128029.42593573</v>
      </c>
      <c r="H10514" s="417" t="s">
        <v>2616</v>
      </c>
      <c r="I10514" s="417" t="s">
        <v>1392</v>
      </c>
      <c r="J10514" s="417" t="s">
        <v>23454</v>
      </c>
      <c r="K10514" s="417" t="s">
        <v>23477</v>
      </c>
      <c r="L10514" s="417"/>
      <c r="M10514" s="417" t="s">
        <v>28840</v>
      </c>
    </row>
    <row r="10515" spans="1:13" x14ac:dyDescent="0.25">
      <c r="A10515" s="417" t="s">
        <v>3385</v>
      </c>
      <c r="B10515" s="417" t="s">
        <v>2627</v>
      </c>
      <c r="C10515" s="417" t="s">
        <v>23478</v>
      </c>
      <c r="D10515" s="417" t="s">
        <v>989</v>
      </c>
      <c r="E10515" s="423">
        <v>124405984.49306349</v>
      </c>
      <c r="F10515" s="423">
        <v>37405929.363385737</v>
      </c>
      <c r="G10515" s="422">
        <v>310648881380.56738</v>
      </c>
      <c r="H10515" s="417" t="s">
        <v>2616</v>
      </c>
      <c r="I10515" s="417" t="s">
        <v>1392</v>
      </c>
      <c r="J10515" s="417" t="s">
        <v>17267</v>
      </c>
      <c r="K10515" s="417" t="s">
        <v>23479</v>
      </c>
      <c r="L10515" s="417"/>
      <c r="M10515" s="417" t="s">
        <v>28840</v>
      </c>
    </row>
    <row r="10516" spans="1:13" x14ac:dyDescent="0.25">
      <c r="A10516" s="417" t="s">
        <v>3385</v>
      </c>
      <c r="B10516" s="417" t="s">
        <v>2627</v>
      </c>
      <c r="C10516" s="417" t="s">
        <v>23480</v>
      </c>
      <c r="D10516" s="417" t="s">
        <v>989</v>
      </c>
      <c r="E10516" s="423">
        <v>116664729.85607</v>
      </c>
      <c r="F10516" s="423">
        <v>37706757.20147863</v>
      </c>
      <c r="G10516" s="422">
        <v>303640703062.65308</v>
      </c>
      <c r="H10516" s="417" t="s">
        <v>2616</v>
      </c>
      <c r="I10516" s="417" t="s">
        <v>1392</v>
      </c>
      <c r="J10516" s="417" t="s">
        <v>17267</v>
      </c>
      <c r="K10516" s="417" t="s">
        <v>23481</v>
      </c>
      <c r="L10516" s="417"/>
      <c r="M10516" s="417" t="s">
        <v>28840</v>
      </c>
    </row>
    <row r="10517" spans="1:13" x14ac:dyDescent="0.25">
      <c r="A10517" s="417" t="s">
        <v>3385</v>
      </c>
      <c r="B10517" s="417" t="s">
        <v>2627</v>
      </c>
      <c r="C10517" s="417" t="s">
        <v>23482</v>
      </c>
      <c r="D10517" s="417" t="s">
        <v>989</v>
      </c>
      <c r="E10517" s="423">
        <v>278821017.31272411</v>
      </c>
      <c r="F10517" s="423">
        <v>16762947.57307354</v>
      </c>
      <c r="G10517" s="422">
        <v>599756538405.30981</v>
      </c>
      <c r="H10517" s="417" t="s">
        <v>2616</v>
      </c>
      <c r="I10517" s="417" t="s">
        <v>1392</v>
      </c>
      <c r="J10517" s="417" t="s">
        <v>17192</v>
      </c>
      <c r="K10517" s="417" t="s">
        <v>23483</v>
      </c>
      <c r="L10517" s="417"/>
      <c r="M10517" s="417" t="s">
        <v>28840</v>
      </c>
    </row>
    <row r="10518" spans="1:13" x14ac:dyDescent="0.25">
      <c r="A10518" s="417" t="s">
        <v>3385</v>
      </c>
      <c r="B10518" s="417" t="s">
        <v>2627</v>
      </c>
      <c r="C10518" s="417" t="s">
        <v>23484</v>
      </c>
      <c r="D10518" s="417" t="s">
        <v>989</v>
      </c>
      <c r="E10518" s="423">
        <v>278458846.52233362</v>
      </c>
      <c r="F10518" s="423">
        <v>16830597.817430008</v>
      </c>
      <c r="G10518" s="422">
        <v>599471750409.35864</v>
      </c>
      <c r="H10518" s="417" t="s">
        <v>2616</v>
      </c>
      <c r="I10518" s="417" t="s">
        <v>1392</v>
      </c>
      <c r="J10518" s="417" t="s">
        <v>17192</v>
      </c>
      <c r="K10518" s="417" t="s">
        <v>23485</v>
      </c>
      <c r="L10518" s="417"/>
      <c r="M10518" s="417" t="s">
        <v>28840</v>
      </c>
    </row>
    <row r="10519" spans="1:13" x14ac:dyDescent="0.25">
      <c r="A10519" s="417" t="s">
        <v>3385</v>
      </c>
      <c r="B10519" s="417" t="s">
        <v>2627</v>
      </c>
      <c r="C10519" s="417" t="s">
        <v>23486</v>
      </c>
      <c r="D10519" s="417" t="s">
        <v>88</v>
      </c>
      <c r="E10519" s="423">
        <v>648.31845204029594</v>
      </c>
      <c r="F10519" s="423">
        <v>10.182729593990141</v>
      </c>
      <c r="G10519" s="422">
        <v>11302719.040025121</v>
      </c>
      <c r="H10519" s="417" t="s">
        <v>2616</v>
      </c>
      <c r="I10519" s="417" t="s">
        <v>1392</v>
      </c>
      <c r="J10519" s="417" t="s">
        <v>23454</v>
      </c>
      <c r="K10519" s="417" t="s">
        <v>23487</v>
      </c>
      <c r="L10519" s="417"/>
      <c r="M10519" s="417" t="s">
        <v>28840</v>
      </c>
    </row>
    <row r="10520" spans="1:13" x14ac:dyDescent="0.25">
      <c r="A10520" s="417" t="s">
        <v>3385</v>
      </c>
      <c r="B10520" s="417" t="s">
        <v>2627</v>
      </c>
      <c r="C10520" s="417" t="s">
        <v>23488</v>
      </c>
      <c r="D10520" s="417" t="s">
        <v>989</v>
      </c>
      <c r="E10520" s="423">
        <v>344335621.32219839</v>
      </c>
      <c r="F10520" s="423">
        <v>11118985.04317457</v>
      </c>
      <c r="G10520" s="422">
        <v>704937676055.73743</v>
      </c>
      <c r="H10520" s="417" t="s">
        <v>2616</v>
      </c>
      <c r="I10520" s="417" t="s">
        <v>1392</v>
      </c>
      <c r="J10520" s="417" t="s">
        <v>17192</v>
      </c>
      <c r="K10520" s="417" t="s">
        <v>23489</v>
      </c>
      <c r="L10520" s="417"/>
      <c r="M10520" s="417" t="s">
        <v>28840</v>
      </c>
    </row>
    <row r="10521" spans="1:13" x14ac:dyDescent="0.25">
      <c r="A10521" s="417" t="s">
        <v>3385</v>
      </c>
      <c r="B10521" s="417" t="s">
        <v>2627</v>
      </c>
      <c r="C10521" s="417" t="s">
        <v>23490</v>
      </c>
      <c r="D10521" s="417" t="s">
        <v>989</v>
      </c>
      <c r="E10521" s="423">
        <v>339991656.91991073</v>
      </c>
      <c r="F10521" s="423">
        <v>11184905.9823028</v>
      </c>
      <c r="G10521" s="422">
        <v>698528384732.8667</v>
      </c>
      <c r="H10521" s="417" t="s">
        <v>2616</v>
      </c>
      <c r="I10521" s="417" t="s">
        <v>1392</v>
      </c>
      <c r="J10521" s="417" t="s">
        <v>17192</v>
      </c>
      <c r="K10521" s="417" t="s">
        <v>23491</v>
      </c>
      <c r="L10521" s="417"/>
      <c r="M10521" s="417" t="s">
        <v>28840</v>
      </c>
    </row>
    <row r="10522" spans="1:13" x14ac:dyDescent="0.25">
      <c r="A10522" s="417" t="s">
        <v>3385</v>
      </c>
      <c r="B10522" s="417" t="s">
        <v>2627</v>
      </c>
      <c r="C10522" s="417" t="s">
        <v>23492</v>
      </c>
      <c r="D10522" s="417" t="s">
        <v>989</v>
      </c>
      <c r="E10522" s="423">
        <v>341574467.041273</v>
      </c>
      <c r="F10522" s="423">
        <v>11011799.76835792</v>
      </c>
      <c r="G10522" s="422">
        <v>699876880002.51404</v>
      </c>
      <c r="H10522" s="417" t="s">
        <v>2616</v>
      </c>
      <c r="I10522" s="417" t="s">
        <v>1392</v>
      </c>
      <c r="J10522" s="417" t="s">
        <v>17192</v>
      </c>
      <c r="K10522" s="417" t="s">
        <v>23493</v>
      </c>
      <c r="L10522" s="417"/>
      <c r="M10522" s="417" t="s">
        <v>28840</v>
      </c>
    </row>
    <row r="10523" spans="1:13" x14ac:dyDescent="0.25">
      <c r="A10523" s="417" t="s">
        <v>3385</v>
      </c>
      <c r="B10523" s="417" t="s">
        <v>2627</v>
      </c>
      <c r="C10523" s="417" t="s">
        <v>23494</v>
      </c>
      <c r="D10523" s="417" t="s">
        <v>989</v>
      </c>
      <c r="E10523" s="423">
        <v>3365935642.6229501</v>
      </c>
      <c r="F10523" s="423">
        <v>124602510.02435841</v>
      </c>
      <c r="G10523" s="422">
        <v>6868037444616.7832</v>
      </c>
      <c r="H10523" s="417" t="s">
        <v>2616</v>
      </c>
      <c r="I10523" s="417" t="s">
        <v>1392</v>
      </c>
      <c r="J10523" s="417" t="s">
        <v>17192</v>
      </c>
      <c r="K10523" s="417" t="s">
        <v>23495</v>
      </c>
      <c r="L10523" s="417"/>
      <c r="M10523" s="417" t="s">
        <v>28840</v>
      </c>
    </row>
    <row r="10524" spans="1:13" x14ac:dyDescent="0.25">
      <c r="A10524" s="417" t="s">
        <v>3385</v>
      </c>
      <c r="B10524" s="417" t="s">
        <v>2627</v>
      </c>
      <c r="C10524" s="417" t="s">
        <v>23496</v>
      </c>
      <c r="D10524" s="417" t="s">
        <v>989</v>
      </c>
      <c r="E10524" s="423">
        <v>123645720.08225159</v>
      </c>
      <c r="F10524" s="423">
        <v>6192744.3032472152</v>
      </c>
      <c r="G10524" s="422">
        <v>254155088871.75281</v>
      </c>
      <c r="H10524" s="417" t="s">
        <v>2616</v>
      </c>
      <c r="I10524" s="417" t="s">
        <v>1392</v>
      </c>
      <c r="J10524" s="417" t="s">
        <v>14041</v>
      </c>
      <c r="K10524" s="417" t="s">
        <v>23497</v>
      </c>
      <c r="L10524" s="417"/>
      <c r="M10524" s="417" t="s">
        <v>28840</v>
      </c>
    </row>
    <row r="10525" spans="1:13" x14ac:dyDescent="0.25">
      <c r="A10525" s="417" t="s">
        <v>3385</v>
      </c>
      <c r="B10525" s="417" t="s">
        <v>2627</v>
      </c>
      <c r="C10525" s="417" t="s">
        <v>23498</v>
      </c>
      <c r="D10525" s="417" t="s">
        <v>88</v>
      </c>
      <c r="E10525" s="423">
        <v>21.181057603582879</v>
      </c>
      <c r="F10525" s="423">
        <v>1.2490816721100511</v>
      </c>
      <c r="G10525" s="422">
        <v>4882975.1881604381</v>
      </c>
      <c r="H10525" s="417" t="s">
        <v>2616</v>
      </c>
      <c r="I10525" s="417" t="s">
        <v>1392</v>
      </c>
      <c r="J10525" s="417" t="s">
        <v>3860</v>
      </c>
      <c r="K10525" s="417" t="s">
        <v>23499</v>
      </c>
      <c r="L10525" s="417"/>
      <c r="M10525" s="417" t="s">
        <v>28840</v>
      </c>
    </row>
    <row r="10526" spans="1:13" x14ac:dyDescent="0.25">
      <c r="A10526" s="417" t="s">
        <v>3385</v>
      </c>
      <c r="B10526" s="417" t="s">
        <v>2627</v>
      </c>
      <c r="C10526" s="417" t="s">
        <v>23500</v>
      </c>
      <c r="D10526" s="417" t="s">
        <v>88</v>
      </c>
      <c r="E10526" s="423">
        <v>15.512674924114339</v>
      </c>
      <c r="F10526" s="423">
        <v>0.62240248886076177</v>
      </c>
      <c r="G10526" s="422">
        <v>5193263.888273051</v>
      </c>
      <c r="H10526" s="417" t="s">
        <v>2616</v>
      </c>
      <c r="I10526" s="417" t="s">
        <v>1392</v>
      </c>
      <c r="J10526" s="417" t="s">
        <v>23454</v>
      </c>
      <c r="K10526" s="417" t="s">
        <v>23501</v>
      </c>
      <c r="L10526" s="417"/>
      <c r="M10526" s="417" t="s">
        <v>28840</v>
      </c>
    </row>
    <row r="10527" spans="1:13" x14ac:dyDescent="0.25">
      <c r="A10527" s="417" t="s">
        <v>3385</v>
      </c>
      <c r="B10527" s="417" t="s">
        <v>2627</v>
      </c>
      <c r="C10527" s="417" t="s">
        <v>23502</v>
      </c>
      <c r="D10527" s="417" t="s">
        <v>88</v>
      </c>
      <c r="E10527" s="423">
        <v>7.5209776018605332</v>
      </c>
      <c r="F10527" s="423">
        <v>0.41583619615000827</v>
      </c>
      <c r="G10527" s="422">
        <v>4853357.7017109254</v>
      </c>
      <c r="H10527" s="417" t="s">
        <v>2616</v>
      </c>
      <c r="I10527" s="417" t="s">
        <v>1392</v>
      </c>
      <c r="J10527" s="417" t="s">
        <v>3860</v>
      </c>
      <c r="K10527" s="417" t="s">
        <v>23503</v>
      </c>
      <c r="L10527" s="417"/>
      <c r="M10527" s="417" t="s">
        <v>28840</v>
      </c>
    </row>
    <row r="10528" spans="1:13" x14ac:dyDescent="0.25">
      <c r="A10528" s="417" t="s">
        <v>3385</v>
      </c>
      <c r="B10528" s="417" t="s">
        <v>2627</v>
      </c>
      <c r="C10528" s="417" t="s">
        <v>23504</v>
      </c>
      <c r="D10528" s="417" t="s">
        <v>88</v>
      </c>
      <c r="E10528" s="423">
        <v>107.07326742980671</v>
      </c>
      <c r="F10528" s="423">
        <v>0.78186359723451426</v>
      </c>
      <c r="G10528" s="422">
        <v>4898353.8602334047</v>
      </c>
      <c r="H10528" s="417" t="s">
        <v>2616</v>
      </c>
      <c r="I10528" s="417" t="s">
        <v>1392</v>
      </c>
      <c r="J10528" s="417" t="s">
        <v>23454</v>
      </c>
      <c r="K10528" s="417" t="s">
        <v>23505</v>
      </c>
      <c r="L10528" s="417"/>
      <c r="M10528" s="417" t="s">
        <v>28840</v>
      </c>
    </row>
    <row r="10529" spans="1:13" x14ac:dyDescent="0.25">
      <c r="A10529" s="417" t="s">
        <v>3385</v>
      </c>
      <c r="B10529" s="417" t="s">
        <v>2627</v>
      </c>
      <c r="C10529" s="417" t="s">
        <v>23506</v>
      </c>
      <c r="D10529" s="417" t="s">
        <v>88</v>
      </c>
      <c r="E10529" s="423">
        <v>30.28777760467004</v>
      </c>
      <c r="F10529" s="423">
        <v>1.804578656084638</v>
      </c>
      <c r="G10529" s="422">
        <v>4902720.1791276066</v>
      </c>
      <c r="H10529" s="417" t="s">
        <v>2616</v>
      </c>
      <c r="I10529" s="417" t="s">
        <v>1392</v>
      </c>
      <c r="J10529" s="417" t="s">
        <v>3860</v>
      </c>
      <c r="K10529" s="417" t="s">
        <v>23507</v>
      </c>
      <c r="L10529" s="417"/>
      <c r="M10529" s="417" t="s">
        <v>28840</v>
      </c>
    </row>
    <row r="10530" spans="1:13" x14ac:dyDescent="0.25">
      <c r="A10530" s="417" t="s">
        <v>3385</v>
      </c>
      <c r="B10530" s="417" t="s">
        <v>2627</v>
      </c>
      <c r="C10530" s="417" t="s">
        <v>23508</v>
      </c>
      <c r="D10530" s="417" t="s">
        <v>88</v>
      </c>
      <c r="E10530" s="423">
        <v>187.55714394214419</v>
      </c>
      <c r="F10530" s="423">
        <v>5.7299144203986403</v>
      </c>
      <c r="G10530" s="422">
        <v>6532076.0378255267</v>
      </c>
      <c r="H10530" s="417" t="s">
        <v>2616</v>
      </c>
      <c r="I10530" s="417" t="s">
        <v>1392</v>
      </c>
      <c r="J10530" s="417" t="s">
        <v>23454</v>
      </c>
      <c r="K10530" s="417" t="s">
        <v>23509</v>
      </c>
      <c r="L10530" s="417"/>
      <c r="M10530" s="417" t="s">
        <v>28840</v>
      </c>
    </row>
    <row r="10531" spans="1:13" x14ac:dyDescent="0.25">
      <c r="A10531" s="417" t="s">
        <v>3385</v>
      </c>
      <c r="B10531" s="417" t="s">
        <v>2627</v>
      </c>
      <c r="C10531" s="417" t="s">
        <v>23510</v>
      </c>
      <c r="D10531" s="417" t="s">
        <v>88</v>
      </c>
      <c r="E10531" s="423">
        <v>240.20557823313391</v>
      </c>
      <c r="F10531" s="423">
        <v>4.9747039141769394</v>
      </c>
      <c r="G10531" s="422">
        <v>6357619.3043720899</v>
      </c>
      <c r="H10531" s="417" t="s">
        <v>2616</v>
      </c>
      <c r="I10531" s="417" t="s">
        <v>1392</v>
      </c>
      <c r="J10531" s="417" t="s">
        <v>23454</v>
      </c>
      <c r="K10531" s="417" t="s">
        <v>23511</v>
      </c>
      <c r="L10531" s="417"/>
      <c r="M10531" s="417" t="s">
        <v>28840</v>
      </c>
    </row>
    <row r="10532" spans="1:13" x14ac:dyDescent="0.25">
      <c r="A10532" s="417" t="s">
        <v>3385</v>
      </c>
      <c r="B10532" s="417" t="s">
        <v>2627</v>
      </c>
      <c r="C10532" s="417" t="s">
        <v>23512</v>
      </c>
      <c r="D10532" s="417" t="s">
        <v>88</v>
      </c>
      <c r="E10532" s="423">
        <v>351.81304145865317</v>
      </c>
      <c r="F10532" s="423">
        <v>3.4611747007766041</v>
      </c>
      <c r="G10532" s="422">
        <v>6007417.7990343608</v>
      </c>
      <c r="H10532" s="417" t="s">
        <v>2616</v>
      </c>
      <c r="I10532" s="417" t="s">
        <v>1392</v>
      </c>
      <c r="J10532" s="417" t="s">
        <v>23454</v>
      </c>
      <c r="K10532" s="417" t="s">
        <v>23513</v>
      </c>
      <c r="L10532" s="417"/>
      <c r="M10532" s="417" t="s">
        <v>28840</v>
      </c>
    </row>
    <row r="10533" spans="1:13" x14ac:dyDescent="0.25">
      <c r="A10533" s="417" t="s">
        <v>3385</v>
      </c>
      <c r="B10533" s="417" t="s">
        <v>2627</v>
      </c>
      <c r="C10533" s="417" t="s">
        <v>23514</v>
      </c>
      <c r="D10533" s="417" t="s">
        <v>88</v>
      </c>
      <c r="E10533" s="423">
        <v>185.08728379881671</v>
      </c>
      <c r="F10533" s="423">
        <v>5.7195550570906306</v>
      </c>
      <c r="G10533" s="422">
        <v>6529981.5701476252</v>
      </c>
      <c r="H10533" s="417" t="s">
        <v>2616</v>
      </c>
      <c r="I10533" s="417" t="s">
        <v>1392</v>
      </c>
      <c r="J10533" s="417" t="s">
        <v>23454</v>
      </c>
      <c r="K10533" s="417" t="s">
        <v>23515</v>
      </c>
      <c r="L10533" s="417"/>
      <c r="M10533" s="417" t="s">
        <v>28840</v>
      </c>
    </row>
    <row r="10534" spans="1:13" x14ac:dyDescent="0.25">
      <c r="A10534" s="417" t="s">
        <v>3385</v>
      </c>
      <c r="B10534" s="417" t="s">
        <v>2627</v>
      </c>
      <c r="C10534" s="417" t="s">
        <v>23516</v>
      </c>
      <c r="D10534" s="417" t="s">
        <v>88</v>
      </c>
      <c r="E10534" s="423">
        <v>86.874542577728675</v>
      </c>
      <c r="F10534" s="423">
        <v>5.3087354399037334</v>
      </c>
      <c r="G10534" s="422">
        <v>6423798.0560129443</v>
      </c>
      <c r="H10534" s="417" t="s">
        <v>2616</v>
      </c>
      <c r="I10534" s="417" t="s">
        <v>1392</v>
      </c>
      <c r="J10534" s="417" t="s">
        <v>23454</v>
      </c>
      <c r="K10534" s="417" t="s">
        <v>23517</v>
      </c>
      <c r="L10534" s="417"/>
      <c r="M10534" s="417" t="s">
        <v>28840</v>
      </c>
    </row>
    <row r="10535" spans="1:13" x14ac:dyDescent="0.25">
      <c r="A10535" s="417" t="s">
        <v>3385</v>
      </c>
      <c r="B10535" s="417" t="s">
        <v>2627</v>
      </c>
      <c r="C10535" s="417" t="s">
        <v>23518</v>
      </c>
      <c r="D10535" s="417" t="s">
        <v>88</v>
      </c>
      <c r="E10535" s="423">
        <v>130.53934912048271</v>
      </c>
      <c r="F10535" s="423">
        <v>6.0347614151138362</v>
      </c>
      <c r="G10535" s="422">
        <v>7219795.6598359374</v>
      </c>
      <c r="H10535" s="417" t="s">
        <v>2616</v>
      </c>
      <c r="I10535" s="417" t="s">
        <v>1392</v>
      </c>
      <c r="J10535" s="417" t="s">
        <v>23454</v>
      </c>
      <c r="K10535" s="417" t="s">
        <v>23519</v>
      </c>
      <c r="L10535" s="417"/>
      <c r="M10535" s="417" t="s">
        <v>28840</v>
      </c>
    </row>
    <row r="10536" spans="1:13" x14ac:dyDescent="0.25">
      <c r="A10536" s="417" t="s">
        <v>3385</v>
      </c>
      <c r="B10536" s="417" t="s">
        <v>2627</v>
      </c>
      <c r="C10536" s="417" t="s">
        <v>23520</v>
      </c>
      <c r="D10536" s="417" t="s">
        <v>88</v>
      </c>
      <c r="E10536" s="423">
        <v>46.774202656027271</v>
      </c>
      <c r="F10536" s="423">
        <v>2.5769168561785492</v>
      </c>
      <c r="G10536" s="422">
        <v>6387872.5361001221</v>
      </c>
      <c r="H10536" s="417" t="s">
        <v>2616</v>
      </c>
      <c r="I10536" s="417" t="s">
        <v>1392</v>
      </c>
      <c r="J10536" s="417" t="s">
        <v>23454</v>
      </c>
      <c r="K10536" s="417" t="s">
        <v>23521</v>
      </c>
      <c r="L10536" s="417"/>
      <c r="M10536" s="417" t="s">
        <v>28840</v>
      </c>
    </row>
    <row r="10537" spans="1:13" x14ac:dyDescent="0.25">
      <c r="A10537" s="417" t="s">
        <v>3385</v>
      </c>
      <c r="B10537" s="417" t="s">
        <v>2627</v>
      </c>
      <c r="C10537" s="417" t="s">
        <v>23522</v>
      </c>
      <c r="D10537" s="417" t="s">
        <v>88</v>
      </c>
      <c r="E10537" s="423">
        <v>96.007180445243293</v>
      </c>
      <c r="F10537" s="423">
        <v>4.4597514176511242</v>
      </c>
      <c r="G10537" s="422">
        <v>4953458.6676340373</v>
      </c>
      <c r="H10537" s="417" t="s">
        <v>2616</v>
      </c>
      <c r="I10537" s="417" t="s">
        <v>1392</v>
      </c>
      <c r="J10537" s="417" t="s">
        <v>23454</v>
      </c>
      <c r="K10537" s="417" t="s">
        <v>23523</v>
      </c>
      <c r="L10537" s="417"/>
      <c r="M10537" s="417" t="s">
        <v>28840</v>
      </c>
    </row>
    <row r="10538" spans="1:13" x14ac:dyDescent="0.25">
      <c r="A10538" s="417" t="s">
        <v>3385</v>
      </c>
      <c r="B10538" s="417" t="s">
        <v>2627</v>
      </c>
      <c r="C10538" s="417" t="s">
        <v>23524</v>
      </c>
      <c r="D10538" s="417" t="s">
        <v>88</v>
      </c>
      <c r="E10538" s="423">
        <v>119.835911639484</v>
      </c>
      <c r="F10538" s="423">
        <v>5.107209313043434</v>
      </c>
      <c r="G10538" s="422">
        <v>6443002.4528848194</v>
      </c>
      <c r="H10538" s="417" t="s">
        <v>2616</v>
      </c>
      <c r="I10538" s="417" t="s">
        <v>1392</v>
      </c>
      <c r="J10538" s="417" t="s">
        <v>23454</v>
      </c>
      <c r="K10538" s="417" t="s">
        <v>23525</v>
      </c>
      <c r="L10538" s="417"/>
      <c r="M10538" s="417" t="s">
        <v>28840</v>
      </c>
    </row>
    <row r="10539" spans="1:13" x14ac:dyDescent="0.25">
      <c r="A10539" s="417" t="s">
        <v>3385</v>
      </c>
      <c r="B10539" s="417" t="s">
        <v>2627</v>
      </c>
      <c r="C10539" s="417" t="s">
        <v>23526</v>
      </c>
      <c r="D10539" s="417" t="s">
        <v>88</v>
      </c>
      <c r="E10539" s="423">
        <v>129.34646743897719</v>
      </c>
      <c r="F10539" s="423">
        <v>6.0133779248104862</v>
      </c>
      <c r="G10539" s="422">
        <v>6811005.8453346388</v>
      </c>
      <c r="H10539" s="417" t="s">
        <v>2616</v>
      </c>
      <c r="I10539" s="417" t="s">
        <v>1392</v>
      </c>
      <c r="J10539" s="417" t="s">
        <v>23454</v>
      </c>
      <c r="K10539" s="417" t="s">
        <v>23527</v>
      </c>
      <c r="L10539" s="417"/>
      <c r="M10539" s="417" t="s">
        <v>28840</v>
      </c>
    </row>
    <row r="10540" spans="1:13" x14ac:dyDescent="0.25">
      <c r="A10540" s="417" t="s">
        <v>3385</v>
      </c>
      <c r="B10540" s="417" t="s">
        <v>2627</v>
      </c>
      <c r="C10540" s="417" t="s">
        <v>23528</v>
      </c>
      <c r="D10540" s="417" t="s">
        <v>88</v>
      </c>
      <c r="E10540" s="423">
        <v>147.29758703825749</v>
      </c>
      <c r="F10540" s="423">
        <v>6.8098342598310184</v>
      </c>
      <c r="G10540" s="422">
        <v>9079331.8247120678</v>
      </c>
      <c r="H10540" s="417" t="s">
        <v>2616</v>
      </c>
      <c r="I10540" s="417" t="s">
        <v>1392</v>
      </c>
      <c r="J10540" s="417" t="s">
        <v>23454</v>
      </c>
      <c r="K10540" s="417" t="s">
        <v>23529</v>
      </c>
      <c r="L10540" s="417"/>
      <c r="M10540" s="417" t="s">
        <v>28840</v>
      </c>
    </row>
    <row r="10541" spans="1:13" x14ac:dyDescent="0.25">
      <c r="A10541" s="417" t="s">
        <v>3385</v>
      </c>
      <c r="B10541" s="417" t="s">
        <v>2627</v>
      </c>
      <c r="C10541" s="417" t="s">
        <v>23530</v>
      </c>
      <c r="D10541" s="417" t="s">
        <v>88</v>
      </c>
      <c r="E10541" s="423">
        <v>71.926804889623156</v>
      </c>
      <c r="F10541" s="423">
        <v>3.4381674227976089</v>
      </c>
      <c r="G10541" s="422">
        <v>5913986.6531689726</v>
      </c>
      <c r="H10541" s="417" t="s">
        <v>2616</v>
      </c>
      <c r="I10541" s="417" t="s">
        <v>1392</v>
      </c>
      <c r="J10541" s="417" t="s">
        <v>23454</v>
      </c>
      <c r="K10541" s="417" t="s">
        <v>23531</v>
      </c>
      <c r="L10541" s="417"/>
      <c r="M10541" s="417" t="s">
        <v>28840</v>
      </c>
    </row>
    <row r="10542" spans="1:13" x14ac:dyDescent="0.25">
      <c r="A10542" s="417" t="s">
        <v>3385</v>
      </c>
      <c r="B10542" s="417" t="s">
        <v>2627</v>
      </c>
      <c r="C10542" s="417" t="s">
        <v>23532</v>
      </c>
      <c r="D10542" s="417" t="s">
        <v>88</v>
      </c>
      <c r="E10542" s="423">
        <v>341.5109258863834</v>
      </c>
      <c r="F10542" s="423">
        <v>3.1725220270202978</v>
      </c>
      <c r="G10542" s="422">
        <v>5988793.339525355</v>
      </c>
      <c r="H10542" s="417" t="s">
        <v>2616</v>
      </c>
      <c r="I10542" s="417" t="s">
        <v>1392</v>
      </c>
      <c r="J10542" s="417" t="s">
        <v>23454</v>
      </c>
      <c r="K10542" s="417" t="s">
        <v>23533</v>
      </c>
      <c r="L10542" s="417"/>
      <c r="M10542" s="417" t="s">
        <v>28840</v>
      </c>
    </row>
    <row r="10543" spans="1:13" x14ac:dyDescent="0.25">
      <c r="A10543" s="417" t="s">
        <v>3385</v>
      </c>
      <c r="B10543" s="417" t="s">
        <v>2627</v>
      </c>
      <c r="C10543" s="417" t="s">
        <v>23534</v>
      </c>
      <c r="D10543" s="417" t="s">
        <v>88</v>
      </c>
      <c r="E10543" s="423">
        <v>130.71474760665251</v>
      </c>
      <c r="F10543" s="423">
        <v>5.9765824590324366</v>
      </c>
      <c r="G10543" s="422">
        <v>6927678.8750133906</v>
      </c>
      <c r="H10543" s="417" t="s">
        <v>2616</v>
      </c>
      <c r="I10543" s="417" t="s">
        <v>1392</v>
      </c>
      <c r="J10543" s="417" t="s">
        <v>23454</v>
      </c>
      <c r="K10543" s="417" t="s">
        <v>23535</v>
      </c>
      <c r="L10543" s="417"/>
      <c r="M10543" s="417" t="s">
        <v>28840</v>
      </c>
    </row>
    <row r="10544" spans="1:13" x14ac:dyDescent="0.25">
      <c r="A10544" s="417" t="s">
        <v>3385</v>
      </c>
      <c r="B10544" s="417" t="s">
        <v>2627</v>
      </c>
      <c r="C10544" s="417" t="s">
        <v>23536</v>
      </c>
      <c r="D10544" s="417" t="s">
        <v>88</v>
      </c>
      <c r="E10544" s="423">
        <v>94.715778726511658</v>
      </c>
      <c r="F10544" s="423">
        <v>4.0109905266125576</v>
      </c>
      <c r="G10544" s="422">
        <v>5740563.3012120128</v>
      </c>
      <c r="H10544" s="417" t="s">
        <v>2616</v>
      </c>
      <c r="I10544" s="417" t="s">
        <v>1392</v>
      </c>
      <c r="J10544" s="417" t="s">
        <v>3860</v>
      </c>
      <c r="K10544" s="417" t="s">
        <v>23537</v>
      </c>
      <c r="L10544" s="417"/>
      <c r="M10544" s="417" t="s">
        <v>28840</v>
      </c>
    </row>
    <row r="10545" spans="1:13" x14ac:dyDescent="0.25">
      <c r="A10545" s="417" t="s">
        <v>3385</v>
      </c>
      <c r="B10545" s="417" t="s">
        <v>2627</v>
      </c>
      <c r="C10545" s="417" t="s">
        <v>23538</v>
      </c>
      <c r="D10545" s="417" t="s">
        <v>989</v>
      </c>
      <c r="E10545" s="423">
        <v>7467146.6545598088</v>
      </c>
      <c r="F10545" s="423">
        <v>168106.82371452829</v>
      </c>
      <c r="G10545" s="422">
        <v>16231732613.766899</v>
      </c>
      <c r="H10545" s="417" t="s">
        <v>2616</v>
      </c>
      <c r="I10545" s="417" t="s">
        <v>1392</v>
      </c>
      <c r="J10545" s="417" t="s">
        <v>14041</v>
      </c>
      <c r="K10545" s="417" t="s">
        <v>23539</v>
      </c>
      <c r="L10545" s="417"/>
      <c r="M10545" s="417" t="s">
        <v>28840</v>
      </c>
    </row>
    <row r="10546" spans="1:13" x14ac:dyDescent="0.25">
      <c r="A10546" s="417" t="s">
        <v>3385</v>
      </c>
      <c r="B10546" s="417" t="s">
        <v>2627</v>
      </c>
      <c r="C10546" s="417" t="s">
        <v>23540</v>
      </c>
      <c r="D10546" s="417" t="s">
        <v>989</v>
      </c>
      <c r="E10546" s="423">
        <v>5252189.8093529809</v>
      </c>
      <c r="F10546" s="423">
        <v>139552.631179483</v>
      </c>
      <c r="G10546" s="422">
        <v>10783862847.08338</v>
      </c>
      <c r="H10546" s="417" t="s">
        <v>2616</v>
      </c>
      <c r="I10546" s="417" t="s">
        <v>1392</v>
      </c>
      <c r="J10546" s="417" t="s">
        <v>14041</v>
      </c>
      <c r="K10546" s="417" t="s">
        <v>23541</v>
      </c>
      <c r="L10546" s="417"/>
      <c r="M10546" s="417" t="s">
        <v>28840</v>
      </c>
    </row>
    <row r="10547" spans="1:13" x14ac:dyDescent="0.25">
      <c r="A10547" s="417" t="s">
        <v>3385</v>
      </c>
      <c r="B10547" s="417" t="s">
        <v>2627</v>
      </c>
      <c r="C10547" s="417" t="s">
        <v>23542</v>
      </c>
      <c r="D10547" s="417" t="s">
        <v>88</v>
      </c>
      <c r="E10547" s="423">
        <v>375.165513971797</v>
      </c>
      <c r="F10547" s="423">
        <v>10.230261529182661</v>
      </c>
      <c r="G10547" s="422">
        <v>10757303.37327938</v>
      </c>
      <c r="H10547" s="417" t="s">
        <v>2616</v>
      </c>
      <c r="I10547" s="417" t="s">
        <v>1392</v>
      </c>
      <c r="J10547" s="417" t="s">
        <v>23454</v>
      </c>
      <c r="K10547" s="417" t="s">
        <v>23543</v>
      </c>
      <c r="L10547" s="417"/>
      <c r="M10547" s="417" t="s">
        <v>28840</v>
      </c>
    </row>
    <row r="10548" spans="1:13" x14ac:dyDescent="0.25">
      <c r="A10548" s="417" t="s">
        <v>3385</v>
      </c>
      <c r="B10548" s="417" t="s">
        <v>2627</v>
      </c>
      <c r="C10548" s="417" t="s">
        <v>23544</v>
      </c>
      <c r="D10548" s="417" t="s">
        <v>88</v>
      </c>
      <c r="E10548" s="423">
        <v>323.13282990991343</v>
      </c>
      <c r="F10548" s="423">
        <v>11.017876569461039</v>
      </c>
      <c r="G10548" s="422">
        <v>10686997.81001867</v>
      </c>
      <c r="H10548" s="417" t="s">
        <v>2616</v>
      </c>
      <c r="I10548" s="417" t="s">
        <v>1392</v>
      </c>
      <c r="J10548" s="417" t="s">
        <v>23454</v>
      </c>
      <c r="K10548" s="417" t="s">
        <v>23545</v>
      </c>
      <c r="L10548" s="417"/>
      <c r="M10548" s="417" t="s">
        <v>28840</v>
      </c>
    </row>
    <row r="10549" spans="1:13" x14ac:dyDescent="0.25">
      <c r="A10549" s="417" t="s">
        <v>3385</v>
      </c>
      <c r="B10549" s="417" t="s">
        <v>2627</v>
      </c>
      <c r="C10549" s="417" t="s">
        <v>23546</v>
      </c>
      <c r="D10549" s="417" t="s">
        <v>88</v>
      </c>
      <c r="E10549" s="423">
        <v>640.52163779305158</v>
      </c>
      <c r="F10549" s="423">
        <v>11.0560214790604</v>
      </c>
      <c r="G10549" s="422">
        <v>11568555.56006095</v>
      </c>
      <c r="H10549" s="417" t="s">
        <v>2616</v>
      </c>
      <c r="I10549" s="417" t="s">
        <v>1392</v>
      </c>
      <c r="J10549" s="417" t="s">
        <v>23454</v>
      </c>
      <c r="K10549" s="417" t="s">
        <v>23547</v>
      </c>
      <c r="L10549" s="417"/>
      <c r="M10549" s="417" t="s">
        <v>28840</v>
      </c>
    </row>
    <row r="10550" spans="1:13" x14ac:dyDescent="0.25">
      <c r="A10550" s="417" t="s">
        <v>3385</v>
      </c>
      <c r="B10550" s="417" t="s">
        <v>2627</v>
      </c>
      <c r="C10550" s="417" t="s">
        <v>23548</v>
      </c>
      <c r="D10550" s="417" t="s">
        <v>88</v>
      </c>
      <c r="E10550" s="423">
        <v>438.38733886627853</v>
      </c>
      <c r="F10550" s="423">
        <v>12.417740589539321</v>
      </c>
      <c r="G10550" s="422">
        <v>10834843.064239191</v>
      </c>
      <c r="H10550" s="417" t="s">
        <v>2616</v>
      </c>
      <c r="I10550" s="417" t="s">
        <v>1392</v>
      </c>
      <c r="J10550" s="417" t="s">
        <v>23454</v>
      </c>
      <c r="K10550" s="417" t="s">
        <v>23549</v>
      </c>
      <c r="L10550" s="417"/>
      <c r="M10550" s="417" t="s">
        <v>28840</v>
      </c>
    </row>
    <row r="10551" spans="1:13" x14ac:dyDescent="0.25">
      <c r="A10551" s="417" t="s">
        <v>3385</v>
      </c>
      <c r="B10551" s="417" t="s">
        <v>2627</v>
      </c>
      <c r="C10551" s="417" t="s">
        <v>23550</v>
      </c>
      <c r="D10551" s="417" t="s">
        <v>88</v>
      </c>
      <c r="E10551" s="423">
        <v>333.73402967905889</v>
      </c>
      <c r="F10551" s="423">
        <v>10.574654482774349</v>
      </c>
      <c r="G10551" s="422">
        <v>12673575.47795642</v>
      </c>
      <c r="H10551" s="417" t="s">
        <v>2616</v>
      </c>
      <c r="I10551" s="417" t="s">
        <v>1392</v>
      </c>
      <c r="J10551" s="417" t="s">
        <v>23454</v>
      </c>
      <c r="K10551" s="417" t="s">
        <v>23551</v>
      </c>
      <c r="L10551" s="417"/>
      <c r="M10551" s="417" t="s">
        <v>28840</v>
      </c>
    </row>
    <row r="10552" spans="1:13" x14ac:dyDescent="0.25">
      <c r="A10552" s="417" t="s">
        <v>3385</v>
      </c>
      <c r="B10552" s="417" t="s">
        <v>2627</v>
      </c>
      <c r="C10552" s="417" t="s">
        <v>23552</v>
      </c>
      <c r="D10552" s="417" t="s">
        <v>88</v>
      </c>
      <c r="E10552" s="423">
        <v>2752.7865089403281</v>
      </c>
      <c r="F10552" s="423">
        <v>13.614504765965449</v>
      </c>
      <c r="G10552" s="422">
        <v>14632392.80696382</v>
      </c>
      <c r="H10552" s="417" t="s">
        <v>2616</v>
      </c>
      <c r="I10552" s="417" t="s">
        <v>1392</v>
      </c>
      <c r="J10552" s="417" t="s">
        <v>23454</v>
      </c>
      <c r="K10552" s="417" t="s">
        <v>23553</v>
      </c>
      <c r="L10552" s="417"/>
      <c r="M10552" s="417" t="s">
        <v>28840</v>
      </c>
    </row>
    <row r="10553" spans="1:13" x14ac:dyDescent="0.25">
      <c r="A10553" s="417" t="s">
        <v>3385</v>
      </c>
      <c r="B10553" s="417" t="s">
        <v>2627</v>
      </c>
      <c r="C10553" s="417" t="s">
        <v>23554</v>
      </c>
      <c r="D10553" s="417" t="s">
        <v>88</v>
      </c>
      <c r="E10553" s="423">
        <v>305.97093704678571</v>
      </c>
      <c r="F10553" s="423">
        <v>9.7167210769643457</v>
      </c>
      <c r="G10553" s="422">
        <v>11694078.24168589</v>
      </c>
      <c r="H10553" s="417" t="s">
        <v>2616</v>
      </c>
      <c r="I10553" s="417" t="s">
        <v>1392</v>
      </c>
      <c r="J10553" s="417" t="s">
        <v>23454</v>
      </c>
      <c r="K10553" s="417" t="s">
        <v>23555</v>
      </c>
      <c r="L10553" s="417"/>
      <c r="M10553" s="417" t="s">
        <v>28840</v>
      </c>
    </row>
    <row r="10554" spans="1:13" x14ac:dyDescent="0.25">
      <c r="A10554" s="417" t="s">
        <v>3385</v>
      </c>
      <c r="B10554" s="417" t="s">
        <v>2627</v>
      </c>
      <c r="C10554" s="417" t="s">
        <v>23556</v>
      </c>
      <c r="D10554" s="417" t="s">
        <v>88</v>
      </c>
      <c r="E10554" s="423">
        <v>612.70312599461568</v>
      </c>
      <c r="F10554" s="423">
        <v>10.19710491053478</v>
      </c>
      <c r="G10554" s="422">
        <v>10588055.037181869</v>
      </c>
      <c r="H10554" s="417" t="s">
        <v>2616</v>
      </c>
      <c r="I10554" s="417" t="s">
        <v>1392</v>
      </c>
      <c r="J10554" s="417" t="s">
        <v>23454</v>
      </c>
      <c r="K10554" s="417" t="s">
        <v>23557</v>
      </c>
      <c r="L10554" s="417"/>
      <c r="M10554" s="417" t="s">
        <v>28840</v>
      </c>
    </row>
    <row r="10555" spans="1:13" x14ac:dyDescent="0.25">
      <c r="A10555" s="417" t="s">
        <v>3385</v>
      </c>
      <c r="B10555" s="417" t="s">
        <v>2627</v>
      </c>
      <c r="C10555" s="417" t="s">
        <v>23558</v>
      </c>
      <c r="D10555" s="417" t="s">
        <v>88</v>
      </c>
      <c r="E10555" s="423">
        <v>410.25051473283531</v>
      </c>
      <c r="F10555" s="423">
        <v>11.558113379513991</v>
      </c>
      <c r="G10555" s="422">
        <v>9855024.34284137</v>
      </c>
      <c r="H10555" s="417" t="s">
        <v>2616</v>
      </c>
      <c r="I10555" s="417" t="s">
        <v>1392</v>
      </c>
      <c r="J10555" s="417" t="s">
        <v>23454</v>
      </c>
      <c r="K10555" s="417" t="s">
        <v>23559</v>
      </c>
      <c r="L10555" s="417"/>
      <c r="M10555" s="417" t="s">
        <v>28840</v>
      </c>
    </row>
    <row r="10556" spans="1:13" x14ac:dyDescent="0.25">
      <c r="A10556" s="417" t="s">
        <v>3385</v>
      </c>
      <c r="B10556" s="417" t="s">
        <v>2627</v>
      </c>
      <c r="C10556" s="417" t="s">
        <v>23560</v>
      </c>
      <c r="D10556" s="417" t="s">
        <v>88</v>
      </c>
      <c r="E10556" s="423">
        <v>305.97093704678571</v>
      </c>
      <c r="F10556" s="423">
        <v>9.7167210769643457</v>
      </c>
      <c r="G10556" s="422">
        <v>11694078.24168589</v>
      </c>
      <c r="H10556" s="417" t="s">
        <v>2616</v>
      </c>
      <c r="I10556" s="417" t="s">
        <v>1392</v>
      </c>
      <c r="J10556" s="417" t="s">
        <v>23454</v>
      </c>
      <c r="K10556" s="417" t="s">
        <v>23561</v>
      </c>
      <c r="L10556" s="417"/>
      <c r="M10556" s="417" t="s">
        <v>28840</v>
      </c>
    </row>
    <row r="10557" spans="1:13" x14ac:dyDescent="0.25">
      <c r="A10557" s="417" t="s">
        <v>3385</v>
      </c>
      <c r="B10557" s="417" t="s">
        <v>2627</v>
      </c>
      <c r="C10557" s="417" t="s">
        <v>23562</v>
      </c>
      <c r="D10557" s="417" t="s">
        <v>88</v>
      </c>
      <c r="E10557" s="423">
        <v>347.40242139058802</v>
      </c>
      <c r="F10557" s="423">
        <v>9.372328270915478</v>
      </c>
      <c r="G10557" s="422">
        <v>9777806.1376914121</v>
      </c>
      <c r="H10557" s="417" t="s">
        <v>2616</v>
      </c>
      <c r="I10557" s="417" t="s">
        <v>1392</v>
      </c>
      <c r="J10557" s="417" t="s">
        <v>23454</v>
      </c>
      <c r="K10557" s="417" t="s">
        <v>23563</v>
      </c>
      <c r="L10557" s="417"/>
      <c r="M10557" s="417" t="s">
        <v>28840</v>
      </c>
    </row>
    <row r="10558" spans="1:13" x14ac:dyDescent="0.25">
      <c r="A10558" s="417" t="s">
        <v>3385</v>
      </c>
      <c r="B10558" s="417" t="s">
        <v>2627</v>
      </c>
      <c r="C10558" s="417" t="s">
        <v>23564</v>
      </c>
      <c r="D10558" s="417" t="s">
        <v>88</v>
      </c>
      <c r="E10558" s="423">
        <v>295.36973735320419</v>
      </c>
      <c r="F10558" s="423">
        <v>10.159943310973381</v>
      </c>
      <c r="G10558" s="422">
        <v>9707500.5744780414</v>
      </c>
      <c r="H10558" s="417" t="s">
        <v>2616</v>
      </c>
      <c r="I10558" s="417" t="s">
        <v>1392</v>
      </c>
      <c r="J10558" s="417" t="s">
        <v>23454</v>
      </c>
      <c r="K10558" s="417" t="s">
        <v>23565</v>
      </c>
      <c r="L10558" s="417"/>
      <c r="M10558" s="417" t="s">
        <v>28840</v>
      </c>
    </row>
    <row r="10559" spans="1:13" x14ac:dyDescent="0.25">
      <c r="A10559" s="417" t="s">
        <v>3385</v>
      </c>
      <c r="B10559" s="417" t="s">
        <v>2627</v>
      </c>
      <c r="C10559" s="417" t="s">
        <v>23566</v>
      </c>
      <c r="D10559" s="417" t="s">
        <v>88</v>
      </c>
      <c r="E10559" s="423">
        <v>2725.023416456329</v>
      </c>
      <c r="F10559" s="423">
        <v>12.75657152802464</v>
      </c>
      <c r="G10559" s="422">
        <v>13652895.57163783</v>
      </c>
      <c r="H10559" s="417" t="s">
        <v>2616</v>
      </c>
      <c r="I10559" s="417" t="s">
        <v>1392</v>
      </c>
      <c r="J10559" s="417" t="s">
        <v>23454</v>
      </c>
      <c r="K10559" s="417" t="s">
        <v>23567</v>
      </c>
      <c r="L10559" s="417"/>
      <c r="M10559" s="417" t="s">
        <v>28840</v>
      </c>
    </row>
    <row r="10560" spans="1:13" x14ac:dyDescent="0.25">
      <c r="A10560" s="417" t="s">
        <v>3385</v>
      </c>
      <c r="B10560" s="417" t="s">
        <v>2627</v>
      </c>
      <c r="C10560" s="417" t="s">
        <v>23568</v>
      </c>
      <c r="D10560" s="417" t="s">
        <v>88</v>
      </c>
      <c r="E10560" s="423">
        <v>293.51886450575779</v>
      </c>
      <c r="F10560" s="423">
        <v>10.10274776023939</v>
      </c>
      <c r="G10560" s="422">
        <v>9642200.758665774</v>
      </c>
      <c r="H10560" s="417" t="s">
        <v>2616</v>
      </c>
      <c r="I10560" s="417" t="s">
        <v>1392</v>
      </c>
      <c r="J10560" s="417" t="s">
        <v>23454</v>
      </c>
      <c r="K10560" s="417" t="s">
        <v>23569</v>
      </c>
      <c r="L10560" s="417"/>
      <c r="M10560" s="417" t="s">
        <v>28840</v>
      </c>
    </row>
    <row r="10561" spans="1:13" x14ac:dyDescent="0.25">
      <c r="A10561" s="417" t="s">
        <v>3385</v>
      </c>
      <c r="B10561" s="417" t="s">
        <v>2627</v>
      </c>
      <c r="C10561" s="417" t="s">
        <v>23570</v>
      </c>
      <c r="D10561" s="417" t="s">
        <v>88</v>
      </c>
      <c r="E10561" s="423">
        <v>399.25305103254948</v>
      </c>
      <c r="F10561" s="423">
        <v>9.9047428201592247</v>
      </c>
      <c r="G10561" s="422">
        <v>11014641.158983679</v>
      </c>
      <c r="H10561" s="417" t="s">
        <v>2616</v>
      </c>
      <c r="I10561" s="417" t="s">
        <v>1392</v>
      </c>
      <c r="J10561" s="417" t="s">
        <v>23454</v>
      </c>
      <c r="K10561" s="417" t="s">
        <v>23571</v>
      </c>
      <c r="L10561" s="417"/>
      <c r="M10561" s="417" t="s">
        <v>28840</v>
      </c>
    </row>
    <row r="10562" spans="1:13" x14ac:dyDescent="0.25">
      <c r="A10562" s="417" t="s">
        <v>3385</v>
      </c>
      <c r="B10562" s="417" t="s">
        <v>2627</v>
      </c>
      <c r="C10562" s="417" t="s">
        <v>23572</v>
      </c>
      <c r="D10562" s="417" t="s">
        <v>88</v>
      </c>
      <c r="E10562" s="423">
        <v>304.12006449160162</v>
      </c>
      <c r="F10562" s="423">
        <v>9.6595256810433483</v>
      </c>
      <c r="G10562" s="422">
        <v>11628778.42685415</v>
      </c>
      <c r="H10562" s="417" t="s">
        <v>2616</v>
      </c>
      <c r="I10562" s="417" t="s">
        <v>1392</v>
      </c>
      <c r="J10562" s="417" t="s">
        <v>23454</v>
      </c>
      <c r="K10562" s="417" t="s">
        <v>23573</v>
      </c>
      <c r="L10562" s="417"/>
      <c r="M10562" s="417" t="s">
        <v>28840</v>
      </c>
    </row>
    <row r="10563" spans="1:13" x14ac:dyDescent="0.25">
      <c r="A10563" s="417" t="s">
        <v>3385</v>
      </c>
      <c r="B10563" s="417" t="s">
        <v>2627</v>
      </c>
      <c r="C10563" s="417" t="s">
        <v>23574</v>
      </c>
      <c r="D10563" s="417" t="s">
        <v>88</v>
      </c>
      <c r="E10563" s="423">
        <v>345.55154855667172</v>
      </c>
      <c r="F10563" s="423">
        <v>9.3151327201994292</v>
      </c>
      <c r="G10563" s="422">
        <v>9712506.3220190331</v>
      </c>
      <c r="H10563" s="417" t="s">
        <v>2616</v>
      </c>
      <c r="I10563" s="417" t="s">
        <v>1392</v>
      </c>
      <c r="J10563" s="417" t="s">
        <v>23454</v>
      </c>
      <c r="K10563" s="417" t="s">
        <v>23575</v>
      </c>
      <c r="L10563" s="417"/>
      <c r="M10563" s="417" t="s">
        <v>28840</v>
      </c>
    </row>
    <row r="10564" spans="1:13" x14ac:dyDescent="0.25">
      <c r="A10564" s="417" t="s">
        <v>3385</v>
      </c>
      <c r="B10564" s="417" t="s">
        <v>2627</v>
      </c>
      <c r="C10564" s="417" t="s">
        <v>23576</v>
      </c>
      <c r="D10564" s="417" t="s">
        <v>88</v>
      </c>
      <c r="E10564" s="423">
        <v>2723.1725436431502</v>
      </c>
      <c r="F10564" s="423">
        <v>12.69937600448981</v>
      </c>
      <c r="G10564" s="422">
        <v>13587595.756035751</v>
      </c>
      <c r="H10564" s="417" t="s">
        <v>2616</v>
      </c>
      <c r="I10564" s="417" t="s">
        <v>1392</v>
      </c>
      <c r="J10564" s="417" t="s">
        <v>23454</v>
      </c>
      <c r="K10564" s="417" t="s">
        <v>23577</v>
      </c>
      <c r="L10564" s="417"/>
      <c r="M10564" s="417" t="s">
        <v>28840</v>
      </c>
    </row>
    <row r="10565" spans="1:13" x14ac:dyDescent="0.25">
      <c r="A10565" s="417" t="s">
        <v>3385</v>
      </c>
      <c r="B10565" s="417" t="s">
        <v>2627</v>
      </c>
      <c r="C10565" s="417" t="s">
        <v>23578</v>
      </c>
      <c r="D10565" s="417" t="s">
        <v>88</v>
      </c>
      <c r="E10565" s="423">
        <v>592.41613653855688</v>
      </c>
      <c r="F10565" s="423">
        <v>10.239826808272101</v>
      </c>
      <c r="G10565" s="422">
        <v>10347559.358688369</v>
      </c>
      <c r="H10565" s="417" t="s">
        <v>2616</v>
      </c>
      <c r="I10565" s="417" t="s">
        <v>1392</v>
      </c>
      <c r="J10565" s="417" t="s">
        <v>23454</v>
      </c>
      <c r="K10565" s="417" t="s">
        <v>23579</v>
      </c>
      <c r="L10565" s="417"/>
      <c r="M10565" s="417" t="s">
        <v>28840</v>
      </c>
    </row>
    <row r="10566" spans="1:13" x14ac:dyDescent="0.25">
      <c r="A10566" s="417" t="s">
        <v>3385</v>
      </c>
      <c r="B10566" s="417" t="s">
        <v>2627</v>
      </c>
      <c r="C10566" s="417" t="s">
        <v>23580</v>
      </c>
      <c r="D10566" s="417" t="s">
        <v>88</v>
      </c>
      <c r="E10566" s="423">
        <v>395.55130586492999</v>
      </c>
      <c r="F10566" s="423">
        <v>9.7903518312411268</v>
      </c>
      <c r="G10566" s="422">
        <v>10884041.528584659</v>
      </c>
      <c r="H10566" s="417" t="s">
        <v>2616</v>
      </c>
      <c r="I10566" s="417" t="s">
        <v>1392</v>
      </c>
      <c r="J10566" s="417" t="s">
        <v>23454</v>
      </c>
      <c r="K10566" s="417" t="s">
        <v>23581</v>
      </c>
      <c r="L10566" s="417"/>
      <c r="M10566" s="417" t="s">
        <v>28840</v>
      </c>
    </row>
    <row r="10567" spans="1:13" x14ac:dyDescent="0.25">
      <c r="A10567" s="417" t="s">
        <v>3385</v>
      </c>
      <c r="B10567" s="417" t="s">
        <v>2627</v>
      </c>
      <c r="C10567" s="417" t="s">
        <v>23582</v>
      </c>
      <c r="D10567" s="417" t="s">
        <v>88</v>
      </c>
      <c r="E10567" s="423">
        <v>592.41613653855688</v>
      </c>
      <c r="F10567" s="423">
        <v>10.239826808272101</v>
      </c>
      <c r="G10567" s="422">
        <v>10347559.358688369</v>
      </c>
      <c r="H10567" s="417" t="s">
        <v>2616</v>
      </c>
      <c r="I10567" s="417" t="s">
        <v>1392</v>
      </c>
      <c r="J10567" s="417" t="s">
        <v>23454</v>
      </c>
      <c r="K10567" s="417" t="s">
        <v>23583</v>
      </c>
      <c r="L10567" s="417"/>
      <c r="M10567" s="417" t="s">
        <v>28840</v>
      </c>
    </row>
    <row r="10568" spans="1:13" x14ac:dyDescent="0.25">
      <c r="A10568" s="417" t="s">
        <v>3385</v>
      </c>
      <c r="B10568" s="417" t="s">
        <v>2627</v>
      </c>
      <c r="C10568" s="417" t="s">
        <v>23584</v>
      </c>
      <c r="D10568" s="417" t="s">
        <v>88</v>
      </c>
      <c r="E10568" s="423">
        <v>300.41831966726318</v>
      </c>
      <c r="F10568" s="423">
        <v>9.5451347664940975</v>
      </c>
      <c r="G10568" s="422">
        <v>11498178.798208971</v>
      </c>
      <c r="H10568" s="417" t="s">
        <v>2616</v>
      </c>
      <c r="I10568" s="417" t="s">
        <v>1392</v>
      </c>
      <c r="J10568" s="417" t="s">
        <v>23454</v>
      </c>
      <c r="K10568" s="417" t="s">
        <v>23585</v>
      </c>
      <c r="L10568" s="417"/>
      <c r="M10568" s="417" t="s">
        <v>28840</v>
      </c>
    </row>
    <row r="10569" spans="1:13" x14ac:dyDescent="0.25">
      <c r="A10569" s="417" t="s">
        <v>3385</v>
      </c>
      <c r="B10569" s="417" t="s">
        <v>2627</v>
      </c>
      <c r="C10569" s="417" t="s">
        <v>23586</v>
      </c>
      <c r="D10569" s="417" t="s">
        <v>88</v>
      </c>
      <c r="E10569" s="423">
        <v>341.8498028786978</v>
      </c>
      <c r="F10569" s="423">
        <v>9.2007416188922981</v>
      </c>
      <c r="G10569" s="422">
        <v>9581906.6906286664</v>
      </c>
      <c r="H10569" s="417" t="s">
        <v>2616</v>
      </c>
      <c r="I10569" s="417" t="s">
        <v>1392</v>
      </c>
      <c r="J10569" s="417" t="s">
        <v>23454</v>
      </c>
      <c r="K10569" s="417" t="s">
        <v>23587</v>
      </c>
      <c r="L10569" s="417"/>
      <c r="M10569" s="417" t="s">
        <v>28840</v>
      </c>
    </row>
    <row r="10570" spans="1:13" x14ac:dyDescent="0.25">
      <c r="A10570" s="417" t="s">
        <v>3385</v>
      </c>
      <c r="B10570" s="417" t="s">
        <v>2627</v>
      </c>
      <c r="C10570" s="417" t="s">
        <v>23588</v>
      </c>
      <c r="D10570" s="417" t="s">
        <v>88</v>
      </c>
      <c r="E10570" s="423">
        <v>289.81711882748817</v>
      </c>
      <c r="F10570" s="423">
        <v>9.9883566592638715</v>
      </c>
      <c r="G10570" s="422">
        <v>9511601.1273242198</v>
      </c>
      <c r="H10570" s="417" t="s">
        <v>2616</v>
      </c>
      <c r="I10570" s="417" t="s">
        <v>1392</v>
      </c>
      <c r="J10570" s="417" t="s">
        <v>23454</v>
      </c>
      <c r="K10570" s="417" t="s">
        <v>23589</v>
      </c>
      <c r="L10570" s="417"/>
      <c r="M10570" s="417" t="s">
        <v>28840</v>
      </c>
    </row>
    <row r="10571" spans="1:13" x14ac:dyDescent="0.25">
      <c r="A10571" s="417" t="s">
        <v>3385</v>
      </c>
      <c r="B10571" s="417" t="s">
        <v>2627</v>
      </c>
      <c r="C10571" s="417" t="s">
        <v>23590</v>
      </c>
      <c r="D10571" s="417" t="s">
        <v>88</v>
      </c>
      <c r="E10571" s="423">
        <v>2719.4707978244842</v>
      </c>
      <c r="F10571" s="423">
        <v>12.58498485586413</v>
      </c>
      <c r="G10571" s="422">
        <v>13456996.12449488</v>
      </c>
      <c r="H10571" s="417" t="s">
        <v>2616</v>
      </c>
      <c r="I10571" s="417" t="s">
        <v>1392</v>
      </c>
      <c r="J10571" s="417" t="s">
        <v>23454</v>
      </c>
      <c r="K10571" s="417" t="s">
        <v>23591</v>
      </c>
      <c r="L10571" s="417"/>
      <c r="M10571" s="417" t="s">
        <v>28840</v>
      </c>
    </row>
    <row r="10572" spans="1:13" x14ac:dyDescent="0.25">
      <c r="A10572" s="417" t="s">
        <v>3385</v>
      </c>
      <c r="B10572" s="417" t="s">
        <v>2627</v>
      </c>
      <c r="C10572" s="417" t="s">
        <v>23592</v>
      </c>
      <c r="D10572" s="417" t="s">
        <v>88</v>
      </c>
      <c r="E10572" s="423">
        <v>292.47609360578872</v>
      </c>
      <c r="F10572" s="423">
        <v>9.6080324284921375</v>
      </c>
      <c r="G10572" s="422">
        <v>10572948.098171489</v>
      </c>
      <c r="H10572" s="417" t="s">
        <v>2616</v>
      </c>
      <c r="I10572" s="417" t="s">
        <v>1392</v>
      </c>
      <c r="J10572" s="417" t="s">
        <v>23454</v>
      </c>
      <c r="K10572" s="417" t="s">
        <v>23593</v>
      </c>
      <c r="L10572" s="417"/>
      <c r="M10572" s="417" t="s">
        <v>28840</v>
      </c>
    </row>
    <row r="10573" spans="1:13" x14ac:dyDescent="0.25">
      <c r="A10573" s="417" t="s">
        <v>3385</v>
      </c>
      <c r="B10573" s="417" t="s">
        <v>2627</v>
      </c>
      <c r="C10573" s="417" t="s">
        <v>23594</v>
      </c>
      <c r="D10573" s="417" t="s">
        <v>88</v>
      </c>
      <c r="E10573" s="423">
        <v>296.71657390412219</v>
      </c>
      <c r="F10573" s="423">
        <v>9.4307436754278804</v>
      </c>
      <c r="G10573" s="422">
        <v>11367579.16640198</v>
      </c>
      <c r="H10573" s="417" t="s">
        <v>2616</v>
      </c>
      <c r="I10573" s="417" t="s">
        <v>1392</v>
      </c>
      <c r="J10573" s="417" t="s">
        <v>23454</v>
      </c>
      <c r="K10573" s="417" t="s">
        <v>23595</v>
      </c>
      <c r="L10573" s="417"/>
      <c r="M10573" s="417" t="s">
        <v>28840</v>
      </c>
    </row>
    <row r="10574" spans="1:13" x14ac:dyDescent="0.25">
      <c r="A10574" s="417" t="s">
        <v>3385</v>
      </c>
      <c r="B10574" s="417" t="s">
        <v>2627</v>
      </c>
      <c r="C10574" s="417" t="s">
        <v>23596</v>
      </c>
      <c r="D10574" s="417" t="s">
        <v>88</v>
      </c>
      <c r="E10574" s="423">
        <v>338.14805720601157</v>
      </c>
      <c r="F10574" s="423">
        <v>9.0863505177547381</v>
      </c>
      <c r="G10574" s="422">
        <v>9451307.0591877997</v>
      </c>
      <c r="H10574" s="417" t="s">
        <v>2616</v>
      </c>
      <c r="I10574" s="417" t="s">
        <v>1392</v>
      </c>
      <c r="J10574" s="417" t="s">
        <v>23454</v>
      </c>
      <c r="K10574" s="417" t="s">
        <v>23597</v>
      </c>
      <c r="L10574" s="417"/>
      <c r="M10574" s="417" t="s">
        <v>28840</v>
      </c>
    </row>
    <row r="10575" spans="1:13" x14ac:dyDescent="0.25">
      <c r="A10575" s="417" t="s">
        <v>3385</v>
      </c>
      <c r="B10575" s="417" t="s">
        <v>2627</v>
      </c>
      <c r="C10575" s="417" t="s">
        <v>23598</v>
      </c>
      <c r="D10575" s="417" t="s">
        <v>88</v>
      </c>
      <c r="E10575" s="423">
        <v>286.1153731583218</v>
      </c>
      <c r="F10575" s="423">
        <v>9.8739655582174848</v>
      </c>
      <c r="G10575" s="422">
        <v>9381001.4959900659</v>
      </c>
      <c r="H10575" s="417" t="s">
        <v>2616</v>
      </c>
      <c r="I10575" s="417" t="s">
        <v>1392</v>
      </c>
      <c r="J10575" s="417" t="s">
        <v>23454</v>
      </c>
      <c r="K10575" s="417" t="s">
        <v>23599</v>
      </c>
      <c r="L10575" s="417"/>
      <c r="M10575" s="417" t="s">
        <v>28840</v>
      </c>
    </row>
    <row r="10576" spans="1:13" x14ac:dyDescent="0.25">
      <c r="A10576" s="417" t="s">
        <v>3385</v>
      </c>
      <c r="B10576" s="417" t="s">
        <v>2627</v>
      </c>
      <c r="C10576" s="417" t="s">
        <v>23600</v>
      </c>
      <c r="D10576" s="417" t="s">
        <v>88</v>
      </c>
      <c r="E10576" s="423">
        <v>2715.7690524645509</v>
      </c>
      <c r="F10576" s="423">
        <v>12.470593836250741</v>
      </c>
      <c r="G10576" s="422">
        <v>13326396.493693151</v>
      </c>
      <c r="H10576" s="417" t="s">
        <v>2616</v>
      </c>
      <c r="I10576" s="417" t="s">
        <v>1392</v>
      </c>
      <c r="J10576" s="417" t="s">
        <v>23454</v>
      </c>
      <c r="K10576" s="417" t="s">
        <v>23601</v>
      </c>
      <c r="L10576" s="417"/>
      <c r="M10576" s="417" t="s">
        <v>28840</v>
      </c>
    </row>
    <row r="10577" spans="1:13" x14ac:dyDescent="0.25">
      <c r="A10577" s="417" t="s">
        <v>3385</v>
      </c>
      <c r="B10577" s="417" t="s">
        <v>2627</v>
      </c>
      <c r="C10577" s="417" t="s">
        <v>23602</v>
      </c>
      <c r="D10577" s="417" t="s">
        <v>88</v>
      </c>
      <c r="E10577" s="423">
        <v>286.1153731583218</v>
      </c>
      <c r="F10577" s="423">
        <v>9.8739655582174848</v>
      </c>
      <c r="G10577" s="422">
        <v>9381001.4959900659</v>
      </c>
      <c r="H10577" s="417" t="s">
        <v>2616</v>
      </c>
      <c r="I10577" s="417" t="s">
        <v>1392</v>
      </c>
      <c r="J10577" s="417" t="s">
        <v>23454</v>
      </c>
      <c r="K10577" s="417" t="s">
        <v>23603</v>
      </c>
      <c r="L10577" s="417"/>
      <c r="M10577" s="417" t="s">
        <v>28840</v>
      </c>
    </row>
    <row r="10578" spans="1:13" x14ac:dyDescent="0.25">
      <c r="A10578" s="417" t="s">
        <v>3385</v>
      </c>
      <c r="B10578" s="417" t="s">
        <v>2627</v>
      </c>
      <c r="C10578" s="417" t="s">
        <v>23604</v>
      </c>
      <c r="D10578" s="417" t="s">
        <v>88</v>
      </c>
      <c r="E10578" s="423">
        <v>922.96444461075339</v>
      </c>
      <c r="F10578" s="423">
        <v>7.7638492685256271</v>
      </c>
      <c r="G10578" s="422">
        <v>9826549.1019107532</v>
      </c>
      <c r="H10578" s="417" t="s">
        <v>2616</v>
      </c>
      <c r="I10578" s="417" t="s">
        <v>1392</v>
      </c>
      <c r="J10578" s="417" t="s">
        <v>23454</v>
      </c>
      <c r="K10578" s="417" t="s">
        <v>23605</v>
      </c>
      <c r="L10578" s="417"/>
      <c r="M10578" s="417" t="s">
        <v>28840</v>
      </c>
    </row>
    <row r="10579" spans="1:13" x14ac:dyDescent="0.25">
      <c r="A10579" s="417" t="s">
        <v>3385</v>
      </c>
      <c r="B10579" s="417" t="s">
        <v>2627</v>
      </c>
      <c r="C10579" s="417" t="s">
        <v>23606</v>
      </c>
      <c r="D10579" s="417" t="s">
        <v>88</v>
      </c>
      <c r="E10579" s="423">
        <v>368.32956598794499</v>
      </c>
      <c r="F10579" s="423">
        <v>8.2163651346181101</v>
      </c>
      <c r="G10579" s="422">
        <v>10930372.543183999</v>
      </c>
      <c r="H10579" s="417" t="s">
        <v>2616</v>
      </c>
      <c r="I10579" s="417" t="s">
        <v>1392</v>
      </c>
      <c r="J10579" s="417" t="s">
        <v>23454</v>
      </c>
      <c r="K10579" s="417" t="s">
        <v>23607</v>
      </c>
      <c r="L10579" s="417"/>
      <c r="M10579" s="417" t="s">
        <v>28840</v>
      </c>
    </row>
    <row r="10580" spans="1:13" x14ac:dyDescent="0.25">
      <c r="A10580" s="417" t="s">
        <v>3385</v>
      </c>
      <c r="B10580" s="417" t="s">
        <v>2627</v>
      </c>
      <c r="C10580" s="417" t="s">
        <v>23608</v>
      </c>
      <c r="D10580" s="417" t="s">
        <v>88</v>
      </c>
      <c r="E10580" s="423">
        <v>558.62967007177008</v>
      </c>
      <c r="F10580" s="423">
        <v>5.5230759514237828</v>
      </c>
      <c r="G10580" s="422">
        <v>8521304.78489138</v>
      </c>
      <c r="H10580" s="417" t="s">
        <v>2616</v>
      </c>
      <c r="I10580" s="417" t="s">
        <v>1392</v>
      </c>
      <c r="J10580" s="417" t="s">
        <v>23454</v>
      </c>
      <c r="K10580" s="417" t="s">
        <v>23609</v>
      </c>
      <c r="L10580" s="417"/>
      <c r="M10580" s="417" t="s">
        <v>28840</v>
      </c>
    </row>
    <row r="10581" spans="1:13" x14ac:dyDescent="0.25">
      <c r="A10581" s="417" t="s">
        <v>3385</v>
      </c>
      <c r="B10581" s="417" t="s">
        <v>2627</v>
      </c>
      <c r="C10581" s="417" t="s">
        <v>23610</v>
      </c>
      <c r="D10581" s="417" t="s">
        <v>88</v>
      </c>
      <c r="E10581" s="423">
        <v>357.7283668497746</v>
      </c>
      <c r="F10581" s="423">
        <v>8.6595873060778707</v>
      </c>
      <c r="G10581" s="422">
        <v>8943794.8768597096</v>
      </c>
      <c r="H10581" s="417" t="s">
        <v>2616</v>
      </c>
      <c r="I10581" s="417" t="s">
        <v>1392</v>
      </c>
      <c r="J10581" s="417" t="s">
        <v>23454</v>
      </c>
      <c r="K10581" s="417" t="s">
        <v>23611</v>
      </c>
      <c r="L10581" s="417"/>
      <c r="M10581" s="417" t="s">
        <v>28840</v>
      </c>
    </row>
    <row r="10582" spans="1:13" x14ac:dyDescent="0.25">
      <c r="A10582" s="417" t="s">
        <v>3385</v>
      </c>
      <c r="B10582" s="417" t="s">
        <v>2627</v>
      </c>
      <c r="C10582" s="417" t="s">
        <v>23612</v>
      </c>
      <c r="D10582" s="417" t="s">
        <v>88</v>
      </c>
      <c r="E10582" s="423">
        <v>2787.382045969533</v>
      </c>
      <c r="F10582" s="423">
        <v>11.256215513993491</v>
      </c>
      <c r="G10582" s="422">
        <v>12889189.87408977</v>
      </c>
      <c r="H10582" s="417" t="s">
        <v>2616</v>
      </c>
      <c r="I10582" s="417" t="s">
        <v>1392</v>
      </c>
      <c r="J10582" s="417" t="s">
        <v>23454</v>
      </c>
      <c r="K10582" s="417" t="s">
        <v>23613</v>
      </c>
      <c r="L10582" s="417"/>
      <c r="M10582" s="417" t="s">
        <v>28840</v>
      </c>
    </row>
    <row r="10583" spans="1:13" x14ac:dyDescent="0.25">
      <c r="A10583" s="417" t="s">
        <v>3385</v>
      </c>
      <c r="B10583" s="417" t="s">
        <v>2627</v>
      </c>
      <c r="C10583" s="417" t="s">
        <v>23614</v>
      </c>
      <c r="D10583" s="417" t="s">
        <v>88</v>
      </c>
      <c r="E10583" s="423">
        <v>784.37750739538365</v>
      </c>
      <c r="F10583" s="423">
        <v>8.0710776567664624</v>
      </c>
      <c r="G10583" s="422">
        <v>9663849.5237500742</v>
      </c>
      <c r="H10583" s="417" t="s">
        <v>2616</v>
      </c>
      <c r="I10583" s="417" t="s">
        <v>1392</v>
      </c>
      <c r="J10583" s="417" t="s">
        <v>23454</v>
      </c>
      <c r="K10583" s="417" t="s">
        <v>23615</v>
      </c>
      <c r="L10583" s="417"/>
      <c r="M10583" s="417" t="s">
        <v>28840</v>
      </c>
    </row>
    <row r="10584" spans="1:13" x14ac:dyDescent="0.25">
      <c r="A10584" s="417" t="s">
        <v>3385</v>
      </c>
      <c r="B10584" s="417" t="s">
        <v>2627</v>
      </c>
      <c r="C10584" s="417" t="s">
        <v>23616</v>
      </c>
      <c r="D10584" s="417" t="s">
        <v>88</v>
      </c>
      <c r="E10584" s="423">
        <v>358.72134365122719</v>
      </c>
      <c r="F10584" s="423">
        <v>8.017377109621064</v>
      </c>
      <c r="G10584" s="422">
        <v>10676067.773152869</v>
      </c>
      <c r="H10584" s="417" t="s">
        <v>2616</v>
      </c>
      <c r="I10584" s="417" t="s">
        <v>1392</v>
      </c>
      <c r="J10584" s="417" t="s">
        <v>23454</v>
      </c>
      <c r="K10584" s="417" t="s">
        <v>23617</v>
      </c>
      <c r="L10584" s="417"/>
      <c r="M10584" s="417" t="s">
        <v>28840</v>
      </c>
    </row>
    <row r="10585" spans="1:13" x14ac:dyDescent="0.25">
      <c r="A10585" s="417" t="s">
        <v>3385</v>
      </c>
      <c r="B10585" s="417" t="s">
        <v>2627</v>
      </c>
      <c r="C10585" s="417" t="s">
        <v>23618</v>
      </c>
      <c r="D10585" s="417" t="s">
        <v>88</v>
      </c>
      <c r="E10585" s="423">
        <v>544.55714843715589</v>
      </c>
      <c r="F10585" s="423">
        <v>5.3846289649972547</v>
      </c>
      <c r="G10585" s="422">
        <v>8281008.0729553634</v>
      </c>
      <c r="H10585" s="417" t="s">
        <v>2616</v>
      </c>
      <c r="I10585" s="417" t="s">
        <v>1392</v>
      </c>
      <c r="J10585" s="417" t="s">
        <v>23454</v>
      </c>
      <c r="K10585" s="417" t="s">
        <v>23619</v>
      </c>
      <c r="L10585" s="417"/>
      <c r="M10585" s="417" t="s">
        <v>28840</v>
      </c>
    </row>
    <row r="10586" spans="1:13" x14ac:dyDescent="0.25">
      <c r="A10586" s="417" t="s">
        <v>3385</v>
      </c>
      <c r="B10586" s="417" t="s">
        <v>2627</v>
      </c>
      <c r="C10586" s="417" t="s">
        <v>23620</v>
      </c>
      <c r="D10586" s="417" t="s">
        <v>88</v>
      </c>
      <c r="E10586" s="423">
        <v>348.12014371668681</v>
      </c>
      <c r="F10586" s="423">
        <v>8.4605991491980532</v>
      </c>
      <c r="G10586" s="422">
        <v>8689490.1045822483</v>
      </c>
      <c r="H10586" s="417" t="s">
        <v>2616</v>
      </c>
      <c r="I10586" s="417" t="s">
        <v>1392</v>
      </c>
      <c r="J10586" s="417" t="s">
        <v>23454</v>
      </c>
      <c r="K10586" s="417" t="s">
        <v>23621</v>
      </c>
      <c r="L10586" s="417"/>
      <c r="M10586" s="417" t="s">
        <v>28840</v>
      </c>
    </row>
    <row r="10587" spans="1:13" x14ac:dyDescent="0.25">
      <c r="A10587" s="417" t="s">
        <v>3385</v>
      </c>
      <c r="B10587" s="417" t="s">
        <v>2627</v>
      </c>
      <c r="C10587" s="417" t="s">
        <v>23622</v>
      </c>
      <c r="D10587" s="417" t="s">
        <v>88</v>
      </c>
      <c r="E10587" s="423">
        <v>2777.7738225391922</v>
      </c>
      <c r="F10587" s="423">
        <v>11.057227266329839</v>
      </c>
      <c r="G10587" s="422">
        <v>12634885.101000899</v>
      </c>
      <c r="H10587" s="417" t="s">
        <v>2616</v>
      </c>
      <c r="I10587" s="417" t="s">
        <v>1392</v>
      </c>
      <c r="J10587" s="417" t="s">
        <v>23454</v>
      </c>
      <c r="K10587" s="417" t="s">
        <v>23623</v>
      </c>
      <c r="L10587" s="417"/>
      <c r="M10587" s="417" t="s">
        <v>28840</v>
      </c>
    </row>
    <row r="10588" spans="1:13" x14ac:dyDescent="0.25">
      <c r="A10588" s="417" t="s">
        <v>3385</v>
      </c>
      <c r="B10588" s="417" t="s">
        <v>2627</v>
      </c>
      <c r="C10588" s="417" t="s">
        <v>23624</v>
      </c>
      <c r="D10588" s="417" t="s">
        <v>88</v>
      </c>
      <c r="E10588" s="423">
        <v>2.1641535769700471</v>
      </c>
      <c r="F10588" s="423">
        <v>4.0447658202920192E-2</v>
      </c>
      <c r="G10588" s="422">
        <v>3663.952551773004</v>
      </c>
      <c r="H10588" s="417" t="s">
        <v>2616</v>
      </c>
      <c r="I10588" s="417" t="s">
        <v>1392</v>
      </c>
      <c r="J10588" s="417" t="s">
        <v>5182</v>
      </c>
      <c r="K10588" s="417" t="s">
        <v>23625</v>
      </c>
      <c r="L10588" s="417"/>
      <c r="M10588" s="417" t="s">
        <v>28840</v>
      </c>
    </row>
    <row r="10589" spans="1:13" x14ac:dyDescent="0.25">
      <c r="A10589" s="417" t="s">
        <v>3385</v>
      </c>
      <c r="B10589" s="417" t="s">
        <v>2627</v>
      </c>
      <c r="C10589" s="417" t="s">
        <v>23626</v>
      </c>
      <c r="D10589" s="417" t="s">
        <v>88</v>
      </c>
      <c r="E10589" s="423">
        <v>1.9303552793647341</v>
      </c>
      <c r="F10589" s="423">
        <v>3.5117572489402032E-2</v>
      </c>
      <c r="G10589" s="422">
        <v>3000.1968515219419</v>
      </c>
      <c r="H10589" s="417" t="s">
        <v>2616</v>
      </c>
      <c r="I10589" s="417" t="s">
        <v>1392</v>
      </c>
      <c r="J10589" s="417" t="s">
        <v>3396</v>
      </c>
      <c r="K10589" s="417" t="s">
        <v>23627</v>
      </c>
      <c r="L10589" s="417"/>
      <c r="M10589" s="417" t="s">
        <v>28840</v>
      </c>
    </row>
    <row r="10590" spans="1:13" x14ac:dyDescent="0.25">
      <c r="A10590" s="417" t="s">
        <v>3385</v>
      </c>
      <c r="B10590" s="417" t="s">
        <v>2627</v>
      </c>
      <c r="C10590" s="417" t="s">
        <v>1041</v>
      </c>
      <c r="D10590" s="417" t="s">
        <v>88</v>
      </c>
      <c r="E10590" s="423">
        <v>3.4516912244308862</v>
      </c>
      <c r="F10590" s="423">
        <v>5.169831511439462E-2</v>
      </c>
      <c r="G10590" s="422">
        <v>5242.7477606004286</v>
      </c>
      <c r="H10590" s="417" t="s">
        <v>2616</v>
      </c>
      <c r="I10590" s="417" t="s">
        <v>28841</v>
      </c>
      <c r="J10590" s="417" t="s">
        <v>3825</v>
      </c>
      <c r="K10590" s="417" t="s">
        <v>23628</v>
      </c>
      <c r="L10590" s="417"/>
      <c r="M10590" s="417" t="s">
        <v>28840</v>
      </c>
    </row>
    <row r="10591" spans="1:13" x14ac:dyDescent="0.25">
      <c r="A10591" s="417" t="s">
        <v>3385</v>
      </c>
      <c r="B10591" s="417" t="s">
        <v>23629</v>
      </c>
      <c r="C10591" s="417" t="s">
        <v>23630</v>
      </c>
      <c r="D10591" s="417" t="s">
        <v>989</v>
      </c>
      <c r="E10591" s="423">
        <v>0.10821615579726949</v>
      </c>
      <c r="F10591" s="423">
        <v>2.4547317051754561E-2</v>
      </c>
      <c r="G10591" s="422">
        <v>533.07884288729485</v>
      </c>
      <c r="H10591" s="417" t="s">
        <v>2616</v>
      </c>
      <c r="I10591" s="417" t="s">
        <v>1392</v>
      </c>
      <c r="J10591" s="417" t="s">
        <v>23631</v>
      </c>
      <c r="K10591" s="417" t="s">
        <v>23632</v>
      </c>
      <c r="L10591" s="417"/>
      <c r="M10591" s="417" t="s">
        <v>28840</v>
      </c>
    </row>
    <row r="10592" spans="1:13" x14ac:dyDescent="0.25">
      <c r="A10592" s="417" t="s">
        <v>3385</v>
      </c>
      <c r="B10592" s="417" t="s">
        <v>23629</v>
      </c>
      <c r="C10592" s="417" t="s">
        <v>23633</v>
      </c>
      <c r="D10592" s="417" t="s">
        <v>18079</v>
      </c>
      <c r="E10592" s="423">
        <v>1.051315448385445E-3</v>
      </c>
      <c r="F10592" s="423">
        <v>2.384627817777374E-4</v>
      </c>
      <c r="G10592" s="422">
        <v>5.1792085340928464</v>
      </c>
      <c r="H10592" s="417" t="s">
        <v>2616</v>
      </c>
      <c r="I10592" s="417" t="s">
        <v>1392</v>
      </c>
      <c r="J10592" s="417" t="s">
        <v>23631</v>
      </c>
      <c r="K10592" s="417" t="s">
        <v>23634</v>
      </c>
      <c r="L10592" s="417"/>
      <c r="M10592" s="417" t="s">
        <v>28840</v>
      </c>
    </row>
    <row r="10593" spans="1:13" x14ac:dyDescent="0.25">
      <c r="A10593" s="417" t="s">
        <v>3385</v>
      </c>
      <c r="B10593" s="417" t="s">
        <v>23629</v>
      </c>
      <c r="C10593" s="417" t="s">
        <v>23635</v>
      </c>
      <c r="D10593" s="417" t="s">
        <v>989</v>
      </c>
      <c r="E10593" s="423">
        <v>3.9132417719505211E-4</v>
      </c>
      <c r="F10593" s="423">
        <v>5.8015746894646689E-5</v>
      </c>
      <c r="G10593" s="422">
        <v>2.284952614485515</v>
      </c>
      <c r="H10593" s="417" t="s">
        <v>2616</v>
      </c>
      <c r="I10593" s="417" t="s">
        <v>1392</v>
      </c>
      <c r="J10593" s="417" t="s">
        <v>23631</v>
      </c>
      <c r="K10593" s="417" t="s">
        <v>23636</v>
      </c>
      <c r="L10593" s="417"/>
      <c r="M10593" s="417" t="s">
        <v>28840</v>
      </c>
    </row>
    <row r="10594" spans="1:13" x14ac:dyDescent="0.25">
      <c r="A10594" s="417" t="s">
        <v>3385</v>
      </c>
      <c r="B10594" s="417" t="s">
        <v>23629</v>
      </c>
      <c r="C10594" s="417" t="s">
        <v>23637</v>
      </c>
      <c r="D10594" s="417" t="s">
        <v>18079</v>
      </c>
      <c r="E10594" s="423">
        <v>3.3497617969569913E-5</v>
      </c>
      <c r="F10594" s="423">
        <v>4.9626941135323112E-6</v>
      </c>
      <c r="G10594" s="422">
        <v>0.1956040419154399</v>
      </c>
      <c r="H10594" s="417" t="s">
        <v>2616</v>
      </c>
      <c r="I10594" s="417" t="s">
        <v>1392</v>
      </c>
      <c r="J10594" s="417" t="s">
        <v>23631</v>
      </c>
      <c r="K10594" s="417" t="s">
        <v>23638</v>
      </c>
      <c r="L10594" s="417"/>
      <c r="M10594" s="417" t="s">
        <v>28840</v>
      </c>
    </row>
    <row r="10595" spans="1:13" x14ac:dyDescent="0.25">
      <c r="A10595" s="417" t="s">
        <v>3385</v>
      </c>
      <c r="B10595" s="417" t="s">
        <v>23629</v>
      </c>
      <c r="C10595" s="417" t="s">
        <v>23639</v>
      </c>
      <c r="D10595" s="417" t="s">
        <v>989</v>
      </c>
      <c r="E10595" s="423">
        <v>3.5316448855215489E-3</v>
      </c>
      <c r="F10595" s="423">
        <v>7.3788641313889136E-4</v>
      </c>
      <c r="G10595" s="422">
        <v>17.046057611321231</v>
      </c>
      <c r="H10595" s="417" t="s">
        <v>2616</v>
      </c>
      <c r="I10595" s="417" t="s">
        <v>1392</v>
      </c>
      <c r="J10595" s="417" t="s">
        <v>23631</v>
      </c>
      <c r="K10595" s="417" t="s">
        <v>23640</v>
      </c>
      <c r="L10595" s="417"/>
      <c r="M10595" s="417" t="s">
        <v>28840</v>
      </c>
    </row>
    <row r="10596" spans="1:13" x14ac:dyDescent="0.25">
      <c r="A10596" s="417" t="s">
        <v>3385</v>
      </c>
      <c r="B10596" s="417" t="s">
        <v>23629</v>
      </c>
      <c r="C10596" s="417" t="s">
        <v>23641</v>
      </c>
      <c r="D10596" s="417" t="s">
        <v>18079</v>
      </c>
      <c r="E10596" s="423">
        <v>1.390946705193388E-3</v>
      </c>
      <c r="F10596" s="423">
        <v>2.4715845471964001E-4</v>
      </c>
      <c r="G10596" s="422">
        <v>6.5988507515320576</v>
      </c>
      <c r="H10596" s="417" t="s">
        <v>2616</v>
      </c>
      <c r="I10596" s="417" t="s">
        <v>1392</v>
      </c>
      <c r="J10596" s="417" t="s">
        <v>23631</v>
      </c>
      <c r="K10596" s="417" t="s">
        <v>23642</v>
      </c>
      <c r="L10596" s="417"/>
      <c r="M10596" s="417" t="s">
        <v>28840</v>
      </c>
    </row>
    <row r="10597" spans="1:13" x14ac:dyDescent="0.25">
      <c r="A10597" s="417" t="s">
        <v>3385</v>
      </c>
      <c r="B10597" s="417" t="s">
        <v>23629</v>
      </c>
      <c r="C10597" s="417" t="s">
        <v>23643</v>
      </c>
      <c r="D10597" s="417" t="s">
        <v>989</v>
      </c>
      <c r="E10597" s="423">
        <v>5.2432508589757523E-2</v>
      </c>
      <c r="F10597" s="423">
        <v>1.1693763030497109E-2</v>
      </c>
      <c r="G10597" s="422">
        <v>259.07891665236531</v>
      </c>
      <c r="H10597" s="417" t="s">
        <v>2616</v>
      </c>
      <c r="I10597" s="417" t="s">
        <v>1392</v>
      </c>
      <c r="J10597" s="417" t="s">
        <v>23631</v>
      </c>
      <c r="K10597" s="417" t="s">
        <v>23644</v>
      </c>
      <c r="L10597" s="417"/>
      <c r="M10597" s="417" t="s">
        <v>28840</v>
      </c>
    </row>
    <row r="10598" spans="1:13" x14ac:dyDescent="0.25">
      <c r="A10598" s="417" t="s">
        <v>3385</v>
      </c>
      <c r="B10598" s="417" t="s">
        <v>23629</v>
      </c>
      <c r="C10598" s="417" t="s">
        <v>23645</v>
      </c>
      <c r="D10598" s="417" t="s">
        <v>18079</v>
      </c>
      <c r="E10598" s="423">
        <v>7.8991563964633327E-4</v>
      </c>
      <c r="F10598" s="423">
        <v>1.742856151734923E-4</v>
      </c>
      <c r="G10598" s="422">
        <v>3.9108789066863761</v>
      </c>
      <c r="H10598" s="417" t="s">
        <v>2616</v>
      </c>
      <c r="I10598" s="417" t="s">
        <v>1392</v>
      </c>
      <c r="J10598" s="417" t="s">
        <v>23631</v>
      </c>
      <c r="K10598" s="417" t="s">
        <v>23646</v>
      </c>
      <c r="L10598" s="417"/>
      <c r="M10598" s="417" t="s">
        <v>28840</v>
      </c>
    </row>
    <row r="10599" spans="1:13" x14ac:dyDescent="0.25">
      <c r="A10599" s="417" t="s">
        <v>3385</v>
      </c>
      <c r="B10599" s="417" t="s">
        <v>23629</v>
      </c>
      <c r="C10599" s="417" t="s">
        <v>23647</v>
      </c>
      <c r="D10599" s="417" t="s">
        <v>989</v>
      </c>
      <c r="E10599" s="423">
        <v>4.4619794426842677E-2</v>
      </c>
      <c r="F10599" s="423">
        <v>1.4627139237526939E-3</v>
      </c>
      <c r="G10599" s="422">
        <v>65.871903504941358</v>
      </c>
      <c r="H10599" s="417" t="s">
        <v>2616</v>
      </c>
      <c r="I10599" s="417" t="s">
        <v>1392</v>
      </c>
      <c r="J10599" s="417" t="s">
        <v>23631</v>
      </c>
      <c r="K10599" s="417" t="s">
        <v>23648</v>
      </c>
      <c r="L10599" s="417"/>
      <c r="M10599" s="417" t="s">
        <v>28840</v>
      </c>
    </row>
    <row r="10600" spans="1:13" x14ac:dyDescent="0.25">
      <c r="A10600" s="417" t="s">
        <v>3385</v>
      </c>
      <c r="B10600" s="417" t="s">
        <v>23629</v>
      </c>
      <c r="C10600" s="417" t="s">
        <v>23649</v>
      </c>
      <c r="D10600" s="417" t="s">
        <v>989</v>
      </c>
      <c r="E10600" s="423">
        <v>4.6332398180839333E-2</v>
      </c>
      <c r="F10600" s="423">
        <v>1.0135253120115191E-2</v>
      </c>
      <c r="G10600" s="422">
        <v>229.4628752639241</v>
      </c>
      <c r="H10600" s="417" t="s">
        <v>2616</v>
      </c>
      <c r="I10600" s="417" t="s">
        <v>1392</v>
      </c>
      <c r="J10600" s="417" t="s">
        <v>23631</v>
      </c>
      <c r="K10600" s="417" t="s">
        <v>23650</v>
      </c>
      <c r="L10600" s="417"/>
      <c r="M10600" s="417" t="s">
        <v>28840</v>
      </c>
    </row>
    <row r="10601" spans="1:13" x14ac:dyDescent="0.25">
      <c r="A10601" s="417" t="s">
        <v>3385</v>
      </c>
      <c r="B10601" s="417" t="s">
        <v>23629</v>
      </c>
      <c r="C10601" s="417" t="s">
        <v>23651</v>
      </c>
      <c r="D10601" s="417" t="s">
        <v>18079</v>
      </c>
      <c r="E10601" s="423">
        <v>6.9870747571183225E-4</v>
      </c>
      <c r="F10601" s="423">
        <v>1.5124046396793801E-4</v>
      </c>
      <c r="G10601" s="422">
        <v>3.4668941068658201</v>
      </c>
      <c r="H10601" s="417" t="s">
        <v>2616</v>
      </c>
      <c r="I10601" s="417" t="s">
        <v>1392</v>
      </c>
      <c r="J10601" s="417" t="s">
        <v>23631</v>
      </c>
      <c r="K10601" s="417" t="s">
        <v>23652</v>
      </c>
      <c r="L10601" s="417"/>
      <c r="M10601" s="417" t="s">
        <v>28840</v>
      </c>
    </row>
    <row r="10602" spans="1:13" x14ac:dyDescent="0.25">
      <c r="A10602" s="417" t="s">
        <v>3385</v>
      </c>
      <c r="B10602" s="417" t="s">
        <v>23629</v>
      </c>
      <c r="C10602" s="417" t="s">
        <v>23653</v>
      </c>
      <c r="D10602" s="417" t="s">
        <v>989</v>
      </c>
      <c r="E10602" s="423">
        <v>1.708702046306107E-3</v>
      </c>
      <c r="F10602" s="423">
        <v>3.3579575425201458E-4</v>
      </c>
      <c r="G10602" s="422">
        <v>8.8221461842813724</v>
      </c>
      <c r="H10602" s="417" t="s">
        <v>2616</v>
      </c>
      <c r="I10602" s="417" t="s">
        <v>1392</v>
      </c>
      <c r="J10602" s="417" t="s">
        <v>23631</v>
      </c>
      <c r="K10602" s="417" t="s">
        <v>23654</v>
      </c>
      <c r="L10602" s="417"/>
      <c r="M10602" s="417" t="s">
        <v>28840</v>
      </c>
    </row>
    <row r="10603" spans="1:13" x14ac:dyDescent="0.25">
      <c r="A10603" s="417" t="s">
        <v>3385</v>
      </c>
      <c r="B10603" s="417" t="s">
        <v>23629</v>
      </c>
      <c r="C10603" s="417" t="s">
        <v>23655</v>
      </c>
      <c r="D10603" s="417" t="s">
        <v>18079</v>
      </c>
      <c r="E10603" s="423">
        <v>4.0736793574174877E-5</v>
      </c>
      <c r="F10603" s="423">
        <v>7.998155169649882E-6</v>
      </c>
      <c r="G10603" s="422">
        <v>0.21035604029210461</v>
      </c>
      <c r="H10603" s="417" t="s">
        <v>2616</v>
      </c>
      <c r="I10603" s="417" t="s">
        <v>1392</v>
      </c>
      <c r="J10603" s="417" t="s">
        <v>23631</v>
      </c>
      <c r="K10603" s="417" t="s">
        <v>23656</v>
      </c>
      <c r="L10603" s="417"/>
      <c r="M10603" s="417" t="s">
        <v>28840</v>
      </c>
    </row>
    <row r="10604" spans="1:13" x14ac:dyDescent="0.25">
      <c r="A10604" s="417" t="s">
        <v>3385</v>
      </c>
      <c r="B10604" s="417" t="s">
        <v>23629</v>
      </c>
      <c r="C10604" s="417" t="s">
        <v>23657</v>
      </c>
      <c r="D10604" s="417" t="s">
        <v>989</v>
      </c>
      <c r="E10604" s="423">
        <v>1.6945909349391761E-2</v>
      </c>
      <c r="F10604" s="423">
        <v>2.6135053220109178E-3</v>
      </c>
      <c r="G10604" s="422">
        <v>86.828156198762954</v>
      </c>
      <c r="H10604" s="417" t="s">
        <v>2616</v>
      </c>
      <c r="I10604" s="417" t="s">
        <v>1392</v>
      </c>
      <c r="J10604" s="417" t="s">
        <v>23631</v>
      </c>
      <c r="K10604" s="417" t="s">
        <v>23658</v>
      </c>
      <c r="L10604" s="417"/>
      <c r="M10604" s="417" t="s">
        <v>28840</v>
      </c>
    </row>
    <row r="10605" spans="1:13" x14ac:dyDescent="0.25">
      <c r="A10605" s="417" t="s">
        <v>3385</v>
      </c>
      <c r="B10605" s="417" t="s">
        <v>23629</v>
      </c>
      <c r="C10605" s="417" t="s">
        <v>23659</v>
      </c>
      <c r="D10605" s="417" t="s">
        <v>18079</v>
      </c>
      <c r="E10605" s="423">
        <v>2.5937236638821302E-4</v>
      </c>
      <c r="F10605" s="423">
        <v>4.0030128140597079E-5</v>
      </c>
      <c r="G10605" s="422">
        <v>1.3288244275016621</v>
      </c>
      <c r="H10605" s="417" t="s">
        <v>2616</v>
      </c>
      <c r="I10605" s="417" t="s">
        <v>1392</v>
      </c>
      <c r="J10605" s="417" t="s">
        <v>23631</v>
      </c>
      <c r="K10605" s="417" t="s">
        <v>23660</v>
      </c>
      <c r="L10605" s="417"/>
      <c r="M10605" s="417" t="s">
        <v>28840</v>
      </c>
    </row>
    <row r="10606" spans="1:13" x14ac:dyDescent="0.25">
      <c r="A10606" s="417" t="s">
        <v>3385</v>
      </c>
      <c r="B10606" s="417" t="s">
        <v>23629</v>
      </c>
      <c r="C10606" s="417" t="s">
        <v>23661</v>
      </c>
      <c r="D10606" s="417" t="s">
        <v>989</v>
      </c>
      <c r="E10606" s="423">
        <v>1.5252349228086069E-2</v>
      </c>
      <c r="F10606" s="423">
        <v>2.3580079364727709E-3</v>
      </c>
      <c r="G10606" s="422">
        <v>78.078516624152229</v>
      </c>
      <c r="H10606" s="417" t="s">
        <v>2616</v>
      </c>
      <c r="I10606" s="417" t="s">
        <v>1392</v>
      </c>
      <c r="J10606" s="417" t="s">
        <v>23631</v>
      </c>
      <c r="K10606" s="417" t="s">
        <v>23662</v>
      </c>
      <c r="L10606" s="417"/>
      <c r="M10606" s="417" t="s">
        <v>28840</v>
      </c>
    </row>
    <row r="10607" spans="1:13" x14ac:dyDescent="0.25">
      <c r="A10607" s="417" t="s">
        <v>3385</v>
      </c>
      <c r="B10607" s="417" t="s">
        <v>23629</v>
      </c>
      <c r="C10607" s="417" t="s">
        <v>23663</v>
      </c>
      <c r="D10607" s="417" t="s">
        <v>18079</v>
      </c>
      <c r="E10607" s="423">
        <v>2.3342352236723331E-4</v>
      </c>
      <c r="F10607" s="423">
        <v>3.6112887046294961E-5</v>
      </c>
      <c r="G10607" s="422">
        <v>1.1947634575826429</v>
      </c>
      <c r="H10607" s="417" t="s">
        <v>2616</v>
      </c>
      <c r="I10607" s="417" t="s">
        <v>1392</v>
      </c>
      <c r="J10607" s="417" t="s">
        <v>23631</v>
      </c>
      <c r="K10607" s="417" t="s">
        <v>23664</v>
      </c>
      <c r="L10607" s="417"/>
      <c r="M10607" s="417" t="s">
        <v>28840</v>
      </c>
    </row>
    <row r="10608" spans="1:13" x14ac:dyDescent="0.25">
      <c r="A10608" s="417" t="s">
        <v>3385</v>
      </c>
      <c r="B10608" s="417" t="s">
        <v>23629</v>
      </c>
      <c r="C10608" s="417" t="s">
        <v>23665</v>
      </c>
      <c r="D10608" s="417" t="s">
        <v>989</v>
      </c>
      <c r="E10608" s="423">
        <v>0.20342569103122601</v>
      </c>
      <c r="F10608" s="423">
        <v>3.0746606442634251E-2</v>
      </c>
      <c r="G10608" s="422">
        <v>1050.2606559085291</v>
      </c>
      <c r="H10608" s="417" t="s">
        <v>2616</v>
      </c>
      <c r="I10608" s="417" t="s">
        <v>1392</v>
      </c>
      <c r="J10608" s="417" t="s">
        <v>23631</v>
      </c>
      <c r="K10608" s="417" t="s">
        <v>23666</v>
      </c>
      <c r="L10608" s="417"/>
      <c r="M10608" s="417" t="s">
        <v>28840</v>
      </c>
    </row>
    <row r="10609" spans="1:13" x14ac:dyDescent="0.25">
      <c r="A10609" s="417" t="s">
        <v>3385</v>
      </c>
      <c r="B10609" s="417" t="s">
        <v>23629</v>
      </c>
      <c r="C10609" s="417" t="s">
        <v>23667</v>
      </c>
      <c r="D10609" s="417" t="s">
        <v>18079</v>
      </c>
      <c r="E10609" s="423">
        <v>3.116628422959059E-3</v>
      </c>
      <c r="F10609" s="423">
        <v>4.7136188961650639E-4</v>
      </c>
      <c r="G10609" s="422">
        <v>16.09042825119683</v>
      </c>
      <c r="H10609" s="417" t="s">
        <v>2616</v>
      </c>
      <c r="I10609" s="417" t="s">
        <v>1392</v>
      </c>
      <c r="J10609" s="417" t="s">
        <v>23631</v>
      </c>
      <c r="K10609" s="417" t="s">
        <v>23668</v>
      </c>
      <c r="L10609" s="417"/>
      <c r="M10609" s="417" t="s">
        <v>28840</v>
      </c>
    </row>
    <row r="10610" spans="1:13" x14ac:dyDescent="0.25">
      <c r="A10610" s="417" t="s">
        <v>3385</v>
      </c>
      <c r="B10610" s="417" t="s">
        <v>23629</v>
      </c>
      <c r="C10610" s="417" t="s">
        <v>23669</v>
      </c>
      <c r="D10610" s="417" t="s">
        <v>989</v>
      </c>
      <c r="E10610" s="423">
        <v>3.1219528362193539E-2</v>
      </c>
      <c r="F10610" s="423">
        <v>6.7564552412128212E-3</v>
      </c>
      <c r="G10610" s="422">
        <v>155.05080236501959</v>
      </c>
      <c r="H10610" s="417" t="s">
        <v>2616</v>
      </c>
      <c r="I10610" s="417" t="s">
        <v>1392</v>
      </c>
      <c r="J10610" s="417" t="s">
        <v>23631</v>
      </c>
      <c r="K10610" s="417" t="s">
        <v>23670</v>
      </c>
      <c r="L10610" s="417"/>
      <c r="M10610" s="417" t="s">
        <v>28840</v>
      </c>
    </row>
    <row r="10611" spans="1:13" x14ac:dyDescent="0.25">
      <c r="A10611" s="417" t="s">
        <v>3385</v>
      </c>
      <c r="B10611" s="417" t="s">
        <v>23629</v>
      </c>
      <c r="C10611" s="417" t="s">
        <v>23671</v>
      </c>
      <c r="D10611" s="417" t="s">
        <v>18079</v>
      </c>
      <c r="E10611" s="423">
        <v>7.6723589768745292E-4</v>
      </c>
      <c r="F10611" s="423">
        <v>1.6607053106106311E-4</v>
      </c>
      <c r="G10611" s="422">
        <v>3.8106536585219168</v>
      </c>
      <c r="H10611" s="417" t="s">
        <v>2616</v>
      </c>
      <c r="I10611" s="417" t="s">
        <v>1392</v>
      </c>
      <c r="J10611" s="417" t="s">
        <v>23631</v>
      </c>
      <c r="K10611" s="417" t="s">
        <v>23672</v>
      </c>
      <c r="L10611" s="417"/>
      <c r="M10611" s="417" t="s">
        <v>28840</v>
      </c>
    </row>
    <row r="10612" spans="1:13" x14ac:dyDescent="0.25">
      <c r="A10612" s="417" t="s">
        <v>3385</v>
      </c>
      <c r="B10612" s="417" t="s">
        <v>23629</v>
      </c>
      <c r="C10612" s="417" t="s">
        <v>23673</v>
      </c>
      <c r="D10612" s="417" t="s">
        <v>4427</v>
      </c>
      <c r="E10612" s="423">
        <v>2.4253808467328719E-2</v>
      </c>
      <c r="F10612" s="423">
        <v>3.9137854700962591E-3</v>
      </c>
      <c r="G10612" s="422">
        <v>111.8503487620695</v>
      </c>
      <c r="H10612" s="417" t="s">
        <v>2616</v>
      </c>
      <c r="I10612" s="417" t="s">
        <v>1392</v>
      </c>
      <c r="J10612" s="417" t="s">
        <v>23674</v>
      </c>
      <c r="K10612" s="417" t="s">
        <v>23675</v>
      </c>
      <c r="L10612" s="417"/>
      <c r="M10612" s="417" t="s">
        <v>28840</v>
      </c>
    </row>
    <row r="10613" spans="1:13" x14ac:dyDescent="0.25">
      <c r="A10613" s="417" t="s">
        <v>3385</v>
      </c>
      <c r="B10613" s="417" t="s">
        <v>23629</v>
      </c>
      <c r="C10613" s="417" t="s">
        <v>23676</v>
      </c>
      <c r="D10613" s="417" t="s">
        <v>4427</v>
      </c>
      <c r="E10613" s="423">
        <v>5.3508850622021743E-2</v>
      </c>
      <c r="F10613" s="423">
        <v>5.8674977659069422E-3</v>
      </c>
      <c r="G10613" s="422">
        <v>133.34959504593391</v>
      </c>
      <c r="H10613" s="417" t="s">
        <v>2616</v>
      </c>
      <c r="I10613" s="417" t="s">
        <v>1392</v>
      </c>
      <c r="J10613" s="417" t="s">
        <v>23674</v>
      </c>
      <c r="K10613" s="417" t="s">
        <v>23677</v>
      </c>
      <c r="L10613" s="417"/>
      <c r="M10613" s="417" t="s">
        <v>28840</v>
      </c>
    </row>
    <row r="10614" spans="1:13" x14ac:dyDescent="0.25">
      <c r="A10614" s="417" t="s">
        <v>3385</v>
      </c>
      <c r="B10614" s="417" t="s">
        <v>23629</v>
      </c>
      <c r="C10614" s="417" t="s">
        <v>23678</v>
      </c>
      <c r="D10614" s="417" t="s">
        <v>4427</v>
      </c>
      <c r="E10614" s="423">
        <v>1.2450091175103669E-2</v>
      </c>
      <c r="F10614" s="423">
        <v>1.098784941321195E-3</v>
      </c>
      <c r="G10614" s="422">
        <v>53.956069383026367</v>
      </c>
      <c r="H10614" s="417" t="s">
        <v>2616</v>
      </c>
      <c r="I10614" s="417" t="s">
        <v>1392</v>
      </c>
      <c r="J10614" s="417" t="s">
        <v>23674</v>
      </c>
      <c r="K10614" s="417" t="s">
        <v>23679</v>
      </c>
      <c r="L10614" s="417"/>
      <c r="M10614" s="417" t="s">
        <v>28840</v>
      </c>
    </row>
    <row r="10615" spans="1:13" x14ac:dyDescent="0.25">
      <c r="A10615" s="417" t="s">
        <v>3385</v>
      </c>
      <c r="B10615" s="417" t="s">
        <v>23629</v>
      </c>
      <c r="C10615" s="417" t="s">
        <v>23680</v>
      </c>
      <c r="D10615" s="417" t="s">
        <v>4427</v>
      </c>
      <c r="E10615" s="423">
        <v>1.7975998075401699E-2</v>
      </c>
      <c r="F10615" s="423">
        <v>1.467816450423567E-3</v>
      </c>
      <c r="G10615" s="422">
        <v>58.017004733591108</v>
      </c>
      <c r="H10615" s="417" t="s">
        <v>2616</v>
      </c>
      <c r="I10615" s="417" t="s">
        <v>1392</v>
      </c>
      <c r="J10615" s="417" t="s">
        <v>23674</v>
      </c>
      <c r="K10615" s="417" t="s">
        <v>23681</v>
      </c>
      <c r="L10615" s="417"/>
      <c r="M10615" s="417" t="s">
        <v>28840</v>
      </c>
    </row>
    <row r="10616" spans="1:13" x14ac:dyDescent="0.25">
      <c r="A10616" s="417" t="s">
        <v>3385</v>
      </c>
      <c r="B10616" s="417" t="s">
        <v>23629</v>
      </c>
      <c r="C10616" s="417" t="s">
        <v>23682</v>
      </c>
      <c r="D10616" s="417" t="s">
        <v>4427</v>
      </c>
      <c r="E10616" s="423">
        <v>1.018743222757507E-2</v>
      </c>
      <c r="F10616" s="423">
        <v>5.5897581109854376E-4</v>
      </c>
      <c r="G10616" s="422">
        <v>42.857531003332539</v>
      </c>
      <c r="H10616" s="417" t="s">
        <v>2616</v>
      </c>
      <c r="I10616" s="417" t="s">
        <v>1392</v>
      </c>
      <c r="J10616" s="417" t="s">
        <v>23674</v>
      </c>
      <c r="K10616" s="417" t="s">
        <v>23683</v>
      </c>
      <c r="L10616" s="417"/>
      <c r="M10616" s="417" t="s">
        <v>28840</v>
      </c>
    </row>
    <row r="10617" spans="1:13" x14ac:dyDescent="0.25">
      <c r="A10617" s="417" t="s">
        <v>3385</v>
      </c>
      <c r="B10617" s="417" t="s">
        <v>23629</v>
      </c>
      <c r="C10617" s="417" t="s">
        <v>23684</v>
      </c>
      <c r="D10617" s="417" t="s">
        <v>4427</v>
      </c>
      <c r="E10617" s="423">
        <v>1.1162600299642479E-2</v>
      </c>
      <c r="F10617" s="423">
        <v>6.2409955505891726E-4</v>
      </c>
      <c r="G10617" s="422">
        <v>43.574172556974858</v>
      </c>
      <c r="H10617" s="417" t="s">
        <v>2616</v>
      </c>
      <c r="I10617" s="417" t="s">
        <v>1392</v>
      </c>
      <c r="J10617" s="417" t="s">
        <v>23674</v>
      </c>
      <c r="K10617" s="417" t="s">
        <v>23685</v>
      </c>
      <c r="L10617" s="417"/>
      <c r="M10617" s="417" t="s">
        <v>28840</v>
      </c>
    </row>
    <row r="10618" spans="1:13" x14ac:dyDescent="0.25">
      <c r="A10618" s="417" t="s">
        <v>3385</v>
      </c>
      <c r="B10618" s="417" t="s">
        <v>23629</v>
      </c>
      <c r="C10618" s="417" t="s">
        <v>23686</v>
      </c>
      <c r="D10618" s="417" t="s">
        <v>4427</v>
      </c>
      <c r="E10618" s="423">
        <v>1.373441790565408E-2</v>
      </c>
      <c r="F10618" s="423">
        <v>1.4049209644557529E-3</v>
      </c>
      <c r="G10618" s="422">
        <v>60.254779070570841</v>
      </c>
      <c r="H10618" s="417" t="s">
        <v>2616</v>
      </c>
      <c r="I10618" s="417" t="s">
        <v>1392</v>
      </c>
      <c r="J10618" s="417" t="s">
        <v>23674</v>
      </c>
      <c r="K10618" s="417" t="s">
        <v>23687</v>
      </c>
      <c r="L10618" s="417"/>
      <c r="M10618" s="417" t="s">
        <v>28840</v>
      </c>
    </row>
    <row r="10619" spans="1:13" x14ac:dyDescent="0.25">
      <c r="A10619" s="417" t="s">
        <v>3385</v>
      </c>
      <c r="B10619" s="417" t="s">
        <v>23629</v>
      </c>
      <c r="C10619" s="417" t="s">
        <v>23688</v>
      </c>
      <c r="D10619" s="417" t="s">
        <v>4427</v>
      </c>
      <c r="E10619" s="423">
        <v>1.406781187733633E-2</v>
      </c>
      <c r="F10619" s="423">
        <v>1.4844405428901511E-3</v>
      </c>
      <c r="G10619" s="422">
        <v>61.890032446703898</v>
      </c>
      <c r="H10619" s="417" t="s">
        <v>2616</v>
      </c>
      <c r="I10619" s="417" t="s">
        <v>1392</v>
      </c>
      <c r="J10619" s="417" t="s">
        <v>23674</v>
      </c>
      <c r="K10619" s="417" t="s">
        <v>23689</v>
      </c>
      <c r="L10619" s="417"/>
      <c r="M10619" s="417" t="s">
        <v>28840</v>
      </c>
    </row>
    <row r="10620" spans="1:13" x14ac:dyDescent="0.25">
      <c r="A10620" s="417" t="s">
        <v>3385</v>
      </c>
      <c r="B10620" s="417" t="s">
        <v>23629</v>
      </c>
      <c r="C10620" s="417" t="s">
        <v>23690</v>
      </c>
      <c r="D10620" s="417" t="s">
        <v>4427</v>
      </c>
      <c r="E10620" s="423">
        <v>2.284432452625346E-2</v>
      </c>
      <c r="F10620" s="423">
        <v>2.0705542338965788E-3</v>
      </c>
      <c r="G10620" s="422">
        <v>68.339806304163361</v>
      </c>
      <c r="H10620" s="417" t="s">
        <v>2616</v>
      </c>
      <c r="I10620" s="417" t="s">
        <v>1392</v>
      </c>
      <c r="J10620" s="417" t="s">
        <v>23674</v>
      </c>
      <c r="K10620" s="417" t="s">
        <v>23691</v>
      </c>
      <c r="L10620" s="417"/>
      <c r="M10620" s="417" t="s">
        <v>28840</v>
      </c>
    </row>
    <row r="10621" spans="1:13" x14ac:dyDescent="0.25">
      <c r="A10621" s="417" t="s">
        <v>3385</v>
      </c>
      <c r="B10621" s="417" t="s">
        <v>23629</v>
      </c>
      <c r="C10621" s="417" t="s">
        <v>23692</v>
      </c>
      <c r="D10621" s="417" t="s">
        <v>4427</v>
      </c>
      <c r="E10621" s="423">
        <v>1.7056605091781779E-2</v>
      </c>
      <c r="F10621" s="423">
        <v>2.3398014582612682E-3</v>
      </c>
      <c r="G10621" s="422">
        <v>76.021227385262208</v>
      </c>
      <c r="H10621" s="417" t="s">
        <v>2616</v>
      </c>
      <c r="I10621" s="417" t="s">
        <v>1392</v>
      </c>
      <c r="J10621" s="417" t="s">
        <v>23674</v>
      </c>
      <c r="K10621" s="417" t="s">
        <v>23693</v>
      </c>
      <c r="L10621" s="417"/>
      <c r="M10621" s="417" t="s">
        <v>28840</v>
      </c>
    </row>
    <row r="10622" spans="1:13" x14ac:dyDescent="0.25">
      <c r="A10622" s="417" t="s">
        <v>3385</v>
      </c>
      <c r="B10622" s="417" t="s">
        <v>23629</v>
      </c>
      <c r="C10622" s="417" t="s">
        <v>23694</v>
      </c>
      <c r="D10622" s="417" t="s">
        <v>4427</v>
      </c>
      <c r="E10622" s="423">
        <v>3.3634462336706139E-2</v>
      </c>
      <c r="F10622" s="423">
        <v>3.4469051045796051E-3</v>
      </c>
      <c r="G10622" s="422">
        <v>88.204134155725811</v>
      </c>
      <c r="H10622" s="417" t="s">
        <v>2616</v>
      </c>
      <c r="I10622" s="417" t="s">
        <v>1392</v>
      </c>
      <c r="J10622" s="417" t="s">
        <v>23674</v>
      </c>
      <c r="K10622" s="417" t="s">
        <v>23695</v>
      </c>
      <c r="L10622" s="417"/>
      <c r="M10622" s="417" t="s">
        <v>28840</v>
      </c>
    </row>
    <row r="10623" spans="1:13" x14ac:dyDescent="0.25">
      <c r="A10623" s="417" t="s">
        <v>3385</v>
      </c>
      <c r="B10623" s="417" t="s">
        <v>23629</v>
      </c>
      <c r="C10623" s="417" t="s">
        <v>23696</v>
      </c>
      <c r="D10623" s="417" t="s">
        <v>4427</v>
      </c>
      <c r="E10623" s="423">
        <v>1.0464303376191199E-2</v>
      </c>
      <c r="F10623" s="423">
        <v>7.6770291997738723E-4</v>
      </c>
      <c r="G10623" s="422">
        <v>43.687967867393077</v>
      </c>
      <c r="H10623" s="417" t="s">
        <v>2616</v>
      </c>
      <c r="I10623" s="417" t="s">
        <v>1392</v>
      </c>
      <c r="J10623" s="417" t="s">
        <v>23674</v>
      </c>
      <c r="K10623" s="417" t="s">
        <v>23697</v>
      </c>
      <c r="L10623" s="417"/>
      <c r="M10623" s="417" t="s">
        <v>28840</v>
      </c>
    </row>
    <row r="10624" spans="1:13" x14ac:dyDescent="0.25">
      <c r="A10624" s="417" t="s">
        <v>3385</v>
      </c>
      <c r="B10624" s="417" t="s">
        <v>23629</v>
      </c>
      <c r="C10624" s="417" t="s">
        <v>23698</v>
      </c>
      <c r="D10624" s="417" t="s">
        <v>4427</v>
      </c>
      <c r="E10624" s="423">
        <v>1.379020188132277E-2</v>
      </c>
      <c r="F10624" s="423">
        <v>9.8981331511704333E-4</v>
      </c>
      <c r="G10624" s="422">
        <v>46.132138405695301</v>
      </c>
      <c r="H10624" s="417" t="s">
        <v>2616</v>
      </c>
      <c r="I10624" s="417" t="s">
        <v>1392</v>
      </c>
      <c r="J10624" s="417" t="s">
        <v>23674</v>
      </c>
      <c r="K10624" s="417" t="s">
        <v>23699</v>
      </c>
      <c r="L10624" s="417"/>
      <c r="M10624" s="417" t="s">
        <v>28840</v>
      </c>
    </row>
    <row r="10625" spans="1:13" x14ac:dyDescent="0.25">
      <c r="A10625" s="417" t="s">
        <v>3385</v>
      </c>
      <c r="B10625" s="417" t="s">
        <v>23629</v>
      </c>
      <c r="C10625" s="417" t="s">
        <v>23700</v>
      </c>
      <c r="D10625" s="417" t="s">
        <v>4427</v>
      </c>
      <c r="E10625" s="423">
        <v>9.1503315618312545E-3</v>
      </c>
      <c r="F10625" s="423">
        <v>4.5416707538945879E-4</v>
      </c>
      <c r="G10625" s="422">
        <v>37.242506255946722</v>
      </c>
      <c r="H10625" s="417" t="s">
        <v>2616</v>
      </c>
      <c r="I10625" s="417" t="s">
        <v>1392</v>
      </c>
      <c r="J10625" s="417" t="s">
        <v>23674</v>
      </c>
      <c r="K10625" s="417" t="s">
        <v>23701</v>
      </c>
      <c r="L10625" s="417"/>
      <c r="M10625" s="417" t="s">
        <v>28840</v>
      </c>
    </row>
    <row r="10626" spans="1:13" x14ac:dyDescent="0.25">
      <c r="A10626" s="417" t="s">
        <v>3385</v>
      </c>
      <c r="B10626" s="417" t="s">
        <v>23629</v>
      </c>
      <c r="C10626" s="417" t="s">
        <v>23702</v>
      </c>
      <c r="D10626" s="417" t="s">
        <v>4427</v>
      </c>
      <c r="E10626" s="423">
        <v>9.8329492138590057E-3</v>
      </c>
      <c r="F10626" s="423">
        <v>4.9975369616820525E-4</v>
      </c>
      <c r="G10626" s="422">
        <v>37.744155367723558</v>
      </c>
      <c r="H10626" s="417" t="s">
        <v>2616</v>
      </c>
      <c r="I10626" s="417" t="s">
        <v>1392</v>
      </c>
      <c r="J10626" s="417" t="s">
        <v>23674</v>
      </c>
      <c r="K10626" s="417" t="s">
        <v>23703</v>
      </c>
      <c r="L10626" s="417"/>
      <c r="M10626" s="417" t="s">
        <v>28840</v>
      </c>
    </row>
    <row r="10627" spans="1:13" x14ac:dyDescent="0.25">
      <c r="A10627" s="417" t="s">
        <v>3385</v>
      </c>
      <c r="B10627" s="417" t="s">
        <v>23629</v>
      </c>
      <c r="C10627" s="417" t="s">
        <v>23704</v>
      </c>
      <c r="D10627" s="417" t="s">
        <v>4427</v>
      </c>
      <c r="E10627" s="423">
        <v>1.172108307641254E-2</v>
      </c>
      <c r="F10627" s="423">
        <v>1.0672874594093811E-3</v>
      </c>
      <c r="G10627" s="422">
        <v>49.851538372963127</v>
      </c>
      <c r="H10627" s="417" t="s">
        <v>2616</v>
      </c>
      <c r="I10627" s="417" t="s">
        <v>1392</v>
      </c>
      <c r="J10627" s="417" t="s">
        <v>23674</v>
      </c>
      <c r="K10627" s="417" t="s">
        <v>23705</v>
      </c>
      <c r="L10627" s="417"/>
      <c r="M10627" s="417" t="s">
        <v>28840</v>
      </c>
    </row>
    <row r="10628" spans="1:13" x14ac:dyDescent="0.25">
      <c r="A10628" s="417" t="s">
        <v>3385</v>
      </c>
      <c r="B10628" s="417" t="s">
        <v>23629</v>
      </c>
      <c r="C10628" s="417" t="s">
        <v>23706</v>
      </c>
      <c r="D10628" s="417" t="s">
        <v>4427</v>
      </c>
      <c r="E10628" s="423">
        <v>1.7572091514382032E-2</v>
      </c>
      <c r="F10628" s="423">
        <v>1.458029920933363E-3</v>
      </c>
      <c r="G10628" s="422">
        <v>54.151387772158557</v>
      </c>
      <c r="H10628" s="417" t="s">
        <v>2616</v>
      </c>
      <c r="I10628" s="417" t="s">
        <v>1392</v>
      </c>
      <c r="J10628" s="417" t="s">
        <v>23674</v>
      </c>
      <c r="K10628" s="417" t="s">
        <v>23707</v>
      </c>
      <c r="L10628" s="417"/>
      <c r="M10628" s="417" t="s">
        <v>28840</v>
      </c>
    </row>
    <row r="10629" spans="1:13" x14ac:dyDescent="0.25">
      <c r="A10629" s="417" t="s">
        <v>3385</v>
      </c>
      <c r="B10629" s="417" t="s">
        <v>23629</v>
      </c>
      <c r="C10629" s="417" t="s">
        <v>23708</v>
      </c>
      <c r="D10629" s="417" t="s">
        <v>4427</v>
      </c>
      <c r="E10629" s="423">
        <v>1.805941330427039E-2</v>
      </c>
      <c r="F10629" s="423">
        <v>1.5038629718534401E-3</v>
      </c>
      <c r="G10629" s="422">
        <v>56.268580680512017</v>
      </c>
      <c r="H10629" s="417" t="s">
        <v>2616</v>
      </c>
      <c r="I10629" s="417" t="s">
        <v>1392</v>
      </c>
      <c r="J10629" s="417" t="s">
        <v>23674</v>
      </c>
      <c r="K10629" s="417" t="s">
        <v>23709</v>
      </c>
      <c r="L10629" s="417"/>
      <c r="M10629" s="417" t="s">
        <v>28840</v>
      </c>
    </row>
    <row r="10630" spans="1:13" x14ac:dyDescent="0.25">
      <c r="A10630" s="417" t="s">
        <v>3385</v>
      </c>
      <c r="B10630" s="417" t="s">
        <v>23629</v>
      </c>
      <c r="C10630" s="417" t="s">
        <v>23710</v>
      </c>
      <c r="D10630" s="417" t="s">
        <v>4427</v>
      </c>
      <c r="E10630" s="423">
        <v>2.1840597099621491E-2</v>
      </c>
      <c r="F10630" s="423">
        <v>1.946268403117739E-3</v>
      </c>
      <c r="G10630" s="422">
        <v>66.211931441196697</v>
      </c>
      <c r="H10630" s="417" t="s">
        <v>2616</v>
      </c>
      <c r="I10630" s="417" t="s">
        <v>1392</v>
      </c>
      <c r="J10630" s="417" t="s">
        <v>23674</v>
      </c>
      <c r="K10630" s="417" t="s">
        <v>23711</v>
      </c>
      <c r="L10630" s="417"/>
      <c r="M10630" s="417" t="s">
        <v>28840</v>
      </c>
    </row>
    <row r="10631" spans="1:13" x14ac:dyDescent="0.25">
      <c r="A10631" s="417" t="s">
        <v>3385</v>
      </c>
      <c r="B10631" s="417" t="s">
        <v>23629</v>
      </c>
      <c r="C10631" s="417" t="s">
        <v>23712</v>
      </c>
      <c r="D10631" s="417" t="s">
        <v>4427</v>
      </c>
      <c r="E10631" s="423">
        <v>1.117646813730642E-2</v>
      </c>
      <c r="F10631" s="423">
        <v>9.3739243100866214E-4</v>
      </c>
      <c r="G10631" s="422">
        <v>47.180286116800588</v>
      </c>
      <c r="H10631" s="417" t="s">
        <v>2616</v>
      </c>
      <c r="I10631" s="417" t="s">
        <v>1392</v>
      </c>
      <c r="J10631" s="417" t="s">
        <v>23674</v>
      </c>
      <c r="K10631" s="417" t="s">
        <v>23713</v>
      </c>
      <c r="L10631" s="417"/>
      <c r="M10631" s="417" t="s">
        <v>28840</v>
      </c>
    </row>
    <row r="10632" spans="1:13" x14ac:dyDescent="0.25">
      <c r="A10632" s="417" t="s">
        <v>3385</v>
      </c>
      <c r="B10632" s="417" t="s">
        <v>23629</v>
      </c>
      <c r="C10632" s="417" t="s">
        <v>23714</v>
      </c>
      <c r="D10632" s="417" t="s">
        <v>4427</v>
      </c>
      <c r="E10632" s="423">
        <v>1.593249738900724E-2</v>
      </c>
      <c r="F10632" s="423">
        <v>1.2550099091079691E-3</v>
      </c>
      <c r="G10632" s="422">
        <v>50.67544576539855</v>
      </c>
      <c r="H10632" s="417" t="s">
        <v>2616</v>
      </c>
      <c r="I10632" s="417" t="s">
        <v>1392</v>
      </c>
      <c r="J10632" s="417" t="s">
        <v>23674</v>
      </c>
      <c r="K10632" s="417" t="s">
        <v>23715</v>
      </c>
      <c r="L10632" s="417"/>
      <c r="M10632" s="417" t="s">
        <v>28840</v>
      </c>
    </row>
    <row r="10633" spans="1:13" x14ac:dyDescent="0.25">
      <c r="A10633" s="417" t="s">
        <v>3385</v>
      </c>
      <c r="B10633" s="417" t="s">
        <v>23629</v>
      </c>
      <c r="C10633" s="417" t="s">
        <v>23716</v>
      </c>
      <c r="D10633" s="417" t="s">
        <v>4427</v>
      </c>
      <c r="E10633" s="423">
        <v>5.3715576341420912E-3</v>
      </c>
      <c r="F10633" s="423">
        <v>5.8051459031988636E-4</v>
      </c>
      <c r="G10633" s="422">
        <v>23.978080877689528</v>
      </c>
      <c r="H10633" s="417" t="s">
        <v>2616</v>
      </c>
      <c r="I10633" s="417" t="s">
        <v>1392</v>
      </c>
      <c r="J10633" s="417" t="s">
        <v>23674</v>
      </c>
      <c r="K10633" s="417" t="s">
        <v>23717</v>
      </c>
      <c r="L10633" s="417"/>
      <c r="M10633" s="417" t="s">
        <v>28840</v>
      </c>
    </row>
    <row r="10634" spans="1:13" x14ac:dyDescent="0.25">
      <c r="A10634" s="417" t="s">
        <v>3385</v>
      </c>
      <c r="B10634" s="417" t="s">
        <v>23629</v>
      </c>
      <c r="C10634" s="417" t="s">
        <v>23718</v>
      </c>
      <c r="D10634" s="417" t="s">
        <v>4427</v>
      </c>
      <c r="E10634" s="423">
        <v>9.0771962996729592E-3</v>
      </c>
      <c r="F10634" s="423">
        <v>8.2798481411169996E-4</v>
      </c>
      <c r="G10634" s="422">
        <v>26.701318834674399</v>
      </c>
      <c r="H10634" s="417" t="s">
        <v>2616</v>
      </c>
      <c r="I10634" s="417" t="s">
        <v>1392</v>
      </c>
      <c r="J10634" s="417" t="s">
        <v>23674</v>
      </c>
      <c r="K10634" s="417" t="s">
        <v>23719</v>
      </c>
      <c r="L10634" s="417"/>
      <c r="M10634" s="417" t="s">
        <v>28840</v>
      </c>
    </row>
    <row r="10635" spans="1:13" x14ac:dyDescent="0.25">
      <c r="A10635" s="417" t="s">
        <v>3385</v>
      </c>
      <c r="B10635" s="417" t="s">
        <v>23629</v>
      </c>
      <c r="C10635" s="417" t="s">
        <v>23720</v>
      </c>
      <c r="D10635" s="417" t="s">
        <v>4427</v>
      </c>
      <c r="E10635" s="423">
        <v>3.6738915296889818E-3</v>
      </c>
      <c r="F10635" s="423">
        <v>1.7562376926663669E-4</v>
      </c>
      <c r="G10635" s="422">
        <v>15.65136158883783</v>
      </c>
      <c r="H10635" s="417" t="s">
        <v>2616</v>
      </c>
      <c r="I10635" s="417" t="s">
        <v>1392</v>
      </c>
      <c r="J10635" s="417" t="s">
        <v>23674</v>
      </c>
      <c r="K10635" s="417" t="s">
        <v>23721</v>
      </c>
      <c r="L10635" s="417"/>
      <c r="M10635" s="417" t="s">
        <v>28840</v>
      </c>
    </row>
    <row r="10636" spans="1:13" x14ac:dyDescent="0.25">
      <c r="A10636" s="417" t="s">
        <v>3385</v>
      </c>
      <c r="B10636" s="417" t="s">
        <v>23629</v>
      </c>
      <c r="C10636" s="417" t="s">
        <v>23722</v>
      </c>
      <c r="D10636" s="417" t="s">
        <v>4427</v>
      </c>
      <c r="E10636" s="423">
        <v>3.9664419504062782E-3</v>
      </c>
      <c r="F10636" s="423">
        <v>1.9516089214305219E-4</v>
      </c>
      <c r="G10636" s="422">
        <v>15.866354052551211</v>
      </c>
      <c r="H10636" s="417" t="s">
        <v>2616</v>
      </c>
      <c r="I10636" s="417" t="s">
        <v>1392</v>
      </c>
      <c r="J10636" s="417" t="s">
        <v>23674</v>
      </c>
      <c r="K10636" s="417" t="s">
        <v>23723</v>
      </c>
      <c r="L10636" s="417"/>
      <c r="M10636" s="417" t="s">
        <v>28840</v>
      </c>
    </row>
    <row r="10637" spans="1:13" x14ac:dyDescent="0.25">
      <c r="A10637" s="417" t="s">
        <v>3385</v>
      </c>
      <c r="B10637" s="417" t="s">
        <v>23629</v>
      </c>
      <c r="C10637" s="417" t="s">
        <v>23724</v>
      </c>
      <c r="D10637" s="417" t="s">
        <v>4427</v>
      </c>
      <c r="E10637" s="423">
        <v>5.1985274940935149E-3</v>
      </c>
      <c r="F10637" s="423">
        <v>3.477193237907984E-4</v>
      </c>
      <c r="G10637" s="422">
        <v>18.478437690891621</v>
      </c>
      <c r="H10637" s="417" t="s">
        <v>2616</v>
      </c>
      <c r="I10637" s="417" t="s">
        <v>1392</v>
      </c>
      <c r="J10637" s="417" t="s">
        <v>23674</v>
      </c>
      <c r="K10637" s="417" t="s">
        <v>23725</v>
      </c>
      <c r="L10637" s="417"/>
      <c r="M10637" s="417" t="s">
        <v>28840</v>
      </c>
    </row>
    <row r="10638" spans="1:13" x14ac:dyDescent="0.25">
      <c r="A10638" s="417" t="s">
        <v>3385</v>
      </c>
      <c r="B10638" s="417" t="s">
        <v>23629</v>
      </c>
      <c r="C10638" s="417" t="s">
        <v>23726</v>
      </c>
      <c r="D10638" s="417" t="s">
        <v>4427</v>
      </c>
      <c r="E10638" s="423">
        <v>3.91641525731121E-3</v>
      </c>
      <c r="F10638" s="423">
        <v>2.3346531480796521E-4</v>
      </c>
      <c r="G10638" s="422">
        <v>16.840892921448429</v>
      </c>
      <c r="H10638" s="417" t="s">
        <v>2616</v>
      </c>
      <c r="I10638" s="417" t="s">
        <v>1392</v>
      </c>
      <c r="J10638" s="417" t="s">
        <v>23674</v>
      </c>
      <c r="K10638" s="417" t="s">
        <v>23727</v>
      </c>
      <c r="L10638" s="417"/>
      <c r="M10638" s="417" t="s">
        <v>28840</v>
      </c>
    </row>
    <row r="10639" spans="1:13" x14ac:dyDescent="0.25">
      <c r="A10639" s="417" t="s">
        <v>3385</v>
      </c>
      <c r="B10639" s="417" t="s">
        <v>23629</v>
      </c>
      <c r="C10639" s="417" t="s">
        <v>23728</v>
      </c>
      <c r="D10639" s="417" t="s">
        <v>4427</v>
      </c>
      <c r="E10639" s="423">
        <v>4.6965497143817043E-3</v>
      </c>
      <c r="F10639" s="423">
        <v>2.8556430954326508E-4</v>
      </c>
      <c r="G10639" s="422">
        <v>17.414206166737252</v>
      </c>
      <c r="H10639" s="417" t="s">
        <v>2616</v>
      </c>
      <c r="I10639" s="417" t="s">
        <v>1392</v>
      </c>
      <c r="J10639" s="417" t="s">
        <v>23674</v>
      </c>
      <c r="K10639" s="417" t="s">
        <v>23729</v>
      </c>
      <c r="L10639" s="417"/>
      <c r="M10639" s="417" t="s">
        <v>28840</v>
      </c>
    </row>
    <row r="10640" spans="1:13" x14ac:dyDescent="0.25">
      <c r="A10640" s="417" t="s">
        <v>3385</v>
      </c>
      <c r="B10640" s="417" t="s">
        <v>23629</v>
      </c>
      <c r="C10640" s="417" t="s">
        <v>23730</v>
      </c>
      <c r="D10640" s="417" t="s">
        <v>4427</v>
      </c>
      <c r="E10640" s="423">
        <v>1.96105783606913E-2</v>
      </c>
      <c r="F10640" s="423">
        <v>1.3606506810399E-3</v>
      </c>
      <c r="G10640" s="422">
        <v>84.99331515721191</v>
      </c>
      <c r="H10640" s="417" t="s">
        <v>2616</v>
      </c>
      <c r="I10640" s="417" t="s">
        <v>1392</v>
      </c>
      <c r="J10640" s="417" t="s">
        <v>23674</v>
      </c>
      <c r="K10640" s="417" t="s">
        <v>23731</v>
      </c>
      <c r="L10640" s="417"/>
      <c r="M10640" s="417" t="s">
        <v>28840</v>
      </c>
    </row>
    <row r="10641" spans="1:13" x14ac:dyDescent="0.25">
      <c r="A10641" s="417" t="s">
        <v>3385</v>
      </c>
      <c r="B10641" s="417" t="s">
        <v>23629</v>
      </c>
      <c r="C10641" s="417" t="s">
        <v>23732</v>
      </c>
      <c r="D10641" s="417" t="s">
        <v>4427</v>
      </c>
      <c r="E10641" s="423">
        <v>1.7137183887871121E-2</v>
      </c>
      <c r="F10641" s="423">
        <v>9.2518981395543071E-4</v>
      </c>
      <c r="G10641" s="422">
        <v>73.150794191052938</v>
      </c>
      <c r="H10641" s="417" t="s">
        <v>2616</v>
      </c>
      <c r="I10641" s="417" t="s">
        <v>1392</v>
      </c>
      <c r="J10641" s="417" t="s">
        <v>23674</v>
      </c>
      <c r="K10641" s="417" t="s">
        <v>23733</v>
      </c>
      <c r="L10641" s="417"/>
      <c r="M10641" s="417" t="s">
        <v>28840</v>
      </c>
    </row>
    <row r="10642" spans="1:13" x14ac:dyDescent="0.25">
      <c r="A10642" s="417" t="s">
        <v>3385</v>
      </c>
      <c r="B10642" s="417" t="s">
        <v>23629</v>
      </c>
      <c r="C10642" s="417" t="s">
        <v>23734</v>
      </c>
      <c r="D10642" s="417" t="s">
        <v>4427</v>
      </c>
      <c r="E10642" s="423">
        <v>1.8076567282088521E-2</v>
      </c>
      <c r="F10642" s="423">
        <v>9.9479133485150034E-4</v>
      </c>
      <c r="G10642" s="422">
        <v>77.469291647960631</v>
      </c>
      <c r="H10642" s="417" t="s">
        <v>2616</v>
      </c>
      <c r="I10642" s="417" t="s">
        <v>1392</v>
      </c>
      <c r="J10642" s="417" t="s">
        <v>23674</v>
      </c>
      <c r="K10642" s="417" t="s">
        <v>23735</v>
      </c>
      <c r="L10642" s="417"/>
      <c r="M10642" s="417" t="s">
        <v>28840</v>
      </c>
    </row>
    <row r="10643" spans="1:13" x14ac:dyDescent="0.25">
      <c r="A10643" s="417" t="s">
        <v>3385</v>
      </c>
      <c r="B10643" s="417" t="s">
        <v>23629</v>
      </c>
      <c r="C10643" s="417" t="s">
        <v>23736</v>
      </c>
      <c r="D10643" s="417" t="s">
        <v>4427</v>
      </c>
      <c r="E10643" s="423">
        <v>1.69068990348578E-2</v>
      </c>
      <c r="F10643" s="423">
        <v>7.8886189234828941E-4</v>
      </c>
      <c r="G10643" s="422">
        <v>71.868963426000988</v>
      </c>
      <c r="H10643" s="417" t="s">
        <v>2616</v>
      </c>
      <c r="I10643" s="417" t="s">
        <v>1392</v>
      </c>
      <c r="J10643" s="417" t="s">
        <v>23674</v>
      </c>
      <c r="K10643" s="417" t="s">
        <v>23737</v>
      </c>
      <c r="L10643" s="417"/>
      <c r="M10643" s="417" t="s">
        <v>28840</v>
      </c>
    </row>
    <row r="10644" spans="1:13" x14ac:dyDescent="0.25">
      <c r="A10644" s="417" t="s">
        <v>3385</v>
      </c>
      <c r="B10644" s="417" t="s">
        <v>23629</v>
      </c>
      <c r="C10644" s="417" t="s">
        <v>23738</v>
      </c>
      <c r="D10644" s="417" t="s">
        <v>4427</v>
      </c>
      <c r="E10644" s="423">
        <v>8.7219202340463459E-3</v>
      </c>
      <c r="F10644" s="423">
        <v>2.0467910541479449E-3</v>
      </c>
      <c r="G10644" s="422">
        <v>42.915264663956748</v>
      </c>
      <c r="H10644" s="417" t="s">
        <v>2616</v>
      </c>
      <c r="I10644" s="417" t="s">
        <v>1392</v>
      </c>
      <c r="J10644" s="417" t="s">
        <v>23674</v>
      </c>
      <c r="K10644" s="417" t="s">
        <v>23739</v>
      </c>
      <c r="L10644" s="417"/>
      <c r="M10644" s="417" t="s">
        <v>28840</v>
      </c>
    </row>
    <row r="10645" spans="1:13" x14ac:dyDescent="0.25">
      <c r="A10645" s="417" t="s">
        <v>3385</v>
      </c>
      <c r="B10645" s="417" t="s">
        <v>23629</v>
      </c>
      <c r="C10645" s="417" t="s">
        <v>23740</v>
      </c>
      <c r="D10645" s="417" t="s">
        <v>4427</v>
      </c>
      <c r="E10645" s="423">
        <v>1.2696573827158039E-3</v>
      </c>
      <c r="F10645" s="423">
        <v>2.9327604701343332E-4</v>
      </c>
      <c r="G10645" s="422">
        <v>6.2662647664842233</v>
      </c>
      <c r="H10645" s="417" t="s">
        <v>2616</v>
      </c>
      <c r="I10645" s="417" t="s">
        <v>1392</v>
      </c>
      <c r="J10645" s="417" t="s">
        <v>23674</v>
      </c>
      <c r="K10645" s="417" t="s">
        <v>23741</v>
      </c>
      <c r="L10645" s="417"/>
      <c r="M10645" s="417" t="s">
        <v>28840</v>
      </c>
    </row>
    <row r="10646" spans="1:13" x14ac:dyDescent="0.25">
      <c r="A10646" s="417" t="s">
        <v>3385</v>
      </c>
      <c r="B10646" s="417" t="s">
        <v>23629</v>
      </c>
      <c r="C10646" s="417" t="s">
        <v>23742</v>
      </c>
      <c r="D10646" s="417" t="s">
        <v>989</v>
      </c>
      <c r="E10646" s="423">
        <v>0.72701922203122427</v>
      </c>
      <c r="F10646" s="423">
        <v>9.9071600029547763E-2</v>
      </c>
      <c r="G10646" s="422">
        <v>2497.5055406101901</v>
      </c>
      <c r="H10646" s="417" t="s">
        <v>2616</v>
      </c>
      <c r="I10646" s="417" t="s">
        <v>1392</v>
      </c>
      <c r="J10646" s="417" t="s">
        <v>23631</v>
      </c>
      <c r="K10646" s="417" t="s">
        <v>23743</v>
      </c>
      <c r="L10646" s="417"/>
      <c r="M10646" s="417" t="s">
        <v>28840</v>
      </c>
    </row>
    <row r="10647" spans="1:13" x14ac:dyDescent="0.25">
      <c r="A10647" s="417" t="s">
        <v>3385</v>
      </c>
      <c r="B10647" s="417" t="s">
        <v>23629</v>
      </c>
      <c r="C10647" s="417" t="s">
        <v>23744</v>
      </c>
      <c r="D10647" s="417" t="s">
        <v>18079</v>
      </c>
      <c r="E10647" s="423">
        <v>0.33474524169179759</v>
      </c>
      <c r="F10647" s="423">
        <v>1.2070350527959449E-2</v>
      </c>
      <c r="G10647" s="422">
        <v>559.34139369004765</v>
      </c>
      <c r="H10647" s="417" t="s">
        <v>2616</v>
      </c>
      <c r="I10647" s="417" t="s">
        <v>1392</v>
      </c>
      <c r="J10647" s="417" t="s">
        <v>23631</v>
      </c>
      <c r="K10647" s="417" t="s">
        <v>23745</v>
      </c>
      <c r="L10647" s="417"/>
      <c r="M10647" s="417" t="s">
        <v>28840</v>
      </c>
    </row>
    <row r="10648" spans="1:13" x14ac:dyDescent="0.25">
      <c r="A10648" s="417" t="s">
        <v>3385</v>
      </c>
      <c r="B10648" s="417" t="s">
        <v>23629</v>
      </c>
      <c r="C10648" s="417" t="s">
        <v>23746</v>
      </c>
      <c r="D10648" s="417" t="s">
        <v>989</v>
      </c>
      <c r="E10648" s="423">
        <v>2.9892108994314218E-2</v>
      </c>
      <c r="F10648" s="423">
        <v>2.705324072827434E-3</v>
      </c>
      <c r="G10648" s="422">
        <v>120.0100868654134</v>
      </c>
      <c r="H10648" s="417" t="s">
        <v>2616</v>
      </c>
      <c r="I10648" s="417" t="s">
        <v>1392</v>
      </c>
      <c r="J10648" s="417" t="s">
        <v>23631</v>
      </c>
      <c r="K10648" s="417" t="s">
        <v>23747</v>
      </c>
      <c r="L10648" s="417"/>
      <c r="M10648" s="417" t="s">
        <v>28840</v>
      </c>
    </row>
    <row r="10649" spans="1:13" x14ac:dyDescent="0.25">
      <c r="A10649" s="417" t="s">
        <v>3385</v>
      </c>
      <c r="B10649" s="417" t="s">
        <v>23629</v>
      </c>
      <c r="C10649" s="417" t="s">
        <v>23748</v>
      </c>
      <c r="D10649" s="417" t="s">
        <v>18079</v>
      </c>
      <c r="E10649" s="423">
        <v>2.6470921164048759E-2</v>
      </c>
      <c r="F10649" s="423">
        <v>1.882764311165671E-3</v>
      </c>
      <c r="G10649" s="422">
        <v>102.87442781321229</v>
      </c>
      <c r="H10649" s="417" t="s">
        <v>2616</v>
      </c>
      <c r="I10649" s="417" t="s">
        <v>1392</v>
      </c>
      <c r="J10649" s="417" t="s">
        <v>23631</v>
      </c>
      <c r="K10649" s="417" t="s">
        <v>23749</v>
      </c>
      <c r="L10649" s="417"/>
      <c r="M10649" s="417" t="s">
        <v>28840</v>
      </c>
    </row>
    <row r="10650" spans="1:13" x14ac:dyDescent="0.25">
      <c r="A10650" s="417" t="s">
        <v>3385</v>
      </c>
      <c r="B10650" s="417" t="s">
        <v>23629</v>
      </c>
      <c r="C10650" s="417" t="s">
        <v>23750</v>
      </c>
      <c r="D10650" s="417" t="s">
        <v>989</v>
      </c>
      <c r="E10650" s="423">
        <v>0.12076985347659221</v>
      </c>
      <c r="F10650" s="423">
        <v>1.526246526563067E-2</v>
      </c>
      <c r="G10650" s="422">
        <v>429.86373353298762</v>
      </c>
      <c r="H10650" s="417" t="s">
        <v>2616</v>
      </c>
      <c r="I10650" s="417" t="s">
        <v>1392</v>
      </c>
      <c r="J10650" s="417" t="s">
        <v>23631</v>
      </c>
      <c r="K10650" s="417" t="s">
        <v>23751</v>
      </c>
      <c r="L10650" s="417"/>
      <c r="M10650" s="417" t="s">
        <v>28840</v>
      </c>
    </row>
    <row r="10651" spans="1:13" x14ac:dyDescent="0.25">
      <c r="A10651" s="417" t="s">
        <v>3385</v>
      </c>
      <c r="B10651" s="417" t="s">
        <v>23629</v>
      </c>
      <c r="C10651" s="417" t="s">
        <v>23752</v>
      </c>
      <c r="D10651" s="417" t="s">
        <v>18079</v>
      </c>
      <c r="E10651" s="423">
        <v>6.6628736187117718E-2</v>
      </c>
      <c r="F10651" s="423">
        <v>3.199206850536047E-3</v>
      </c>
      <c r="G10651" s="422">
        <v>162.15914118515781</v>
      </c>
      <c r="H10651" s="417" t="s">
        <v>2616</v>
      </c>
      <c r="I10651" s="417" t="s">
        <v>1392</v>
      </c>
      <c r="J10651" s="417" t="s">
        <v>23631</v>
      </c>
      <c r="K10651" s="417" t="s">
        <v>23753</v>
      </c>
      <c r="L10651" s="417"/>
      <c r="M10651" s="417" t="s">
        <v>28840</v>
      </c>
    </row>
    <row r="10652" spans="1:13" x14ac:dyDescent="0.25">
      <c r="A10652" s="417" t="s">
        <v>3385</v>
      </c>
      <c r="B10652" s="417" t="s">
        <v>23629</v>
      </c>
      <c r="C10652" s="417" t="s">
        <v>23754</v>
      </c>
      <c r="D10652" s="417" t="s">
        <v>4427</v>
      </c>
      <c r="E10652" s="423">
        <v>1.1915239856216001E-3</v>
      </c>
      <c r="F10652" s="423">
        <v>1.926119981260494E-4</v>
      </c>
      <c r="G10652" s="422">
        <v>5.161946664650694</v>
      </c>
      <c r="H10652" s="417" t="s">
        <v>2616</v>
      </c>
      <c r="I10652" s="417" t="s">
        <v>1392</v>
      </c>
      <c r="J10652" s="417" t="s">
        <v>23674</v>
      </c>
      <c r="K10652" s="417" t="s">
        <v>23755</v>
      </c>
      <c r="L10652" s="417"/>
      <c r="M10652" s="417" t="s">
        <v>28840</v>
      </c>
    </row>
    <row r="10653" spans="1:13" x14ac:dyDescent="0.25">
      <c r="A10653" s="417" t="s">
        <v>3385</v>
      </c>
      <c r="B10653" s="417" t="s">
        <v>23629</v>
      </c>
      <c r="C10653" s="417" t="s">
        <v>23756</v>
      </c>
      <c r="D10653" s="417" t="s">
        <v>4427</v>
      </c>
      <c r="E10653" s="423">
        <v>5.6859133783232875E-4</v>
      </c>
      <c r="F10653" s="423">
        <v>8.2939726545149184E-5</v>
      </c>
      <c r="G10653" s="422">
        <v>2.1793682558619318</v>
      </c>
      <c r="H10653" s="417" t="s">
        <v>2616</v>
      </c>
      <c r="I10653" s="417" t="s">
        <v>1392</v>
      </c>
      <c r="J10653" s="417" t="s">
        <v>23674</v>
      </c>
      <c r="K10653" s="417" t="s">
        <v>23757</v>
      </c>
      <c r="L10653" s="417"/>
      <c r="M10653" s="417" t="s">
        <v>28840</v>
      </c>
    </row>
    <row r="10654" spans="1:13" x14ac:dyDescent="0.25">
      <c r="A10654" s="417" t="s">
        <v>3385</v>
      </c>
      <c r="B10654" s="417" t="s">
        <v>23629</v>
      </c>
      <c r="C10654" s="417" t="s">
        <v>23758</v>
      </c>
      <c r="D10654" s="417" t="s">
        <v>989</v>
      </c>
      <c r="E10654" s="423">
        <v>0.44520815453285523</v>
      </c>
      <c r="F10654" s="423">
        <v>2.9482950163626839E-2</v>
      </c>
      <c r="G10654" s="422">
        <v>1119.582404318111</v>
      </c>
      <c r="H10654" s="417" t="s">
        <v>2616</v>
      </c>
      <c r="I10654" s="417" t="s">
        <v>1392</v>
      </c>
      <c r="J10654" s="417" t="s">
        <v>23631</v>
      </c>
      <c r="K10654" s="417" t="s">
        <v>23759</v>
      </c>
      <c r="L10654" s="417"/>
      <c r="M10654" s="417" t="s">
        <v>28840</v>
      </c>
    </row>
    <row r="10655" spans="1:13" x14ac:dyDescent="0.25">
      <c r="A10655" s="417" t="s">
        <v>3385</v>
      </c>
      <c r="B10655" s="417" t="s">
        <v>23629</v>
      </c>
      <c r="C10655" s="417" t="s">
        <v>23760</v>
      </c>
      <c r="D10655" s="417" t="s">
        <v>18079</v>
      </c>
      <c r="E10655" s="423">
        <v>0.32414039037927411</v>
      </c>
      <c r="F10655" s="423">
        <v>1.0827295500675011E-2</v>
      </c>
      <c r="G10655" s="422">
        <v>497.31507667241442</v>
      </c>
      <c r="H10655" s="417" t="s">
        <v>2616</v>
      </c>
      <c r="I10655" s="417" t="s">
        <v>1392</v>
      </c>
      <c r="J10655" s="417" t="s">
        <v>23631</v>
      </c>
      <c r="K10655" s="417" t="s">
        <v>23761</v>
      </c>
      <c r="L10655" s="417"/>
      <c r="M10655" s="417" t="s">
        <v>28840</v>
      </c>
    </row>
    <row r="10656" spans="1:13" x14ac:dyDescent="0.25">
      <c r="A10656" s="417" t="s">
        <v>3385</v>
      </c>
      <c r="B10656" s="417" t="s">
        <v>23629</v>
      </c>
      <c r="C10656" s="417" t="s">
        <v>23762</v>
      </c>
      <c r="D10656" s="417" t="s">
        <v>989</v>
      </c>
      <c r="E10656" s="423">
        <v>1.7631905077204989E-2</v>
      </c>
      <c r="F10656" s="423">
        <v>9.3937624312841824E-4</v>
      </c>
      <c r="G10656" s="422">
        <v>49.828965427229029</v>
      </c>
      <c r="H10656" s="417" t="s">
        <v>2616</v>
      </c>
      <c r="I10656" s="417" t="s">
        <v>1392</v>
      </c>
      <c r="J10656" s="417" t="s">
        <v>23631</v>
      </c>
      <c r="K10656" s="417" t="s">
        <v>23763</v>
      </c>
      <c r="L10656" s="417"/>
      <c r="M10656" s="417" t="s">
        <v>28840</v>
      </c>
    </row>
    <row r="10657" spans="1:13" x14ac:dyDescent="0.25">
      <c r="A10657" s="417" t="s">
        <v>3385</v>
      </c>
      <c r="B10657" s="417" t="s">
        <v>23629</v>
      </c>
      <c r="C10657" s="417" t="s">
        <v>23764</v>
      </c>
      <c r="D10657" s="417" t="s">
        <v>18079</v>
      </c>
      <c r="E10657" s="423">
        <v>1.61910517095958E-2</v>
      </c>
      <c r="F10657" s="423">
        <v>7.1721695691897539E-4</v>
      </c>
      <c r="G10657" s="422">
        <v>42.442082999201567</v>
      </c>
      <c r="H10657" s="417" t="s">
        <v>2616</v>
      </c>
      <c r="I10657" s="417" t="s">
        <v>1392</v>
      </c>
      <c r="J10657" s="417" t="s">
        <v>23631</v>
      </c>
      <c r="K10657" s="417" t="s">
        <v>23765</v>
      </c>
      <c r="L10657" s="417"/>
      <c r="M10657" s="417" t="s">
        <v>28840</v>
      </c>
    </row>
    <row r="10658" spans="1:13" x14ac:dyDescent="0.25">
      <c r="A10658" s="417" t="s">
        <v>3385</v>
      </c>
      <c r="B10658" s="417" t="s">
        <v>23629</v>
      </c>
      <c r="C10658" s="417" t="s">
        <v>23766</v>
      </c>
      <c r="D10658" s="417" t="s">
        <v>989</v>
      </c>
      <c r="E10658" s="423">
        <v>7.339323016312907E-2</v>
      </c>
      <c r="F10658" s="423">
        <v>4.6601877363061529E-3</v>
      </c>
      <c r="G10658" s="422">
        <v>189.3154760806047</v>
      </c>
      <c r="H10658" s="417" t="s">
        <v>2616</v>
      </c>
      <c r="I10658" s="417" t="s">
        <v>1392</v>
      </c>
      <c r="J10658" s="417" t="s">
        <v>23631</v>
      </c>
      <c r="K10658" s="417" t="s">
        <v>23767</v>
      </c>
      <c r="L10658" s="417"/>
      <c r="M10658" s="417" t="s">
        <v>28840</v>
      </c>
    </row>
    <row r="10659" spans="1:13" x14ac:dyDescent="0.25">
      <c r="A10659" s="417" t="s">
        <v>3385</v>
      </c>
      <c r="B10659" s="417" t="s">
        <v>23629</v>
      </c>
      <c r="C10659" s="417" t="s">
        <v>23768</v>
      </c>
      <c r="D10659" s="417" t="s">
        <v>18079</v>
      </c>
      <c r="E10659" s="423">
        <v>5.6348866702049791E-2</v>
      </c>
      <c r="F10659" s="423">
        <v>2.033659488967362E-3</v>
      </c>
      <c r="G10659" s="422">
        <v>101.7267962314947</v>
      </c>
      <c r="H10659" s="417" t="s">
        <v>2616</v>
      </c>
      <c r="I10659" s="417" t="s">
        <v>1392</v>
      </c>
      <c r="J10659" s="417" t="s">
        <v>23631</v>
      </c>
      <c r="K10659" s="417" t="s">
        <v>23769</v>
      </c>
      <c r="L10659" s="417"/>
      <c r="M10659" s="417" t="s">
        <v>28840</v>
      </c>
    </row>
    <row r="10660" spans="1:13" x14ac:dyDescent="0.25">
      <c r="A10660" s="417" t="s">
        <v>3385</v>
      </c>
      <c r="B10660" s="417" t="s">
        <v>2437</v>
      </c>
      <c r="C10660" s="417" t="s">
        <v>23770</v>
      </c>
      <c r="D10660" s="417" t="s">
        <v>989</v>
      </c>
      <c r="E10660" s="423">
        <v>5117.330277520502</v>
      </c>
      <c r="F10660" s="423">
        <v>232.24310948096229</v>
      </c>
      <c r="G10660" s="422">
        <v>14224136.771710729</v>
      </c>
      <c r="H10660" s="417" t="s">
        <v>2616</v>
      </c>
      <c r="I10660" s="417" t="s">
        <v>1392</v>
      </c>
      <c r="J10660" s="417" t="s">
        <v>2638</v>
      </c>
      <c r="K10660" s="417" t="s">
        <v>23771</v>
      </c>
      <c r="L10660" s="417"/>
      <c r="M10660" s="417" t="s">
        <v>28840</v>
      </c>
    </row>
    <row r="10661" spans="1:13" x14ac:dyDescent="0.25">
      <c r="A10661" s="417" t="s">
        <v>3385</v>
      </c>
      <c r="B10661" s="417" t="s">
        <v>2627</v>
      </c>
      <c r="C10661" s="417" t="s">
        <v>23772</v>
      </c>
      <c r="D10661" s="417" t="s">
        <v>88</v>
      </c>
      <c r="E10661" s="423">
        <v>4.5126185300495827</v>
      </c>
      <c r="F10661" s="423">
        <v>0.23937073438635151</v>
      </c>
      <c r="G10661" s="422">
        <v>11075.295807257509</v>
      </c>
      <c r="H10661" s="417" t="s">
        <v>2616</v>
      </c>
      <c r="I10661" s="417" t="s">
        <v>1392</v>
      </c>
      <c r="J10661" s="417" t="s">
        <v>4347</v>
      </c>
      <c r="K10661" s="417" t="s">
        <v>23773</v>
      </c>
      <c r="L10661" s="417"/>
      <c r="M10661" s="417" t="s">
        <v>28840</v>
      </c>
    </row>
    <row r="10662" spans="1:13" x14ac:dyDescent="0.25">
      <c r="A10662" s="417" t="s">
        <v>3385</v>
      </c>
      <c r="B10662" s="417" t="s">
        <v>2627</v>
      </c>
      <c r="C10662" s="417" t="s">
        <v>23774</v>
      </c>
      <c r="D10662" s="417" t="s">
        <v>989</v>
      </c>
      <c r="E10662" s="423">
        <v>2386063.1759055699</v>
      </c>
      <c r="F10662" s="423">
        <v>192904.55266881749</v>
      </c>
      <c r="G10662" s="422">
        <v>5515435096.0664997</v>
      </c>
      <c r="H10662" s="417" t="s">
        <v>2616</v>
      </c>
      <c r="I10662" s="417" t="s">
        <v>1392</v>
      </c>
      <c r="J10662" s="417" t="s">
        <v>3836</v>
      </c>
      <c r="K10662" s="417" t="s">
        <v>23775</v>
      </c>
      <c r="L10662" s="417"/>
      <c r="M10662" s="417" t="s">
        <v>28840</v>
      </c>
    </row>
    <row r="10663" spans="1:13" x14ac:dyDescent="0.25">
      <c r="A10663" s="417" t="s">
        <v>3385</v>
      </c>
      <c r="B10663" s="417" t="s">
        <v>2627</v>
      </c>
      <c r="C10663" s="417" t="s">
        <v>23776</v>
      </c>
      <c r="D10663" s="417" t="s">
        <v>88</v>
      </c>
      <c r="E10663" s="423">
        <v>0.38959572699925699</v>
      </c>
      <c r="F10663" s="423">
        <v>0.50129728119013839</v>
      </c>
      <c r="G10663" s="422">
        <v>924.6508987174592</v>
      </c>
      <c r="H10663" s="417" t="s">
        <v>2616</v>
      </c>
      <c r="I10663" s="417" t="s">
        <v>1392</v>
      </c>
      <c r="J10663" s="417" t="s">
        <v>4200</v>
      </c>
      <c r="K10663" s="417" t="s">
        <v>23777</v>
      </c>
      <c r="L10663" s="417"/>
      <c r="M10663" s="417" t="s">
        <v>28840</v>
      </c>
    </row>
    <row r="10664" spans="1:13" x14ac:dyDescent="0.25">
      <c r="A10664" s="417" t="s">
        <v>3385</v>
      </c>
      <c r="B10664" s="417" t="s">
        <v>2627</v>
      </c>
      <c r="C10664" s="417" t="s">
        <v>23778</v>
      </c>
      <c r="D10664" s="417" t="s">
        <v>88</v>
      </c>
      <c r="E10664" s="423">
        <v>0.3627960402955277</v>
      </c>
      <c r="F10664" s="423">
        <v>0.40157998993163008</v>
      </c>
      <c r="G10664" s="422">
        <v>631.79971315630075</v>
      </c>
      <c r="H10664" s="417" t="s">
        <v>2616</v>
      </c>
      <c r="I10664" s="417" t="s">
        <v>1392</v>
      </c>
      <c r="J10664" s="417" t="s">
        <v>4823</v>
      </c>
      <c r="K10664" s="417" t="s">
        <v>23779</v>
      </c>
      <c r="L10664" s="417"/>
      <c r="M10664" s="417" t="s">
        <v>28840</v>
      </c>
    </row>
    <row r="10665" spans="1:13" x14ac:dyDescent="0.25">
      <c r="A10665" s="417" t="s">
        <v>3385</v>
      </c>
      <c r="B10665" s="417" t="s">
        <v>2627</v>
      </c>
      <c r="C10665" s="417" t="s">
        <v>23780</v>
      </c>
      <c r="D10665" s="417" t="s">
        <v>88</v>
      </c>
      <c r="E10665" s="423">
        <v>0.41177062482037208</v>
      </c>
      <c r="F10665" s="423">
        <v>0.40602840095622778</v>
      </c>
      <c r="G10665" s="422">
        <v>757.41211666599361</v>
      </c>
      <c r="H10665" s="417" t="s">
        <v>2616</v>
      </c>
      <c r="I10665" s="417" t="s">
        <v>1392</v>
      </c>
      <c r="J10665" s="417" t="s">
        <v>4823</v>
      </c>
      <c r="K10665" s="417" t="s">
        <v>23781</v>
      </c>
      <c r="L10665" s="417"/>
      <c r="M10665" s="417" t="s">
        <v>28840</v>
      </c>
    </row>
    <row r="10666" spans="1:13" x14ac:dyDescent="0.25">
      <c r="A10666" s="417" t="s">
        <v>3385</v>
      </c>
      <c r="B10666" s="417" t="s">
        <v>2627</v>
      </c>
      <c r="C10666" s="417" t="s">
        <v>23782</v>
      </c>
      <c r="D10666" s="417" t="s">
        <v>88</v>
      </c>
      <c r="E10666" s="423">
        <v>0.17679197346962211</v>
      </c>
      <c r="F10666" s="423">
        <v>0.49472040783386062</v>
      </c>
      <c r="G10666" s="422">
        <v>587.07676918976119</v>
      </c>
      <c r="H10666" s="417" t="s">
        <v>2616</v>
      </c>
      <c r="I10666" s="417" t="s">
        <v>1392</v>
      </c>
      <c r="J10666" s="417" t="s">
        <v>4823</v>
      </c>
      <c r="K10666" s="417" t="s">
        <v>23783</v>
      </c>
      <c r="L10666" s="417"/>
      <c r="M10666" s="417" t="s">
        <v>28840</v>
      </c>
    </row>
    <row r="10667" spans="1:13" x14ac:dyDescent="0.25">
      <c r="A10667" s="417" t="s">
        <v>3385</v>
      </c>
      <c r="B10667" s="417" t="s">
        <v>2627</v>
      </c>
      <c r="C10667" s="417" t="s">
        <v>23784</v>
      </c>
      <c r="D10667" s="417" t="s">
        <v>88</v>
      </c>
      <c r="E10667" s="423">
        <v>0.15112588809070621</v>
      </c>
      <c r="F10667" s="423">
        <v>0.39592037626665938</v>
      </c>
      <c r="G10667" s="422">
        <v>288.02569391208209</v>
      </c>
      <c r="H10667" s="417" t="s">
        <v>2616</v>
      </c>
      <c r="I10667" s="417" t="s">
        <v>1392</v>
      </c>
      <c r="J10667" s="417" t="s">
        <v>4823</v>
      </c>
      <c r="K10667" s="417" t="s">
        <v>23785</v>
      </c>
      <c r="L10667" s="417"/>
      <c r="M10667" s="417" t="s">
        <v>28840</v>
      </c>
    </row>
    <row r="10668" spans="1:13" x14ac:dyDescent="0.25">
      <c r="A10668" s="417" t="s">
        <v>3385</v>
      </c>
      <c r="B10668" s="417" t="s">
        <v>2627</v>
      </c>
      <c r="C10668" s="417" t="s">
        <v>23786</v>
      </c>
      <c r="D10668" s="417" t="s">
        <v>83</v>
      </c>
      <c r="E10668" s="423">
        <v>0.9746826982456378</v>
      </c>
      <c r="F10668" s="423">
        <v>2.1350090859495251E-2</v>
      </c>
      <c r="G10668" s="422">
        <v>2249.0346693085971</v>
      </c>
      <c r="H10668" s="417" t="s">
        <v>2616</v>
      </c>
      <c r="I10668" s="417" t="s">
        <v>1392</v>
      </c>
      <c r="J10668" s="417" t="s">
        <v>7714</v>
      </c>
      <c r="K10668" s="417" t="s">
        <v>23787</v>
      </c>
      <c r="L10668" s="417"/>
      <c r="M10668" s="417" t="s">
        <v>28840</v>
      </c>
    </row>
    <row r="10669" spans="1:13" x14ac:dyDescent="0.25">
      <c r="A10669" s="417" t="s">
        <v>3385</v>
      </c>
      <c r="B10669" s="417" t="s">
        <v>2627</v>
      </c>
      <c r="C10669" s="417" t="s">
        <v>23788</v>
      </c>
      <c r="D10669" s="417" t="s">
        <v>989</v>
      </c>
      <c r="E10669" s="423">
        <v>47122318.992213957</v>
      </c>
      <c r="F10669" s="423">
        <v>10015038.733954171</v>
      </c>
      <c r="G10669" s="422">
        <v>123513387323.8811</v>
      </c>
      <c r="H10669" s="417" t="s">
        <v>2616</v>
      </c>
      <c r="I10669" s="417" t="s">
        <v>1392</v>
      </c>
      <c r="J10669" s="417" t="s">
        <v>18396</v>
      </c>
      <c r="K10669" s="417" t="s">
        <v>23789</v>
      </c>
      <c r="L10669" s="417"/>
      <c r="M10669" s="417" t="s">
        <v>28840</v>
      </c>
    </row>
    <row r="10670" spans="1:13" x14ac:dyDescent="0.25">
      <c r="A10670" s="417" t="s">
        <v>3385</v>
      </c>
      <c r="B10670" s="417" t="s">
        <v>2627</v>
      </c>
      <c r="C10670" s="417" t="s">
        <v>23790</v>
      </c>
      <c r="D10670" s="417" t="s">
        <v>4315</v>
      </c>
      <c r="E10670" s="423">
        <v>1.051872404554268</v>
      </c>
      <c r="F10670" s="423">
        <v>4.0017079413029212E-2</v>
      </c>
      <c r="G10670" s="422">
        <v>1707.475040482464</v>
      </c>
      <c r="H10670" s="417" t="s">
        <v>2616</v>
      </c>
      <c r="I10670" s="417" t="s">
        <v>1392</v>
      </c>
      <c r="J10670" s="417" t="s">
        <v>3667</v>
      </c>
      <c r="K10670" s="417" t="s">
        <v>23791</v>
      </c>
      <c r="L10670" s="417"/>
      <c r="M10670" s="417" t="s">
        <v>28840</v>
      </c>
    </row>
    <row r="10671" spans="1:13" x14ac:dyDescent="0.25">
      <c r="A10671" s="417" t="s">
        <v>3385</v>
      </c>
      <c r="B10671" s="417" t="s">
        <v>2627</v>
      </c>
      <c r="C10671" s="417" t="s">
        <v>23792</v>
      </c>
      <c r="D10671" s="417" t="s">
        <v>563</v>
      </c>
      <c r="E10671" s="423">
        <v>32.337751207853223</v>
      </c>
      <c r="F10671" s="423">
        <v>1.6430687591854329</v>
      </c>
      <c r="G10671" s="422">
        <v>78252.818449396233</v>
      </c>
      <c r="H10671" s="417" t="s">
        <v>2616</v>
      </c>
      <c r="I10671" s="417" t="s">
        <v>1392</v>
      </c>
      <c r="J10671" s="417" t="s">
        <v>7714</v>
      </c>
      <c r="K10671" s="417" t="s">
        <v>23793</v>
      </c>
      <c r="L10671" s="417"/>
      <c r="M10671" s="417" t="s">
        <v>28840</v>
      </c>
    </row>
    <row r="10672" spans="1:13" x14ac:dyDescent="0.25">
      <c r="A10672" s="417" t="s">
        <v>3385</v>
      </c>
      <c r="B10672" s="417" t="s">
        <v>2627</v>
      </c>
      <c r="C10672" s="417" t="s">
        <v>23794</v>
      </c>
      <c r="D10672" s="417" t="s">
        <v>563</v>
      </c>
      <c r="E10672" s="423">
        <v>39.241487808936569</v>
      </c>
      <c r="F10672" s="423">
        <v>1.990951030180278</v>
      </c>
      <c r="G10672" s="422">
        <v>94984.442024781485</v>
      </c>
      <c r="H10672" s="417" t="s">
        <v>2616</v>
      </c>
      <c r="I10672" s="417" t="s">
        <v>1392</v>
      </c>
      <c r="J10672" s="417" t="s">
        <v>7714</v>
      </c>
      <c r="K10672" s="417" t="s">
        <v>23795</v>
      </c>
      <c r="L10672" s="417"/>
      <c r="M10672" s="417" t="s">
        <v>28840</v>
      </c>
    </row>
    <row r="10673" spans="1:13" x14ac:dyDescent="0.25">
      <c r="A10673" s="417" t="s">
        <v>3385</v>
      </c>
      <c r="B10673" s="417" t="s">
        <v>2627</v>
      </c>
      <c r="C10673" s="417" t="s">
        <v>23796</v>
      </c>
      <c r="D10673" s="417" t="s">
        <v>563</v>
      </c>
      <c r="E10673" s="423">
        <v>45.614410077032012</v>
      </c>
      <c r="F10673" s="423">
        <v>2.3120857580980689</v>
      </c>
      <c r="G10673" s="422">
        <v>110429.60600138731</v>
      </c>
      <c r="H10673" s="417" t="s">
        <v>2616</v>
      </c>
      <c r="I10673" s="417" t="s">
        <v>1392</v>
      </c>
      <c r="J10673" s="417" t="s">
        <v>7714</v>
      </c>
      <c r="K10673" s="417" t="s">
        <v>23797</v>
      </c>
      <c r="L10673" s="417"/>
      <c r="M10673" s="417" t="s">
        <v>28840</v>
      </c>
    </row>
    <row r="10674" spans="1:13" x14ac:dyDescent="0.25">
      <c r="A10674" s="417" t="s">
        <v>3385</v>
      </c>
      <c r="B10674" s="417" t="s">
        <v>2627</v>
      </c>
      <c r="C10674" s="417" t="s">
        <v>23798</v>
      </c>
      <c r="D10674" s="417" t="s">
        <v>563</v>
      </c>
      <c r="E10674" s="423">
        <v>52.518652402127607</v>
      </c>
      <c r="F10674" s="423">
        <v>2.6599919752615202</v>
      </c>
      <c r="G10674" s="422">
        <v>127162.4587419489</v>
      </c>
      <c r="H10674" s="417" t="s">
        <v>2616</v>
      </c>
      <c r="I10674" s="417" t="s">
        <v>1392</v>
      </c>
      <c r="J10674" s="417" t="s">
        <v>7714</v>
      </c>
      <c r="K10674" s="417" t="s">
        <v>23799</v>
      </c>
      <c r="L10674" s="417"/>
      <c r="M10674" s="417" t="s">
        <v>28840</v>
      </c>
    </row>
    <row r="10675" spans="1:13" x14ac:dyDescent="0.25">
      <c r="A10675" s="417" t="s">
        <v>3385</v>
      </c>
      <c r="B10675" s="417" t="s">
        <v>2627</v>
      </c>
      <c r="C10675" s="417" t="s">
        <v>23800</v>
      </c>
      <c r="D10675" s="417" t="s">
        <v>563</v>
      </c>
      <c r="E10675" s="423">
        <v>65.794297989106738</v>
      </c>
      <c r="F10675" s="423">
        <v>3.3289610478796718</v>
      </c>
      <c r="G10675" s="422">
        <v>159336.78650305609</v>
      </c>
      <c r="H10675" s="417" t="s">
        <v>2616</v>
      </c>
      <c r="I10675" s="417" t="s">
        <v>1392</v>
      </c>
      <c r="J10675" s="417" t="s">
        <v>7714</v>
      </c>
      <c r="K10675" s="417" t="s">
        <v>23801</v>
      </c>
      <c r="L10675" s="417"/>
      <c r="M10675" s="417" t="s">
        <v>28840</v>
      </c>
    </row>
    <row r="10676" spans="1:13" x14ac:dyDescent="0.25">
      <c r="A10676" s="417" t="s">
        <v>3385</v>
      </c>
      <c r="B10676" s="417" t="s">
        <v>2627</v>
      </c>
      <c r="C10676" s="417" t="s">
        <v>23802</v>
      </c>
      <c r="D10676" s="417" t="s">
        <v>563</v>
      </c>
      <c r="E10676" s="423">
        <v>79.069907930486281</v>
      </c>
      <c r="F10676" s="423">
        <v>3.9979243864178948</v>
      </c>
      <c r="G10676" s="422">
        <v>191511.03557505709</v>
      </c>
      <c r="H10676" s="417" t="s">
        <v>2616</v>
      </c>
      <c r="I10676" s="417" t="s">
        <v>1392</v>
      </c>
      <c r="J10676" s="417" t="s">
        <v>7714</v>
      </c>
      <c r="K10676" s="417" t="s">
        <v>23803</v>
      </c>
      <c r="L10676" s="417"/>
      <c r="M10676" s="417" t="s">
        <v>28840</v>
      </c>
    </row>
    <row r="10677" spans="1:13" x14ac:dyDescent="0.25">
      <c r="A10677" s="417" t="s">
        <v>3385</v>
      </c>
      <c r="B10677" s="417" t="s">
        <v>2627</v>
      </c>
      <c r="C10677" s="417" t="s">
        <v>23804</v>
      </c>
      <c r="D10677" s="417" t="s">
        <v>4315</v>
      </c>
      <c r="E10677" s="423">
        <v>6.9937440103574611</v>
      </c>
      <c r="F10677" s="423">
        <v>0.22537352514037631</v>
      </c>
      <c r="G10677" s="422">
        <v>23768.340026963979</v>
      </c>
      <c r="H10677" s="417" t="s">
        <v>2616</v>
      </c>
      <c r="I10677" s="417" t="s">
        <v>1392</v>
      </c>
      <c r="J10677" s="417" t="s">
        <v>3667</v>
      </c>
      <c r="K10677" s="417" t="s">
        <v>23805</v>
      </c>
      <c r="L10677" s="417"/>
      <c r="M10677" s="417" t="s">
        <v>28840</v>
      </c>
    </row>
    <row r="10678" spans="1:13" x14ac:dyDescent="0.25">
      <c r="A10678" s="417" t="s">
        <v>3385</v>
      </c>
      <c r="B10678" s="417" t="s">
        <v>2627</v>
      </c>
      <c r="C10678" s="417" t="s">
        <v>23806</v>
      </c>
      <c r="D10678" s="417" t="s">
        <v>563</v>
      </c>
      <c r="E10678" s="423">
        <v>20.206009797959901</v>
      </c>
      <c r="F10678" s="423">
        <v>1.2496240060176229</v>
      </c>
      <c r="G10678" s="422">
        <v>55462.117676269387</v>
      </c>
      <c r="H10678" s="417" t="s">
        <v>2616</v>
      </c>
      <c r="I10678" s="417" t="s">
        <v>1392</v>
      </c>
      <c r="J10678" s="417" t="s">
        <v>7714</v>
      </c>
      <c r="K10678" s="417" t="s">
        <v>23807</v>
      </c>
      <c r="L10678" s="417"/>
      <c r="M10678" s="417" t="s">
        <v>28840</v>
      </c>
    </row>
    <row r="10679" spans="1:13" x14ac:dyDescent="0.25">
      <c r="A10679" s="417" t="s">
        <v>3385</v>
      </c>
      <c r="B10679" s="417" t="s">
        <v>2627</v>
      </c>
      <c r="C10679" s="417" t="s">
        <v>23808</v>
      </c>
      <c r="D10679" s="417" t="s">
        <v>563</v>
      </c>
      <c r="E10679" s="423">
        <v>25.014646931690908</v>
      </c>
      <c r="F10679" s="423">
        <v>1.5287643115727101</v>
      </c>
      <c r="G10679" s="422">
        <v>64146.809919387837</v>
      </c>
      <c r="H10679" s="417" t="s">
        <v>2616</v>
      </c>
      <c r="I10679" s="417" t="s">
        <v>1392</v>
      </c>
      <c r="J10679" s="417" t="s">
        <v>7714</v>
      </c>
      <c r="K10679" s="417" t="s">
        <v>23809</v>
      </c>
      <c r="L10679" s="417"/>
      <c r="M10679" s="417" t="s">
        <v>28840</v>
      </c>
    </row>
    <row r="10680" spans="1:13" x14ac:dyDescent="0.25">
      <c r="A10680" s="417" t="s">
        <v>3385</v>
      </c>
      <c r="B10680" s="417" t="s">
        <v>2627</v>
      </c>
      <c r="C10680" s="417" t="s">
        <v>23810</v>
      </c>
      <c r="D10680" s="417" t="s">
        <v>563</v>
      </c>
      <c r="E10680" s="423">
        <v>28.346003460032868</v>
      </c>
      <c r="F10680" s="423">
        <v>1.7515891088675399</v>
      </c>
      <c r="G10680" s="422">
        <v>70375.41427032846</v>
      </c>
      <c r="H10680" s="417" t="s">
        <v>2616</v>
      </c>
      <c r="I10680" s="417" t="s">
        <v>1392</v>
      </c>
      <c r="J10680" s="417" t="s">
        <v>7714</v>
      </c>
      <c r="K10680" s="417" t="s">
        <v>23811</v>
      </c>
      <c r="L10680" s="417"/>
      <c r="M10680" s="417" t="s">
        <v>28840</v>
      </c>
    </row>
    <row r="10681" spans="1:13" x14ac:dyDescent="0.25">
      <c r="A10681" s="417" t="s">
        <v>3385</v>
      </c>
      <c r="B10681" s="417" t="s">
        <v>2627</v>
      </c>
      <c r="C10681" s="417" t="s">
        <v>23812</v>
      </c>
      <c r="D10681" s="417" t="s">
        <v>563</v>
      </c>
      <c r="E10681" s="423">
        <v>31.948080001559521</v>
      </c>
      <c r="F10681" s="423">
        <v>1.9927715555650221</v>
      </c>
      <c r="G10681" s="422">
        <v>77082.041158342719</v>
      </c>
      <c r="H10681" s="417" t="s">
        <v>2616</v>
      </c>
      <c r="I10681" s="417" t="s">
        <v>1392</v>
      </c>
      <c r="J10681" s="417" t="s">
        <v>7714</v>
      </c>
      <c r="K10681" s="417" t="s">
        <v>23813</v>
      </c>
      <c r="L10681" s="417"/>
      <c r="M10681" s="417" t="s">
        <v>28840</v>
      </c>
    </row>
    <row r="10682" spans="1:13" x14ac:dyDescent="0.25">
      <c r="A10682" s="417" t="s">
        <v>3385</v>
      </c>
      <c r="B10682" s="417" t="s">
        <v>2627</v>
      </c>
      <c r="C10682" s="417" t="s">
        <v>23814</v>
      </c>
      <c r="D10682" s="417" t="s">
        <v>563</v>
      </c>
      <c r="E10682" s="423">
        <v>38.864122084401963</v>
      </c>
      <c r="F10682" s="423">
        <v>2.4561927489957851</v>
      </c>
      <c r="G10682" s="422">
        <v>89911.344189394309</v>
      </c>
      <c r="H10682" s="417" t="s">
        <v>2616</v>
      </c>
      <c r="I10682" s="417" t="s">
        <v>1392</v>
      </c>
      <c r="J10682" s="417" t="s">
        <v>7714</v>
      </c>
      <c r="K10682" s="417" t="s">
        <v>23815</v>
      </c>
      <c r="L10682" s="417"/>
      <c r="M10682" s="417" t="s">
        <v>28840</v>
      </c>
    </row>
    <row r="10683" spans="1:13" x14ac:dyDescent="0.25">
      <c r="A10683" s="417" t="s">
        <v>3385</v>
      </c>
      <c r="B10683" s="417" t="s">
        <v>2627</v>
      </c>
      <c r="C10683" s="417" t="s">
        <v>23816</v>
      </c>
      <c r="D10683" s="417" t="s">
        <v>563</v>
      </c>
      <c r="E10683" s="423">
        <v>45.771816286028333</v>
      </c>
      <c r="F10683" s="423">
        <v>2.9193440482681519</v>
      </c>
      <c r="G10683" s="422">
        <v>102690.05424124299</v>
      </c>
      <c r="H10683" s="417" t="s">
        <v>2616</v>
      </c>
      <c r="I10683" s="417" t="s">
        <v>1392</v>
      </c>
      <c r="J10683" s="417" t="s">
        <v>7714</v>
      </c>
      <c r="K10683" s="417" t="s">
        <v>23817</v>
      </c>
      <c r="L10683" s="417"/>
      <c r="M10683" s="417" t="s">
        <v>28840</v>
      </c>
    </row>
    <row r="10684" spans="1:13" x14ac:dyDescent="0.25">
      <c r="A10684" s="417" t="s">
        <v>3385</v>
      </c>
      <c r="B10684" s="417" t="s">
        <v>2627</v>
      </c>
      <c r="C10684" s="417" t="s">
        <v>23818</v>
      </c>
      <c r="D10684" s="417" t="s">
        <v>989</v>
      </c>
      <c r="E10684" s="423">
        <v>204.19152868969189</v>
      </c>
      <c r="F10684" s="423">
        <v>5.7031217692684741</v>
      </c>
      <c r="G10684" s="422">
        <v>479724.38967380981</v>
      </c>
      <c r="H10684" s="417" t="s">
        <v>2616</v>
      </c>
      <c r="I10684" s="417" t="s">
        <v>1392</v>
      </c>
      <c r="J10684" s="417" t="s">
        <v>3667</v>
      </c>
      <c r="K10684" s="417" t="s">
        <v>23819</v>
      </c>
      <c r="L10684" s="417"/>
      <c r="M10684" s="417" t="s">
        <v>28840</v>
      </c>
    </row>
    <row r="10685" spans="1:13" x14ac:dyDescent="0.25">
      <c r="A10685" s="417" t="s">
        <v>3385</v>
      </c>
      <c r="B10685" s="417" t="s">
        <v>2627</v>
      </c>
      <c r="C10685" s="417" t="s">
        <v>23820</v>
      </c>
      <c r="D10685" s="417" t="s">
        <v>989</v>
      </c>
      <c r="E10685" s="423">
        <v>649.98558086312755</v>
      </c>
      <c r="F10685" s="423">
        <v>20.43626503436656</v>
      </c>
      <c r="G10685" s="422">
        <v>1756293.5922877791</v>
      </c>
      <c r="H10685" s="417" t="s">
        <v>2616</v>
      </c>
      <c r="I10685" s="417" t="s">
        <v>1392</v>
      </c>
      <c r="J10685" s="417" t="s">
        <v>3667</v>
      </c>
      <c r="K10685" s="417" t="s">
        <v>23821</v>
      </c>
      <c r="L10685" s="417"/>
      <c r="M10685" s="417" t="s">
        <v>28840</v>
      </c>
    </row>
    <row r="10686" spans="1:13" x14ac:dyDescent="0.25">
      <c r="A10686" s="417" t="s">
        <v>3385</v>
      </c>
      <c r="B10686" s="417" t="s">
        <v>2627</v>
      </c>
      <c r="C10686" s="417" t="s">
        <v>23822</v>
      </c>
      <c r="D10686" s="417" t="s">
        <v>989</v>
      </c>
      <c r="E10686" s="423">
        <v>210.35860969061369</v>
      </c>
      <c r="F10686" s="423">
        <v>6.5956960927052801</v>
      </c>
      <c r="G10686" s="422">
        <v>482265.80695743678</v>
      </c>
      <c r="H10686" s="417" t="s">
        <v>2616</v>
      </c>
      <c r="I10686" s="417" t="s">
        <v>1392</v>
      </c>
      <c r="J10686" s="417" t="s">
        <v>3667</v>
      </c>
      <c r="K10686" s="417" t="s">
        <v>23823</v>
      </c>
      <c r="L10686" s="417"/>
      <c r="M10686" s="417" t="s">
        <v>28840</v>
      </c>
    </row>
    <row r="10687" spans="1:13" x14ac:dyDescent="0.25">
      <c r="A10687" s="417" t="s">
        <v>3385</v>
      </c>
      <c r="B10687" s="417" t="s">
        <v>2627</v>
      </c>
      <c r="C10687" s="417" t="s">
        <v>23824</v>
      </c>
      <c r="D10687" s="417" t="s">
        <v>989</v>
      </c>
      <c r="E10687" s="423">
        <v>327.50519676936932</v>
      </c>
      <c r="F10687" s="423">
        <v>9.6879413925639106</v>
      </c>
      <c r="G10687" s="422">
        <v>845351.1228240882</v>
      </c>
      <c r="H10687" s="417" t="s">
        <v>2616</v>
      </c>
      <c r="I10687" s="417" t="s">
        <v>1392</v>
      </c>
      <c r="J10687" s="417" t="s">
        <v>3667</v>
      </c>
      <c r="K10687" s="417" t="s">
        <v>23825</v>
      </c>
      <c r="L10687" s="417"/>
      <c r="M10687" s="417" t="s">
        <v>28840</v>
      </c>
    </row>
    <row r="10688" spans="1:13" x14ac:dyDescent="0.25">
      <c r="A10688" s="417" t="s">
        <v>3385</v>
      </c>
      <c r="B10688" s="417" t="s">
        <v>2627</v>
      </c>
      <c r="C10688" s="417" t="s">
        <v>23826</v>
      </c>
      <c r="D10688" s="417" t="s">
        <v>989</v>
      </c>
      <c r="E10688" s="423">
        <v>184.30535944126049</v>
      </c>
      <c r="F10688" s="423">
        <v>5.9169229603161781</v>
      </c>
      <c r="G10688" s="422">
        <v>500811.35957721679</v>
      </c>
      <c r="H10688" s="417" t="s">
        <v>2616</v>
      </c>
      <c r="I10688" s="417" t="s">
        <v>1392</v>
      </c>
      <c r="J10688" s="417" t="s">
        <v>3667</v>
      </c>
      <c r="K10688" s="417" t="s">
        <v>23827</v>
      </c>
      <c r="L10688" s="417"/>
      <c r="M10688" s="417" t="s">
        <v>28840</v>
      </c>
    </row>
    <row r="10689" spans="1:13" x14ac:dyDescent="0.25">
      <c r="A10689" s="417" t="s">
        <v>3385</v>
      </c>
      <c r="B10689" s="417" t="s">
        <v>2627</v>
      </c>
      <c r="C10689" s="417" t="s">
        <v>23828</v>
      </c>
      <c r="D10689" s="417" t="s">
        <v>989</v>
      </c>
      <c r="E10689" s="423">
        <v>532.27190878695853</v>
      </c>
      <c r="F10689" s="423">
        <v>16.95480913890427</v>
      </c>
      <c r="G10689" s="422">
        <v>1458631.00433606</v>
      </c>
      <c r="H10689" s="417" t="s">
        <v>2616</v>
      </c>
      <c r="I10689" s="417" t="s">
        <v>1392</v>
      </c>
      <c r="J10689" s="417" t="s">
        <v>3667</v>
      </c>
      <c r="K10689" s="417" t="s">
        <v>23829</v>
      </c>
      <c r="L10689" s="417"/>
      <c r="M10689" s="417" t="s">
        <v>28840</v>
      </c>
    </row>
    <row r="10690" spans="1:13" x14ac:dyDescent="0.25">
      <c r="A10690" s="417" t="s">
        <v>3385</v>
      </c>
      <c r="B10690" s="417" t="s">
        <v>3655</v>
      </c>
      <c r="C10690" s="417" t="s">
        <v>23830</v>
      </c>
      <c r="D10690" s="417" t="s">
        <v>593</v>
      </c>
      <c r="E10690" s="423">
        <v>0.58418993177267098</v>
      </c>
      <c r="F10690" s="423">
        <v>8.541745041318935E-2</v>
      </c>
      <c r="G10690" s="422">
        <v>2194.2998435290001</v>
      </c>
      <c r="H10690" s="417" t="s">
        <v>2616</v>
      </c>
      <c r="I10690" s="417" t="s">
        <v>1392</v>
      </c>
      <c r="J10690" s="417" t="s">
        <v>23831</v>
      </c>
      <c r="K10690" s="417" t="s">
        <v>23832</v>
      </c>
      <c r="L10690" s="417"/>
      <c r="M10690" s="417" t="s">
        <v>28840</v>
      </c>
    </row>
    <row r="10691" spans="1:13" x14ac:dyDescent="0.25">
      <c r="A10691" s="417" t="s">
        <v>3385</v>
      </c>
      <c r="B10691" s="417" t="s">
        <v>3655</v>
      </c>
      <c r="C10691" s="417" t="s">
        <v>23833</v>
      </c>
      <c r="D10691" s="417" t="s">
        <v>593</v>
      </c>
      <c r="E10691" s="423">
        <v>0.68950303936103663</v>
      </c>
      <c r="F10691" s="423">
        <v>8.9184458350498513E-2</v>
      </c>
      <c r="G10691" s="422">
        <v>2582.2680657247888</v>
      </c>
      <c r="H10691" s="417" t="s">
        <v>2616</v>
      </c>
      <c r="I10691" s="417" t="s">
        <v>1392</v>
      </c>
      <c r="J10691" s="417" t="s">
        <v>23831</v>
      </c>
      <c r="K10691" s="417" t="s">
        <v>23834</v>
      </c>
      <c r="L10691" s="417"/>
      <c r="M10691" s="417" t="s">
        <v>28840</v>
      </c>
    </row>
    <row r="10692" spans="1:13" x14ac:dyDescent="0.25">
      <c r="A10692" s="417" t="s">
        <v>3385</v>
      </c>
      <c r="B10692" s="417" t="s">
        <v>3655</v>
      </c>
      <c r="C10692" s="417" t="s">
        <v>23835</v>
      </c>
      <c r="D10692" s="417" t="s">
        <v>593</v>
      </c>
      <c r="E10692" s="423">
        <v>0.68696407569237627</v>
      </c>
      <c r="F10692" s="423">
        <v>9.4530143870571418E-2</v>
      </c>
      <c r="G10692" s="422">
        <v>2398.7274165086592</v>
      </c>
      <c r="H10692" s="417" t="s">
        <v>2616</v>
      </c>
      <c r="I10692" s="417" t="s">
        <v>1392</v>
      </c>
      <c r="J10692" s="417" t="s">
        <v>23831</v>
      </c>
      <c r="K10692" s="417" t="s">
        <v>23836</v>
      </c>
      <c r="L10692" s="417"/>
      <c r="M10692" s="417" t="s">
        <v>28840</v>
      </c>
    </row>
    <row r="10693" spans="1:13" x14ac:dyDescent="0.25">
      <c r="A10693" s="417" t="s">
        <v>3385</v>
      </c>
      <c r="B10693" s="417" t="s">
        <v>3655</v>
      </c>
      <c r="C10693" s="417" t="s">
        <v>23837</v>
      </c>
      <c r="D10693" s="417" t="s">
        <v>593</v>
      </c>
      <c r="E10693" s="423">
        <v>0.60997576906090023</v>
      </c>
      <c r="F10693" s="423">
        <v>9.8668785191973751E-2</v>
      </c>
      <c r="G10693" s="422">
        <v>2320.2892238119371</v>
      </c>
      <c r="H10693" s="417" t="s">
        <v>2616</v>
      </c>
      <c r="I10693" s="417" t="s">
        <v>1392</v>
      </c>
      <c r="J10693" s="417" t="s">
        <v>23831</v>
      </c>
      <c r="K10693" s="417" t="s">
        <v>23838</v>
      </c>
      <c r="L10693" s="417"/>
      <c r="M10693" s="417" t="s">
        <v>28840</v>
      </c>
    </row>
    <row r="10694" spans="1:13" x14ac:dyDescent="0.25">
      <c r="A10694" s="417" t="s">
        <v>3385</v>
      </c>
      <c r="B10694" s="417" t="s">
        <v>3655</v>
      </c>
      <c r="C10694" s="417" t="s">
        <v>23839</v>
      </c>
      <c r="D10694" s="417" t="s">
        <v>593</v>
      </c>
      <c r="E10694" s="423">
        <v>0.79227498407724228</v>
      </c>
      <c r="F10694" s="423">
        <v>9.829686473033547E-2</v>
      </c>
      <c r="G10694" s="422">
        <v>2786.6923136764972</v>
      </c>
      <c r="H10694" s="417" t="s">
        <v>2616</v>
      </c>
      <c r="I10694" s="417" t="s">
        <v>1392</v>
      </c>
      <c r="J10694" s="417" t="s">
        <v>23831</v>
      </c>
      <c r="K10694" s="417" t="s">
        <v>23840</v>
      </c>
      <c r="L10694" s="417"/>
      <c r="M10694" s="417" t="s">
        <v>28840</v>
      </c>
    </row>
    <row r="10695" spans="1:13" x14ac:dyDescent="0.25">
      <c r="A10695" s="417" t="s">
        <v>3385</v>
      </c>
      <c r="B10695" s="417" t="s">
        <v>3655</v>
      </c>
      <c r="C10695" s="417" t="s">
        <v>23841</v>
      </c>
      <c r="D10695" s="417" t="s">
        <v>593</v>
      </c>
      <c r="E10695" s="423">
        <v>0.71528896222664795</v>
      </c>
      <c r="F10695" s="423">
        <v>0.1024356539341594</v>
      </c>
      <c r="G10695" s="422">
        <v>2708.2593428028181</v>
      </c>
      <c r="H10695" s="417" t="s">
        <v>2616</v>
      </c>
      <c r="I10695" s="417" t="s">
        <v>1392</v>
      </c>
      <c r="J10695" s="417" t="s">
        <v>23831</v>
      </c>
      <c r="K10695" s="417" t="s">
        <v>23842</v>
      </c>
      <c r="L10695" s="417"/>
      <c r="M10695" s="417" t="s">
        <v>28840</v>
      </c>
    </row>
    <row r="10696" spans="1:13" x14ac:dyDescent="0.25">
      <c r="A10696" s="417" t="s">
        <v>3385</v>
      </c>
      <c r="B10696" s="417" t="s">
        <v>2627</v>
      </c>
      <c r="C10696" s="417" t="s">
        <v>23843</v>
      </c>
      <c r="D10696" s="417" t="s">
        <v>989</v>
      </c>
      <c r="E10696" s="423">
        <v>273109.32009662187</v>
      </c>
      <c r="F10696" s="423">
        <v>15487.48249893393</v>
      </c>
      <c r="G10696" s="422">
        <v>666370161.96883917</v>
      </c>
      <c r="H10696" s="417" t="s">
        <v>2616</v>
      </c>
      <c r="I10696" s="417" t="s">
        <v>1392</v>
      </c>
      <c r="J10696" s="417" t="s">
        <v>7714</v>
      </c>
      <c r="K10696" s="417" t="s">
        <v>23844</v>
      </c>
      <c r="L10696" s="417"/>
      <c r="M10696" s="417" t="s">
        <v>28840</v>
      </c>
    </row>
    <row r="10697" spans="1:13" x14ac:dyDescent="0.25">
      <c r="A10697" s="417" t="s">
        <v>3385</v>
      </c>
      <c r="B10697" s="417" t="s">
        <v>2627</v>
      </c>
      <c r="C10697" s="417" t="s">
        <v>23845</v>
      </c>
      <c r="D10697" s="417" t="s">
        <v>989</v>
      </c>
      <c r="E10697" s="423">
        <v>7657.0697239261845</v>
      </c>
      <c r="F10697" s="423">
        <v>185.23875179009821</v>
      </c>
      <c r="G10697" s="422">
        <v>18201684.897574831</v>
      </c>
      <c r="H10697" s="417" t="s">
        <v>2616</v>
      </c>
      <c r="I10697" s="417" t="s">
        <v>1392</v>
      </c>
      <c r="J10697" s="417" t="s">
        <v>7714</v>
      </c>
      <c r="K10697" s="417" t="s">
        <v>23846</v>
      </c>
      <c r="L10697" s="417"/>
      <c r="M10697" s="417" t="s">
        <v>28840</v>
      </c>
    </row>
    <row r="10698" spans="1:13" x14ac:dyDescent="0.25">
      <c r="A10698" s="417" t="s">
        <v>3385</v>
      </c>
      <c r="B10698" s="417" t="s">
        <v>2627</v>
      </c>
      <c r="C10698" s="417" t="s">
        <v>23847</v>
      </c>
      <c r="D10698" s="417" t="s">
        <v>989</v>
      </c>
      <c r="E10698" s="423">
        <v>36879.254520953378</v>
      </c>
      <c r="F10698" s="423">
        <v>2270.9831079468099</v>
      </c>
      <c r="G10698" s="422">
        <v>89872885.101500884</v>
      </c>
      <c r="H10698" s="417" t="s">
        <v>2616</v>
      </c>
      <c r="I10698" s="417" t="s">
        <v>1392</v>
      </c>
      <c r="J10698" s="417" t="s">
        <v>7714</v>
      </c>
      <c r="K10698" s="417" t="s">
        <v>23848</v>
      </c>
      <c r="L10698" s="417"/>
      <c r="M10698" s="417" t="s">
        <v>28840</v>
      </c>
    </row>
    <row r="10699" spans="1:13" x14ac:dyDescent="0.25">
      <c r="A10699" s="417" t="s">
        <v>3385</v>
      </c>
      <c r="B10699" s="417" t="s">
        <v>2627</v>
      </c>
      <c r="C10699" s="417" t="s">
        <v>23849</v>
      </c>
      <c r="D10699" s="417" t="s">
        <v>989</v>
      </c>
      <c r="E10699" s="423">
        <v>67058.117757007785</v>
      </c>
      <c r="F10699" s="423">
        <v>3659.826421324884</v>
      </c>
      <c r="G10699" s="422">
        <v>158225383.18721029</v>
      </c>
      <c r="H10699" s="417" t="s">
        <v>2616</v>
      </c>
      <c r="I10699" s="417" t="s">
        <v>1392</v>
      </c>
      <c r="J10699" s="417" t="s">
        <v>7714</v>
      </c>
      <c r="K10699" s="417" t="s">
        <v>23850</v>
      </c>
      <c r="L10699" s="417"/>
      <c r="M10699" s="417" t="s">
        <v>28840</v>
      </c>
    </row>
    <row r="10700" spans="1:13" x14ac:dyDescent="0.25">
      <c r="A10700" s="417" t="s">
        <v>3385</v>
      </c>
      <c r="B10700" s="417" t="s">
        <v>2627</v>
      </c>
      <c r="C10700" s="417" t="s">
        <v>23851</v>
      </c>
      <c r="D10700" s="417" t="s">
        <v>989</v>
      </c>
      <c r="E10700" s="423">
        <v>8025.3150905739876</v>
      </c>
      <c r="F10700" s="423">
        <v>586.89360585308953</v>
      </c>
      <c r="G10700" s="422">
        <v>19555082.524727199</v>
      </c>
      <c r="H10700" s="417" t="s">
        <v>2616</v>
      </c>
      <c r="I10700" s="417" t="s">
        <v>1392</v>
      </c>
      <c r="J10700" s="417" t="s">
        <v>7714</v>
      </c>
      <c r="K10700" s="417" t="s">
        <v>23852</v>
      </c>
      <c r="L10700" s="417"/>
      <c r="M10700" s="417" t="s">
        <v>28840</v>
      </c>
    </row>
    <row r="10701" spans="1:13" x14ac:dyDescent="0.25">
      <c r="A10701" s="417" t="s">
        <v>3385</v>
      </c>
      <c r="B10701" s="417" t="s">
        <v>2627</v>
      </c>
      <c r="C10701" s="417" t="s">
        <v>23853</v>
      </c>
      <c r="D10701" s="417" t="s">
        <v>563</v>
      </c>
      <c r="E10701" s="423">
        <v>6.9450062400185448</v>
      </c>
      <c r="F10701" s="423">
        <v>0.24084690592677571</v>
      </c>
      <c r="G10701" s="422">
        <v>20094.096385790461</v>
      </c>
      <c r="H10701" s="417" t="s">
        <v>2616</v>
      </c>
      <c r="I10701" s="417" t="s">
        <v>1392</v>
      </c>
      <c r="J10701" s="417" t="s">
        <v>10899</v>
      </c>
      <c r="K10701" s="417" t="s">
        <v>23854</v>
      </c>
      <c r="L10701" s="417"/>
      <c r="M10701" s="417" t="s">
        <v>28840</v>
      </c>
    </row>
    <row r="10702" spans="1:13" x14ac:dyDescent="0.25">
      <c r="A10702" s="417" t="s">
        <v>3385</v>
      </c>
      <c r="B10702" s="417" t="s">
        <v>2627</v>
      </c>
      <c r="C10702" s="417" t="s">
        <v>23855</v>
      </c>
      <c r="D10702" s="417" t="s">
        <v>563</v>
      </c>
      <c r="E10702" s="423">
        <v>12.614794893839161</v>
      </c>
      <c r="F10702" s="423">
        <v>0.42723766184020878</v>
      </c>
      <c r="G10702" s="422">
        <v>39895.148891743149</v>
      </c>
      <c r="H10702" s="417" t="s">
        <v>2616</v>
      </c>
      <c r="I10702" s="417" t="s">
        <v>1392</v>
      </c>
      <c r="J10702" s="417" t="s">
        <v>10899</v>
      </c>
      <c r="K10702" s="417" t="s">
        <v>23856</v>
      </c>
      <c r="L10702" s="417"/>
      <c r="M10702" s="417" t="s">
        <v>28840</v>
      </c>
    </row>
    <row r="10703" spans="1:13" x14ac:dyDescent="0.25">
      <c r="A10703" s="417" t="s">
        <v>3385</v>
      </c>
      <c r="B10703" s="417" t="s">
        <v>2627</v>
      </c>
      <c r="C10703" s="417" t="s">
        <v>23857</v>
      </c>
      <c r="D10703" s="417" t="s">
        <v>989</v>
      </c>
      <c r="E10703" s="423">
        <v>240717.88937658191</v>
      </c>
      <c r="F10703" s="423">
        <v>13216.303297238739</v>
      </c>
      <c r="G10703" s="422">
        <v>586898867.16532171</v>
      </c>
      <c r="H10703" s="417" t="s">
        <v>2616</v>
      </c>
      <c r="I10703" s="417" t="s">
        <v>1392</v>
      </c>
      <c r="J10703" s="417" t="s">
        <v>7714</v>
      </c>
      <c r="K10703" s="417" t="s">
        <v>23858</v>
      </c>
      <c r="L10703" s="417"/>
      <c r="M10703" s="417" t="s">
        <v>28840</v>
      </c>
    </row>
    <row r="10704" spans="1:13" x14ac:dyDescent="0.25">
      <c r="A10704" s="417" t="s">
        <v>3385</v>
      </c>
      <c r="B10704" s="417" t="s">
        <v>2627</v>
      </c>
      <c r="C10704" s="417" t="s">
        <v>23859</v>
      </c>
      <c r="D10704" s="417" t="s">
        <v>989</v>
      </c>
      <c r="E10704" s="423">
        <v>11560.069608553489</v>
      </c>
      <c r="F10704" s="423">
        <v>283.88177259289489</v>
      </c>
      <c r="G10704" s="422">
        <v>27588603.350890219</v>
      </c>
      <c r="H10704" s="417" t="s">
        <v>2616</v>
      </c>
      <c r="I10704" s="417" t="s">
        <v>1392</v>
      </c>
      <c r="J10704" s="417" t="s">
        <v>7714</v>
      </c>
      <c r="K10704" s="417" t="s">
        <v>23860</v>
      </c>
      <c r="L10704" s="417"/>
      <c r="M10704" s="417" t="s">
        <v>28840</v>
      </c>
    </row>
    <row r="10705" spans="1:13" x14ac:dyDescent="0.25">
      <c r="A10705" s="417" t="s">
        <v>3385</v>
      </c>
      <c r="B10705" s="417" t="s">
        <v>2627</v>
      </c>
      <c r="C10705" s="417" t="s">
        <v>23861</v>
      </c>
      <c r="D10705" s="417" t="s">
        <v>989</v>
      </c>
      <c r="E10705" s="423">
        <v>13509.359900553251</v>
      </c>
      <c r="F10705" s="423">
        <v>874.16140418894565</v>
      </c>
      <c r="G10705" s="422">
        <v>32305995.433173001</v>
      </c>
      <c r="H10705" s="417" t="s">
        <v>2616</v>
      </c>
      <c r="I10705" s="417" t="s">
        <v>1392</v>
      </c>
      <c r="J10705" s="417" t="s">
        <v>7714</v>
      </c>
      <c r="K10705" s="417" t="s">
        <v>23862</v>
      </c>
      <c r="L10705" s="417"/>
      <c r="M10705" s="417" t="s">
        <v>28840</v>
      </c>
    </row>
    <row r="10706" spans="1:13" x14ac:dyDescent="0.25">
      <c r="A10706" s="417" t="s">
        <v>3385</v>
      </c>
      <c r="B10706" s="417" t="s">
        <v>2627</v>
      </c>
      <c r="C10706" s="417" t="s">
        <v>23863</v>
      </c>
      <c r="D10706" s="417" t="s">
        <v>989</v>
      </c>
      <c r="E10706" s="423">
        <v>263997.56265097897</v>
      </c>
      <c r="F10706" s="423">
        <v>15453.272539001489</v>
      </c>
      <c r="G10706" s="422">
        <v>647572882.10222495</v>
      </c>
      <c r="H10706" s="417" t="s">
        <v>2616</v>
      </c>
      <c r="I10706" s="417" t="s">
        <v>1392</v>
      </c>
      <c r="J10706" s="417" t="s">
        <v>7714</v>
      </c>
      <c r="K10706" s="417" t="s">
        <v>23864</v>
      </c>
      <c r="L10706" s="417"/>
      <c r="M10706" s="417" t="s">
        <v>28840</v>
      </c>
    </row>
    <row r="10707" spans="1:13" x14ac:dyDescent="0.25">
      <c r="A10707" s="417" t="s">
        <v>3385</v>
      </c>
      <c r="B10707" s="417" t="s">
        <v>2627</v>
      </c>
      <c r="C10707" s="417" t="s">
        <v>23865</v>
      </c>
      <c r="D10707" s="417" t="s">
        <v>989</v>
      </c>
      <c r="E10707" s="423">
        <v>14950.20398438886</v>
      </c>
      <c r="F10707" s="423">
        <v>475.78493123852633</v>
      </c>
      <c r="G10707" s="422">
        <v>40317743.032825418</v>
      </c>
      <c r="H10707" s="417" t="s">
        <v>2616</v>
      </c>
      <c r="I10707" s="417" t="s">
        <v>1392</v>
      </c>
      <c r="J10707" s="417" t="s">
        <v>7714</v>
      </c>
      <c r="K10707" s="417" t="s">
        <v>23866</v>
      </c>
      <c r="L10707" s="417"/>
      <c r="M10707" s="417" t="s">
        <v>28840</v>
      </c>
    </row>
    <row r="10708" spans="1:13" x14ac:dyDescent="0.25">
      <c r="A10708" s="417" t="s">
        <v>3385</v>
      </c>
      <c r="B10708" s="417" t="s">
        <v>2627</v>
      </c>
      <c r="C10708" s="417" t="s">
        <v>23867</v>
      </c>
      <c r="D10708" s="417" t="s">
        <v>989</v>
      </c>
      <c r="E10708" s="423">
        <v>34721.574106405489</v>
      </c>
      <c r="F10708" s="423">
        <v>2362.1862689769032</v>
      </c>
      <c r="G10708" s="422">
        <v>84965254.4032377</v>
      </c>
      <c r="H10708" s="417" t="s">
        <v>2616</v>
      </c>
      <c r="I10708" s="417" t="s">
        <v>1392</v>
      </c>
      <c r="J10708" s="417" t="s">
        <v>7714</v>
      </c>
      <c r="K10708" s="417" t="s">
        <v>23868</v>
      </c>
      <c r="L10708" s="417"/>
      <c r="M10708" s="417" t="s">
        <v>28840</v>
      </c>
    </row>
    <row r="10709" spans="1:13" x14ac:dyDescent="0.25">
      <c r="A10709" s="417" t="s">
        <v>3385</v>
      </c>
      <c r="B10709" s="417" t="s">
        <v>2627</v>
      </c>
      <c r="C10709" s="417" t="s">
        <v>23869</v>
      </c>
      <c r="D10709" s="417" t="s">
        <v>989</v>
      </c>
      <c r="E10709" s="423">
        <v>7237.5080250248066</v>
      </c>
      <c r="F10709" s="423">
        <v>203.11403467366159</v>
      </c>
      <c r="G10709" s="422">
        <v>16031848.663010109</v>
      </c>
      <c r="H10709" s="417" t="s">
        <v>2616</v>
      </c>
      <c r="I10709" s="417" t="s">
        <v>1392</v>
      </c>
      <c r="J10709" s="417" t="s">
        <v>18396</v>
      </c>
      <c r="K10709" s="417" t="s">
        <v>23870</v>
      </c>
      <c r="L10709" s="417"/>
      <c r="M10709" s="417" t="s">
        <v>28840</v>
      </c>
    </row>
    <row r="10710" spans="1:13" x14ac:dyDescent="0.25">
      <c r="A10710" s="417" t="s">
        <v>3385</v>
      </c>
      <c r="B10710" s="417" t="s">
        <v>2627</v>
      </c>
      <c r="C10710" s="417" t="s">
        <v>23871</v>
      </c>
      <c r="D10710" s="417" t="s">
        <v>989</v>
      </c>
      <c r="E10710" s="423">
        <v>11328.048099263329</v>
      </c>
      <c r="F10710" s="423">
        <v>348.93398597130869</v>
      </c>
      <c r="G10710" s="422">
        <v>31148244.360739149</v>
      </c>
      <c r="H10710" s="417" t="s">
        <v>2616</v>
      </c>
      <c r="I10710" s="417" t="s">
        <v>1392</v>
      </c>
      <c r="J10710" s="417" t="s">
        <v>18396</v>
      </c>
      <c r="K10710" s="417" t="s">
        <v>23872</v>
      </c>
      <c r="L10710" s="417"/>
      <c r="M10710" s="417" t="s">
        <v>28840</v>
      </c>
    </row>
    <row r="10711" spans="1:13" x14ac:dyDescent="0.25">
      <c r="A10711" s="417" t="s">
        <v>3385</v>
      </c>
      <c r="B10711" s="417" t="s">
        <v>2627</v>
      </c>
      <c r="C10711" s="417" t="s">
        <v>23873</v>
      </c>
      <c r="D10711" s="417" t="s">
        <v>563</v>
      </c>
      <c r="E10711" s="423">
        <v>13.18375504761987</v>
      </c>
      <c r="F10711" s="423">
        <v>0.76516283248184325</v>
      </c>
      <c r="G10711" s="422">
        <v>32039.951245815631</v>
      </c>
      <c r="H10711" s="417" t="s">
        <v>2616</v>
      </c>
      <c r="I10711" s="417" t="s">
        <v>1392</v>
      </c>
      <c r="J10711" s="417" t="s">
        <v>7714</v>
      </c>
      <c r="K10711" s="417" t="s">
        <v>23874</v>
      </c>
      <c r="L10711" s="417"/>
      <c r="M10711" s="417" t="s">
        <v>28840</v>
      </c>
    </row>
    <row r="10712" spans="1:13" x14ac:dyDescent="0.25">
      <c r="A10712" s="417" t="s">
        <v>3385</v>
      </c>
      <c r="B10712" s="417" t="s">
        <v>2627</v>
      </c>
      <c r="C10712" s="417" t="s">
        <v>23875</v>
      </c>
      <c r="D10712" s="417" t="s">
        <v>563</v>
      </c>
      <c r="E10712" s="423">
        <v>17.764046317072371</v>
      </c>
      <c r="F10712" s="423">
        <v>1.0231685789689109</v>
      </c>
      <c r="G10712" s="422">
        <v>43187.597400142367</v>
      </c>
      <c r="H10712" s="417" t="s">
        <v>2616</v>
      </c>
      <c r="I10712" s="417" t="s">
        <v>1392</v>
      </c>
      <c r="J10712" s="417" t="s">
        <v>7714</v>
      </c>
      <c r="K10712" s="417" t="s">
        <v>23876</v>
      </c>
      <c r="L10712" s="417"/>
      <c r="M10712" s="417" t="s">
        <v>28840</v>
      </c>
    </row>
    <row r="10713" spans="1:13" x14ac:dyDescent="0.25">
      <c r="A10713" s="417" t="s">
        <v>3385</v>
      </c>
      <c r="B10713" s="417" t="s">
        <v>2627</v>
      </c>
      <c r="C10713" s="417" t="s">
        <v>23877</v>
      </c>
      <c r="D10713" s="417" t="s">
        <v>563</v>
      </c>
      <c r="E10713" s="423">
        <v>26.9244788637791</v>
      </c>
      <c r="F10713" s="423">
        <v>1.539173328757083</v>
      </c>
      <c r="G10713" s="422">
        <v>65482.529172647053</v>
      </c>
      <c r="H10713" s="417" t="s">
        <v>2616</v>
      </c>
      <c r="I10713" s="417" t="s">
        <v>1392</v>
      </c>
      <c r="J10713" s="417" t="s">
        <v>7714</v>
      </c>
      <c r="K10713" s="417" t="s">
        <v>23878</v>
      </c>
      <c r="L10713" s="417"/>
      <c r="M10713" s="417" t="s">
        <v>28840</v>
      </c>
    </row>
    <row r="10714" spans="1:13" x14ac:dyDescent="0.25">
      <c r="A10714" s="417" t="s">
        <v>3385</v>
      </c>
      <c r="B10714" s="417" t="s">
        <v>2627</v>
      </c>
      <c r="C10714" s="417" t="s">
        <v>23879</v>
      </c>
      <c r="D10714" s="417" t="s">
        <v>563</v>
      </c>
      <c r="E10714" s="423">
        <v>36.085193821494748</v>
      </c>
      <c r="F10714" s="423">
        <v>2.0551919259780291</v>
      </c>
      <c r="G10714" s="422">
        <v>87778.133265013559</v>
      </c>
      <c r="H10714" s="417" t="s">
        <v>2616</v>
      </c>
      <c r="I10714" s="417" t="s">
        <v>1392</v>
      </c>
      <c r="J10714" s="417" t="s">
        <v>7714</v>
      </c>
      <c r="K10714" s="417" t="s">
        <v>23880</v>
      </c>
      <c r="L10714" s="417"/>
      <c r="M10714" s="417" t="s">
        <v>28840</v>
      </c>
    </row>
    <row r="10715" spans="1:13" x14ac:dyDescent="0.25">
      <c r="A10715" s="417" t="s">
        <v>3385</v>
      </c>
      <c r="B10715" s="417" t="s">
        <v>2627</v>
      </c>
      <c r="C10715" s="417" t="s">
        <v>23881</v>
      </c>
      <c r="D10715" s="417" t="s">
        <v>563</v>
      </c>
      <c r="E10715" s="423">
        <v>45.245758982470853</v>
      </c>
      <c r="F10715" s="423">
        <v>2.5712026392762</v>
      </c>
      <c r="G10715" s="422">
        <v>110073.33571915449</v>
      </c>
      <c r="H10715" s="417" t="s">
        <v>2616</v>
      </c>
      <c r="I10715" s="417" t="s">
        <v>1392</v>
      </c>
      <c r="J10715" s="417" t="s">
        <v>7714</v>
      </c>
      <c r="K10715" s="417" t="s">
        <v>23882</v>
      </c>
      <c r="L10715" s="417"/>
      <c r="M10715" s="417" t="s">
        <v>28840</v>
      </c>
    </row>
    <row r="10716" spans="1:13" x14ac:dyDescent="0.25">
      <c r="A10716" s="417" t="s">
        <v>3385</v>
      </c>
      <c r="B10716" s="417" t="s">
        <v>2627</v>
      </c>
      <c r="C10716" s="417" t="s">
        <v>23883</v>
      </c>
      <c r="D10716" s="417" t="s">
        <v>989</v>
      </c>
      <c r="E10716" s="423">
        <v>8474.0246741135288</v>
      </c>
      <c r="F10716" s="423">
        <v>245.04227259995201</v>
      </c>
      <c r="G10716" s="422">
        <v>18577537.972946592</v>
      </c>
      <c r="H10716" s="417" t="s">
        <v>2616</v>
      </c>
      <c r="I10716" s="417" t="s">
        <v>1392</v>
      </c>
      <c r="J10716" s="417" t="s">
        <v>18396</v>
      </c>
      <c r="K10716" s="417" t="s">
        <v>23884</v>
      </c>
      <c r="L10716" s="417"/>
      <c r="M10716" s="417" t="s">
        <v>28840</v>
      </c>
    </row>
    <row r="10717" spans="1:13" x14ac:dyDescent="0.25">
      <c r="A10717" s="417" t="s">
        <v>3385</v>
      </c>
      <c r="B10717" s="417" t="s">
        <v>2627</v>
      </c>
      <c r="C10717" s="417" t="s">
        <v>23885</v>
      </c>
      <c r="D10717" s="417" t="s">
        <v>989</v>
      </c>
      <c r="E10717" s="423">
        <v>4329.8389758185713</v>
      </c>
      <c r="F10717" s="423">
        <v>135.57570283626089</v>
      </c>
      <c r="G10717" s="422">
        <v>9937618.1999876536</v>
      </c>
      <c r="H10717" s="417" t="s">
        <v>2616</v>
      </c>
      <c r="I10717" s="417" t="s">
        <v>1392</v>
      </c>
      <c r="J10717" s="417" t="s">
        <v>18396</v>
      </c>
      <c r="K10717" s="417" t="s">
        <v>23886</v>
      </c>
      <c r="L10717" s="417"/>
      <c r="M10717" s="417" t="s">
        <v>28840</v>
      </c>
    </row>
    <row r="10718" spans="1:13" x14ac:dyDescent="0.25">
      <c r="A10718" s="417" t="s">
        <v>3385</v>
      </c>
      <c r="B10718" s="417" t="s">
        <v>2627</v>
      </c>
      <c r="C10718" s="417" t="s">
        <v>23887</v>
      </c>
      <c r="D10718" s="417" t="s">
        <v>989</v>
      </c>
      <c r="E10718" s="423">
        <v>12564.26783722017</v>
      </c>
      <c r="F10718" s="423">
        <v>390.83612333489668</v>
      </c>
      <c r="G10718" s="422">
        <v>33693338.204063177</v>
      </c>
      <c r="H10718" s="417" t="s">
        <v>2616</v>
      </c>
      <c r="I10718" s="417" t="s">
        <v>1392</v>
      </c>
      <c r="J10718" s="417" t="s">
        <v>18396</v>
      </c>
      <c r="K10718" s="417" t="s">
        <v>23888</v>
      </c>
      <c r="L10718" s="417"/>
      <c r="M10718" s="417" t="s">
        <v>28840</v>
      </c>
    </row>
    <row r="10719" spans="1:13" x14ac:dyDescent="0.25">
      <c r="A10719" s="417" t="s">
        <v>3385</v>
      </c>
      <c r="B10719" s="417" t="s">
        <v>2627</v>
      </c>
      <c r="C10719" s="417" t="s">
        <v>23889</v>
      </c>
      <c r="D10719" s="417" t="s">
        <v>989</v>
      </c>
      <c r="E10719" s="423">
        <v>8420.1712717690953</v>
      </c>
      <c r="F10719" s="423">
        <v>281.37532674734081</v>
      </c>
      <c r="G10719" s="422">
        <v>25053621.3672387</v>
      </c>
      <c r="H10719" s="417" t="s">
        <v>2616</v>
      </c>
      <c r="I10719" s="417" t="s">
        <v>1392</v>
      </c>
      <c r="J10719" s="417" t="s">
        <v>18396</v>
      </c>
      <c r="K10719" s="417" t="s">
        <v>23890</v>
      </c>
      <c r="L10719" s="417"/>
      <c r="M10719" s="417" t="s">
        <v>28840</v>
      </c>
    </row>
    <row r="10720" spans="1:13" x14ac:dyDescent="0.25">
      <c r="A10720" s="417" t="s">
        <v>3385</v>
      </c>
      <c r="B10720" s="417" t="s">
        <v>2627</v>
      </c>
      <c r="C10720" s="417" t="s">
        <v>23891</v>
      </c>
      <c r="D10720" s="417" t="s">
        <v>989</v>
      </c>
      <c r="E10720" s="423">
        <v>35279.987632757009</v>
      </c>
      <c r="F10720" s="423">
        <v>2010.936886204591</v>
      </c>
      <c r="G10720" s="422">
        <v>86208134.618445009</v>
      </c>
      <c r="H10720" s="417" t="s">
        <v>2616</v>
      </c>
      <c r="I10720" s="417" t="s">
        <v>1392</v>
      </c>
      <c r="J10720" s="417" t="s">
        <v>7714</v>
      </c>
      <c r="K10720" s="417" t="s">
        <v>23892</v>
      </c>
      <c r="L10720" s="417"/>
      <c r="M10720" s="417" t="s">
        <v>28840</v>
      </c>
    </row>
    <row r="10721" spans="1:13" x14ac:dyDescent="0.25">
      <c r="A10721" s="417" t="s">
        <v>3385</v>
      </c>
      <c r="B10721" s="417" t="s">
        <v>2627</v>
      </c>
      <c r="C10721" s="417" t="s">
        <v>23893</v>
      </c>
      <c r="D10721" s="417" t="s">
        <v>989</v>
      </c>
      <c r="E10721" s="423">
        <v>1456.5413596209371</v>
      </c>
      <c r="F10721" s="423">
        <v>84.586483249027125</v>
      </c>
      <c r="G10721" s="422">
        <v>3557235.9436398209</v>
      </c>
      <c r="H10721" s="417" t="s">
        <v>2616</v>
      </c>
      <c r="I10721" s="417" t="s">
        <v>1392</v>
      </c>
      <c r="J10721" s="417" t="s">
        <v>7714</v>
      </c>
      <c r="K10721" s="417" t="s">
        <v>23894</v>
      </c>
      <c r="L10721" s="417"/>
      <c r="M10721" s="417" t="s">
        <v>28840</v>
      </c>
    </row>
    <row r="10722" spans="1:13" x14ac:dyDescent="0.25">
      <c r="A10722" s="417" t="s">
        <v>3385</v>
      </c>
      <c r="B10722" s="417" t="s">
        <v>2627</v>
      </c>
      <c r="C10722" s="417" t="s">
        <v>23895</v>
      </c>
      <c r="D10722" s="417" t="s">
        <v>989</v>
      </c>
      <c r="E10722" s="423">
        <v>46003.631420434453</v>
      </c>
      <c r="F10722" s="423">
        <v>2670.921118527669</v>
      </c>
      <c r="G10722" s="422">
        <v>111161706.9362729</v>
      </c>
      <c r="H10722" s="417" t="s">
        <v>2616</v>
      </c>
      <c r="I10722" s="417" t="s">
        <v>1392</v>
      </c>
      <c r="J10722" s="417" t="s">
        <v>7714</v>
      </c>
      <c r="K10722" s="417" t="s">
        <v>23896</v>
      </c>
      <c r="L10722" s="417"/>
      <c r="M10722" s="417" t="s">
        <v>28840</v>
      </c>
    </row>
    <row r="10723" spans="1:13" x14ac:dyDescent="0.25">
      <c r="A10723" s="417" t="s">
        <v>3385</v>
      </c>
      <c r="B10723" s="417" t="s">
        <v>2627</v>
      </c>
      <c r="C10723" s="417" t="s">
        <v>23897</v>
      </c>
      <c r="D10723" s="417" t="s">
        <v>989</v>
      </c>
      <c r="E10723" s="423">
        <v>301.43563006524329</v>
      </c>
      <c r="F10723" s="423">
        <v>60.883834487766748</v>
      </c>
      <c r="G10723" s="422">
        <v>1213482.426217824</v>
      </c>
      <c r="H10723" s="417" t="s">
        <v>2616</v>
      </c>
      <c r="I10723" s="417" t="s">
        <v>1392</v>
      </c>
      <c r="J10723" s="417" t="s">
        <v>7714</v>
      </c>
      <c r="K10723" s="417" t="s">
        <v>23898</v>
      </c>
      <c r="L10723" s="417"/>
      <c r="M10723" s="417" t="s">
        <v>28840</v>
      </c>
    </row>
    <row r="10724" spans="1:13" x14ac:dyDescent="0.25">
      <c r="A10724" s="417" t="s">
        <v>3385</v>
      </c>
      <c r="B10724" s="417" t="s">
        <v>2627</v>
      </c>
      <c r="C10724" s="417" t="s">
        <v>23899</v>
      </c>
      <c r="D10724" s="417" t="s">
        <v>989</v>
      </c>
      <c r="E10724" s="423">
        <v>3953.8603300497998</v>
      </c>
      <c r="F10724" s="423">
        <v>245.21634818327021</v>
      </c>
      <c r="G10724" s="422">
        <v>9483502.2494967785</v>
      </c>
      <c r="H10724" s="417" t="s">
        <v>2616</v>
      </c>
      <c r="I10724" s="417" t="s">
        <v>1392</v>
      </c>
      <c r="J10724" s="417" t="s">
        <v>7714</v>
      </c>
      <c r="K10724" s="417" t="s">
        <v>23900</v>
      </c>
      <c r="L10724" s="417"/>
      <c r="M10724" s="417" t="s">
        <v>28840</v>
      </c>
    </row>
    <row r="10725" spans="1:13" x14ac:dyDescent="0.25">
      <c r="A10725" s="417" t="s">
        <v>3385</v>
      </c>
      <c r="B10725" s="417" t="s">
        <v>2627</v>
      </c>
      <c r="C10725" s="417" t="s">
        <v>23901</v>
      </c>
      <c r="D10725" s="417" t="s">
        <v>989</v>
      </c>
      <c r="E10725" s="423">
        <v>492345.70300599048</v>
      </c>
      <c r="F10725" s="423">
        <v>27050.827959036091</v>
      </c>
      <c r="G10725" s="422">
        <v>1193372995.9614339</v>
      </c>
      <c r="H10725" s="417" t="s">
        <v>2616</v>
      </c>
      <c r="I10725" s="417" t="s">
        <v>1392</v>
      </c>
      <c r="J10725" s="417" t="s">
        <v>7714</v>
      </c>
      <c r="K10725" s="417" t="s">
        <v>23902</v>
      </c>
      <c r="L10725" s="417"/>
      <c r="M10725" s="417" t="s">
        <v>28840</v>
      </c>
    </row>
    <row r="10726" spans="1:13" x14ac:dyDescent="0.25">
      <c r="A10726" s="417" t="s">
        <v>3385</v>
      </c>
      <c r="B10726" s="417" t="s">
        <v>2627</v>
      </c>
      <c r="C10726" s="417" t="s">
        <v>23903</v>
      </c>
      <c r="D10726" s="417" t="s">
        <v>989</v>
      </c>
      <c r="E10726" s="423">
        <v>17499.072571223602</v>
      </c>
      <c r="F10726" s="423">
        <v>335.13520414842992</v>
      </c>
      <c r="G10726" s="422">
        <v>38930597.698924027</v>
      </c>
      <c r="H10726" s="417" t="s">
        <v>2616</v>
      </c>
      <c r="I10726" s="417" t="s">
        <v>1392</v>
      </c>
      <c r="J10726" s="417" t="s">
        <v>7714</v>
      </c>
      <c r="K10726" s="417" t="s">
        <v>23904</v>
      </c>
      <c r="L10726" s="417"/>
      <c r="M10726" s="417" t="s">
        <v>28840</v>
      </c>
    </row>
    <row r="10727" spans="1:13" x14ac:dyDescent="0.25">
      <c r="A10727" s="417" t="s">
        <v>3385</v>
      </c>
      <c r="B10727" s="417" t="s">
        <v>2627</v>
      </c>
      <c r="C10727" s="417" t="s">
        <v>23905</v>
      </c>
      <c r="D10727" s="417" t="s">
        <v>989</v>
      </c>
      <c r="E10727" s="423">
        <v>22699.141359909241</v>
      </c>
      <c r="F10727" s="423">
        <v>1411.6927412672701</v>
      </c>
      <c r="G10727" s="422">
        <v>53918920.081965841</v>
      </c>
      <c r="H10727" s="417" t="s">
        <v>2616</v>
      </c>
      <c r="I10727" s="417" t="s">
        <v>1392</v>
      </c>
      <c r="J10727" s="417" t="s">
        <v>7714</v>
      </c>
      <c r="K10727" s="417" t="s">
        <v>23906</v>
      </c>
      <c r="L10727" s="417"/>
      <c r="M10727" s="417" t="s">
        <v>28840</v>
      </c>
    </row>
    <row r="10728" spans="1:13" x14ac:dyDescent="0.25">
      <c r="A10728" s="417" t="s">
        <v>3385</v>
      </c>
      <c r="B10728" s="417" t="s">
        <v>2627</v>
      </c>
      <c r="C10728" s="417" t="s">
        <v>23907</v>
      </c>
      <c r="D10728" s="417" t="s">
        <v>989</v>
      </c>
      <c r="E10728" s="423">
        <v>243640.53776863369</v>
      </c>
      <c r="F10728" s="423">
        <v>13585.90623512487</v>
      </c>
      <c r="G10728" s="422">
        <v>604941680.14293385</v>
      </c>
      <c r="H10728" s="417" t="s">
        <v>2616</v>
      </c>
      <c r="I10728" s="417" t="s">
        <v>1392</v>
      </c>
      <c r="J10728" s="417" t="s">
        <v>7714</v>
      </c>
      <c r="K10728" s="417" t="s">
        <v>23908</v>
      </c>
      <c r="L10728" s="417"/>
      <c r="M10728" s="417" t="s">
        <v>28840</v>
      </c>
    </row>
    <row r="10729" spans="1:13" x14ac:dyDescent="0.25">
      <c r="A10729" s="417" t="s">
        <v>3385</v>
      </c>
      <c r="B10729" s="417" t="s">
        <v>2627</v>
      </c>
      <c r="C10729" s="417" t="s">
        <v>23909</v>
      </c>
      <c r="D10729" s="417" t="s">
        <v>989</v>
      </c>
      <c r="E10729" s="423">
        <v>1874.3760862601921</v>
      </c>
      <c r="F10729" s="423">
        <v>55.61558731288396</v>
      </c>
      <c r="G10729" s="422">
        <v>4720929.6687902519</v>
      </c>
      <c r="H10729" s="417" t="s">
        <v>2616</v>
      </c>
      <c r="I10729" s="417" t="s">
        <v>1392</v>
      </c>
      <c r="J10729" s="417" t="s">
        <v>7714</v>
      </c>
      <c r="K10729" s="417" t="s">
        <v>23910</v>
      </c>
      <c r="L10729" s="417"/>
      <c r="M10729" s="417" t="s">
        <v>28840</v>
      </c>
    </row>
    <row r="10730" spans="1:13" x14ac:dyDescent="0.25">
      <c r="A10730" s="417" t="s">
        <v>3385</v>
      </c>
      <c r="B10730" s="417" t="s">
        <v>2627</v>
      </c>
      <c r="C10730" s="417" t="s">
        <v>23911</v>
      </c>
      <c r="D10730" s="417" t="s">
        <v>989</v>
      </c>
      <c r="E10730" s="423">
        <v>15278.43489807432</v>
      </c>
      <c r="F10730" s="423">
        <v>1010.553252324924</v>
      </c>
      <c r="G10730" s="422">
        <v>37134743.75689812</v>
      </c>
      <c r="H10730" s="417" t="s">
        <v>2616</v>
      </c>
      <c r="I10730" s="417" t="s">
        <v>1392</v>
      </c>
      <c r="J10730" s="417" t="s">
        <v>7714</v>
      </c>
      <c r="K10730" s="417" t="s">
        <v>23912</v>
      </c>
      <c r="L10730" s="417"/>
      <c r="M10730" s="417" t="s">
        <v>28840</v>
      </c>
    </row>
    <row r="10731" spans="1:13" x14ac:dyDescent="0.25">
      <c r="A10731" s="417" t="s">
        <v>3385</v>
      </c>
      <c r="B10731" s="417" t="s">
        <v>2627</v>
      </c>
      <c r="C10731" s="417" t="s">
        <v>23913</v>
      </c>
      <c r="D10731" s="417" t="s">
        <v>989</v>
      </c>
      <c r="E10731" s="423">
        <v>219318.29122574441</v>
      </c>
      <c r="F10731" s="423">
        <v>12672.2626519756</v>
      </c>
      <c r="G10731" s="422">
        <v>519451338.39986748</v>
      </c>
      <c r="H10731" s="417" t="s">
        <v>2616</v>
      </c>
      <c r="I10731" s="417" t="s">
        <v>1392</v>
      </c>
      <c r="J10731" s="417" t="s">
        <v>7714</v>
      </c>
      <c r="K10731" s="417" t="s">
        <v>23914</v>
      </c>
      <c r="L10731" s="417"/>
      <c r="M10731" s="417" t="s">
        <v>28840</v>
      </c>
    </row>
    <row r="10732" spans="1:13" x14ac:dyDescent="0.25">
      <c r="A10732" s="417" t="s">
        <v>3385</v>
      </c>
      <c r="B10732" s="417" t="s">
        <v>2627</v>
      </c>
      <c r="C10732" s="417" t="s">
        <v>23915</v>
      </c>
      <c r="D10732" s="417" t="s">
        <v>989</v>
      </c>
      <c r="E10732" s="423">
        <v>20077.219020156252</v>
      </c>
      <c r="F10732" s="423">
        <v>1317.03039027257</v>
      </c>
      <c r="G10732" s="422">
        <v>47692277.225127421</v>
      </c>
      <c r="H10732" s="417" t="s">
        <v>2616</v>
      </c>
      <c r="I10732" s="417" t="s">
        <v>1392</v>
      </c>
      <c r="J10732" s="417" t="s">
        <v>7714</v>
      </c>
      <c r="K10732" s="417" t="s">
        <v>23916</v>
      </c>
      <c r="L10732" s="417"/>
      <c r="M10732" s="417" t="s">
        <v>28840</v>
      </c>
    </row>
    <row r="10733" spans="1:13" x14ac:dyDescent="0.25">
      <c r="A10733" s="417" t="s">
        <v>3385</v>
      </c>
      <c r="B10733" s="417" t="s">
        <v>2627</v>
      </c>
      <c r="C10733" s="417" t="s">
        <v>23917</v>
      </c>
      <c r="D10733" s="417" t="s">
        <v>989</v>
      </c>
      <c r="E10733" s="423">
        <v>87487.375026723457</v>
      </c>
      <c r="F10733" s="423">
        <v>4856.89475431342</v>
      </c>
      <c r="G10733" s="422">
        <v>214931553.57718441</v>
      </c>
      <c r="H10733" s="417" t="s">
        <v>2616</v>
      </c>
      <c r="I10733" s="417" t="s">
        <v>1392</v>
      </c>
      <c r="J10733" s="417" t="s">
        <v>7714</v>
      </c>
      <c r="K10733" s="417" t="s">
        <v>23918</v>
      </c>
      <c r="L10733" s="417"/>
      <c r="M10733" s="417" t="s">
        <v>28840</v>
      </c>
    </row>
    <row r="10734" spans="1:13" x14ac:dyDescent="0.25">
      <c r="A10734" s="417" t="s">
        <v>3385</v>
      </c>
      <c r="B10734" s="417" t="s">
        <v>2627</v>
      </c>
      <c r="C10734" s="417" t="s">
        <v>23919</v>
      </c>
      <c r="D10734" s="417" t="s">
        <v>989</v>
      </c>
      <c r="E10734" s="423">
        <v>9341.0074309125812</v>
      </c>
      <c r="F10734" s="423">
        <v>574.42947977217182</v>
      </c>
      <c r="G10734" s="422">
        <v>22483456.22117668</v>
      </c>
      <c r="H10734" s="417" t="s">
        <v>2616</v>
      </c>
      <c r="I10734" s="417" t="s">
        <v>1392</v>
      </c>
      <c r="J10734" s="417" t="s">
        <v>7714</v>
      </c>
      <c r="K10734" s="417" t="s">
        <v>23920</v>
      </c>
      <c r="L10734" s="417"/>
      <c r="M10734" s="417" t="s">
        <v>28840</v>
      </c>
    </row>
    <row r="10735" spans="1:13" x14ac:dyDescent="0.25">
      <c r="A10735" s="417" t="s">
        <v>3385</v>
      </c>
      <c r="B10735" s="417" t="s">
        <v>2627</v>
      </c>
      <c r="C10735" s="417" t="s">
        <v>23921</v>
      </c>
      <c r="D10735" s="417" t="s">
        <v>83</v>
      </c>
      <c r="E10735" s="423">
        <v>0.54912951788585629</v>
      </c>
      <c r="F10735" s="423">
        <v>3.5532883244781287E-2</v>
      </c>
      <c r="G10735" s="422">
        <v>1326.874783708734</v>
      </c>
      <c r="H10735" s="417" t="s">
        <v>2616</v>
      </c>
      <c r="I10735" s="417" t="s">
        <v>1392</v>
      </c>
      <c r="J10735" s="417" t="s">
        <v>7714</v>
      </c>
      <c r="K10735" s="417" t="s">
        <v>23922</v>
      </c>
      <c r="L10735" s="417"/>
      <c r="M10735" s="417" t="s">
        <v>28840</v>
      </c>
    </row>
    <row r="10736" spans="1:13" x14ac:dyDescent="0.25">
      <c r="A10736" s="417" t="s">
        <v>3385</v>
      </c>
      <c r="B10736" s="417" t="s">
        <v>2627</v>
      </c>
      <c r="C10736" s="417" t="s">
        <v>23923</v>
      </c>
      <c r="D10736" s="417" t="s">
        <v>563</v>
      </c>
      <c r="E10736" s="423">
        <v>2.6886647464858449</v>
      </c>
      <c r="F10736" s="423">
        <v>0.17397797556413819</v>
      </c>
      <c r="G10736" s="422">
        <v>6496.6855145768513</v>
      </c>
      <c r="H10736" s="417" t="s">
        <v>2616</v>
      </c>
      <c r="I10736" s="417" t="s">
        <v>1392</v>
      </c>
      <c r="J10736" s="417" t="s">
        <v>7714</v>
      </c>
      <c r="K10736" s="417" t="s">
        <v>23924</v>
      </c>
      <c r="L10736" s="417"/>
      <c r="M10736" s="417" t="s">
        <v>28840</v>
      </c>
    </row>
    <row r="10737" spans="1:13" x14ac:dyDescent="0.25">
      <c r="A10737" s="417" t="s">
        <v>3385</v>
      </c>
      <c r="B10737" s="417" t="s">
        <v>2627</v>
      </c>
      <c r="C10737" s="417" t="s">
        <v>23925</v>
      </c>
      <c r="D10737" s="417" t="s">
        <v>989</v>
      </c>
      <c r="E10737" s="423">
        <v>15090.521892745461</v>
      </c>
      <c r="F10737" s="423">
        <v>884.41039636055132</v>
      </c>
      <c r="G10737" s="422">
        <v>39461299.865603022</v>
      </c>
      <c r="H10737" s="417" t="s">
        <v>2616</v>
      </c>
      <c r="I10737" s="417" t="s">
        <v>1392</v>
      </c>
      <c r="J10737" s="417" t="s">
        <v>7714</v>
      </c>
      <c r="K10737" s="417" t="s">
        <v>23926</v>
      </c>
      <c r="L10737" s="417"/>
      <c r="M10737" s="417" t="s">
        <v>28840</v>
      </c>
    </row>
    <row r="10738" spans="1:13" x14ac:dyDescent="0.25">
      <c r="A10738" s="417" t="s">
        <v>3385</v>
      </c>
      <c r="B10738" s="417" t="s">
        <v>2627</v>
      </c>
      <c r="C10738" s="417" t="s">
        <v>23927</v>
      </c>
      <c r="D10738" s="417" t="s">
        <v>989</v>
      </c>
      <c r="E10738" s="423">
        <v>20205.441024548549</v>
      </c>
      <c r="F10738" s="423">
        <v>1067.281770318066</v>
      </c>
      <c r="G10738" s="422">
        <v>46841062.06595882</v>
      </c>
      <c r="H10738" s="417" t="s">
        <v>2616</v>
      </c>
      <c r="I10738" s="417" t="s">
        <v>1392</v>
      </c>
      <c r="J10738" s="417" t="s">
        <v>7714</v>
      </c>
      <c r="K10738" s="417" t="s">
        <v>23928</v>
      </c>
      <c r="L10738" s="417"/>
      <c r="M10738" s="417" t="s">
        <v>28840</v>
      </c>
    </row>
    <row r="10739" spans="1:13" x14ac:dyDescent="0.25">
      <c r="A10739" s="417" t="s">
        <v>3385</v>
      </c>
      <c r="B10739" s="417" t="s">
        <v>2627</v>
      </c>
      <c r="C10739" s="417" t="s">
        <v>23929</v>
      </c>
      <c r="D10739" s="417" t="s">
        <v>989</v>
      </c>
      <c r="E10739" s="423">
        <v>17958.225994674809</v>
      </c>
      <c r="F10739" s="423">
        <v>972.53684855761469</v>
      </c>
      <c r="G10739" s="422">
        <v>42336293.163944744</v>
      </c>
      <c r="H10739" s="417" t="s">
        <v>2616</v>
      </c>
      <c r="I10739" s="417" t="s">
        <v>1392</v>
      </c>
      <c r="J10739" s="417" t="s">
        <v>7714</v>
      </c>
      <c r="K10739" s="417" t="s">
        <v>23930</v>
      </c>
      <c r="L10739" s="417"/>
      <c r="M10739" s="417" t="s">
        <v>28840</v>
      </c>
    </row>
    <row r="10740" spans="1:13" x14ac:dyDescent="0.25">
      <c r="A10740" s="417" t="s">
        <v>3385</v>
      </c>
      <c r="B10740" s="417" t="s">
        <v>2627</v>
      </c>
      <c r="C10740" s="417" t="s">
        <v>23931</v>
      </c>
      <c r="D10740" s="417" t="s">
        <v>989</v>
      </c>
      <c r="E10740" s="423">
        <v>3908.8273326454059</v>
      </c>
      <c r="F10740" s="423">
        <v>219.91106444660119</v>
      </c>
      <c r="G10740" s="422">
        <v>9280251.9783515073</v>
      </c>
      <c r="H10740" s="417" t="s">
        <v>2616</v>
      </c>
      <c r="I10740" s="417" t="s">
        <v>1392</v>
      </c>
      <c r="J10740" s="417" t="s">
        <v>7714</v>
      </c>
      <c r="K10740" s="417" t="s">
        <v>23932</v>
      </c>
      <c r="L10740" s="417"/>
      <c r="M10740" s="417" t="s">
        <v>28840</v>
      </c>
    </row>
    <row r="10741" spans="1:13" x14ac:dyDescent="0.25">
      <c r="A10741" s="417" t="s">
        <v>3385</v>
      </c>
      <c r="B10741" s="417" t="s">
        <v>2627</v>
      </c>
      <c r="C10741" s="417" t="s">
        <v>23933</v>
      </c>
      <c r="D10741" s="417" t="s">
        <v>989</v>
      </c>
      <c r="E10741" s="423">
        <v>4490.8490908528829</v>
      </c>
      <c r="F10741" s="423">
        <v>237.6734786661676</v>
      </c>
      <c r="G10741" s="422">
        <v>9949753.0915673245</v>
      </c>
      <c r="H10741" s="417" t="s">
        <v>2616</v>
      </c>
      <c r="I10741" s="417" t="s">
        <v>1392</v>
      </c>
      <c r="J10741" s="417" t="s">
        <v>7714</v>
      </c>
      <c r="K10741" s="417" t="s">
        <v>23934</v>
      </c>
      <c r="L10741" s="417"/>
      <c r="M10741" s="417" t="s">
        <v>28840</v>
      </c>
    </row>
    <row r="10742" spans="1:13" x14ac:dyDescent="0.25">
      <c r="A10742" s="417" t="s">
        <v>3385</v>
      </c>
      <c r="B10742" s="417" t="s">
        <v>2627</v>
      </c>
      <c r="C10742" s="417" t="s">
        <v>23935</v>
      </c>
      <c r="D10742" s="417" t="s">
        <v>83</v>
      </c>
      <c r="E10742" s="423">
        <v>2.3739038579471261</v>
      </c>
      <c r="F10742" s="423">
        <v>0.12927874113315299</v>
      </c>
      <c r="G10742" s="422">
        <v>5405.0320611862753</v>
      </c>
      <c r="H10742" s="417" t="s">
        <v>2616</v>
      </c>
      <c r="I10742" s="417" t="s">
        <v>1392</v>
      </c>
      <c r="J10742" s="417" t="s">
        <v>7714</v>
      </c>
      <c r="K10742" s="417" t="s">
        <v>23936</v>
      </c>
      <c r="L10742" s="417"/>
      <c r="M10742" s="417" t="s">
        <v>28840</v>
      </c>
    </row>
    <row r="10743" spans="1:13" x14ac:dyDescent="0.25">
      <c r="A10743" s="417" t="s">
        <v>3385</v>
      </c>
      <c r="B10743" s="417" t="s">
        <v>2627</v>
      </c>
      <c r="C10743" s="417" t="s">
        <v>23937</v>
      </c>
      <c r="D10743" s="417" t="s">
        <v>989</v>
      </c>
      <c r="E10743" s="423">
        <v>4419.5332430089229</v>
      </c>
      <c r="F10743" s="423">
        <v>240.5217443113475</v>
      </c>
      <c r="G10743" s="422">
        <v>9957366.546046149</v>
      </c>
      <c r="H10743" s="417" t="s">
        <v>2616</v>
      </c>
      <c r="I10743" s="417" t="s">
        <v>1392</v>
      </c>
      <c r="J10743" s="417" t="s">
        <v>7714</v>
      </c>
      <c r="K10743" s="417" t="s">
        <v>23938</v>
      </c>
      <c r="L10743" s="417"/>
      <c r="M10743" s="417" t="s">
        <v>28840</v>
      </c>
    </row>
    <row r="10744" spans="1:13" x14ac:dyDescent="0.25">
      <c r="A10744" s="417" t="s">
        <v>3385</v>
      </c>
      <c r="B10744" s="417" t="s">
        <v>2627</v>
      </c>
      <c r="C10744" s="417" t="s">
        <v>23939</v>
      </c>
      <c r="D10744" s="417" t="s">
        <v>989</v>
      </c>
      <c r="E10744" s="423">
        <v>5538.1854954364426</v>
      </c>
      <c r="F10744" s="423">
        <v>319.23856633194652</v>
      </c>
      <c r="G10744" s="422">
        <v>13676908.258084809</v>
      </c>
      <c r="H10744" s="417" t="s">
        <v>2616</v>
      </c>
      <c r="I10744" s="417" t="s">
        <v>1392</v>
      </c>
      <c r="J10744" s="417" t="s">
        <v>7714</v>
      </c>
      <c r="K10744" s="417" t="s">
        <v>23940</v>
      </c>
      <c r="L10744" s="417"/>
      <c r="M10744" s="417" t="s">
        <v>28840</v>
      </c>
    </row>
    <row r="10745" spans="1:13" x14ac:dyDescent="0.25">
      <c r="A10745" s="417" t="s">
        <v>3385</v>
      </c>
      <c r="B10745" s="417" t="s">
        <v>2627</v>
      </c>
      <c r="C10745" s="417" t="s">
        <v>23941</v>
      </c>
      <c r="D10745" s="417" t="s">
        <v>989</v>
      </c>
      <c r="E10745" s="423">
        <v>7168.3789119467338</v>
      </c>
      <c r="F10745" s="423">
        <v>373.88967241815669</v>
      </c>
      <c r="G10745" s="422">
        <v>16072818.748609981</v>
      </c>
      <c r="H10745" s="417" t="s">
        <v>2616</v>
      </c>
      <c r="I10745" s="417" t="s">
        <v>1392</v>
      </c>
      <c r="J10745" s="417" t="s">
        <v>7714</v>
      </c>
      <c r="K10745" s="417" t="s">
        <v>23942</v>
      </c>
      <c r="L10745" s="417"/>
      <c r="M10745" s="417" t="s">
        <v>28840</v>
      </c>
    </row>
    <row r="10746" spans="1:13" x14ac:dyDescent="0.25">
      <c r="A10746" s="417" t="s">
        <v>3385</v>
      </c>
      <c r="B10746" s="417" t="s">
        <v>2627</v>
      </c>
      <c r="C10746" s="417" t="s">
        <v>23943</v>
      </c>
      <c r="D10746" s="417" t="s">
        <v>989</v>
      </c>
      <c r="E10746" s="423">
        <v>6640.0899139958092</v>
      </c>
      <c r="F10746" s="423">
        <v>360.81866346826962</v>
      </c>
      <c r="G10746" s="422">
        <v>15213614.05142463</v>
      </c>
      <c r="H10746" s="417" t="s">
        <v>2616</v>
      </c>
      <c r="I10746" s="417" t="s">
        <v>1392</v>
      </c>
      <c r="J10746" s="417" t="s">
        <v>7714</v>
      </c>
      <c r="K10746" s="417" t="s">
        <v>23944</v>
      </c>
      <c r="L10746" s="417"/>
      <c r="M10746" s="417" t="s">
        <v>28840</v>
      </c>
    </row>
    <row r="10747" spans="1:13" x14ac:dyDescent="0.25">
      <c r="A10747" s="417" t="s">
        <v>3385</v>
      </c>
      <c r="B10747" s="417" t="s">
        <v>2627</v>
      </c>
      <c r="C10747" s="417" t="s">
        <v>23945</v>
      </c>
      <c r="D10747" s="417" t="s">
        <v>989</v>
      </c>
      <c r="E10747" s="423">
        <v>8853.4009299680692</v>
      </c>
      <c r="F10747" s="423">
        <v>517.52718748500263</v>
      </c>
      <c r="G10747" s="422">
        <v>22594599.251656801</v>
      </c>
      <c r="H10747" s="417" t="s">
        <v>2616</v>
      </c>
      <c r="I10747" s="417" t="s">
        <v>1392</v>
      </c>
      <c r="J10747" s="417" t="s">
        <v>7714</v>
      </c>
      <c r="K10747" s="417" t="s">
        <v>23946</v>
      </c>
      <c r="L10747" s="417"/>
      <c r="M10747" s="417" t="s">
        <v>28840</v>
      </c>
    </row>
    <row r="10748" spans="1:13" x14ac:dyDescent="0.25">
      <c r="A10748" s="417" t="s">
        <v>3385</v>
      </c>
      <c r="B10748" s="417" t="s">
        <v>2627</v>
      </c>
      <c r="C10748" s="417" t="s">
        <v>23947</v>
      </c>
      <c r="D10748" s="417" t="s">
        <v>989</v>
      </c>
      <c r="E10748" s="423">
        <v>11623.27942115714</v>
      </c>
      <c r="F10748" s="423">
        <v>619.07800993678984</v>
      </c>
      <c r="G10748" s="422">
        <v>26615734.38693868</v>
      </c>
      <c r="H10748" s="417" t="s">
        <v>2616</v>
      </c>
      <c r="I10748" s="417" t="s">
        <v>1392</v>
      </c>
      <c r="J10748" s="417" t="s">
        <v>7714</v>
      </c>
      <c r="K10748" s="417" t="s">
        <v>23948</v>
      </c>
      <c r="L10748" s="417"/>
      <c r="M10748" s="417" t="s">
        <v>28840</v>
      </c>
    </row>
    <row r="10749" spans="1:13" x14ac:dyDescent="0.25">
      <c r="A10749" s="417" t="s">
        <v>3385</v>
      </c>
      <c r="B10749" s="417" t="s">
        <v>2627</v>
      </c>
      <c r="C10749" s="417" t="s">
        <v>23949</v>
      </c>
      <c r="D10749" s="417" t="s">
        <v>83</v>
      </c>
      <c r="E10749" s="423">
        <v>1.531671935418832</v>
      </c>
      <c r="F10749" s="423">
        <v>8.5024572200690221E-2</v>
      </c>
      <c r="G10749" s="422">
        <v>3644.9489124566639</v>
      </c>
      <c r="H10749" s="417" t="s">
        <v>2616</v>
      </c>
      <c r="I10749" s="417" t="s">
        <v>1392</v>
      </c>
      <c r="J10749" s="417" t="s">
        <v>7714</v>
      </c>
      <c r="K10749" s="417" t="s">
        <v>23950</v>
      </c>
      <c r="L10749" s="417"/>
      <c r="M10749" s="417" t="s">
        <v>28840</v>
      </c>
    </row>
    <row r="10750" spans="1:13" x14ac:dyDescent="0.25">
      <c r="A10750" s="417" t="s">
        <v>3385</v>
      </c>
      <c r="B10750" s="417" t="s">
        <v>2627</v>
      </c>
      <c r="C10750" s="417" t="s">
        <v>23951</v>
      </c>
      <c r="D10750" s="417" t="s">
        <v>989</v>
      </c>
      <c r="E10750" s="423">
        <v>10167.686444763551</v>
      </c>
      <c r="F10750" s="423">
        <v>562.52209620532619</v>
      </c>
      <c r="G10750" s="422">
        <v>23786729.262719449</v>
      </c>
      <c r="H10750" s="417" t="s">
        <v>2616</v>
      </c>
      <c r="I10750" s="417" t="s">
        <v>1392</v>
      </c>
      <c r="J10750" s="417" t="s">
        <v>7714</v>
      </c>
      <c r="K10750" s="417" t="s">
        <v>23952</v>
      </c>
      <c r="L10750" s="417"/>
      <c r="M10750" s="417" t="s">
        <v>28840</v>
      </c>
    </row>
    <row r="10751" spans="1:13" x14ac:dyDescent="0.25">
      <c r="A10751" s="417" t="s">
        <v>3385</v>
      </c>
      <c r="B10751" s="417" t="s">
        <v>2627</v>
      </c>
      <c r="C10751" s="417" t="s">
        <v>23953</v>
      </c>
      <c r="D10751" s="417" t="s">
        <v>989</v>
      </c>
      <c r="E10751" s="423">
        <v>4416.761922498752</v>
      </c>
      <c r="F10751" s="423">
        <v>292.34859808851297</v>
      </c>
      <c r="G10751" s="422">
        <v>11157463.866297539</v>
      </c>
      <c r="H10751" s="417" t="s">
        <v>2616</v>
      </c>
      <c r="I10751" s="417" t="s">
        <v>1392</v>
      </c>
      <c r="J10751" s="417" t="s">
        <v>7714</v>
      </c>
      <c r="K10751" s="417" t="s">
        <v>23954</v>
      </c>
      <c r="L10751" s="417"/>
      <c r="M10751" s="417" t="s">
        <v>28840</v>
      </c>
    </row>
    <row r="10752" spans="1:13" x14ac:dyDescent="0.25">
      <c r="A10752" s="417" t="s">
        <v>3385</v>
      </c>
      <c r="B10752" s="417" t="s">
        <v>2627</v>
      </c>
      <c r="C10752" s="417" t="s">
        <v>23955</v>
      </c>
      <c r="D10752" s="417" t="s">
        <v>83</v>
      </c>
      <c r="E10752" s="423">
        <v>0.64669429575886517</v>
      </c>
      <c r="F10752" s="423">
        <v>3.9907638185236662E-2</v>
      </c>
      <c r="G10752" s="422">
        <v>1490.7749256367799</v>
      </c>
      <c r="H10752" s="417" t="s">
        <v>2616</v>
      </c>
      <c r="I10752" s="417" t="s">
        <v>1392</v>
      </c>
      <c r="J10752" s="417" t="s">
        <v>7714</v>
      </c>
      <c r="K10752" s="417" t="s">
        <v>23956</v>
      </c>
      <c r="L10752" s="417"/>
      <c r="M10752" s="417" t="s">
        <v>28840</v>
      </c>
    </row>
    <row r="10753" spans="1:13" x14ac:dyDescent="0.25">
      <c r="A10753" s="417" t="s">
        <v>3385</v>
      </c>
      <c r="B10753" s="417" t="s">
        <v>2627</v>
      </c>
      <c r="C10753" s="417" t="s">
        <v>23957</v>
      </c>
      <c r="D10753" s="417" t="s">
        <v>989</v>
      </c>
      <c r="E10753" s="423">
        <v>1164.054872387873</v>
      </c>
      <c r="F10753" s="423">
        <v>71.833670312226147</v>
      </c>
      <c r="G10753" s="422">
        <v>2683408.7718810132</v>
      </c>
      <c r="H10753" s="417" t="s">
        <v>2616</v>
      </c>
      <c r="I10753" s="417" t="s">
        <v>1392</v>
      </c>
      <c r="J10753" s="417" t="s">
        <v>7714</v>
      </c>
      <c r="K10753" s="417" t="s">
        <v>23958</v>
      </c>
      <c r="L10753" s="417"/>
      <c r="M10753" s="417" t="s">
        <v>28840</v>
      </c>
    </row>
    <row r="10754" spans="1:13" x14ac:dyDescent="0.25">
      <c r="A10754" s="417" t="s">
        <v>3385</v>
      </c>
      <c r="B10754" s="417" t="s">
        <v>2627</v>
      </c>
      <c r="C10754" s="417" t="s">
        <v>23959</v>
      </c>
      <c r="D10754" s="417" t="s">
        <v>989</v>
      </c>
      <c r="E10754" s="423">
        <v>1660.079194856397</v>
      </c>
      <c r="F10754" s="423">
        <v>104.8394888662077</v>
      </c>
      <c r="G10754" s="422">
        <v>3944874.9823946259</v>
      </c>
      <c r="H10754" s="417" t="s">
        <v>2616</v>
      </c>
      <c r="I10754" s="417" t="s">
        <v>1392</v>
      </c>
      <c r="J10754" s="417" t="s">
        <v>7714</v>
      </c>
      <c r="K10754" s="417" t="s">
        <v>23960</v>
      </c>
      <c r="L10754" s="417"/>
      <c r="M10754" s="417" t="s">
        <v>28840</v>
      </c>
    </row>
    <row r="10755" spans="1:13" x14ac:dyDescent="0.25">
      <c r="A10755" s="417" t="s">
        <v>3385</v>
      </c>
      <c r="B10755" s="417" t="s">
        <v>2627</v>
      </c>
      <c r="C10755" s="417" t="s">
        <v>23961</v>
      </c>
      <c r="D10755" s="417" t="s">
        <v>83</v>
      </c>
      <c r="E10755" s="423">
        <v>0.39996075558479399</v>
      </c>
      <c r="F10755" s="423">
        <v>2.5858519603359428E-2</v>
      </c>
      <c r="G10755" s="422">
        <v>977.02320608193543</v>
      </c>
      <c r="H10755" s="417" t="s">
        <v>2616</v>
      </c>
      <c r="I10755" s="417" t="s">
        <v>1392</v>
      </c>
      <c r="J10755" s="417" t="s">
        <v>7714</v>
      </c>
      <c r="K10755" s="417" t="s">
        <v>23962</v>
      </c>
      <c r="L10755" s="417"/>
      <c r="M10755" s="417" t="s">
        <v>28840</v>
      </c>
    </row>
    <row r="10756" spans="1:13" x14ac:dyDescent="0.25">
      <c r="A10756" s="417" t="s">
        <v>3385</v>
      </c>
      <c r="B10756" s="417" t="s">
        <v>2627</v>
      </c>
      <c r="C10756" s="417" t="s">
        <v>23963</v>
      </c>
      <c r="D10756" s="417" t="s">
        <v>989</v>
      </c>
      <c r="E10756" s="423">
        <v>2675.9981340980212</v>
      </c>
      <c r="F10756" s="423">
        <v>173.12021237352809</v>
      </c>
      <c r="G10756" s="422">
        <v>6540180.3777489616</v>
      </c>
      <c r="H10756" s="417" t="s">
        <v>2616</v>
      </c>
      <c r="I10756" s="417" t="s">
        <v>1392</v>
      </c>
      <c r="J10756" s="417" t="s">
        <v>7714</v>
      </c>
      <c r="K10756" s="417" t="s">
        <v>23964</v>
      </c>
      <c r="L10756" s="417"/>
      <c r="M10756" s="417" t="s">
        <v>28840</v>
      </c>
    </row>
    <row r="10757" spans="1:13" x14ac:dyDescent="0.25">
      <c r="A10757" s="417" t="s">
        <v>3385</v>
      </c>
      <c r="B10757" s="417" t="s">
        <v>2627</v>
      </c>
      <c r="C10757" s="417" t="s">
        <v>23965</v>
      </c>
      <c r="D10757" s="417" t="s">
        <v>88</v>
      </c>
      <c r="E10757" s="423">
        <v>1.7396911003146481E-3</v>
      </c>
      <c r="F10757" s="423">
        <v>6.1925804385749253E-5</v>
      </c>
      <c r="G10757" s="422">
        <v>18.681646434238569</v>
      </c>
      <c r="H10757" s="417" t="s">
        <v>2616</v>
      </c>
      <c r="I10757" s="417" t="s">
        <v>1392</v>
      </c>
      <c r="J10757" s="417" t="s">
        <v>3860</v>
      </c>
      <c r="K10757" s="417" t="s">
        <v>23966</v>
      </c>
      <c r="L10757" s="417"/>
      <c r="M10757" s="417" t="s">
        <v>28840</v>
      </c>
    </row>
    <row r="10758" spans="1:13" x14ac:dyDescent="0.25">
      <c r="A10758" s="417" t="s">
        <v>3385</v>
      </c>
      <c r="B10758" s="417" t="s">
        <v>2627</v>
      </c>
      <c r="C10758" s="417" t="s">
        <v>23967</v>
      </c>
      <c r="D10758" s="417" t="s">
        <v>88</v>
      </c>
      <c r="E10758" s="423">
        <v>0</v>
      </c>
      <c r="F10758" s="423">
        <v>0</v>
      </c>
      <c r="G10758" s="422">
        <v>0</v>
      </c>
      <c r="H10758" s="417" t="s">
        <v>2616</v>
      </c>
      <c r="I10758" s="417" t="s">
        <v>1392</v>
      </c>
      <c r="J10758" s="417" t="s">
        <v>14143</v>
      </c>
      <c r="K10758" s="417" t="s">
        <v>23968</v>
      </c>
      <c r="L10758" s="417"/>
      <c r="M10758" s="417" t="s">
        <v>28840</v>
      </c>
    </row>
    <row r="10759" spans="1:13" x14ac:dyDescent="0.25">
      <c r="A10759" s="417" t="s">
        <v>3385</v>
      </c>
      <c r="B10759" s="417" t="s">
        <v>2627</v>
      </c>
      <c r="C10759" s="417" t="s">
        <v>23969</v>
      </c>
      <c r="D10759" s="417" t="s">
        <v>88</v>
      </c>
      <c r="E10759" s="423">
        <v>0</v>
      </c>
      <c r="F10759" s="423">
        <v>0</v>
      </c>
      <c r="G10759" s="422">
        <v>0</v>
      </c>
      <c r="H10759" s="417" t="s">
        <v>2616</v>
      </c>
      <c r="I10759" s="417" t="s">
        <v>1392</v>
      </c>
      <c r="J10759" s="417" t="s">
        <v>3945</v>
      </c>
      <c r="K10759" s="417" t="s">
        <v>23970</v>
      </c>
      <c r="L10759" s="417"/>
      <c r="M10759" s="417" t="s">
        <v>28840</v>
      </c>
    </row>
    <row r="10760" spans="1:13" x14ac:dyDescent="0.25">
      <c r="A10760" s="417" t="s">
        <v>3385</v>
      </c>
      <c r="B10760" s="417" t="s">
        <v>2627</v>
      </c>
      <c r="C10760" s="417" t="s">
        <v>23971</v>
      </c>
      <c r="D10760" s="417" t="s">
        <v>88</v>
      </c>
      <c r="E10760" s="423">
        <v>0</v>
      </c>
      <c r="F10760" s="423">
        <v>0</v>
      </c>
      <c r="G10760" s="422">
        <v>0</v>
      </c>
      <c r="H10760" s="417" t="s">
        <v>2616</v>
      </c>
      <c r="I10760" s="417" t="s">
        <v>1392</v>
      </c>
      <c r="J10760" s="417" t="s">
        <v>3945</v>
      </c>
      <c r="K10760" s="417" t="s">
        <v>23972</v>
      </c>
      <c r="L10760" s="417"/>
      <c r="M10760" s="417" t="s">
        <v>28840</v>
      </c>
    </row>
    <row r="10761" spans="1:13" x14ac:dyDescent="0.25">
      <c r="A10761" s="417" t="s">
        <v>3385</v>
      </c>
      <c r="B10761" s="417" t="s">
        <v>2627</v>
      </c>
      <c r="C10761" s="417" t="s">
        <v>23973</v>
      </c>
      <c r="D10761" s="417" t="s">
        <v>88</v>
      </c>
      <c r="E10761" s="423">
        <v>2.0451619029003352</v>
      </c>
      <c r="F10761" s="423">
        <v>7.5983948376420918E-2</v>
      </c>
      <c r="G10761" s="422">
        <v>3731.418177733181</v>
      </c>
      <c r="H10761" s="417" t="s">
        <v>2616</v>
      </c>
      <c r="I10761" s="417" t="s">
        <v>1392</v>
      </c>
      <c r="J10761" s="417" t="s">
        <v>3396</v>
      </c>
      <c r="K10761" s="417" t="s">
        <v>23974</v>
      </c>
      <c r="L10761" s="417"/>
      <c r="M10761" s="417" t="s">
        <v>28840</v>
      </c>
    </row>
    <row r="10762" spans="1:13" x14ac:dyDescent="0.25">
      <c r="A10762" s="417" t="s">
        <v>3385</v>
      </c>
      <c r="B10762" s="417" t="s">
        <v>2627</v>
      </c>
      <c r="C10762" s="417" t="s">
        <v>23975</v>
      </c>
      <c r="D10762" s="417" t="s">
        <v>88</v>
      </c>
      <c r="E10762" s="423">
        <v>1.9636148305301859</v>
      </c>
      <c r="F10762" s="423">
        <v>0.12982839579083191</v>
      </c>
      <c r="G10762" s="422">
        <v>3143.183840910192</v>
      </c>
      <c r="H10762" s="417" t="s">
        <v>2616</v>
      </c>
      <c r="I10762" s="417" t="s">
        <v>1392</v>
      </c>
      <c r="J10762" s="417" t="s">
        <v>3396</v>
      </c>
      <c r="K10762" s="417" t="s">
        <v>23976</v>
      </c>
      <c r="L10762" s="417"/>
      <c r="M10762" s="417" t="s">
        <v>28840</v>
      </c>
    </row>
    <row r="10763" spans="1:13" x14ac:dyDescent="0.25">
      <c r="A10763" s="417" t="s">
        <v>3385</v>
      </c>
      <c r="B10763" s="417" t="s">
        <v>2627</v>
      </c>
      <c r="C10763" s="417" t="s">
        <v>23977</v>
      </c>
      <c r="D10763" s="417" t="s">
        <v>88</v>
      </c>
      <c r="E10763" s="423">
        <v>10.403311376024289</v>
      </c>
      <c r="F10763" s="423">
        <v>0.22417375880079979</v>
      </c>
      <c r="G10763" s="422">
        <v>12798.49224792623</v>
      </c>
      <c r="H10763" s="417" t="s">
        <v>2616</v>
      </c>
      <c r="I10763" s="417" t="s">
        <v>1392</v>
      </c>
      <c r="J10763" s="417" t="s">
        <v>3403</v>
      </c>
      <c r="K10763" s="417" t="s">
        <v>23978</v>
      </c>
      <c r="L10763" s="417"/>
      <c r="M10763" s="417" t="s">
        <v>28840</v>
      </c>
    </row>
    <row r="10764" spans="1:13" x14ac:dyDescent="0.25">
      <c r="A10764" s="417" t="s">
        <v>3385</v>
      </c>
      <c r="B10764" s="417" t="s">
        <v>2627</v>
      </c>
      <c r="C10764" s="417" t="s">
        <v>1134</v>
      </c>
      <c r="D10764" s="417" t="s">
        <v>88</v>
      </c>
      <c r="E10764" s="423">
        <v>3.9157072416371692</v>
      </c>
      <c r="F10764" s="423">
        <v>4.4266243239806444</v>
      </c>
      <c r="G10764" s="422">
        <v>8753.2024866070115</v>
      </c>
      <c r="H10764" s="417" t="s">
        <v>2616</v>
      </c>
      <c r="I10764" s="417" t="s">
        <v>28841</v>
      </c>
      <c r="J10764" s="417" t="s">
        <v>20588</v>
      </c>
      <c r="K10764" s="417" t="s">
        <v>23979</v>
      </c>
      <c r="L10764" s="417"/>
      <c r="M10764" s="417" t="s">
        <v>28840</v>
      </c>
    </row>
    <row r="10765" spans="1:13" x14ac:dyDescent="0.25">
      <c r="A10765" s="417" t="s">
        <v>3385</v>
      </c>
      <c r="B10765" s="417" t="s">
        <v>2627</v>
      </c>
      <c r="C10765" s="417" t="s">
        <v>23980</v>
      </c>
      <c r="D10765" s="417" t="s">
        <v>989</v>
      </c>
      <c r="E10765" s="423">
        <v>73589.606726665093</v>
      </c>
      <c r="F10765" s="423">
        <v>11924.100258787201</v>
      </c>
      <c r="G10765" s="422">
        <v>178451761.85048911</v>
      </c>
      <c r="H10765" s="417" t="s">
        <v>2616</v>
      </c>
      <c r="I10765" s="417" t="s">
        <v>1392</v>
      </c>
      <c r="J10765" s="417" t="s">
        <v>3433</v>
      </c>
      <c r="K10765" s="417" t="s">
        <v>23981</v>
      </c>
      <c r="L10765" s="417"/>
      <c r="M10765" s="417" t="s">
        <v>28840</v>
      </c>
    </row>
    <row r="10766" spans="1:13" x14ac:dyDescent="0.25">
      <c r="A10766" s="417" t="s">
        <v>3385</v>
      </c>
      <c r="B10766" s="417" t="s">
        <v>2627</v>
      </c>
      <c r="C10766" s="417" t="s">
        <v>23982</v>
      </c>
      <c r="D10766" s="417" t="s">
        <v>563</v>
      </c>
      <c r="E10766" s="423">
        <v>17869.60282201643</v>
      </c>
      <c r="F10766" s="423">
        <v>545.75091793276874</v>
      </c>
      <c r="G10766" s="422">
        <v>31022633.880054958</v>
      </c>
      <c r="H10766" s="417" t="s">
        <v>2616</v>
      </c>
      <c r="I10766" s="417" t="s">
        <v>1392</v>
      </c>
      <c r="J10766" s="417" t="s">
        <v>3899</v>
      </c>
      <c r="K10766" s="417" t="s">
        <v>23983</v>
      </c>
      <c r="L10766" s="417"/>
      <c r="M10766" s="417" t="s">
        <v>28840</v>
      </c>
    </row>
    <row r="10767" spans="1:13" x14ac:dyDescent="0.25">
      <c r="A10767" s="417" t="s">
        <v>3385</v>
      </c>
      <c r="B10767" s="417" t="s">
        <v>2627</v>
      </c>
      <c r="C10767" s="417" t="s">
        <v>23984</v>
      </c>
      <c r="D10767" s="417" t="s">
        <v>563</v>
      </c>
      <c r="E10767" s="423">
        <v>8490.8017765198674</v>
      </c>
      <c r="F10767" s="423">
        <v>322.01789998757971</v>
      </c>
      <c r="G10767" s="422">
        <v>17996022.889642991</v>
      </c>
      <c r="H10767" s="417" t="s">
        <v>2616</v>
      </c>
      <c r="I10767" s="417" t="s">
        <v>1392</v>
      </c>
      <c r="J10767" s="417" t="s">
        <v>3899</v>
      </c>
      <c r="K10767" s="417" t="s">
        <v>23985</v>
      </c>
      <c r="L10767" s="417"/>
      <c r="M10767" s="417" t="s">
        <v>28840</v>
      </c>
    </row>
    <row r="10768" spans="1:13" x14ac:dyDescent="0.25">
      <c r="A10768" s="417" t="s">
        <v>3385</v>
      </c>
      <c r="B10768" s="417" t="s">
        <v>2437</v>
      </c>
      <c r="C10768" s="417" t="s">
        <v>23986</v>
      </c>
      <c r="D10768" s="417" t="s">
        <v>989</v>
      </c>
      <c r="E10768" s="423">
        <v>161426.8608632666</v>
      </c>
      <c r="F10768" s="423">
        <v>11336.479789917061</v>
      </c>
      <c r="G10768" s="422">
        <v>336975353.30373907</v>
      </c>
      <c r="H10768" s="417" t="s">
        <v>2616</v>
      </c>
      <c r="I10768" s="417" t="s">
        <v>1392</v>
      </c>
      <c r="J10768" s="417" t="s">
        <v>4375</v>
      </c>
      <c r="K10768" s="417" t="s">
        <v>23987</v>
      </c>
      <c r="L10768" s="417"/>
      <c r="M10768" s="417" t="s">
        <v>28840</v>
      </c>
    </row>
    <row r="10769" spans="1:13" x14ac:dyDescent="0.25">
      <c r="A10769" s="417" t="s">
        <v>3385</v>
      </c>
      <c r="B10769" s="417" t="s">
        <v>3655</v>
      </c>
      <c r="C10769" s="417" t="s">
        <v>23988</v>
      </c>
      <c r="D10769" s="417" t="s">
        <v>88</v>
      </c>
      <c r="E10769" s="423">
        <v>0.81036211063133134</v>
      </c>
      <c r="F10769" s="423">
        <v>0.18399354848171681</v>
      </c>
      <c r="G10769" s="422">
        <v>1553.80265936412</v>
      </c>
      <c r="H10769" s="417" t="s">
        <v>2616</v>
      </c>
      <c r="I10769" s="417" t="s">
        <v>1392</v>
      </c>
      <c r="J10769" s="417" t="s">
        <v>4549</v>
      </c>
      <c r="K10769" s="417" t="s">
        <v>23989</v>
      </c>
      <c r="L10769" s="417"/>
      <c r="M10769" s="417" t="s">
        <v>28840</v>
      </c>
    </row>
    <row r="10770" spans="1:13" x14ac:dyDescent="0.25">
      <c r="A10770" s="417" t="s">
        <v>3385</v>
      </c>
      <c r="B10770" s="417" t="s">
        <v>3655</v>
      </c>
      <c r="C10770" s="417" t="s">
        <v>23990</v>
      </c>
      <c r="D10770" s="417" t="s">
        <v>88</v>
      </c>
      <c r="E10770" s="423">
        <v>0.29116697638066141</v>
      </c>
      <c r="F10770" s="423">
        <v>3.6052882868635602E-2</v>
      </c>
      <c r="G10770" s="422">
        <v>617.28342226805444</v>
      </c>
      <c r="H10770" s="417" t="s">
        <v>2616</v>
      </c>
      <c r="I10770" s="417" t="s">
        <v>1392</v>
      </c>
      <c r="J10770" s="417" t="s">
        <v>4549</v>
      </c>
      <c r="K10770" s="417" t="s">
        <v>23991</v>
      </c>
      <c r="L10770" s="417"/>
      <c r="M10770" s="417" t="s">
        <v>28840</v>
      </c>
    </row>
    <row r="10771" spans="1:13" x14ac:dyDescent="0.25">
      <c r="A10771" s="417" t="s">
        <v>3385</v>
      </c>
      <c r="B10771" s="417" t="s">
        <v>3655</v>
      </c>
      <c r="C10771" s="417" t="s">
        <v>23992</v>
      </c>
      <c r="D10771" s="417" t="s">
        <v>88</v>
      </c>
      <c r="E10771" s="423">
        <v>0.20472221707087199</v>
      </c>
      <c r="F10771" s="423">
        <v>2.5349118244556181E-2</v>
      </c>
      <c r="G10771" s="422">
        <v>434.01773229691582</v>
      </c>
      <c r="H10771" s="417" t="s">
        <v>2616</v>
      </c>
      <c r="I10771" s="417" t="s">
        <v>1392</v>
      </c>
      <c r="J10771" s="417" t="s">
        <v>4549</v>
      </c>
      <c r="K10771" s="417" t="s">
        <v>23993</v>
      </c>
      <c r="L10771" s="417"/>
      <c r="M10771" s="417" t="s">
        <v>28840</v>
      </c>
    </row>
    <row r="10772" spans="1:13" x14ac:dyDescent="0.25">
      <c r="A10772" s="417" t="s">
        <v>3385</v>
      </c>
      <c r="B10772" s="417" t="s">
        <v>2627</v>
      </c>
      <c r="C10772" s="417" t="s">
        <v>23994</v>
      </c>
      <c r="D10772" s="417" t="s">
        <v>989</v>
      </c>
      <c r="E10772" s="423">
        <v>343.27205985062011</v>
      </c>
      <c r="F10772" s="423">
        <v>10.818797719999999</v>
      </c>
      <c r="G10772" s="422">
        <v>896803.07565480948</v>
      </c>
      <c r="H10772" s="417" t="s">
        <v>2616</v>
      </c>
      <c r="I10772" s="417" t="s">
        <v>1392</v>
      </c>
      <c r="J10772" s="417" t="s">
        <v>2628</v>
      </c>
      <c r="K10772" s="417" t="s">
        <v>23995</v>
      </c>
      <c r="L10772" s="417"/>
      <c r="M10772" s="417" t="s">
        <v>28840</v>
      </c>
    </row>
    <row r="10773" spans="1:13" x14ac:dyDescent="0.25">
      <c r="A10773" s="417" t="s">
        <v>3385</v>
      </c>
      <c r="B10773" s="417" t="s">
        <v>2627</v>
      </c>
      <c r="C10773" s="417" t="s">
        <v>23996</v>
      </c>
      <c r="D10773" s="417" t="s">
        <v>989</v>
      </c>
      <c r="E10773" s="423">
        <v>349.58478926289979</v>
      </c>
      <c r="F10773" s="423">
        <v>12.95374896</v>
      </c>
      <c r="G10773" s="422">
        <v>908932.24983424216</v>
      </c>
      <c r="H10773" s="417" t="s">
        <v>2616</v>
      </c>
      <c r="I10773" s="417" t="s">
        <v>1392</v>
      </c>
      <c r="J10773" s="417" t="s">
        <v>2628</v>
      </c>
      <c r="K10773" s="417" t="s">
        <v>23997</v>
      </c>
      <c r="L10773" s="417"/>
      <c r="M10773" s="417" t="s">
        <v>28840</v>
      </c>
    </row>
    <row r="10774" spans="1:13" x14ac:dyDescent="0.25">
      <c r="A10774" s="417" t="s">
        <v>3385</v>
      </c>
      <c r="B10774" s="417" t="s">
        <v>2437</v>
      </c>
      <c r="C10774" s="417" t="s">
        <v>23998</v>
      </c>
      <c r="D10774" s="417" t="s">
        <v>73</v>
      </c>
      <c r="E10774" s="423">
        <v>0</v>
      </c>
      <c r="F10774" s="423">
        <v>0</v>
      </c>
      <c r="G10774" s="422">
        <v>2.8</v>
      </c>
      <c r="H10774" s="417" t="s">
        <v>2616</v>
      </c>
      <c r="I10774" s="417" t="s">
        <v>1392</v>
      </c>
      <c r="J10774" s="417" t="s">
        <v>4195</v>
      </c>
      <c r="K10774" s="417" t="s">
        <v>23999</v>
      </c>
      <c r="L10774" s="417"/>
      <c r="M10774" s="417" t="s">
        <v>28840</v>
      </c>
    </row>
    <row r="10775" spans="1:13" x14ac:dyDescent="0.25">
      <c r="A10775" s="417" t="s">
        <v>3385</v>
      </c>
      <c r="B10775" s="417" t="s">
        <v>2627</v>
      </c>
      <c r="C10775" s="417" t="s">
        <v>24000</v>
      </c>
      <c r="D10775" s="417" t="s">
        <v>989</v>
      </c>
      <c r="E10775" s="423">
        <v>4829975.5531636784</v>
      </c>
      <c r="F10775" s="423">
        <v>507098.48933147022</v>
      </c>
      <c r="G10775" s="422">
        <v>11758014104.779421</v>
      </c>
      <c r="H10775" s="417" t="s">
        <v>2616</v>
      </c>
      <c r="I10775" s="417" t="s">
        <v>1392</v>
      </c>
      <c r="J10775" s="417" t="s">
        <v>24001</v>
      </c>
      <c r="K10775" s="417" t="s">
        <v>24002</v>
      </c>
      <c r="L10775" s="417"/>
      <c r="M10775" s="417" t="s">
        <v>28840</v>
      </c>
    </row>
    <row r="10776" spans="1:13" x14ac:dyDescent="0.25">
      <c r="A10776" s="417" t="s">
        <v>3385</v>
      </c>
      <c r="B10776" s="417" t="s">
        <v>2627</v>
      </c>
      <c r="C10776" s="417" t="s">
        <v>24003</v>
      </c>
      <c r="D10776" s="417" t="s">
        <v>88</v>
      </c>
      <c r="E10776" s="423">
        <v>5.0745087007574893E-2</v>
      </c>
      <c r="F10776" s="423">
        <v>1.928654422610056E-3</v>
      </c>
      <c r="G10776" s="422">
        <v>82.188309455579869</v>
      </c>
      <c r="H10776" s="417" t="s">
        <v>2616</v>
      </c>
      <c r="I10776" s="417" t="s">
        <v>1392</v>
      </c>
      <c r="J10776" s="417" t="s">
        <v>24004</v>
      </c>
      <c r="K10776" s="417" t="s">
        <v>24005</v>
      </c>
      <c r="L10776" s="417"/>
      <c r="M10776" s="417" t="s">
        <v>28840</v>
      </c>
    </row>
    <row r="10777" spans="1:13" x14ac:dyDescent="0.25">
      <c r="A10777" s="417" t="s">
        <v>3385</v>
      </c>
      <c r="B10777" s="417" t="s">
        <v>2627</v>
      </c>
      <c r="C10777" s="417" t="s">
        <v>24006</v>
      </c>
      <c r="D10777" s="417" t="s">
        <v>88</v>
      </c>
      <c r="E10777" s="423">
        <v>8.3613069163015516E-2</v>
      </c>
      <c r="F10777" s="423">
        <v>5.4971679944402409E-3</v>
      </c>
      <c r="G10777" s="422">
        <v>145.60173008974539</v>
      </c>
      <c r="H10777" s="417" t="s">
        <v>2616</v>
      </c>
      <c r="I10777" s="417" t="s">
        <v>1392</v>
      </c>
      <c r="J10777" s="417" t="s">
        <v>24004</v>
      </c>
      <c r="K10777" s="417" t="s">
        <v>24007</v>
      </c>
      <c r="L10777" s="417"/>
      <c r="M10777" s="417" t="s">
        <v>28840</v>
      </c>
    </row>
    <row r="10778" spans="1:13" x14ac:dyDescent="0.25">
      <c r="A10778" s="417" t="s">
        <v>3385</v>
      </c>
      <c r="B10778" s="417" t="s">
        <v>2627</v>
      </c>
      <c r="C10778" s="417" t="s">
        <v>24008</v>
      </c>
      <c r="D10778" s="417" t="s">
        <v>88</v>
      </c>
      <c r="E10778" s="423">
        <v>9.0972777308292549E-2</v>
      </c>
      <c r="F10778" s="423">
        <v>2.456024990368702E-2</v>
      </c>
      <c r="G10778" s="422">
        <v>142.44612616557831</v>
      </c>
      <c r="H10778" s="417" t="s">
        <v>2616</v>
      </c>
      <c r="I10778" s="417" t="s">
        <v>1392</v>
      </c>
      <c r="J10778" s="417" t="s">
        <v>24004</v>
      </c>
      <c r="K10778" s="417" t="s">
        <v>24009</v>
      </c>
      <c r="L10778" s="417"/>
      <c r="M10778" s="417" t="s">
        <v>28840</v>
      </c>
    </row>
    <row r="10779" spans="1:13" x14ac:dyDescent="0.25">
      <c r="A10779" s="417" t="s">
        <v>3385</v>
      </c>
      <c r="B10779" s="417" t="s">
        <v>2627</v>
      </c>
      <c r="C10779" s="417" t="s">
        <v>24010</v>
      </c>
      <c r="D10779" s="417" t="s">
        <v>88</v>
      </c>
      <c r="E10779" s="423">
        <v>0.13534098735351269</v>
      </c>
      <c r="F10779" s="423">
        <v>2.942186907063956E-2</v>
      </c>
      <c r="G10779" s="422">
        <v>227.23658784543369</v>
      </c>
      <c r="H10779" s="417" t="s">
        <v>2616</v>
      </c>
      <c r="I10779" s="417" t="s">
        <v>1392</v>
      </c>
      <c r="J10779" s="417" t="s">
        <v>24004</v>
      </c>
      <c r="K10779" s="417" t="s">
        <v>24011</v>
      </c>
      <c r="L10779" s="417"/>
      <c r="M10779" s="417" t="s">
        <v>28840</v>
      </c>
    </row>
    <row r="10780" spans="1:13" x14ac:dyDescent="0.25">
      <c r="A10780" s="417" t="s">
        <v>3385</v>
      </c>
      <c r="B10780" s="417" t="s">
        <v>2627</v>
      </c>
      <c r="C10780" s="417" t="s">
        <v>24012</v>
      </c>
      <c r="D10780" s="417" t="s">
        <v>989</v>
      </c>
      <c r="E10780" s="423">
        <v>15.296014320451111</v>
      </c>
      <c r="F10780" s="423">
        <v>3.6276887147455961</v>
      </c>
      <c r="G10780" s="422">
        <v>27378.326232001589</v>
      </c>
      <c r="H10780" s="417" t="s">
        <v>2616</v>
      </c>
      <c r="I10780" s="417" t="s">
        <v>1392</v>
      </c>
      <c r="J10780" s="417" t="s">
        <v>3798</v>
      </c>
      <c r="K10780" s="417" t="s">
        <v>24013</v>
      </c>
      <c r="L10780" s="417"/>
      <c r="M10780" s="417" t="s">
        <v>28840</v>
      </c>
    </row>
    <row r="10781" spans="1:13" x14ac:dyDescent="0.25">
      <c r="A10781" s="417" t="s">
        <v>3385</v>
      </c>
      <c r="B10781" s="417" t="s">
        <v>2627</v>
      </c>
      <c r="C10781" s="417" t="s">
        <v>24014</v>
      </c>
      <c r="D10781" s="417" t="s">
        <v>83</v>
      </c>
      <c r="E10781" s="423">
        <v>3.451401429046284</v>
      </c>
      <c r="F10781" s="423">
        <v>0.71297758024156299</v>
      </c>
      <c r="G10781" s="422">
        <v>6827.0844849103396</v>
      </c>
      <c r="H10781" s="417" t="s">
        <v>2616</v>
      </c>
      <c r="I10781" s="417" t="s">
        <v>1392</v>
      </c>
      <c r="J10781" s="417" t="s">
        <v>24015</v>
      </c>
      <c r="K10781" s="417" t="s">
        <v>24016</v>
      </c>
      <c r="L10781" s="417"/>
      <c r="M10781" s="417" t="s">
        <v>28840</v>
      </c>
    </row>
    <row r="10782" spans="1:13" x14ac:dyDescent="0.25">
      <c r="A10782" s="417" t="s">
        <v>3385</v>
      </c>
      <c r="B10782" s="417" t="s">
        <v>2627</v>
      </c>
      <c r="C10782" s="417" t="s">
        <v>24017</v>
      </c>
      <c r="D10782" s="417" t="s">
        <v>88</v>
      </c>
      <c r="E10782" s="423">
        <v>0.56958880711549165</v>
      </c>
      <c r="F10782" s="423">
        <v>0.34282623790081718</v>
      </c>
      <c r="G10782" s="422">
        <v>1172.3763803109839</v>
      </c>
      <c r="H10782" s="417" t="s">
        <v>2616</v>
      </c>
      <c r="I10782" s="417" t="s">
        <v>1392</v>
      </c>
      <c r="J10782" s="417" t="s">
        <v>7702</v>
      </c>
      <c r="K10782" s="417" t="s">
        <v>24018</v>
      </c>
      <c r="L10782" s="417"/>
      <c r="M10782" s="417" t="s">
        <v>28840</v>
      </c>
    </row>
    <row r="10783" spans="1:13" x14ac:dyDescent="0.25">
      <c r="A10783" s="417" t="s">
        <v>3385</v>
      </c>
      <c r="B10783" s="417" t="s">
        <v>3655</v>
      </c>
      <c r="C10783" s="417" t="s">
        <v>24019</v>
      </c>
      <c r="D10783" s="417" t="s">
        <v>989</v>
      </c>
      <c r="E10783" s="423">
        <v>133810684.7463001</v>
      </c>
      <c r="F10783" s="423">
        <v>6701148.8511118954</v>
      </c>
      <c r="G10783" s="422">
        <v>236360618246.87259</v>
      </c>
      <c r="H10783" s="417" t="s">
        <v>2616</v>
      </c>
      <c r="I10783" s="417" t="s">
        <v>1392</v>
      </c>
      <c r="J10783" s="417" t="s">
        <v>11811</v>
      </c>
      <c r="K10783" s="417" t="s">
        <v>24020</v>
      </c>
      <c r="L10783" s="417"/>
      <c r="M10783" s="417" t="s">
        <v>28840</v>
      </c>
    </row>
    <row r="10784" spans="1:13" x14ac:dyDescent="0.25">
      <c r="A10784" s="417" t="s">
        <v>3385</v>
      </c>
      <c r="B10784" s="417" t="s">
        <v>3655</v>
      </c>
      <c r="C10784" s="417" t="s">
        <v>24021</v>
      </c>
      <c r="D10784" s="417" t="s">
        <v>989</v>
      </c>
      <c r="E10784" s="423">
        <v>54475873.637908503</v>
      </c>
      <c r="F10784" s="423">
        <v>2725540.860498806</v>
      </c>
      <c r="G10784" s="422">
        <v>96762477315.95195</v>
      </c>
      <c r="H10784" s="417" t="s">
        <v>2616</v>
      </c>
      <c r="I10784" s="417" t="s">
        <v>1392</v>
      </c>
      <c r="J10784" s="417" t="s">
        <v>11811</v>
      </c>
      <c r="K10784" s="417" t="s">
        <v>24022</v>
      </c>
      <c r="L10784" s="417"/>
      <c r="M10784" s="417" t="s">
        <v>28840</v>
      </c>
    </row>
    <row r="10785" spans="1:13" x14ac:dyDescent="0.25">
      <c r="A10785" s="417" t="s">
        <v>3385</v>
      </c>
      <c r="B10785" s="417" t="s">
        <v>3655</v>
      </c>
      <c r="C10785" s="417" t="s">
        <v>24023</v>
      </c>
      <c r="D10785" s="417" t="s">
        <v>989</v>
      </c>
      <c r="E10785" s="423">
        <v>20422245.558486052</v>
      </c>
      <c r="F10785" s="423">
        <v>1021806.351379966</v>
      </c>
      <c r="G10785" s="422">
        <v>36306422487.34063</v>
      </c>
      <c r="H10785" s="417" t="s">
        <v>2616</v>
      </c>
      <c r="I10785" s="417" t="s">
        <v>1392</v>
      </c>
      <c r="J10785" s="417" t="s">
        <v>11811</v>
      </c>
      <c r="K10785" s="417" t="s">
        <v>24024</v>
      </c>
      <c r="L10785" s="417"/>
      <c r="M10785" s="417" t="s">
        <v>28840</v>
      </c>
    </row>
    <row r="10786" spans="1:13" x14ac:dyDescent="0.25">
      <c r="A10786" s="417" t="s">
        <v>3385</v>
      </c>
      <c r="B10786" s="417" t="s">
        <v>3655</v>
      </c>
      <c r="C10786" s="417" t="s">
        <v>24025</v>
      </c>
      <c r="D10786" s="417" t="s">
        <v>989</v>
      </c>
      <c r="E10786" s="423">
        <v>4498593.3630023217</v>
      </c>
      <c r="F10786" s="423">
        <v>225085.75578768161</v>
      </c>
      <c r="G10786" s="422">
        <v>8000988950.2191238</v>
      </c>
      <c r="H10786" s="417" t="s">
        <v>2616</v>
      </c>
      <c r="I10786" s="417" t="s">
        <v>1392</v>
      </c>
      <c r="J10786" s="417" t="s">
        <v>11811</v>
      </c>
      <c r="K10786" s="417" t="s">
        <v>24026</v>
      </c>
      <c r="L10786" s="417"/>
      <c r="M10786" s="417" t="s">
        <v>28840</v>
      </c>
    </row>
    <row r="10787" spans="1:13" x14ac:dyDescent="0.25">
      <c r="A10787" s="417" t="s">
        <v>3385</v>
      </c>
      <c r="B10787" s="417" t="s">
        <v>3655</v>
      </c>
      <c r="C10787" s="417" t="s">
        <v>24027</v>
      </c>
      <c r="D10787" s="417" t="s">
        <v>989</v>
      </c>
      <c r="E10787" s="423">
        <v>686134.12781703135</v>
      </c>
      <c r="F10787" s="423">
        <v>34326.230772459188</v>
      </c>
      <c r="G10787" s="422">
        <v>1220360967.576056</v>
      </c>
      <c r="H10787" s="417" t="s">
        <v>2616</v>
      </c>
      <c r="I10787" s="417" t="s">
        <v>1392</v>
      </c>
      <c r="J10787" s="417" t="s">
        <v>11811</v>
      </c>
      <c r="K10787" s="417" t="s">
        <v>24028</v>
      </c>
      <c r="L10787" s="417"/>
      <c r="M10787" s="417" t="s">
        <v>28840</v>
      </c>
    </row>
    <row r="10788" spans="1:13" x14ac:dyDescent="0.25">
      <c r="A10788" s="417" t="s">
        <v>3385</v>
      </c>
      <c r="B10788" s="417" t="s">
        <v>2627</v>
      </c>
      <c r="C10788" s="417" t="s">
        <v>24029</v>
      </c>
      <c r="D10788" s="417" t="s">
        <v>989</v>
      </c>
      <c r="E10788" s="423">
        <v>303718.26313611632</v>
      </c>
      <c r="F10788" s="423">
        <v>15429.949983335149</v>
      </c>
      <c r="G10788" s="422">
        <v>647875613.66268325</v>
      </c>
      <c r="H10788" s="417" t="s">
        <v>2616</v>
      </c>
      <c r="I10788" s="417" t="s">
        <v>1392</v>
      </c>
      <c r="J10788" s="417" t="s">
        <v>18881</v>
      </c>
      <c r="K10788" s="417" t="s">
        <v>24030</v>
      </c>
      <c r="L10788" s="417"/>
      <c r="M10788" s="417" t="s">
        <v>28840</v>
      </c>
    </row>
    <row r="10789" spans="1:13" x14ac:dyDescent="0.25">
      <c r="A10789" s="417" t="s">
        <v>3385</v>
      </c>
      <c r="B10789" s="417" t="s">
        <v>2627</v>
      </c>
      <c r="C10789" s="417" t="s">
        <v>24031</v>
      </c>
      <c r="D10789" s="417" t="s">
        <v>3936</v>
      </c>
      <c r="E10789" s="423">
        <v>53553.417656839127</v>
      </c>
      <c r="F10789" s="423">
        <v>1118.141219503445</v>
      </c>
      <c r="G10789" s="422">
        <v>138896259.26103169</v>
      </c>
      <c r="H10789" s="417" t="s">
        <v>2616</v>
      </c>
      <c r="I10789" s="417" t="s">
        <v>1392</v>
      </c>
      <c r="J10789" s="417" t="s">
        <v>18881</v>
      </c>
      <c r="K10789" s="417" t="s">
        <v>24032</v>
      </c>
      <c r="L10789" s="417"/>
      <c r="M10789" s="417" t="s">
        <v>28840</v>
      </c>
    </row>
    <row r="10790" spans="1:13" x14ac:dyDescent="0.25">
      <c r="A10790" s="417" t="s">
        <v>3385</v>
      </c>
      <c r="B10790" s="417" t="s">
        <v>2627</v>
      </c>
      <c r="C10790" s="417" t="s">
        <v>24033</v>
      </c>
      <c r="D10790" s="417" t="s">
        <v>989</v>
      </c>
      <c r="E10790" s="423">
        <v>137762.01195811591</v>
      </c>
      <c r="F10790" s="423">
        <v>2127.9846522961911</v>
      </c>
      <c r="G10790" s="422">
        <v>274580163.0267837</v>
      </c>
      <c r="H10790" s="417" t="s">
        <v>2616</v>
      </c>
      <c r="I10790" s="417" t="s">
        <v>1392</v>
      </c>
      <c r="J10790" s="417" t="s">
        <v>24034</v>
      </c>
      <c r="K10790" s="417" t="s">
        <v>24035</v>
      </c>
      <c r="L10790" s="417"/>
      <c r="M10790" s="417" t="s">
        <v>28840</v>
      </c>
    </row>
    <row r="10791" spans="1:13" x14ac:dyDescent="0.25">
      <c r="A10791" s="417" t="s">
        <v>3385</v>
      </c>
      <c r="B10791" s="417" t="s">
        <v>2627</v>
      </c>
      <c r="C10791" s="417" t="s">
        <v>24036</v>
      </c>
      <c r="D10791" s="417" t="s">
        <v>989</v>
      </c>
      <c r="E10791" s="423">
        <v>3554221.5642754762</v>
      </c>
      <c r="F10791" s="423">
        <v>210716.7883075267</v>
      </c>
      <c r="G10791" s="422">
        <v>6453097306.1372852</v>
      </c>
      <c r="H10791" s="417" t="s">
        <v>2616</v>
      </c>
      <c r="I10791" s="417" t="s">
        <v>1392</v>
      </c>
      <c r="J10791" s="417" t="s">
        <v>18881</v>
      </c>
      <c r="K10791" s="417" t="s">
        <v>24037</v>
      </c>
      <c r="L10791" s="417"/>
      <c r="M10791" s="417" t="s">
        <v>28840</v>
      </c>
    </row>
    <row r="10792" spans="1:13" x14ac:dyDescent="0.25">
      <c r="A10792" s="417" t="s">
        <v>3385</v>
      </c>
      <c r="B10792" s="417" t="s">
        <v>2627</v>
      </c>
      <c r="C10792" s="417" t="s">
        <v>24038</v>
      </c>
      <c r="D10792" s="417" t="s">
        <v>88</v>
      </c>
      <c r="E10792" s="423">
        <v>2.2954624457830711E-5</v>
      </c>
      <c r="F10792" s="423">
        <v>2.6966749365148339E-6</v>
      </c>
      <c r="G10792" s="422">
        <v>0.1502625549620128</v>
      </c>
      <c r="H10792" s="417" t="s">
        <v>2616</v>
      </c>
      <c r="I10792" s="417" t="s">
        <v>1392</v>
      </c>
      <c r="J10792" s="417" t="s">
        <v>24039</v>
      </c>
      <c r="K10792" s="417" t="s">
        <v>24040</v>
      </c>
      <c r="L10792" s="417"/>
      <c r="M10792" s="417" t="s">
        <v>28840</v>
      </c>
    </row>
    <row r="10793" spans="1:13" x14ac:dyDescent="0.25">
      <c r="A10793" s="417" t="s">
        <v>3385</v>
      </c>
      <c r="B10793" s="417" t="s">
        <v>2627</v>
      </c>
      <c r="C10793" s="417" t="s">
        <v>24041</v>
      </c>
      <c r="D10793" s="417" t="s">
        <v>88</v>
      </c>
      <c r="E10793" s="423">
        <v>7.4409018480444973E-6</v>
      </c>
      <c r="F10793" s="423">
        <v>8.6848526249402575E-7</v>
      </c>
      <c r="G10793" s="422">
        <v>0.1155367688166115</v>
      </c>
      <c r="H10793" s="417" t="s">
        <v>2616</v>
      </c>
      <c r="I10793" s="417" t="s">
        <v>1392</v>
      </c>
      <c r="J10793" s="417" t="s">
        <v>24039</v>
      </c>
      <c r="K10793" s="417" t="s">
        <v>24042</v>
      </c>
      <c r="L10793" s="417"/>
      <c r="M10793" s="417" t="s">
        <v>28840</v>
      </c>
    </row>
    <row r="10794" spans="1:13" x14ac:dyDescent="0.25">
      <c r="A10794" s="417" t="s">
        <v>3385</v>
      </c>
      <c r="B10794" s="417" t="s">
        <v>2627</v>
      </c>
      <c r="C10794" s="417" t="s">
        <v>1136</v>
      </c>
      <c r="D10794" s="417" t="s">
        <v>88</v>
      </c>
      <c r="E10794" s="423">
        <v>5.0538521436485411E-4</v>
      </c>
      <c r="F10794" s="423">
        <v>3.0402261375781528E-4</v>
      </c>
      <c r="G10794" s="422">
        <v>1.381310084376439</v>
      </c>
      <c r="H10794" s="417" t="s">
        <v>2616</v>
      </c>
      <c r="I10794" s="417" t="s">
        <v>1392</v>
      </c>
      <c r="J10794" s="417" t="s">
        <v>24039</v>
      </c>
      <c r="K10794" s="417" t="s">
        <v>24043</v>
      </c>
      <c r="L10794" s="417"/>
      <c r="M10794" s="417" t="s">
        <v>28840</v>
      </c>
    </row>
    <row r="10795" spans="1:13" x14ac:dyDescent="0.25">
      <c r="A10795" s="417" t="s">
        <v>3385</v>
      </c>
      <c r="B10795" s="417" t="s">
        <v>2627</v>
      </c>
      <c r="C10795" s="417" t="s">
        <v>24044</v>
      </c>
      <c r="D10795" s="417" t="s">
        <v>88</v>
      </c>
      <c r="E10795" s="423">
        <v>5.1902573916372263E-4</v>
      </c>
      <c r="F10795" s="423">
        <v>3.2495584095624489E-4</v>
      </c>
      <c r="G10795" s="422">
        <v>1.1818813800029719</v>
      </c>
      <c r="H10795" s="417" t="s">
        <v>2616</v>
      </c>
      <c r="I10795" s="417" t="s">
        <v>1392</v>
      </c>
      <c r="J10795" s="417" t="s">
        <v>13181</v>
      </c>
      <c r="K10795" s="417" t="s">
        <v>24045</v>
      </c>
      <c r="L10795" s="417"/>
      <c r="M10795" s="417" t="s">
        <v>28840</v>
      </c>
    </row>
    <row r="10796" spans="1:13" x14ac:dyDescent="0.25">
      <c r="A10796" s="417" t="s">
        <v>3385</v>
      </c>
      <c r="B10796" s="417" t="s">
        <v>2627</v>
      </c>
      <c r="C10796" s="417" t="s">
        <v>24046</v>
      </c>
      <c r="D10796" s="417" t="s">
        <v>88</v>
      </c>
      <c r="E10796" s="423">
        <v>1.1020182773088299E-3</v>
      </c>
      <c r="F10796" s="423">
        <v>2.9293691062965191E-4</v>
      </c>
      <c r="G10796" s="422">
        <v>1.8063649699204689</v>
      </c>
      <c r="H10796" s="417" t="s">
        <v>2616</v>
      </c>
      <c r="I10796" s="417" t="s">
        <v>1392</v>
      </c>
      <c r="J10796" s="417" t="s">
        <v>13181</v>
      </c>
      <c r="K10796" s="417" t="s">
        <v>24047</v>
      </c>
      <c r="L10796" s="417"/>
      <c r="M10796" s="417" t="s">
        <v>28840</v>
      </c>
    </row>
    <row r="10797" spans="1:13" x14ac:dyDescent="0.25">
      <c r="A10797" s="417" t="s">
        <v>3385</v>
      </c>
      <c r="B10797" s="417" t="s">
        <v>2627</v>
      </c>
      <c r="C10797" s="417" t="s">
        <v>24048</v>
      </c>
      <c r="D10797" s="417" t="s">
        <v>88</v>
      </c>
      <c r="E10797" s="423">
        <v>4.9782785992457572E-4</v>
      </c>
      <c r="F10797" s="423">
        <v>3.0721687080022627E-4</v>
      </c>
      <c r="G10797" s="422">
        <v>1.244539681671327</v>
      </c>
      <c r="H10797" s="417" t="s">
        <v>2616</v>
      </c>
      <c r="I10797" s="417" t="s">
        <v>1392</v>
      </c>
      <c r="J10797" s="417" t="s">
        <v>13181</v>
      </c>
      <c r="K10797" s="417" t="s">
        <v>24049</v>
      </c>
      <c r="L10797" s="417"/>
      <c r="M10797" s="417" t="s">
        <v>28840</v>
      </c>
    </row>
    <row r="10798" spans="1:13" x14ac:dyDescent="0.25">
      <c r="A10798" s="417" t="s">
        <v>3385</v>
      </c>
      <c r="B10798" s="417" t="s">
        <v>2627</v>
      </c>
      <c r="C10798" s="417" t="s">
        <v>24050</v>
      </c>
      <c r="D10798" s="417" t="s">
        <v>88</v>
      </c>
      <c r="E10798" s="423">
        <v>4.2634066094117531E-4</v>
      </c>
      <c r="F10798" s="423">
        <v>2.9901586672857468E-4</v>
      </c>
      <c r="G10798" s="422">
        <v>1.2003345816162021</v>
      </c>
      <c r="H10798" s="417" t="s">
        <v>2616</v>
      </c>
      <c r="I10798" s="417" t="s">
        <v>1392</v>
      </c>
      <c r="J10798" s="417" t="s">
        <v>13181</v>
      </c>
      <c r="K10798" s="417" t="s">
        <v>24051</v>
      </c>
      <c r="L10798" s="417"/>
      <c r="M10798" s="417" t="s">
        <v>28840</v>
      </c>
    </row>
    <row r="10799" spans="1:13" x14ac:dyDescent="0.25">
      <c r="A10799" s="417" t="s">
        <v>3385</v>
      </c>
      <c r="B10799" s="417" t="s">
        <v>2627</v>
      </c>
      <c r="C10799" s="417" t="s">
        <v>24052</v>
      </c>
      <c r="D10799" s="417" t="s">
        <v>88</v>
      </c>
      <c r="E10799" s="423">
        <v>9.7995189201696762E-4</v>
      </c>
      <c r="F10799" s="423">
        <v>2.9391166367114538E-4</v>
      </c>
      <c r="G10799" s="422">
        <v>1.676784546340512</v>
      </c>
      <c r="H10799" s="417" t="s">
        <v>2616</v>
      </c>
      <c r="I10799" s="417" t="s">
        <v>1392</v>
      </c>
      <c r="J10799" s="417" t="s">
        <v>13181</v>
      </c>
      <c r="K10799" s="417" t="s">
        <v>24053</v>
      </c>
      <c r="L10799" s="417"/>
      <c r="M10799" s="417" t="s">
        <v>28840</v>
      </c>
    </row>
    <row r="10800" spans="1:13" x14ac:dyDescent="0.25">
      <c r="A10800" s="417" t="s">
        <v>3385</v>
      </c>
      <c r="B10800" s="417" t="s">
        <v>2627</v>
      </c>
      <c r="C10800" s="417" t="s">
        <v>24054</v>
      </c>
      <c r="D10800" s="417" t="s">
        <v>88</v>
      </c>
      <c r="E10800" s="423">
        <v>7.8768680566118534E-4</v>
      </c>
      <c r="F10800" s="423">
        <v>3.2735345867168278E-4</v>
      </c>
      <c r="G10800" s="422">
        <v>1.571973622940311</v>
      </c>
      <c r="H10800" s="417" t="s">
        <v>2616</v>
      </c>
      <c r="I10800" s="417" t="s">
        <v>1392</v>
      </c>
      <c r="J10800" s="417" t="s">
        <v>13181</v>
      </c>
      <c r="K10800" s="417" t="s">
        <v>24055</v>
      </c>
      <c r="L10800" s="417"/>
      <c r="M10800" s="417" t="s">
        <v>28840</v>
      </c>
    </row>
    <row r="10801" spans="1:13" x14ac:dyDescent="0.25">
      <c r="A10801" s="417" t="s">
        <v>3385</v>
      </c>
      <c r="B10801" s="417" t="s">
        <v>2627</v>
      </c>
      <c r="C10801" s="417" t="s">
        <v>24056</v>
      </c>
      <c r="D10801" s="417" t="s">
        <v>88</v>
      </c>
      <c r="E10801" s="423">
        <v>7.2750120800401448E-4</v>
      </c>
      <c r="F10801" s="423">
        <v>3.307908643607005E-4</v>
      </c>
      <c r="G10801" s="422">
        <v>1.4276228339036749</v>
      </c>
      <c r="H10801" s="417" t="s">
        <v>2616</v>
      </c>
      <c r="I10801" s="417" t="s">
        <v>1392</v>
      </c>
      <c r="J10801" s="417" t="s">
        <v>13181</v>
      </c>
      <c r="K10801" s="417" t="s">
        <v>24057</v>
      </c>
      <c r="L10801" s="417"/>
      <c r="M10801" s="417" t="s">
        <v>28840</v>
      </c>
    </row>
    <row r="10802" spans="1:13" x14ac:dyDescent="0.25">
      <c r="A10802" s="417" t="s">
        <v>3385</v>
      </c>
      <c r="B10802" s="417" t="s">
        <v>2627</v>
      </c>
      <c r="C10802" s="417" t="s">
        <v>24058</v>
      </c>
      <c r="D10802" s="417" t="s">
        <v>88</v>
      </c>
      <c r="E10802" s="423">
        <v>4.5823034998176558E-4</v>
      </c>
      <c r="F10802" s="423">
        <v>3.6363316308068251E-4</v>
      </c>
      <c r="G10802" s="422">
        <v>1.038324747701858</v>
      </c>
      <c r="H10802" s="417" t="s">
        <v>2616</v>
      </c>
      <c r="I10802" s="417" t="s">
        <v>1392</v>
      </c>
      <c r="J10802" s="417" t="s">
        <v>13181</v>
      </c>
      <c r="K10802" s="417" t="s">
        <v>24059</v>
      </c>
      <c r="L10802" s="417"/>
      <c r="M10802" s="417" t="s">
        <v>28840</v>
      </c>
    </row>
    <row r="10803" spans="1:13" x14ac:dyDescent="0.25">
      <c r="A10803" s="417" t="s">
        <v>3385</v>
      </c>
      <c r="B10803" s="417" t="s">
        <v>2627</v>
      </c>
      <c r="C10803" s="417" t="s">
        <v>24060</v>
      </c>
      <c r="D10803" s="417" t="s">
        <v>88</v>
      </c>
      <c r="E10803" s="423">
        <v>5.2959479969459774E-4</v>
      </c>
      <c r="F10803" s="423">
        <v>2.9372213358887358E-4</v>
      </c>
      <c r="G10803" s="422">
        <v>1.250214524707328</v>
      </c>
      <c r="H10803" s="417" t="s">
        <v>2616</v>
      </c>
      <c r="I10803" s="417" t="s">
        <v>1392</v>
      </c>
      <c r="J10803" s="417" t="s">
        <v>13181</v>
      </c>
      <c r="K10803" s="417" t="s">
        <v>24061</v>
      </c>
      <c r="L10803" s="417"/>
      <c r="M10803" s="417" t="s">
        <v>28840</v>
      </c>
    </row>
    <row r="10804" spans="1:13" x14ac:dyDescent="0.25">
      <c r="A10804" s="417" t="s">
        <v>3385</v>
      </c>
      <c r="B10804" s="417" t="s">
        <v>2627</v>
      </c>
      <c r="C10804" s="417" t="s">
        <v>24062</v>
      </c>
      <c r="D10804" s="417" t="s">
        <v>88</v>
      </c>
      <c r="E10804" s="423">
        <v>4.4844996080550668E-4</v>
      </c>
      <c r="F10804" s="423">
        <v>3.5877082014021562E-4</v>
      </c>
      <c r="G10804" s="422">
        <v>1.1804271264042869</v>
      </c>
      <c r="H10804" s="417" t="s">
        <v>2616</v>
      </c>
      <c r="I10804" s="417" t="s">
        <v>1392</v>
      </c>
      <c r="J10804" s="417" t="s">
        <v>13181</v>
      </c>
      <c r="K10804" s="417" t="s">
        <v>24063</v>
      </c>
      <c r="L10804" s="417"/>
      <c r="M10804" s="417" t="s">
        <v>28840</v>
      </c>
    </row>
    <row r="10805" spans="1:13" x14ac:dyDescent="0.25">
      <c r="A10805" s="417" t="s">
        <v>3385</v>
      </c>
      <c r="B10805" s="417" t="s">
        <v>2627</v>
      </c>
      <c r="C10805" s="417" t="s">
        <v>24064</v>
      </c>
      <c r="D10805" s="417" t="s">
        <v>88</v>
      </c>
      <c r="E10805" s="423">
        <v>4.1187053706878701E-4</v>
      </c>
      <c r="F10805" s="423">
        <v>2.9247516187404189E-4</v>
      </c>
      <c r="G10805" s="422">
        <v>1.4007575162229</v>
      </c>
      <c r="H10805" s="417" t="s">
        <v>2616</v>
      </c>
      <c r="I10805" s="417" t="s">
        <v>1392</v>
      </c>
      <c r="J10805" s="417" t="s">
        <v>13181</v>
      </c>
      <c r="K10805" s="417" t="s">
        <v>24065</v>
      </c>
      <c r="L10805" s="417"/>
      <c r="M10805" s="417" t="s">
        <v>28840</v>
      </c>
    </row>
    <row r="10806" spans="1:13" x14ac:dyDescent="0.25">
      <c r="A10806" s="417" t="s">
        <v>3385</v>
      </c>
      <c r="B10806" s="417" t="s">
        <v>2627</v>
      </c>
      <c r="C10806" s="417" t="s">
        <v>24066</v>
      </c>
      <c r="D10806" s="417" t="s">
        <v>88</v>
      </c>
      <c r="E10806" s="423">
        <v>5.2266417141076345E-4</v>
      </c>
      <c r="F10806" s="423">
        <v>3.4330921258709032E-4</v>
      </c>
      <c r="G10806" s="422">
        <v>1.206885024934151</v>
      </c>
      <c r="H10806" s="417" t="s">
        <v>2616</v>
      </c>
      <c r="I10806" s="417" t="s">
        <v>1392</v>
      </c>
      <c r="J10806" s="417" t="s">
        <v>13181</v>
      </c>
      <c r="K10806" s="417" t="s">
        <v>24067</v>
      </c>
      <c r="L10806" s="417"/>
      <c r="M10806" s="417" t="s">
        <v>28840</v>
      </c>
    </row>
    <row r="10807" spans="1:13" x14ac:dyDescent="0.25">
      <c r="A10807" s="417" t="s">
        <v>3385</v>
      </c>
      <c r="B10807" s="417" t="s">
        <v>2627</v>
      </c>
      <c r="C10807" s="417" t="s">
        <v>24068</v>
      </c>
      <c r="D10807" s="417" t="s">
        <v>88</v>
      </c>
      <c r="E10807" s="423">
        <v>6.9950115826760079E-4</v>
      </c>
      <c r="F10807" s="423">
        <v>2.8770361588522492E-4</v>
      </c>
      <c r="G10807" s="422">
        <v>1.3212460650115709</v>
      </c>
      <c r="H10807" s="417" t="s">
        <v>2616</v>
      </c>
      <c r="I10807" s="417" t="s">
        <v>1392</v>
      </c>
      <c r="J10807" s="417" t="s">
        <v>13181</v>
      </c>
      <c r="K10807" s="417" t="s">
        <v>24069</v>
      </c>
      <c r="L10807" s="417"/>
      <c r="M10807" s="417" t="s">
        <v>28840</v>
      </c>
    </row>
    <row r="10808" spans="1:13" x14ac:dyDescent="0.25">
      <c r="A10808" s="417" t="s">
        <v>3385</v>
      </c>
      <c r="B10808" s="417" t="s">
        <v>2627</v>
      </c>
      <c r="C10808" s="417" t="s">
        <v>24070</v>
      </c>
      <c r="D10808" s="417" t="s">
        <v>88</v>
      </c>
      <c r="E10808" s="423">
        <v>6.4020029603913185E-4</v>
      </c>
      <c r="F10808" s="423">
        <v>3.0586771062269229E-4</v>
      </c>
      <c r="G10808" s="422">
        <v>1.267171764778519</v>
      </c>
      <c r="H10808" s="417" t="s">
        <v>2616</v>
      </c>
      <c r="I10808" s="417" t="s">
        <v>1392</v>
      </c>
      <c r="J10808" s="417" t="s">
        <v>13181</v>
      </c>
      <c r="K10808" s="417" t="s">
        <v>24071</v>
      </c>
      <c r="L10808" s="417"/>
      <c r="M10808" s="417" t="s">
        <v>28840</v>
      </c>
    </row>
    <row r="10809" spans="1:13" x14ac:dyDescent="0.25">
      <c r="A10809" s="417" t="s">
        <v>3385</v>
      </c>
      <c r="B10809" s="417" t="s">
        <v>2627</v>
      </c>
      <c r="C10809" s="417" t="s">
        <v>24072</v>
      </c>
      <c r="D10809" s="417" t="s">
        <v>88</v>
      </c>
      <c r="E10809" s="423">
        <v>5.7161973173790236E-4</v>
      </c>
      <c r="F10809" s="423">
        <v>3.0964927002999121E-4</v>
      </c>
      <c r="G10809" s="422">
        <v>1.350301956818996</v>
      </c>
      <c r="H10809" s="417" t="s">
        <v>2616</v>
      </c>
      <c r="I10809" s="417" t="s">
        <v>1392</v>
      </c>
      <c r="J10809" s="417" t="s">
        <v>13181</v>
      </c>
      <c r="K10809" s="417" t="s">
        <v>24073</v>
      </c>
      <c r="L10809" s="417"/>
      <c r="M10809" s="417" t="s">
        <v>28840</v>
      </c>
    </row>
    <row r="10810" spans="1:13" x14ac:dyDescent="0.25">
      <c r="A10810" s="417" t="s">
        <v>3385</v>
      </c>
      <c r="B10810" s="417" t="s">
        <v>2627</v>
      </c>
      <c r="C10810" s="417" t="s">
        <v>24074</v>
      </c>
      <c r="D10810" s="417" t="s">
        <v>88</v>
      </c>
      <c r="E10810" s="423">
        <v>6.3025250996088101E-4</v>
      </c>
      <c r="F10810" s="423">
        <v>2.9802500802313841E-4</v>
      </c>
      <c r="G10810" s="422">
        <v>1.229001138327326</v>
      </c>
      <c r="H10810" s="417" t="s">
        <v>2616</v>
      </c>
      <c r="I10810" s="417" t="s">
        <v>1392</v>
      </c>
      <c r="J10810" s="417" t="s">
        <v>13181</v>
      </c>
      <c r="K10810" s="417" t="s">
        <v>24075</v>
      </c>
      <c r="L10810" s="417"/>
      <c r="M10810" s="417" t="s">
        <v>28840</v>
      </c>
    </row>
    <row r="10811" spans="1:13" x14ac:dyDescent="0.25">
      <c r="A10811" s="417" t="s">
        <v>3385</v>
      </c>
      <c r="B10811" s="417" t="s">
        <v>2627</v>
      </c>
      <c r="C10811" s="417" t="s">
        <v>24076</v>
      </c>
      <c r="D10811" s="417" t="s">
        <v>88</v>
      </c>
      <c r="E10811" s="423">
        <v>1.201657986810117E-3</v>
      </c>
      <c r="F10811" s="423">
        <v>2.9764872224469029E-4</v>
      </c>
      <c r="G10811" s="422">
        <v>2.134152781543186</v>
      </c>
      <c r="H10811" s="417" t="s">
        <v>2616</v>
      </c>
      <c r="I10811" s="417" t="s">
        <v>1392</v>
      </c>
      <c r="J10811" s="417" t="s">
        <v>13181</v>
      </c>
      <c r="K10811" s="417" t="s">
        <v>24077</v>
      </c>
      <c r="L10811" s="417"/>
      <c r="M10811" s="417" t="s">
        <v>28840</v>
      </c>
    </row>
    <row r="10812" spans="1:13" x14ac:dyDescent="0.25">
      <c r="A10812" s="417" t="s">
        <v>3385</v>
      </c>
      <c r="B10812" s="417" t="s">
        <v>2627</v>
      </c>
      <c r="C10812" s="417" t="s">
        <v>24078</v>
      </c>
      <c r="D10812" s="417" t="s">
        <v>88</v>
      </c>
      <c r="E10812" s="423">
        <v>6.3549140402546756E-4</v>
      </c>
      <c r="F10812" s="423">
        <v>3.1195942216069719E-4</v>
      </c>
      <c r="G10812" s="422">
        <v>1.2570290503178081</v>
      </c>
      <c r="H10812" s="417" t="s">
        <v>2616</v>
      </c>
      <c r="I10812" s="417" t="s">
        <v>1392</v>
      </c>
      <c r="J10812" s="417" t="s">
        <v>13181</v>
      </c>
      <c r="K10812" s="417" t="s">
        <v>24079</v>
      </c>
      <c r="L10812" s="417"/>
      <c r="M10812" s="417" t="s">
        <v>28840</v>
      </c>
    </row>
    <row r="10813" spans="1:13" x14ac:dyDescent="0.25">
      <c r="A10813" s="417" t="s">
        <v>3385</v>
      </c>
      <c r="B10813" s="417" t="s">
        <v>2627</v>
      </c>
      <c r="C10813" s="417" t="s">
        <v>24080</v>
      </c>
      <c r="D10813" s="417" t="s">
        <v>88</v>
      </c>
      <c r="E10813" s="423">
        <v>8.4999167573602272E-4</v>
      </c>
      <c r="F10813" s="423">
        <v>3.0904910066651282E-4</v>
      </c>
      <c r="G10813" s="422">
        <v>1.543841351593946</v>
      </c>
      <c r="H10813" s="417" t="s">
        <v>2616</v>
      </c>
      <c r="I10813" s="417" t="s">
        <v>1392</v>
      </c>
      <c r="J10813" s="417" t="s">
        <v>13181</v>
      </c>
      <c r="K10813" s="417" t="s">
        <v>24081</v>
      </c>
      <c r="L10813" s="417"/>
      <c r="M10813" s="417" t="s">
        <v>28840</v>
      </c>
    </row>
    <row r="10814" spans="1:13" x14ac:dyDescent="0.25">
      <c r="A10814" s="417" t="s">
        <v>3385</v>
      </c>
      <c r="B10814" s="417" t="s">
        <v>2627</v>
      </c>
      <c r="C10814" s="417" t="s">
        <v>24082</v>
      </c>
      <c r="D10814" s="417" t="s">
        <v>88</v>
      </c>
      <c r="E10814" s="423">
        <v>8.4035356763640561E-4</v>
      </c>
      <c r="F10814" s="423">
        <v>2.9278120672655871E-4</v>
      </c>
      <c r="G10814" s="422">
        <v>1.626821547714282</v>
      </c>
      <c r="H10814" s="417" t="s">
        <v>2616</v>
      </c>
      <c r="I10814" s="417" t="s">
        <v>1392</v>
      </c>
      <c r="J10814" s="417" t="s">
        <v>13181</v>
      </c>
      <c r="K10814" s="417" t="s">
        <v>24083</v>
      </c>
      <c r="L10814" s="417"/>
      <c r="M10814" s="417" t="s">
        <v>28840</v>
      </c>
    </row>
    <row r="10815" spans="1:13" x14ac:dyDescent="0.25">
      <c r="A10815" s="417" t="s">
        <v>3385</v>
      </c>
      <c r="B10815" s="417" t="s">
        <v>2627</v>
      </c>
      <c r="C10815" s="417" t="s">
        <v>24084</v>
      </c>
      <c r="D10815" s="417" t="s">
        <v>88</v>
      </c>
      <c r="E10815" s="423">
        <v>6.5729352037012013E-4</v>
      </c>
      <c r="F10815" s="423">
        <v>3.3545804110465517E-4</v>
      </c>
      <c r="G10815" s="422">
        <v>1.374918035162332</v>
      </c>
      <c r="H10815" s="417" t="s">
        <v>2616</v>
      </c>
      <c r="I10815" s="417" t="s">
        <v>1392</v>
      </c>
      <c r="J10815" s="417" t="s">
        <v>13181</v>
      </c>
      <c r="K10815" s="417" t="s">
        <v>24085</v>
      </c>
      <c r="L10815" s="417"/>
      <c r="M10815" s="417" t="s">
        <v>28840</v>
      </c>
    </row>
    <row r="10816" spans="1:13" x14ac:dyDescent="0.25">
      <c r="A10816" s="417" t="s">
        <v>3385</v>
      </c>
      <c r="B10816" s="417" t="s">
        <v>2627</v>
      </c>
      <c r="C10816" s="417" t="s">
        <v>24086</v>
      </c>
      <c r="D10816" s="417" t="s">
        <v>88</v>
      </c>
      <c r="E10816" s="423">
        <v>9.1177665766437597E-4</v>
      </c>
      <c r="F10816" s="423">
        <v>2.9108325626065178E-4</v>
      </c>
      <c r="G10816" s="422">
        <v>1.7173114465569701</v>
      </c>
      <c r="H10816" s="417" t="s">
        <v>2616</v>
      </c>
      <c r="I10816" s="417" t="s">
        <v>1392</v>
      </c>
      <c r="J10816" s="417" t="s">
        <v>13181</v>
      </c>
      <c r="K10816" s="417" t="s">
        <v>24087</v>
      </c>
      <c r="L10816" s="417"/>
      <c r="M10816" s="417" t="s">
        <v>28840</v>
      </c>
    </row>
    <row r="10817" spans="1:13" x14ac:dyDescent="0.25">
      <c r="A10817" s="417" t="s">
        <v>3385</v>
      </c>
      <c r="B10817" s="417" t="s">
        <v>2627</v>
      </c>
      <c r="C10817" s="417" t="s">
        <v>24088</v>
      </c>
      <c r="D10817" s="417" t="s">
        <v>88</v>
      </c>
      <c r="E10817" s="423">
        <v>5.968519847156143E-4</v>
      </c>
      <c r="F10817" s="423">
        <v>3.1731841593183203E-4</v>
      </c>
      <c r="G10817" s="422">
        <v>1.197830997917303</v>
      </c>
      <c r="H10817" s="417" t="s">
        <v>2616</v>
      </c>
      <c r="I10817" s="417" t="s">
        <v>1392</v>
      </c>
      <c r="J10817" s="417" t="s">
        <v>13181</v>
      </c>
      <c r="K10817" s="417" t="s">
        <v>24089</v>
      </c>
      <c r="L10817" s="417"/>
      <c r="M10817" s="417" t="s">
        <v>28840</v>
      </c>
    </row>
    <row r="10818" spans="1:13" x14ac:dyDescent="0.25">
      <c r="A10818" s="417" t="s">
        <v>3385</v>
      </c>
      <c r="B10818" s="417" t="s">
        <v>2627</v>
      </c>
      <c r="C10818" s="417" t="s">
        <v>24090</v>
      </c>
      <c r="D10818" s="417" t="s">
        <v>88</v>
      </c>
      <c r="E10818" s="423">
        <v>9.9035560254569308E-4</v>
      </c>
      <c r="F10818" s="423">
        <v>3.1457294915487389E-4</v>
      </c>
      <c r="G10818" s="422">
        <v>1.677768795391511</v>
      </c>
      <c r="H10818" s="417" t="s">
        <v>2616</v>
      </c>
      <c r="I10818" s="417" t="s">
        <v>1392</v>
      </c>
      <c r="J10818" s="417" t="s">
        <v>13181</v>
      </c>
      <c r="K10818" s="417" t="s">
        <v>24091</v>
      </c>
      <c r="L10818" s="417"/>
      <c r="M10818" s="417" t="s">
        <v>28840</v>
      </c>
    </row>
    <row r="10819" spans="1:13" x14ac:dyDescent="0.25">
      <c r="A10819" s="417" t="s">
        <v>3385</v>
      </c>
      <c r="B10819" s="417" t="s">
        <v>2627</v>
      </c>
      <c r="C10819" s="417" t="s">
        <v>24092</v>
      </c>
      <c r="D10819" s="417" t="s">
        <v>88</v>
      </c>
      <c r="E10819" s="423">
        <v>5.1154256129730912E-4</v>
      </c>
      <c r="F10819" s="423">
        <v>3.2085751823673789E-4</v>
      </c>
      <c r="G10819" s="422">
        <v>1.117972670772444</v>
      </c>
      <c r="H10819" s="417" t="s">
        <v>2616</v>
      </c>
      <c r="I10819" s="417" t="s">
        <v>1392</v>
      </c>
      <c r="J10819" s="417" t="s">
        <v>13181</v>
      </c>
      <c r="K10819" s="417" t="s">
        <v>24093</v>
      </c>
      <c r="L10819" s="417"/>
      <c r="M10819" s="417" t="s">
        <v>28840</v>
      </c>
    </row>
    <row r="10820" spans="1:13" x14ac:dyDescent="0.25">
      <c r="A10820" s="417" t="s">
        <v>3385</v>
      </c>
      <c r="B10820" s="417" t="s">
        <v>2627</v>
      </c>
      <c r="C10820" s="417" t="s">
        <v>24094</v>
      </c>
      <c r="D10820" s="417" t="s">
        <v>88</v>
      </c>
      <c r="E10820" s="423">
        <v>5.8921111307232599E-4</v>
      </c>
      <c r="F10820" s="423">
        <v>3.0989287601532379E-4</v>
      </c>
      <c r="G10820" s="422">
        <v>1.4439506657578309</v>
      </c>
      <c r="H10820" s="417" t="s">
        <v>2616</v>
      </c>
      <c r="I10820" s="417" t="s">
        <v>1392</v>
      </c>
      <c r="J10820" s="417" t="s">
        <v>13181</v>
      </c>
      <c r="K10820" s="417" t="s">
        <v>24095</v>
      </c>
      <c r="L10820" s="417"/>
      <c r="M10820" s="417" t="s">
        <v>28840</v>
      </c>
    </row>
    <row r="10821" spans="1:13" x14ac:dyDescent="0.25">
      <c r="A10821" s="417" t="s">
        <v>3385</v>
      </c>
      <c r="B10821" s="417" t="s">
        <v>2627</v>
      </c>
      <c r="C10821" s="417" t="s">
        <v>24096</v>
      </c>
      <c r="D10821" s="417" t="s">
        <v>88</v>
      </c>
      <c r="E10821" s="423">
        <v>1.144032088557029E-3</v>
      </c>
      <c r="F10821" s="423">
        <v>2.8286042149257967E-4</v>
      </c>
      <c r="G10821" s="422">
        <v>1.89009825695082</v>
      </c>
      <c r="H10821" s="417" t="s">
        <v>2616</v>
      </c>
      <c r="I10821" s="417" t="s">
        <v>1392</v>
      </c>
      <c r="J10821" s="417" t="s">
        <v>13181</v>
      </c>
      <c r="K10821" s="417" t="s">
        <v>24097</v>
      </c>
      <c r="L10821" s="417"/>
      <c r="M10821" s="417" t="s">
        <v>28840</v>
      </c>
    </row>
    <row r="10822" spans="1:13" x14ac:dyDescent="0.25">
      <c r="A10822" s="417" t="s">
        <v>3385</v>
      </c>
      <c r="B10822" s="417" t="s">
        <v>2627</v>
      </c>
      <c r="C10822" s="417" t="s">
        <v>24098</v>
      </c>
      <c r="D10822" s="417" t="s">
        <v>88</v>
      </c>
      <c r="E10822" s="423">
        <v>7.6635506266632095E-4</v>
      </c>
      <c r="F10822" s="423">
        <v>2.821497261220486E-4</v>
      </c>
      <c r="G10822" s="422">
        <v>1.4996010064029579</v>
      </c>
      <c r="H10822" s="417" t="s">
        <v>2616</v>
      </c>
      <c r="I10822" s="417" t="s">
        <v>1392</v>
      </c>
      <c r="J10822" s="417" t="s">
        <v>13181</v>
      </c>
      <c r="K10822" s="417" t="s">
        <v>24099</v>
      </c>
      <c r="L10822" s="417"/>
      <c r="M10822" s="417" t="s">
        <v>28840</v>
      </c>
    </row>
    <row r="10823" spans="1:13" x14ac:dyDescent="0.25">
      <c r="A10823" s="417" t="s">
        <v>3385</v>
      </c>
      <c r="B10823" s="417" t="s">
        <v>2627</v>
      </c>
      <c r="C10823" s="417" t="s">
        <v>24100</v>
      </c>
      <c r="D10823" s="417" t="s">
        <v>88</v>
      </c>
      <c r="E10823" s="423">
        <v>3.8320110607166551E-4</v>
      </c>
      <c r="F10823" s="423">
        <v>3.1596997341637087E-4</v>
      </c>
      <c r="G10823" s="422">
        <v>1.0382984980402989</v>
      </c>
      <c r="H10823" s="417" t="s">
        <v>2616</v>
      </c>
      <c r="I10823" s="417" t="s">
        <v>1392</v>
      </c>
      <c r="J10823" s="417" t="s">
        <v>13181</v>
      </c>
      <c r="K10823" s="417" t="s">
        <v>24101</v>
      </c>
      <c r="L10823" s="417"/>
      <c r="M10823" s="417" t="s">
        <v>28840</v>
      </c>
    </row>
    <row r="10824" spans="1:13" x14ac:dyDescent="0.25">
      <c r="A10824" s="417" t="s">
        <v>3385</v>
      </c>
      <c r="B10824" s="417" t="s">
        <v>2627</v>
      </c>
      <c r="C10824" s="417" t="s">
        <v>24102</v>
      </c>
      <c r="D10824" s="417" t="s">
        <v>88</v>
      </c>
      <c r="E10824" s="423">
        <v>5.7823013378751069E-4</v>
      </c>
      <c r="F10824" s="423">
        <v>3.0228528817874981E-4</v>
      </c>
      <c r="G10824" s="422">
        <v>1.267740650428868</v>
      </c>
      <c r="H10824" s="417" t="s">
        <v>2616</v>
      </c>
      <c r="I10824" s="417" t="s">
        <v>1392</v>
      </c>
      <c r="J10824" s="417" t="s">
        <v>13181</v>
      </c>
      <c r="K10824" s="417" t="s">
        <v>24103</v>
      </c>
      <c r="L10824" s="417"/>
      <c r="M10824" s="417" t="s">
        <v>28840</v>
      </c>
    </row>
    <row r="10825" spans="1:13" x14ac:dyDescent="0.25">
      <c r="A10825" s="417" t="s">
        <v>3385</v>
      </c>
      <c r="B10825" s="417" t="s">
        <v>2627</v>
      </c>
      <c r="C10825" s="417" t="s">
        <v>24104</v>
      </c>
      <c r="D10825" s="417" t="s">
        <v>88</v>
      </c>
      <c r="E10825" s="423">
        <v>5.6445695203327271E-4</v>
      </c>
      <c r="F10825" s="423">
        <v>3.1858319055980421E-4</v>
      </c>
      <c r="G10825" s="422">
        <v>1.4200855250467539</v>
      </c>
      <c r="H10825" s="417" t="s">
        <v>2616</v>
      </c>
      <c r="I10825" s="417" t="s">
        <v>1392</v>
      </c>
      <c r="J10825" s="417" t="s">
        <v>13181</v>
      </c>
      <c r="K10825" s="417" t="s">
        <v>24105</v>
      </c>
      <c r="L10825" s="417"/>
      <c r="M10825" s="417" t="s">
        <v>28840</v>
      </c>
    </row>
    <row r="10826" spans="1:13" x14ac:dyDescent="0.25">
      <c r="A10826" s="417" t="s">
        <v>3385</v>
      </c>
      <c r="B10826" s="417" t="s">
        <v>2627</v>
      </c>
      <c r="C10826" s="417" t="s">
        <v>24106</v>
      </c>
      <c r="D10826" s="417" t="s">
        <v>88</v>
      </c>
      <c r="E10826" s="423">
        <v>7.2015674170867268E-4</v>
      </c>
      <c r="F10826" s="423">
        <v>2.8785694506294328E-4</v>
      </c>
      <c r="G10826" s="422">
        <v>1.4077258451125529</v>
      </c>
      <c r="H10826" s="417" t="s">
        <v>2616</v>
      </c>
      <c r="I10826" s="417" t="s">
        <v>1392</v>
      </c>
      <c r="J10826" s="417" t="s">
        <v>13181</v>
      </c>
      <c r="K10826" s="417" t="s">
        <v>24107</v>
      </c>
      <c r="L10826" s="417"/>
      <c r="M10826" s="417" t="s">
        <v>28840</v>
      </c>
    </row>
    <row r="10827" spans="1:13" x14ac:dyDescent="0.25">
      <c r="A10827" s="417" t="s">
        <v>3385</v>
      </c>
      <c r="B10827" s="417" t="s">
        <v>2627</v>
      </c>
      <c r="C10827" s="417" t="s">
        <v>24108</v>
      </c>
      <c r="D10827" s="417" t="s">
        <v>88</v>
      </c>
      <c r="E10827" s="423">
        <v>4.3630753453192288E-4</v>
      </c>
      <c r="F10827" s="423">
        <v>5.4207667133186603E-5</v>
      </c>
      <c r="G10827" s="422">
        <v>30.306774692819541</v>
      </c>
      <c r="H10827" s="417" t="s">
        <v>2616</v>
      </c>
      <c r="I10827" s="417" t="s">
        <v>1392</v>
      </c>
      <c r="J10827" s="417" t="s">
        <v>24039</v>
      </c>
      <c r="K10827" s="417" t="s">
        <v>24109</v>
      </c>
      <c r="L10827" s="417"/>
      <c r="M10827" s="417" t="s">
        <v>28840</v>
      </c>
    </row>
    <row r="10828" spans="1:13" x14ac:dyDescent="0.25">
      <c r="A10828" s="417" t="s">
        <v>3385</v>
      </c>
      <c r="B10828" s="417" t="s">
        <v>3655</v>
      </c>
      <c r="C10828" s="417" t="s">
        <v>24110</v>
      </c>
      <c r="D10828" s="417" t="s">
        <v>88</v>
      </c>
      <c r="E10828" s="423">
        <v>0.21265267367026999</v>
      </c>
      <c r="F10828" s="423">
        <v>2.5574386212471809E-2</v>
      </c>
      <c r="G10828" s="422">
        <v>425.65841415275918</v>
      </c>
      <c r="H10828" s="417" t="s">
        <v>2616</v>
      </c>
      <c r="I10828" s="417" t="s">
        <v>1392</v>
      </c>
      <c r="J10828" s="417" t="s">
        <v>20588</v>
      </c>
      <c r="K10828" s="417" t="s">
        <v>24111</v>
      </c>
      <c r="L10828" s="417"/>
      <c r="M10828" s="417" t="s">
        <v>28840</v>
      </c>
    </row>
    <row r="10829" spans="1:13" x14ac:dyDescent="0.25">
      <c r="A10829" s="417" t="s">
        <v>3385</v>
      </c>
      <c r="B10829" s="417" t="s">
        <v>3655</v>
      </c>
      <c r="C10829" s="417" t="s">
        <v>24112</v>
      </c>
      <c r="D10829" s="417" t="s">
        <v>88</v>
      </c>
      <c r="E10829" s="423">
        <v>6.2274771434815701</v>
      </c>
      <c r="F10829" s="423">
        <v>0.23509566544105229</v>
      </c>
      <c r="G10829" s="422">
        <v>9312.238334479538</v>
      </c>
      <c r="H10829" s="417" t="s">
        <v>2616</v>
      </c>
      <c r="I10829" s="417" t="s">
        <v>1392</v>
      </c>
      <c r="J10829" s="417" t="s">
        <v>20588</v>
      </c>
      <c r="K10829" s="417" t="s">
        <v>24113</v>
      </c>
      <c r="L10829" s="417"/>
      <c r="M10829" s="417" t="s">
        <v>28840</v>
      </c>
    </row>
    <row r="10830" spans="1:13" x14ac:dyDescent="0.25">
      <c r="A10830" s="417" t="s">
        <v>3385</v>
      </c>
      <c r="B10830" s="417" t="s">
        <v>3655</v>
      </c>
      <c r="C10830" s="417" t="s">
        <v>24114</v>
      </c>
      <c r="D10830" s="417" t="s">
        <v>4315</v>
      </c>
      <c r="E10830" s="423">
        <v>0.1094642574642363</v>
      </c>
      <c r="F10830" s="423">
        <v>3.6307826141578009E-3</v>
      </c>
      <c r="G10830" s="422">
        <v>460.10757624429442</v>
      </c>
      <c r="H10830" s="417" t="s">
        <v>2616</v>
      </c>
      <c r="I10830" s="417" t="s">
        <v>1392</v>
      </c>
      <c r="J10830" s="417" t="s">
        <v>24115</v>
      </c>
      <c r="K10830" s="417" t="s">
        <v>24116</v>
      </c>
      <c r="L10830" s="417"/>
      <c r="M10830" s="417" t="s">
        <v>28840</v>
      </c>
    </row>
    <row r="10831" spans="1:13" x14ac:dyDescent="0.25">
      <c r="A10831" s="417" t="s">
        <v>3385</v>
      </c>
      <c r="B10831" s="417" t="s">
        <v>3655</v>
      </c>
      <c r="C10831" s="417" t="s">
        <v>24117</v>
      </c>
      <c r="D10831" s="417" t="s">
        <v>4315</v>
      </c>
      <c r="E10831" s="423">
        <v>0.13174575901146429</v>
      </c>
      <c r="F10831" s="423">
        <v>4.1535167808274889E-3</v>
      </c>
      <c r="G10831" s="422">
        <v>355.10448589449209</v>
      </c>
      <c r="H10831" s="417" t="s">
        <v>2616</v>
      </c>
      <c r="I10831" s="417" t="s">
        <v>1392</v>
      </c>
      <c r="J10831" s="417" t="s">
        <v>24115</v>
      </c>
      <c r="K10831" s="417" t="s">
        <v>24118</v>
      </c>
      <c r="L10831" s="417"/>
      <c r="M10831" s="417" t="s">
        <v>28840</v>
      </c>
    </row>
    <row r="10832" spans="1:13" x14ac:dyDescent="0.25">
      <c r="A10832" s="417" t="s">
        <v>3385</v>
      </c>
      <c r="B10832" s="417" t="s">
        <v>3655</v>
      </c>
      <c r="C10832" s="417" t="s">
        <v>24119</v>
      </c>
      <c r="D10832" s="417" t="s">
        <v>4315</v>
      </c>
      <c r="E10832" s="423">
        <v>0.16282026728674701</v>
      </c>
      <c r="F10832" s="423">
        <v>4.3210320864515584E-3</v>
      </c>
      <c r="G10832" s="422">
        <v>388.59766332413409</v>
      </c>
      <c r="H10832" s="417" t="s">
        <v>2616</v>
      </c>
      <c r="I10832" s="417" t="s">
        <v>1392</v>
      </c>
      <c r="J10832" s="417" t="s">
        <v>24115</v>
      </c>
      <c r="K10832" s="417" t="s">
        <v>24120</v>
      </c>
      <c r="L10832" s="417"/>
      <c r="M10832" s="417" t="s">
        <v>28840</v>
      </c>
    </row>
    <row r="10833" spans="1:13" x14ac:dyDescent="0.25">
      <c r="A10833" s="417" t="s">
        <v>3385</v>
      </c>
      <c r="B10833" s="417" t="s">
        <v>2627</v>
      </c>
      <c r="C10833" s="417" t="s">
        <v>24121</v>
      </c>
      <c r="D10833" s="417" t="s">
        <v>4315</v>
      </c>
      <c r="E10833" s="423">
        <v>809.80510306802728</v>
      </c>
      <c r="F10833" s="423">
        <v>48.586134352120013</v>
      </c>
      <c r="G10833" s="422">
        <v>3028257.2889519399</v>
      </c>
      <c r="H10833" s="417" t="s">
        <v>2616</v>
      </c>
      <c r="I10833" s="417" t="s">
        <v>1392</v>
      </c>
      <c r="J10833" s="417" t="s">
        <v>5230</v>
      </c>
      <c r="K10833" s="417" t="s">
        <v>24122</v>
      </c>
      <c r="L10833" s="417"/>
      <c r="M10833" s="417" t="s">
        <v>28840</v>
      </c>
    </row>
    <row r="10834" spans="1:13" x14ac:dyDescent="0.25">
      <c r="A10834" s="417" t="s">
        <v>3385</v>
      </c>
      <c r="B10834" s="417" t="s">
        <v>2627</v>
      </c>
      <c r="C10834" s="417" t="s">
        <v>24123</v>
      </c>
      <c r="D10834" s="417" t="s">
        <v>4315</v>
      </c>
      <c r="E10834" s="423">
        <v>813.83091442208195</v>
      </c>
      <c r="F10834" s="423">
        <v>48.667713179760902</v>
      </c>
      <c r="G10834" s="422">
        <v>1572057.930291401</v>
      </c>
      <c r="H10834" s="417" t="s">
        <v>2616</v>
      </c>
      <c r="I10834" s="417" t="s">
        <v>1392</v>
      </c>
      <c r="J10834" s="417" t="s">
        <v>5230</v>
      </c>
      <c r="K10834" s="417" t="s">
        <v>24124</v>
      </c>
      <c r="L10834" s="417"/>
      <c r="M10834" s="417" t="s">
        <v>28840</v>
      </c>
    </row>
    <row r="10835" spans="1:13" x14ac:dyDescent="0.25">
      <c r="A10835" s="417" t="s">
        <v>3385</v>
      </c>
      <c r="B10835" s="417" t="s">
        <v>2627</v>
      </c>
      <c r="C10835" s="417" t="s">
        <v>24125</v>
      </c>
      <c r="D10835" s="417" t="s">
        <v>88</v>
      </c>
      <c r="E10835" s="423">
        <v>0.52683345912941149</v>
      </c>
      <c r="F10835" s="423">
        <v>6.5209992797443921E-3</v>
      </c>
      <c r="G10835" s="422">
        <v>2771.428321757739</v>
      </c>
      <c r="H10835" s="417" t="s">
        <v>2616</v>
      </c>
      <c r="I10835" s="417" t="s">
        <v>1392</v>
      </c>
      <c r="J10835" s="417" t="s">
        <v>4047</v>
      </c>
      <c r="K10835" s="417" t="s">
        <v>24126</v>
      </c>
      <c r="L10835" s="417"/>
      <c r="M10835" s="417" t="s">
        <v>28840</v>
      </c>
    </row>
    <row r="10836" spans="1:13" x14ac:dyDescent="0.25">
      <c r="A10836" s="417" t="s">
        <v>3385</v>
      </c>
      <c r="B10836" s="417" t="s">
        <v>2627</v>
      </c>
      <c r="C10836" s="417" t="s">
        <v>24127</v>
      </c>
      <c r="D10836" s="417" t="s">
        <v>88</v>
      </c>
      <c r="E10836" s="423">
        <v>0.58779824677812498</v>
      </c>
      <c r="F10836" s="423">
        <v>6.8484067088989461E-3</v>
      </c>
      <c r="G10836" s="422">
        <v>3927.3648281197911</v>
      </c>
      <c r="H10836" s="417" t="s">
        <v>2616</v>
      </c>
      <c r="I10836" s="417" t="s">
        <v>1392</v>
      </c>
      <c r="J10836" s="417" t="s">
        <v>4047</v>
      </c>
      <c r="K10836" s="417" t="s">
        <v>24128</v>
      </c>
      <c r="L10836" s="417"/>
      <c r="M10836" s="417" t="s">
        <v>28840</v>
      </c>
    </row>
    <row r="10837" spans="1:13" x14ac:dyDescent="0.25">
      <c r="A10837" s="417" t="s">
        <v>3385</v>
      </c>
      <c r="B10837" s="417" t="s">
        <v>2627</v>
      </c>
      <c r="C10837" s="417" t="s">
        <v>1062</v>
      </c>
      <c r="D10837" s="417" t="s">
        <v>88</v>
      </c>
      <c r="E10837" s="423">
        <v>0.51801348307747375</v>
      </c>
      <c r="F10837" s="423">
        <v>6.4807974419411911E-3</v>
      </c>
      <c r="G10837" s="422">
        <v>3547.429302964249</v>
      </c>
      <c r="H10837" s="417" t="s">
        <v>2616</v>
      </c>
      <c r="I10837" s="417" t="s">
        <v>28841</v>
      </c>
      <c r="J10837" s="417" t="s">
        <v>4047</v>
      </c>
      <c r="K10837" s="417" t="s">
        <v>24129</v>
      </c>
      <c r="L10837" s="417"/>
      <c r="M10837" s="417" t="s">
        <v>28840</v>
      </c>
    </row>
    <row r="10838" spans="1:13" x14ac:dyDescent="0.25">
      <c r="A10838" s="417" t="s">
        <v>3385</v>
      </c>
      <c r="B10838" s="417" t="s">
        <v>2627</v>
      </c>
      <c r="C10838" s="417" t="s">
        <v>24130</v>
      </c>
      <c r="D10838" s="417" t="s">
        <v>88</v>
      </c>
      <c r="E10838" s="423">
        <v>0.47221334808130178</v>
      </c>
      <c r="F10838" s="423">
        <v>6.1954016611548233E-3</v>
      </c>
      <c r="G10838" s="422">
        <v>5067.2103635635367</v>
      </c>
      <c r="H10838" s="417" t="s">
        <v>2616</v>
      </c>
      <c r="I10838" s="417" t="s">
        <v>1392</v>
      </c>
      <c r="J10838" s="417" t="s">
        <v>4047</v>
      </c>
      <c r="K10838" s="417" t="s">
        <v>24131</v>
      </c>
      <c r="L10838" s="417"/>
      <c r="M10838" s="417" t="s">
        <v>28840</v>
      </c>
    </row>
    <row r="10839" spans="1:13" x14ac:dyDescent="0.25">
      <c r="A10839" s="417" t="s">
        <v>3385</v>
      </c>
      <c r="B10839" s="417" t="s">
        <v>2627</v>
      </c>
      <c r="C10839" s="417" t="s">
        <v>24132</v>
      </c>
      <c r="D10839" s="417" t="s">
        <v>88</v>
      </c>
      <c r="E10839" s="423">
        <v>0.59930653775408271</v>
      </c>
      <c r="F10839" s="423">
        <v>1.10510684887815E-2</v>
      </c>
      <c r="G10839" s="422">
        <v>3802.908239607294</v>
      </c>
      <c r="H10839" s="417" t="s">
        <v>2616</v>
      </c>
      <c r="I10839" s="417" t="s">
        <v>1392</v>
      </c>
      <c r="J10839" s="417" t="s">
        <v>11512</v>
      </c>
      <c r="K10839" s="417" t="s">
        <v>24133</v>
      </c>
      <c r="L10839" s="417"/>
      <c r="M10839" s="417" t="s">
        <v>28840</v>
      </c>
    </row>
    <row r="10840" spans="1:13" x14ac:dyDescent="0.25">
      <c r="A10840" s="417" t="s">
        <v>3385</v>
      </c>
      <c r="B10840" s="417" t="s">
        <v>2627</v>
      </c>
      <c r="C10840" s="417" t="s">
        <v>24134</v>
      </c>
      <c r="D10840" s="417" t="s">
        <v>88</v>
      </c>
      <c r="E10840" s="423">
        <v>0.52629034500852456</v>
      </c>
      <c r="F10840" s="423">
        <v>1.062230510892518E-2</v>
      </c>
      <c r="G10840" s="422">
        <v>5174.5144444422967</v>
      </c>
      <c r="H10840" s="417" t="s">
        <v>2616</v>
      </c>
      <c r="I10840" s="417" t="s">
        <v>1392</v>
      </c>
      <c r="J10840" s="417" t="s">
        <v>11512</v>
      </c>
      <c r="K10840" s="417" t="s">
        <v>24135</v>
      </c>
      <c r="L10840" s="417"/>
      <c r="M10840" s="417" t="s">
        <v>28840</v>
      </c>
    </row>
    <row r="10841" spans="1:13" x14ac:dyDescent="0.25">
      <c r="A10841" s="417" t="s">
        <v>3385</v>
      </c>
      <c r="B10841" s="417" t="s">
        <v>2627</v>
      </c>
      <c r="C10841" s="417" t="s">
        <v>24136</v>
      </c>
      <c r="D10841" s="417" t="s">
        <v>88</v>
      </c>
      <c r="E10841" s="423">
        <v>0.5470971484551278</v>
      </c>
      <c r="F10841" s="423">
        <v>9.7860759197610139E-3</v>
      </c>
      <c r="G10841" s="422">
        <v>3613.1800899289151</v>
      </c>
      <c r="H10841" s="417" t="s">
        <v>2616</v>
      </c>
      <c r="I10841" s="417" t="s">
        <v>1392</v>
      </c>
      <c r="J10841" s="417" t="s">
        <v>4054</v>
      </c>
      <c r="K10841" s="417" t="s">
        <v>24137</v>
      </c>
      <c r="L10841" s="417"/>
      <c r="M10841" s="417" t="s">
        <v>28840</v>
      </c>
    </row>
    <row r="10842" spans="1:13" x14ac:dyDescent="0.25">
      <c r="A10842" s="417" t="s">
        <v>3385</v>
      </c>
      <c r="B10842" s="417" t="s">
        <v>2627</v>
      </c>
      <c r="C10842" s="417" t="s">
        <v>24138</v>
      </c>
      <c r="D10842" s="417" t="s">
        <v>88</v>
      </c>
      <c r="E10842" s="423">
        <v>0.50030992909110672</v>
      </c>
      <c r="F10842" s="423">
        <v>9.4633972813561312E-3</v>
      </c>
      <c r="G10842" s="422">
        <v>5130.2895502745268</v>
      </c>
      <c r="H10842" s="417" t="s">
        <v>2616</v>
      </c>
      <c r="I10842" s="417" t="s">
        <v>1392</v>
      </c>
      <c r="J10842" s="417" t="s">
        <v>4054</v>
      </c>
      <c r="K10842" s="417" t="s">
        <v>24139</v>
      </c>
      <c r="L10842" s="417"/>
      <c r="M10842" s="417" t="s">
        <v>28840</v>
      </c>
    </row>
    <row r="10843" spans="1:13" x14ac:dyDescent="0.25">
      <c r="A10843" s="417" t="s">
        <v>3385</v>
      </c>
      <c r="B10843" s="417" t="s">
        <v>2627</v>
      </c>
      <c r="C10843" s="417" t="s">
        <v>24140</v>
      </c>
      <c r="D10843" s="417" t="s">
        <v>88</v>
      </c>
      <c r="E10843" s="423">
        <v>8.9420159879238806E-2</v>
      </c>
      <c r="F10843" s="423">
        <v>1.3399608328880459E-3</v>
      </c>
      <c r="G10843" s="422">
        <v>610.58100656882857</v>
      </c>
      <c r="H10843" s="417" t="s">
        <v>2616</v>
      </c>
      <c r="I10843" s="417" t="s">
        <v>1392</v>
      </c>
      <c r="J10843" s="417" t="s">
        <v>4047</v>
      </c>
      <c r="K10843" s="417" t="s">
        <v>24141</v>
      </c>
      <c r="L10843" s="417"/>
      <c r="M10843" s="417" t="s">
        <v>28840</v>
      </c>
    </row>
    <row r="10844" spans="1:13" x14ac:dyDescent="0.25">
      <c r="A10844" s="417" t="s">
        <v>3385</v>
      </c>
      <c r="B10844" s="417" t="s">
        <v>2627</v>
      </c>
      <c r="C10844" s="417" t="s">
        <v>24142</v>
      </c>
      <c r="D10844" s="417" t="s">
        <v>88</v>
      </c>
      <c r="E10844" s="423">
        <v>8.0117137918680872E-2</v>
      </c>
      <c r="F10844" s="423">
        <v>1.290928806209925E-3</v>
      </c>
      <c r="G10844" s="422">
        <v>554.36095594801827</v>
      </c>
      <c r="H10844" s="417" t="s">
        <v>2616</v>
      </c>
      <c r="I10844" s="417" t="s">
        <v>1392</v>
      </c>
      <c r="J10844" s="417" t="s">
        <v>4047</v>
      </c>
      <c r="K10844" s="417" t="s">
        <v>24143</v>
      </c>
      <c r="L10844" s="417"/>
      <c r="M10844" s="417" t="s">
        <v>28840</v>
      </c>
    </row>
    <row r="10845" spans="1:13" x14ac:dyDescent="0.25">
      <c r="A10845" s="417" t="s">
        <v>3385</v>
      </c>
      <c r="B10845" s="417" t="s">
        <v>2627</v>
      </c>
      <c r="C10845" s="417" t="s">
        <v>24144</v>
      </c>
      <c r="D10845" s="417" t="s">
        <v>88</v>
      </c>
      <c r="E10845" s="423">
        <v>5.4445144841047483E-2</v>
      </c>
      <c r="F10845" s="423">
        <v>1.0084389947677889E-3</v>
      </c>
      <c r="G10845" s="422">
        <v>652.46098618721544</v>
      </c>
      <c r="H10845" s="417" t="s">
        <v>2616</v>
      </c>
      <c r="I10845" s="417" t="s">
        <v>1392</v>
      </c>
      <c r="J10845" s="417" t="s">
        <v>4047</v>
      </c>
      <c r="K10845" s="417" t="s">
        <v>24145</v>
      </c>
      <c r="L10845" s="417"/>
      <c r="M10845" s="417" t="s">
        <v>28840</v>
      </c>
    </row>
    <row r="10846" spans="1:13" x14ac:dyDescent="0.25">
      <c r="A10846" s="417" t="s">
        <v>3385</v>
      </c>
      <c r="B10846" s="417" t="s">
        <v>2627</v>
      </c>
      <c r="C10846" s="417" t="s">
        <v>24146</v>
      </c>
      <c r="D10846" s="417" t="s">
        <v>88</v>
      </c>
      <c r="E10846" s="423">
        <v>0</v>
      </c>
      <c r="F10846" s="423">
        <v>0</v>
      </c>
      <c r="G10846" s="422">
        <v>0</v>
      </c>
      <c r="H10846" s="417" t="s">
        <v>2616</v>
      </c>
      <c r="I10846" s="417" t="s">
        <v>1392</v>
      </c>
      <c r="J10846" s="417" t="s">
        <v>14143</v>
      </c>
      <c r="K10846" s="417" t="s">
        <v>24147</v>
      </c>
      <c r="L10846" s="417"/>
      <c r="M10846" s="417" t="s">
        <v>28840</v>
      </c>
    </row>
    <row r="10847" spans="1:13" x14ac:dyDescent="0.25">
      <c r="A10847" s="417" t="s">
        <v>3385</v>
      </c>
      <c r="B10847" s="417" t="s">
        <v>2627</v>
      </c>
      <c r="C10847" s="417" t="s">
        <v>24148</v>
      </c>
      <c r="D10847" s="417" t="s">
        <v>88</v>
      </c>
      <c r="E10847" s="423">
        <v>0.3452340225250608</v>
      </c>
      <c r="F10847" s="423">
        <v>1.6584456177919479E-2</v>
      </c>
      <c r="G10847" s="422">
        <v>478.69931276752101</v>
      </c>
      <c r="H10847" s="417" t="s">
        <v>2616</v>
      </c>
      <c r="I10847" s="417" t="s">
        <v>1392</v>
      </c>
      <c r="J10847" s="417" t="s">
        <v>3619</v>
      </c>
      <c r="K10847" s="417" t="s">
        <v>24149</v>
      </c>
      <c r="L10847" s="417"/>
      <c r="M10847" s="417" t="s">
        <v>28840</v>
      </c>
    </row>
    <row r="10848" spans="1:13" x14ac:dyDescent="0.25">
      <c r="A10848" s="417" t="s">
        <v>3385</v>
      </c>
      <c r="B10848" s="417" t="s">
        <v>2627</v>
      </c>
      <c r="C10848" s="417" t="s">
        <v>24150</v>
      </c>
      <c r="D10848" s="417" t="s">
        <v>88</v>
      </c>
      <c r="E10848" s="423">
        <v>0.33985047259806112</v>
      </c>
      <c r="F10848" s="423">
        <v>1.632625318546032E-2</v>
      </c>
      <c r="G10848" s="422">
        <v>471.23930127155592</v>
      </c>
      <c r="H10848" s="417" t="s">
        <v>2616</v>
      </c>
      <c r="I10848" s="417" t="s">
        <v>1392</v>
      </c>
      <c r="J10848" s="417" t="s">
        <v>3619</v>
      </c>
      <c r="K10848" s="417" t="s">
        <v>24151</v>
      </c>
      <c r="L10848" s="417"/>
      <c r="M10848" s="417" t="s">
        <v>28840</v>
      </c>
    </row>
    <row r="10849" spans="1:13" x14ac:dyDescent="0.25">
      <c r="A10849" s="417" t="s">
        <v>3385</v>
      </c>
      <c r="B10849" s="417" t="s">
        <v>2627</v>
      </c>
      <c r="C10849" s="417" t="s">
        <v>24152</v>
      </c>
      <c r="D10849" s="417" t="s">
        <v>88</v>
      </c>
      <c r="E10849" s="423">
        <v>1.682848351985049</v>
      </c>
      <c r="F10849" s="423">
        <v>4.8824207821058473E-2</v>
      </c>
      <c r="G10849" s="422">
        <v>2100.546156098796</v>
      </c>
      <c r="H10849" s="417" t="s">
        <v>2616</v>
      </c>
      <c r="I10849" s="417" t="s">
        <v>1392</v>
      </c>
      <c r="J10849" s="417" t="s">
        <v>3619</v>
      </c>
      <c r="K10849" s="417" t="s">
        <v>24153</v>
      </c>
      <c r="L10849" s="417"/>
      <c r="M10849" s="417" t="s">
        <v>28840</v>
      </c>
    </row>
    <row r="10850" spans="1:13" x14ac:dyDescent="0.25">
      <c r="A10850" s="417" t="s">
        <v>3385</v>
      </c>
      <c r="B10850" s="417" t="s">
        <v>2627</v>
      </c>
      <c r="C10850" s="417" t="s">
        <v>970</v>
      </c>
      <c r="D10850" s="417" t="s">
        <v>88</v>
      </c>
      <c r="E10850" s="423">
        <v>1.3630508126802361</v>
      </c>
      <c r="F10850" s="423">
        <v>3.0150441347746249E-2</v>
      </c>
      <c r="G10850" s="422">
        <v>2797.1215371695162</v>
      </c>
      <c r="H10850" s="417" t="s">
        <v>2616</v>
      </c>
      <c r="I10850" s="417" t="s">
        <v>28841</v>
      </c>
      <c r="J10850" s="417" t="s">
        <v>3396</v>
      </c>
      <c r="K10850" s="417" t="s">
        <v>24154</v>
      </c>
      <c r="L10850" s="417"/>
      <c r="M10850" s="417" t="s">
        <v>28840</v>
      </c>
    </row>
    <row r="10851" spans="1:13" x14ac:dyDescent="0.25">
      <c r="A10851" s="417" t="s">
        <v>3385</v>
      </c>
      <c r="B10851" s="417" t="s">
        <v>2627</v>
      </c>
      <c r="C10851" s="417" t="s">
        <v>24155</v>
      </c>
      <c r="D10851" s="417" t="s">
        <v>88</v>
      </c>
      <c r="E10851" s="423">
        <v>0.97498339179586258</v>
      </c>
      <c r="F10851" s="423">
        <v>0.27312227958584162</v>
      </c>
      <c r="G10851" s="422">
        <v>1689.092541689841</v>
      </c>
      <c r="H10851" s="417" t="s">
        <v>2616</v>
      </c>
      <c r="I10851" s="417" t="s">
        <v>1392</v>
      </c>
      <c r="J10851" s="417" t="s">
        <v>5179</v>
      </c>
      <c r="K10851" s="417" t="s">
        <v>24156</v>
      </c>
      <c r="L10851" s="417"/>
      <c r="M10851" s="417" t="s">
        <v>28840</v>
      </c>
    </row>
    <row r="10852" spans="1:13" x14ac:dyDescent="0.25">
      <c r="A10852" s="417" t="s">
        <v>3385</v>
      </c>
      <c r="B10852" s="417" t="s">
        <v>2627</v>
      </c>
      <c r="C10852" s="417" t="s">
        <v>24157</v>
      </c>
      <c r="D10852" s="417" t="s">
        <v>989</v>
      </c>
      <c r="E10852" s="423">
        <v>3811066.3322813362</v>
      </c>
      <c r="F10852" s="423">
        <v>117010.0596280059</v>
      </c>
      <c r="G10852" s="422">
        <v>7817215076.1264</v>
      </c>
      <c r="H10852" s="417" t="s">
        <v>2616</v>
      </c>
      <c r="I10852" s="417" t="s">
        <v>1392</v>
      </c>
      <c r="J10852" s="417" t="s">
        <v>3937</v>
      </c>
      <c r="K10852" s="417" t="s">
        <v>24158</v>
      </c>
      <c r="L10852" s="417"/>
      <c r="M10852" s="417" t="s">
        <v>28840</v>
      </c>
    </row>
    <row r="10853" spans="1:13" x14ac:dyDescent="0.25">
      <c r="A10853" s="417" t="s">
        <v>3385</v>
      </c>
      <c r="B10853" s="417" t="s">
        <v>2627</v>
      </c>
      <c r="C10853" s="417" t="s">
        <v>24159</v>
      </c>
      <c r="D10853" s="417" t="s">
        <v>989</v>
      </c>
      <c r="E10853" s="423">
        <v>4569816.6538485559</v>
      </c>
      <c r="F10853" s="423">
        <v>137420.73342315719</v>
      </c>
      <c r="G10853" s="422">
        <v>11795195842.73827</v>
      </c>
      <c r="H10853" s="417" t="s">
        <v>2616</v>
      </c>
      <c r="I10853" s="417" t="s">
        <v>1392</v>
      </c>
      <c r="J10853" s="417" t="s">
        <v>3937</v>
      </c>
      <c r="K10853" s="417" t="s">
        <v>24160</v>
      </c>
      <c r="L10853" s="417"/>
      <c r="M10853" s="417" t="s">
        <v>28840</v>
      </c>
    </row>
    <row r="10854" spans="1:13" x14ac:dyDescent="0.25">
      <c r="A10854" s="417" t="s">
        <v>3385</v>
      </c>
      <c r="B10854" s="417" t="s">
        <v>2627</v>
      </c>
      <c r="C10854" s="417" t="s">
        <v>24161</v>
      </c>
      <c r="D10854" s="417" t="s">
        <v>989</v>
      </c>
      <c r="E10854" s="423">
        <v>1649678.415258866</v>
      </c>
      <c r="F10854" s="423">
        <v>43929.502604297923</v>
      </c>
      <c r="G10854" s="422">
        <v>3326858345.492095</v>
      </c>
      <c r="H10854" s="417" t="s">
        <v>2616</v>
      </c>
      <c r="I10854" s="417" t="s">
        <v>1392</v>
      </c>
      <c r="J10854" s="417" t="s">
        <v>3937</v>
      </c>
      <c r="K10854" s="417" t="s">
        <v>24162</v>
      </c>
      <c r="L10854" s="417"/>
      <c r="M10854" s="417" t="s">
        <v>28840</v>
      </c>
    </row>
    <row r="10855" spans="1:13" x14ac:dyDescent="0.25">
      <c r="A10855" s="417" t="s">
        <v>3385</v>
      </c>
      <c r="B10855" s="417" t="s">
        <v>2627</v>
      </c>
      <c r="C10855" s="417" t="s">
        <v>24163</v>
      </c>
      <c r="D10855" s="417" t="s">
        <v>989</v>
      </c>
      <c r="E10855" s="423">
        <v>4394286.2553678704</v>
      </c>
      <c r="F10855" s="423">
        <v>129485.4674688699</v>
      </c>
      <c r="G10855" s="422">
        <v>9530744159.1327286</v>
      </c>
      <c r="H10855" s="417" t="s">
        <v>2616</v>
      </c>
      <c r="I10855" s="417" t="s">
        <v>1392</v>
      </c>
      <c r="J10855" s="417" t="s">
        <v>3937</v>
      </c>
      <c r="K10855" s="417" t="s">
        <v>24164</v>
      </c>
      <c r="L10855" s="417"/>
      <c r="M10855" s="417" t="s">
        <v>28840</v>
      </c>
    </row>
    <row r="10856" spans="1:13" x14ac:dyDescent="0.25">
      <c r="A10856" s="417" t="s">
        <v>3385</v>
      </c>
      <c r="B10856" s="417" t="s">
        <v>2627</v>
      </c>
      <c r="C10856" s="417" t="s">
        <v>24165</v>
      </c>
      <c r="D10856" s="417" t="s">
        <v>989</v>
      </c>
      <c r="E10856" s="423">
        <v>5938557.8076057257</v>
      </c>
      <c r="F10856" s="423">
        <v>192956.17676443351</v>
      </c>
      <c r="G10856" s="422">
        <v>13876470737.436029</v>
      </c>
      <c r="H10856" s="417" t="s">
        <v>2616</v>
      </c>
      <c r="I10856" s="417" t="s">
        <v>1392</v>
      </c>
      <c r="J10856" s="417" t="s">
        <v>3937</v>
      </c>
      <c r="K10856" s="417" t="s">
        <v>24166</v>
      </c>
      <c r="L10856" s="417"/>
      <c r="M10856" s="417" t="s">
        <v>28840</v>
      </c>
    </row>
    <row r="10857" spans="1:13" x14ac:dyDescent="0.25">
      <c r="A10857" s="417" t="s">
        <v>3385</v>
      </c>
      <c r="B10857" s="417" t="s">
        <v>2627</v>
      </c>
      <c r="C10857" s="417" t="s">
        <v>24167</v>
      </c>
      <c r="D10857" s="417" t="s">
        <v>989</v>
      </c>
      <c r="E10857" s="423">
        <v>1898205.438534325</v>
      </c>
      <c r="F10857" s="423">
        <v>48902.487025677139</v>
      </c>
      <c r="G10857" s="422">
        <v>3873904421.9638801</v>
      </c>
      <c r="H10857" s="417" t="s">
        <v>2616</v>
      </c>
      <c r="I10857" s="417" t="s">
        <v>1392</v>
      </c>
      <c r="J10857" s="417" t="s">
        <v>3937</v>
      </c>
      <c r="K10857" s="417" t="s">
        <v>24168</v>
      </c>
      <c r="L10857" s="417"/>
      <c r="M10857" s="417" t="s">
        <v>28840</v>
      </c>
    </row>
    <row r="10858" spans="1:13" x14ac:dyDescent="0.25">
      <c r="A10858" s="417" t="s">
        <v>3385</v>
      </c>
      <c r="B10858" s="417" t="s">
        <v>2627</v>
      </c>
      <c r="C10858" s="417" t="s">
        <v>24169</v>
      </c>
      <c r="D10858" s="417" t="s">
        <v>989</v>
      </c>
      <c r="E10858" s="423">
        <v>300928.5702019881</v>
      </c>
      <c r="F10858" s="423">
        <v>15176.53721141154</v>
      </c>
      <c r="G10858" s="422">
        <v>541824460.50441813</v>
      </c>
      <c r="H10858" s="417" t="s">
        <v>2616</v>
      </c>
      <c r="I10858" s="417" t="s">
        <v>1392</v>
      </c>
      <c r="J10858" s="417" t="s">
        <v>3937</v>
      </c>
      <c r="K10858" s="417" t="s">
        <v>24170</v>
      </c>
      <c r="L10858" s="417"/>
      <c r="M10858" s="417" t="s">
        <v>28840</v>
      </c>
    </row>
    <row r="10859" spans="1:13" x14ac:dyDescent="0.25">
      <c r="A10859" s="417" t="s">
        <v>3385</v>
      </c>
      <c r="B10859" s="417" t="s">
        <v>2627</v>
      </c>
      <c r="C10859" s="417" t="s">
        <v>24171</v>
      </c>
      <c r="D10859" s="417" t="s">
        <v>989</v>
      </c>
      <c r="E10859" s="423">
        <v>922597.10502137477</v>
      </c>
      <c r="F10859" s="423">
        <v>27615.4534493707</v>
      </c>
      <c r="G10859" s="422">
        <v>2212397307.8533182</v>
      </c>
      <c r="H10859" s="417" t="s">
        <v>2616</v>
      </c>
      <c r="I10859" s="417" t="s">
        <v>1392</v>
      </c>
      <c r="J10859" s="417" t="s">
        <v>3937</v>
      </c>
      <c r="K10859" s="417" t="s">
        <v>24172</v>
      </c>
      <c r="L10859" s="417"/>
      <c r="M10859" s="417" t="s">
        <v>28840</v>
      </c>
    </row>
    <row r="10860" spans="1:13" x14ac:dyDescent="0.25">
      <c r="A10860" s="417" t="s">
        <v>3385</v>
      </c>
      <c r="B10860" s="417" t="s">
        <v>2627</v>
      </c>
      <c r="C10860" s="417" t="s">
        <v>24173</v>
      </c>
      <c r="D10860" s="417" t="s">
        <v>989</v>
      </c>
      <c r="E10860" s="423">
        <v>449099.56917493761</v>
      </c>
      <c r="F10860" s="423">
        <v>21407.00437046251</v>
      </c>
      <c r="G10860" s="422">
        <v>842793334.86620903</v>
      </c>
      <c r="H10860" s="417" t="s">
        <v>2616</v>
      </c>
      <c r="I10860" s="417" t="s">
        <v>1392</v>
      </c>
      <c r="J10860" s="417" t="s">
        <v>3937</v>
      </c>
      <c r="K10860" s="417" t="s">
        <v>24174</v>
      </c>
      <c r="L10860" s="417"/>
      <c r="M10860" s="417" t="s">
        <v>28840</v>
      </c>
    </row>
    <row r="10861" spans="1:13" x14ac:dyDescent="0.25">
      <c r="A10861" s="417" t="s">
        <v>3385</v>
      </c>
      <c r="B10861" s="417" t="s">
        <v>2627</v>
      </c>
      <c r="C10861" s="417" t="s">
        <v>24175</v>
      </c>
      <c r="D10861" s="417" t="s">
        <v>989</v>
      </c>
      <c r="E10861" s="423">
        <v>402729.15562820039</v>
      </c>
      <c r="F10861" s="423">
        <v>11282.75192160095</v>
      </c>
      <c r="G10861" s="422">
        <v>828668459.1301502</v>
      </c>
      <c r="H10861" s="417" t="s">
        <v>2616</v>
      </c>
      <c r="I10861" s="417" t="s">
        <v>1392</v>
      </c>
      <c r="J10861" s="417" t="s">
        <v>3937</v>
      </c>
      <c r="K10861" s="417" t="s">
        <v>24176</v>
      </c>
      <c r="L10861" s="417"/>
      <c r="M10861" s="417" t="s">
        <v>28840</v>
      </c>
    </row>
    <row r="10862" spans="1:13" x14ac:dyDescent="0.25">
      <c r="A10862" s="417" t="s">
        <v>3385</v>
      </c>
      <c r="B10862" s="417" t="s">
        <v>2627</v>
      </c>
      <c r="C10862" s="417" t="s">
        <v>24177</v>
      </c>
      <c r="D10862" s="417" t="s">
        <v>989</v>
      </c>
      <c r="E10862" s="423">
        <v>419223.76380416763</v>
      </c>
      <c r="F10862" s="423">
        <v>20650.952818700949</v>
      </c>
      <c r="G10862" s="422">
        <v>811157932.17095542</v>
      </c>
      <c r="H10862" s="417" t="s">
        <v>2616</v>
      </c>
      <c r="I10862" s="417" t="s">
        <v>1392</v>
      </c>
      <c r="J10862" s="417" t="s">
        <v>3937</v>
      </c>
      <c r="K10862" s="417" t="s">
        <v>24178</v>
      </c>
      <c r="L10862" s="417"/>
      <c r="M10862" s="417" t="s">
        <v>28840</v>
      </c>
    </row>
    <row r="10863" spans="1:13" x14ac:dyDescent="0.25">
      <c r="A10863" s="417" t="s">
        <v>3385</v>
      </c>
      <c r="B10863" s="417" t="s">
        <v>2627</v>
      </c>
      <c r="C10863" s="417" t="s">
        <v>24179</v>
      </c>
      <c r="D10863" s="417" t="s">
        <v>989</v>
      </c>
      <c r="E10863" s="423">
        <v>771462.81089512969</v>
      </c>
      <c r="F10863" s="423">
        <v>27549.692047474331</v>
      </c>
      <c r="G10863" s="422">
        <v>1693738648.1977079</v>
      </c>
      <c r="H10863" s="417" t="s">
        <v>2616</v>
      </c>
      <c r="I10863" s="417" t="s">
        <v>1392</v>
      </c>
      <c r="J10863" s="417" t="s">
        <v>3937</v>
      </c>
      <c r="K10863" s="417" t="s">
        <v>24180</v>
      </c>
      <c r="L10863" s="417"/>
      <c r="M10863" s="417" t="s">
        <v>28840</v>
      </c>
    </row>
    <row r="10864" spans="1:13" x14ac:dyDescent="0.25">
      <c r="A10864" s="417" t="s">
        <v>3385</v>
      </c>
      <c r="B10864" s="417" t="s">
        <v>2627</v>
      </c>
      <c r="C10864" s="417" t="s">
        <v>24181</v>
      </c>
      <c r="D10864" s="417" t="s">
        <v>989</v>
      </c>
      <c r="E10864" s="423">
        <v>819017.50563794642</v>
      </c>
      <c r="F10864" s="423">
        <v>22261.193265917591</v>
      </c>
      <c r="G10864" s="422">
        <v>1624267767.9505</v>
      </c>
      <c r="H10864" s="417" t="s">
        <v>2616</v>
      </c>
      <c r="I10864" s="417" t="s">
        <v>1392</v>
      </c>
      <c r="J10864" s="417" t="s">
        <v>3937</v>
      </c>
      <c r="K10864" s="417" t="s">
        <v>24182</v>
      </c>
      <c r="L10864" s="417"/>
      <c r="M10864" s="417" t="s">
        <v>28840</v>
      </c>
    </row>
    <row r="10865" spans="1:13" x14ac:dyDescent="0.25">
      <c r="A10865" s="417" t="s">
        <v>3385</v>
      </c>
      <c r="B10865" s="417" t="s">
        <v>2627</v>
      </c>
      <c r="C10865" s="417" t="s">
        <v>24183</v>
      </c>
      <c r="D10865" s="417" t="s">
        <v>989</v>
      </c>
      <c r="E10865" s="423">
        <v>427648.8512579964</v>
      </c>
      <c r="F10865" s="423">
        <v>20860.852110393658</v>
      </c>
      <c r="G10865" s="422">
        <v>774688241.81237626</v>
      </c>
      <c r="H10865" s="417" t="s">
        <v>2616</v>
      </c>
      <c r="I10865" s="417" t="s">
        <v>1392</v>
      </c>
      <c r="J10865" s="417" t="s">
        <v>3937</v>
      </c>
      <c r="K10865" s="417" t="s">
        <v>24184</v>
      </c>
      <c r="L10865" s="417"/>
      <c r="M10865" s="417" t="s">
        <v>28840</v>
      </c>
    </row>
    <row r="10866" spans="1:13" x14ac:dyDescent="0.25">
      <c r="A10866" s="417" t="s">
        <v>3385</v>
      </c>
      <c r="B10866" s="417" t="s">
        <v>2627</v>
      </c>
      <c r="C10866" s="417" t="s">
        <v>24185</v>
      </c>
      <c r="D10866" s="417" t="s">
        <v>989</v>
      </c>
      <c r="E10866" s="423">
        <v>932778.50419077021</v>
      </c>
      <c r="F10866" s="423">
        <v>34009.54317585368</v>
      </c>
      <c r="G10866" s="422">
        <v>2311874525.1492538</v>
      </c>
      <c r="H10866" s="417" t="s">
        <v>2616</v>
      </c>
      <c r="I10866" s="417" t="s">
        <v>1392</v>
      </c>
      <c r="J10866" s="417" t="s">
        <v>3937</v>
      </c>
      <c r="K10866" s="417" t="s">
        <v>24186</v>
      </c>
      <c r="L10866" s="417"/>
      <c r="M10866" s="417" t="s">
        <v>28840</v>
      </c>
    </row>
    <row r="10867" spans="1:13" x14ac:dyDescent="0.25">
      <c r="A10867" s="417" t="s">
        <v>3385</v>
      </c>
      <c r="B10867" s="417" t="s">
        <v>2627</v>
      </c>
      <c r="C10867" s="417" t="s">
        <v>24187</v>
      </c>
      <c r="D10867" s="417" t="s">
        <v>989</v>
      </c>
      <c r="E10867" s="423">
        <v>677012.64981833135</v>
      </c>
      <c r="F10867" s="423">
        <v>18493.659820540001</v>
      </c>
      <c r="G10867" s="422">
        <v>1344290048.3946569</v>
      </c>
      <c r="H10867" s="417" t="s">
        <v>2616</v>
      </c>
      <c r="I10867" s="417" t="s">
        <v>1392</v>
      </c>
      <c r="J10867" s="417" t="s">
        <v>3937</v>
      </c>
      <c r="K10867" s="417" t="s">
        <v>24188</v>
      </c>
      <c r="L10867" s="417"/>
      <c r="M10867" s="417" t="s">
        <v>28840</v>
      </c>
    </row>
    <row r="10868" spans="1:13" x14ac:dyDescent="0.25">
      <c r="A10868" s="417" t="s">
        <v>3385</v>
      </c>
      <c r="B10868" s="417" t="s">
        <v>2627</v>
      </c>
      <c r="C10868" s="417" t="s">
        <v>24189</v>
      </c>
      <c r="D10868" s="417" t="s">
        <v>989</v>
      </c>
      <c r="E10868" s="423">
        <v>3454161.5974154612</v>
      </c>
      <c r="F10868" s="423">
        <v>85179.023385822249</v>
      </c>
      <c r="G10868" s="422">
        <v>7457185591.656723</v>
      </c>
      <c r="H10868" s="417" t="s">
        <v>2616</v>
      </c>
      <c r="I10868" s="417" t="s">
        <v>1392</v>
      </c>
      <c r="J10868" s="417" t="s">
        <v>3937</v>
      </c>
      <c r="K10868" s="417" t="s">
        <v>24190</v>
      </c>
      <c r="L10868" s="417"/>
      <c r="M10868" s="417" t="s">
        <v>28840</v>
      </c>
    </row>
    <row r="10869" spans="1:13" x14ac:dyDescent="0.25">
      <c r="A10869" s="417" t="s">
        <v>3385</v>
      </c>
      <c r="B10869" s="417" t="s">
        <v>2627</v>
      </c>
      <c r="C10869" s="417" t="s">
        <v>24191</v>
      </c>
      <c r="D10869" s="417" t="s">
        <v>989</v>
      </c>
      <c r="E10869" s="423">
        <v>2637605.7130962871</v>
      </c>
      <c r="F10869" s="423">
        <v>66206.917436445816</v>
      </c>
      <c r="G10869" s="422">
        <v>6427725420.2850142</v>
      </c>
      <c r="H10869" s="417" t="s">
        <v>2616</v>
      </c>
      <c r="I10869" s="417" t="s">
        <v>1392</v>
      </c>
      <c r="J10869" s="417" t="s">
        <v>3937</v>
      </c>
      <c r="K10869" s="417" t="s">
        <v>24192</v>
      </c>
      <c r="L10869" s="417"/>
      <c r="M10869" s="417" t="s">
        <v>28840</v>
      </c>
    </row>
    <row r="10870" spans="1:13" x14ac:dyDescent="0.25">
      <c r="A10870" s="417" t="s">
        <v>3385</v>
      </c>
      <c r="B10870" s="417" t="s">
        <v>2627</v>
      </c>
      <c r="C10870" s="417" t="s">
        <v>24193</v>
      </c>
      <c r="D10870" s="417" t="s">
        <v>989</v>
      </c>
      <c r="E10870" s="423">
        <v>742680.78570419853</v>
      </c>
      <c r="F10870" s="423">
        <v>18095.521376492161</v>
      </c>
      <c r="G10870" s="422">
        <v>1532058759.843435</v>
      </c>
      <c r="H10870" s="417" t="s">
        <v>2616</v>
      </c>
      <c r="I10870" s="417" t="s">
        <v>1392</v>
      </c>
      <c r="J10870" s="417" t="s">
        <v>3937</v>
      </c>
      <c r="K10870" s="417" t="s">
        <v>24194</v>
      </c>
      <c r="L10870" s="417"/>
      <c r="M10870" s="417" t="s">
        <v>28840</v>
      </c>
    </row>
    <row r="10871" spans="1:13" x14ac:dyDescent="0.25">
      <c r="A10871" s="417" t="s">
        <v>3385</v>
      </c>
      <c r="B10871" s="417" t="s">
        <v>2627</v>
      </c>
      <c r="C10871" s="417" t="s">
        <v>24195</v>
      </c>
      <c r="D10871" s="417" t="s">
        <v>989</v>
      </c>
      <c r="E10871" s="423">
        <v>722227.73092194693</v>
      </c>
      <c r="F10871" s="423">
        <v>35536.878921730808</v>
      </c>
      <c r="G10871" s="422">
        <v>1333940947.040612</v>
      </c>
      <c r="H10871" s="417" t="s">
        <v>2616</v>
      </c>
      <c r="I10871" s="417" t="s">
        <v>1392</v>
      </c>
      <c r="J10871" s="417" t="s">
        <v>3937</v>
      </c>
      <c r="K10871" s="417" t="s">
        <v>24196</v>
      </c>
      <c r="L10871" s="417"/>
      <c r="M10871" s="417" t="s">
        <v>28840</v>
      </c>
    </row>
    <row r="10872" spans="1:13" x14ac:dyDescent="0.25">
      <c r="A10872" s="417" t="s">
        <v>3385</v>
      </c>
      <c r="B10872" s="417" t="s">
        <v>2627</v>
      </c>
      <c r="C10872" s="417" t="s">
        <v>24197</v>
      </c>
      <c r="D10872" s="417" t="s">
        <v>989</v>
      </c>
      <c r="E10872" s="423">
        <v>1346742.396999629</v>
      </c>
      <c r="F10872" s="423">
        <v>48919.269627175083</v>
      </c>
      <c r="G10872" s="422">
        <v>3345667170.2328191</v>
      </c>
      <c r="H10872" s="417" t="s">
        <v>2616</v>
      </c>
      <c r="I10872" s="417" t="s">
        <v>1392</v>
      </c>
      <c r="J10872" s="417" t="s">
        <v>3937</v>
      </c>
      <c r="K10872" s="417" t="s">
        <v>24198</v>
      </c>
      <c r="L10872" s="417"/>
      <c r="M10872" s="417" t="s">
        <v>28840</v>
      </c>
    </row>
    <row r="10873" spans="1:13" x14ac:dyDescent="0.25">
      <c r="A10873" s="417" t="s">
        <v>3385</v>
      </c>
      <c r="B10873" s="417" t="s">
        <v>2627</v>
      </c>
      <c r="C10873" s="417" t="s">
        <v>24199</v>
      </c>
      <c r="D10873" s="417" t="s">
        <v>989</v>
      </c>
      <c r="E10873" s="423">
        <v>1312267.961294356</v>
      </c>
      <c r="F10873" s="423">
        <v>35875.897050026317</v>
      </c>
      <c r="G10873" s="422">
        <v>2606422371.3683338</v>
      </c>
      <c r="H10873" s="417" t="s">
        <v>2616</v>
      </c>
      <c r="I10873" s="417" t="s">
        <v>1392</v>
      </c>
      <c r="J10873" s="417" t="s">
        <v>3937</v>
      </c>
      <c r="K10873" s="417" t="s">
        <v>24200</v>
      </c>
      <c r="L10873" s="417"/>
      <c r="M10873" s="417" t="s">
        <v>28840</v>
      </c>
    </row>
    <row r="10874" spans="1:13" x14ac:dyDescent="0.25">
      <c r="A10874" s="417" t="s">
        <v>3385</v>
      </c>
      <c r="B10874" s="417" t="s">
        <v>2627</v>
      </c>
      <c r="C10874" s="417" t="s">
        <v>24201</v>
      </c>
      <c r="D10874" s="417" t="s">
        <v>563</v>
      </c>
      <c r="E10874" s="423">
        <v>173.3935736693301</v>
      </c>
      <c r="F10874" s="423">
        <v>7.0603543699999998</v>
      </c>
      <c r="G10874" s="422">
        <v>599198.67268841714</v>
      </c>
      <c r="H10874" s="417" t="s">
        <v>2616</v>
      </c>
      <c r="I10874" s="417" t="s">
        <v>1392</v>
      </c>
      <c r="J10874" s="417" t="s">
        <v>6259</v>
      </c>
      <c r="K10874" s="417" t="s">
        <v>24202</v>
      </c>
      <c r="L10874" s="417"/>
      <c r="M10874" s="417" t="s">
        <v>28840</v>
      </c>
    </row>
    <row r="10875" spans="1:13" x14ac:dyDescent="0.25">
      <c r="A10875" s="417" t="s">
        <v>3385</v>
      </c>
      <c r="B10875" s="417" t="s">
        <v>2627</v>
      </c>
      <c r="C10875" s="417" t="s">
        <v>24203</v>
      </c>
      <c r="D10875" s="417" t="s">
        <v>563</v>
      </c>
      <c r="E10875" s="423">
        <v>304.39027936709158</v>
      </c>
      <c r="F10875" s="423">
        <v>7.4198557526535014</v>
      </c>
      <c r="G10875" s="422">
        <v>607789.53779257706</v>
      </c>
      <c r="H10875" s="417" t="s">
        <v>2616</v>
      </c>
      <c r="I10875" s="417" t="s">
        <v>1392</v>
      </c>
      <c r="J10875" s="417" t="s">
        <v>24204</v>
      </c>
      <c r="K10875" s="417" t="s">
        <v>24205</v>
      </c>
      <c r="L10875" s="417"/>
      <c r="M10875" s="417" t="s">
        <v>28840</v>
      </c>
    </row>
    <row r="10876" spans="1:13" x14ac:dyDescent="0.25">
      <c r="A10876" s="417" t="s">
        <v>3385</v>
      </c>
      <c r="B10876" s="417" t="s">
        <v>2627</v>
      </c>
      <c r="C10876" s="417" t="s">
        <v>24206</v>
      </c>
      <c r="D10876" s="417" t="s">
        <v>563</v>
      </c>
      <c r="E10876" s="423">
        <v>304.39027936804678</v>
      </c>
      <c r="F10876" s="423">
        <v>7.4198557525804416</v>
      </c>
      <c r="G10876" s="422">
        <v>607789.47884385905</v>
      </c>
      <c r="H10876" s="417" t="s">
        <v>2616</v>
      </c>
      <c r="I10876" s="417" t="s">
        <v>1392</v>
      </c>
      <c r="J10876" s="417" t="s">
        <v>24204</v>
      </c>
      <c r="K10876" s="417" t="s">
        <v>24207</v>
      </c>
      <c r="L10876" s="417"/>
      <c r="M10876" s="417" t="s">
        <v>28840</v>
      </c>
    </row>
    <row r="10877" spans="1:13" x14ac:dyDescent="0.25">
      <c r="A10877" s="417" t="s">
        <v>3385</v>
      </c>
      <c r="B10877" s="417" t="s">
        <v>2627</v>
      </c>
      <c r="C10877" s="417" t="s">
        <v>24208</v>
      </c>
      <c r="D10877" s="417" t="s">
        <v>563</v>
      </c>
      <c r="E10877" s="423">
        <v>248.38030115712121</v>
      </c>
      <c r="F10877" s="423">
        <v>15.236083989801649</v>
      </c>
      <c r="G10877" s="422">
        <v>482632.53282248188</v>
      </c>
      <c r="H10877" s="417" t="s">
        <v>2616</v>
      </c>
      <c r="I10877" s="417" t="s">
        <v>1392</v>
      </c>
      <c r="J10877" s="417" t="s">
        <v>24204</v>
      </c>
      <c r="K10877" s="417" t="s">
        <v>24209</v>
      </c>
      <c r="L10877" s="417"/>
      <c r="M10877" s="417" t="s">
        <v>28840</v>
      </c>
    </row>
    <row r="10878" spans="1:13" x14ac:dyDescent="0.25">
      <c r="A10878" s="417" t="s">
        <v>3385</v>
      </c>
      <c r="B10878" s="417" t="s">
        <v>2627</v>
      </c>
      <c r="C10878" s="417" t="s">
        <v>24210</v>
      </c>
      <c r="D10878" s="417" t="s">
        <v>563</v>
      </c>
      <c r="E10878" s="423">
        <v>246.50803389983469</v>
      </c>
      <c r="F10878" s="423">
        <v>126.624606783196</v>
      </c>
      <c r="G10878" s="422">
        <v>561027.51600492804</v>
      </c>
      <c r="H10878" s="417" t="s">
        <v>2616</v>
      </c>
      <c r="I10878" s="417" t="s">
        <v>1392</v>
      </c>
      <c r="J10878" s="417" t="s">
        <v>6259</v>
      </c>
      <c r="K10878" s="417" t="s">
        <v>24211</v>
      </c>
      <c r="L10878" s="417"/>
      <c r="M10878" s="417" t="s">
        <v>28840</v>
      </c>
    </row>
    <row r="10879" spans="1:13" x14ac:dyDescent="0.25">
      <c r="A10879" s="417" t="s">
        <v>3385</v>
      </c>
      <c r="B10879" s="417" t="s">
        <v>2627</v>
      </c>
      <c r="C10879" s="417" t="s">
        <v>24212</v>
      </c>
      <c r="D10879" s="417" t="s">
        <v>563</v>
      </c>
      <c r="E10879" s="423">
        <v>39.821695206503037</v>
      </c>
      <c r="F10879" s="423">
        <v>20.455313368720969</v>
      </c>
      <c r="G10879" s="422">
        <v>90630.022640254363</v>
      </c>
      <c r="H10879" s="417" t="s">
        <v>2616</v>
      </c>
      <c r="I10879" s="417" t="s">
        <v>1392</v>
      </c>
      <c r="J10879" s="417" t="s">
        <v>6259</v>
      </c>
      <c r="K10879" s="417" t="s">
        <v>24213</v>
      </c>
      <c r="L10879" s="417"/>
      <c r="M10879" s="417" t="s">
        <v>28840</v>
      </c>
    </row>
    <row r="10880" spans="1:13" x14ac:dyDescent="0.25">
      <c r="A10880" s="417" t="s">
        <v>3385</v>
      </c>
      <c r="B10880" s="417" t="s">
        <v>2627</v>
      </c>
      <c r="C10880" s="417" t="s">
        <v>24214</v>
      </c>
      <c r="D10880" s="417" t="s">
        <v>563</v>
      </c>
      <c r="E10880" s="423">
        <v>247.83219445838901</v>
      </c>
      <c r="F10880" s="423">
        <v>126.7656710476723</v>
      </c>
      <c r="G10880" s="422">
        <v>561664.78041755303</v>
      </c>
      <c r="H10880" s="417" t="s">
        <v>2616</v>
      </c>
      <c r="I10880" s="417" t="s">
        <v>1392</v>
      </c>
      <c r="J10880" s="417" t="s">
        <v>6259</v>
      </c>
      <c r="K10880" s="417" t="s">
        <v>24215</v>
      </c>
      <c r="L10880" s="417"/>
      <c r="M10880" s="417" t="s">
        <v>28840</v>
      </c>
    </row>
    <row r="10881" spans="1:13" x14ac:dyDescent="0.25">
      <c r="A10881" s="417" t="s">
        <v>3385</v>
      </c>
      <c r="B10881" s="417" t="s">
        <v>2627</v>
      </c>
      <c r="C10881" s="417" t="s">
        <v>24216</v>
      </c>
      <c r="D10881" s="417" t="s">
        <v>563</v>
      </c>
      <c r="E10881" s="423">
        <v>40.036132294338607</v>
      </c>
      <c r="F10881" s="423">
        <v>20.47811414848757</v>
      </c>
      <c r="G10881" s="422">
        <v>90734.04628520651</v>
      </c>
      <c r="H10881" s="417" t="s">
        <v>2616</v>
      </c>
      <c r="I10881" s="417" t="s">
        <v>1392</v>
      </c>
      <c r="J10881" s="417" t="s">
        <v>6259</v>
      </c>
      <c r="K10881" s="417" t="s">
        <v>24217</v>
      </c>
      <c r="L10881" s="417"/>
      <c r="M10881" s="417" t="s">
        <v>28840</v>
      </c>
    </row>
    <row r="10882" spans="1:13" x14ac:dyDescent="0.25">
      <c r="A10882" s="417" t="s">
        <v>3385</v>
      </c>
      <c r="B10882" s="417" t="s">
        <v>2627</v>
      </c>
      <c r="C10882" s="417" t="s">
        <v>24218</v>
      </c>
      <c r="D10882" s="417" t="s">
        <v>563</v>
      </c>
      <c r="E10882" s="423">
        <v>331.67461459979319</v>
      </c>
      <c r="F10882" s="423">
        <v>129.10769762832339</v>
      </c>
      <c r="G10882" s="422">
        <v>731219.22997184354</v>
      </c>
      <c r="H10882" s="417" t="s">
        <v>2616</v>
      </c>
      <c r="I10882" s="417" t="s">
        <v>1392</v>
      </c>
      <c r="J10882" s="417" t="s">
        <v>6259</v>
      </c>
      <c r="K10882" s="417" t="s">
        <v>24219</v>
      </c>
      <c r="L10882" s="417"/>
      <c r="M10882" s="417" t="s">
        <v>28840</v>
      </c>
    </row>
    <row r="10883" spans="1:13" x14ac:dyDescent="0.25">
      <c r="A10883" s="417" t="s">
        <v>3385</v>
      </c>
      <c r="B10883" s="417" t="s">
        <v>2627</v>
      </c>
      <c r="C10883" s="417" t="s">
        <v>24220</v>
      </c>
      <c r="D10883" s="417" t="s">
        <v>563</v>
      </c>
      <c r="E10883" s="423">
        <v>53.580550997938737</v>
      </c>
      <c r="F10883" s="423">
        <v>20.856459756025149</v>
      </c>
      <c r="G10883" s="422">
        <v>118124.9104800581</v>
      </c>
      <c r="H10883" s="417" t="s">
        <v>2616</v>
      </c>
      <c r="I10883" s="417" t="s">
        <v>1392</v>
      </c>
      <c r="J10883" s="417" t="s">
        <v>6259</v>
      </c>
      <c r="K10883" s="417" t="s">
        <v>24221</v>
      </c>
      <c r="L10883" s="417"/>
      <c r="M10883" s="417" t="s">
        <v>28840</v>
      </c>
    </row>
    <row r="10884" spans="1:13" x14ac:dyDescent="0.25">
      <c r="A10884" s="417" t="s">
        <v>3385</v>
      </c>
      <c r="B10884" s="417" t="s">
        <v>2627</v>
      </c>
      <c r="C10884" s="417" t="s">
        <v>24222</v>
      </c>
      <c r="D10884" s="417" t="s">
        <v>563</v>
      </c>
      <c r="E10884" s="423">
        <v>252.8044875413342</v>
      </c>
      <c r="F10884" s="423">
        <v>126.8507933644952</v>
      </c>
      <c r="G10884" s="422">
        <v>577863.01374127285</v>
      </c>
      <c r="H10884" s="417" t="s">
        <v>2616</v>
      </c>
      <c r="I10884" s="417" t="s">
        <v>1392</v>
      </c>
      <c r="J10884" s="417" t="s">
        <v>6259</v>
      </c>
      <c r="K10884" s="417" t="s">
        <v>24223</v>
      </c>
      <c r="L10884" s="417"/>
      <c r="M10884" s="417" t="s">
        <v>28840</v>
      </c>
    </row>
    <row r="10885" spans="1:13" x14ac:dyDescent="0.25">
      <c r="A10885" s="417" t="s">
        <v>3385</v>
      </c>
      <c r="B10885" s="417" t="s">
        <v>2627</v>
      </c>
      <c r="C10885" s="417" t="s">
        <v>24224</v>
      </c>
      <c r="D10885" s="417" t="s">
        <v>563</v>
      </c>
      <c r="E10885" s="423">
        <v>40.838826254959322</v>
      </c>
      <c r="F10885" s="423">
        <v>20.491852052574469</v>
      </c>
      <c r="G10885" s="422">
        <v>93349.647750850156</v>
      </c>
      <c r="H10885" s="417" t="s">
        <v>2616</v>
      </c>
      <c r="I10885" s="417" t="s">
        <v>1392</v>
      </c>
      <c r="J10885" s="417" t="s">
        <v>6259</v>
      </c>
      <c r="K10885" s="417" t="s">
        <v>24225</v>
      </c>
      <c r="L10885" s="417"/>
      <c r="M10885" s="417" t="s">
        <v>28840</v>
      </c>
    </row>
    <row r="10886" spans="1:13" x14ac:dyDescent="0.25">
      <c r="A10886" s="417" t="s">
        <v>3385</v>
      </c>
      <c r="B10886" s="417" t="s">
        <v>2627</v>
      </c>
      <c r="C10886" s="417" t="s">
        <v>24226</v>
      </c>
      <c r="D10886" s="417" t="s">
        <v>563</v>
      </c>
      <c r="E10886" s="423">
        <v>254.12864810007989</v>
      </c>
      <c r="F10886" s="423">
        <v>126.9918576292489</v>
      </c>
      <c r="G10886" s="422">
        <v>578500.27779514692</v>
      </c>
      <c r="H10886" s="417" t="s">
        <v>2616</v>
      </c>
      <c r="I10886" s="417" t="s">
        <v>1392</v>
      </c>
      <c r="J10886" s="417" t="s">
        <v>6259</v>
      </c>
      <c r="K10886" s="417" t="s">
        <v>24227</v>
      </c>
      <c r="L10886" s="417"/>
      <c r="M10886" s="417" t="s">
        <v>28840</v>
      </c>
    </row>
    <row r="10887" spans="1:13" x14ac:dyDescent="0.25">
      <c r="A10887" s="417" t="s">
        <v>3385</v>
      </c>
      <c r="B10887" s="417" t="s">
        <v>2627</v>
      </c>
      <c r="C10887" s="417" t="s">
        <v>24228</v>
      </c>
      <c r="D10887" s="417" t="s">
        <v>563</v>
      </c>
      <c r="E10887" s="423">
        <v>41.053263342869933</v>
      </c>
      <c r="F10887" s="423">
        <v>20.514652832220861</v>
      </c>
      <c r="G10887" s="422">
        <v>93453.671486802486</v>
      </c>
      <c r="H10887" s="417" t="s">
        <v>2616</v>
      </c>
      <c r="I10887" s="417" t="s">
        <v>1392</v>
      </c>
      <c r="J10887" s="417" t="s">
        <v>6259</v>
      </c>
      <c r="K10887" s="417" t="s">
        <v>24229</v>
      </c>
      <c r="L10887" s="417"/>
      <c r="M10887" s="417" t="s">
        <v>28840</v>
      </c>
    </row>
    <row r="10888" spans="1:13" x14ac:dyDescent="0.25">
      <c r="A10888" s="417" t="s">
        <v>3385</v>
      </c>
      <c r="B10888" s="417" t="s">
        <v>2627</v>
      </c>
      <c r="C10888" s="417" t="s">
        <v>24230</v>
      </c>
      <c r="D10888" s="417" t="s">
        <v>563</v>
      </c>
      <c r="E10888" s="423">
        <v>30.988584483647529</v>
      </c>
      <c r="F10888" s="423">
        <v>13.490259949</v>
      </c>
      <c r="G10888" s="422">
        <v>71921.583039692079</v>
      </c>
      <c r="H10888" s="417" t="s">
        <v>2616</v>
      </c>
      <c r="I10888" s="417" t="s">
        <v>1392</v>
      </c>
      <c r="J10888" s="417" t="s">
        <v>6259</v>
      </c>
      <c r="K10888" s="417" t="s">
        <v>24231</v>
      </c>
      <c r="L10888" s="417"/>
      <c r="M10888" s="417" t="s">
        <v>28840</v>
      </c>
    </row>
    <row r="10889" spans="1:13" x14ac:dyDescent="0.25">
      <c r="A10889" s="417" t="s">
        <v>3385</v>
      </c>
      <c r="B10889" s="417" t="s">
        <v>2627</v>
      </c>
      <c r="C10889" s="417" t="s">
        <v>24232</v>
      </c>
      <c r="D10889" s="417" t="s">
        <v>563</v>
      </c>
      <c r="E10889" s="423">
        <v>337.97106824191172</v>
      </c>
      <c r="F10889" s="423">
        <v>129.33388421056259</v>
      </c>
      <c r="G10889" s="422">
        <v>748054.72727140377</v>
      </c>
      <c r="H10889" s="417" t="s">
        <v>2616</v>
      </c>
      <c r="I10889" s="417" t="s">
        <v>1392</v>
      </c>
      <c r="J10889" s="417" t="s">
        <v>6259</v>
      </c>
      <c r="K10889" s="417" t="s">
        <v>24233</v>
      </c>
      <c r="L10889" s="417"/>
      <c r="M10889" s="417" t="s">
        <v>28840</v>
      </c>
    </row>
    <row r="10890" spans="1:13" x14ac:dyDescent="0.25">
      <c r="A10890" s="417" t="s">
        <v>3385</v>
      </c>
      <c r="B10890" s="417" t="s">
        <v>2627</v>
      </c>
      <c r="C10890" s="417" t="s">
        <v>24234</v>
      </c>
      <c r="D10890" s="417" t="s">
        <v>563</v>
      </c>
      <c r="E10890" s="423">
        <v>54.597682046570107</v>
      </c>
      <c r="F10890" s="423">
        <v>20.892998439714859</v>
      </c>
      <c r="G10890" s="422">
        <v>120844.5356287196</v>
      </c>
      <c r="H10890" s="417" t="s">
        <v>2616</v>
      </c>
      <c r="I10890" s="417" t="s">
        <v>1392</v>
      </c>
      <c r="J10890" s="417" t="s">
        <v>6259</v>
      </c>
      <c r="K10890" s="417" t="s">
        <v>24235</v>
      </c>
      <c r="L10890" s="417"/>
      <c r="M10890" s="417" t="s">
        <v>28840</v>
      </c>
    </row>
    <row r="10891" spans="1:13" x14ac:dyDescent="0.25">
      <c r="A10891" s="417" t="s">
        <v>3385</v>
      </c>
      <c r="B10891" s="417" t="s">
        <v>2627</v>
      </c>
      <c r="C10891" s="417" t="s">
        <v>24236</v>
      </c>
      <c r="D10891" s="417" t="s">
        <v>563</v>
      </c>
      <c r="E10891" s="423">
        <v>336.71177751999397</v>
      </c>
      <c r="F10891" s="423">
        <v>129.2886468953661</v>
      </c>
      <c r="G10891" s="422">
        <v>744687.62834146025</v>
      </c>
      <c r="H10891" s="417" t="s">
        <v>2616</v>
      </c>
      <c r="I10891" s="417" t="s">
        <v>1392</v>
      </c>
      <c r="J10891" s="417" t="s">
        <v>6259</v>
      </c>
      <c r="K10891" s="417" t="s">
        <v>24237</v>
      </c>
      <c r="L10891" s="417"/>
      <c r="M10891" s="417" t="s">
        <v>28840</v>
      </c>
    </row>
    <row r="10892" spans="1:13" x14ac:dyDescent="0.25">
      <c r="A10892" s="417" t="s">
        <v>3385</v>
      </c>
      <c r="B10892" s="417" t="s">
        <v>2627</v>
      </c>
      <c r="C10892" s="417" t="s">
        <v>24238</v>
      </c>
      <c r="D10892" s="417" t="s">
        <v>563</v>
      </c>
      <c r="E10892" s="423">
        <v>54.394255834146087</v>
      </c>
      <c r="F10892" s="423">
        <v>20.885690703226299</v>
      </c>
      <c r="G10892" s="422">
        <v>120300.6105526499</v>
      </c>
      <c r="H10892" s="417" t="s">
        <v>2616</v>
      </c>
      <c r="I10892" s="417" t="s">
        <v>1392</v>
      </c>
      <c r="J10892" s="417" t="s">
        <v>6259</v>
      </c>
      <c r="K10892" s="417" t="s">
        <v>24239</v>
      </c>
      <c r="L10892" s="417"/>
      <c r="M10892" s="417" t="s">
        <v>28840</v>
      </c>
    </row>
    <row r="10893" spans="1:13" x14ac:dyDescent="0.25">
      <c r="A10893" s="417" t="s">
        <v>3385</v>
      </c>
      <c r="B10893" s="417" t="s">
        <v>2627</v>
      </c>
      <c r="C10893" s="417" t="s">
        <v>24240</v>
      </c>
      <c r="D10893" s="417" t="s">
        <v>563</v>
      </c>
      <c r="E10893" s="423">
        <v>132.487349544274</v>
      </c>
      <c r="F10893" s="423">
        <v>123.7898640454987</v>
      </c>
      <c r="G10893" s="422">
        <v>327437.93263988389</v>
      </c>
      <c r="H10893" s="417" t="s">
        <v>2616</v>
      </c>
      <c r="I10893" s="417" t="s">
        <v>1392</v>
      </c>
      <c r="J10893" s="417" t="s">
        <v>6259</v>
      </c>
      <c r="K10893" s="417" t="s">
        <v>24241</v>
      </c>
      <c r="L10893" s="417"/>
      <c r="M10893" s="417" t="s">
        <v>28840</v>
      </c>
    </row>
    <row r="10894" spans="1:13" x14ac:dyDescent="0.25">
      <c r="A10894" s="417" t="s">
        <v>3385</v>
      </c>
      <c r="B10894" s="417" t="s">
        <v>2627</v>
      </c>
      <c r="C10894" s="417" t="s">
        <v>24242</v>
      </c>
      <c r="D10894" s="417" t="s">
        <v>563</v>
      </c>
      <c r="E10894" s="423">
        <v>21.402698179054191</v>
      </c>
      <c r="F10894" s="423">
        <v>19.997385530404259</v>
      </c>
      <c r="G10894" s="422">
        <v>52895.770570674453</v>
      </c>
      <c r="H10894" s="417" t="s">
        <v>2616</v>
      </c>
      <c r="I10894" s="417" t="s">
        <v>1392</v>
      </c>
      <c r="J10894" s="417" t="s">
        <v>6259</v>
      </c>
      <c r="K10894" s="417" t="s">
        <v>24243</v>
      </c>
      <c r="L10894" s="417"/>
      <c r="M10894" s="417" t="s">
        <v>28840</v>
      </c>
    </row>
    <row r="10895" spans="1:13" x14ac:dyDescent="0.25">
      <c r="A10895" s="417" t="s">
        <v>3385</v>
      </c>
      <c r="B10895" s="417" t="s">
        <v>2627</v>
      </c>
      <c r="C10895" s="417" t="s">
        <v>24244</v>
      </c>
      <c r="D10895" s="417" t="s">
        <v>563</v>
      </c>
      <c r="E10895" s="423">
        <v>173.1795445238163</v>
      </c>
      <c r="F10895" s="423">
        <v>159.83795833480261</v>
      </c>
      <c r="G10895" s="422">
        <v>414726.06790094258</v>
      </c>
      <c r="H10895" s="417" t="s">
        <v>2616</v>
      </c>
      <c r="I10895" s="417" t="s">
        <v>1392</v>
      </c>
      <c r="J10895" s="417" t="s">
        <v>6259</v>
      </c>
      <c r="K10895" s="417" t="s">
        <v>24245</v>
      </c>
      <c r="L10895" s="417"/>
      <c r="M10895" s="417" t="s">
        <v>28840</v>
      </c>
    </row>
    <row r="10896" spans="1:13" x14ac:dyDescent="0.25">
      <c r="A10896" s="417" t="s">
        <v>3385</v>
      </c>
      <c r="B10896" s="417" t="s">
        <v>2627</v>
      </c>
      <c r="C10896" s="417" t="s">
        <v>24246</v>
      </c>
      <c r="D10896" s="417" t="s">
        <v>563</v>
      </c>
      <c r="E10896" s="423">
        <v>27.976253414624619</v>
      </c>
      <c r="F10896" s="423">
        <v>25.82116106603106</v>
      </c>
      <c r="G10896" s="422">
        <v>66996.661971036781</v>
      </c>
      <c r="H10896" s="417" t="s">
        <v>2616</v>
      </c>
      <c r="I10896" s="417" t="s">
        <v>1392</v>
      </c>
      <c r="J10896" s="417" t="s">
        <v>6259</v>
      </c>
      <c r="K10896" s="417" t="s">
        <v>24247</v>
      </c>
      <c r="L10896" s="417"/>
      <c r="M10896" s="417" t="s">
        <v>28840</v>
      </c>
    </row>
    <row r="10897" spans="1:13" x14ac:dyDescent="0.25">
      <c r="A10897" s="417" t="s">
        <v>3385</v>
      </c>
      <c r="B10897" s="417" t="s">
        <v>2627</v>
      </c>
      <c r="C10897" s="417" t="s">
        <v>24248</v>
      </c>
      <c r="D10897" s="417" t="s">
        <v>563</v>
      </c>
      <c r="E10897" s="423">
        <v>21.923207861728692</v>
      </c>
      <c r="F10897" s="423">
        <v>14.207604968</v>
      </c>
      <c r="G10897" s="422">
        <v>55360.864493806817</v>
      </c>
      <c r="H10897" s="417" t="s">
        <v>2616</v>
      </c>
      <c r="I10897" s="417" t="s">
        <v>1392</v>
      </c>
      <c r="J10897" s="417" t="s">
        <v>6259</v>
      </c>
      <c r="K10897" s="417" t="s">
        <v>24249</v>
      </c>
      <c r="L10897" s="417"/>
      <c r="M10897" s="417" t="s">
        <v>28840</v>
      </c>
    </row>
    <row r="10898" spans="1:13" x14ac:dyDescent="0.25">
      <c r="A10898" s="417" t="s">
        <v>3385</v>
      </c>
      <c r="B10898" s="417" t="s">
        <v>2627</v>
      </c>
      <c r="C10898" s="417" t="s">
        <v>24250</v>
      </c>
      <c r="D10898" s="417" t="s">
        <v>563</v>
      </c>
      <c r="E10898" s="423">
        <v>179.06724638393661</v>
      </c>
      <c r="F10898" s="423">
        <v>160.05552249620121</v>
      </c>
      <c r="G10898" s="422">
        <v>432589.51974059461</v>
      </c>
      <c r="H10898" s="417" t="s">
        <v>2616</v>
      </c>
      <c r="I10898" s="417" t="s">
        <v>1392</v>
      </c>
      <c r="J10898" s="417" t="s">
        <v>6259</v>
      </c>
      <c r="K10898" s="417" t="s">
        <v>24251</v>
      </c>
      <c r="L10898" s="417"/>
      <c r="M10898" s="417" t="s">
        <v>28840</v>
      </c>
    </row>
    <row r="10899" spans="1:13" x14ac:dyDescent="0.25">
      <c r="A10899" s="417" t="s">
        <v>3385</v>
      </c>
      <c r="B10899" s="417" t="s">
        <v>2627</v>
      </c>
      <c r="C10899" s="417" t="s">
        <v>24252</v>
      </c>
      <c r="D10899" s="417" t="s">
        <v>563</v>
      </c>
      <c r="E10899" s="423">
        <v>28.927356096671549</v>
      </c>
      <c r="F10899" s="423">
        <v>25.856306980350819</v>
      </c>
      <c r="G10899" s="422">
        <v>69882.36593111926</v>
      </c>
      <c r="H10899" s="417" t="s">
        <v>2616</v>
      </c>
      <c r="I10899" s="417" t="s">
        <v>1392</v>
      </c>
      <c r="J10899" s="417" t="s">
        <v>6259</v>
      </c>
      <c r="K10899" s="417" t="s">
        <v>24253</v>
      </c>
      <c r="L10899" s="417"/>
      <c r="M10899" s="417" t="s">
        <v>28840</v>
      </c>
    </row>
    <row r="10900" spans="1:13" x14ac:dyDescent="0.25">
      <c r="A10900" s="417" t="s">
        <v>3385</v>
      </c>
      <c r="B10900" s="417" t="s">
        <v>2627</v>
      </c>
      <c r="C10900" s="417" t="s">
        <v>24254</v>
      </c>
      <c r="D10900" s="417" t="s">
        <v>563</v>
      </c>
      <c r="E10900" s="423">
        <v>177.88970600054409</v>
      </c>
      <c r="F10900" s="423">
        <v>160.01200966442411</v>
      </c>
      <c r="G10900" s="422">
        <v>429016.83039972838</v>
      </c>
      <c r="H10900" s="417" t="s">
        <v>2616</v>
      </c>
      <c r="I10900" s="417" t="s">
        <v>1392</v>
      </c>
      <c r="J10900" s="417" t="s">
        <v>6259</v>
      </c>
      <c r="K10900" s="417" t="s">
        <v>24255</v>
      </c>
      <c r="L10900" s="417"/>
      <c r="M10900" s="417" t="s">
        <v>28840</v>
      </c>
    </row>
    <row r="10901" spans="1:13" x14ac:dyDescent="0.25">
      <c r="A10901" s="417" t="s">
        <v>3385</v>
      </c>
      <c r="B10901" s="417" t="s">
        <v>2627</v>
      </c>
      <c r="C10901" s="417" t="s">
        <v>24256</v>
      </c>
      <c r="D10901" s="417" t="s">
        <v>563</v>
      </c>
      <c r="E10901" s="423">
        <v>28.737135553912388</v>
      </c>
      <c r="F10901" s="423">
        <v>25.849277797521591</v>
      </c>
      <c r="G10901" s="422">
        <v>69305.225088681065</v>
      </c>
      <c r="H10901" s="417" t="s">
        <v>2616</v>
      </c>
      <c r="I10901" s="417" t="s">
        <v>1392</v>
      </c>
      <c r="J10901" s="417" t="s">
        <v>6259</v>
      </c>
      <c r="K10901" s="417" t="s">
        <v>24257</v>
      </c>
      <c r="L10901" s="417"/>
      <c r="M10901" s="417" t="s">
        <v>28840</v>
      </c>
    </row>
    <row r="10902" spans="1:13" x14ac:dyDescent="0.25">
      <c r="A10902" s="417" t="s">
        <v>3385</v>
      </c>
      <c r="B10902" s="417" t="s">
        <v>2627</v>
      </c>
      <c r="C10902" s="417" t="s">
        <v>24258</v>
      </c>
      <c r="D10902" s="417" t="s">
        <v>563</v>
      </c>
      <c r="E10902" s="423">
        <v>156.8036434824551</v>
      </c>
      <c r="F10902" s="423">
        <v>159.47060259812449</v>
      </c>
      <c r="G10902" s="422">
        <v>379377.06625043502</v>
      </c>
      <c r="H10902" s="417" t="s">
        <v>2616</v>
      </c>
      <c r="I10902" s="417" t="s">
        <v>1392</v>
      </c>
      <c r="J10902" s="417" t="s">
        <v>24259</v>
      </c>
      <c r="K10902" s="417" t="s">
        <v>24260</v>
      </c>
      <c r="L10902" s="417"/>
      <c r="M10902" s="417" t="s">
        <v>28840</v>
      </c>
    </row>
    <row r="10903" spans="1:13" x14ac:dyDescent="0.25">
      <c r="A10903" s="417" t="s">
        <v>3385</v>
      </c>
      <c r="B10903" s="417" t="s">
        <v>2627</v>
      </c>
      <c r="C10903" s="417" t="s">
        <v>24261</v>
      </c>
      <c r="D10903" s="417" t="s">
        <v>563</v>
      </c>
      <c r="E10903" s="423">
        <v>25.330771595384061</v>
      </c>
      <c r="F10903" s="423">
        <v>25.761815817467291</v>
      </c>
      <c r="G10903" s="422">
        <v>61286.123748262376</v>
      </c>
      <c r="H10903" s="417" t="s">
        <v>2616</v>
      </c>
      <c r="I10903" s="417" t="s">
        <v>1392</v>
      </c>
      <c r="J10903" s="417" t="s">
        <v>6259</v>
      </c>
      <c r="K10903" s="417" t="s">
        <v>24262</v>
      </c>
      <c r="L10903" s="417"/>
      <c r="M10903" s="417" t="s">
        <v>28840</v>
      </c>
    </row>
    <row r="10904" spans="1:13" x14ac:dyDescent="0.25">
      <c r="A10904" s="417" t="s">
        <v>3385</v>
      </c>
      <c r="B10904" s="417" t="s">
        <v>3655</v>
      </c>
      <c r="C10904" s="417" t="s">
        <v>24263</v>
      </c>
      <c r="D10904" s="417" t="s">
        <v>88</v>
      </c>
      <c r="E10904" s="423">
        <v>0.37335169362321902</v>
      </c>
      <c r="F10904" s="423">
        <v>3.966217411205139E-2</v>
      </c>
      <c r="G10904" s="422">
        <v>3615.063145088408</v>
      </c>
      <c r="H10904" s="417" t="s">
        <v>2616</v>
      </c>
      <c r="I10904" s="417" t="s">
        <v>1392</v>
      </c>
      <c r="J10904" s="417" t="s">
        <v>4549</v>
      </c>
      <c r="K10904" s="417" t="s">
        <v>24264</v>
      </c>
      <c r="L10904" s="417"/>
      <c r="M10904" s="417" t="s">
        <v>28840</v>
      </c>
    </row>
    <row r="10905" spans="1:13" x14ac:dyDescent="0.25">
      <c r="A10905" s="417" t="s">
        <v>3385</v>
      </c>
      <c r="B10905" s="417" t="s">
        <v>3655</v>
      </c>
      <c r="C10905" s="417" t="s">
        <v>24265</v>
      </c>
      <c r="D10905" s="417" t="s">
        <v>88</v>
      </c>
      <c r="E10905" s="423">
        <v>0.39164583165325001</v>
      </c>
      <c r="F10905" s="423">
        <v>1.2323921797703479E-2</v>
      </c>
      <c r="G10905" s="422">
        <v>618.21669650255592</v>
      </c>
      <c r="H10905" s="417" t="s">
        <v>2616</v>
      </c>
      <c r="I10905" s="417" t="s">
        <v>1392</v>
      </c>
      <c r="J10905" s="417" t="s">
        <v>4549</v>
      </c>
      <c r="K10905" s="417" t="s">
        <v>24266</v>
      </c>
      <c r="L10905" s="417"/>
      <c r="M10905" s="417" t="s">
        <v>28840</v>
      </c>
    </row>
    <row r="10906" spans="1:13" x14ac:dyDescent="0.25">
      <c r="A10906" s="417" t="s">
        <v>3385</v>
      </c>
      <c r="B10906" s="417" t="s">
        <v>2437</v>
      </c>
      <c r="C10906" s="417" t="s">
        <v>24267</v>
      </c>
      <c r="D10906" s="417" t="s">
        <v>989</v>
      </c>
      <c r="E10906" s="423">
        <v>8646.5320254632461</v>
      </c>
      <c r="F10906" s="423">
        <v>333.67075867208757</v>
      </c>
      <c r="G10906" s="422">
        <v>23643018.984605759</v>
      </c>
      <c r="H10906" s="417" t="s">
        <v>2616</v>
      </c>
      <c r="I10906" s="417" t="s">
        <v>1392</v>
      </c>
      <c r="J10906" s="417" t="s">
        <v>3650</v>
      </c>
      <c r="K10906" s="417" t="s">
        <v>24268</v>
      </c>
      <c r="L10906" s="417"/>
      <c r="M10906" s="417" t="s">
        <v>28840</v>
      </c>
    </row>
    <row r="10907" spans="1:13" x14ac:dyDescent="0.25">
      <c r="A10907" s="417" t="s">
        <v>3385</v>
      </c>
      <c r="B10907" s="417" t="s">
        <v>2627</v>
      </c>
      <c r="C10907" s="417" t="s">
        <v>24269</v>
      </c>
      <c r="D10907" s="417" t="s">
        <v>4427</v>
      </c>
      <c r="E10907" s="423">
        <v>292.06472991013538</v>
      </c>
      <c r="F10907" s="423">
        <v>10.620534806251809</v>
      </c>
      <c r="G10907" s="422">
        <v>418858.63616340182</v>
      </c>
      <c r="H10907" s="417" t="s">
        <v>2616</v>
      </c>
      <c r="I10907" s="417" t="s">
        <v>1392</v>
      </c>
      <c r="J10907" s="417" t="s">
        <v>4016</v>
      </c>
      <c r="K10907" s="417" t="s">
        <v>24270</v>
      </c>
      <c r="L10907" s="417"/>
      <c r="M10907" s="417" t="s">
        <v>28840</v>
      </c>
    </row>
    <row r="10908" spans="1:13" x14ac:dyDescent="0.25">
      <c r="A10908" s="417" t="s">
        <v>3385</v>
      </c>
      <c r="B10908" s="417" t="s">
        <v>2627</v>
      </c>
      <c r="C10908" s="417" t="s">
        <v>24271</v>
      </c>
      <c r="D10908" s="417" t="s">
        <v>4427</v>
      </c>
      <c r="E10908" s="423">
        <v>123.4775095039394</v>
      </c>
      <c r="F10908" s="423">
        <v>4.0890537842391543</v>
      </c>
      <c r="G10908" s="422">
        <v>174741.4227963984</v>
      </c>
      <c r="H10908" s="417" t="s">
        <v>2616</v>
      </c>
      <c r="I10908" s="417" t="s">
        <v>1392</v>
      </c>
      <c r="J10908" s="417" t="s">
        <v>4016</v>
      </c>
      <c r="K10908" s="417" t="s">
        <v>24272</v>
      </c>
      <c r="L10908" s="417"/>
      <c r="M10908" s="417" t="s">
        <v>28840</v>
      </c>
    </row>
    <row r="10909" spans="1:13" x14ac:dyDescent="0.25">
      <c r="A10909" s="417" t="s">
        <v>3385</v>
      </c>
      <c r="B10909" s="417" t="s">
        <v>2627</v>
      </c>
      <c r="C10909" s="417" t="s">
        <v>24273</v>
      </c>
      <c r="D10909" s="417" t="s">
        <v>88</v>
      </c>
      <c r="E10909" s="423">
        <v>5.7914038942345801E-3</v>
      </c>
      <c r="F10909" s="423">
        <v>6.9315707728963879E-4</v>
      </c>
      <c r="G10909" s="422">
        <v>12.11555356564299</v>
      </c>
      <c r="H10909" s="417" t="s">
        <v>2616</v>
      </c>
      <c r="I10909" s="417" t="s">
        <v>1392</v>
      </c>
      <c r="J10909" s="417" t="s">
        <v>4016</v>
      </c>
      <c r="K10909" s="417" t="s">
        <v>24274</v>
      </c>
      <c r="L10909" s="417"/>
      <c r="M10909" s="417" t="s">
        <v>28840</v>
      </c>
    </row>
    <row r="10910" spans="1:13" x14ac:dyDescent="0.25">
      <c r="A10910" s="417" t="s">
        <v>3385</v>
      </c>
      <c r="B10910" s="417" t="s">
        <v>2627</v>
      </c>
      <c r="C10910" s="417" t="s">
        <v>24275</v>
      </c>
      <c r="D10910" s="417" t="s">
        <v>88</v>
      </c>
      <c r="E10910" s="423">
        <v>3.2923984201628342E-2</v>
      </c>
      <c r="F10910" s="423">
        <v>2.2198278882257969E-3</v>
      </c>
      <c r="G10910" s="422">
        <v>156.7016414127535</v>
      </c>
      <c r="H10910" s="417" t="s">
        <v>2616</v>
      </c>
      <c r="I10910" s="417" t="s">
        <v>1392</v>
      </c>
      <c r="J10910" s="417" t="s">
        <v>4016</v>
      </c>
      <c r="K10910" s="417" t="s">
        <v>24276</v>
      </c>
      <c r="L10910" s="417"/>
      <c r="M10910" s="417" t="s">
        <v>28840</v>
      </c>
    </row>
    <row r="10911" spans="1:13" x14ac:dyDescent="0.25">
      <c r="A10911" s="417" t="s">
        <v>3385</v>
      </c>
      <c r="B10911" s="417" t="s">
        <v>2627</v>
      </c>
      <c r="C10911" s="417" t="s">
        <v>24277</v>
      </c>
      <c r="D10911" s="417" t="s">
        <v>88</v>
      </c>
      <c r="E10911" s="423">
        <v>2.9102925744253341E-2</v>
      </c>
      <c r="F10911" s="423">
        <v>1.4449639163851579E-3</v>
      </c>
      <c r="G10911" s="422">
        <v>105.6593727199615</v>
      </c>
      <c r="H10911" s="417" t="s">
        <v>2616</v>
      </c>
      <c r="I10911" s="417" t="s">
        <v>1392</v>
      </c>
      <c r="J10911" s="417" t="s">
        <v>4016</v>
      </c>
      <c r="K10911" s="417" t="s">
        <v>24278</v>
      </c>
      <c r="L10911" s="417"/>
      <c r="M10911" s="417" t="s">
        <v>28840</v>
      </c>
    </row>
    <row r="10912" spans="1:13" x14ac:dyDescent="0.25">
      <c r="A10912" s="417" t="s">
        <v>3385</v>
      </c>
      <c r="B10912" s="417" t="s">
        <v>3405</v>
      </c>
      <c r="C10912" s="417" t="s">
        <v>24279</v>
      </c>
      <c r="D10912" s="417" t="s">
        <v>73</v>
      </c>
      <c r="E10912" s="423">
        <v>7.4164400047440817E-3</v>
      </c>
      <c r="F10912" s="423">
        <v>9.2322563377898015E-2</v>
      </c>
      <c r="G10912" s="422">
        <v>28.752692182707008</v>
      </c>
      <c r="H10912" s="417" t="s">
        <v>2616</v>
      </c>
      <c r="I10912" s="417" t="s">
        <v>1392</v>
      </c>
      <c r="J10912" s="417" t="s">
        <v>11978</v>
      </c>
      <c r="K10912" s="417" t="s">
        <v>24280</v>
      </c>
      <c r="L10912" s="417"/>
      <c r="M10912" s="417" t="s">
        <v>28840</v>
      </c>
    </row>
    <row r="10913" spans="1:13" x14ac:dyDescent="0.25">
      <c r="A10913" s="417" t="s">
        <v>3385</v>
      </c>
      <c r="B10913" s="417" t="s">
        <v>3405</v>
      </c>
      <c r="C10913" s="417" t="s">
        <v>24281</v>
      </c>
      <c r="D10913" s="417" t="s">
        <v>73</v>
      </c>
      <c r="E10913" s="423">
        <v>7.5342929321030984E-3</v>
      </c>
      <c r="F10913" s="423">
        <v>9.2322563381981207E-2</v>
      </c>
      <c r="G10913" s="422">
        <v>28.872287827174521</v>
      </c>
      <c r="H10913" s="417" t="s">
        <v>2616</v>
      </c>
      <c r="I10913" s="417" t="s">
        <v>1392</v>
      </c>
      <c r="J10913" s="417" t="s">
        <v>11978</v>
      </c>
      <c r="K10913" s="417" t="s">
        <v>24282</v>
      </c>
      <c r="L10913" s="417"/>
      <c r="M10913" s="417" t="s">
        <v>28840</v>
      </c>
    </row>
    <row r="10914" spans="1:13" x14ac:dyDescent="0.25">
      <c r="A10914" s="417" t="s">
        <v>3385</v>
      </c>
      <c r="B10914" s="417" t="s">
        <v>3405</v>
      </c>
      <c r="C10914" s="417" t="s">
        <v>24283</v>
      </c>
      <c r="D10914" s="417" t="s">
        <v>73</v>
      </c>
      <c r="E10914" s="423">
        <v>3.595860746372291E-3</v>
      </c>
      <c r="F10914" s="423">
        <v>9.8636889184946466E-2</v>
      </c>
      <c r="G10914" s="422">
        <v>35.078373234645802</v>
      </c>
      <c r="H10914" s="417" t="s">
        <v>2616</v>
      </c>
      <c r="I10914" s="417" t="s">
        <v>1392</v>
      </c>
      <c r="J10914" s="417" t="s">
        <v>24284</v>
      </c>
      <c r="K10914" s="417" t="s">
        <v>24285</v>
      </c>
      <c r="L10914" s="417"/>
      <c r="M10914" s="417" t="s">
        <v>28840</v>
      </c>
    </row>
    <row r="10915" spans="1:13" x14ac:dyDescent="0.25">
      <c r="A10915" s="417" t="s">
        <v>3385</v>
      </c>
      <c r="B10915" s="417" t="s">
        <v>3405</v>
      </c>
      <c r="C10915" s="417" t="s">
        <v>24286</v>
      </c>
      <c r="D10915" s="417" t="s">
        <v>73</v>
      </c>
      <c r="E10915" s="423">
        <v>3.8324299943859508E-3</v>
      </c>
      <c r="F10915" s="423">
        <v>9.2267042849672812E-2</v>
      </c>
      <c r="G10915" s="422">
        <v>31.491679121203781</v>
      </c>
      <c r="H10915" s="417" t="s">
        <v>2616</v>
      </c>
      <c r="I10915" s="417" t="s">
        <v>1392</v>
      </c>
      <c r="J10915" s="417" t="s">
        <v>11284</v>
      </c>
      <c r="K10915" s="417" t="s">
        <v>24287</v>
      </c>
      <c r="L10915" s="417"/>
      <c r="M10915" s="417" t="s">
        <v>28840</v>
      </c>
    </row>
    <row r="10916" spans="1:13" x14ac:dyDescent="0.25">
      <c r="A10916" s="417" t="s">
        <v>3385</v>
      </c>
      <c r="B10916" s="417" t="s">
        <v>3405</v>
      </c>
      <c r="C10916" s="417" t="s">
        <v>24288</v>
      </c>
      <c r="D10916" s="417" t="s">
        <v>73</v>
      </c>
      <c r="E10916" s="423">
        <v>3.2851171988608381E-3</v>
      </c>
      <c r="F10916" s="423">
        <v>9.2157493147657379E-2</v>
      </c>
      <c r="G10916" s="422">
        <v>30.918013486823149</v>
      </c>
      <c r="H10916" s="417" t="s">
        <v>2616</v>
      </c>
      <c r="I10916" s="417" t="s">
        <v>1392</v>
      </c>
      <c r="J10916" s="417" t="s">
        <v>11284</v>
      </c>
      <c r="K10916" s="417" t="s">
        <v>24289</v>
      </c>
      <c r="L10916" s="417"/>
      <c r="M10916" s="417" t="s">
        <v>28840</v>
      </c>
    </row>
    <row r="10917" spans="1:13" x14ac:dyDescent="0.25">
      <c r="A10917" s="417" t="s">
        <v>3385</v>
      </c>
      <c r="B10917" s="417" t="s">
        <v>3405</v>
      </c>
      <c r="C10917" s="417" t="s">
        <v>24290</v>
      </c>
      <c r="D10917" s="417" t="s">
        <v>73</v>
      </c>
      <c r="E10917" s="423">
        <v>3.4714790891558519E-3</v>
      </c>
      <c r="F10917" s="423">
        <v>9.2253349525175082E-2</v>
      </c>
      <c r="G10917" s="422">
        <v>29.338420918468891</v>
      </c>
      <c r="H10917" s="417" t="s">
        <v>2616</v>
      </c>
      <c r="I10917" s="417" t="s">
        <v>1392</v>
      </c>
      <c r="J10917" s="417" t="s">
        <v>11284</v>
      </c>
      <c r="K10917" s="417" t="s">
        <v>24291</v>
      </c>
      <c r="L10917" s="417"/>
      <c r="M10917" s="417" t="s">
        <v>28840</v>
      </c>
    </row>
    <row r="10918" spans="1:13" x14ac:dyDescent="0.25">
      <c r="A10918" s="417" t="s">
        <v>3385</v>
      </c>
      <c r="B10918" s="417" t="s">
        <v>3405</v>
      </c>
      <c r="C10918" s="417" t="s">
        <v>24292</v>
      </c>
      <c r="D10918" s="417" t="s">
        <v>73</v>
      </c>
      <c r="E10918" s="423">
        <v>2.928197945722885E-3</v>
      </c>
      <c r="F10918" s="423">
        <v>8.531993172619691E-2</v>
      </c>
      <c r="G10918" s="422">
        <v>31.929932333753008</v>
      </c>
      <c r="H10918" s="417" t="s">
        <v>2616</v>
      </c>
      <c r="I10918" s="417" t="s">
        <v>1392</v>
      </c>
      <c r="J10918" s="417" t="s">
        <v>11284</v>
      </c>
      <c r="K10918" s="417" t="s">
        <v>24293</v>
      </c>
      <c r="L10918" s="417"/>
      <c r="M10918" s="417" t="s">
        <v>28840</v>
      </c>
    </row>
    <row r="10919" spans="1:13" x14ac:dyDescent="0.25">
      <c r="A10919" s="417" t="s">
        <v>3385</v>
      </c>
      <c r="B10919" s="417" t="s">
        <v>3405</v>
      </c>
      <c r="C10919" s="417" t="s">
        <v>24294</v>
      </c>
      <c r="D10919" s="417" t="s">
        <v>73</v>
      </c>
      <c r="E10919" s="423">
        <v>4.8073881896367396E-3</v>
      </c>
      <c r="F10919" s="423">
        <v>9.223623650873973E-2</v>
      </c>
      <c r="G10919" s="422">
        <v>38.117671375645649</v>
      </c>
      <c r="H10919" s="417" t="s">
        <v>2616</v>
      </c>
      <c r="I10919" s="417" t="s">
        <v>1392</v>
      </c>
      <c r="J10919" s="417" t="s">
        <v>11284</v>
      </c>
      <c r="K10919" s="417" t="s">
        <v>24295</v>
      </c>
      <c r="L10919" s="417"/>
      <c r="M10919" s="417" t="s">
        <v>28840</v>
      </c>
    </row>
    <row r="10920" spans="1:13" x14ac:dyDescent="0.25">
      <c r="A10920" s="417" t="s">
        <v>3385</v>
      </c>
      <c r="B10920" s="417" t="s">
        <v>3405</v>
      </c>
      <c r="C10920" s="417" t="s">
        <v>24296</v>
      </c>
      <c r="D10920" s="417" t="s">
        <v>73</v>
      </c>
      <c r="E10920" s="423">
        <v>4.2446447608310662E-3</v>
      </c>
      <c r="F10920" s="423">
        <v>9.2305438117664604E-2</v>
      </c>
      <c r="G10920" s="422">
        <v>32.360008228028093</v>
      </c>
      <c r="H10920" s="417" t="s">
        <v>2616</v>
      </c>
      <c r="I10920" s="417" t="s">
        <v>1392</v>
      </c>
      <c r="J10920" s="417" t="s">
        <v>11284</v>
      </c>
      <c r="K10920" s="417" t="s">
        <v>24297</v>
      </c>
      <c r="L10920" s="417"/>
      <c r="M10920" s="417" t="s">
        <v>28840</v>
      </c>
    </row>
    <row r="10921" spans="1:13" x14ac:dyDescent="0.25">
      <c r="A10921" s="417" t="s">
        <v>3385</v>
      </c>
      <c r="B10921" s="417" t="s">
        <v>3405</v>
      </c>
      <c r="C10921" s="417" t="s">
        <v>24298</v>
      </c>
      <c r="D10921" s="417" t="s">
        <v>73</v>
      </c>
      <c r="E10921" s="423">
        <v>3.9947751947537694E-3</v>
      </c>
      <c r="F10921" s="423">
        <v>9.2213628441469367E-2</v>
      </c>
      <c r="G10921" s="422">
        <v>32.230937364260363</v>
      </c>
      <c r="H10921" s="417" t="s">
        <v>2616</v>
      </c>
      <c r="I10921" s="417" t="s">
        <v>1392</v>
      </c>
      <c r="J10921" s="417" t="s">
        <v>11284</v>
      </c>
      <c r="K10921" s="417" t="s">
        <v>24299</v>
      </c>
      <c r="L10921" s="417"/>
      <c r="M10921" s="417" t="s">
        <v>28840</v>
      </c>
    </row>
    <row r="10922" spans="1:13" x14ac:dyDescent="0.25">
      <c r="A10922" s="417" t="s">
        <v>3385</v>
      </c>
      <c r="B10922" s="417" t="s">
        <v>3405</v>
      </c>
      <c r="C10922" s="417" t="s">
        <v>24300</v>
      </c>
      <c r="D10922" s="417" t="s">
        <v>73</v>
      </c>
      <c r="E10922" s="423">
        <v>3.8526530417636118E-3</v>
      </c>
      <c r="F10922" s="423">
        <v>9.2289684071598224E-2</v>
      </c>
      <c r="G10922" s="422">
        <v>30.150104498423559</v>
      </c>
      <c r="H10922" s="417" t="s">
        <v>2616</v>
      </c>
      <c r="I10922" s="417" t="s">
        <v>1392</v>
      </c>
      <c r="J10922" s="417" t="s">
        <v>11284</v>
      </c>
      <c r="K10922" s="417" t="s">
        <v>24301</v>
      </c>
      <c r="L10922" s="417"/>
      <c r="M10922" s="417" t="s">
        <v>28840</v>
      </c>
    </row>
    <row r="10923" spans="1:13" x14ac:dyDescent="0.25">
      <c r="A10923" s="417" t="s">
        <v>3385</v>
      </c>
      <c r="B10923" s="417" t="s">
        <v>3405</v>
      </c>
      <c r="C10923" s="417" t="s">
        <v>24302</v>
      </c>
      <c r="D10923" s="417" t="s">
        <v>73</v>
      </c>
      <c r="E10923" s="423">
        <v>5.429717404525641E-3</v>
      </c>
      <c r="F10923" s="423">
        <v>9.2288274288806232E-2</v>
      </c>
      <c r="G10923" s="422">
        <v>39.482419031494928</v>
      </c>
      <c r="H10923" s="417" t="s">
        <v>2616</v>
      </c>
      <c r="I10923" s="417" t="s">
        <v>1392</v>
      </c>
      <c r="J10923" s="417" t="s">
        <v>11284</v>
      </c>
      <c r="K10923" s="417" t="s">
        <v>24303</v>
      </c>
      <c r="L10923" s="417"/>
      <c r="M10923" s="417" t="s">
        <v>28840</v>
      </c>
    </row>
    <row r="10924" spans="1:13" x14ac:dyDescent="0.25">
      <c r="A10924" s="417" t="s">
        <v>3385</v>
      </c>
      <c r="B10924" s="417" t="s">
        <v>3405</v>
      </c>
      <c r="C10924" s="417" t="s">
        <v>24304</v>
      </c>
      <c r="D10924" s="417" t="s">
        <v>73</v>
      </c>
      <c r="E10924" s="423">
        <v>4.9039062455974863E-3</v>
      </c>
      <c r="F10924" s="423">
        <v>9.2364458852448955E-2</v>
      </c>
      <c r="G10924" s="422">
        <v>33.975319009565737</v>
      </c>
      <c r="H10924" s="417" t="s">
        <v>2616</v>
      </c>
      <c r="I10924" s="417" t="s">
        <v>1392</v>
      </c>
      <c r="J10924" s="417" t="s">
        <v>11284</v>
      </c>
      <c r="K10924" s="417" t="s">
        <v>24305</v>
      </c>
      <c r="L10924" s="417"/>
      <c r="M10924" s="417" t="s">
        <v>28840</v>
      </c>
    </row>
    <row r="10925" spans="1:13" x14ac:dyDescent="0.25">
      <c r="A10925" s="417" t="s">
        <v>3385</v>
      </c>
      <c r="B10925" s="417" t="s">
        <v>3405</v>
      </c>
      <c r="C10925" s="417" t="s">
        <v>24306</v>
      </c>
      <c r="D10925" s="417" t="s">
        <v>73</v>
      </c>
      <c r="E10925" s="423">
        <v>4.5133459077335413E-3</v>
      </c>
      <c r="F10925" s="423">
        <v>9.2261922256320017E-2</v>
      </c>
      <c r="G10925" s="422">
        <v>33.319813452674687</v>
      </c>
      <c r="H10925" s="417" t="s">
        <v>2616</v>
      </c>
      <c r="I10925" s="417" t="s">
        <v>1392</v>
      </c>
      <c r="J10925" s="417" t="s">
        <v>11284</v>
      </c>
      <c r="K10925" s="417" t="s">
        <v>24307</v>
      </c>
      <c r="L10925" s="417"/>
      <c r="M10925" s="417" t="s">
        <v>28840</v>
      </c>
    </row>
    <row r="10926" spans="1:13" x14ac:dyDescent="0.25">
      <c r="A10926" s="417" t="s">
        <v>3385</v>
      </c>
      <c r="B10926" s="417" t="s">
        <v>3405</v>
      </c>
      <c r="C10926" s="417" t="s">
        <v>24308</v>
      </c>
      <c r="D10926" s="417" t="s">
        <v>73</v>
      </c>
      <c r="E10926" s="423">
        <v>4.517143672997331E-3</v>
      </c>
      <c r="F10926" s="423">
        <v>9.2349052592586106E-2</v>
      </c>
      <c r="G10926" s="422">
        <v>31.773480837458631</v>
      </c>
      <c r="H10926" s="417" t="s">
        <v>2616</v>
      </c>
      <c r="I10926" s="417" t="s">
        <v>1392</v>
      </c>
      <c r="J10926" s="417" t="s">
        <v>11284</v>
      </c>
      <c r="K10926" s="417" t="s">
        <v>24309</v>
      </c>
      <c r="L10926" s="417"/>
      <c r="M10926" s="417" t="s">
        <v>28840</v>
      </c>
    </row>
    <row r="10927" spans="1:13" x14ac:dyDescent="0.25">
      <c r="A10927" s="417" t="s">
        <v>3385</v>
      </c>
      <c r="B10927" s="417" t="s">
        <v>3405</v>
      </c>
      <c r="C10927" s="417" t="s">
        <v>24310</v>
      </c>
      <c r="D10927" s="417" t="s">
        <v>73</v>
      </c>
      <c r="E10927" s="423">
        <v>6.015786312825188E-3</v>
      </c>
      <c r="F10927" s="423">
        <v>9.2340950903835914E-2</v>
      </c>
      <c r="G10927" s="422">
        <v>40.731286740190313</v>
      </c>
      <c r="H10927" s="417" t="s">
        <v>2616</v>
      </c>
      <c r="I10927" s="417" t="s">
        <v>1392</v>
      </c>
      <c r="J10927" s="417" t="s">
        <v>11284</v>
      </c>
      <c r="K10927" s="417" t="s">
        <v>24311</v>
      </c>
      <c r="L10927" s="417"/>
      <c r="M10927" s="417" t="s">
        <v>28840</v>
      </c>
    </row>
    <row r="10928" spans="1:13" x14ac:dyDescent="0.25">
      <c r="A10928" s="417" t="s">
        <v>3385</v>
      </c>
      <c r="B10928" s="417" t="s">
        <v>3405</v>
      </c>
      <c r="C10928" s="417" t="s">
        <v>24312</v>
      </c>
      <c r="D10928" s="417" t="s">
        <v>73</v>
      </c>
      <c r="E10928" s="423">
        <v>1.146562206200161E-2</v>
      </c>
      <c r="F10928" s="423">
        <v>0.1496538470325923</v>
      </c>
      <c r="G10928" s="422">
        <v>61.098307092744037</v>
      </c>
      <c r="H10928" s="417" t="s">
        <v>2616</v>
      </c>
      <c r="I10928" s="417" t="s">
        <v>1392</v>
      </c>
      <c r="J10928" s="417" t="s">
        <v>11284</v>
      </c>
      <c r="K10928" s="417" t="s">
        <v>24313</v>
      </c>
      <c r="L10928" s="417"/>
      <c r="M10928" s="417" t="s">
        <v>28840</v>
      </c>
    </row>
    <row r="10929" spans="1:13" x14ac:dyDescent="0.25">
      <c r="A10929" s="417" t="s">
        <v>3385</v>
      </c>
      <c r="B10929" s="417" t="s">
        <v>3405</v>
      </c>
      <c r="C10929" s="417" t="s">
        <v>24314</v>
      </c>
      <c r="D10929" s="417" t="s">
        <v>73</v>
      </c>
      <c r="E10929" s="423">
        <v>3.9425377419859478E-3</v>
      </c>
      <c r="F10929" s="423">
        <v>9.2305537205728094E-2</v>
      </c>
      <c r="G10929" s="422">
        <v>31.335583655792551</v>
      </c>
      <c r="H10929" s="417" t="s">
        <v>2616</v>
      </c>
      <c r="I10929" s="417" t="s">
        <v>1392</v>
      </c>
      <c r="J10929" s="417" t="s">
        <v>11284</v>
      </c>
      <c r="K10929" s="417" t="s">
        <v>24315</v>
      </c>
      <c r="L10929" s="417"/>
      <c r="M10929" s="417" t="s">
        <v>28840</v>
      </c>
    </row>
    <row r="10930" spans="1:13" x14ac:dyDescent="0.25">
      <c r="A10930" s="417" t="s">
        <v>3385</v>
      </c>
      <c r="B10930" s="417" t="s">
        <v>3405</v>
      </c>
      <c r="C10930" s="417" t="s">
        <v>24316</v>
      </c>
      <c r="D10930" s="417" t="s">
        <v>73</v>
      </c>
      <c r="E10930" s="423">
        <v>3.3869277414593679E-3</v>
      </c>
      <c r="F10930" s="423">
        <v>9.2194008629073593E-2</v>
      </c>
      <c r="G10930" s="422">
        <v>30.7212218225166</v>
      </c>
      <c r="H10930" s="417" t="s">
        <v>2616</v>
      </c>
      <c r="I10930" s="417" t="s">
        <v>1392</v>
      </c>
      <c r="J10930" s="417" t="s">
        <v>11284</v>
      </c>
      <c r="K10930" s="417" t="s">
        <v>24317</v>
      </c>
      <c r="L10930" s="417"/>
      <c r="M10930" s="417" t="s">
        <v>28840</v>
      </c>
    </row>
    <row r="10931" spans="1:13" x14ac:dyDescent="0.25">
      <c r="A10931" s="417" t="s">
        <v>3385</v>
      </c>
      <c r="B10931" s="417" t="s">
        <v>3405</v>
      </c>
      <c r="C10931" s="417" t="s">
        <v>24318</v>
      </c>
      <c r="D10931" s="417" t="s">
        <v>73</v>
      </c>
      <c r="E10931" s="423">
        <v>3.478516082102178E-3</v>
      </c>
      <c r="F10931" s="423">
        <v>9.2283351302968733E-2</v>
      </c>
      <c r="G10931" s="422">
        <v>28.7676305719135</v>
      </c>
      <c r="H10931" s="417" t="s">
        <v>2616</v>
      </c>
      <c r="I10931" s="417" t="s">
        <v>1392</v>
      </c>
      <c r="J10931" s="417" t="s">
        <v>11284</v>
      </c>
      <c r="K10931" s="417" t="s">
        <v>24319</v>
      </c>
      <c r="L10931" s="417"/>
      <c r="M10931" s="417" t="s">
        <v>28840</v>
      </c>
    </row>
    <row r="10932" spans="1:13" x14ac:dyDescent="0.25">
      <c r="A10932" s="417" t="s">
        <v>3385</v>
      </c>
      <c r="B10932" s="417" t="s">
        <v>3405</v>
      </c>
      <c r="C10932" s="417" t="s">
        <v>24320</v>
      </c>
      <c r="D10932" s="417" t="s">
        <v>73</v>
      </c>
      <c r="E10932" s="423">
        <v>4.9172825125652726E-3</v>
      </c>
      <c r="F10932" s="423">
        <v>9.2274679962201761E-2</v>
      </c>
      <c r="G10932" s="422">
        <v>37.960529131478921</v>
      </c>
      <c r="H10932" s="417" t="s">
        <v>2616</v>
      </c>
      <c r="I10932" s="417" t="s">
        <v>1392</v>
      </c>
      <c r="J10932" s="417" t="s">
        <v>11284</v>
      </c>
      <c r="K10932" s="417" t="s">
        <v>24321</v>
      </c>
      <c r="L10932" s="417"/>
      <c r="M10932" s="417" t="s">
        <v>28840</v>
      </c>
    </row>
    <row r="10933" spans="1:13" x14ac:dyDescent="0.25">
      <c r="A10933" s="417" t="s">
        <v>3385</v>
      </c>
      <c r="B10933" s="417" t="s">
        <v>3405</v>
      </c>
      <c r="C10933" s="417" t="s">
        <v>24322</v>
      </c>
      <c r="D10933" s="417" t="s">
        <v>73</v>
      </c>
      <c r="E10933" s="423">
        <v>4.0608440308942048E-3</v>
      </c>
      <c r="F10933" s="423">
        <v>9.2319247164362336E-2</v>
      </c>
      <c r="G10933" s="422">
        <v>31.639226457285918</v>
      </c>
      <c r="H10933" s="417" t="s">
        <v>2616</v>
      </c>
      <c r="I10933" s="417" t="s">
        <v>1392</v>
      </c>
      <c r="J10933" s="417" t="s">
        <v>11284</v>
      </c>
      <c r="K10933" s="417" t="s">
        <v>24323</v>
      </c>
      <c r="L10933" s="417"/>
      <c r="M10933" s="417" t="s">
        <v>28840</v>
      </c>
    </row>
    <row r="10934" spans="1:13" x14ac:dyDescent="0.25">
      <c r="A10934" s="417" t="s">
        <v>3385</v>
      </c>
      <c r="B10934" s="417" t="s">
        <v>3405</v>
      </c>
      <c r="C10934" s="417" t="s">
        <v>24324</v>
      </c>
      <c r="D10934" s="417" t="s">
        <v>73</v>
      </c>
      <c r="E10934" s="423">
        <v>3.8107611107493669E-3</v>
      </c>
      <c r="F10934" s="423">
        <v>9.2227386620333404E-2</v>
      </c>
      <c r="G10934" s="422">
        <v>31.509109097366629</v>
      </c>
      <c r="H10934" s="417" t="s">
        <v>2616</v>
      </c>
      <c r="I10934" s="417" t="s">
        <v>1392</v>
      </c>
      <c r="J10934" s="417" t="s">
        <v>11284</v>
      </c>
      <c r="K10934" s="417" t="s">
        <v>24325</v>
      </c>
      <c r="L10934" s="417"/>
      <c r="M10934" s="417" t="s">
        <v>28840</v>
      </c>
    </row>
    <row r="10935" spans="1:13" x14ac:dyDescent="0.25">
      <c r="A10935" s="417" t="s">
        <v>3385</v>
      </c>
      <c r="B10935" s="417" t="s">
        <v>3405</v>
      </c>
      <c r="C10935" s="417" t="s">
        <v>24326</v>
      </c>
      <c r="D10935" s="417" t="s">
        <v>73</v>
      </c>
      <c r="E10935" s="423">
        <v>3.668639022544364E-3</v>
      </c>
      <c r="F10935" s="423">
        <v>9.2303442251856424E-2</v>
      </c>
      <c r="G10935" s="422">
        <v>29.428276331916539</v>
      </c>
      <c r="H10935" s="417" t="s">
        <v>2616</v>
      </c>
      <c r="I10935" s="417" t="s">
        <v>1392</v>
      </c>
      <c r="J10935" s="417" t="s">
        <v>11284</v>
      </c>
      <c r="K10935" s="417" t="s">
        <v>24327</v>
      </c>
      <c r="L10935" s="417"/>
      <c r="M10935" s="417" t="s">
        <v>28840</v>
      </c>
    </row>
    <row r="10936" spans="1:13" x14ac:dyDescent="0.25">
      <c r="A10936" s="417" t="s">
        <v>3385</v>
      </c>
      <c r="B10936" s="417" t="s">
        <v>3405</v>
      </c>
      <c r="C10936" s="417" t="s">
        <v>24328</v>
      </c>
      <c r="D10936" s="417" t="s">
        <v>73</v>
      </c>
      <c r="E10936" s="423">
        <v>5.2457033566215769E-3</v>
      </c>
      <c r="F10936" s="423">
        <v>9.2302032468720513E-2</v>
      </c>
      <c r="G10936" s="422">
        <v>38.760590867229013</v>
      </c>
      <c r="H10936" s="417" t="s">
        <v>2616</v>
      </c>
      <c r="I10936" s="417" t="s">
        <v>1392</v>
      </c>
      <c r="J10936" s="417" t="s">
        <v>11284</v>
      </c>
      <c r="K10936" s="417" t="s">
        <v>24329</v>
      </c>
      <c r="L10936" s="417"/>
      <c r="M10936" s="417" t="s">
        <v>28840</v>
      </c>
    </row>
    <row r="10937" spans="1:13" x14ac:dyDescent="0.25">
      <c r="A10937" s="417" t="s">
        <v>3385</v>
      </c>
      <c r="B10937" s="417" t="s">
        <v>3405</v>
      </c>
      <c r="C10937" s="417" t="s">
        <v>24330</v>
      </c>
      <c r="D10937" s="417" t="s">
        <v>73</v>
      </c>
      <c r="E10937" s="423">
        <v>4.3152796043273234E-3</v>
      </c>
      <c r="F10937" s="423">
        <v>9.234608424216717E-2</v>
      </c>
      <c r="G10937" s="422">
        <v>32.452780267929242</v>
      </c>
      <c r="H10937" s="417" t="s">
        <v>2616</v>
      </c>
      <c r="I10937" s="417" t="s">
        <v>1392</v>
      </c>
      <c r="J10937" s="417" t="s">
        <v>11284</v>
      </c>
      <c r="K10937" s="417" t="s">
        <v>24331</v>
      </c>
      <c r="L10937" s="417"/>
      <c r="M10937" s="417" t="s">
        <v>28840</v>
      </c>
    </row>
    <row r="10938" spans="1:13" x14ac:dyDescent="0.25">
      <c r="A10938" s="417" t="s">
        <v>3385</v>
      </c>
      <c r="B10938" s="417" t="s">
        <v>3405</v>
      </c>
      <c r="C10938" s="417" t="s">
        <v>24332</v>
      </c>
      <c r="D10938" s="417" t="s">
        <v>73</v>
      </c>
      <c r="E10938" s="423">
        <v>1.570758050428625E-3</v>
      </c>
      <c r="F10938" s="423">
        <v>9.6821745966329753E-2</v>
      </c>
      <c r="G10938" s="422">
        <v>18.016418014246501</v>
      </c>
      <c r="H10938" s="417" t="s">
        <v>2616</v>
      </c>
      <c r="I10938" s="417" t="s">
        <v>1392</v>
      </c>
      <c r="J10938" s="417" t="s">
        <v>24333</v>
      </c>
      <c r="K10938" s="417" t="s">
        <v>24334</v>
      </c>
      <c r="L10938" s="417"/>
      <c r="M10938" s="417" t="s">
        <v>28840</v>
      </c>
    </row>
    <row r="10939" spans="1:13" x14ac:dyDescent="0.25">
      <c r="A10939" s="417" t="s">
        <v>3385</v>
      </c>
      <c r="B10939" s="417" t="s">
        <v>3405</v>
      </c>
      <c r="C10939" s="417" t="s">
        <v>24335</v>
      </c>
      <c r="D10939" s="417" t="s">
        <v>73</v>
      </c>
      <c r="E10939" s="423">
        <v>3.9597841840165009E-3</v>
      </c>
      <c r="F10939" s="423">
        <v>9.2244642235286348E-2</v>
      </c>
      <c r="G10939" s="422">
        <v>31.887973420582011</v>
      </c>
      <c r="H10939" s="417" t="s">
        <v>2616</v>
      </c>
      <c r="I10939" s="417" t="s">
        <v>1392</v>
      </c>
      <c r="J10939" s="417" t="s">
        <v>11284</v>
      </c>
      <c r="K10939" s="417" t="s">
        <v>24336</v>
      </c>
      <c r="L10939" s="417"/>
      <c r="M10939" s="417" t="s">
        <v>28840</v>
      </c>
    </row>
    <row r="10940" spans="1:13" x14ac:dyDescent="0.25">
      <c r="A10940" s="417" t="s">
        <v>3385</v>
      </c>
      <c r="B10940" s="417" t="s">
        <v>3405</v>
      </c>
      <c r="C10940" s="417" t="s">
        <v>24337</v>
      </c>
      <c r="D10940" s="417" t="s">
        <v>73</v>
      </c>
      <c r="E10940" s="423">
        <v>3.8051978991147451E-3</v>
      </c>
      <c r="F10940" s="423">
        <v>9.2319934037311285E-2</v>
      </c>
      <c r="G10940" s="422">
        <v>29.775204127552289</v>
      </c>
      <c r="H10940" s="417" t="s">
        <v>2616</v>
      </c>
      <c r="I10940" s="417" t="s">
        <v>1392</v>
      </c>
      <c r="J10940" s="417" t="s">
        <v>11284</v>
      </c>
      <c r="K10940" s="417" t="s">
        <v>24338</v>
      </c>
      <c r="L10940" s="417"/>
      <c r="M10940" s="417" t="s">
        <v>28840</v>
      </c>
    </row>
    <row r="10941" spans="1:13" x14ac:dyDescent="0.25">
      <c r="A10941" s="417" t="s">
        <v>3385</v>
      </c>
      <c r="B10941" s="417" t="s">
        <v>3405</v>
      </c>
      <c r="C10941" s="417" t="s">
        <v>24339</v>
      </c>
      <c r="D10941" s="417" t="s">
        <v>73</v>
      </c>
      <c r="E10941" s="423">
        <v>5.4622245529378742E-3</v>
      </c>
      <c r="F10941" s="423">
        <v>9.2323670885348444E-2</v>
      </c>
      <c r="G10941" s="422">
        <v>39.299446664674548</v>
      </c>
      <c r="H10941" s="417" t="s">
        <v>2616</v>
      </c>
      <c r="I10941" s="417" t="s">
        <v>1392</v>
      </c>
      <c r="J10941" s="417" t="s">
        <v>11284</v>
      </c>
      <c r="K10941" s="417" t="s">
        <v>24340</v>
      </c>
      <c r="L10941" s="417"/>
      <c r="M10941" s="417" t="s">
        <v>28840</v>
      </c>
    </row>
    <row r="10942" spans="1:13" x14ac:dyDescent="0.25">
      <c r="A10942" s="417" t="s">
        <v>3385</v>
      </c>
      <c r="B10942" s="417" t="s">
        <v>3405</v>
      </c>
      <c r="C10942" s="417" t="s">
        <v>24341</v>
      </c>
      <c r="D10942" s="417" t="s">
        <v>73</v>
      </c>
      <c r="E10942" s="423">
        <v>4.4084102767274437E-3</v>
      </c>
      <c r="F10942" s="423">
        <v>0.1029528005518117</v>
      </c>
      <c r="G10942" s="422">
        <v>33.894855533872217</v>
      </c>
      <c r="H10942" s="417" t="s">
        <v>2616</v>
      </c>
      <c r="I10942" s="417" t="s">
        <v>1392</v>
      </c>
      <c r="J10942" s="417" t="s">
        <v>11284</v>
      </c>
      <c r="K10942" s="417" t="s">
        <v>24342</v>
      </c>
      <c r="L10942" s="417"/>
      <c r="M10942" s="417" t="s">
        <v>28840</v>
      </c>
    </row>
    <row r="10943" spans="1:13" x14ac:dyDescent="0.25">
      <c r="A10943" s="417" t="s">
        <v>3385</v>
      </c>
      <c r="B10943" s="417" t="s">
        <v>2627</v>
      </c>
      <c r="C10943" s="417" t="s">
        <v>24343</v>
      </c>
      <c r="D10943" s="417" t="s">
        <v>88</v>
      </c>
      <c r="E10943" s="423">
        <v>3.045819695527633E-2</v>
      </c>
      <c r="F10943" s="423">
        <v>2.499755552826602E-3</v>
      </c>
      <c r="G10943" s="422">
        <v>122.4898183197899</v>
      </c>
      <c r="H10943" s="417" t="s">
        <v>2616</v>
      </c>
      <c r="I10943" s="417" t="s">
        <v>1392</v>
      </c>
      <c r="J10943" s="417" t="s">
        <v>4016</v>
      </c>
      <c r="K10943" s="417" t="s">
        <v>24344</v>
      </c>
      <c r="L10943" s="417"/>
      <c r="M10943" s="417" t="s">
        <v>28840</v>
      </c>
    </row>
    <row r="10944" spans="1:13" x14ac:dyDescent="0.25">
      <c r="A10944" s="417" t="s">
        <v>3385</v>
      </c>
      <c r="B10944" s="417" t="s">
        <v>2627</v>
      </c>
      <c r="C10944" s="417" t="s">
        <v>24345</v>
      </c>
      <c r="D10944" s="417" t="s">
        <v>88</v>
      </c>
      <c r="E10944" s="423">
        <v>3.7318205555347927E-2</v>
      </c>
      <c r="F10944" s="423">
        <v>3.6789148236570659E-3</v>
      </c>
      <c r="G10944" s="422">
        <v>130.2186778886807</v>
      </c>
      <c r="H10944" s="417" t="s">
        <v>2616</v>
      </c>
      <c r="I10944" s="417" t="s">
        <v>1392</v>
      </c>
      <c r="J10944" s="417" t="s">
        <v>4016</v>
      </c>
      <c r="K10944" s="417" t="s">
        <v>24346</v>
      </c>
      <c r="L10944" s="417"/>
      <c r="M10944" s="417" t="s">
        <v>28840</v>
      </c>
    </row>
    <row r="10945" spans="1:13" x14ac:dyDescent="0.25">
      <c r="A10945" s="417" t="s">
        <v>3385</v>
      </c>
      <c r="B10945" s="417" t="s">
        <v>2627</v>
      </c>
      <c r="C10945" s="417" t="s">
        <v>24347</v>
      </c>
      <c r="D10945" s="417" t="s">
        <v>88</v>
      </c>
      <c r="E10945" s="423">
        <v>2.851964939143219E-2</v>
      </c>
      <c r="F10945" s="423">
        <v>1.8216089564461429E-3</v>
      </c>
      <c r="G10945" s="422">
        <v>125.2618243160891</v>
      </c>
      <c r="H10945" s="417" t="s">
        <v>2616</v>
      </c>
      <c r="I10945" s="417" t="s">
        <v>1392</v>
      </c>
      <c r="J10945" s="417" t="s">
        <v>4016</v>
      </c>
      <c r="K10945" s="417" t="s">
        <v>24348</v>
      </c>
      <c r="L10945" s="417"/>
      <c r="M10945" s="417" t="s">
        <v>28840</v>
      </c>
    </row>
    <row r="10946" spans="1:13" x14ac:dyDescent="0.25">
      <c r="A10946" s="417" t="s">
        <v>3385</v>
      </c>
      <c r="B10946" s="417" t="s">
        <v>2627</v>
      </c>
      <c r="C10946" s="417" t="s">
        <v>24349</v>
      </c>
      <c r="D10946" s="417" t="s">
        <v>88</v>
      </c>
      <c r="E10946" s="423">
        <v>3.1800046662767742E-2</v>
      </c>
      <c r="F10946" s="423">
        <v>2.001216406647896E-3</v>
      </c>
      <c r="G10946" s="422">
        <v>152.359451966455</v>
      </c>
      <c r="H10946" s="417" t="s">
        <v>2616</v>
      </c>
      <c r="I10946" s="417" t="s">
        <v>1392</v>
      </c>
      <c r="J10946" s="417" t="s">
        <v>4016</v>
      </c>
      <c r="K10946" s="417" t="s">
        <v>24350</v>
      </c>
      <c r="L10946" s="417"/>
      <c r="M10946" s="417" t="s">
        <v>28840</v>
      </c>
    </row>
    <row r="10947" spans="1:13" x14ac:dyDescent="0.25">
      <c r="A10947" s="417" t="s">
        <v>3385</v>
      </c>
      <c r="B10947" s="417" t="s">
        <v>2627</v>
      </c>
      <c r="C10947" s="417" t="s">
        <v>24351</v>
      </c>
      <c r="D10947" s="417" t="s">
        <v>88</v>
      </c>
      <c r="E10947" s="423">
        <v>4.0037823690911058E-2</v>
      </c>
      <c r="F10947" s="423">
        <v>2.7365361994191001E-3</v>
      </c>
      <c r="G10947" s="422">
        <v>177.20011336840841</v>
      </c>
      <c r="H10947" s="417" t="s">
        <v>2616</v>
      </c>
      <c r="I10947" s="417" t="s">
        <v>1392</v>
      </c>
      <c r="J10947" s="417" t="s">
        <v>4016</v>
      </c>
      <c r="K10947" s="417" t="s">
        <v>24352</v>
      </c>
      <c r="L10947" s="417"/>
      <c r="M10947" s="417" t="s">
        <v>28840</v>
      </c>
    </row>
    <row r="10948" spans="1:13" x14ac:dyDescent="0.25">
      <c r="A10948" s="417" t="s">
        <v>3385</v>
      </c>
      <c r="B10948" s="417" t="s">
        <v>2627</v>
      </c>
      <c r="C10948" s="417" t="s">
        <v>24353</v>
      </c>
      <c r="D10948" s="417" t="s">
        <v>88</v>
      </c>
      <c r="E10948" s="423">
        <v>4.0243031705423538E-2</v>
      </c>
      <c r="F10948" s="423">
        <v>1.9049049253340371E-3</v>
      </c>
      <c r="G10948" s="422">
        <v>129.54172363758849</v>
      </c>
      <c r="H10948" s="417" t="s">
        <v>2616</v>
      </c>
      <c r="I10948" s="417" t="s">
        <v>1392</v>
      </c>
      <c r="J10948" s="417" t="s">
        <v>4016</v>
      </c>
      <c r="K10948" s="417" t="s">
        <v>24354</v>
      </c>
      <c r="L10948" s="417"/>
      <c r="M10948" s="417" t="s">
        <v>28840</v>
      </c>
    </row>
    <row r="10949" spans="1:13" x14ac:dyDescent="0.25">
      <c r="A10949" s="417" t="s">
        <v>3385</v>
      </c>
      <c r="B10949" s="417" t="s">
        <v>3405</v>
      </c>
      <c r="C10949" s="417" t="s">
        <v>24355</v>
      </c>
      <c r="D10949" s="417" t="s">
        <v>73</v>
      </c>
      <c r="E10949" s="423">
        <v>1.8635642431633469E-3</v>
      </c>
      <c r="F10949" s="423">
        <v>9.6841193636172801E-2</v>
      </c>
      <c r="G10949" s="422">
        <v>20.7811869927015</v>
      </c>
      <c r="H10949" s="417" t="s">
        <v>2616</v>
      </c>
      <c r="I10949" s="417" t="s">
        <v>1392</v>
      </c>
      <c r="J10949" s="417" t="s">
        <v>24333</v>
      </c>
      <c r="K10949" s="417" t="s">
        <v>24356</v>
      </c>
      <c r="L10949" s="417"/>
      <c r="M10949" s="417" t="s">
        <v>28840</v>
      </c>
    </row>
    <row r="10950" spans="1:13" x14ac:dyDescent="0.25">
      <c r="A10950" s="417" t="s">
        <v>3385</v>
      </c>
      <c r="B10950" s="417" t="s">
        <v>2627</v>
      </c>
      <c r="C10950" s="417" t="s">
        <v>24357</v>
      </c>
      <c r="D10950" s="417" t="s">
        <v>88</v>
      </c>
      <c r="E10950" s="423">
        <v>3.3132649540822068E-2</v>
      </c>
      <c r="F10950" s="423">
        <v>2.341772015166181E-3</v>
      </c>
      <c r="G10950" s="422">
        <v>135.39530427761861</v>
      </c>
      <c r="H10950" s="417" t="s">
        <v>2616</v>
      </c>
      <c r="I10950" s="417" t="s">
        <v>1392</v>
      </c>
      <c r="J10950" s="417" t="s">
        <v>4016</v>
      </c>
      <c r="K10950" s="417" t="s">
        <v>24358</v>
      </c>
      <c r="L10950" s="417"/>
      <c r="M10950" s="417" t="s">
        <v>28840</v>
      </c>
    </row>
    <row r="10951" spans="1:13" x14ac:dyDescent="0.25">
      <c r="A10951" s="417" t="s">
        <v>3385</v>
      </c>
      <c r="B10951" s="417" t="s">
        <v>2627</v>
      </c>
      <c r="C10951" s="417" t="s">
        <v>24359</v>
      </c>
      <c r="D10951" s="417" t="s">
        <v>88</v>
      </c>
      <c r="E10951" s="423">
        <v>3.6796340561664927E-2</v>
      </c>
      <c r="F10951" s="423">
        <v>2.3742244953779061E-3</v>
      </c>
      <c r="G10951" s="422">
        <v>139.563328355435</v>
      </c>
      <c r="H10951" s="417" t="s">
        <v>2616</v>
      </c>
      <c r="I10951" s="417" t="s">
        <v>1392</v>
      </c>
      <c r="J10951" s="417" t="s">
        <v>4016</v>
      </c>
      <c r="K10951" s="417" t="s">
        <v>24360</v>
      </c>
      <c r="L10951" s="417"/>
      <c r="M10951" s="417" t="s">
        <v>28840</v>
      </c>
    </row>
    <row r="10952" spans="1:13" x14ac:dyDescent="0.25">
      <c r="A10952" s="417" t="s">
        <v>3385</v>
      </c>
      <c r="B10952" s="417" t="s">
        <v>2627</v>
      </c>
      <c r="C10952" s="417" t="s">
        <v>24361</v>
      </c>
      <c r="D10952" s="417" t="s">
        <v>88</v>
      </c>
      <c r="E10952" s="423">
        <v>4.2541882977491091E-2</v>
      </c>
      <c r="F10952" s="423">
        <v>5.1076691036426192E-3</v>
      </c>
      <c r="G10952" s="422">
        <v>145.65594635035771</v>
      </c>
      <c r="H10952" s="417" t="s">
        <v>2616</v>
      </c>
      <c r="I10952" s="417" t="s">
        <v>1392</v>
      </c>
      <c r="J10952" s="417" t="s">
        <v>4016</v>
      </c>
      <c r="K10952" s="417" t="s">
        <v>24362</v>
      </c>
      <c r="L10952" s="417"/>
      <c r="M10952" s="417" t="s">
        <v>28840</v>
      </c>
    </row>
    <row r="10953" spans="1:13" x14ac:dyDescent="0.25">
      <c r="A10953" s="417" t="s">
        <v>3385</v>
      </c>
      <c r="B10953" s="417" t="s">
        <v>2627</v>
      </c>
      <c r="C10953" s="417" t="s">
        <v>1001</v>
      </c>
      <c r="D10953" s="417" t="s">
        <v>88</v>
      </c>
      <c r="E10953" s="423">
        <v>3.6517340279654753E-2</v>
      </c>
      <c r="F10953" s="423">
        <v>3.1815028239941859E-3</v>
      </c>
      <c r="G10953" s="422">
        <v>140.87587156328999</v>
      </c>
      <c r="H10953" s="417" t="s">
        <v>2616</v>
      </c>
      <c r="I10953" s="417" t="s">
        <v>28841</v>
      </c>
      <c r="J10953" s="417" t="s">
        <v>4016</v>
      </c>
      <c r="K10953" s="417" t="s">
        <v>24363</v>
      </c>
      <c r="L10953" s="417"/>
      <c r="M10953" s="417" t="s">
        <v>28840</v>
      </c>
    </row>
    <row r="10954" spans="1:13" x14ac:dyDescent="0.25">
      <c r="A10954" s="417" t="s">
        <v>3385</v>
      </c>
      <c r="B10954" s="417" t="s">
        <v>2627</v>
      </c>
      <c r="C10954" s="417" t="s">
        <v>24364</v>
      </c>
      <c r="D10954" s="417" t="s">
        <v>88</v>
      </c>
      <c r="E10954" s="423">
        <v>4.4065041455963933E-2</v>
      </c>
      <c r="F10954" s="423">
        <v>4.2921027952786354E-3</v>
      </c>
      <c r="G10954" s="422">
        <v>146.50002903549961</v>
      </c>
      <c r="H10954" s="417" t="s">
        <v>2616</v>
      </c>
      <c r="I10954" s="417" t="s">
        <v>1392</v>
      </c>
      <c r="J10954" s="417" t="s">
        <v>4016</v>
      </c>
      <c r="K10954" s="417" t="s">
        <v>24365</v>
      </c>
      <c r="L10954" s="417"/>
      <c r="M10954" s="417" t="s">
        <v>28840</v>
      </c>
    </row>
    <row r="10955" spans="1:13" x14ac:dyDescent="0.25">
      <c r="A10955" s="417" t="s">
        <v>3385</v>
      </c>
      <c r="B10955" s="417" t="s">
        <v>2627</v>
      </c>
      <c r="C10955" s="417" t="s">
        <v>24366</v>
      </c>
      <c r="D10955" s="417" t="s">
        <v>88</v>
      </c>
      <c r="E10955" s="423">
        <v>4.6900778899727998E-2</v>
      </c>
      <c r="F10955" s="423">
        <v>3.505632964197921E-3</v>
      </c>
      <c r="G10955" s="422">
        <v>167.73362010628469</v>
      </c>
      <c r="H10955" s="417" t="s">
        <v>2616</v>
      </c>
      <c r="I10955" s="417" t="s">
        <v>1392</v>
      </c>
      <c r="J10955" s="417" t="s">
        <v>4016</v>
      </c>
      <c r="K10955" s="417" t="s">
        <v>24367</v>
      </c>
      <c r="L10955" s="417"/>
      <c r="M10955" s="417" t="s">
        <v>28840</v>
      </c>
    </row>
    <row r="10956" spans="1:13" x14ac:dyDescent="0.25">
      <c r="A10956" s="417" t="s">
        <v>3385</v>
      </c>
      <c r="B10956" s="417" t="s">
        <v>2627</v>
      </c>
      <c r="C10956" s="417" t="s">
        <v>24368</v>
      </c>
      <c r="D10956" s="417" t="s">
        <v>88</v>
      </c>
      <c r="E10956" s="423">
        <v>3.6794087692961629E-2</v>
      </c>
      <c r="F10956" s="423">
        <v>2.5920905990200918E-3</v>
      </c>
      <c r="G10956" s="422">
        <v>159.23363795208229</v>
      </c>
      <c r="H10956" s="417" t="s">
        <v>2616</v>
      </c>
      <c r="I10956" s="417" t="s">
        <v>1392</v>
      </c>
      <c r="J10956" s="417" t="s">
        <v>4016</v>
      </c>
      <c r="K10956" s="417" t="s">
        <v>24369</v>
      </c>
      <c r="L10956" s="417"/>
      <c r="M10956" s="417" t="s">
        <v>28840</v>
      </c>
    </row>
    <row r="10957" spans="1:13" x14ac:dyDescent="0.25">
      <c r="A10957" s="417" t="s">
        <v>3385</v>
      </c>
      <c r="B10957" s="417" t="s">
        <v>2627</v>
      </c>
      <c r="C10957" s="417" t="s">
        <v>24370</v>
      </c>
      <c r="D10957" s="417" t="s">
        <v>88</v>
      </c>
      <c r="E10957" s="423">
        <v>4.3031939302085438E-2</v>
      </c>
      <c r="F10957" s="423">
        <v>1.924633570593119E-3</v>
      </c>
      <c r="G10957" s="422">
        <v>131.70165849018369</v>
      </c>
      <c r="H10957" s="417" t="s">
        <v>2616</v>
      </c>
      <c r="I10957" s="417" t="s">
        <v>1392</v>
      </c>
      <c r="J10957" s="417" t="s">
        <v>4016</v>
      </c>
      <c r="K10957" s="417" t="s">
        <v>24371</v>
      </c>
      <c r="L10957" s="417"/>
      <c r="M10957" s="417" t="s">
        <v>28840</v>
      </c>
    </row>
    <row r="10958" spans="1:13" x14ac:dyDescent="0.25">
      <c r="A10958" s="417" t="s">
        <v>3385</v>
      </c>
      <c r="B10958" s="417" t="s">
        <v>2627</v>
      </c>
      <c r="C10958" s="417" t="s">
        <v>24372</v>
      </c>
      <c r="D10958" s="417" t="s">
        <v>83</v>
      </c>
      <c r="E10958" s="423">
        <v>25.983153448910361</v>
      </c>
      <c r="F10958" s="423">
        <v>115.4298839719806</v>
      </c>
      <c r="G10958" s="422">
        <v>111646.4551083996</v>
      </c>
      <c r="H10958" s="417" t="s">
        <v>2616</v>
      </c>
      <c r="I10958" s="417" t="s">
        <v>1392</v>
      </c>
      <c r="J10958" s="417" t="s">
        <v>4025</v>
      </c>
      <c r="K10958" s="417" t="s">
        <v>24373</v>
      </c>
      <c r="L10958" s="417"/>
      <c r="M10958" s="417" t="s">
        <v>28840</v>
      </c>
    </row>
    <row r="10959" spans="1:13" x14ac:dyDescent="0.25">
      <c r="A10959" s="417" t="s">
        <v>3385</v>
      </c>
      <c r="B10959" s="417" t="s">
        <v>2627</v>
      </c>
      <c r="C10959" s="417" t="s">
        <v>24374</v>
      </c>
      <c r="D10959" s="417" t="s">
        <v>989</v>
      </c>
      <c r="E10959" s="423">
        <v>60142.183979795584</v>
      </c>
      <c r="F10959" s="423">
        <v>17798.32607888131</v>
      </c>
      <c r="G10959" s="422">
        <v>134879975.7372517</v>
      </c>
      <c r="H10959" s="417" t="s">
        <v>2616</v>
      </c>
      <c r="I10959" s="417" t="s">
        <v>1392</v>
      </c>
      <c r="J10959" s="417" t="s">
        <v>18364</v>
      </c>
      <c r="K10959" s="417" t="s">
        <v>24375</v>
      </c>
      <c r="L10959" s="417"/>
      <c r="M10959" s="417" t="s">
        <v>28840</v>
      </c>
    </row>
    <row r="10960" spans="1:13" x14ac:dyDescent="0.25">
      <c r="A10960" s="417" t="s">
        <v>3385</v>
      </c>
      <c r="B10960" s="417" t="s">
        <v>2627</v>
      </c>
      <c r="C10960" s="417" t="s">
        <v>24376</v>
      </c>
      <c r="D10960" s="417" t="s">
        <v>88</v>
      </c>
      <c r="E10960" s="423">
        <v>8.70154901353348E-2</v>
      </c>
      <c r="F10960" s="423">
        <v>3.7863755246327818E-2</v>
      </c>
      <c r="G10960" s="422">
        <v>260.09039450223878</v>
      </c>
      <c r="H10960" s="417" t="s">
        <v>2616</v>
      </c>
      <c r="I10960" s="417" t="s">
        <v>1392</v>
      </c>
      <c r="J10960" s="417" t="s">
        <v>4016</v>
      </c>
      <c r="K10960" s="417" t="s">
        <v>24377</v>
      </c>
      <c r="L10960" s="417"/>
      <c r="M10960" s="417" t="s">
        <v>28840</v>
      </c>
    </row>
    <row r="10961" spans="1:13" x14ac:dyDescent="0.25">
      <c r="A10961" s="417" t="s">
        <v>3385</v>
      </c>
      <c r="B10961" s="417" t="s">
        <v>2627</v>
      </c>
      <c r="C10961" s="417" t="s">
        <v>24378</v>
      </c>
      <c r="D10961" s="417" t="s">
        <v>88</v>
      </c>
      <c r="E10961" s="423">
        <v>1.396353269227651</v>
      </c>
      <c r="F10961" s="423">
        <v>5.9995519069514683E-2</v>
      </c>
      <c r="G10961" s="422">
        <v>2971.2149705679972</v>
      </c>
      <c r="H10961" s="417" t="s">
        <v>2616</v>
      </c>
      <c r="I10961" s="417" t="s">
        <v>1392</v>
      </c>
      <c r="J10961" s="417" t="s">
        <v>3387</v>
      </c>
      <c r="K10961" s="417" t="s">
        <v>24379</v>
      </c>
      <c r="L10961" s="417"/>
      <c r="M10961" s="417" t="s">
        <v>28840</v>
      </c>
    </row>
    <row r="10962" spans="1:13" x14ac:dyDescent="0.25">
      <c r="A10962" s="417" t="s">
        <v>3385</v>
      </c>
      <c r="B10962" s="417" t="s">
        <v>2627</v>
      </c>
      <c r="C10962" s="417" t="s">
        <v>24380</v>
      </c>
      <c r="D10962" s="417" t="s">
        <v>88</v>
      </c>
      <c r="E10962" s="423">
        <v>2.5582486653361141</v>
      </c>
      <c r="F10962" s="423">
        <v>3.2351499999999998E-2</v>
      </c>
      <c r="G10962" s="422">
        <v>49053.662040838091</v>
      </c>
      <c r="H10962" s="417" t="s">
        <v>2616</v>
      </c>
      <c r="I10962" s="417" t="s">
        <v>1392</v>
      </c>
      <c r="J10962" s="417" t="s">
        <v>3387</v>
      </c>
      <c r="K10962" s="417" t="s">
        <v>24381</v>
      </c>
      <c r="L10962" s="417"/>
      <c r="M10962" s="417" t="s">
        <v>28840</v>
      </c>
    </row>
    <row r="10963" spans="1:13" x14ac:dyDescent="0.25">
      <c r="A10963" s="417" t="s">
        <v>3385</v>
      </c>
      <c r="B10963" s="417" t="s">
        <v>2627</v>
      </c>
      <c r="C10963" s="417" t="s">
        <v>24382</v>
      </c>
      <c r="D10963" s="417" t="s">
        <v>88</v>
      </c>
      <c r="E10963" s="423">
        <v>3.1643775893191521</v>
      </c>
      <c r="F10963" s="423">
        <v>6.7011399999999999E-2</v>
      </c>
      <c r="G10963" s="422">
        <v>9791.6999079720772</v>
      </c>
      <c r="H10963" s="417" t="s">
        <v>2616</v>
      </c>
      <c r="I10963" s="417" t="s">
        <v>1392</v>
      </c>
      <c r="J10963" s="417" t="s">
        <v>3387</v>
      </c>
      <c r="K10963" s="417" t="s">
        <v>24383</v>
      </c>
      <c r="L10963" s="417"/>
      <c r="M10963" s="417" t="s">
        <v>28840</v>
      </c>
    </row>
    <row r="10964" spans="1:13" x14ac:dyDescent="0.25">
      <c r="A10964" s="417" t="s">
        <v>3385</v>
      </c>
      <c r="B10964" s="417" t="s">
        <v>2623</v>
      </c>
      <c r="C10964" s="417" t="s">
        <v>24384</v>
      </c>
      <c r="D10964" s="417" t="s">
        <v>88</v>
      </c>
      <c r="E10964" s="423">
        <v>6.965990757493515E-3</v>
      </c>
      <c r="F10964" s="423">
        <v>4.2379298850917939E-4</v>
      </c>
      <c r="G10964" s="422">
        <v>13.255832612359329</v>
      </c>
      <c r="H10964" s="417" t="s">
        <v>2616</v>
      </c>
      <c r="I10964" s="417" t="s">
        <v>1392</v>
      </c>
      <c r="J10964" s="417" t="s">
        <v>4364</v>
      </c>
      <c r="K10964" s="417" t="s">
        <v>24385</v>
      </c>
      <c r="L10964" s="417"/>
      <c r="M10964" s="417" t="s">
        <v>28840</v>
      </c>
    </row>
    <row r="10965" spans="1:13" x14ac:dyDescent="0.25">
      <c r="A10965" s="417" t="s">
        <v>3385</v>
      </c>
      <c r="B10965" s="417" t="s">
        <v>2627</v>
      </c>
      <c r="C10965" s="417" t="s">
        <v>24386</v>
      </c>
      <c r="D10965" s="417" t="s">
        <v>88</v>
      </c>
      <c r="E10965" s="423">
        <v>0.50675465540358144</v>
      </c>
      <c r="F10965" s="423">
        <v>5.4729707740236479E-2</v>
      </c>
      <c r="G10965" s="422">
        <v>725.90466059803691</v>
      </c>
      <c r="H10965" s="417" t="s">
        <v>2616</v>
      </c>
      <c r="I10965" s="417" t="s">
        <v>1392</v>
      </c>
      <c r="J10965" s="417" t="s">
        <v>11052</v>
      </c>
      <c r="K10965" s="417" t="s">
        <v>24387</v>
      </c>
      <c r="L10965" s="417"/>
      <c r="M10965" s="417" t="s">
        <v>28840</v>
      </c>
    </row>
    <row r="10966" spans="1:13" x14ac:dyDescent="0.25">
      <c r="A10966" s="417" t="s">
        <v>3385</v>
      </c>
      <c r="B10966" s="417" t="s">
        <v>2627</v>
      </c>
      <c r="C10966" s="417" t="s">
        <v>24388</v>
      </c>
      <c r="D10966" s="417" t="s">
        <v>88</v>
      </c>
      <c r="E10966" s="423">
        <v>0.50675465540358144</v>
      </c>
      <c r="F10966" s="423">
        <v>5.4729707740236479E-2</v>
      </c>
      <c r="G10966" s="422">
        <v>717.31426059803698</v>
      </c>
      <c r="H10966" s="417" t="s">
        <v>2616</v>
      </c>
      <c r="I10966" s="417" t="s">
        <v>1392</v>
      </c>
      <c r="J10966" s="417" t="s">
        <v>11052</v>
      </c>
      <c r="K10966" s="417" t="s">
        <v>24389</v>
      </c>
      <c r="L10966" s="417"/>
      <c r="M10966" s="417" t="s">
        <v>28840</v>
      </c>
    </row>
    <row r="10967" spans="1:13" x14ac:dyDescent="0.25">
      <c r="A10967" s="417" t="s">
        <v>3385</v>
      </c>
      <c r="B10967" s="417" t="s">
        <v>2627</v>
      </c>
      <c r="C10967" s="417" t="s">
        <v>24390</v>
      </c>
      <c r="D10967" s="417" t="s">
        <v>83</v>
      </c>
      <c r="E10967" s="423">
        <v>180.03513769766931</v>
      </c>
      <c r="F10967" s="423">
        <v>19.674351692646269</v>
      </c>
      <c r="G10967" s="422">
        <v>247539.72135455039</v>
      </c>
      <c r="H10967" s="417" t="s">
        <v>2616</v>
      </c>
      <c r="I10967" s="417" t="s">
        <v>1392</v>
      </c>
      <c r="J10967" s="417" t="s">
        <v>4016</v>
      </c>
      <c r="K10967" s="417" t="s">
        <v>24391</v>
      </c>
      <c r="L10967" s="417"/>
      <c r="M10967" s="417" t="s">
        <v>28840</v>
      </c>
    </row>
    <row r="10968" spans="1:13" x14ac:dyDescent="0.25">
      <c r="A10968" s="417" t="s">
        <v>3385</v>
      </c>
      <c r="B10968" s="417" t="s">
        <v>2627</v>
      </c>
      <c r="C10968" s="417" t="s">
        <v>24392</v>
      </c>
      <c r="D10968" s="417" t="s">
        <v>83</v>
      </c>
      <c r="E10968" s="423">
        <v>203.6428767354459</v>
      </c>
      <c r="F10968" s="423">
        <v>3.6830400000000001</v>
      </c>
      <c r="G10968" s="422">
        <v>264397.87225366803</v>
      </c>
      <c r="H10968" s="417" t="s">
        <v>2616</v>
      </c>
      <c r="I10968" s="417" t="s">
        <v>1392</v>
      </c>
      <c r="J10968" s="417" t="s">
        <v>3627</v>
      </c>
      <c r="K10968" s="417" t="s">
        <v>24393</v>
      </c>
      <c r="L10968" s="417"/>
      <c r="M10968" s="417" t="s">
        <v>28840</v>
      </c>
    </row>
    <row r="10969" spans="1:13" x14ac:dyDescent="0.25">
      <c r="A10969" s="417" t="s">
        <v>3385</v>
      </c>
      <c r="B10969" s="417" t="s">
        <v>2627</v>
      </c>
      <c r="C10969" s="417" t="s">
        <v>24394</v>
      </c>
      <c r="D10969" s="417" t="s">
        <v>88</v>
      </c>
      <c r="E10969" s="423">
        <v>6.4025597514130464E-2</v>
      </c>
      <c r="F10969" s="423">
        <v>5.9788651864261053E-3</v>
      </c>
      <c r="G10969" s="422">
        <v>198.42209309650781</v>
      </c>
      <c r="H10969" s="417" t="s">
        <v>2616</v>
      </c>
      <c r="I10969" s="417" t="s">
        <v>1392</v>
      </c>
      <c r="J10969" s="417" t="s">
        <v>4016</v>
      </c>
      <c r="K10969" s="417" t="s">
        <v>24395</v>
      </c>
      <c r="L10969" s="417"/>
      <c r="M10969" s="417" t="s">
        <v>28840</v>
      </c>
    </row>
    <row r="10970" spans="1:13" x14ac:dyDescent="0.25">
      <c r="A10970" s="417" t="s">
        <v>3385</v>
      </c>
      <c r="B10970" s="417" t="s">
        <v>2437</v>
      </c>
      <c r="C10970" s="417" t="s">
        <v>24396</v>
      </c>
      <c r="D10970" s="417" t="s">
        <v>73</v>
      </c>
      <c r="E10970" s="423">
        <v>1.525739218316091E-2</v>
      </c>
      <c r="F10970" s="423">
        <v>1.2614227054123051E-3</v>
      </c>
      <c r="G10970" s="422">
        <v>30.471847824229659</v>
      </c>
      <c r="H10970" s="417" t="s">
        <v>2616</v>
      </c>
      <c r="I10970" s="417" t="s">
        <v>1392</v>
      </c>
      <c r="J10970" s="417" t="s">
        <v>10772</v>
      </c>
      <c r="K10970" s="417" t="s">
        <v>24397</v>
      </c>
      <c r="L10970" s="417"/>
      <c r="M10970" s="417" t="s">
        <v>28840</v>
      </c>
    </row>
    <row r="10971" spans="1:13" x14ac:dyDescent="0.25">
      <c r="A10971" s="417" t="s">
        <v>3385</v>
      </c>
      <c r="B10971" s="417" t="s">
        <v>2627</v>
      </c>
      <c r="C10971" s="417" t="s">
        <v>24398</v>
      </c>
      <c r="D10971" s="417" t="s">
        <v>989</v>
      </c>
      <c r="E10971" s="423">
        <v>2568392.8674290599</v>
      </c>
      <c r="F10971" s="423">
        <v>471854.32936644851</v>
      </c>
      <c r="G10971" s="422">
        <v>5794674951.8034067</v>
      </c>
      <c r="H10971" s="417" t="s">
        <v>2616</v>
      </c>
      <c r="I10971" s="417" t="s">
        <v>1392</v>
      </c>
      <c r="J10971" s="417" t="s">
        <v>18364</v>
      </c>
      <c r="K10971" s="417" t="s">
        <v>24399</v>
      </c>
      <c r="L10971" s="417"/>
      <c r="M10971" s="417" t="s">
        <v>28840</v>
      </c>
    </row>
    <row r="10972" spans="1:13" x14ac:dyDescent="0.25">
      <c r="A10972" s="417" t="s">
        <v>3385</v>
      </c>
      <c r="B10972" s="417" t="s">
        <v>2627</v>
      </c>
      <c r="C10972" s="417" t="s">
        <v>24400</v>
      </c>
      <c r="D10972" s="417" t="s">
        <v>989</v>
      </c>
      <c r="E10972" s="423">
        <v>72499673.798209175</v>
      </c>
      <c r="F10972" s="423">
        <v>11603139.44622889</v>
      </c>
      <c r="G10972" s="422">
        <v>169345368241.33539</v>
      </c>
      <c r="H10972" s="417" t="s">
        <v>2616</v>
      </c>
      <c r="I10972" s="417" t="s">
        <v>1392</v>
      </c>
      <c r="J10972" s="417" t="s">
        <v>18364</v>
      </c>
      <c r="K10972" s="417" t="s">
        <v>24401</v>
      </c>
      <c r="L10972" s="417"/>
      <c r="M10972" s="417" t="s">
        <v>28840</v>
      </c>
    </row>
    <row r="10973" spans="1:13" x14ac:dyDescent="0.25">
      <c r="A10973" s="417" t="s">
        <v>3385</v>
      </c>
      <c r="B10973" s="417" t="s">
        <v>23629</v>
      </c>
      <c r="C10973" s="417" t="s">
        <v>24402</v>
      </c>
      <c r="D10973" s="417" t="s">
        <v>4427</v>
      </c>
      <c r="E10973" s="423">
        <v>2.0537748637878241E-2</v>
      </c>
      <c r="F10973" s="423">
        <v>1.480679378906723E-3</v>
      </c>
      <c r="G10973" s="422">
        <v>88.897502919607774</v>
      </c>
      <c r="H10973" s="417" t="s">
        <v>2616</v>
      </c>
      <c r="I10973" s="417" t="s">
        <v>1392</v>
      </c>
      <c r="J10973" s="417" t="s">
        <v>23674</v>
      </c>
      <c r="K10973" s="417" t="s">
        <v>24403</v>
      </c>
      <c r="L10973" s="417"/>
      <c r="M10973" s="417" t="s">
        <v>28840</v>
      </c>
    </row>
    <row r="10974" spans="1:13" x14ac:dyDescent="0.25">
      <c r="A10974" s="417" t="s">
        <v>3385</v>
      </c>
      <c r="B10974" s="417" t="s">
        <v>2437</v>
      </c>
      <c r="C10974" s="417" t="s">
        <v>24404</v>
      </c>
      <c r="D10974" s="417" t="s">
        <v>989</v>
      </c>
      <c r="E10974" s="423">
        <v>272879.41152002121</v>
      </c>
      <c r="F10974" s="423">
        <v>29718.934998164659</v>
      </c>
      <c r="G10974" s="422">
        <v>1227275111.3515489</v>
      </c>
      <c r="H10974" s="417" t="s">
        <v>2616</v>
      </c>
      <c r="I10974" s="417" t="s">
        <v>1392</v>
      </c>
      <c r="J10974" s="417" t="s">
        <v>20822</v>
      </c>
      <c r="K10974" s="417" t="s">
        <v>24405</v>
      </c>
      <c r="L10974" s="417"/>
      <c r="M10974" s="417" t="s">
        <v>28840</v>
      </c>
    </row>
    <row r="10975" spans="1:13" x14ac:dyDescent="0.25">
      <c r="A10975" s="417" t="s">
        <v>3385</v>
      </c>
      <c r="B10975" s="417" t="s">
        <v>2437</v>
      </c>
      <c r="C10975" s="417" t="s">
        <v>24406</v>
      </c>
      <c r="D10975" s="417" t="s">
        <v>989</v>
      </c>
      <c r="E10975" s="423">
        <v>403807.69957819307</v>
      </c>
      <c r="F10975" s="423">
        <v>41499.374132247191</v>
      </c>
      <c r="G10975" s="422">
        <v>1865445794.777205</v>
      </c>
      <c r="H10975" s="417" t="s">
        <v>2616</v>
      </c>
      <c r="I10975" s="417" t="s">
        <v>1392</v>
      </c>
      <c r="J10975" s="417" t="s">
        <v>20822</v>
      </c>
      <c r="K10975" s="417" t="s">
        <v>24407</v>
      </c>
      <c r="L10975" s="417"/>
      <c r="M10975" s="417" t="s">
        <v>28840</v>
      </c>
    </row>
    <row r="10976" spans="1:13" x14ac:dyDescent="0.25">
      <c r="A10976" s="417" t="s">
        <v>3385</v>
      </c>
      <c r="B10976" s="417" t="s">
        <v>2437</v>
      </c>
      <c r="C10976" s="417" t="s">
        <v>24408</v>
      </c>
      <c r="D10976" s="417" t="s">
        <v>989</v>
      </c>
      <c r="E10976" s="423">
        <v>1027925.278315968</v>
      </c>
      <c r="F10976" s="423">
        <v>100362.6009111966</v>
      </c>
      <c r="G10976" s="422">
        <v>4004698592.484251</v>
      </c>
      <c r="H10976" s="417" t="s">
        <v>2616</v>
      </c>
      <c r="I10976" s="417" t="s">
        <v>1392</v>
      </c>
      <c r="J10976" s="417" t="s">
        <v>20822</v>
      </c>
      <c r="K10976" s="417" t="s">
        <v>24409</v>
      </c>
      <c r="L10976" s="417"/>
      <c r="M10976" s="417" t="s">
        <v>28840</v>
      </c>
    </row>
    <row r="10977" spans="1:13" x14ac:dyDescent="0.25">
      <c r="A10977" s="417" t="s">
        <v>3385</v>
      </c>
      <c r="B10977" s="417" t="s">
        <v>2627</v>
      </c>
      <c r="C10977" s="417" t="s">
        <v>24410</v>
      </c>
      <c r="D10977" s="417" t="s">
        <v>88</v>
      </c>
      <c r="E10977" s="423">
        <v>387.38651167605889</v>
      </c>
      <c r="F10977" s="423">
        <v>48.07579459392467</v>
      </c>
      <c r="G10977" s="422">
        <v>811793.5320485218</v>
      </c>
      <c r="H10977" s="417" t="s">
        <v>2616</v>
      </c>
      <c r="I10977" s="417" t="s">
        <v>1392</v>
      </c>
      <c r="J10977" s="417" t="s">
        <v>3932</v>
      </c>
      <c r="K10977" s="417" t="s">
        <v>24411</v>
      </c>
      <c r="L10977" s="417"/>
      <c r="M10977" s="417" t="s">
        <v>28840</v>
      </c>
    </row>
    <row r="10978" spans="1:13" x14ac:dyDescent="0.25">
      <c r="A10978" s="417" t="s">
        <v>3385</v>
      </c>
      <c r="B10978" s="417" t="s">
        <v>2627</v>
      </c>
      <c r="C10978" s="417" t="s">
        <v>24412</v>
      </c>
      <c r="D10978" s="417" t="s">
        <v>88</v>
      </c>
      <c r="E10978" s="423">
        <v>387.42550313569529</v>
      </c>
      <c r="F10978" s="423">
        <v>48.079477701037078</v>
      </c>
      <c r="G10978" s="422">
        <v>811879.2997836757</v>
      </c>
      <c r="H10978" s="417" t="s">
        <v>2616</v>
      </c>
      <c r="I10978" s="417" t="s">
        <v>1392</v>
      </c>
      <c r="J10978" s="417" t="s">
        <v>3932</v>
      </c>
      <c r="K10978" s="417" t="s">
        <v>24413</v>
      </c>
      <c r="L10978" s="417"/>
      <c r="M10978" s="417" t="s">
        <v>28840</v>
      </c>
    </row>
    <row r="10979" spans="1:13" x14ac:dyDescent="0.25">
      <c r="A10979" s="417" t="s">
        <v>3385</v>
      </c>
      <c r="B10979" s="417" t="s">
        <v>2627</v>
      </c>
      <c r="C10979" s="417" t="s">
        <v>24414</v>
      </c>
      <c r="D10979" s="417" t="s">
        <v>88</v>
      </c>
      <c r="E10979" s="423">
        <v>1.3045583022285661</v>
      </c>
      <c r="F10979" s="423">
        <v>2.0084511361208011E-2</v>
      </c>
      <c r="G10979" s="422">
        <v>2567.3293309359178</v>
      </c>
      <c r="H10979" s="417" t="s">
        <v>2616</v>
      </c>
      <c r="I10979" s="417" t="s">
        <v>1392</v>
      </c>
      <c r="J10979" s="417" t="s">
        <v>24415</v>
      </c>
      <c r="K10979" s="417" t="s">
        <v>24416</v>
      </c>
      <c r="L10979" s="417"/>
      <c r="M10979" s="417" t="s">
        <v>28840</v>
      </c>
    </row>
    <row r="10980" spans="1:13" x14ac:dyDescent="0.25">
      <c r="A10980" s="417" t="s">
        <v>3385</v>
      </c>
      <c r="B10980" s="417" t="s">
        <v>2627</v>
      </c>
      <c r="C10980" s="417" t="s">
        <v>24417</v>
      </c>
      <c r="D10980" s="417" t="s">
        <v>88</v>
      </c>
      <c r="E10980" s="423">
        <v>4.6324924418435272</v>
      </c>
      <c r="F10980" s="423">
        <v>5.3432817872996398E-2</v>
      </c>
      <c r="G10980" s="422">
        <v>6370.3941568278015</v>
      </c>
      <c r="H10980" s="417" t="s">
        <v>2616</v>
      </c>
      <c r="I10980" s="417" t="s">
        <v>1392</v>
      </c>
      <c r="J10980" s="417" t="s">
        <v>24415</v>
      </c>
      <c r="K10980" s="417" t="s">
        <v>24418</v>
      </c>
      <c r="L10980" s="417"/>
      <c r="M10980" s="417" t="s">
        <v>28840</v>
      </c>
    </row>
    <row r="10981" spans="1:13" x14ac:dyDescent="0.25">
      <c r="A10981" s="417" t="s">
        <v>3385</v>
      </c>
      <c r="B10981" s="417" t="s">
        <v>2627</v>
      </c>
      <c r="C10981" s="417" t="s">
        <v>24419</v>
      </c>
      <c r="D10981" s="417" t="s">
        <v>88</v>
      </c>
      <c r="E10981" s="423">
        <v>1.30474954330698</v>
      </c>
      <c r="F10981" s="423">
        <v>2.0087537390869419E-2</v>
      </c>
      <c r="G10981" s="422">
        <v>2567.698605691824</v>
      </c>
      <c r="H10981" s="417" t="s">
        <v>2616</v>
      </c>
      <c r="I10981" s="417" t="s">
        <v>1392</v>
      </c>
      <c r="J10981" s="417" t="s">
        <v>24415</v>
      </c>
      <c r="K10981" s="417" t="s">
        <v>24420</v>
      </c>
      <c r="L10981" s="417"/>
      <c r="M10981" s="417" t="s">
        <v>28840</v>
      </c>
    </row>
    <row r="10982" spans="1:13" x14ac:dyDescent="0.25">
      <c r="A10982" s="417" t="s">
        <v>3385</v>
      </c>
      <c r="B10982" s="417" t="s">
        <v>2627</v>
      </c>
      <c r="C10982" s="417" t="s">
        <v>24421</v>
      </c>
      <c r="D10982" s="417" t="s">
        <v>88</v>
      </c>
      <c r="E10982" s="423">
        <v>1.304690394795933</v>
      </c>
      <c r="F10982" s="423">
        <v>2.0086511551245821E-2</v>
      </c>
      <c r="G10982" s="422">
        <v>2567.587095706529</v>
      </c>
      <c r="H10982" s="417" t="s">
        <v>2616</v>
      </c>
      <c r="I10982" s="417" t="s">
        <v>1392</v>
      </c>
      <c r="J10982" s="417" t="s">
        <v>24415</v>
      </c>
      <c r="K10982" s="417" t="s">
        <v>24422</v>
      </c>
      <c r="L10982" s="417"/>
      <c r="M10982" s="417" t="s">
        <v>28840</v>
      </c>
    </row>
    <row r="10983" spans="1:13" x14ac:dyDescent="0.25">
      <c r="A10983" s="417" t="s">
        <v>3385</v>
      </c>
      <c r="B10983" s="417" t="s">
        <v>2627</v>
      </c>
      <c r="C10983" s="417" t="s">
        <v>24423</v>
      </c>
      <c r="D10983" s="417" t="s">
        <v>88</v>
      </c>
      <c r="E10983" s="423">
        <v>5.4425091742917111</v>
      </c>
      <c r="F10983" s="423">
        <v>0.23062196811605831</v>
      </c>
      <c r="G10983" s="422">
        <v>10281.00208554171</v>
      </c>
      <c r="H10983" s="417" t="s">
        <v>2616</v>
      </c>
      <c r="I10983" s="417" t="s">
        <v>1392</v>
      </c>
      <c r="J10983" s="417" t="s">
        <v>24424</v>
      </c>
      <c r="K10983" s="417" t="s">
        <v>24425</v>
      </c>
      <c r="L10983" s="417"/>
      <c r="M10983" s="417" t="s">
        <v>28840</v>
      </c>
    </row>
    <row r="10984" spans="1:13" x14ac:dyDescent="0.25">
      <c r="A10984" s="417" t="s">
        <v>3385</v>
      </c>
      <c r="B10984" s="417" t="s">
        <v>2627</v>
      </c>
      <c r="C10984" s="417" t="s">
        <v>24426</v>
      </c>
      <c r="D10984" s="417" t="s">
        <v>88</v>
      </c>
      <c r="E10984" s="423">
        <v>5.1364798749133733</v>
      </c>
      <c r="F10984" s="423">
        <v>8.0294200261061613E-2</v>
      </c>
      <c r="G10984" s="422">
        <v>7415.6633986262414</v>
      </c>
      <c r="H10984" s="417" t="s">
        <v>2616</v>
      </c>
      <c r="I10984" s="417" t="s">
        <v>1392</v>
      </c>
      <c r="J10984" s="417" t="s">
        <v>24415</v>
      </c>
      <c r="K10984" s="417" t="s">
        <v>24427</v>
      </c>
      <c r="L10984" s="417"/>
      <c r="M10984" s="417" t="s">
        <v>28840</v>
      </c>
    </row>
    <row r="10985" spans="1:13" x14ac:dyDescent="0.25">
      <c r="A10985" s="417" t="s">
        <v>3385</v>
      </c>
      <c r="B10985" s="417" t="s">
        <v>2627</v>
      </c>
      <c r="C10985" s="417" t="s">
        <v>24428</v>
      </c>
      <c r="D10985" s="417" t="s">
        <v>88</v>
      </c>
      <c r="E10985" s="423">
        <v>4.0865248831674474</v>
      </c>
      <c r="F10985" s="423">
        <v>4.3874967922122747E-2</v>
      </c>
      <c r="G10985" s="422">
        <v>10895.16541127818</v>
      </c>
      <c r="H10985" s="417" t="s">
        <v>2616</v>
      </c>
      <c r="I10985" s="417" t="s">
        <v>1392</v>
      </c>
      <c r="J10985" s="417" t="s">
        <v>24415</v>
      </c>
      <c r="K10985" s="417" t="s">
        <v>24429</v>
      </c>
      <c r="L10985" s="417"/>
      <c r="M10985" s="417" t="s">
        <v>28840</v>
      </c>
    </row>
    <row r="10986" spans="1:13" x14ac:dyDescent="0.25">
      <c r="A10986" s="417" t="s">
        <v>3385</v>
      </c>
      <c r="B10986" s="417" t="s">
        <v>2627</v>
      </c>
      <c r="C10986" s="417" t="s">
        <v>24430</v>
      </c>
      <c r="D10986" s="417" t="s">
        <v>88</v>
      </c>
      <c r="E10986" s="423">
        <v>2.636293886686961</v>
      </c>
      <c r="F10986" s="423">
        <v>7.4005758778239006E-2</v>
      </c>
      <c r="G10986" s="422">
        <v>4696.9951198513336</v>
      </c>
      <c r="H10986" s="417" t="s">
        <v>2616</v>
      </c>
      <c r="I10986" s="417" t="s">
        <v>1392</v>
      </c>
      <c r="J10986" s="417" t="s">
        <v>24415</v>
      </c>
      <c r="K10986" s="417" t="s">
        <v>24431</v>
      </c>
      <c r="L10986" s="417"/>
      <c r="M10986" s="417" t="s">
        <v>28840</v>
      </c>
    </row>
    <row r="10987" spans="1:13" x14ac:dyDescent="0.25">
      <c r="A10987" s="417" t="s">
        <v>3385</v>
      </c>
      <c r="B10987" s="417" t="s">
        <v>2627</v>
      </c>
      <c r="C10987" s="417" t="s">
        <v>24432</v>
      </c>
      <c r="D10987" s="417" t="s">
        <v>88</v>
      </c>
      <c r="E10987" s="423">
        <v>1.392019540174577</v>
      </c>
      <c r="F10987" s="423">
        <v>2.1842719285017589E-2</v>
      </c>
      <c r="G10987" s="422">
        <v>2372.3521409064028</v>
      </c>
      <c r="H10987" s="417" t="s">
        <v>2616</v>
      </c>
      <c r="I10987" s="417" t="s">
        <v>1392</v>
      </c>
      <c r="J10987" s="417" t="s">
        <v>24415</v>
      </c>
      <c r="K10987" s="417" t="s">
        <v>24433</v>
      </c>
      <c r="L10987" s="417"/>
      <c r="M10987" s="417" t="s">
        <v>28840</v>
      </c>
    </row>
    <row r="10988" spans="1:13" x14ac:dyDescent="0.25">
      <c r="A10988" s="417" t="s">
        <v>3385</v>
      </c>
      <c r="B10988" s="417" t="s">
        <v>2627</v>
      </c>
      <c r="C10988" s="417" t="s">
        <v>24434</v>
      </c>
      <c r="D10988" s="417" t="s">
        <v>88</v>
      </c>
      <c r="E10988" s="423">
        <v>4.0312700849981731</v>
      </c>
      <c r="F10988" s="423">
        <v>9.1550532160558067E-3</v>
      </c>
      <c r="G10988" s="422">
        <v>5674.8777514614831</v>
      </c>
      <c r="H10988" s="417" t="s">
        <v>2616</v>
      </c>
      <c r="I10988" s="417" t="s">
        <v>1392</v>
      </c>
      <c r="J10988" s="417" t="s">
        <v>24415</v>
      </c>
      <c r="K10988" s="417" t="s">
        <v>24435</v>
      </c>
      <c r="L10988" s="417"/>
      <c r="M10988" s="417" t="s">
        <v>28840</v>
      </c>
    </row>
    <row r="10989" spans="1:13" x14ac:dyDescent="0.25">
      <c r="A10989" s="417" t="s">
        <v>3385</v>
      </c>
      <c r="B10989" s="417" t="s">
        <v>2627</v>
      </c>
      <c r="C10989" s="417" t="s">
        <v>24436</v>
      </c>
      <c r="D10989" s="417" t="s">
        <v>88</v>
      </c>
      <c r="E10989" s="423">
        <v>1.3920422606571381</v>
      </c>
      <c r="F10989" s="423">
        <v>2.184303754799705E-2</v>
      </c>
      <c r="G10989" s="422">
        <v>2372.3904701267552</v>
      </c>
      <c r="H10989" s="417" t="s">
        <v>2616</v>
      </c>
      <c r="I10989" s="417" t="s">
        <v>1392</v>
      </c>
      <c r="J10989" s="417" t="s">
        <v>24415</v>
      </c>
      <c r="K10989" s="417" t="s">
        <v>24437</v>
      </c>
      <c r="L10989" s="417"/>
      <c r="M10989" s="417" t="s">
        <v>28840</v>
      </c>
    </row>
    <row r="10990" spans="1:13" x14ac:dyDescent="0.25">
      <c r="A10990" s="417" t="s">
        <v>3385</v>
      </c>
      <c r="B10990" s="417" t="s">
        <v>2627</v>
      </c>
      <c r="C10990" s="417" t="s">
        <v>24438</v>
      </c>
      <c r="D10990" s="417" t="s">
        <v>88</v>
      </c>
      <c r="E10990" s="423">
        <v>1.1037766734923531</v>
      </c>
      <c r="F10990" s="423">
        <v>6.0060549686493797E-2</v>
      </c>
      <c r="G10990" s="422">
        <v>2488.891599389663</v>
      </c>
      <c r="H10990" s="417" t="s">
        <v>2616</v>
      </c>
      <c r="I10990" s="417" t="s">
        <v>1392</v>
      </c>
      <c r="J10990" s="417" t="s">
        <v>24439</v>
      </c>
      <c r="K10990" s="417" t="s">
        <v>24440</v>
      </c>
      <c r="L10990" s="417"/>
      <c r="M10990" s="417" t="s">
        <v>28840</v>
      </c>
    </row>
    <row r="10991" spans="1:13" x14ac:dyDescent="0.25">
      <c r="A10991" s="417" t="s">
        <v>3385</v>
      </c>
      <c r="B10991" s="417" t="s">
        <v>2627</v>
      </c>
      <c r="C10991" s="417" t="s">
        <v>24441</v>
      </c>
      <c r="D10991" s="417" t="s">
        <v>989</v>
      </c>
      <c r="E10991" s="423">
        <v>0.23873609244506469</v>
      </c>
      <c r="F10991" s="423">
        <v>5.6768326644568087E-2</v>
      </c>
      <c r="G10991" s="422">
        <v>423.08509307279132</v>
      </c>
      <c r="H10991" s="417" t="s">
        <v>2616</v>
      </c>
      <c r="I10991" s="417" t="s">
        <v>1392</v>
      </c>
      <c r="J10991" s="417" t="s">
        <v>24442</v>
      </c>
      <c r="K10991" s="417" t="s">
        <v>24443</v>
      </c>
      <c r="L10991" s="417"/>
      <c r="M10991" s="417" t="s">
        <v>28840</v>
      </c>
    </row>
    <row r="10992" spans="1:13" x14ac:dyDescent="0.25">
      <c r="A10992" s="417" t="s">
        <v>3385</v>
      </c>
      <c r="B10992" s="417" t="s">
        <v>2437</v>
      </c>
      <c r="C10992" s="417" t="s">
        <v>24444</v>
      </c>
      <c r="D10992" s="417" t="s">
        <v>989</v>
      </c>
      <c r="E10992" s="423">
        <v>4530433.939450548</v>
      </c>
      <c r="F10992" s="423">
        <v>268442.99821935681</v>
      </c>
      <c r="G10992" s="422">
        <v>8196296702.1001921</v>
      </c>
      <c r="H10992" s="417" t="s">
        <v>2616</v>
      </c>
      <c r="I10992" s="417" t="s">
        <v>1392</v>
      </c>
      <c r="J10992" s="417" t="s">
        <v>24445</v>
      </c>
      <c r="K10992" s="417" t="s">
        <v>24446</v>
      </c>
      <c r="L10992" s="417"/>
      <c r="M10992" s="417" t="s">
        <v>28840</v>
      </c>
    </row>
    <row r="10993" spans="1:13" x14ac:dyDescent="0.25">
      <c r="A10993" s="417" t="s">
        <v>3385</v>
      </c>
      <c r="B10993" s="417" t="s">
        <v>2437</v>
      </c>
      <c r="C10993" s="417" t="s">
        <v>24447</v>
      </c>
      <c r="D10993" s="417" t="s">
        <v>989</v>
      </c>
      <c r="E10993" s="423">
        <v>3702986.485105521</v>
      </c>
      <c r="F10993" s="423">
        <v>222008.17107165139</v>
      </c>
      <c r="G10993" s="422">
        <v>6682751315.3599272</v>
      </c>
      <c r="H10993" s="417" t="s">
        <v>2616</v>
      </c>
      <c r="I10993" s="417" t="s">
        <v>1392</v>
      </c>
      <c r="J10993" s="417" t="s">
        <v>24445</v>
      </c>
      <c r="K10993" s="417" t="s">
        <v>24448</v>
      </c>
      <c r="L10993" s="417"/>
      <c r="M10993" s="417" t="s">
        <v>28840</v>
      </c>
    </row>
    <row r="10994" spans="1:13" x14ac:dyDescent="0.25">
      <c r="A10994" s="417" t="s">
        <v>3385</v>
      </c>
      <c r="B10994" s="417" t="s">
        <v>2623</v>
      </c>
      <c r="C10994" s="417" t="s">
        <v>24449</v>
      </c>
      <c r="D10994" s="417" t="s">
        <v>88</v>
      </c>
      <c r="E10994" s="423">
        <v>0</v>
      </c>
      <c r="F10994" s="423">
        <v>0</v>
      </c>
      <c r="G10994" s="422">
        <v>0</v>
      </c>
      <c r="H10994" s="417" t="s">
        <v>2616</v>
      </c>
      <c r="I10994" s="417" t="s">
        <v>1392</v>
      </c>
      <c r="J10994" s="417" t="s">
        <v>24450</v>
      </c>
      <c r="K10994" s="417" t="s">
        <v>24451</v>
      </c>
      <c r="L10994" s="417"/>
      <c r="M10994" s="417" t="s">
        <v>28840</v>
      </c>
    </row>
    <row r="10995" spans="1:13" x14ac:dyDescent="0.25">
      <c r="A10995" s="417" t="s">
        <v>3385</v>
      </c>
      <c r="B10995" s="417" t="s">
        <v>2623</v>
      </c>
      <c r="C10995" s="417" t="s">
        <v>24452</v>
      </c>
      <c r="D10995" s="417" t="s">
        <v>88</v>
      </c>
      <c r="E10995" s="423">
        <v>0</v>
      </c>
      <c r="F10995" s="423">
        <v>0</v>
      </c>
      <c r="G10995" s="422">
        <v>0</v>
      </c>
      <c r="H10995" s="417" t="s">
        <v>2616</v>
      </c>
      <c r="I10995" s="417" t="s">
        <v>1392</v>
      </c>
      <c r="J10995" s="417" t="s">
        <v>24450</v>
      </c>
      <c r="K10995" s="417" t="s">
        <v>24453</v>
      </c>
      <c r="L10995" s="417"/>
      <c r="M10995" s="417" t="s">
        <v>28840</v>
      </c>
    </row>
    <row r="10996" spans="1:13" x14ac:dyDescent="0.25">
      <c r="A10996" s="417" t="s">
        <v>3385</v>
      </c>
      <c r="B10996" s="417" t="s">
        <v>2623</v>
      </c>
      <c r="C10996" s="417" t="s">
        <v>24454</v>
      </c>
      <c r="D10996" s="417" t="s">
        <v>88</v>
      </c>
      <c r="E10996" s="423">
        <v>0</v>
      </c>
      <c r="F10996" s="423">
        <v>0</v>
      </c>
      <c r="G10996" s="422">
        <v>0</v>
      </c>
      <c r="H10996" s="417" t="s">
        <v>2616</v>
      </c>
      <c r="I10996" s="417" t="s">
        <v>1392</v>
      </c>
      <c r="J10996" s="417" t="s">
        <v>24450</v>
      </c>
      <c r="K10996" s="417" t="s">
        <v>24455</v>
      </c>
      <c r="L10996" s="417"/>
      <c r="M10996" s="417" t="s">
        <v>28840</v>
      </c>
    </row>
    <row r="10997" spans="1:13" x14ac:dyDescent="0.25">
      <c r="A10997" s="417" t="s">
        <v>3385</v>
      </c>
      <c r="B10997" s="417" t="s">
        <v>2623</v>
      </c>
      <c r="C10997" s="417" t="s">
        <v>24456</v>
      </c>
      <c r="D10997" s="417" t="s">
        <v>88</v>
      </c>
      <c r="E10997" s="423">
        <v>0</v>
      </c>
      <c r="F10997" s="423">
        <v>0</v>
      </c>
      <c r="G10997" s="422">
        <v>0</v>
      </c>
      <c r="H10997" s="417" t="s">
        <v>2616</v>
      </c>
      <c r="I10997" s="417" t="s">
        <v>1392</v>
      </c>
      <c r="J10997" s="417" t="s">
        <v>24450</v>
      </c>
      <c r="K10997" s="417" t="s">
        <v>24457</v>
      </c>
      <c r="L10997" s="417"/>
      <c r="M10997" s="417" t="s">
        <v>28840</v>
      </c>
    </row>
    <row r="10998" spans="1:13" x14ac:dyDescent="0.25">
      <c r="A10998" s="417" t="s">
        <v>3385</v>
      </c>
      <c r="B10998" s="417" t="s">
        <v>2623</v>
      </c>
      <c r="C10998" s="417" t="s">
        <v>24458</v>
      </c>
      <c r="D10998" s="417" t="s">
        <v>88</v>
      </c>
      <c r="E10998" s="423">
        <v>0</v>
      </c>
      <c r="F10998" s="423">
        <v>0</v>
      </c>
      <c r="G10998" s="422">
        <v>0</v>
      </c>
      <c r="H10998" s="417" t="s">
        <v>2616</v>
      </c>
      <c r="I10998" s="417" t="s">
        <v>1392</v>
      </c>
      <c r="J10998" s="417" t="s">
        <v>24450</v>
      </c>
      <c r="K10998" s="417" t="s">
        <v>24459</v>
      </c>
      <c r="L10998" s="417"/>
      <c r="M10998" s="417" t="s">
        <v>28840</v>
      </c>
    </row>
    <row r="10999" spans="1:13" x14ac:dyDescent="0.25">
      <c r="A10999" s="417" t="s">
        <v>3385</v>
      </c>
      <c r="B10999" s="417" t="s">
        <v>2623</v>
      </c>
      <c r="C10999" s="417" t="s">
        <v>24460</v>
      </c>
      <c r="D10999" s="417" t="s">
        <v>88</v>
      </c>
      <c r="E10999" s="423">
        <v>0</v>
      </c>
      <c r="F10999" s="423">
        <v>0</v>
      </c>
      <c r="G10999" s="422">
        <v>0</v>
      </c>
      <c r="H10999" s="417" t="s">
        <v>2616</v>
      </c>
      <c r="I10999" s="417" t="s">
        <v>1392</v>
      </c>
      <c r="J10999" s="417" t="s">
        <v>24450</v>
      </c>
      <c r="K10999" s="417" t="s">
        <v>24461</v>
      </c>
      <c r="L10999" s="417"/>
      <c r="M10999" s="417" t="s">
        <v>28840</v>
      </c>
    </row>
    <row r="11000" spans="1:13" x14ac:dyDescent="0.25">
      <c r="A11000" s="417" t="s">
        <v>3385</v>
      </c>
      <c r="B11000" s="417" t="s">
        <v>2623</v>
      </c>
      <c r="C11000" s="417" t="s">
        <v>24462</v>
      </c>
      <c r="D11000" s="417" t="s">
        <v>88</v>
      </c>
      <c r="E11000" s="423">
        <v>0</v>
      </c>
      <c r="F11000" s="423">
        <v>0</v>
      </c>
      <c r="G11000" s="422">
        <v>0</v>
      </c>
      <c r="H11000" s="417" t="s">
        <v>2616</v>
      </c>
      <c r="I11000" s="417" t="s">
        <v>1392</v>
      </c>
      <c r="J11000" s="417" t="s">
        <v>24450</v>
      </c>
      <c r="K11000" s="417" t="s">
        <v>24463</v>
      </c>
      <c r="L11000" s="417"/>
      <c r="M11000" s="417" t="s">
        <v>28840</v>
      </c>
    </row>
    <row r="11001" spans="1:13" x14ac:dyDescent="0.25">
      <c r="A11001" s="417" t="s">
        <v>3385</v>
      </c>
      <c r="B11001" s="417" t="s">
        <v>2623</v>
      </c>
      <c r="C11001" s="417" t="s">
        <v>24464</v>
      </c>
      <c r="D11001" s="417" t="s">
        <v>88</v>
      </c>
      <c r="E11001" s="423">
        <v>0</v>
      </c>
      <c r="F11001" s="423">
        <v>0</v>
      </c>
      <c r="G11001" s="422">
        <v>0</v>
      </c>
      <c r="H11001" s="417" t="s">
        <v>2616</v>
      </c>
      <c r="I11001" s="417" t="s">
        <v>1392</v>
      </c>
      <c r="J11001" s="417" t="s">
        <v>24450</v>
      </c>
      <c r="K11001" s="417" t="s">
        <v>24465</v>
      </c>
      <c r="L11001" s="417"/>
      <c r="M11001" s="417" t="s">
        <v>28840</v>
      </c>
    </row>
    <row r="11002" spans="1:13" x14ac:dyDescent="0.25">
      <c r="A11002" s="417" t="s">
        <v>3385</v>
      </c>
      <c r="B11002" s="417" t="s">
        <v>2627</v>
      </c>
      <c r="C11002" s="417" t="s">
        <v>24466</v>
      </c>
      <c r="D11002" s="417" t="s">
        <v>88</v>
      </c>
      <c r="E11002" s="423">
        <v>8.3974885081407411</v>
      </c>
      <c r="F11002" s="423">
        <v>0.33288010992222189</v>
      </c>
      <c r="G11002" s="422">
        <v>20572.12797700271</v>
      </c>
      <c r="H11002" s="417" t="s">
        <v>2616</v>
      </c>
      <c r="I11002" s="417" t="s">
        <v>1392</v>
      </c>
      <c r="J11002" s="417" t="s">
        <v>24424</v>
      </c>
      <c r="K11002" s="417" t="s">
        <v>24467</v>
      </c>
      <c r="L11002" s="417"/>
      <c r="M11002" s="417" t="s">
        <v>28840</v>
      </c>
    </row>
    <row r="11003" spans="1:13" x14ac:dyDescent="0.25">
      <c r="A11003" s="417" t="s">
        <v>3385</v>
      </c>
      <c r="B11003" s="417" t="s">
        <v>2627</v>
      </c>
      <c r="C11003" s="417" t="s">
        <v>24468</v>
      </c>
      <c r="D11003" s="417" t="s">
        <v>88</v>
      </c>
      <c r="E11003" s="423">
        <v>3.0692832175348421</v>
      </c>
      <c r="F11003" s="423">
        <v>0.22462786325610029</v>
      </c>
      <c r="G11003" s="422">
        <v>5101.9993074769855</v>
      </c>
      <c r="H11003" s="417" t="s">
        <v>2616</v>
      </c>
      <c r="I11003" s="417" t="s">
        <v>1392</v>
      </c>
      <c r="J11003" s="417" t="s">
        <v>24469</v>
      </c>
      <c r="K11003" s="417" t="s">
        <v>24470</v>
      </c>
      <c r="L11003" s="417"/>
      <c r="M11003" s="417" t="s">
        <v>28840</v>
      </c>
    </row>
    <row r="11004" spans="1:13" x14ac:dyDescent="0.25">
      <c r="A11004" s="417" t="s">
        <v>3385</v>
      </c>
      <c r="B11004" s="417" t="s">
        <v>2627</v>
      </c>
      <c r="C11004" s="417" t="s">
        <v>24471</v>
      </c>
      <c r="D11004" s="417" t="s">
        <v>88</v>
      </c>
      <c r="E11004" s="423">
        <v>4.238767671912605E-2</v>
      </c>
      <c r="F11004" s="423">
        <v>1.4236225833867969E-2</v>
      </c>
      <c r="G11004" s="422">
        <v>118.56614350555989</v>
      </c>
      <c r="H11004" s="417" t="s">
        <v>2616</v>
      </c>
      <c r="I11004" s="417" t="s">
        <v>1392</v>
      </c>
      <c r="J11004" s="417" t="s">
        <v>24472</v>
      </c>
      <c r="K11004" s="417" t="s">
        <v>24473</v>
      </c>
      <c r="L11004" s="417"/>
      <c r="M11004" s="417" t="s">
        <v>28840</v>
      </c>
    </row>
    <row r="11005" spans="1:13" x14ac:dyDescent="0.25">
      <c r="A11005" s="417" t="s">
        <v>3385</v>
      </c>
      <c r="B11005" s="417" t="s">
        <v>3655</v>
      </c>
      <c r="C11005" s="417" t="s">
        <v>24474</v>
      </c>
      <c r="D11005" s="417" t="s">
        <v>88</v>
      </c>
      <c r="E11005" s="423">
        <v>1.1333868E-2</v>
      </c>
      <c r="F11005" s="423">
        <v>1.4216000000000001E-3</v>
      </c>
      <c r="G11005" s="422">
        <v>161.52035000000001</v>
      </c>
      <c r="H11005" s="417" t="s">
        <v>2616</v>
      </c>
      <c r="I11005" s="417" t="s">
        <v>1392</v>
      </c>
      <c r="J11005" s="417" t="s">
        <v>24475</v>
      </c>
      <c r="K11005" s="417" t="s">
        <v>24476</v>
      </c>
      <c r="L11005" s="417"/>
      <c r="M11005" s="417" t="s">
        <v>28840</v>
      </c>
    </row>
    <row r="11006" spans="1:13" x14ac:dyDescent="0.25">
      <c r="A11006" s="417" t="s">
        <v>3385</v>
      </c>
      <c r="B11006" s="417" t="s">
        <v>3405</v>
      </c>
      <c r="C11006" s="417" t="s">
        <v>24477</v>
      </c>
      <c r="D11006" s="417" t="s">
        <v>989</v>
      </c>
      <c r="E11006" s="423">
        <v>6.5910390453455836</v>
      </c>
      <c r="F11006" s="423">
        <v>0.21078657114680391</v>
      </c>
      <c r="G11006" s="422">
        <v>16729.25750313688</v>
      </c>
      <c r="H11006" s="417" t="s">
        <v>2616</v>
      </c>
      <c r="I11006" s="417" t="s">
        <v>1392</v>
      </c>
      <c r="J11006" s="417" t="s">
        <v>24478</v>
      </c>
      <c r="K11006" s="417" t="s">
        <v>24479</v>
      </c>
      <c r="L11006" s="417"/>
      <c r="M11006" s="417" t="s">
        <v>28840</v>
      </c>
    </row>
    <row r="11007" spans="1:13" x14ac:dyDescent="0.25">
      <c r="A11007" s="417" t="s">
        <v>3385</v>
      </c>
      <c r="B11007" s="417" t="s">
        <v>2627</v>
      </c>
      <c r="C11007" s="417" t="s">
        <v>24480</v>
      </c>
      <c r="D11007" s="417" t="s">
        <v>88</v>
      </c>
      <c r="E11007" s="423">
        <v>1.2093705566990329E-2</v>
      </c>
      <c r="F11007" s="423">
        <v>4.5930717086904791E-4</v>
      </c>
      <c r="G11007" s="422">
        <v>614.7311668925139</v>
      </c>
      <c r="H11007" s="417" t="s">
        <v>2616</v>
      </c>
      <c r="I11007" s="417" t="s">
        <v>1392</v>
      </c>
      <c r="J11007" s="417" t="s">
        <v>24481</v>
      </c>
      <c r="K11007" s="417" t="s">
        <v>24482</v>
      </c>
      <c r="L11007" s="417"/>
      <c r="M11007" s="417" t="s">
        <v>28840</v>
      </c>
    </row>
    <row r="11008" spans="1:13" x14ac:dyDescent="0.25">
      <c r="A11008" s="417" t="s">
        <v>3385</v>
      </c>
      <c r="B11008" s="417" t="s">
        <v>2627</v>
      </c>
      <c r="C11008" s="417" t="s">
        <v>24483</v>
      </c>
      <c r="D11008" s="417" t="s">
        <v>88</v>
      </c>
      <c r="E11008" s="423">
        <v>0.53389094705659146</v>
      </c>
      <c r="F11008" s="423">
        <v>5.6493166953085917E-3</v>
      </c>
      <c r="G11008" s="422">
        <v>3763.52196334568</v>
      </c>
      <c r="H11008" s="417" t="s">
        <v>2616</v>
      </c>
      <c r="I11008" s="417" t="s">
        <v>1392</v>
      </c>
      <c r="J11008" s="417" t="s">
        <v>24484</v>
      </c>
      <c r="K11008" s="417" t="s">
        <v>24485</v>
      </c>
      <c r="L11008" s="417"/>
      <c r="M11008" s="417" t="s">
        <v>28840</v>
      </c>
    </row>
    <row r="11009" spans="1:13" x14ac:dyDescent="0.25">
      <c r="A11009" s="417" t="s">
        <v>3385</v>
      </c>
      <c r="B11009" s="417" t="s">
        <v>2627</v>
      </c>
      <c r="C11009" s="417" t="s">
        <v>24486</v>
      </c>
      <c r="D11009" s="417" t="s">
        <v>88</v>
      </c>
      <c r="E11009" s="423">
        <v>0.88698806046828116</v>
      </c>
      <c r="F11009" s="423">
        <v>1.1233041636867081E-2</v>
      </c>
      <c r="G11009" s="422">
        <v>8946.9926873909444</v>
      </c>
      <c r="H11009" s="417" t="s">
        <v>2616</v>
      </c>
      <c r="I11009" s="417" t="s">
        <v>1392</v>
      </c>
      <c r="J11009" s="417" t="s">
        <v>24484</v>
      </c>
      <c r="K11009" s="417" t="s">
        <v>24487</v>
      </c>
      <c r="L11009" s="417"/>
      <c r="M11009" s="417" t="s">
        <v>28840</v>
      </c>
    </row>
    <row r="11010" spans="1:13" x14ac:dyDescent="0.25">
      <c r="A11010" s="417" t="s">
        <v>3385</v>
      </c>
      <c r="B11010" s="417" t="s">
        <v>2627</v>
      </c>
      <c r="C11010" s="417" t="s">
        <v>24488</v>
      </c>
      <c r="D11010" s="417" t="s">
        <v>88</v>
      </c>
      <c r="E11010" s="423">
        <v>0.46886334813382219</v>
      </c>
      <c r="F11010" s="423">
        <v>6.2232592372697352E-3</v>
      </c>
      <c r="G11010" s="422">
        <v>2171.650504901676</v>
      </c>
      <c r="H11010" s="417" t="s">
        <v>2616</v>
      </c>
      <c r="I11010" s="417" t="s">
        <v>1392</v>
      </c>
      <c r="J11010" s="417" t="s">
        <v>24484</v>
      </c>
      <c r="K11010" s="417" t="s">
        <v>24489</v>
      </c>
      <c r="L11010" s="417"/>
      <c r="M11010" s="417" t="s">
        <v>28840</v>
      </c>
    </row>
    <row r="11011" spans="1:13" x14ac:dyDescent="0.25">
      <c r="A11011" s="417" t="s">
        <v>3385</v>
      </c>
      <c r="B11011" s="417" t="s">
        <v>2627</v>
      </c>
      <c r="C11011" s="417" t="s">
        <v>24490</v>
      </c>
      <c r="D11011" s="417" t="s">
        <v>88</v>
      </c>
      <c r="E11011" s="423">
        <v>0.46836995710351531</v>
      </c>
      <c r="F11011" s="423">
        <v>1.03629492195147E-2</v>
      </c>
      <c r="G11011" s="422">
        <v>4234.3544588012264</v>
      </c>
      <c r="H11011" s="417" t="s">
        <v>2616</v>
      </c>
      <c r="I11011" s="417" t="s">
        <v>1392</v>
      </c>
      <c r="J11011" s="417" t="s">
        <v>24491</v>
      </c>
      <c r="K11011" s="417" t="s">
        <v>24492</v>
      </c>
      <c r="L11011" s="417"/>
      <c r="M11011" s="417" t="s">
        <v>28840</v>
      </c>
    </row>
    <row r="11012" spans="1:13" x14ac:dyDescent="0.25">
      <c r="A11012" s="417" t="s">
        <v>3385</v>
      </c>
      <c r="B11012" s="417" t="s">
        <v>2627</v>
      </c>
      <c r="C11012" s="417" t="s">
        <v>24493</v>
      </c>
      <c r="D11012" s="417" t="s">
        <v>88</v>
      </c>
      <c r="E11012" s="423">
        <v>0.47996373400912229</v>
      </c>
      <c r="F11012" s="423">
        <v>1.0059324254854779E-2</v>
      </c>
      <c r="G11012" s="422">
        <v>4821.7409091156251</v>
      </c>
      <c r="H11012" s="417" t="s">
        <v>2616</v>
      </c>
      <c r="I11012" s="417" t="s">
        <v>1392</v>
      </c>
      <c r="J11012" s="417" t="s">
        <v>24491</v>
      </c>
      <c r="K11012" s="417" t="s">
        <v>24494</v>
      </c>
      <c r="L11012" s="417"/>
      <c r="M11012" s="417" t="s">
        <v>28840</v>
      </c>
    </row>
    <row r="11013" spans="1:13" x14ac:dyDescent="0.25">
      <c r="A11013" s="417" t="s">
        <v>3385</v>
      </c>
      <c r="B11013" s="417" t="s">
        <v>2627</v>
      </c>
      <c r="C11013" s="417" t="s">
        <v>24495</v>
      </c>
      <c r="D11013" s="417" t="s">
        <v>88</v>
      </c>
      <c r="E11013" s="423">
        <v>0.19972105023538561</v>
      </c>
      <c r="F11013" s="423">
        <v>2.412497129842666E-2</v>
      </c>
      <c r="G11013" s="422">
        <v>275.85708021485698</v>
      </c>
      <c r="H11013" s="417" t="s">
        <v>2616</v>
      </c>
      <c r="I11013" s="417" t="s">
        <v>1392</v>
      </c>
      <c r="J11013" s="417" t="s">
        <v>24496</v>
      </c>
      <c r="K11013" s="417" t="s">
        <v>24497</v>
      </c>
      <c r="L11013" s="417"/>
      <c r="M11013" s="417" t="s">
        <v>28840</v>
      </c>
    </row>
    <row r="11014" spans="1:13" x14ac:dyDescent="0.25">
      <c r="A11014" s="417" t="s">
        <v>3385</v>
      </c>
      <c r="B11014" s="417" t="s">
        <v>2627</v>
      </c>
      <c r="C11014" s="417" t="s">
        <v>24498</v>
      </c>
      <c r="D11014" s="417" t="s">
        <v>88</v>
      </c>
      <c r="E11014" s="423">
        <v>7.1372741786108751E-2</v>
      </c>
      <c r="F11014" s="423">
        <v>1.522339611450989E-2</v>
      </c>
      <c r="G11014" s="422">
        <v>392.06425633263518</v>
      </c>
      <c r="H11014" s="417" t="s">
        <v>2616</v>
      </c>
      <c r="I11014" s="417" t="s">
        <v>1392</v>
      </c>
      <c r="J11014" s="417" t="s">
        <v>24499</v>
      </c>
      <c r="K11014" s="417" t="s">
        <v>24500</v>
      </c>
      <c r="L11014" s="417"/>
      <c r="M11014" s="417" t="s">
        <v>28840</v>
      </c>
    </row>
    <row r="11015" spans="1:13" x14ac:dyDescent="0.25">
      <c r="A11015" s="417" t="s">
        <v>3385</v>
      </c>
      <c r="B11015" s="417" t="s">
        <v>2627</v>
      </c>
      <c r="C11015" s="417" t="s">
        <v>24501</v>
      </c>
      <c r="D11015" s="417" t="s">
        <v>88</v>
      </c>
      <c r="E11015" s="423">
        <v>4.3187750676036494</v>
      </c>
      <c r="F11015" s="423">
        <v>0.14743511063537881</v>
      </c>
      <c r="G11015" s="422">
        <v>35907.487393175987</v>
      </c>
      <c r="H11015" s="417" t="s">
        <v>2616</v>
      </c>
      <c r="I11015" s="417" t="s">
        <v>1392</v>
      </c>
      <c r="J11015" s="417" t="s">
        <v>24415</v>
      </c>
      <c r="K11015" s="417" t="s">
        <v>24502</v>
      </c>
      <c r="L11015" s="417"/>
      <c r="M11015" s="417" t="s">
        <v>28840</v>
      </c>
    </row>
    <row r="11016" spans="1:13" x14ac:dyDescent="0.25">
      <c r="A11016" s="417" t="s">
        <v>3385</v>
      </c>
      <c r="B11016" s="417" t="s">
        <v>2627</v>
      </c>
      <c r="C11016" s="417" t="s">
        <v>24503</v>
      </c>
      <c r="D11016" s="417" t="s">
        <v>88</v>
      </c>
      <c r="E11016" s="423">
        <v>0.87694984716609548</v>
      </c>
      <c r="F11016" s="423">
        <v>2.0863222352951571E-2</v>
      </c>
      <c r="G11016" s="422">
        <v>1966.2688071678331</v>
      </c>
      <c r="H11016" s="417" t="s">
        <v>2616</v>
      </c>
      <c r="I11016" s="417" t="s">
        <v>1392</v>
      </c>
      <c r="J11016" s="417" t="s">
        <v>24415</v>
      </c>
      <c r="K11016" s="417" t="s">
        <v>24504</v>
      </c>
      <c r="L11016" s="417"/>
      <c r="M11016" s="417" t="s">
        <v>28840</v>
      </c>
    </row>
    <row r="11017" spans="1:13" x14ac:dyDescent="0.25">
      <c r="A11017" s="417" t="s">
        <v>3385</v>
      </c>
      <c r="B11017" s="417" t="s">
        <v>2627</v>
      </c>
      <c r="C11017" s="417" t="s">
        <v>24505</v>
      </c>
      <c r="D11017" s="417" t="s">
        <v>88</v>
      </c>
      <c r="E11017" s="423">
        <v>1.0934200342066041</v>
      </c>
      <c r="F11017" s="423">
        <v>2.088199084678357E-2</v>
      </c>
      <c r="G11017" s="422">
        <v>14886.41672305133</v>
      </c>
      <c r="H11017" s="417" t="s">
        <v>2616</v>
      </c>
      <c r="I11017" s="417" t="s">
        <v>1392</v>
      </c>
      <c r="J11017" s="417" t="s">
        <v>24415</v>
      </c>
      <c r="K11017" s="417" t="s">
        <v>24506</v>
      </c>
      <c r="L11017" s="417"/>
      <c r="M11017" s="417" t="s">
        <v>28840</v>
      </c>
    </row>
    <row r="11018" spans="1:13" x14ac:dyDescent="0.25">
      <c r="A11018" s="417" t="s">
        <v>3385</v>
      </c>
      <c r="B11018" s="417" t="s">
        <v>2627</v>
      </c>
      <c r="C11018" s="417" t="s">
        <v>974</v>
      </c>
      <c r="D11018" s="417" t="s">
        <v>88</v>
      </c>
      <c r="E11018" s="423">
        <v>8.3974885081407411</v>
      </c>
      <c r="F11018" s="423">
        <v>0.33288010992222189</v>
      </c>
      <c r="G11018" s="422">
        <v>20572.12797700271</v>
      </c>
      <c r="H11018" s="417" t="s">
        <v>2616</v>
      </c>
      <c r="I11018" s="417" t="s">
        <v>28841</v>
      </c>
      <c r="J11018" s="417" t="s">
        <v>24424</v>
      </c>
      <c r="K11018" s="417" t="s">
        <v>24507</v>
      </c>
      <c r="L11018" s="417"/>
      <c r="M11018" s="417" t="s">
        <v>28840</v>
      </c>
    </row>
    <row r="11019" spans="1:13" x14ac:dyDescent="0.25">
      <c r="A11019" s="417" t="s">
        <v>3385</v>
      </c>
      <c r="B11019" s="417" t="s">
        <v>2627</v>
      </c>
      <c r="C11019" s="417" t="s">
        <v>24508</v>
      </c>
      <c r="D11019" s="417" t="s">
        <v>88</v>
      </c>
      <c r="E11019" s="423">
        <v>8.7282844401298956</v>
      </c>
      <c r="F11019" s="423">
        <v>0.35497189138070318</v>
      </c>
      <c r="G11019" s="422">
        <v>20815.006732069221</v>
      </c>
      <c r="H11019" s="417" t="s">
        <v>2616</v>
      </c>
      <c r="I11019" s="417" t="s">
        <v>1392</v>
      </c>
      <c r="J11019" s="417" t="s">
        <v>24424</v>
      </c>
      <c r="K11019" s="417" t="s">
        <v>24509</v>
      </c>
      <c r="L11019" s="417"/>
      <c r="M11019" s="417" t="s">
        <v>28840</v>
      </c>
    </row>
    <row r="11020" spans="1:13" x14ac:dyDescent="0.25">
      <c r="A11020" s="417" t="s">
        <v>3385</v>
      </c>
      <c r="B11020" s="417" t="s">
        <v>2627</v>
      </c>
      <c r="C11020" s="417" t="s">
        <v>24510</v>
      </c>
      <c r="D11020" s="417" t="s">
        <v>83</v>
      </c>
      <c r="E11020" s="423">
        <v>0.80309019960616546</v>
      </c>
      <c r="F11020" s="423">
        <v>1.1371160464925451E-2</v>
      </c>
      <c r="G11020" s="422">
        <v>2768.9591208914371</v>
      </c>
      <c r="H11020" s="417" t="s">
        <v>2616</v>
      </c>
      <c r="I11020" s="417" t="s">
        <v>1392</v>
      </c>
      <c r="J11020" s="417" t="s">
        <v>24511</v>
      </c>
      <c r="K11020" s="417" t="s">
        <v>24512</v>
      </c>
      <c r="L11020" s="417"/>
      <c r="M11020" s="417" t="s">
        <v>28840</v>
      </c>
    </row>
    <row r="11021" spans="1:13" x14ac:dyDescent="0.25">
      <c r="A11021" s="417" t="s">
        <v>3385</v>
      </c>
      <c r="B11021" s="417" t="s">
        <v>2627</v>
      </c>
      <c r="C11021" s="417" t="s">
        <v>24513</v>
      </c>
      <c r="D11021" s="417" t="s">
        <v>83</v>
      </c>
      <c r="E11021" s="423">
        <v>0.49284284404328288</v>
      </c>
      <c r="F11021" s="423">
        <v>0.14216366750543871</v>
      </c>
      <c r="G11021" s="422">
        <v>3580.5118398818208</v>
      </c>
      <c r="H11021" s="417" t="s">
        <v>2616</v>
      </c>
      <c r="I11021" s="417" t="s">
        <v>1392</v>
      </c>
      <c r="J11021" s="417" t="s">
        <v>24511</v>
      </c>
      <c r="K11021" s="417" t="s">
        <v>24514</v>
      </c>
      <c r="L11021" s="417"/>
      <c r="M11021" s="417" t="s">
        <v>28840</v>
      </c>
    </row>
    <row r="11022" spans="1:13" x14ac:dyDescent="0.25">
      <c r="A11022" s="417" t="s">
        <v>3385</v>
      </c>
      <c r="B11022" s="417" t="s">
        <v>3655</v>
      </c>
      <c r="C11022" s="417" t="s">
        <v>24515</v>
      </c>
      <c r="D11022" s="417" t="s">
        <v>88</v>
      </c>
      <c r="E11022" s="423">
        <v>0.64519828219015496</v>
      </c>
      <c r="F11022" s="423">
        <v>0.29283260549509799</v>
      </c>
      <c r="G11022" s="422">
        <v>1364.3284536987269</v>
      </c>
      <c r="H11022" s="417" t="s">
        <v>2616</v>
      </c>
      <c r="I11022" s="417" t="s">
        <v>1392</v>
      </c>
      <c r="J11022" s="417" t="s">
        <v>24516</v>
      </c>
      <c r="K11022" s="417" t="s">
        <v>24517</v>
      </c>
      <c r="L11022" s="417"/>
      <c r="M11022" s="417" t="s">
        <v>28840</v>
      </c>
    </row>
    <row r="11023" spans="1:13" x14ac:dyDescent="0.25">
      <c r="A11023" s="417" t="s">
        <v>3385</v>
      </c>
      <c r="B11023" s="417" t="s">
        <v>2627</v>
      </c>
      <c r="C11023" s="417" t="s">
        <v>24518</v>
      </c>
      <c r="D11023" s="417" t="s">
        <v>88</v>
      </c>
      <c r="E11023" s="423">
        <v>4.2408933671194839</v>
      </c>
      <c r="F11023" s="423">
        <v>3.3869452540732009E-2</v>
      </c>
      <c r="G11023" s="422">
        <v>6118.2076536557433</v>
      </c>
      <c r="H11023" s="417" t="s">
        <v>2616</v>
      </c>
      <c r="I11023" s="417" t="s">
        <v>1392</v>
      </c>
      <c r="J11023" s="417" t="s">
        <v>24415</v>
      </c>
      <c r="K11023" s="417" t="s">
        <v>24519</v>
      </c>
      <c r="L11023" s="417"/>
      <c r="M11023" s="417" t="s">
        <v>28840</v>
      </c>
    </row>
    <row r="11024" spans="1:13" x14ac:dyDescent="0.25">
      <c r="A11024" s="417" t="s">
        <v>3385</v>
      </c>
      <c r="B11024" s="417" t="s">
        <v>2627</v>
      </c>
      <c r="C11024" s="417" t="s">
        <v>24520</v>
      </c>
      <c r="D11024" s="417" t="s">
        <v>88</v>
      </c>
      <c r="E11024" s="423">
        <v>3.6517245337759578</v>
      </c>
      <c r="F11024" s="423">
        <v>6.043510608560685E-2</v>
      </c>
      <c r="G11024" s="422">
        <v>5635.7419983229647</v>
      </c>
      <c r="H11024" s="417" t="s">
        <v>2616</v>
      </c>
      <c r="I11024" s="417" t="s">
        <v>1392</v>
      </c>
      <c r="J11024" s="417" t="s">
        <v>24415</v>
      </c>
      <c r="K11024" s="417" t="s">
        <v>24521</v>
      </c>
      <c r="L11024" s="417"/>
      <c r="M11024" s="417" t="s">
        <v>28840</v>
      </c>
    </row>
    <row r="11025" spans="1:13" x14ac:dyDescent="0.25">
      <c r="A11025" s="417" t="s">
        <v>3385</v>
      </c>
      <c r="B11025" s="417" t="s">
        <v>2627</v>
      </c>
      <c r="C11025" s="417" t="s">
        <v>24522</v>
      </c>
      <c r="D11025" s="417" t="s">
        <v>88</v>
      </c>
      <c r="E11025" s="423">
        <v>0.39786678752836507</v>
      </c>
      <c r="F11025" s="423">
        <v>2.15452193364092E-2</v>
      </c>
      <c r="G11025" s="422">
        <v>758.07953883850121</v>
      </c>
      <c r="H11025" s="417" t="s">
        <v>2616</v>
      </c>
      <c r="I11025" s="417" t="s">
        <v>1392</v>
      </c>
      <c r="J11025" s="417" t="s">
        <v>24469</v>
      </c>
      <c r="K11025" s="417" t="s">
        <v>24523</v>
      </c>
      <c r="L11025" s="417"/>
      <c r="M11025" s="417" t="s">
        <v>28840</v>
      </c>
    </row>
    <row r="11026" spans="1:13" x14ac:dyDescent="0.25">
      <c r="A11026" s="417" t="s">
        <v>3385</v>
      </c>
      <c r="B11026" s="417" t="s">
        <v>2627</v>
      </c>
      <c r="C11026" s="417" t="s">
        <v>1053</v>
      </c>
      <c r="D11026" s="417" t="s">
        <v>88</v>
      </c>
      <c r="E11026" s="423">
        <v>3.4694483531019058</v>
      </c>
      <c r="F11026" s="423">
        <v>0.13338973112592731</v>
      </c>
      <c r="G11026" s="422">
        <v>6096.443624592931</v>
      </c>
      <c r="H11026" s="417" t="s">
        <v>2616</v>
      </c>
      <c r="I11026" s="417" t="s">
        <v>28841</v>
      </c>
      <c r="J11026" s="417" t="s">
        <v>24424</v>
      </c>
      <c r="K11026" s="417" t="s">
        <v>24524</v>
      </c>
      <c r="L11026" s="417"/>
      <c r="M11026" s="417" t="s">
        <v>28840</v>
      </c>
    </row>
    <row r="11027" spans="1:13" x14ac:dyDescent="0.25">
      <c r="A11027" s="417" t="s">
        <v>3385</v>
      </c>
      <c r="B11027" s="417" t="s">
        <v>2627</v>
      </c>
      <c r="C11027" s="417" t="s">
        <v>24525</v>
      </c>
      <c r="D11027" s="417" t="s">
        <v>88</v>
      </c>
      <c r="E11027" s="423">
        <v>8.4321859875149503</v>
      </c>
      <c r="F11027" s="423">
        <v>0.32921246531806841</v>
      </c>
      <c r="G11027" s="422">
        <v>23533.847600351171</v>
      </c>
      <c r="H11027" s="417" t="s">
        <v>2616</v>
      </c>
      <c r="I11027" s="417" t="s">
        <v>1392</v>
      </c>
      <c r="J11027" s="417" t="s">
        <v>24424</v>
      </c>
      <c r="K11027" s="417" t="s">
        <v>24526</v>
      </c>
      <c r="L11027" s="417"/>
      <c r="M11027" s="417" t="s">
        <v>28840</v>
      </c>
    </row>
    <row r="11028" spans="1:13" x14ac:dyDescent="0.25">
      <c r="A11028" s="417" t="s">
        <v>3385</v>
      </c>
      <c r="B11028" s="417" t="s">
        <v>2627</v>
      </c>
      <c r="C11028" s="417" t="s">
        <v>24527</v>
      </c>
      <c r="D11028" s="417" t="s">
        <v>88</v>
      </c>
      <c r="E11028" s="423">
        <v>8.7326915471311537</v>
      </c>
      <c r="F11028" s="423">
        <v>0.34928134423060048</v>
      </c>
      <c r="G11028" s="422">
        <v>23754.486403466512</v>
      </c>
      <c r="H11028" s="417" t="s">
        <v>2616</v>
      </c>
      <c r="I11028" s="417" t="s">
        <v>1392</v>
      </c>
      <c r="J11028" s="417" t="s">
        <v>24424</v>
      </c>
      <c r="K11028" s="417" t="s">
        <v>24528</v>
      </c>
      <c r="L11028" s="417"/>
      <c r="M11028" s="417" t="s">
        <v>28840</v>
      </c>
    </row>
    <row r="11029" spans="1:13" x14ac:dyDescent="0.25">
      <c r="A11029" s="417" t="s">
        <v>3385</v>
      </c>
      <c r="B11029" s="417" t="s">
        <v>2627</v>
      </c>
      <c r="C11029" s="417" t="s">
        <v>1095</v>
      </c>
      <c r="D11029" s="417" t="s">
        <v>88</v>
      </c>
      <c r="E11029" s="423">
        <v>2.6879437301151068</v>
      </c>
      <c r="F11029" s="423">
        <v>0.15024192737627459</v>
      </c>
      <c r="G11029" s="422">
        <v>80933.481832829217</v>
      </c>
      <c r="H11029" s="417" t="s">
        <v>2616</v>
      </c>
      <c r="I11029" s="417" t="s">
        <v>28841</v>
      </c>
      <c r="J11029" s="417" t="s">
        <v>24529</v>
      </c>
      <c r="K11029" s="417" t="s">
        <v>24530</v>
      </c>
      <c r="L11029" s="417"/>
      <c r="M11029" s="417" t="s">
        <v>28840</v>
      </c>
    </row>
    <row r="11030" spans="1:13" x14ac:dyDescent="0.25">
      <c r="A11030" s="417" t="s">
        <v>3385</v>
      </c>
      <c r="B11030" s="417" t="s">
        <v>2627</v>
      </c>
      <c r="C11030" s="417" t="s">
        <v>24531</v>
      </c>
      <c r="D11030" s="417" t="s">
        <v>88</v>
      </c>
      <c r="E11030" s="423">
        <v>0.33553696633264851</v>
      </c>
      <c r="F11030" s="423">
        <v>0.1218972823897165</v>
      </c>
      <c r="G11030" s="422">
        <v>698.33825859413423</v>
      </c>
      <c r="H11030" s="417" t="s">
        <v>2616</v>
      </c>
      <c r="I11030" s="417" t="s">
        <v>1392</v>
      </c>
      <c r="J11030" s="417" t="s">
        <v>24532</v>
      </c>
      <c r="K11030" s="417" t="s">
        <v>24533</v>
      </c>
      <c r="L11030" s="417"/>
      <c r="M11030" s="417" t="s">
        <v>28840</v>
      </c>
    </row>
    <row r="11031" spans="1:13" x14ac:dyDescent="0.25">
      <c r="A11031" s="417" t="s">
        <v>3385</v>
      </c>
      <c r="B11031" s="417" t="s">
        <v>2627</v>
      </c>
      <c r="C11031" s="417" t="s">
        <v>24534</v>
      </c>
      <c r="D11031" s="417" t="s">
        <v>88</v>
      </c>
      <c r="E11031" s="423">
        <v>0.15989189158752951</v>
      </c>
      <c r="F11031" s="423">
        <v>2.329840531811379E-2</v>
      </c>
      <c r="G11031" s="422">
        <v>228.93822833094319</v>
      </c>
      <c r="H11031" s="417" t="s">
        <v>2616</v>
      </c>
      <c r="I11031" s="417" t="s">
        <v>1392</v>
      </c>
      <c r="J11031" s="417" t="s">
        <v>24496</v>
      </c>
      <c r="K11031" s="417" t="s">
        <v>24535</v>
      </c>
      <c r="L11031" s="417"/>
      <c r="M11031" s="417" t="s">
        <v>28840</v>
      </c>
    </row>
    <row r="11032" spans="1:13" x14ac:dyDescent="0.25">
      <c r="A11032" s="417" t="s">
        <v>3385</v>
      </c>
      <c r="B11032" s="417" t="s">
        <v>2627</v>
      </c>
      <c r="C11032" s="417" t="s">
        <v>24536</v>
      </c>
      <c r="D11032" s="417" t="s">
        <v>88</v>
      </c>
      <c r="E11032" s="423">
        <v>0.63984301090175677</v>
      </c>
      <c r="F11032" s="423">
        <v>0.19441532879186679</v>
      </c>
      <c r="G11032" s="422">
        <v>1507.011689002258</v>
      </c>
      <c r="H11032" s="417" t="s">
        <v>2616</v>
      </c>
      <c r="I11032" s="417" t="s">
        <v>1392</v>
      </c>
      <c r="J11032" s="417" t="s">
        <v>24537</v>
      </c>
      <c r="K11032" s="417" t="s">
        <v>24538</v>
      </c>
      <c r="L11032" s="417"/>
      <c r="M11032" s="417" t="s">
        <v>28840</v>
      </c>
    </row>
    <row r="11033" spans="1:13" x14ac:dyDescent="0.25">
      <c r="A11033" s="417" t="s">
        <v>3385</v>
      </c>
      <c r="B11033" s="417" t="s">
        <v>2627</v>
      </c>
      <c r="C11033" s="417" t="s">
        <v>24539</v>
      </c>
      <c r="D11033" s="417" t="s">
        <v>88</v>
      </c>
      <c r="E11033" s="423">
        <v>12.99387726236403</v>
      </c>
      <c r="F11033" s="423">
        <v>1.2785617562983831</v>
      </c>
      <c r="G11033" s="422">
        <v>25658.195765264951</v>
      </c>
      <c r="H11033" s="417" t="s">
        <v>2616</v>
      </c>
      <c r="I11033" s="417" t="s">
        <v>1392</v>
      </c>
      <c r="J11033" s="417" t="s">
        <v>24540</v>
      </c>
      <c r="K11033" s="417" t="s">
        <v>24541</v>
      </c>
      <c r="L11033" s="417"/>
      <c r="M11033" s="417" t="s">
        <v>28840</v>
      </c>
    </row>
    <row r="11034" spans="1:13" x14ac:dyDescent="0.25">
      <c r="A11034" s="417" t="s">
        <v>3385</v>
      </c>
      <c r="B11034" s="417" t="s">
        <v>2627</v>
      </c>
      <c r="C11034" s="417" t="s">
        <v>24542</v>
      </c>
      <c r="D11034" s="417" t="s">
        <v>88</v>
      </c>
      <c r="E11034" s="423">
        <v>1.731289088933164</v>
      </c>
      <c r="F11034" s="423">
        <v>0.104311755489896</v>
      </c>
      <c r="G11034" s="422">
        <v>3559.94601138708</v>
      </c>
      <c r="H11034" s="417" t="s">
        <v>2616</v>
      </c>
      <c r="I11034" s="417" t="s">
        <v>1392</v>
      </c>
      <c r="J11034" s="417" t="s">
        <v>24415</v>
      </c>
      <c r="K11034" s="417" t="s">
        <v>24543</v>
      </c>
      <c r="L11034" s="417"/>
      <c r="M11034" s="417" t="s">
        <v>28840</v>
      </c>
    </row>
    <row r="11035" spans="1:13" x14ac:dyDescent="0.25">
      <c r="A11035" s="417" t="s">
        <v>3385</v>
      </c>
      <c r="B11035" s="417" t="s">
        <v>2627</v>
      </c>
      <c r="C11035" s="417" t="s">
        <v>24544</v>
      </c>
      <c r="D11035" s="417" t="s">
        <v>88</v>
      </c>
      <c r="E11035" s="423">
        <v>2.6452469217175572</v>
      </c>
      <c r="F11035" s="423">
        <v>0.14438524146265011</v>
      </c>
      <c r="G11035" s="422">
        <v>5377.9316356760301</v>
      </c>
      <c r="H11035" s="417" t="s">
        <v>2616</v>
      </c>
      <c r="I11035" s="417" t="s">
        <v>1392</v>
      </c>
      <c r="J11035" s="417" t="s">
        <v>24424</v>
      </c>
      <c r="K11035" s="417" t="s">
        <v>24545</v>
      </c>
      <c r="L11035" s="417"/>
      <c r="M11035" s="417" t="s">
        <v>28840</v>
      </c>
    </row>
    <row r="11036" spans="1:13" x14ac:dyDescent="0.25">
      <c r="A11036" s="417" t="s">
        <v>3385</v>
      </c>
      <c r="B11036" s="417" t="s">
        <v>2627</v>
      </c>
      <c r="C11036" s="417" t="s">
        <v>24546</v>
      </c>
      <c r="D11036" s="417" t="s">
        <v>88</v>
      </c>
      <c r="E11036" s="423">
        <v>5.7828198413029819</v>
      </c>
      <c r="F11036" s="423">
        <v>0.22821289823599811</v>
      </c>
      <c r="G11036" s="422">
        <v>22230.76687986562</v>
      </c>
      <c r="H11036" s="417" t="s">
        <v>2616</v>
      </c>
      <c r="I11036" s="417" t="s">
        <v>1392</v>
      </c>
      <c r="J11036" s="417" t="s">
        <v>24424</v>
      </c>
      <c r="K11036" s="417" t="s">
        <v>24547</v>
      </c>
      <c r="L11036" s="417"/>
      <c r="M11036" s="417" t="s">
        <v>28840</v>
      </c>
    </row>
    <row r="11037" spans="1:13" x14ac:dyDescent="0.25">
      <c r="A11037" s="417" t="s">
        <v>3385</v>
      </c>
      <c r="B11037" s="417" t="s">
        <v>2623</v>
      </c>
      <c r="C11037" s="417" t="s">
        <v>24548</v>
      </c>
      <c r="D11037" s="417" t="s">
        <v>88</v>
      </c>
      <c r="E11037" s="423">
        <v>0</v>
      </c>
      <c r="F11037" s="423">
        <v>0</v>
      </c>
      <c r="G11037" s="422">
        <v>0</v>
      </c>
      <c r="H11037" s="417" t="s">
        <v>2616</v>
      </c>
      <c r="I11037" s="417" t="s">
        <v>1392</v>
      </c>
      <c r="J11037" s="417" t="s">
        <v>24549</v>
      </c>
      <c r="K11037" s="417" t="s">
        <v>24550</v>
      </c>
      <c r="L11037" s="417"/>
      <c r="M11037" s="417" t="s">
        <v>28840</v>
      </c>
    </row>
    <row r="11038" spans="1:13" x14ac:dyDescent="0.25">
      <c r="A11038" s="417" t="s">
        <v>3385</v>
      </c>
      <c r="B11038" s="417" t="s">
        <v>2623</v>
      </c>
      <c r="C11038" s="417" t="s">
        <v>24551</v>
      </c>
      <c r="D11038" s="417" t="s">
        <v>88</v>
      </c>
      <c r="E11038" s="423">
        <v>0</v>
      </c>
      <c r="F11038" s="423">
        <v>0</v>
      </c>
      <c r="G11038" s="422">
        <v>0</v>
      </c>
      <c r="H11038" s="417" t="s">
        <v>2616</v>
      </c>
      <c r="I11038" s="417" t="s">
        <v>1392</v>
      </c>
      <c r="J11038" s="417" t="s">
        <v>24549</v>
      </c>
      <c r="K11038" s="417" t="s">
        <v>24552</v>
      </c>
      <c r="L11038" s="417"/>
      <c r="M11038" s="417" t="s">
        <v>28840</v>
      </c>
    </row>
    <row r="11039" spans="1:13" x14ac:dyDescent="0.25">
      <c r="A11039" s="417" t="s">
        <v>3385</v>
      </c>
      <c r="B11039" s="417" t="s">
        <v>2627</v>
      </c>
      <c r="C11039" s="417" t="s">
        <v>24553</v>
      </c>
      <c r="D11039" s="417" t="s">
        <v>88</v>
      </c>
      <c r="E11039" s="423">
        <v>5.8558724452045007E-3</v>
      </c>
      <c r="F11039" s="423">
        <v>4.8538209496817592E-4</v>
      </c>
      <c r="G11039" s="422">
        <v>18.596512766170331</v>
      </c>
      <c r="H11039" s="417" t="s">
        <v>2616</v>
      </c>
      <c r="I11039" s="417" t="s">
        <v>1392</v>
      </c>
      <c r="J11039" s="417" t="s">
        <v>24472</v>
      </c>
      <c r="K11039" s="417" t="s">
        <v>24554</v>
      </c>
      <c r="L11039" s="417"/>
      <c r="M11039" s="417" t="s">
        <v>28840</v>
      </c>
    </row>
    <row r="11040" spans="1:13" x14ac:dyDescent="0.25">
      <c r="A11040" s="417" t="s">
        <v>3385</v>
      </c>
      <c r="B11040" s="417" t="s">
        <v>2627</v>
      </c>
      <c r="C11040" s="417" t="s">
        <v>24555</v>
      </c>
      <c r="D11040" s="417" t="s">
        <v>73</v>
      </c>
      <c r="E11040" s="423">
        <v>2.178703165158398E-2</v>
      </c>
      <c r="F11040" s="423">
        <v>5.1833128395174365E-4</v>
      </c>
      <c r="G11040" s="422">
        <v>48.850327850461461</v>
      </c>
      <c r="H11040" s="417" t="s">
        <v>2616</v>
      </c>
      <c r="I11040" s="417" t="s">
        <v>1392</v>
      </c>
      <c r="J11040" s="417" t="s">
        <v>24556</v>
      </c>
      <c r="K11040" s="417" t="s">
        <v>24557</v>
      </c>
      <c r="L11040" s="417"/>
      <c r="M11040" s="417" t="s">
        <v>28840</v>
      </c>
    </row>
    <row r="11041" spans="1:13" x14ac:dyDescent="0.25">
      <c r="A11041" s="417" t="s">
        <v>3385</v>
      </c>
      <c r="B11041" s="417" t="s">
        <v>3655</v>
      </c>
      <c r="C11041" s="417" t="s">
        <v>24558</v>
      </c>
      <c r="D11041" s="417" t="s">
        <v>88</v>
      </c>
      <c r="E11041" s="423">
        <v>0.68866855097984214</v>
      </c>
      <c r="F11041" s="423">
        <v>0.150487410797987</v>
      </c>
      <c r="G11041" s="422">
        <v>1158.768053296847</v>
      </c>
      <c r="H11041" s="417" t="s">
        <v>2616</v>
      </c>
      <c r="I11041" s="417" t="s">
        <v>1392</v>
      </c>
      <c r="J11041" s="417" t="s">
        <v>24559</v>
      </c>
      <c r="K11041" s="417" t="s">
        <v>24560</v>
      </c>
      <c r="L11041" s="417"/>
      <c r="M11041" s="417" t="s">
        <v>28840</v>
      </c>
    </row>
    <row r="11042" spans="1:13" x14ac:dyDescent="0.25">
      <c r="A11042" s="417" t="s">
        <v>3385</v>
      </c>
      <c r="B11042" s="417" t="s">
        <v>3655</v>
      </c>
      <c r="C11042" s="417" t="s">
        <v>24561</v>
      </c>
      <c r="D11042" s="417" t="s">
        <v>88</v>
      </c>
      <c r="E11042" s="423">
        <v>0.85939056948305736</v>
      </c>
      <c r="F11042" s="423">
        <v>0.17159175546803221</v>
      </c>
      <c r="G11042" s="422">
        <v>1520.9012384686951</v>
      </c>
      <c r="H11042" s="417" t="s">
        <v>2616</v>
      </c>
      <c r="I11042" s="417" t="s">
        <v>1392</v>
      </c>
      <c r="J11042" s="417" t="s">
        <v>24559</v>
      </c>
      <c r="K11042" s="417" t="s">
        <v>24562</v>
      </c>
      <c r="L11042" s="417"/>
      <c r="M11042" s="417" t="s">
        <v>28840</v>
      </c>
    </row>
    <row r="11043" spans="1:13" x14ac:dyDescent="0.25">
      <c r="A11043" s="417" t="s">
        <v>3385</v>
      </c>
      <c r="B11043" s="417" t="s">
        <v>3655</v>
      </c>
      <c r="C11043" s="417" t="s">
        <v>24563</v>
      </c>
      <c r="D11043" s="417" t="s">
        <v>88</v>
      </c>
      <c r="E11043" s="423">
        <v>1.0301125879358159</v>
      </c>
      <c r="F11043" s="423">
        <v>0.19269610013582861</v>
      </c>
      <c r="G11043" s="422">
        <v>1883.034422650439</v>
      </c>
      <c r="H11043" s="417" t="s">
        <v>2616</v>
      </c>
      <c r="I11043" s="417" t="s">
        <v>1392</v>
      </c>
      <c r="J11043" s="417" t="s">
        <v>24559</v>
      </c>
      <c r="K11043" s="417" t="s">
        <v>24564</v>
      </c>
      <c r="L11043" s="417"/>
      <c r="M11043" s="417" t="s">
        <v>28840</v>
      </c>
    </row>
    <row r="11044" spans="1:13" x14ac:dyDescent="0.25">
      <c r="A11044" s="417" t="s">
        <v>3385</v>
      </c>
      <c r="B11044" s="417" t="s">
        <v>3655</v>
      </c>
      <c r="C11044" s="417" t="s">
        <v>24565</v>
      </c>
      <c r="D11044" s="417" t="s">
        <v>88</v>
      </c>
      <c r="E11044" s="423">
        <v>1.2006034682759541</v>
      </c>
      <c r="F11044" s="423">
        <v>0.21377230316159249</v>
      </c>
      <c r="G11044" s="422">
        <v>2244.6748826251969</v>
      </c>
      <c r="H11044" s="417" t="s">
        <v>2616</v>
      </c>
      <c r="I11044" s="417" t="s">
        <v>1392</v>
      </c>
      <c r="J11044" s="417" t="s">
        <v>24559</v>
      </c>
      <c r="K11044" s="417" t="s">
        <v>24566</v>
      </c>
      <c r="L11044" s="417"/>
      <c r="M11044" s="417" t="s">
        <v>28840</v>
      </c>
    </row>
    <row r="11045" spans="1:13" x14ac:dyDescent="0.25">
      <c r="A11045" s="417" t="s">
        <v>3385</v>
      </c>
      <c r="B11045" s="417" t="s">
        <v>3655</v>
      </c>
      <c r="C11045" s="417" t="s">
        <v>24567</v>
      </c>
      <c r="D11045" s="417" t="s">
        <v>88</v>
      </c>
      <c r="E11045" s="423">
        <v>1.371267702322752</v>
      </c>
      <c r="F11045" s="423">
        <v>0.2348696124241122</v>
      </c>
      <c r="G11045" s="422">
        <v>2606.684883403469</v>
      </c>
      <c r="H11045" s="417" t="s">
        <v>2616</v>
      </c>
      <c r="I11045" s="417" t="s">
        <v>1392</v>
      </c>
      <c r="J11045" s="417" t="s">
        <v>24559</v>
      </c>
      <c r="K11045" s="417" t="s">
        <v>24568</v>
      </c>
      <c r="L11045" s="417"/>
      <c r="M11045" s="417" t="s">
        <v>28840</v>
      </c>
    </row>
    <row r="11046" spans="1:13" x14ac:dyDescent="0.25">
      <c r="A11046" s="417" t="s">
        <v>3385</v>
      </c>
      <c r="B11046" s="417" t="s">
        <v>3655</v>
      </c>
      <c r="C11046" s="417" t="s">
        <v>24569</v>
      </c>
      <c r="D11046" s="417" t="s">
        <v>88</v>
      </c>
      <c r="E11046" s="423">
        <v>0.79472042724713676</v>
      </c>
      <c r="F11046" s="423">
        <v>0.13656756559533359</v>
      </c>
      <c r="G11046" s="422">
        <v>1182.8178084965341</v>
      </c>
      <c r="H11046" s="417" t="s">
        <v>2616</v>
      </c>
      <c r="I11046" s="417" t="s">
        <v>1392</v>
      </c>
      <c r="J11046" s="417" t="s">
        <v>24559</v>
      </c>
      <c r="K11046" s="417" t="s">
        <v>24570</v>
      </c>
      <c r="L11046" s="417"/>
      <c r="M11046" s="417" t="s">
        <v>28840</v>
      </c>
    </row>
    <row r="11047" spans="1:13" x14ac:dyDescent="0.25">
      <c r="A11047" s="417" t="s">
        <v>3385</v>
      </c>
      <c r="B11047" s="417" t="s">
        <v>3655</v>
      </c>
      <c r="C11047" s="417" t="s">
        <v>24571</v>
      </c>
      <c r="D11047" s="417" t="s">
        <v>88</v>
      </c>
      <c r="E11047" s="423">
        <v>0.84512068622074876</v>
      </c>
      <c r="F11047" s="423">
        <v>0.14277342707000801</v>
      </c>
      <c r="G11047" s="422">
        <v>1289.864965316036</v>
      </c>
      <c r="H11047" s="417" t="s">
        <v>2616</v>
      </c>
      <c r="I11047" s="417" t="s">
        <v>1392</v>
      </c>
      <c r="J11047" s="417" t="s">
        <v>24559</v>
      </c>
      <c r="K11047" s="417" t="s">
        <v>24572</v>
      </c>
      <c r="L11047" s="417"/>
      <c r="M11047" s="417" t="s">
        <v>28840</v>
      </c>
    </row>
    <row r="11048" spans="1:13" x14ac:dyDescent="0.25">
      <c r="A11048" s="417" t="s">
        <v>3385</v>
      </c>
      <c r="B11048" s="417" t="s">
        <v>3655</v>
      </c>
      <c r="C11048" s="417" t="s">
        <v>24573</v>
      </c>
      <c r="D11048" s="417" t="s">
        <v>88</v>
      </c>
      <c r="E11048" s="423">
        <v>0.89552094517921266</v>
      </c>
      <c r="F11048" s="423">
        <v>0.14897928854755901</v>
      </c>
      <c r="G11048" s="422">
        <v>1396.9121225004999</v>
      </c>
      <c r="H11048" s="417" t="s">
        <v>2616</v>
      </c>
      <c r="I11048" s="417" t="s">
        <v>1392</v>
      </c>
      <c r="J11048" s="417" t="s">
        <v>24559</v>
      </c>
      <c r="K11048" s="417" t="s">
        <v>24574</v>
      </c>
      <c r="L11048" s="417"/>
      <c r="M11048" s="417" t="s">
        <v>28840</v>
      </c>
    </row>
    <row r="11049" spans="1:13" x14ac:dyDescent="0.25">
      <c r="A11049" s="417" t="s">
        <v>3385</v>
      </c>
      <c r="B11049" s="417" t="s">
        <v>3655</v>
      </c>
      <c r="C11049" s="417" t="s">
        <v>24575</v>
      </c>
      <c r="D11049" s="417" t="s">
        <v>88</v>
      </c>
      <c r="E11049" s="423">
        <v>0.94569006598382421</v>
      </c>
      <c r="F11049" s="423">
        <v>0.15515700838174579</v>
      </c>
      <c r="G11049" s="422">
        <v>1503.4665512492129</v>
      </c>
      <c r="H11049" s="417" t="s">
        <v>2616</v>
      </c>
      <c r="I11049" s="417" t="s">
        <v>1392</v>
      </c>
      <c r="J11049" s="417" t="s">
        <v>24559</v>
      </c>
      <c r="K11049" s="417" t="s">
        <v>24576</v>
      </c>
      <c r="L11049" s="417"/>
      <c r="M11049" s="417" t="s">
        <v>28840</v>
      </c>
    </row>
    <row r="11050" spans="1:13" x14ac:dyDescent="0.25">
      <c r="A11050" s="417" t="s">
        <v>3385</v>
      </c>
      <c r="B11050" s="417" t="s">
        <v>3655</v>
      </c>
      <c r="C11050" s="417" t="s">
        <v>24577</v>
      </c>
      <c r="D11050" s="417" t="s">
        <v>88</v>
      </c>
      <c r="E11050" s="423">
        <v>0.99603254044028888</v>
      </c>
      <c r="F11050" s="423">
        <v>0.16135583444839791</v>
      </c>
      <c r="G11050" s="422">
        <v>1610.3905258623331</v>
      </c>
      <c r="H11050" s="417" t="s">
        <v>2616</v>
      </c>
      <c r="I11050" s="417" t="s">
        <v>1392</v>
      </c>
      <c r="J11050" s="417" t="s">
        <v>24559</v>
      </c>
      <c r="K11050" s="417" t="s">
        <v>24578</v>
      </c>
      <c r="L11050" s="417"/>
      <c r="M11050" s="417" t="s">
        <v>28840</v>
      </c>
    </row>
    <row r="11051" spans="1:13" x14ac:dyDescent="0.25">
      <c r="A11051" s="417" t="s">
        <v>3385</v>
      </c>
      <c r="B11051" s="417" t="s">
        <v>2627</v>
      </c>
      <c r="C11051" s="417" t="s">
        <v>1050</v>
      </c>
      <c r="D11051" s="417" t="s">
        <v>88</v>
      </c>
      <c r="E11051" s="423">
        <v>0.37458548470532133</v>
      </c>
      <c r="F11051" s="423">
        <v>0.52284451791066788</v>
      </c>
      <c r="G11051" s="422">
        <v>482.03990047511758</v>
      </c>
      <c r="H11051" s="417" t="s">
        <v>2616</v>
      </c>
      <c r="I11051" s="417" t="s">
        <v>28841</v>
      </c>
      <c r="J11051" s="417" t="s">
        <v>24579</v>
      </c>
      <c r="K11051" s="417" t="s">
        <v>24580</v>
      </c>
      <c r="L11051" s="417"/>
      <c r="M11051" s="417" t="s">
        <v>28840</v>
      </c>
    </row>
    <row r="11052" spans="1:13" x14ac:dyDescent="0.25">
      <c r="A11052" s="417" t="s">
        <v>3385</v>
      </c>
      <c r="B11052" s="417" t="s">
        <v>3655</v>
      </c>
      <c r="C11052" s="417" t="s">
        <v>24581</v>
      </c>
      <c r="D11052" s="417" t="s">
        <v>83</v>
      </c>
      <c r="E11052" s="423">
        <v>0.14543543684961571</v>
      </c>
      <c r="F11052" s="423">
        <v>1.1499435485030719E-2</v>
      </c>
      <c r="G11052" s="422">
        <v>367.63155483494501</v>
      </c>
      <c r="H11052" s="417" t="s">
        <v>2616</v>
      </c>
      <c r="I11052" s="417" t="s">
        <v>1392</v>
      </c>
      <c r="J11052" s="417" t="s">
        <v>4915</v>
      </c>
      <c r="K11052" s="417" t="s">
        <v>24582</v>
      </c>
      <c r="L11052" s="417"/>
      <c r="M11052" s="417" t="s">
        <v>28840</v>
      </c>
    </row>
    <row r="11053" spans="1:13" x14ac:dyDescent="0.25">
      <c r="A11053" s="417" t="s">
        <v>3385</v>
      </c>
      <c r="B11053" s="417" t="s">
        <v>3655</v>
      </c>
      <c r="C11053" s="417" t="s">
        <v>24583</v>
      </c>
      <c r="D11053" s="417" t="s">
        <v>83</v>
      </c>
      <c r="E11053" s="423">
        <v>0.15682511795985141</v>
      </c>
      <c r="F11053" s="423">
        <v>1.290972879659812E-2</v>
      </c>
      <c r="G11053" s="422">
        <v>391.77804823966039</v>
      </c>
      <c r="H11053" s="417" t="s">
        <v>2616</v>
      </c>
      <c r="I11053" s="417" t="s">
        <v>1392</v>
      </c>
      <c r="J11053" s="417" t="s">
        <v>4915</v>
      </c>
      <c r="K11053" s="417" t="s">
        <v>24584</v>
      </c>
      <c r="L11053" s="417"/>
      <c r="M11053" s="417" t="s">
        <v>28840</v>
      </c>
    </row>
    <row r="11054" spans="1:13" x14ac:dyDescent="0.25">
      <c r="A11054" s="417" t="s">
        <v>3385</v>
      </c>
      <c r="B11054" s="417" t="s">
        <v>3655</v>
      </c>
      <c r="C11054" s="417" t="s">
        <v>24585</v>
      </c>
      <c r="D11054" s="417" t="s">
        <v>83</v>
      </c>
      <c r="E11054" s="423">
        <v>3.0533163924737448E-2</v>
      </c>
      <c r="F11054" s="423">
        <v>3.6527399862334282E-3</v>
      </c>
      <c r="G11054" s="422">
        <v>65.472450990664839</v>
      </c>
      <c r="H11054" s="417" t="s">
        <v>2616</v>
      </c>
      <c r="I11054" s="417" t="s">
        <v>1392</v>
      </c>
      <c r="J11054" s="417" t="s">
        <v>4915</v>
      </c>
      <c r="K11054" s="417" t="s">
        <v>24586</v>
      </c>
      <c r="L11054" s="417"/>
      <c r="M11054" s="417" t="s">
        <v>28840</v>
      </c>
    </row>
    <row r="11055" spans="1:13" x14ac:dyDescent="0.25">
      <c r="A11055" s="417" t="s">
        <v>3385</v>
      </c>
      <c r="B11055" s="417" t="s">
        <v>3655</v>
      </c>
      <c r="C11055" s="417" t="s">
        <v>24587</v>
      </c>
      <c r="D11055" s="417" t="s">
        <v>83</v>
      </c>
      <c r="E11055" s="423">
        <v>3.2589147389439077E-2</v>
      </c>
      <c r="F11055" s="423">
        <v>3.9073160099640687E-3</v>
      </c>
      <c r="G11055" s="422">
        <v>69.831202543657909</v>
      </c>
      <c r="H11055" s="417" t="s">
        <v>2616</v>
      </c>
      <c r="I11055" s="417" t="s">
        <v>1392</v>
      </c>
      <c r="J11055" s="417" t="s">
        <v>4915</v>
      </c>
      <c r="K11055" s="417" t="s">
        <v>24588</v>
      </c>
      <c r="L11055" s="417"/>
      <c r="M11055" s="417" t="s">
        <v>28840</v>
      </c>
    </row>
    <row r="11056" spans="1:13" x14ac:dyDescent="0.25">
      <c r="A11056" s="417" t="s">
        <v>3385</v>
      </c>
      <c r="B11056" s="417" t="s">
        <v>3655</v>
      </c>
      <c r="C11056" s="417" t="s">
        <v>24589</v>
      </c>
      <c r="D11056" s="417" t="s">
        <v>83</v>
      </c>
      <c r="E11056" s="423">
        <v>3.4709380336826808E-2</v>
      </c>
      <c r="F11056" s="423">
        <v>4.1698475338338122E-3</v>
      </c>
      <c r="G11056" s="422">
        <v>74.326165077105173</v>
      </c>
      <c r="H11056" s="417" t="s">
        <v>2616</v>
      </c>
      <c r="I11056" s="417" t="s">
        <v>1392</v>
      </c>
      <c r="J11056" s="417" t="s">
        <v>4915</v>
      </c>
      <c r="K11056" s="417" t="s">
        <v>24590</v>
      </c>
      <c r="L11056" s="417"/>
      <c r="M11056" s="417" t="s">
        <v>28840</v>
      </c>
    </row>
    <row r="11057" spans="1:13" x14ac:dyDescent="0.25">
      <c r="A11057" s="417" t="s">
        <v>3385</v>
      </c>
      <c r="B11057" s="417" t="s">
        <v>3655</v>
      </c>
      <c r="C11057" s="417" t="s">
        <v>24591</v>
      </c>
      <c r="D11057" s="417" t="s">
        <v>83</v>
      </c>
      <c r="E11057" s="423">
        <v>0.14095496223631179</v>
      </c>
      <c r="F11057" s="423">
        <v>8.8014448415913802E-3</v>
      </c>
      <c r="G11057" s="422">
        <v>377.75537829930568</v>
      </c>
      <c r="H11057" s="417" t="s">
        <v>2616</v>
      </c>
      <c r="I11057" s="417" t="s">
        <v>1392</v>
      </c>
      <c r="J11057" s="417" t="s">
        <v>4915</v>
      </c>
      <c r="K11057" s="417" t="s">
        <v>24592</v>
      </c>
      <c r="L11057" s="417"/>
      <c r="M11057" s="417" t="s">
        <v>28840</v>
      </c>
    </row>
    <row r="11058" spans="1:13" x14ac:dyDescent="0.25">
      <c r="A11058" s="417" t="s">
        <v>3385</v>
      </c>
      <c r="B11058" s="417" t="s">
        <v>3655</v>
      </c>
      <c r="C11058" s="417" t="s">
        <v>24593</v>
      </c>
      <c r="D11058" s="417" t="s">
        <v>83</v>
      </c>
      <c r="E11058" s="423">
        <v>0.12807586127727</v>
      </c>
      <c r="F11058" s="423">
        <v>7.2067285583512809E-3</v>
      </c>
      <c r="G11058" s="422">
        <v>350.45126717837047</v>
      </c>
      <c r="H11058" s="417" t="s">
        <v>2616</v>
      </c>
      <c r="I11058" s="417" t="s">
        <v>1392</v>
      </c>
      <c r="J11058" s="417" t="s">
        <v>4915</v>
      </c>
      <c r="K11058" s="417" t="s">
        <v>24594</v>
      </c>
      <c r="L11058" s="417"/>
      <c r="M11058" s="417" t="s">
        <v>28840</v>
      </c>
    </row>
    <row r="11059" spans="1:13" x14ac:dyDescent="0.25">
      <c r="A11059" s="417" t="s">
        <v>3385</v>
      </c>
      <c r="B11059" s="417" t="s">
        <v>3655</v>
      </c>
      <c r="C11059" s="417" t="s">
        <v>24595</v>
      </c>
      <c r="D11059" s="417" t="s">
        <v>83</v>
      </c>
      <c r="E11059" s="423">
        <v>4.1252803614096813E-2</v>
      </c>
      <c r="F11059" s="423">
        <v>4.981365320225346E-3</v>
      </c>
      <c r="G11059" s="422">
        <v>88.188288153886958</v>
      </c>
      <c r="H11059" s="417" t="s">
        <v>2616</v>
      </c>
      <c r="I11059" s="417" t="s">
        <v>1392</v>
      </c>
      <c r="J11059" s="417" t="s">
        <v>4915</v>
      </c>
      <c r="K11059" s="417" t="s">
        <v>24596</v>
      </c>
      <c r="L11059" s="417"/>
      <c r="M11059" s="417" t="s">
        <v>28840</v>
      </c>
    </row>
    <row r="11060" spans="1:13" x14ac:dyDescent="0.25">
      <c r="A11060" s="417" t="s">
        <v>3385</v>
      </c>
      <c r="B11060" s="417" t="s">
        <v>3655</v>
      </c>
      <c r="C11060" s="417" t="s">
        <v>24597</v>
      </c>
      <c r="D11060" s="417" t="s">
        <v>83</v>
      </c>
      <c r="E11060" s="423">
        <v>4.4275449758994993E-2</v>
      </c>
      <c r="F11060" s="423">
        <v>5.3556354685301184E-3</v>
      </c>
      <c r="G11060" s="422">
        <v>94.59639593722126</v>
      </c>
      <c r="H11060" s="417" t="s">
        <v>2616</v>
      </c>
      <c r="I11060" s="417" t="s">
        <v>1392</v>
      </c>
      <c r="J11060" s="417" t="s">
        <v>4915</v>
      </c>
      <c r="K11060" s="417" t="s">
        <v>24598</v>
      </c>
      <c r="L11060" s="417"/>
      <c r="M11060" s="417" t="s">
        <v>28840</v>
      </c>
    </row>
    <row r="11061" spans="1:13" x14ac:dyDescent="0.25">
      <c r="A11061" s="417" t="s">
        <v>3385</v>
      </c>
      <c r="B11061" s="417" t="s">
        <v>3655</v>
      </c>
      <c r="C11061" s="417" t="s">
        <v>24599</v>
      </c>
      <c r="D11061" s="417" t="s">
        <v>83</v>
      </c>
      <c r="E11061" s="423">
        <v>4.7298095899436773E-2</v>
      </c>
      <c r="F11061" s="423">
        <v>5.7299056166699638E-3</v>
      </c>
      <c r="G11061" s="422">
        <v>101.0045037179821</v>
      </c>
      <c r="H11061" s="417" t="s">
        <v>2616</v>
      </c>
      <c r="I11061" s="417" t="s">
        <v>1392</v>
      </c>
      <c r="J11061" s="417" t="s">
        <v>4915</v>
      </c>
      <c r="K11061" s="417" t="s">
        <v>24600</v>
      </c>
      <c r="L11061" s="417"/>
      <c r="M11061" s="417" t="s">
        <v>28840</v>
      </c>
    </row>
    <row r="11062" spans="1:13" x14ac:dyDescent="0.25">
      <c r="A11062" s="417" t="s">
        <v>3385</v>
      </c>
      <c r="B11062" s="417" t="s">
        <v>2627</v>
      </c>
      <c r="C11062" s="417" t="s">
        <v>24601</v>
      </c>
      <c r="D11062" s="417" t="s">
        <v>88</v>
      </c>
      <c r="E11062" s="423">
        <v>0.11087210070182051</v>
      </c>
      <c r="F11062" s="423">
        <v>9.8016992523773175E-3</v>
      </c>
      <c r="G11062" s="422">
        <v>168.76308074068371</v>
      </c>
      <c r="H11062" s="417" t="s">
        <v>2616</v>
      </c>
      <c r="I11062" s="417" t="s">
        <v>1392</v>
      </c>
      <c r="J11062" s="417" t="s">
        <v>24602</v>
      </c>
      <c r="K11062" s="417" t="s">
        <v>24603</v>
      </c>
      <c r="L11062" s="417"/>
      <c r="M11062" s="417" t="s">
        <v>28840</v>
      </c>
    </row>
    <row r="11063" spans="1:13" x14ac:dyDescent="0.25">
      <c r="A11063" s="417" t="s">
        <v>3385</v>
      </c>
      <c r="B11063" s="417" t="s">
        <v>2627</v>
      </c>
      <c r="C11063" s="417" t="s">
        <v>24604</v>
      </c>
      <c r="D11063" s="417" t="s">
        <v>88</v>
      </c>
      <c r="E11063" s="423">
        <v>0.19188543921915491</v>
      </c>
      <c r="F11063" s="423">
        <v>1.383214805728581E-2</v>
      </c>
      <c r="G11063" s="422">
        <v>280.41966706991548</v>
      </c>
      <c r="H11063" s="417" t="s">
        <v>2616</v>
      </c>
      <c r="I11063" s="417" t="s">
        <v>1392</v>
      </c>
      <c r="J11063" s="417" t="s">
        <v>24496</v>
      </c>
      <c r="K11063" s="417" t="s">
        <v>24605</v>
      </c>
      <c r="L11063" s="417"/>
      <c r="M11063" s="417" t="s">
        <v>28840</v>
      </c>
    </row>
    <row r="11064" spans="1:13" x14ac:dyDescent="0.25">
      <c r="A11064" s="417" t="s">
        <v>3385</v>
      </c>
      <c r="B11064" s="417" t="s">
        <v>3405</v>
      </c>
      <c r="C11064" s="417" t="s">
        <v>24606</v>
      </c>
      <c r="D11064" s="417" t="s">
        <v>73</v>
      </c>
      <c r="E11064" s="423">
        <v>5.8792998516011691E-2</v>
      </c>
      <c r="F11064" s="423">
        <v>7.9620281332996737E-4</v>
      </c>
      <c r="G11064" s="422">
        <v>84.521864124182628</v>
      </c>
      <c r="H11064" s="417" t="s">
        <v>2616</v>
      </c>
      <c r="I11064" s="417" t="s">
        <v>1392</v>
      </c>
      <c r="J11064" s="417" t="s">
        <v>24607</v>
      </c>
      <c r="K11064" s="417" t="s">
        <v>24608</v>
      </c>
      <c r="L11064" s="417"/>
      <c r="M11064" s="417" t="s">
        <v>28840</v>
      </c>
    </row>
    <row r="11065" spans="1:13" x14ac:dyDescent="0.25">
      <c r="A11065" s="417" t="s">
        <v>3385</v>
      </c>
      <c r="B11065" s="417" t="s">
        <v>2627</v>
      </c>
      <c r="C11065" s="417" t="s">
        <v>24609</v>
      </c>
      <c r="D11065" s="417" t="s">
        <v>88</v>
      </c>
      <c r="E11065" s="423">
        <v>0.35571034754143688</v>
      </c>
      <c r="F11065" s="423">
        <v>2.491574697060028E-2</v>
      </c>
      <c r="G11065" s="422">
        <v>4763.4106577446719</v>
      </c>
      <c r="H11065" s="417" t="s">
        <v>2616</v>
      </c>
      <c r="I11065" s="417" t="s">
        <v>1392</v>
      </c>
      <c r="J11065" s="417" t="s">
        <v>24529</v>
      </c>
      <c r="K11065" s="417" t="s">
        <v>24610</v>
      </c>
      <c r="L11065" s="417"/>
      <c r="M11065" s="417" t="s">
        <v>28840</v>
      </c>
    </row>
    <row r="11066" spans="1:13" x14ac:dyDescent="0.25">
      <c r="A11066" s="417" t="s">
        <v>3385</v>
      </c>
      <c r="B11066" s="417" t="s">
        <v>2627</v>
      </c>
      <c r="C11066" s="417" t="s">
        <v>24611</v>
      </c>
      <c r="D11066" s="417" t="s">
        <v>88</v>
      </c>
      <c r="E11066" s="423">
        <v>1.5481502680847301</v>
      </c>
      <c r="F11066" s="423">
        <v>0.88944982888256019</v>
      </c>
      <c r="G11066" s="422">
        <v>10626.892207787831</v>
      </c>
      <c r="H11066" s="417" t="s">
        <v>2616</v>
      </c>
      <c r="I11066" s="417" t="s">
        <v>1392</v>
      </c>
      <c r="J11066" s="417" t="s">
        <v>24529</v>
      </c>
      <c r="K11066" s="417" t="s">
        <v>24612</v>
      </c>
      <c r="L11066" s="417"/>
      <c r="M11066" s="417" t="s">
        <v>28840</v>
      </c>
    </row>
    <row r="11067" spans="1:13" x14ac:dyDescent="0.25">
      <c r="A11067" s="417" t="s">
        <v>3385</v>
      </c>
      <c r="B11067" s="417" t="s">
        <v>2627</v>
      </c>
      <c r="C11067" s="417" t="s">
        <v>24613</v>
      </c>
      <c r="D11067" s="417" t="s">
        <v>88</v>
      </c>
      <c r="E11067" s="423">
        <v>4.1497983292493634</v>
      </c>
      <c r="F11067" s="423">
        <v>0.2383418446787097</v>
      </c>
      <c r="G11067" s="422">
        <v>35158.007766489107</v>
      </c>
      <c r="H11067" s="417" t="s">
        <v>2616</v>
      </c>
      <c r="I11067" s="417" t="s">
        <v>1392</v>
      </c>
      <c r="J11067" s="417" t="s">
        <v>24529</v>
      </c>
      <c r="K11067" s="417" t="s">
        <v>24614</v>
      </c>
      <c r="L11067" s="417"/>
      <c r="M11067" s="417" t="s">
        <v>28840</v>
      </c>
    </row>
    <row r="11068" spans="1:13" x14ac:dyDescent="0.25">
      <c r="A11068" s="417" t="s">
        <v>3385</v>
      </c>
      <c r="B11068" s="417" t="s">
        <v>2627</v>
      </c>
      <c r="C11068" s="417" t="s">
        <v>24615</v>
      </c>
      <c r="D11068" s="417" t="s">
        <v>88</v>
      </c>
      <c r="E11068" s="423">
        <v>4.6666635754645682</v>
      </c>
      <c r="F11068" s="423">
        <v>0.26505580080773911</v>
      </c>
      <c r="G11068" s="422">
        <v>21882.801990987551</v>
      </c>
      <c r="H11068" s="417" t="s">
        <v>2616</v>
      </c>
      <c r="I11068" s="417" t="s">
        <v>1392</v>
      </c>
      <c r="J11068" s="417" t="s">
        <v>24529</v>
      </c>
      <c r="K11068" s="417" t="s">
        <v>24616</v>
      </c>
      <c r="L11068" s="417"/>
      <c r="M11068" s="417" t="s">
        <v>28840</v>
      </c>
    </row>
    <row r="11069" spans="1:13" x14ac:dyDescent="0.25">
      <c r="A11069" s="417" t="s">
        <v>3385</v>
      </c>
      <c r="B11069" s="417" t="s">
        <v>2627</v>
      </c>
      <c r="C11069" s="417" t="s">
        <v>24617</v>
      </c>
      <c r="D11069" s="417" t="s">
        <v>88</v>
      </c>
      <c r="E11069" s="423">
        <v>1.60721936193629</v>
      </c>
      <c r="F11069" s="423">
        <v>7.8382910345176554E-2</v>
      </c>
      <c r="G11069" s="422">
        <v>28352.551866637321</v>
      </c>
      <c r="H11069" s="417" t="s">
        <v>2616</v>
      </c>
      <c r="I11069" s="417" t="s">
        <v>1392</v>
      </c>
      <c r="J11069" s="417" t="s">
        <v>24529</v>
      </c>
      <c r="K11069" s="417" t="s">
        <v>24618</v>
      </c>
      <c r="L11069" s="417"/>
      <c r="M11069" s="417" t="s">
        <v>28840</v>
      </c>
    </row>
    <row r="11070" spans="1:13" x14ac:dyDescent="0.25">
      <c r="A11070" s="417" t="s">
        <v>3385</v>
      </c>
      <c r="B11070" s="417" t="s">
        <v>2627</v>
      </c>
      <c r="C11070" s="417" t="s">
        <v>24619</v>
      </c>
      <c r="D11070" s="417" t="s">
        <v>88</v>
      </c>
      <c r="E11070" s="423">
        <v>1.462675959355713</v>
      </c>
      <c r="F11070" s="423">
        <v>0.1245555503549677</v>
      </c>
      <c r="G11070" s="422">
        <v>8415.631877882819</v>
      </c>
      <c r="H11070" s="417" t="s">
        <v>2616</v>
      </c>
      <c r="I11070" s="417" t="s">
        <v>1392</v>
      </c>
      <c r="J11070" s="417" t="s">
        <v>24529</v>
      </c>
      <c r="K11070" s="417" t="s">
        <v>24620</v>
      </c>
      <c r="L11070" s="417"/>
      <c r="M11070" s="417" t="s">
        <v>28840</v>
      </c>
    </row>
    <row r="11071" spans="1:13" x14ac:dyDescent="0.25">
      <c r="A11071" s="417" t="s">
        <v>3385</v>
      </c>
      <c r="B11071" s="417" t="s">
        <v>2623</v>
      </c>
      <c r="C11071" s="417" t="s">
        <v>24621</v>
      </c>
      <c r="D11071" s="417" t="s">
        <v>88</v>
      </c>
      <c r="E11071" s="423">
        <v>0</v>
      </c>
      <c r="F11071" s="423">
        <v>0</v>
      </c>
      <c r="G11071" s="422">
        <v>0</v>
      </c>
      <c r="H11071" s="417" t="s">
        <v>2616</v>
      </c>
      <c r="I11071" s="417" t="s">
        <v>1392</v>
      </c>
      <c r="J11071" s="417" t="s">
        <v>24450</v>
      </c>
      <c r="K11071" s="417" t="s">
        <v>24622</v>
      </c>
      <c r="L11071" s="417"/>
      <c r="M11071" s="417" t="s">
        <v>28840</v>
      </c>
    </row>
    <row r="11072" spans="1:13" x14ac:dyDescent="0.25">
      <c r="A11072" s="417" t="s">
        <v>3385</v>
      </c>
      <c r="B11072" s="417" t="s">
        <v>2627</v>
      </c>
      <c r="C11072" s="417" t="s">
        <v>24623</v>
      </c>
      <c r="D11072" s="417" t="s">
        <v>88</v>
      </c>
      <c r="E11072" s="423">
        <v>0.1127592352768404</v>
      </c>
      <c r="F11072" s="423">
        <v>1.2117680456743989E-3</v>
      </c>
      <c r="G11072" s="422">
        <v>249.6928067109217</v>
      </c>
      <c r="H11072" s="417" t="s">
        <v>2616</v>
      </c>
      <c r="I11072" s="417" t="s">
        <v>1392</v>
      </c>
      <c r="J11072" s="417" t="s">
        <v>24529</v>
      </c>
      <c r="K11072" s="417" t="s">
        <v>24624</v>
      </c>
      <c r="L11072" s="417"/>
      <c r="M11072" s="417" t="s">
        <v>28840</v>
      </c>
    </row>
    <row r="11073" spans="1:13" x14ac:dyDescent="0.25">
      <c r="A11073" s="417" t="s">
        <v>3385</v>
      </c>
      <c r="B11073" s="417" t="s">
        <v>2627</v>
      </c>
      <c r="C11073" s="417" t="s">
        <v>24625</v>
      </c>
      <c r="D11073" s="417" t="s">
        <v>88</v>
      </c>
      <c r="E11073" s="423">
        <v>0.91680765519148144</v>
      </c>
      <c r="F11073" s="423">
        <v>1.4482666240828881</v>
      </c>
      <c r="G11073" s="422">
        <v>1953.809393599329</v>
      </c>
      <c r="H11073" s="417" t="s">
        <v>2616</v>
      </c>
      <c r="I11073" s="417" t="s">
        <v>1392</v>
      </c>
      <c r="J11073" s="417" t="s">
        <v>5187</v>
      </c>
      <c r="K11073" s="417" t="s">
        <v>24626</v>
      </c>
      <c r="L11073" s="417"/>
      <c r="M11073" s="417" t="s">
        <v>28840</v>
      </c>
    </row>
    <row r="11074" spans="1:13" x14ac:dyDescent="0.25">
      <c r="A11074" s="417" t="s">
        <v>3385</v>
      </c>
      <c r="B11074" s="417" t="s">
        <v>2627</v>
      </c>
      <c r="C11074" s="417" t="s">
        <v>24627</v>
      </c>
      <c r="D11074" s="417" t="s">
        <v>88</v>
      </c>
      <c r="E11074" s="423">
        <v>0.88959477057363201</v>
      </c>
      <c r="F11074" s="423">
        <v>1.429420677423753</v>
      </c>
      <c r="G11074" s="422">
        <v>2002.572524654033</v>
      </c>
      <c r="H11074" s="417" t="s">
        <v>2616</v>
      </c>
      <c r="I11074" s="417" t="s">
        <v>1392</v>
      </c>
      <c r="J11074" s="417" t="s">
        <v>5187</v>
      </c>
      <c r="K11074" s="417" t="s">
        <v>24628</v>
      </c>
      <c r="L11074" s="417"/>
      <c r="M11074" s="417" t="s">
        <v>28840</v>
      </c>
    </row>
    <row r="11075" spans="1:13" x14ac:dyDescent="0.25">
      <c r="A11075" s="417" t="s">
        <v>3385</v>
      </c>
      <c r="B11075" s="417" t="s">
        <v>2627</v>
      </c>
      <c r="C11075" s="417" t="s">
        <v>24629</v>
      </c>
      <c r="D11075" s="417" t="s">
        <v>88</v>
      </c>
      <c r="E11075" s="423">
        <v>1.0162769199935531</v>
      </c>
      <c r="F11075" s="423">
        <v>5.9099928995259628E-2</v>
      </c>
      <c r="G11075" s="422">
        <v>1822.4467356403111</v>
      </c>
      <c r="H11075" s="417" t="s">
        <v>2616</v>
      </c>
      <c r="I11075" s="417" t="s">
        <v>1392</v>
      </c>
      <c r="J11075" s="417" t="s">
        <v>5187</v>
      </c>
      <c r="K11075" s="417" t="s">
        <v>24630</v>
      </c>
      <c r="L11075" s="417"/>
      <c r="M11075" s="417" t="s">
        <v>28840</v>
      </c>
    </row>
    <row r="11076" spans="1:13" x14ac:dyDescent="0.25">
      <c r="A11076" s="417" t="s">
        <v>3385</v>
      </c>
      <c r="B11076" s="417" t="s">
        <v>2627</v>
      </c>
      <c r="C11076" s="417" t="s">
        <v>24631</v>
      </c>
      <c r="D11076" s="417" t="s">
        <v>88</v>
      </c>
      <c r="E11076" s="423">
        <v>1.004617666048965</v>
      </c>
      <c r="F11076" s="423">
        <v>6.0316343075375922E-2</v>
      </c>
      <c r="G11076" s="422">
        <v>1914.524469605868</v>
      </c>
      <c r="H11076" s="417" t="s">
        <v>2616</v>
      </c>
      <c r="I11076" s="417" t="s">
        <v>1392</v>
      </c>
      <c r="J11076" s="417" t="s">
        <v>5187</v>
      </c>
      <c r="K11076" s="417" t="s">
        <v>24632</v>
      </c>
      <c r="L11076" s="417"/>
      <c r="M11076" s="417" t="s">
        <v>28840</v>
      </c>
    </row>
    <row r="11077" spans="1:13" x14ac:dyDescent="0.25">
      <c r="A11077" s="417" t="s">
        <v>3385</v>
      </c>
      <c r="B11077" s="417" t="s">
        <v>2627</v>
      </c>
      <c r="C11077" s="417" t="s">
        <v>24633</v>
      </c>
      <c r="D11077" s="417" t="s">
        <v>88</v>
      </c>
      <c r="E11077" s="423">
        <v>0.32627725227189708</v>
      </c>
      <c r="F11077" s="423">
        <v>7.5265800292750188E-3</v>
      </c>
      <c r="G11077" s="422">
        <v>2710.7377349495018</v>
      </c>
      <c r="H11077" s="417" t="s">
        <v>2616</v>
      </c>
      <c r="I11077" s="417" t="s">
        <v>1392</v>
      </c>
      <c r="J11077" s="417" t="s">
        <v>4054</v>
      </c>
      <c r="K11077" s="417" t="s">
        <v>24634</v>
      </c>
      <c r="L11077" s="417"/>
      <c r="M11077" s="417" t="s">
        <v>28840</v>
      </c>
    </row>
    <row r="11078" spans="1:13" x14ac:dyDescent="0.25">
      <c r="A11078" s="417" t="s">
        <v>3385</v>
      </c>
      <c r="B11078" s="417" t="s">
        <v>2627</v>
      </c>
      <c r="C11078" s="417" t="s">
        <v>24635</v>
      </c>
      <c r="D11078" s="417" t="s">
        <v>88</v>
      </c>
      <c r="E11078" s="423">
        <v>8.5098524353480184E-2</v>
      </c>
      <c r="F11078" s="423">
        <v>1.469023444146433E-2</v>
      </c>
      <c r="G11078" s="422">
        <v>202.46264820064849</v>
      </c>
      <c r="H11078" s="417" t="s">
        <v>2616</v>
      </c>
      <c r="I11078" s="417" t="s">
        <v>1392</v>
      </c>
      <c r="J11078" s="417" t="s">
        <v>24496</v>
      </c>
      <c r="K11078" s="417" t="s">
        <v>24636</v>
      </c>
      <c r="L11078" s="417"/>
      <c r="M11078" s="417" t="s">
        <v>28840</v>
      </c>
    </row>
    <row r="11079" spans="1:13" x14ac:dyDescent="0.25">
      <c r="A11079" s="417" t="s">
        <v>3385</v>
      </c>
      <c r="B11079" s="417" t="s">
        <v>2627</v>
      </c>
      <c r="C11079" s="417" t="s">
        <v>24637</v>
      </c>
      <c r="D11079" s="417" t="s">
        <v>88</v>
      </c>
      <c r="E11079" s="423">
        <v>0.1888415895052086</v>
      </c>
      <c r="F11079" s="423">
        <v>5.2916649864728892E-3</v>
      </c>
      <c r="G11079" s="422">
        <v>343.92066572803952</v>
      </c>
      <c r="H11079" s="417" t="s">
        <v>2616</v>
      </c>
      <c r="I11079" s="417" t="s">
        <v>1392</v>
      </c>
      <c r="J11079" s="417" t="s">
        <v>24496</v>
      </c>
      <c r="K11079" s="417" t="s">
        <v>24638</v>
      </c>
      <c r="L11079" s="417"/>
      <c r="M11079" s="417" t="s">
        <v>28840</v>
      </c>
    </row>
    <row r="11080" spans="1:13" x14ac:dyDescent="0.25">
      <c r="A11080" s="417" t="s">
        <v>3385</v>
      </c>
      <c r="B11080" s="417" t="s">
        <v>2623</v>
      </c>
      <c r="C11080" s="417" t="s">
        <v>24639</v>
      </c>
      <c r="D11080" s="417" t="s">
        <v>88</v>
      </c>
      <c r="E11080" s="423">
        <v>0</v>
      </c>
      <c r="F11080" s="423">
        <v>0</v>
      </c>
      <c r="G11080" s="422">
        <v>0</v>
      </c>
      <c r="H11080" s="417" t="s">
        <v>2616</v>
      </c>
      <c r="I11080" s="417" t="s">
        <v>1392</v>
      </c>
      <c r="J11080" s="417" t="s">
        <v>24450</v>
      </c>
      <c r="K11080" s="417" t="s">
        <v>24640</v>
      </c>
      <c r="L11080" s="417"/>
      <c r="M11080" s="417" t="s">
        <v>28840</v>
      </c>
    </row>
    <row r="11081" spans="1:13" x14ac:dyDescent="0.25">
      <c r="A11081" s="417" t="s">
        <v>3385</v>
      </c>
      <c r="B11081" s="417" t="s">
        <v>2623</v>
      </c>
      <c r="C11081" s="417" t="s">
        <v>24641</v>
      </c>
      <c r="D11081" s="417" t="s">
        <v>88</v>
      </c>
      <c r="E11081" s="423">
        <v>0</v>
      </c>
      <c r="F11081" s="423">
        <v>0</v>
      </c>
      <c r="G11081" s="422">
        <v>0</v>
      </c>
      <c r="H11081" s="417" t="s">
        <v>2616</v>
      </c>
      <c r="I11081" s="417" t="s">
        <v>1392</v>
      </c>
      <c r="J11081" s="417" t="s">
        <v>24450</v>
      </c>
      <c r="K11081" s="417" t="s">
        <v>24642</v>
      </c>
      <c r="L11081" s="417"/>
      <c r="M11081" s="417" t="s">
        <v>28840</v>
      </c>
    </row>
    <row r="11082" spans="1:13" x14ac:dyDescent="0.25">
      <c r="A11082" s="417" t="s">
        <v>3385</v>
      </c>
      <c r="B11082" s="417" t="s">
        <v>2623</v>
      </c>
      <c r="C11082" s="417" t="s">
        <v>24643</v>
      </c>
      <c r="D11082" s="417" t="s">
        <v>88</v>
      </c>
      <c r="E11082" s="423">
        <v>0</v>
      </c>
      <c r="F11082" s="423">
        <v>0</v>
      </c>
      <c r="G11082" s="422">
        <v>0</v>
      </c>
      <c r="H11082" s="417" t="s">
        <v>2616</v>
      </c>
      <c r="I11082" s="417" t="s">
        <v>1392</v>
      </c>
      <c r="J11082" s="417" t="s">
        <v>24450</v>
      </c>
      <c r="K11082" s="417" t="s">
        <v>24644</v>
      </c>
      <c r="L11082" s="417"/>
      <c r="M11082" s="417" t="s">
        <v>28840</v>
      </c>
    </row>
    <row r="11083" spans="1:13" x14ac:dyDescent="0.25">
      <c r="A11083" s="417" t="s">
        <v>3385</v>
      </c>
      <c r="B11083" s="417" t="s">
        <v>2623</v>
      </c>
      <c r="C11083" s="417" t="s">
        <v>24645</v>
      </c>
      <c r="D11083" s="417" t="s">
        <v>88</v>
      </c>
      <c r="E11083" s="423">
        <v>0</v>
      </c>
      <c r="F11083" s="423">
        <v>0</v>
      </c>
      <c r="G11083" s="422">
        <v>0</v>
      </c>
      <c r="H11083" s="417" t="s">
        <v>2616</v>
      </c>
      <c r="I11083" s="417" t="s">
        <v>1392</v>
      </c>
      <c r="J11083" s="417" t="s">
        <v>24450</v>
      </c>
      <c r="K11083" s="417" t="s">
        <v>24646</v>
      </c>
      <c r="L11083" s="417"/>
      <c r="M11083" s="417" t="s">
        <v>28840</v>
      </c>
    </row>
    <row r="11084" spans="1:13" x14ac:dyDescent="0.25">
      <c r="A11084" s="417" t="s">
        <v>3385</v>
      </c>
      <c r="B11084" s="417" t="s">
        <v>2623</v>
      </c>
      <c r="C11084" s="417" t="s">
        <v>24647</v>
      </c>
      <c r="D11084" s="417" t="s">
        <v>88</v>
      </c>
      <c r="E11084" s="423">
        <v>0</v>
      </c>
      <c r="F11084" s="423">
        <v>0</v>
      </c>
      <c r="G11084" s="422">
        <v>0</v>
      </c>
      <c r="H11084" s="417" t="s">
        <v>2616</v>
      </c>
      <c r="I11084" s="417" t="s">
        <v>1392</v>
      </c>
      <c r="J11084" s="417" t="s">
        <v>24450</v>
      </c>
      <c r="K11084" s="417" t="s">
        <v>24648</v>
      </c>
      <c r="L11084" s="417"/>
      <c r="M11084" s="417" t="s">
        <v>28840</v>
      </c>
    </row>
    <row r="11085" spans="1:13" x14ac:dyDescent="0.25">
      <c r="A11085" s="417" t="s">
        <v>3385</v>
      </c>
      <c r="B11085" s="417" t="s">
        <v>2623</v>
      </c>
      <c r="C11085" s="417" t="s">
        <v>24649</v>
      </c>
      <c r="D11085" s="417" t="s">
        <v>88</v>
      </c>
      <c r="E11085" s="423">
        <v>0</v>
      </c>
      <c r="F11085" s="423">
        <v>0</v>
      </c>
      <c r="G11085" s="422">
        <v>0</v>
      </c>
      <c r="H11085" s="417" t="s">
        <v>2616</v>
      </c>
      <c r="I11085" s="417" t="s">
        <v>1392</v>
      </c>
      <c r="J11085" s="417" t="s">
        <v>24450</v>
      </c>
      <c r="K11085" s="417" t="s">
        <v>24650</v>
      </c>
      <c r="L11085" s="417"/>
      <c r="M11085" s="417" t="s">
        <v>28840</v>
      </c>
    </row>
    <row r="11086" spans="1:13" x14ac:dyDescent="0.25">
      <c r="A11086" s="417" t="s">
        <v>3385</v>
      </c>
      <c r="B11086" s="417" t="s">
        <v>2623</v>
      </c>
      <c r="C11086" s="417" t="s">
        <v>24651</v>
      </c>
      <c r="D11086" s="417" t="s">
        <v>88</v>
      </c>
      <c r="E11086" s="423">
        <v>0</v>
      </c>
      <c r="F11086" s="423">
        <v>0</v>
      </c>
      <c r="G11086" s="422">
        <v>0</v>
      </c>
      <c r="H11086" s="417" t="s">
        <v>2616</v>
      </c>
      <c r="I11086" s="417" t="s">
        <v>1392</v>
      </c>
      <c r="J11086" s="417" t="s">
        <v>24450</v>
      </c>
      <c r="K11086" s="417" t="s">
        <v>24652</v>
      </c>
      <c r="L11086" s="417"/>
      <c r="M11086" s="417" t="s">
        <v>28840</v>
      </c>
    </row>
    <row r="11087" spans="1:13" x14ac:dyDescent="0.25">
      <c r="A11087" s="417" t="s">
        <v>3385</v>
      </c>
      <c r="B11087" s="417" t="s">
        <v>2623</v>
      </c>
      <c r="C11087" s="417" t="s">
        <v>24653</v>
      </c>
      <c r="D11087" s="417" t="s">
        <v>88</v>
      </c>
      <c r="E11087" s="423">
        <v>0</v>
      </c>
      <c r="F11087" s="423">
        <v>0</v>
      </c>
      <c r="G11087" s="422">
        <v>0</v>
      </c>
      <c r="H11087" s="417" t="s">
        <v>2616</v>
      </c>
      <c r="I11087" s="417" t="s">
        <v>1392</v>
      </c>
      <c r="J11087" s="417" t="s">
        <v>24450</v>
      </c>
      <c r="K11087" s="417" t="s">
        <v>24654</v>
      </c>
      <c r="L11087" s="417"/>
      <c r="M11087" s="417" t="s">
        <v>28840</v>
      </c>
    </row>
    <row r="11088" spans="1:13" x14ac:dyDescent="0.25">
      <c r="A11088" s="417" t="s">
        <v>3385</v>
      </c>
      <c r="B11088" s="417" t="s">
        <v>2627</v>
      </c>
      <c r="C11088" s="417" t="s">
        <v>24655</v>
      </c>
      <c r="D11088" s="417" t="s">
        <v>88</v>
      </c>
      <c r="E11088" s="423">
        <v>8.5485083157728479</v>
      </c>
      <c r="F11088" s="423">
        <v>0.27784437254439381</v>
      </c>
      <c r="G11088" s="422">
        <v>14798.79469458214</v>
      </c>
      <c r="H11088" s="417" t="s">
        <v>2616</v>
      </c>
      <c r="I11088" s="417" t="s">
        <v>1392</v>
      </c>
      <c r="J11088" s="417" t="s">
        <v>24424</v>
      </c>
      <c r="K11088" s="417" t="s">
        <v>24656</v>
      </c>
      <c r="L11088" s="417"/>
      <c r="M11088" s="417" t="s">
        <v>28840</v>
      </c>
    </row>
    <row r="11089" spans="1:13" x14ac:dyDescent="0.25">
      <c r="A11089" s="417" t="s">
        <v>3385</v>
      </c>
      <c r="B11089" s="417" t="s">
        <v>2627</v>
      </c>
      <c r="C11089" s="417" t="s">
        <v>24657</v>
      </c>
      <c r="D11089" s="417" t="s">
        <v>88</v>
      </c>
      <c r="E11089" s="423">
        <v>4.5521783353707006</v>
      </c>
      <c r="F11089" s="423">
        <v>4.3472987003835853E-2</v>
      </c>
      <c r="G11089" s="422">
        <v>6722.2689439765518</v>
      </c>
      <c r="H11089" s="417" t="s">
        <v>2616</v>
      </c>
      <c r="I11089" s="417" t="s">
        <v>1392</v>
      </c>
      <c r="J11089" s="417" t="s">
        <v>24415</v>
      </c>
      <c r="K11089" s="417" t="s">
        <v>24658</v>
      </c>
      <c r="L11089" s="417"/>
      <c r="M11089" s="417" t="s">
        <v>28840</v>
      </c>
    </row>
    <row r="11090" spans="1:13" x14ac:dyDescent="0.25">
      <c r="A11090" s="417" t="s">
        <v>3385</v>
      </c>
      <c r="B11090" s="417" t="s">
        <v>2627</v>
      </c>
      <c r="C11090" s="417" t="s">
        <v>24659</v>
      </c>
      <c r="D11090" s="417" t="s">
        <v>88</v>
      </c>
      <c r="E11090" s="423">
        <v>0.92589986127379731</v>
      </c>
      <c r="F11090" s="423">
        <v>6.5725614750167458E-3</v>
      </c>
      <c r="G11090" s="422">
        <v>1305.5908328246289</v>
      </c>
      <c r="H11090" s="417" t="s">
        <v>2616</v>
      </c>
      <c r="I11090" s="417" t="s">
        <v>1392</v>
      </c>
      <c r="J11090" s="417" t="s">
        <v>24660</v>
      </c>
      <c r="K11090" s="417" t="s">
        <v>24661</v>
      </c>
      <c r="L11090" s="417"/>
      <c r="M11090" s="417" t="s">
        <v>28840</v>
      </c>
    </row>
    <row r="11091" spans="1:13" x14ac:dyDescent="0.25">
      <c r="A11091" s="417" t="s">
        <v>3385</v>
      </c>
      <c r="B11091" s="417" t="s">
        <v>2627</v>
      </c>
      <c r="C11091" s="417" t="s">
        <v>24662</v>
      </c>
      <c r="D11091" s="417" t="s">
        <v>88</v>
      </c>
      <c r="E11091" s="423">
        <v>0.72666134700189633</v>
      </c>
      <c r="F11091" s="423">
        <v>1.0953023410664311E-2</v>
      </c>
      <c r="G11091" s="422">
        <v>1846.50211475164</v>
      </c>
      <c r="H11091" s="417" t="s">
        <v>2616</v>
      </c>
      <c r="I11091" s="417" t="s">
        <v>1392</v>
      </c>
      <c r="J11091" s="417" t="s">
        <v>24660</v>
      </c>
      <c r="K11091" s="417" t="s">
        <v>24663</v>
      </c>
      <c r="L11091" s="417"/>
      <c r="M11091" s="417" t="s">
        <v>28840</v>
      </c>
    </row>
    <row r="11092" spans="1:13" x14ac:dyDescent="0.25">
      <c r="A11092" s="417" t="s">
        <v>3385</v>
      </c>
      <c r="B11092" s="417" t="s">
        <v>2627</v>
      </c>
      <c r="C11092" s="417" t="s">
        <v>24664</v>
      </c>
      <c r="D11092" s="417" t="s">
        <v>88</v>
      </c>
      <c r="E11092" s="423">
        <v>0.78993941510749766</v>
      </c>
      <c r="F11092" s="423">
        <v>1.185331714595631E-2</v>
      </c>
      <c r="G11092" s="422">
        <v>1226.135497076619</v>
      </c>
      <c r="H11092" s="417" t="s">
        <v>2616</v>
      </c>
      <c r="I11092" s="417" t="s">
        <v>1392</v>
      </c>
      <c r="J11092" s="417" t="s">
        <v>24660</v>
      </c>
      <c r="K11092" s="417" t="s">
        <v>24665</v>
      </c>
      <c r="L11092" s="417"/>
      <c r="M11092" s="417" t="s">
        <v>28840</v>
      </c>
    </row>
    <row r="11093" spans="1:13" x14ac:dyDescent="0.25">
      <c r="A11093" s="417" t="s">
        <v>3385</v>
      </c>
      <c r="B11093" s="417" t="s">
        <v>3655</v>
      </c>
      <c r="C11093" s="417" t="s">
        <v>24666</v>
      </c>
      <c r="D11093" s="417" t="s">
        <v>88</v>
      </c>
      <c r="E11093" s="423">
        <v>0.36461884044625442</v>
      </c>
      <c r="F11093" s="423">
        <v>0.1289576254708612</v>
      </c>
      <c r="G11093" s="422">
        <v>607.91919963003056</v>
      </c>
      <c r="H11093" s="417" t="s">
        <v>2616</v>
      </c>
      <c r="I11093" s="417" t="s">
        <v>1392</v>
      </c>
      <c r="J11093" s="417" t="s">
        <v>24559</v>
      </c>
      <c r="K11093" s="417" t="s">
        <v>24667</v>
      </c>
      <c r="L11093" s="417"/>
      <c r="M11093" s="417" t="s">
        <v>28840</v>
      </c>
    </row>
    <row r="11094" spans="1:13" x14ac:dyDescent="0.25">
      <c r="A11094" s="417" t="s">
        <v>3385</v>
      </c>
      <c r="B11094" s="417" t="s">
        <v>3655</v>
      </c>
      <c r="C11094" s="417" t="s">
        <v>24668</v>
      </c>
      <c r="D11094" s="417" t="s">
        <v>88</v>
      </c>
      <c r="E11094" s="423">
        <v>0.30447355620751998</v>
      </c>
      <c r="F11094" s="423">
        <v>0.1215384125201811</v>
      </c>
      <c r="G11094" s="422">
        <v>480.26052512939498</v>
      </c>
      <c r="H11094" s="417" t="s">
        <v>2616</v>
      </c>
      <c r="I11094" s="417" t="s">
        <v>1392</v>
      </c>
      <c r="J11094" s="417" t="s">
        <v>24559</v>
      </c>
      <c r="K11094" s="417" t="s">
        <v>24669</v>
      </c>
      <c r="L11094" s="417"/>
      <c r="M11094" s="417" t="s">
        <v>28840</v>
      </c>
    </row>
    <row r="11095" spans="1:13" x14ac:dyDescent="0.25">
      <c r="A11095" s="417" t="s">
        <v>3385</v>
      </c>
      <c r="B11095" s="417" t="s">
        <v>3655</v>
      </c>
      <c r="C11095" s="417" t="s">
        <v>24670</v>
      </c>
      <c r="D11095" s="417" t="s">
        <v>88</v>
      </c>
      <c r="E11095" s="423">
        <v>0.32849383655580811</v>
      </c>
      <c r="F11095" s="423">
        <v>0.1244887234205475</v>
      </c>
      <c r="G11095" s="422">
        <v>531.30942457423259</v>
      </c>
      <c r="H11095" s="417" t="s">
        <v>2616</v>
      </c>
      <c r="I11095" s="417" t="s">
        <v>1392</v>
      </c>
      <c r="J11095" s="417" t="s">
        <v>24559</v>
      </c>
      <c r="K11095" s="417" t="s">
        <v>24671</v>
      </c>
      <c r="L11095" s="417"/>
      <c r="M11095" s="417" t="s">
        <v>28840</v>
      </c>
    </row>
    <row r="11096" spans="1:13" x14ac:dyDescent="0.25">
      <c r="A11096" s="417" t="s">
        <v>3385</v>
      </c>
      <c r="B11096" s="417" t="s">
        <v>3655</v>
      </c>
      <c r="C11096" s="417" t="s">
        <v>24672</v>
      </c>
      <c r="D11096" s="417" t="s">
        <v>88</v>
      </c>
      <c r="E11096" s="423">
        <v>0.30522045497806521</v>
      </c>
      <c r="F11096" s="423">
        <v>0.12163060039223959</v>
      </c>
      <c r="G11096" s="422">
        <v>481.84564235178539</v>
      </c>
      <c r="H11096" s="417" t="s">
        <v>2616</v>
      </c>
      <c r="I11096" s="417" t="s">
        <v>1392</v>
      </c>
      <c r="J11096" s="417" t="s">
        <v>24559</v>
      </c>
      <c r="K11096" s="417" t="s">
        <v>24673</v>
      </c>
      <c r="L11096" s="417"/>
      <c r="M11096" s="417" t="s">
        <v>28840</v>
      </c>
    </row>
    <row r="11097" spans="1:13" x14ac:dyDescent="0.25">
      <c r="A11097" s="417" t="s">
        <v>3385</v>
      </c>
      <c r="B11097" s="417" t="s">
        <v>3655</v>
      </c>
      <c r="C11097" s="417" t="s">
        <v>24674</v>
      </c>
      <c r="D11097" s="417" t="s">
        <v>88</v>
      </c>
      <c r="E11097" s="423">
        <v>0.37927276993412379</v>
      </c>
      <c r="F11097" s="423">
        <v>0.1307562830053271</v>
      </c>
      <c r="G11097" s="422">
        <v>639.0755575184744</v>
      </c>
      <c r="H11097" s="417" t="s">
        <v>2616</v>
      </c>
      <c r="I11097" s="417" t="s">
        <v>1392</v>
      </c>
      <c r="J11097" s="417" t="s">
        <v>24559</v>
      </c>
      <c r="K11097" s="417" t="s">
        <v>24675</v>
      </c>
      <c r="L11097" s="417"/>
      <c r="M11097" s="417" t="s">
        <v>28840</v>
      </c>
    </row>
    <row r="11098" spans="1:13" x14ac:dyDescent="0.25">
      <c r="A11098" s="417" t="s">
        <v>3385</v>
      </c>
      <c r="B11098" s="417" t="s">
        <v>3655</v>
      </c>
      <c r="C11098" s="417" t="s">
        <v>24676</v>
      </c>
      <c r="D11098" s="417" t="s">
        <v>88</v>
      </c>
      <c r="E11098" s="423">
        <v>0.30426218831122259</v>
      </c>
      <c r="F11098" s="423">
        <v>0.1215122500419635</v>
      </c>
      <c r="G11098" s="422">
        <v>479.8123644748909</v>
      </c>
      <c r="H11098" s="417" t="s">
        <v>2616</v>
      </c>
      <c r="I11098" s="417" t="s">
        <v>1392</v>
      </c>
      <c r="J11098" s="417" t="s">
        <v>24559</v>
      </c>
      <c r="K11098" s="417" t="s">
        <v>24677</v>
      </c>
      <c r="L11098" s="417"/>
      <c r="M11098" s="417" t="s">
        <v>28840</v>
      </c>
    </row>
    <row r="11099" spans="1:13" x14ac:dyDescent="0.25">
      <c r="A11099" s="417" t="s">
        <v>3385</v>
      </c>
      <c r="B11099" s="417" t="s">
        <v>3655</v>
      </c>
      <c r="C11099" s="417" t="s">
        <v>24678</v>
      </c>
      <c r="D11099" s="417" t="s">
        <v>88</v>
      </c>
      <c r="E11099" s="423">
        <v>0.31419322420025803</v>
      </c>
      <c r="F11099" s="423">
        <v>0.1227186379076825</v>
      </c>
      <c r="G11099" s="422">
        <v>500.98801132277629</v>
      </c>
      <c r="H11099" s="417" t="s">
        <v>2616</v>
      </c>
      <c r="I11099" s="417" t="s">
        <v>1392</v>
      </c>
      <c r="J11099" s="417" t="s">
        <v>24559</v>
      </c>
      <c r="K11099" s="417" t="s">
        <v>24679</v>
      </c>
      <c r="L11099" s="417"/>
      <c r="M11099" s="417" t="s">
        <v>28840</v>
      </c>
    </row>
    <row r="11100" spans="1:13" x14ac:dyDescent="0.25">
      <c r="A11100" s="417" t="s">
        <v>3385</v>
      </c>
      <c r="B11100" s="417" t="s">
        <v>3655</v>
      </c>
      <c r="C11100" s="417" t="s">
        <v>24680</v>
      </c>
      <c r="D11100" s="417" t="s">
        <v>563</v>
      </c>
      <c r="E11100" s="423">
        <v>1.060124332158113E-2</v>
      </c>
      <c r="F11100" s="423">
        <v>3.666347489273491E-3</v>
      </c>
      <c r="G11100" s="422">
        <v>50.43134302053852</v>
      </c>
      <c r="H11100" s="417" t="s">
        <v>2616</v>
      </c>
      <c r="I11100" s="417" t="s">
        <v>1392</v>
      </c>
      <c r="J11100" s="417" t="s">
        <v>24681</v>
      </c>
      <c r="K11100" s="417" t="s">
        <v>24682</v>
      </c>
      <c r="L11100" s="417"/>
      <c r="M11100" s="417" t="s">
        <v>28840</v>
      </c>
    </row>
    <row r="11101" spans="1:13" x14ac:dyDescent="0.25">
      <c r="A11101" s="417" t="s">
        <v>3385</v>
      </c>
      <c r="B11101" s="417" t="s">
        <v>2627</v>
      </c>
      <c r="C11101" s="417" t="s">
        <v>24683</v>
      </c>
      <c r="D11101" s="417" t="s">
        <v>88</v>
      </c>
      <c r="E11101" s="423">
        <v>11.69391426961222</v>
      </c>
      <c r="F11101" s="423">
        <v>0.56044554799095392</v>
      </c>
      <c r="G11101" s="422">
        <v>32069.81337848078</v>
      </c>
      <c r="H11101" s="417" t="s">
        <v>2616</v>
      </c>
      <c r="I11101" s="417" t="s">
        <v>1392</v>
      </c>
      <c r="J11101" s="417" t="s">
        <v>24424</v>
      </c>
      <c r="K11101" s="417" t="s">
        <v>24684</v>
      </c>
      <c r="L11101" s="417"/>
      <c r="M11101" s="417" t="s">
        <v>28840</v>
      </c>
    </row>
    <row r="11102" spans="1:13" x14ac:dyDescent="0.25">
      <c r="A11102" s="417" t="s">
        <v>3385</v>
      </c>
      <c r="B11102" s="417" t="s">
        <v>2627</v>
      </c>
      <c r="C11102" s="417" t="s">
        <v>24685</v>
      </c>
      <c r="D11102" s="417" t="s">
        <v>88</v>
      </c>
      <c r="E11102" s="423">
        <v>14.911772472094871</v>
      </c>
      <c r="F11102" s="423">
        <v>0.49844597173745392</v>
      </c>
      <c r="G11102" s="422">
        <v>36963.17049802663</v>
      </c>
      <c r="H11102" s="417" t="s">
        <v>2616</v>
      </c>
      <c r="I11102" s="417" t="s">
        <v>1392</v>
      </c>
      <c r="J11102" s="417" t="s">
        <v>24424</v>
      </c>
      <c r="K11102" s="417" t="s">
        <v>24686</v>
      </c>
      <c r="L11102" s="417"/>
      <c r="M11102" s="417" t="s">
        <v>28840</v>
      </c>
    </row>
    <row r="11103" spans="1:13" x14ac:dyDescent="0.25">
      <c r="A11103" s="417" t="s">
        <v>3385</v>
      </c>
      <c r="B11103" s="417" t="s">
        <v>2627</v>
      </c>
      <c r="C11103" s="417" t="s">
        <v>24687</v>
      </c>
      <c r="D11103" s="417" t="s">
        <v>88</v>
      </c>
      <c r="E11103" s="423">
        <v>1.6826385614397139</v>
      </c>
      <c r="F11103" s="423">
        <v>8.0881914153586892E-2</v>
      </c>
      <c r="G11103" s="422">
        <v>3379.5183021314228</v>
      </c>
      <c r="H11103" s="417" t="s">
        <v>2616</v>
      </c>
      <c r="I11103" s="417" t="s">
        <v>1392</v>
      </c>
      <c r="J11103" s="417" t="s">
        <v>24415</v>
      </c>
      <c r="K11103" s="417" t="s">
        <v>24688</v>
      </c>
      <c r="L11103" s="417"/>
      <c r="M11103" s="417" t="s">
        <v>28840</v>
      </c>
    </row>
    <row r="11104" spans="1:13" x14ac:dyDescent="0.25">
      <c r="A11104" s="417" t="s">
        <v>3385</v>
      </c>
      <c r="B11104" s="417" t="s">
        <v>3405</v>
      </c>
      <c r="C11104" s="417" t="s">
        <v>24689</v>
      </c>
      <c r="D11104" s="417" t="s">
        <v>73</v>
      </c>
      <c r="E11104" s="423">
        <v>0.11242083341385679</v>
      </c>
      <c r="F11104" s="423">
        <v>2.97317485447369E-3</v>
      </c>
      <c r="G11104" s="422">
        <v>177.45896122620579</v>
      </c>
      <c r="H11104" s="417" t="s">
        <v>2616</v>
      </c>
      <c r="I11104" s="417" t="s">
        <v>1392</v>
      </c>
      <c r="J11104" s="417" t="s">
        <v>24690</v>
      </c>
      <c r="K11104" s="417" t="s">
        <v>24691</v>
      </c>
      <c r="L11104" s="417"/>
      <c r="M11104" s="417" t="s">
        <v>28840</v>
      </c>
    </row>
    <row r="11105" spans="1:13" x14ac:dyDescent="0.25">
      <c r="A11105" s="417" t="s">
        <v>3385</v>
      </c>
      <c r="B11105" s="417" t="s">
        <v>2627</v>
      </c>
      <c r="C11105" s="417" t="s">
        <v>24692</v>
      </c>
      <c r="D11105" s="417" t="s">
        <v>88</v>
      </c>
      <c r="E11105" s="423">
        <v>3.8854626608892331</v>
      </c>
      <c r="F11105" s="423">
        <v>8.4752186674062452E-2</v>
      </c>
      <c r="G11105" s="422">
        <v>8166.1692513032267</v>
      </c>
      <c r="H11105" s="417" t="s">
        <v>2616</v>
      </c>
      <c r="I11105" s="417" t="s">
        <v>1392</v>
      </c>
      <c r="J11105" s="417" t="s">
        <v>24415</v>
      </c>
      <c r="K11105" s="417" t="s">
        <v>24693</v>
      </c>
      <c r="L11105" s="417"/>
      <c r="M11105" s="417" t="s">
        <v>28840</v>
      </c>
    </row>
    <row r="11106" spans="1:13" x14ac:dyDescent="0.25">
      <c r="A11106" s="417" t="s">
        <v>3385</v>
      </c>
      <c r="B11106" s="417" t="s">
        <v>2627</v>
      </c>
      <c r="C11106" s="417" t="s">
        <v>24694</v>
      </c>
      <c r="D11106" s="417" t="s">
        <v>88</v>
      </c>
      <c r="E11106" s="423">
        <v>12.750494570507049</v>
      </c>
      <c r="F11106" s="423">
        <v>0.61621299345626523</v>
      </c>
      <c r="G11106" s="422">
        <v>29825.84572172242</v>
      </c>
      <c r="H11106" s="417" t="s">
        <v>2616</v>
      </c>
      <c r="I11106" s="417" t="s">
        <v>1392</v>
      </c>
      <c r="J11106" s="417" t="s">
        <v>24424</v>
      </c>
      <c r="K11106" s="417" t="s">
        <v>24695</v>
      </c>
      <c r="L11106" s="417"/>
      <c r="M11106" s="417" t="s">
        <v>28840</v>
      </c>
    </row>
    <row r="11107" spans="1:13" x14ac:dyDescent="0.25">
      <c r="A11107" s="417" t="s">
        <v>3385</v>
      </c>
      <c r="B11107" s="417" t="s">
        <v>2627</v>
      </c>
      <c r="C11107" s="417" t="s">
        <v>24696</v>
      </c>
      <c r="D11107" s="417" t="s">
        <v>88</v>
      </c>
      <c r="E11107" s="423">
        <v>2.3710381981147322</v>
      </c>
      <c r="F11107" s="423">
        <v>0.10799866958597409</v>
      </c>
      <c r="G11107" s="422">
        <v>13351.615737490731</v>
      </c>
      <c r="H11107" s="417" t="s">
        <v>2616</v>
      </c>
      <c r="I11107" s="417" t="s">
        <v>1392</v>
      </c>
      <c r="J11107" s="417" t="s">
        <v>24415</v>
      </c>
      <c r="K11107" s="417" t="s">
        <v>24697</v>
      </c>
      <c r="L11107" s="417"/>
      <c r="M11107" s="417" t="s">
        <v>28840</v>
      </c>
    </row>
    <row r="11108" spans="1:13" x14ac:dyDescent="0.25">
      <c r="A11108" s="417" t="s">
        <v>3385</v>
      </c>
      <c r="B11108" s="417" t="s">
        <v>2627</v>
      </c>
      <c r="C11108" s="417" t="s">
        <v>24698</v>
      </c>
      <c r="D11108" s="417" t="s">
        <v>88</v>
      </c>
      <c r="E11108" s="423">
        <v>3.50235211540851</v>
      </c>
      <c r="F11108" s="423">
        <v>8.6344642523886489E-2</v>
      </c>
      <c r="G11108" s="422">
        <v>5738.4054910135555</v>
      </c>
      <c r="H11108" s="417" t="s">
        <v>2616</v>
      </c>
      <c r="I11108" s="417" t="s">
        <v>1392</v>
      </c>
      <c r="J11108" s="417" t="s">
        <v>24415</v>
      </c>
      <c r="K11108" s="417" t="s">
        <v>24699</v>
      </c>
      <c r="L11108" s="417"/>
      <c r="M11108" s="417" t="s">
        <v>28840</v>
      </c>
    </row>
    <row r="11109" spans="1:13" x14ac:dyDescent="0.25">
      <c r="A11109" s="417" t="s">
        <v>3385</v>
      </c>
      <c r="B11109" s="417" t="s">
        <v>2623</v>
      </c>
      <c r="C11109" s="417" t="s">
        <v>24700</v>
      </c>
      <c r="D11109" s="417" t="s">
        <v>989</v>
      </c>
      <c r="E11109" s="423">
        <v>6.2935241572206785E-2</v>
      </c>
      <c r="F11109" s="423">
        <v>3.1612223446624323E-2</v>
      </c>
      <c r="G11109" s="422">
        <v>65.816725970645862</v>
      </c>
      <c r="H11109" s="417" t="s">
        <v>2616</v>
      </c>
      <c r="I11109" s="417" t="s">
        <v>1392</v>
      </c>
      <c r="J11109" s="417" t="s">
        <v>24701</v>
      </c>
      <c r="K11109" s="417" t="s">
        <v>24702</v>
      </c>
      <c r="L11109" s="417"/>
      <c r="M11109" s="417" t="s">
        <v>28840</v>
      </c>
    </row>
    <row r="11110" spans="1:13" x14ac:dyDescent="0.25">
      <c r="A11110" s="417" t="s">
        <v>3385</v>
      </c>
      <c r="B11110" s="417" t="s">
        <v>2623</v>
      </c>
      <c r="C11110" s="417" t="s">
        <v>24703</v>
      </c>
      <c r="D11110" s="417" t="s">
        <v>88</v>
      </c>
      <c r="E11110" s="423">
        <v>1.426252459723281E-2</v>
      </c>
      <c r="F11110" s="423">
        <v>0.58903483405565771</v>
      </c>
      <c r="G11110" s="422">
        <v>39.183434808842328</v>
      </c>
      <c r="H11110" s="417" t="s">
        <v>2616</v>
      </c>
      <c r="I11110" s="417" t="s">
        <v>1392</v>
      </c>
      <c r="J11110" s="417" t="s">
        <v>6010</v>
      </c>
      <c r="K11110" s="417" t="s">
        <v>24704</v>
      </c>
      <c r="L11110" s="417"/>
      <c r="M11110" s="417" t="s">
        <v>28840</v>
      </c>
    </row>
    <row r="11111" spans="1:13" x14ac:dyDescent="0.25">
      <c r="A11111" s="417" t="s">
        <v>3385</v>
      </c>
      <c r="B11111" s="417" t="s">
        <v>3655</v>
      </c>
      <c r="C11111" s="417" t="s">
        <v>24705</v>
      </c>
      <c r="D11111" s="417" t="s">
        <v>88</v>
      </c>
      <c r="E11111" s="423">
        <v>3.7864020193300423E-2</v>
      </c>
      <c r="F11111" s="423">
        <v>0.60822702752009394</v>
      </c>
      <c r="G11111" s="422">
        <v>160.02125442551221</v>
      </c>
      <c r="H11111" s="417" t="s">
        <v>2616</v>
      </c>
      <c r="I11111" s="417" t="s">
        <v>1392</v>
      </c>
      <c r="J11111" s="417" t="s">
        <v>24706</v>
      </c>
      <c r="K11111" s="417" t="s">
        <v>24707</v>
      </c>
      <c r="L11111" s="417"/>
      <c r="M11111" s="417" t="s">
        <v>28840</v>
      </c>
    </row>
    <row r="11112" spans="1:13" x14ac:dyDescent="0.25">
      <c r="A11112" s="417" t="s">
        <v>3385</v>
      </c>
      <c r="B11112" s="417" t="s">
        <v>2623</v>
      </c>
      <c r="C11112" s="417" t="s">
        <v>24708</v>
      </c>
      <c r="D11112" s="417" t="s">
        <v>88</v>
      </c>
      <c r="E11112" s="423">
        <v>3.7623163335692212E-3</v>
      </c>
      <c r="F11112" s="423">
        <v>9.4838140383294998E-5</v>
      </c>
      <c r="G11112" s="422">
        <v>18.649376774809319</v>
      </c>
      <c r="H11112" s="417" t="s">
        <v>2616</v>
      </c>
      <c r="I11112" s="417" t="s">
        <v>1392</v>
      </c>
      <c r="J11112" s="417" t="s">
        <v>24701</v>
      </c>
      <c r="K11112" s="417" t="s">
        <v>24709</v>
      </c>
      <c r="L11112" s="417"/>
      <c r="M11112" s="417" t="s">
        <v>28840</v>
      </c>
    </row>
    <row r="11113" spans="1:13" x14ac:dyDescent="0.25">
      <c r="A11113" s="417" t="s">
        <v>3385</v>
      </c>
      <c r="B11113" s="417" t="s">
        <v>2623</v>
      </c>
      <c r="C11113" s="417" t="s">
        <v>24710</v>
      </c>
      <c r="D11113" s="417" t="s">
        <v>88</v>
      </c>
      <c r="E11113" s="423">
        <v>3.7623163335692212E-3</v>
      </c>
      <c r="F11113" s="423">
        <v>9.4838140383294998E-5</v>
      </c>
      <c r="G11113" s="422">
        <v>18.649376774809319</v>
      </c>
      <c r="H11113" s="417" t="s">
        <v>2616</v>
      </c>
      <c r="I11113" s="417" t="s">
        <v>1392</v>
      </c>
      <c r="J11113" s="417" t="s">
        <v>24701</v>
      </c>
      <c r="K11113" s="417" t="s">
        <v>24711</v>
      </c>
      <c r="L11113" s="417"/>
      <c r="M11113" s="417" t="s">
        <v>28840</v>
      </c>
    </row>
    <row r="11114" spans="1:13" x14ac:dyDescent="0.25">
      <c r="A11114" s="417" t="s">
        <v>3385</v>
      </c>
      <c r="B11114" s="417" t="s">
        <v>2623</v>
      </c>
      <c r="C11114" s="417" t="s">
        <v>24712</v>
      </c>
      <c r="D11114" s="417" t="s">
        <v>88</v>
      </c>
      <c r="E11114" s="423">
        <v>4.5797555369524829E-3</v>
      </c>
      <c r="F11114" s="423">
        <v>1.154436416359162E-4</v>
      </c>
      <c r="G11114" s="422">
        <v>19.920272007176379</v>
      </c>
      <c r="H11114" s="417" t="s">
        <v>2616</v>
      </c>
      <c r="I11114" s="417" t="s">
        <v>1392</v>
      </c>
      <c r="J11114" s="417" t="s">
        <v>24701</v>
      </c>
      <c r="K11114" s="417" t="s">
        <v>24713</v>
      </c>
      <c r="L11114" s="417"/>
      <c r="M11114" s="417" t="s">
        <v>28840</v>
      </c>
    </row>
    <row r="11115" spans="1:13" x14ac:dyDescent="0.25">
      <c r="A11115" s="417" t="s">
        <v>3385</v>
      </c>
      <c r="B11115" s="417" t="s">
        <v>2623</v>
      </c>
      <c r="C11115" s="417" t="s">
        <v>24714</v>
      </c>
      <c r="D11115" s="417" t="s">
        <v>88</v>
      </c>
      <c r="E11115" s="423">
        <v>3.6907121951251761E-3</v>
      </c>
      <c r="F11115" s="423">
        <v>2.4613481315928509E-4</v>
      </c>
      <c r="G11115" s="422">
        <v>4315.0202001434336</v>
      </c>
      <c r="H11115" s="417" t="s">
        <v>2616</v>
      </c>
      <c r="I11115" s="417" t="s">
        <v>1392</v>
      </c>
      <c r="J11115" s="417" t="s">
        <v>24701</v>
      </c>
      <c r="K11115" s="417" t="s">
        <v>24715</v>
      </c>
      <c r="L11115" s="417"/>
      <c r="M11115" s="417" t="s">
        <v>28840</v>
      </c>
    </row>
    <row r="11116" spans="1:13" x14ac:dyDescent="0.25">
      <c r="A11116" s="417" t="s">
        <v>3385</v>
      </c>
      <c r="B11116" s="417" t="s">
        <v>2623</v>
      </c>
      <c r="C11116" s="417" t="s">
        <v>24716</v>
      </c>
      <c r="D11116" s="417" t="s">
        <v>88</v>
      </c>
      <c r="E11116" s="423">
        <v>4.8489403502945318E-2</v>
      </c>
      <c r="F11116" s="423">
        <v>8.5824420266761921E-4</v>
      </c>
      <c r="G11116" s="422">
        <v>618.75943266728109</v>
      </c>
      <c r="H11116" s="417" t="s">
        <v>2616</v>
      </c>
      <c r="I11116" s="417" t="s">
        <v>1392</v>
      </c>
      <c r="J11116" s="417" t="s">
        <v>24701</v>
      </c>
      <c r="K11116" s="417" t="s">
        <v>24717</v>
      </c>
      <c r="L11116" s="417"/>
      <c r="M11116" s="417" t="s">
        <v>28840</v>
      </c>
    </row>
    <row r="11117" spans="1:13" x14ac:dyDescent="0.25">
      <c r="A11117" s="417" t="s">
        <v>3385</v>
      </c>
      <c r="B11117" s="417" t="s">
        <v>2623</v>
      </c>
      <c r="C11117" s="417" t="s">
        <v>24718</v>
      </c>
      <c r="D11117" s="417" t="s">
        <v>88</v>
      </c>
      <c r="E11117" s="423">
        <v>1.117004317038121</v>
      </c>
      <c r="F11117" s="423">
        <v>6.3758427311993333E-3</v>
      </c>
      <c r="G11117" s="422">
        <v>1205.780386454137</v>
      </c>
      <c r="H11117" s="417" t="s">
        <v>2616</v>
      </c>
      <c r="I11117" s="417" t="s">
        <v>1392</v>
      </c>
      <c r="J11117" s="417" t="s">
        <v>24701</v>
      </c>
      <c r="K11117" s="417" t="s">
        <v>24719</v>
      </c>
      <c r="L11117" s="417"/>
      <c r="M11117" s="417" t="s">
        <v>28840</v>
      </c>
    </row>
    <row r="11118" spans="1:13" x14ac:dyDescent="0.25">
      <c r="A11118" s="417" t="s">
        <v>3385</v>
      </c>
      <c r="B11118" s="417" t="s">
        <v>2623</v>
      </c>
      <c r="C11118" s="417" t="s">
        <v>24720</v>
      </c>
      <c r="D11118" s="417" t="s">
        <v>563</v>
      </c>
      <c r="E11118" s="423">
        <v>4.8762412647514299</v>
      </c>
      <c r="F11118" s="423">
        <v>9.6594496546678066E-3</v>
      </c>
      <c r="G11118" s="422">
        <v>5707.3643538948636</v>
      </c>
      <c r="H11118" s="417" t="s">
        <v>2616</v>
      </c>
      <c r="I11118" s="417" t="s">
        <v>1392</v>
      </c>
      <c r="J11118" s="417" t="s">
        <v>24701</v>
      </c>
      <c r="K11118" s="417" t="s">
        <v>24721</v>
      </c>
      <c r="L11118" s="417"/>
      <c r="M11118" s="417" t="s">
        <v>28840</v>
      </c>
    </row>
    <row r="11119" spans="1:13" x14ac:dyDescent="0.25">
      <c r="A11119" s="417" t="s">
        <v>3385</v>
      </c>
      <c r="B11119" s="417" t="s">
        <v>2623</v>
      </c>
      <c r="C11119" s="417" t="s">
        <v>24722</v>
      </c>
      <c r="D11119" s="417" t="s">
        <v>563</v>
      </c>
      <c r="E11119" s="423">
        <v>1.534407318432627</v>
      </c>
      <c r="F11119" s="423">
        <v>6.7316129808217247E-3</v>
      </c>
      <c r="G11119" s="422">
        <v>2110.8003085181331</v>
      </c>
      <c r="H11119" s="417" t="s">
        <v>2616</v>
      </c>
      <c r="I11119" s="417" t="s">
        <v>1392</v>
      </c>
      <c r="J11119" s="417" t="s">
        <v>24701</v>
      </c>
      <c r="K11119" s="417" t="s">
        <v>24723</v>
      </c>
      <c r="L11119" s="417"/>
      <c r="M11119" s="417" t="s">
        <v>28840</v>
      </c>
    </row>
    <row r="11120" spans="1:13" x14ac:dyDescent="0.25">
      <c r="A11120" s="417" t="s">
        <v>3385</v>
      </c>
      <c r="B11120" s="417" t="s">
        <v>2623</v>
      </c>
      <c r="C11120" s="417" t="s">
        <v>24724</v>
      </c>
      <c r="D11120" s="417" t="s">
        <v>563</v>
      </c>
      <c r="E11120" s="423">
        <v>2.316779233249711</v>
      </c>
      <c r="F11120" s="423">
        <v>1.012169341648953E-2</v>
      </c>
      <c r="G11120" s="422">
        <v>3182.3475563265761</v>
      </c>
      <c r="H11120" s="417" t="s">
        <v>2616</v>
      </c>
      <c r="I11120" s="417" t="s">
        <v>1392</v>
      </c>
      <c r="J11120" s="417" t="s">
        <v>24701</v>
      </c>
      <c r="K11120" s="417" t="s">
        <v>24725</v>
      </c>
      <c r="L11120" s="417"/>
      <c r="M11120" s="417" t="s">
        <v>28840</v>
      </c>
    </row>
    <row r="11121" spans="1:13" x14ac:dyDescent="0.25">
      <c r="A11121" s="417" t="s">
        <v>3385</v>
      </c>
      <c r="B11121" s="417" t="s">
        <v>2623</v>
      </c>
      <c r="C11121" s="417" t="s">
        <v>24726</v>
      </c>
      <c r="D11121" s="417" t="s">
        <v>88</v>
      </c>
      <c r="E11121" s="423">
        <v>0</v>
      </c>
      <c r="F11121" s="423">
        <v>0</v>
      </c>
      <c r="G11121" s="422">
        <v>12.8</v>
      </c>
      <c r="H11121" s="417" t="s">
        <v>2616</v>
      </c>
      <c r="I11121" s="417" t="s">
        <v>1392</v>
      </c>
      <c r="J11121" s="417" t="s">
        <v>24701</v>
      </c>
      <c r="K11121" s="417" t="s">
        <v>24727</v>
      </c>
      <c r="L11121" s="417"/>
      <c r="M11121" s="417" t="s">
        <v>28840</v>
      </c>
    </row>
    <row r="11122" spans="1:13" x14ac:dyDescent="0.25">
      <c r="A11122" s="417" t="s">
        <v>3385</v>
      </c>
      <c r="B11122" s="417" t="s">
        <v>2623</v>
      </c>
      <c r="C11122" s="417" t="s">
        <v>24728</v>
      </c>
      <c r="D11122" s="417" t="s">
        <v>88</v>
      </c>
      <c r="E11122" s="423">
        <v>3.6907121951895139E-3</v>
      </c>
      <c r="F11122" s="423">
        <v>2.4613481317972252E-4</v>
      </c>
      <c r="G11122" s="422">
        <v>10432.749075282039</v>
      </c>
      <c r="H11122" s="417" t="s">
        <v>2616</v>
      </c>
      <c r="I11122" s="417" t="s">
        <v>1392</v>
      </c>
      <c r="J11122" s="417" t="s">
        <v>24701</v>
      </c>
      <c r="K11122" s="417" t="s">
        <v>24729</v>
      </c>
      <c r="L11122" s="417"/>
      <c r="M11122" s="417" t="s">
        <v>28840</v>
      </c>
    </row>
    <row r="11123" spans="1:13" x14ac:dyDescent="0.25">
      <c r="A11123" s="417" t="s">
        <v>3385</v>
      </c>
      <c r="B11123" s="417" t="s">
        <v>2623</v>
      </c>
      <c r="C11123" s="417" t="s">
        <v>24730</v>
      </c>
      <c r="D11123" s="417" t="s">
        <v>88</v>
      </c>
      <c r="E11123" s="423">
        <v>7.4530285287285761E-3</v>
      </c>
      <c r="F11123" s="423">
        <v>3.4097295356730941E-4</v>
      </c>
      <c r="G11123" s="422">
        <v>1199.641590179594</v>
      </c>
      <c r="H11123" s="417" t="s">
        <v>2616</v>
      </c>
      <c r="I11123" s="417" t="s">
        <v>1392</v>
      </c>
      <c r="J11123" s="417" t="s">
        <v>24701</v>
      </c>
      <c r="K11123" s="417" t="s">
        <v>24731</v>
      </c>
      <c r="L11123" s="417"/>
      <c r="M11123" s="417" t="s">
        <v>28840</v>
      </c>
    </row>
    <row r="11124" spans="1:13" x14ac:dyDescent="0.25">
      <c r="A11124" s="417" t="s">
        <v>3385</v>
      </c>
      <c r="B11124" s="417" t="s">
        <v>2623</v>
      </c>
      <c r="C11124" s="417" t="s">
        <v>24732</v>
      </c>
      <c r="D11124" s="417" t="s">
        <v>88</v>
      </c>
      <c r="E11124" s="423">
        <v>2.4946776618436289E-2</v>
      </c>
      <c r="F11124" s="423">
        <v>0.26316002004676908</v>
      </c>
      <c r="G11124" s="422">
        <v>280.37335354069711</v>
      </c>
      <c r="H11124" s="417" t="s">
        <v>2616</v>
      </c>
      <c r="I11124" s="417" t="s">
        <v>1392</v>
      </c>
      <c r="J11124" s="417" t="s">
        <v>24701</v>
      </c>
      <c r="K11124" s="417" t="s">
        <v>24733</v>
      </c>
      <c r="L11124" s="417"/>
      <c r="M11124" s="417" t="s">
        <v>28840</v>
      </c>
    </row>
    <row r="11125" spans="1:13" x14ac:dyDescent="0.25">
      <c r="A11125" s="417" t="s">
        <v>3385</v>
      </c>
      <c r="B11125" s="417" t="s">
        <v>2623</v>
      </c>
      <c r="C11125" s="417" t="s">
        <v>24734</v>
      </c>
      <c r="D11125" s="417" t="s">
        <v>88</v>
      </c>
      <c r="E11125" s="423">
        <v>3.7623163335692212E-3</v>
      </c>
      <c r="F11125" s="423">
        <v>9.4838140383294998E-5</v>
      </c>
      <c r="G11125" s="422">
        <v>18.649376774809319</v>
      </c>
      <c r="H11125" s="417" t="s">
        <v>2616</v>
      </c>
      <c r="I11125" s="417" t="s">
        <v>1392</v>
      </c>
      <c r="J11125" s="417" t="s">
        <v>24701</v>
      </c>
      <c r="K11125" s="417" t="s">
        <v>24735</v>
      </c>
      <c r="L11125" s="417"/>
      <c r="M11125" s="417" t="s">
        <v>28840</v>
      </c>
    </row>
    <row r="11126" spans="1:13" x14ac:dyDescent="0.25">
      <c r="A11126" s="417" t="s">
        <v>3385</v>
      </c>
      <c r="B11126" s="417" t="s">
        <v>2623</v>
      </c>
      <c r="C11126" s="417" t="s">
        <v>24736</v>
      </c>
      <c r="D11126" s="417" t="s">
        <v>88</v>
      </c>
      <c r="E11126" s="423">
        <v>1.9450809683780861E-2</v>
      </c>
      <c r="F11126" s="423">
        <v>8.8562393990647631E-4</v>
      </c>
      <c r="G11126" s="422">
        <v>341.52847375470441</v>
      </c>
      <c r="H11126" s="417" t="s">
        <v>2616</v>
      </c>
      <c r="I11126" s="417" t="s">
        <v>1392</v>
      </c>
      <c r="J11126" s="417" t="s">
        <v>24701</v>
      </c>
      <c r="K11126" s="417" t="s">
        <v>24737</v>
      </c>
      <c r="L11126" s="417"/>
      <c r="M11126" s="417" t="s">
        <v>28840</v>
      </c>
    </row>
    <row r="11127" spans="1:13" x14ac:dyDescent="0.25">
      <c r="A11127" s="417" t="s">
        <v>3385</v>
      </c>
      <c r="B11127" s="417" t="s">
        <v>2623</v>
      </c>
      <c r="C11127" s="417" t="s">
        <v>24738</v>
      </c>
      <c r="D11127" s="417" t="s">
        <v>88</v>
      </c>
      <c r="E11127" s="423">
        <v>9.4330248663799521E-2</v>
      </c>
      <c r="F11127" s="423">
        <v>1.02917249274741E-3</v>
      </c>
      <c r="G11127" s="422">
        <v>1471.764904049197</v>
      </c>
      <c r="H11127" s="417" t="s">
        <v>2616</v>
      </c>
      <c r="I11127" s="417" t="s">
        <v>1392</v>
      </c>
      <c r="J11127" s="417" t="s">
        <v>24701</v>
      </c>
      <c r="K11127" s="417" t="s">
        <v>24739</v>
      </c>
      <c r="L11127" s="417"/>
      <c r="M11127" s="417" t="s">
        <v>28840</v>
      </c>
    </row>
    <row r="11128" spans="1:13" x14ac:dyDescent="0.25">
      <c r="A11128" s="417" t="s">
        <v>3385</v>
      </c>
      <c r="B11128" s="417" t="s">
        <v>2623</v>
      </c>
      <c r="C11128" s="417" t="s">
        <v>24740</v>
      </c>
      <c r="D11128" s="417" t="s">
        <v>88</v>
      </c>
      <c r="E11128" s="423">
        <v>7.4530285287317472E-3</v>
      </c>
      <c r="F11128" s="423">
        <v>3.4097295356752099E-4</v>
      </c>
      <c r="G11128" s="422">
        <v>1088.9995226273741</v>
      </c>
      <c r="H11128" s="417" t="s">
        <v>2616</v>
      </c>
      <c r="I11128" s="417" t="s">
        <v>1392</v>
      </c>
      <c r="J11128" s="417" t="s">
        <v>24701</v>
      </c>
      <c r="K11128" s="417" t="s">
        <v>24741</v>
      </c>
      <c r="L11128" s="417"/>
      <c r="M11128" s="417" t="s">
        <v>28840</v>
      </c>
    </row>
    <row r="11129" spans="1:13" x14ac:dyDescent="0.25">
      <c r="A11129" s="417" t="s">
        <v>3385</v>
      </c>
      <c r="B11129" s="417" t="s">
        <v>2623</v>
      </c>
      <c r="C11129" s="417" t="s">
        <v>24742</v>
      </c>
      <c r="D11129" s="417" t="s">
        <v>88</v>
      </c>
      <c r="E11129" s="423">
        <v>3.7623163335692212E-3</v>
      </c>
      <c r="F11129" s="423">
        <v>9.4838140383294998E-5</v>
      </c>
      <c r="G11129" s="422">
        <v>18.649376774809319</v>
      </c>
      <c r="H11129" s="417" t="s">
        <v>2616</v>
      </c>
      <c r="I11129" s="417" t="s">
        <v>1392</v>
      </c>
      <c r="J11129" s="417" t="s">
        <v>24701</v>
      </c>
      <c r="K11129" s="417" t="s">
        <v>24743</v>
      </c>
      <c r="L11129" s="417"/>
      <c r="M11129" s="417" t="s">
        <v>28840</v>
      </c>
    </row>
    <row r="11130" spans="1:13" x14ac:dyDescent="0.25">
      <c r="A11130" s="417" t="s">
        <v>3385</v>
      </c>
      <c r="B11130" s="417" t="s">
        <v>2623</v>
      </c>
      <c r="C11130" s="417" t="s">
        <v>24744</v>
      </c>
      <c r="D11130" s="417" t="s">
        <v>88</v>
      </c>
      <c r="E11130" s="423">
        <v>0.2405857237178628</v>
      </c>
      <c r="F11130" s="423">
        <v>5.5648915695166452E-2</v>
      </c>
      <c r="G11130" s="422">
        <v>622.77961392419581</v>
      </c>
      <c r="H11130" s="417" t="s">
        <v>2616</v>
      </c>
      <c r="I11130" s="417" t="s">
        <v>1392</v>
      </c>
      <c r="J11130" s="417" t="s">
        <v>24701</v>
      </c>
      <c r="K11130" s="417" t="s">
        <v>24745</v>
      </c>
      <c r="L11130" s="417"/>
      <c r="M11130" s="417" t="s">
        <v>28840</v>
      </c>
    </row>
    <row r="11131" spans="1:13" x14ac:dyDescent="0.25">
      <c r="A11131" s="417" t="s">
        <v>3385</v>
      </c>
      <c r="B11131" s="417" t="s">
        <v>2623</v>
      </c>
      <c r="C11131" s="417" t="s">
        <v>24746</v>
      </c>
      <c r="D11131" s="417" t="s">
        <v>88</v>
      </c>
      <c r="E11131" s="423">
        <v>6.9295448264111978E-2</v>
      </c>
      <c r="F11131" s="423">
        <v>1.8998583754021091E-3</v>
      </c>
      <c r="G11131" s="422">
        <v>138.37117796233639</v>
      </c>
      <c r="H11131" s="417" t="s">
        <v>2616</v>
      </c>
      <c r="I11131" s="417" t="s">
        <v>1392</v>
      </c>
      <c r="J11131" s="417" t="s">
        <v>24701</v>
      </c>
      <c r="K11131" s="417" t="s">
        <v>24747</v>
      </c>
      <c r="L11131" s="417"/>
      <c r="M11131" s="417" t="s">
        <v>28840</v>
      </c>
    </row>
    <row r="11132" spans="1:13" x14ac:dyDescent="0.25">
      <c r="A11132" s="417" t="s">
        <v>3385</v>
      </c>
      <c r="B11132" s="417" t="s">
        <v>2623</v>
      </c>
      <c r="C11132" s="417" t="s">
        <v>24748</v>
      </c>
      <c r="D11132" s="417" t="s">
        <v>88</v>
      </c>
      <c r="E11132" s="423">
        <v>0.3010400898320944</v>
      </c>
      <c r="F11132" s="423">
        <v>1.868464454930854E-2</v>
      </c>
      <c r="G11132" s="422">
        <v>4607.7937332680494</v>
      </c>
      <c r="H11132" s="417" t="s">
        <v>2616</v>
      </c>
      <c r="I11132" s="417" t="s">
        <v>1392</v>
      </c>
      <c r="J11132" s="417" t="s">
        <v>24749</v>
      </c>
      <c r="K11132" s="417" t="s">
        <v>24750</v>
      </c>
      <c r="L11132" s="417"/>
      <c r="M11132" s="417" t="s">
        <v>28840</v>
      </c>
    </row>
    <row r="11133" spans="1:13" x14ac:dyDescent="0.25">
      <c r="A11133" s="417" t="s">
        <v>3385</v>
      </c>
      <c r="B11133" s="417" t="s">
        <v>2623</v>
      </c>
      <c r="C11133" s="417" t="s">
        <v>24751</v>
      </c>
      <c r="D11133" s="417" t="s">
        <v>88</v>
      </c>
      <c r="E11133" s="423">
        <v>2.550765234399635</v>
      </c>
      <c r="F11133" s="423">
        <v>2.878577068266586E-2</v>
      </c>
      <c r="G11133" s="422">
        <v>3443.493212216998</v>
      </c>
      <c r="H11133" s="417" t="s">
        <v>2616</v>
      </c>
      <c r="I11133" s="417" t="s">
        <v>1392</v>
      </c>
      <c r="J11133" s="417" t="s">
        <v>24752</v>
      </c>
      <c r="K11133" s="417" t="s">
        <v>24753</v>
      </c>
      <c r="L11133" s="417"/>
      <c r="M11133" s="417" t="s">
        <v>28840</v>
      </c>
    </row>
    <row r="11134" spans="1:13" x14ac:dyDescent="0.25">
      <c r="A11134" s="417" t="s">
        <v>3385</v>
      </c>
      <c r="B11134" s="417" t="s">
        <v>2623</v>
      </c>
      <c r="C11134" s="417" t="s">
        <v>24754</v>
      </c>
      <c r="D11134" s="417" t="s">
        <v>88</v>
      </c>
      <c r="E11134" s="423">
        <v>0.25788583250563901</v>
      </c>
      <c r="F11134" s="423">
        <v>4.79237965028745E-3</v>
      </c>
      <c r="G11134" s="422">
        <v>144236.1799586477</v>
      </c>
      <c r="H11134" s="417" t="s">
        <v>2616</v>
      </c>
      <c r="I11134" s="417" t="s">
        <v>1392</v>
      </c>
      <c r="J11134" s="417" t="s">
        <v>24755</v>
      </c>
      <c r="K11134" s="417" t="s">
        <v>24756</v>
      </c>
      <c r="L11134" s="417"/>
      <c r="M11134" s="417" t="s">
        <v>28840</v>
      </c>
    </row>
    <row r="11135" spans="1:13" x14ac:dyDescent="0.25">
      <c r="A11135" s="417" t="s">
        <v>3385</v>
      </c>
      <c r="B11135" s="417" t="s">
        <v>2623</v>
      </c>
      <c r="C11135" s="417" t="s">
        <v>24757</v>
      </c>
      <c r="D11135" s="417" t="s">
        <v>88</v>
      </c>
      <c r="E11135" s="423">
        <v>0.25788583250563901</v>
      </c>
      <c r="F11135" s="423">
        <v>4.79237965028745E-3</v>
      </c>
      <c r="G11135" s="422">
        <v>144236.1799586477</v>
      </c>
      <c r="H11135" s="417" t="s">
        <v>2616</v>
      </c>
      <c r="I11135" s="417" t="s">
        <v>1392</v>
      </c>
      <c r="J11135" s="417" t="s">
        <v>24755</v>
      </c>
      <c r="K11135" s="417" t="s">
        <v>24758</v>
      </c>
      <c r="L11135" s="417"/>
      <c r="M11135" s="417" t="s">
        <v>28840</v>
      </c>
    </row>
    <row r="11136" spans="1:13" x14ac:dyDescent="0.25">
      <c r="A11136" s="417" t="s">
        <v>3385</v>
      </c>
      <c r="B11136" s="417" t="s">
        <v>2623</v>
      </c>
      <c r="C11136" s="417" t="s">
        <v>24759</v>
      </c>
      <c r="D11136" s="417" t="s">
        <v>989</v>
      </c>
      <c r="E11136" s="423">
        <v>13.472967105431261</v>
      </c>
      <c r="F11136" s="423">
        <v>0.13638277636848889</v>
      </c>
      <c r="G11136" s="422">
        <v>15342.18305686908</v>
      </c>
      <c r="H11136" s="417" t="s">
        <v>2616</v>
      </c>
      <c r="I11136" s="417" t="s">
        <v>1392</v>
      </c>
      <c r="J11136" s="417" t="s">
        <v>24760</v>
      </c>
      <c r="K11136" s="417" t="s">
        <v>24761</v>
      </c>
      <c r="L11136" s="417"/>
      <c r="M11136" s="417" t="s">
        <v>28840</v>
      </c>
    </row>
    <row r="11137" spans="1:13" x14ac:dyDescent="0.25">
      <c r="A11137" s="417" t="s">
        <v>3385</v>
      </c>
      <c r="B11137" s="417" t="s">
        <v>2623</v>
      </c>
      <c r="C11137" s="417" t="s">
        <v>24762</v>
      </c>
      <c r="D11137" s="417" t="s">
        <v>88</v>
      </c>
      <c r="E11137" s="423">
        <v>7.4072360021205973E-3</v>
      </c>
      <c r="F11137" s="423">
        <v>6.1943544204906879E-2</v>
      </c>
      <c r="G11137" s="422">
        <v>34.338389187675908</v>
      </c>
      <c r="H11137" s="417" t="s">
        <v>2616</v>
      </c>
      <c r="I11137" s="417" t="s">
        <v>1392</v>
      </c>
      <c r="J11137" s="417" t="s">
        <v>6010</v>
      </c>
      <c r="K11137" s="417" t="s">
        <v>24763</v>
      </c>
      <c r="L11137" s="417"/>
      <c r="M11137" s="417" t="s">
        <v>28840</v>
      </c>
    </row>
    <row r="11138" spans="1:13" x14ac:dyDescent="0.25">
      <c r="A11138" s="417" t="s">
        <v>3385</v>
      </c>
      <c r="B11138" s="417" t="s">
        <v>2623</v>
      </c>
      <c r="C11138" s="417" t="s">
        <v>24764</v>
      </c>
      <c r="D11138" s="417" t="s">
        <v>88</v>
      </c>
      <c r="E11138" s="423">
        <v>1.0633757112191789E-2</v>
      </c>
      <c r="F11138" s="423">
        <v>3.4574117200529011E-4</v>
      </c>
      <c r="G11138" s="422">
        <v>212.63811975999221</v>
      </c>
      <c r="H11138" s="417" t="s">
        <v>2616</v>
      </c>
      <c r="I11138" s="417" t="s">
        <v>1392</v>
      </c>
      <c r="J11138" s="417" t="s">
        <v>24749</v>
      </c>
      <c r="K11138" s="417" t="s">
        <v>24765</v>
      </c>
      <c r="L11138" s="417"/>
      <c r="M11138" s="417" t="s">
        <v>28840</v>
      </c>
    </row>
    <row r="11139" spans="1:13" x14ac:dyDescent="0.25">
      <c r="A11139" s="417" t="s">
        <v>3385</v>
      </c>
      <c r="B11139" s="417" t="s">
        <v>3655</v>
      </c>
      <c r="C11139" s="417" t="s">
        <v>24766</v>
      </c>
      <c r="D11139" s="417" t="s">
        <v>88</v>
      </c>
      <c r="E11139" s="423">
        <v>1.4893249684563219E-2</v>
      </c>
      <c r="F11139" s="423">
        <v>0.89287838126059615</v>
      </c>
      <c r="G11139" s="422">
        <v>19.34218083146105</v>
      </c>
      <c r="H11139" s="417" t="s">
        <v>2616</v>
      </c>
      <c r="I11139" s="417" t="s">
        <v>1392</v>
      </c>
      <c r="J11139" s="417" t="s">
        <v>24706</v>
      </c>
      <c r="K11139" s="417" t="s">
        <v>24767</v>
      </c>
      <c r="L11139" s="417"/>
      <c r="M11139" s="417" t="s">
        <v>28840</v>
      </c>
    </row>
    <row r="11140" spans="1:13" x14ac:dyDescent="0.25">
      <c r="A11140" s="417" t="s">
        <v>3385</v>
      </c>
      <c r="B11140" s="417" t="s">
        <v>2623</v>
      </c>
      <c r="C11140" s="417" t="s">
        <v>24768</v>
      </c>
      <c r="D11140" s="417" t="s">
        <v>88</v>
      </c>
      <c r="E11140" s="423">
        <v>8.3773549914928677E-2</v>
      </c>
      <c r="F11140" s="423">
        <v>5.8847255476208137E-4</v>
      </c>
      <c r="G11140" s="422">
        <v>340.87520766720542</v>
      </c>
      <c r="H11140" s="417" t="s">
        <v>2616</v>
      </c>
      <c r="I11140" s="417" t="s">
        <v>1392</v>
      </c>
      <c r="J11140" s="417" t="s">
        <v>24769</v>
      </c>
      <c r="K11140" s="417" t="s">
        <v>24770</v>
      </c>
      <c r="L11140" s="417"/>
      <c r="M11140" s="417" t="s">
        <v>28840</v>
      </c>
    </row>
    <row r="11141" spans="1:13" x14ac:dyDescent="0.25">
      <c r="A11141" s="417" t="s">
        <v>3385</v>
      </c>
      <c r="B11141" s="417" t="s">
        <v>2623</v>
      </c>
      <c r="C11141" s="417" t="s">
        <v>24771</v>
      </c>
      <c r="D11141" s="417" t="s">
        <v>989</v>
      </c>
      <c r="E11141" s="423">
        <v>6.3965535933145183</v>
      </c>
      <c r="F11141" s="423">
        <v>1.2669123079674639E-2</v>
      </c>
      <c r="G11141" s="422">
        <v>6965.8981681118939</v>
      </c>
      <c r="H11141" s="417" t="s">
        <v>2616</v>
      </c>
      <c r="I11141" s="417" t="s">
        <v>1392</v>
      </c>
      <c r="J11141" s="417" t="s">
        <v>24760</v>
      </c>
      <c r="K11141" s="417" t="s">
        <v>24772</v>
      </c>
      <c r="L11141" s="417"/>
      <c r="M11141" s="417" t="s">
        <v>28840</v>
      </c>
    </row>
    <row r="11142" spans="1:13" x14ac:dyDescent="0.25">
      <c r="A11142" s="417" t="s">
        <v>3385</v>
      </c>
      <c r="B11142" s="417" t="s">
        <v>2623</v>
      </c>
      <c r="C11142" s="417" t="s">
        <v>24773</v>
      </c>
      <c r="D11142" s="417" t="s">
        <v>88</v>
      </c>
      <c r="E11142" s="423">
        <v>8.4010352127352889E-2</v>
      </c>
      <c r="F11142" s="423">
        <v>6.0050486508500794E-4</v>
      </c>
      <c r="G11142" s="422">
        <v>338.16622155333749</v>
      </c>
      <c r="H11142" s="417" t="s">
        <v>2616</v>
      </c>
      <c r="I11142" s="417" t="s">
        <v>1392</v>
      </c>
      <c r="J11142" s="417" t="s">
        <v>24769</v>
      </c>
      <c r="K11142" s="417" t="s">
        <v>24774</v>
      </c>
      <c r="L11142" s="417"/>
      <c r="M11142" s="417" t="s">
        <v>28840</v>
      </c>
    </row>
    <row r="11143" spans="1:13" x14ac:dyDescent="0.25">
      <c r="A11143" s="417" t="s">
        <v>3385</v>
      </c>
      <c r="B11143" s="417" t="s">
        <v>2623</v>
      </c>
      <c r="C11143" s="417" t="s">
        <v>24775</v>
      </c>
      <c r="D11143" s="417" t="s">
        <v>88</v>
      </c>
      <c r="E11143" s="423">
        <v>1.145774307600868</v>
      </c>
      <c r="F11143" s="423">
        <v>0.28302660246151601</v>
      </c>
      <c r="G11143" s="422">
        <v>2024.9927146340069</v>
      </c>
      <c r="H11143" s="417" t="s">
        <v>2616</v>
      </c>
      <c r="I11143" s="417" t="s">
        <v>1392</v>
      </c>
      <c r="J11143" s="417" t="s">
        <v>24769</v>
      </c>
      <c r="K11143" s="417" t="s">
        <v>24776</v>
      </c>
      <c r="L11143" s="417"/>
      <c r="M11143" s="417" t="s">
        <v>28840</v>
      </c>
    </row>
    <row r="11144" spans="1:13" x14ac:dyDescent="0.25">
      <c r="A11144" s="417" t="s">
        <v>3385</v>
      </c>
      <c r="B11144" s="417" t="s">
        <v>2623</v>
      </c>
      <c r="C11144" s="417" t="s">
        <v>24777</v>
      </c>
      <c r="D11144" s="417" t="s">
        <v>88</v>
      </c>
      <c r="E11144" s="423">
        <v>9.1141350268997043E-2</v>
      </c>
      <c r="F11144" s="423">
        <v>5.7987714988037115E-4</v>
      </c>
      <c r="G11144" s="422">
        <v>1453.8299347345201</v>
      </c>
      <c r="H11144" s="417" t="s">
        <v>2616</v>
      </c>
      <c r="I11144" s="417" t="s">
        <v>1392</v>
      </c>
      <c r="J11144" s="417" t="s">
        <v>24769</v>
      </c>
      <c r="K11144" s="417" t="s">
        <v>24778</v>
      </c>
      <c r="L11144" s="417"/>
      <c r="M11144" s="417" t="s">
        <v>28840</v>
      </c>
    </row>
    <row r="11145" spans="1:13" x14ac:dyDescent="0.25">
      <c r="A11145" s="417" t="s">
        <v>3385</v>
      </c>
      <c r="B11145" s="417" t="s">
        <v>2623</v>
      </c>
      <c r="C11145" s="417" t="s">
        <v>24779</v>
      </c>
      <c r="D11145" s="417" t="s">
        <v>88</v>
      </c>
      <c r="E11145" s="423">
        <v>0.1104079923234171</v>
      </c>
      <c r="F11145" s="423">
        <v>5.6593018174614144E-4</v>
      </c>
      <c r="G11145" s="422">
        <v>1801.8390965541839</v>
      </c>
      <c r="H11145" s="417" t="s">
        <v>2616</v>
      </c>
      <c r="I11145" s="417" t="s">
        <v>1392</v>
      </c>
      <c r="J11145" s="417" t="s">
        <v>24769</v>
      </c>
      <c r="K11145" s="417" t="s">
        <v>24780</v>
      </c>
      <c r="L11145" s="417"/>
      <c r="M11145" s="417" t="s">
        <v>28840</v>
      </c>
    </row>
    <row r="11146" spans="1:13" x14ac:dyDescent="0.25">
      <c r="A11146" s="417" t="s">
        <v>3385</v>
      </c>
      <c r="B11146" s="417" t="s">
        <v>2623</v>
      </c>
      <c r="C11146" s="417" t="s">
        <v>24781</v>
      </c>
      <c r="D11146" s="417" t="s">
        <v>88</v>
      </c>
      <c r="E11146" s="423">
        <v>1.311754729565558E-3</v>
      </c>
      <c r="F11146" s="423">
        <v>6.1397144498135471E-5</v>
      </c>
      <c r="G11146" s="422">
        <v>2.5440789135034851</v>
      </c>
      <c r="H11146" s="417" t="s">
        <v>2616</v>
      </c>
      <c r="I11146" s="417" t="s">
        <v>1392</v>
      </c>
      <c r="J11146" s="417" t="s">
        <v>24782</v>
      </c>
      <c r="K11146" s="417" t="s">
        <v>24783</v>
      </c>
      <c r="L11146" s="417"/>
      <c r="M11146" s="417" t="s">
        <v>28840</v>
      </c>
    </row>
    <row r="11147" spans="1:13" x14ac:dyDescent="0.25">
      <c r="A11147" s="417" t="s">
        <v>3385</v>
      </c>
      <c r="B11147" s="417" t="s">
        <v>2623</v>
      </c>
      <c r="C11147" s="417" t="s">
        <v>24784</v>
      </c>
      <c r="D11147" s="417" t="s">
        <v>88</v>
      </c>
      <c r="E11147" s="423">
        <v>1.0656965010062519E-2</v>
      </c>
      <c r="F11147" s="423">
        <v>3.4661233302155548E-4</v>
      </c>
      <c r="G11147" s="422">
        <v>586.51651908515817</v>
      </c>
      <c r="H11147" s="417" t="s">
        <v>2616</v>
      </c>
      <c r="I11147" s="417" t="s">
        <v>1392</v>
      </c>
      <c r="J11147" s="417" t="s">
        <v>24749</v>
      </c>
      <c r="K11147" s="417" t="s">
        <v>24785</v>
      </c>
      <c r="L11147" s="417"/>
      <c r="M11147" s="417" t="s">
        <v>28840</v>
      </c>
    </row>
    <row r="11148" spans="1:13" x14ac:dyDescent="0.25">
      <c r="A11148" s="417" t="s">
        <v>3385</v>
      </c>
      <c r="B11148" s="417" t="s">
        <v>2623</v>
      </c>
      <c r="C11148" s="417" t="s">
        <v>24786</v>
      </c>
      <c r="D11148" s="417" t="s">
        <v>88</v>
      </c>
      <c r="E11148" s="423">
        <v>0.30105873730858068</v>
      </c>
      <c r="F11148" s="423">
        <v>1.8686083050712409E-2</v>
      </c>
      <c r="G11148" s="422">
        <v>428.81932036999223</v>
      </c>
      <c r="H11148" s="417" t="s">
        <v>2616</v>
      </c>
      <c r="I11148" s="417" t="s">
        <v>1392</v>
      </c>
      <c r="J11148" s="417" t="s">
        <v>24749</v>
      </c>
      <c r="K11148" s="417" t="s">
        <v>24787</v>
      </c>
      <c r="L11148" s="417"/>
      <c r="M11148" s="417" t="s">
        <v>28840</v>
      </c>
    </row>
    <row r="11149" spans="1:13" x14ac:dyDescent="0.25">
      <c r="A11149" s="417" t="s">
        <v>3385</v>
      </c>
      <c r="B11149" s="417" t="s">
        <v>2623</v>
      </c>
      <c r="C11149" s="417" t="s">
        <v>24788</v>
      </c>
      <c r="D11149" s="417" t="s">
        <v>989</v>
      </c>
      <c r="E11149" s="423">
        <v>105.9218962997024</v>
      </c>
      <c r="F11149" s="423">
        <v>1.139313738480753</v>
      </c>
      <c r="G11149" s="422">
        <v>149984.6306968859</v>
      </c>
      <c r="H11149" s="417" t="s">
        <v>2616</v>
      </c>
      <c r="I11149" s="417" t="s">
        <v>1392</v>
      </c>
      <c r="J11149" s="417" t="s">
        <v>24789</v>
      </c>
      <c r="K11149" s="417" t="s">
        <v>24790</v>
      </c>
      <c r="L11149" s="417"/>
      <c r="M11149" s="417" t="s">
        <v>28840</v>
      </c>
    </row>
    <row r="11150" spans="1:13" x14ac:dyDescent="0.25">
      <c r="A11150" s="417" t="s">
        <v>3385</v>
      </c>
      <c r="B11150" s="417" t="s">
        <v>2623</v>
      </c>
      <c r="C11150" s="417" t="s">
        <v>24791</v>
      </c>
      <c r="D11150" s="417" t="s">
        <v>989</v>
      </c>
      <c r="E11150" s="423">
        <v>0.30381647577718052</v>
      </c>
      <c r="F11150" s="423">
        <v>1.120056698119402E-2</v>
      </c>
      <c r="G11150" s="422">
        <v>886.57234349697501</v>
      </c>
      <c r="H11150" s="417" t="s">
        <v>2616</v>
      </c>
      <c r="I11150" s="417" t="s">
        <v>1392</v>
      </c>
      <c r="J11150" s="417" t="s">
        <v>24701</v>
      </c>
      <c r="K11150" s="417" t="s">
        <v>24792</v>
      </c>
      <c r="L11150" s="417"/>
      <c r="M11150" s="417" t="s">
        <v>28840</v>
      </c>
    </row>
    <row r="11151" spans="1:13" x14ac:dyDescent="0.25">
      <c r="A11151" s="417" t="s">
        <v>3385</v>
      </c>
      <c r="B11151" s="417" t="s">
        <v>2623</v>
      </c>
      <c r="C11151" s="417" t="s">
        <v>24793</v>
      </c>
      <c r="D11151" s="417" t="s">
        <v>989</v>
      </c>
      <c r="E11151" s="423">
        <v>1.3000936087818891</v>
      </c>
      <c r="F11151" s="423">
        <v>2.2568265817146538E-2</v>
      </c>
      <c r="G11151" s="422">
        <v>2990.5469314026818</v>
      </c>
      <c r="H11151" s="417" t="s">
        <v>2616</v>
      </c>
      <c r="I11151" s="417" t="s">
        <v>1392</v>
      </c>
      <c r="J11151" s="417" t="s">
        <v>24701</v>
      </c>
      <c r="K11151" s="417" t="s">
        <v>24794</v>
      </c>
      <c r="L11151" s="417"/>
      <c r="M11151" s="417" t="s">
        <v>28840</v>
      </c>
    </row>
    <row r="11152" spans="1:13" x14ac:dyDescent="0.25">
      <c r="A11152" s="417" t="s">
        <v>3385</v>
      </c>
      <c r="B11152" s="417" t="s">
        <v>2623</v>
      </c>
      <c r="C11152" s="417" t="s">
        <v>24795</v>
      </c>
      <c r="D11152" s="417" t="s">
        <v>989</v>
      </c>
      <c r="E11152" s="423">
        <v>29.900042415901879</v>
      </c>
      <c r="F11152" s="423">
        <v>1.5768891295873472E-2</v>
      </c>
      <c r="G11152" s="422">
        <v>30939.202541783539</v>
      </c>
      <c r="H11152" s="417" t="s">
        <v>2616</v>
      </c>
      <c r="I11152" s="417" t="s">
        <v>1392</v>
      </c>
      <c r="J11152" s="417" t="s">
        <v>24701</v>
      </c>
      <c r="K11152" s="417" t="s">
        <v>24796</v>
      </c>
      <c r="L11152" s="417"/>
      <c r="M11152" s="417" t="s">
        <v>28840</v>
      </c>
    </row>
    <row r="11153" spans="1:13" x14ac:dyDescent="0.25">
      <c r="A11153" s="417" t="s">
        <v>3385</v>
      </c>
      <c r="B11153" s="417" t="s">
        <v>2623</v>
      </c>
      <c r="C11153" s="417" t="s">
        <v>24797</v>
      </c>
      <c r="D11153" s="417" t="s">
        <v>989</v>
      </c>
      <c r="E11153" s="423">
        <v>4.3094520496956559</v>
      </c>
      <c r="F11153" s="423">
        <v>4.2597336856136307E-2</v>
      </c>
      <c r="G11153" s="422">
        <v>7936.1975620450057</v>
      </c>
      <c r="H11153" s="417" t="s">
        <v>2616</v>
      </c>
      <c r="I11153" s="417" t="s">
        <v>1392</v>
      </c>
      <c r="J11153" s="417" t="s">
        <v>24701</v>
      </c>
      <c r="K11153" s="417" t="s">
        <v>24798</v>
      </c>
      <c r="L11153" s="417"/>
      <c r="M11153" s="417" t="s">
        <v>28840</v>
      </c>
    </row>
    <row r="11154" spans="1:13" x14ac:dyDescent="0.25">
      <c r="A11154" s="417" t="s">
        <v>3385</v>
      </c>
      <c r="B11154" s="417" t="s">
        <v>3655</v>
      </c>
      <c r="C11154" s="417" t="s">
        <v>24799</v>
      </c>
      <c r="D11154" s="417" t="s">
        <v>88</v>
      </c>
      <c r="E11154" s="423">
        <v>2.7841380869460901E-2</v>
      </c>
      <c r="F11154" s="423">
        <v>3.5305317265265888E-2</v>
      </c>
      <c r="G11154" s="422">
        <v>131.46218654988101</v>
      </c>
      <c r="H11154" s="417" t="s">
        <v>2616</v>
      </c>
      <c r="I11154" s="417" t="s">
        <v>1392</v>
      </c>
      <c r="J11154" s="417" t="s">
        <v>24800</v>
      </c>
      <c r="K11154" s="417" t="s">
        <v>24801</v>
      </c>
      <c r="L11154" s="417"/>
      <c r="M11154" s="417" t="s">
        <v>28840</v>
      </c>
    </row>
    <row r="11155" spans="1:13" x14ac:dyDescent="0.25">
      <c r="A11155" s="417" t="s">
        <v>3385</v>
      </c>
      <c r="B11155" s="417" t="s">
        <v>3655</v>
      </c>
      <c r="C11155" s="417" t="s">
        <v>24802</v>
      </c>
      <c r="D11155" s="417" t="s">
        <v>88</v>
      </c>
      <c r="E11155" s="423">
        <v>6.2922465704412547</v>
      </c>
      <c r="F11155" s="423">
        <v>0.60661968724928006</v>
      </c>
      <c r="G11155" s="422">
        <v>12960.824762279641</v>
      </c>
      <c r="H11155" s="417" t="s">
        <v>2616</v>
      </c>
      <c r="I11155" s="417" t="s">
        <v>1392</v>
      </c>
      <c r="J11155" s="417" t="s">
        <v>24803</v>
      </c>
      <c r="K11155" s="417" t="s">
        <v>24804</v>
      </c>
      <c r="L11155" s="417"/>
      <c r="M11155" s="417" t="s">
        <v>28840</v>
      </c>
    </row>
    <row r="11156" spans="1:13" x14ac:dyDescent="0.25">
      <c r="A11156" s="417" t="s">
        <v>3385</v>
      </c>
      <c r="B11156" s="417" t="s">
        <v>3655</v>
      </c>
      <c r="C11156" s="417" t="s">
        <v>24805</v>
      </c>
      <c r="D11156" s="417" t="s">
        <v>88</v>
      </c>
      <c r="E11156" s="423">
        <v>3.5837803026599309</v>
      </c>
      <c r="F11156" s="423">
        <v>0.62636458175869925</v>
      </c>
      <c r="G11156" s="422">
        <v>25908.040948819809</v>
      </c>
      <c r="H11156" s="417" t="s">
        <v>2616</v>
      </c>
      <c r="I11156" s="417" t="s">
        <v>1392</v>
      </c>
      <c r="J11156" s="417" t="s">
        <v>24803</v>
      </c>
      <c r="K11156" s="417" t="s">
        <v>24806</v>
      </c>
      <c r="L11156" s="417"/>
      <c r="M11156" s="417" t="s">
        <v>28840</v>
      </c>
    </row>
    <row r="11157" spans="1:13" x14ac:dyDescent="0.25">
      <c r="A11157" s="417" t="s">
        <v>3385</v>
      </c>
      <c r="B11157" s="417" t="s">
        <v>3655</v>
      </c>
      <c r="C11157" s="417" t="s">
        <v>24807</v>
      </c>
      <c r="D11157" s="417" t="s">
        <v>88</v>
      </c>
      <c r="E11157" s="423">
        <v>3.351948751747674</v>
      </c>
      <c r="F11157" s="423">
        <v>0.59124330510346557</v>
      </c>
      <c r="G11157" s="422">
        <v>7850.9308293175227</v>
      </c>
      <c r="H11157" s="417" t="s">
        <v>2616</v>
      </c>
      <c r="I11157" s="417" t="s">
        <v>1392</v>
      </c>
      <c r="J11157" s="417" t="s">
        <v>24803</v>
      </c>
      <c r="K11157" s="417" t="s">
        <v>24808</v>
      </c>
      <c r="L11157" s="417"/>
      <c r="M11157" s="417" t="s">
        <v>28840</v>
      </c>
    </row>
    <row r="11158" spans="1:13" x14ac:dyDescent="0.25">
      <c r="A11158" s="417" t="s">
        <v>3385</v>
      </c>
      <c r="B11158" s="417" t="s">
        <v>3655</v>
      </c>
      <c r="C11158" s="417" t="s">
        <v>24809</v>
      </c>
      <c r="D11158" s="417" t="s">
        <v>88</v>
      </c>
      <c r="E11158" s="423">
        <v>6.0707721264560206</v>
      </c>
      <c r="F11158" s="423">
        <v>0.68881741101313321</v>
      </c>
      <c r="G11158" s="422">
        <v>13992.321483287569</v>
      </c>
      <c r="H11158" s="417" t="s">
        <v>2616</v>
      </c>
      <c r="I11158" s="417" t="s">
        <v>1392</v>
      </c>
      <c r="J11158" s="417" t="s">
        <v>24803</v>
      </c>
      <c r="K11158" s="417" t="s">
        <v>24810</v>
      </c>
      <c r="L11158" s="417"/>
      <c r="M11158" s="417" t="s">
        <v>28840</v>
      </c>
    </row>
    <row r="11159" spans="1:13" x14ac:dyDescent="0.25">
      <c r="A11159" s="417" t="s">
        <v>3385</v>
      </c>
      <c r="B11159" s="417" t="s">
        <v>3655</v>
      </c>
      <c r="C11159" s="417" t="s">
        <v>24811</v>
      </c>
      <c r="D11159" s="417" t="s">
        <v>88</v>
      </c>
      <c r="E11159" s="423">
        <v>3.7267586859765101</v>
      </c>
      <c r="F11159" s="423">
        <v>0.6108566565331397</v>
      </c>
      <c r="G11159" s="422">
        <v>6925.4795321038064</v>
      </c>
      <c r="H11159" s="417" t="s">
        <v>2616</v>
      </c>
      <c r="I11159" s="417" t="s">
        <v>1392</v>
      </c>
      <c r="J11159" s="417" t="s">
        <v>24803</v>
      </c>
      <c r="K11159" s="417" t="s">
        <v>24812</v>
      </c>
      <c r="L11159" s="417"/>
      <c r="M11159" s="417" t="s">
        <v>28840</v>
      </c>
    </row>
    <row r="11160" spans="1:13" x14ac:dyDescent="0.25">
      <c r="A11160" s="417" t="s">
        <v>3385</v>
      </c>
      <c r="B11160" s="417" t="s">
        <v>3655</v>
      </c>
      <c r="C11160" s="417" t="s">
        <v>24813</v>
      </c>
      <c r="D11160" s="417" t="s">
        <v>88</v>
      </c>
      <c r="E11160" s="423">
        <v>6.1575846410283601</v>
      </c>
      <c r="F11160" s="423">
        <v>0.59076752304311564</v>
      </c>
      <c r="G11160" s="422">
        <v>12684.84500551123</v>
      </c>
      <c r="H11160" s="417" t="s">
        <v>2616</v>
      </c>
      <c r="I11160" s="417" t="s">
        <v>1392</v>
      </c>
      <c r="J11160" s="417" t="s">
        <v>24803</v>
      </c>
      <c r="K11160" s="417" t="s">
        <v>24814</v>
      </c>
      <c r="L11160" s="417"/>
      <c r="M11160" s="417" t="s">
        <v>28840</v>
      </c>
    </row>
    <row r="11161" spans="1:13" x14ac:dyDescent="0.25">
      <c r="A11161" s="417" t="s">
        <v>3385</v>
      </c>
      <c r="B11161" s="417" t="s">
        <v>3655</v>
      </c>
      <c r="C11161" s="417" t="s">
        <v>24815</v>
      </c>
      <c r="D11161" s="417" t="s">
        <v>88</v>
      </c>
      <c r="E11161" s="423">
        <v>3.481505953603492</v>
      </c>
      <c r="F11161" s="423">
        <v>0.61452271314698814</v>
      </c>
      <c r="G11161" s="422">
        <v>25700.723913023161</v>
      </c>
      <c r="H11161" s="417" t="s">
        <v>2616</v>
      </c>
      <c r="I11161" s="417" t="s">
        <v>1392</v>
      </c>
      <c r="J11161" s="417" t="s">
        <v>24803</v>
      </c>
      <c r="K11161" s="417" t="s">
        <v>24816</v>
      </c>
      <c r="L11161" s="417"/>
      <c r="M11161" s="417" t="s">
        <v>28840</v>
      </c>
    </row>
    <row r="11162" spans="1:13" x14ac:dyDescent="0.25">
      <c r="A11162" s="417" t="s">
        <v>3385</v>
      </c>
      <c r="B11162" s="417" t="s">
        <v>3655</v>
      </c>
      <c r="C11162" s="417" t="s">
        <v>24817</v>
      </c>
      <c r="D11162" s="417" t="s">
        <v>88</v>
      </c>
      <c r="E11162" s="423">
        <v>3.2293189983446138</v>
      </c>
      <c r="F11162" s="423">
        <v>0.5768809892116904</v>
      </c>
      <c r="G11162" s="422">
        <v>7600.4596732848777</v>
      </c>
      <c r="H11162" s="417" t="s">
        <v>2616</v>
      </c>
      <c r="I11162" s="417" t="s">
        <v>1392</v>
      </c>
      <c r="J11162" s="417" t="s">
        <v>24803</v>
      </c>
      <c r="K11162" s="417" t="s">
        <v>24818</v>
      </c>
      <c r="L11162" s="417"/>
      <c r="M11162" s="417" t="s">
        <v>28840</v>
      </c>
    </row>
    <row r="11163" spans="1:13" x14ac:dyDescent="0.25">
      <c r="A11163" s="417" t="s">
        <v>3385</v>
      </c>
      <c r="B11163" s="417" t="s">
        <v>3655</v>
      </c>
      <c r="C11163" s="417" t="s">
        <v>24819</v>
      </c>
      <c r="D11163" s="417" t="s">
        <v>88</v>
      </c>
      <c r="E11163" s="423">
        <v>5.83465442228401</v>
      </c>
      <c r="F11163" s="423">
        <v>0.66040278792795659</v>
      </c>
      <c r="G11163" s="422">
        <v>13501.25219588355</v>
      </c>
      <c r="H11163" s="417" t="s">
        <v>2616</v>
      </c>
      <c r="I11163" s="417" t="s">
        <v>1392</v>
      </c>
      <c r="J11163" s="417" t="s">
        <v>24803</v>
      </c>
      <c r="K11163" s="417" t="s">
        <v>24820</v>
      </c>
      <c r="L11163" s="417"/>
      <c r="M11163" s="417" t="s">
        <v>28840</v>
      </c>
    </row>
    <row r="11164" spans="1:13" x14ac:dyDescent="0.25">
      <c r="A11164" s="417" t="s">
        <v>3385</v>
      </c>
      <c r="B11164" s="417" t="s">
        <v>3655</v>
      </c>
      <c r="C11164" s="417" t="s">
        <v>24821</v>
      </c>
      <c r="D11164" s="417" t="s">
        <v>88</v>
      </c>
      <c r="E11164" s="423">
        <v>3.5312349733945929</v>
      </c>
      <c r="F11164" s="423">
        <v>0.58746846345326253</v>
      </c>
      <c r="G11164" s="422">
        <v>6520.4708216532481</v>
      </c>
      <c r="H11164" s="417" t="s">
        <v>2616</v>
      </c>
      <c r="I11164" s="417" t="s">
        <v>1392</v>
      </c>
      <c r="J11164" s="417" t="s">
        <v>24803</v>
      </c>
      <c r="K11164" s="417" t="s">
        <v>24822</v>
      </c>
      <c r="L11164" s="417"/>
      <c r="M11164" s="417" t="s">
        <v>28840</v>
      </c>
    </row>
    <row r="11165" spans="1:13" x14ac:dyDescent="0.25">
      <c r="A11165" s="417" t="s">
        <v>3385</v>
      </c>
      <c r="B11165" s="417" t="s">
        <v>3405</v>
      </c>
      <c r="C11165" s="417" t="s">
        <v>24823</v>
      </c>
      <c r="D11165" s="417" t="s">
        <v>224</v>
      </c>
      <c r="E11165" s="423">
        <v>0.87581540594070861</v>
      </c>
      <c r="F11165" s="423">
        <v>3.903050099884715E-3</v>
      </c>
      <c r="G11165" s="422">
        <v>1093.5485798845079</v>
      </c>
      <c r="H11165" s="417" t="s">
        <v>2616</v>
      </c>
      <c r="I11165" s="417" t="s">
        <v>1392</v>
      </c>
      <c r="J11165" s="417" t="s">
        <v>24607</v>
      </c>
      <c r="K11165" s="417" t="s">
        <v>24824</v>
      </c>
      <c r="L11165" s="417"/>
      <c r="M11165" s="417" t="s">
        <v>28840</v>
      </c>
    </row>
    <row r="11166" spans="1:13" x14ac:dyDescent="0.25">
      <c r="A11166" s="417" t="s">
        <v>3385</v>
      </c>
      <c r="B11166" s="417" t="s">
        <v>3405</v>
      </c>
      <c r="C11166" s="417" t="s">
        <v>24825</v>
      </c>
      <c r="D11166" s="417" t="s">
        <v>224</v>
      </c>
      <c r="E11166" s="423">
        <v>0.32444308909957131</v>
      </c>
      <c r="F11166" s="423">
        <v>1.457954895301299E-3</v>
      </c>
      <c r="G11166" s="422">
        <v>405.51714555063808</v>
      </c>
      <c r="H11166" s="417" t="s">
        <v>2616</v>
      </c>
      <c r="I11166" s="417" t="s">
        <v>1392</v>
      </c>
      <c r="J11166" s="417" t="s">
        <v>24607</v>
      </c>
      <c r="K11166" s="417" t="s">
        <v>24826</v>
      </c>
      <c r="L11166" s="417"/>
      <c r="M11166" s="417" t="s">
        <v>28840</v>
      </c>
    </row>
    <row r="11167" spans="1:13" x14ac:dyDescent="0.25">
      <c r="A11167" s="417" t="s">
        <v>3385</v>
      </c>
      <c r="B11167" s="417" t="s">
        <v>3405</v>
      </c>
      <c r="C11167" s="417" t="s">
        <v>24827</v>
      </c>
      <c r="D11167" s="417" t="s">
        <v>224</v>
      </c>
      <c r="E11167" s="423">
        <v>0.67452254519606047</v>
      </c>
      <c r="F11167" s="423">
        <v>3.0103945250859881E-3</v>
      </c>
      <c r="G11167" s="422">
        <v>842.36420499980773</v>
      </c>
      <c r="H11167" s="417" t="s">
        <v>2616</v>
      </c>
      <c r="I11167" s="417" t="s">
        <v>1392</v>
      </c>
      <c r="J11167" s="417" t="s">
        <v>24607</v>
      </c>
      <c r="K11167" s="417" t="s">
        <v>24828</v>
      </c>
      <c r="L11167" s="417"/>
      <c r="M11167" s="417" t="s">
        <v>28840</v>
      </c>
    </row>
    <row r="11168" spans="1:13" x14ac:dyDescent="0.25">
      <c r="A11168" s="417" t="s">
        <v>3385</v>
      </c>
      <c r="B11168" s="417" t="s">
        <v>3405</v>
      </c>
      <c r="C11168" s="417" t="s">
        <v>24829</v>
      </c>
      <c r="D11168" s="417" t="s">
        <v>224</v>
      </c>
      <c r="E11168" s="423">
        <v>6.2179689469141848E-4</v>
      </c>
      <c r="F11168" s="423">
        <v>2.194637468885304E-5</v>
      </c>
      <c r="G11168" s="422">
        <v>1.4357125900688379</v>
      </c>
      <c r="H11168" s="417" t="s">
        <v>2616</v>
      </c>
      <c r="I11168" s="417" t="s">
        <v>1392</v>
      </c>
      <c r="J11168" s="417" t="s">
        <v>24607</v>
      </c>
      <c r="K11168" s="417" t="s">
        <v>24830</v>
      </c>
      <c r="L11168" s="417"/>
      <c r="M11168" s="417" t="s">
        <v>28840</v>
      </c>
    </row>
    <row r="11169" spans="1:13" x14ac:dyDescent="0.25">
      <c r="A11169" s="417" t="s">
        <v>3385</v>
      </c>
      <c r="B11169" s="417" t="s">
        <v>3405</v>
      </c>
      <c r="C11169" s="417" t="s">
        <v>24831</v>
      </c>
      <c r="D11169" s="417" t="s">
        <v>224</v>
      </c>
      <c r="E11169" s="423">
        <v>0.5782522182958949</v>
      </c>
      <c r="F11169" s="423">
        <v>2.5834727064881239E-3</v>
      </c>
      <c r="G11169" s="422">
        <v>722.23274573170306</v>
      </c>
      <c r="H11169" s="417" t="s">
        <v>2616</v>
      </c>
      <c r="I11169" s="417" t="s">
        <v>1392</v>
      </c>
      <c r="J11169" s="417" t="s">
        <v>24607</v>
      </c>
      <c r="K11169" s="417" t="s">
        <v>24832</v>
      </c>
      <c r="L11169" s="417"/>
      <c r="M11169" s="417" t="s">
        <v>28840</v>
      </c>
    </row>
    <row r="11170" spans="1:13" x14ac:dyDescent="0.25">
      <c r="A11170" s="417" t="s">
        <v>3385</v>
      </c>
      <c r="B11170" s="417" t="s">
        <v>3405</v>
      </c>
      <c r="C11170" s="417" t="s">
        <v>24833</v>
      </c>
      <c r="D11170" s="417" t="s">
        <v>224</v>
      </c>
      <c r="E11170" s="423">
        <v>0.34986365238115641</v>
      </c>
      <c r="F11170" s="423">
        <v>1.165850314364821E-3</v>
      </c>
      <c r="G11170" s="422">
        <v>439.75583946682718</v>
      </c>
      <c r="H11170" s="417" t="s">
        <v>2616</v>
      </c>
      <c r="I11170" s="417" t="s">
        <v>1392</v>
      </c>
      <c r="J11170" s="417" t="s">
        <v>24607</v>
      </c>
      <c r="K11170" s="417" t="s">
        <v>24834</v>
      </c>
      <c r="L11170" s="417"/>
      <c r="M11170" s="417" t="s">
        <v>28840</v>
      </c>
    </row>
    <row r="11171" spans="1:13" x14ac:dyDescent="0.25">
      <c r="A11171" s="417" t="s">
        <v>3385</v>
      </c>
      <c r="B11171" s="417" t="s">
        <v>3405</v>
      </c>
      <c r="C11171" s="417" t="s">
        <v>24835</v>
      </c>
      <c r="D11171" s="417" t="s">
        <v>224</v>
      </c>
      <c r="E11171" s="423">
        <v>3.7363421000223969E-4</v>
      </c>
      <c r="F11171" s="423">
        <v>1.178950570687014E-5</v>
      </c>
      <c r="G11171" s="422">
        <v>0.92285018635940974</v>
      </c>
      <c r="H11171" s="417" t="s">
        <v>2616</v>
      </c>
      <c r="I11171" s="417" t="s">
        <v>1392</v>
      </c>
      <c r="J11171" s="417" t="s">
        <v>24607</v>
      </c>
      <c r="K11171" s="417" t="s">
        <v>24836</v>
      </c>
      <c r="L11171" s="417"/>
      <c r="M11171" s="417" t="s">
        <v>28840</v>
      </c>
    </row>
    <row r="11172" spans="1:13" x14ac:dyDescent="0.25">
      <c r="A11172" s="417" t="s">
        <v>3385</v>
      </c>
      <c r="B11172" s="417" t="s">
        <v>3405</v>
      </c>
      <c r="C11172" s="417" t="s">
        <v>24837</v>
      </c>
      <c r="D11172" s="417" t="s">
        <v>224</v>
      </c>
      <c r="E11172" s="423">
        <v>2.3803118315812982E-2</v>
      </c>
      <c r="F11172" s="423">
        <v>0.44324477131425971</v>
      </c>
      <c r="G11172" s="422">
        <v>169.57770566611629</v>
      </c>
      <c r="H11172" s="417" t="s">
        <v>2616</v>
      </c>
      <c r="I11172" s="417" t="s">
        <v>1392</v>
      </c>
      <c r="J11172" s="417" t="s">
        <v>24838</v>
      </c>
      <c r="K11172" s="417" t="s">
        <v>24839</v>
      </c>
      <c r="L11172" s="417"/>
      <c r="M11172" s="417" t="s">
        <v>28840</v>
      </c>
    </row>
    <row r="11173" spans="1:13" x14ac:dyDescent="0.25">
      <c r="A11173" s="417" t="s">
        <v>3385</v>
      </c>
      <c r="B11173" s="417" t="s">
        <v>3405</v>
      </c>
      <c r="C11173" s="417" t="s">
        <v>24840</v>
      </c>
      <c r="D11173" s="417" t="s">
        <v>224</v>
      </c>
      <c r="E11173" s="423">
        <v>8.2740211547961944E-3</v>
      </c>
      <c r="F11173" s="423">
        <v>7.9171361794731603E-5</v>
      </c>
      <c r="G11173" s="422">
        <v>12.15172341907242</v>
      </c>
      <c r="H11173" s="417" t="s">
        <v>2616</v>
      </c>
      <c r="I11173" s="417" t="s">
        <v>1392</v>
      </c>
      <c r="J11173" s="417" t="s">
        <v>24838</v>
      </c>
      <c r="K11173" s="417" t="s">
        <v>24841</v>
      </c>
      <c r="L11173" s="417"/>
      <c r="M11173" s="417" t="s">
        <v>28840</v>
      </c>
    </row>
    <row r="11174" spans="1:13" x14ac:dyDescent="0.25">
      <c r="A11174" s="417" t="s">
        <v>3385</v>
      </c>
      <c r="B11174" s="417" t="s">
        <v>3405</v>
      </c>
      <c r="C11174" s="417" t="s">
        <v>24842</v>
      </c>
      <c r="D11174" s="417" t="s">
        <v>224</v>
      </c>
      <c r="E11174" s="423">
        <v>2.809609424642219E-2</v>
      </c>
      <c r="F11174" s="423">
        <v>0.46268194561141551</v>
      </c>
      <c r="G11174" s="422">
        <v>100.187034761243</v>
      </c>
      <c r="H11174" s="417" t="s">
        <v>2616</v>
      </c>
      <c r="I11174" s="417" t="s">
        <v>1392</v>
      </c>
      <c r="J11174" s="417" t="s">
        <v>24838</v>
      </c>
      <c r="K11174" s="417" t="s">
        <v>24843</v>
      </c>
      <c r="L11174" s="417"/>
      <c r="M11174" s="417" t="s">
        <v>28840</v>
      </c>
    </row>
    <row r="11175" spans="1:13" x14ac:dyDescent="0.25">
      <c r="A11175" s="417" t="s">
        <v>3385</v>
      </c>
      <c r="B11175" s="417" t="s">
        <v>3405</v>
      </c>
      <c r="C11175" s="417" t="s">
        <v>24844</v>
      </c>
      <c r="D11175" s="417" t="s">
        <v>224</v>
      </c>
      <c r="E11175" s="423">
        <v>8.9427678030503929E-2</v>
      </c>
      <c r="F11175" s="423">
        <v>1.960026341877104</v>
      </c>
      <c r="G11175" s="422">
        <v>381.02731363928871</v>
      </c>
      <c r="H11175" s="417" t="s">
        <v>2616</v>
      </c>
      <c r="I11175" s="417" t="s">
        <v>1392</v>
      </c>
      <c r="J11175" s="417" t="s">
        <v>24838</v>
      </c>
      <c r="K11175" s="417" t="s">
        <v>24845</v>
      </c>
      <c r="L11175" s="417"/>
      <c r="M11175" s="417" t="s">
        <v>28840</v>
      </c>
    </row>
    <row r="11176" spans="1:13" x14ac:dyDescent="0.25">
      <c r="A11176" s="417" t="s">
        <v>3385</v>
      </c>
      <c r="B11176" s="417" t="s">
        <v>3405</v>
      </c>
      <c r="C11176" s="417" t="s">
        <v>24846</v>
      </c>
      <c r="D11176" s="417" t="s">
        <v>224</v>
      </c>
      <c r="E11176" s="423">
        <v>9.1527223008928335E-3</v>
      </c>
      <c r="F11176" s="423">
        <v>8.7579361367693713E-5</v>
      </c>
      <c r="G11176" s="422">
        <v>13.44223659289341</v>
      </c>
      <c r="H11176" s="417" t="s">
        <v>2616</v>
      </c>
      <c r="I11176" s="417" t="s">
        <v>1392</v>
      </c>
      <c r="J11176" s="417" t="s">
        <v>24838</v>
      </c>
      <c r="K11176" s="417" t="s">
        <v>24847</v>
      </c>
      <c r="L11176" s="417"/>
      <c r="M11176" s="417" t="s">
        <v>28840</v>
      </c>
    </row>
    <row r="11177" spans="1:13" x14ac:dyDescent="0.25">
      <c r="A11177" s="417" t="s">
        <v>3385</v>
      </c>
      <c r="B11177" s="417" t="s">
        <v>3405</v>
      </c>
      <c r="C11177" s="417" t="s">
        <v>24848</v>
      </c>
      <c r="D11177" s="417" t="s">
        <v>224</v>
      </c>
      <c r="E11177" s="423">
        <v>0.26272563717876052</v>
      </c>
      <c r="F11177" s="423">
        <v>0.90704782696372588</v>
      </c>
      <c r="G11177" s="422">
        <v>389.23056535141058</v>
      </c>
      <c r="H11177" s="417" t="s">
        <v>2616</v>
      </c>
      <c r="I11177" s="417" t="s">
        <v>1392</v>
      </c>
      <c r="J11177" s="417" t="s">
        <v>24849</v>
      </c>
      <c r="K11177" s="417" t="s">
        <v>24850</v>
      </c>
      <c r="L11177" s="417"/>
      <c r="M11177" s="417" t="s">
        <v>28840</v>
      </c>
    </row>
    <row r="11178" spans="1:13" x14ac:dyDescent="0.25">
      <c r="A11178" s="417" t="s">
        <v>3385</v>
      </c>
      <c r="B11178" s="417" t="s">
        <v>3405</v>
      </c>
      <c r="C11178" s="417" t="s">
        <v>24851</v>
      </c>
      <c r="D11178" s="417" t="s">
        <v>224</v>
      </c>
      <c r="E11178" s="423">
        <v>0.59072208885070632</v>
      </c>
      <c r="F11178" s="423">
        <v>1.0278783721259269E-3</v>
      </c>
      <c r="G11178" s="422">
        <v>766.78213726951685</v>
      </c>
      <c r="H11178" s="417" t="s">
        <v>2616</v>
      </c>
      <c r="I11178" s="417" t="s">
        <v>1392</v>
      </c>
      <c r="J11178" s="417" t="s">
        <v>24852</v>
      </c>
      <c r="K11178" s="417" t="s">
        <v>24853</v>
      </c>
      <c r="L11178" s="417"/>
      <c r="M11178" s="417" t="s">
        <v>28840</v>
      </c>
    </row>
    <row r="11179" spans="1:13" x14ac:dyDescent="0.25">
      <c r="A11179" s="417" t="s">
        <v>3385</v>
      </c>
      <c r="B11179" s="417" t="s">
        <v>3405</v>
      </c>
      <c r="C11179" s="417" t="s">
        <v>24854</v>
      </c>
      <c r="D11179" s="417" t="s">
        <v>224</v>
      </c>
      <c r="E11179" s="423">
        <v>1.74997724740024E-2</v>
      </c>
      <c r="F11179" s="423">
        <v>4.6788193575411462E-4</v>
      </c>
      <c r="G11179" s="422">
        <v>47.463214210974712</v>
      </c>
      <c r="H11179" s="417" t="s">
        <v>2616</v>
      </c>
      <c r="I11179" s="417" t="s">
        <v>1392</v>
      </c>
      <c r="J11179" s="417" t="s">
        <v>8115</v>
      </c>
      <c r="K11179" s="417" t="s">
        <v>24855</v>
      </c>
      <c r="L11179" s="417"/>
      <c r="M11179" s="417" t="s">
        <v>28840</v>
      </c>
    </row>
    <row r="11180" spans="1:13" x14ac:dyDescent="0.25">
      <c r="A11180" s="417" t="s">
        <v>3385</v>
      </c>
      <c r="B11180" s="417" t="s">
        <v>3405</v>
      </c>
      <c r="C11180" s="417" t="s">
        <v>24856</v>
      </c>
      <c r="D11180" s="417" t="s">
        <v>224</v>
      </c>
      <c r="E11180" s="423">
        <v>1.1565017096330231E-2</v>
      </c>
      <c r="F11180" s="423">
        <v>3.0960904789635851E-4</v>
      </c>
      <c r="G11180" s="422">
        <v>33.845732172407828</v>
      </c>
      <c r="H11180" s="417" t="s">
        <v>2616</v>
      </c>
      <c r="I11180" s="417" t="s">
        <v>1392</v>
      </c>
      <c r="J11180" s="417" t="s">
        <v>8115</v>
      </c>
      <c r="K11180" s="417" t="s">
        <v>24857</v>
      </c>
      <c r="L11180" s="417"/>
      <c r="M11180" s="417" t="s">
        <v>28840</v>
      </c>
    </row>
    <row r="11181" spans="1:13" x14ac:dyDescent="0.25">
      <c r="A11181" s="417" t="s">
        <v>3385</v>
      </c>
      <c r="B11181" s="417" t="s">
        <v>3405</v>
      </c>
      <c r="C11181" s="417" t="s">
        <v>24858</v>
      </c>
      <c r="D11181" s="417" t="s">
        <v>224</v>
      </c>
      <c r="E11181" s="423">
        <v>1.4409456823624701E-2</v>
      </c>
      <c r="F11181" s="423">
        <v>4.5869672921361031E-4</v>
      </c>
      <c r="G11181" s="422">
        <v>38.111527953800021</v>
      </c>
      <c r="H11181" s="417" t="s">
        <v>2616</v>
      </c>
      <c r="I11181" s="417" t="s">
        <v>1392</v>
      </c>
      <c r="J11181" s="417" t="s">
        <v>8115</v>
      </c>
      <c r="K11181" s="417" t="s">
        <v>24859</v>
      </c>
      <c r="L11181" s="417"/>
      <c r="M11181" s="417" t="s">
        <v>28840</v>
      </c>
    </row>
    <row r="11182" spans="1:13" x14ac:dyDescent="0.25">
      <c r="A11182" s="417" t="s">
        <v>3385</v>
      </c>
      <c r="B11182" s="417" t="s">
        <v>3405</v>
      </c>
      <c r="C11182" s="417" t="s">
        <v>24860</v>
      </c>
      <c r="D11182" s="417" t="s">
        <v>224</v>
      </c>
      <c r="E11182" s="423">
        <v>1.7261128939298761E-2</v>
      </c>
      <c r="F11182" s="423">
        <v>4.6718876472237711E-4</v>
      </c>
      <c r="G11182" s="422">
        <v>47.430017177595211</v>
      </c>
      <c r="H11182" s="417" t="s">
        <v>2616</v>
      </c>
      <c r="I11182" s="417" t="s">
        <v>1392</v>
      </c>
      <c r="J11182" s="417" t="s">
        <v>8115</v>
      </c>
      <c r="K11182" s="417" t="s">
        <v>24861</v>
      </c>
      <c r="L11182" s="417"/>
      <c r="M11182" s="417" t="s">
        <v>28840</v>
      </c>
    </row>
    <row r="11183" spans="1:13" x14ac:dyDescent="0.25">
      <c r="A11183" s="417" t="s">
        <v>3385</v>
      </c>
      <c r="B11183" s="417" t="s">
        <v>3405</v>
      </c>
      <c r="C11183" s="417" t="s">
        <v>24862</v>
      </c>
      <c r="D11183" s="417" t="s">
        <v>224</v>
      </c>
      <c r="E11183" s="423">
        <v>1.639281135286649E-2</v>
      </c>
      <c r="F11183" s="423">
        <v>4.2502169609532969E-4</v>
      </c>
      <c r="G11183" s="422">
        <v>43.8616532642667</v>
      </c>
      <c r="H11183" s="417" t="s">
        <v>2616</v>
      </c>
      <c r="I11183" s="417" t="s">
        <v>1392</v>
      </c>
      <c r="J11183" s="417" t="s">
        <v>8115</v>
      </c>
      <c r="K11183" s="417" t="s">
        <v>24863</v>
      </c>
      <c r="L11183" s="417"/>
      <c r="M11183" s="417" t="s">
        <v>28840</v>
      </c>
    </row>
    <row r="11184" spans="1:13" x14ac:dyDescent="0.25">
      <c r="A11184" s="417" t="s">
        <v>3385</v>
      </c>
      <c r="B11184" s="417" t="s">
        <v>3405</v>
      </c>
      <c r="C11184" s="417" t="s">
        <v>24864</v>
      </c>
      <c r="D11184" s="417" t="s">
        <v>224</v>
      </c>
      <c r="E11184" s="423">
        <v>1.150696730612988E-2</v>
      </c>
      <c r="F11184" s="423">
        <v>3.0656644215464599E-4</v>
      </c>
      <c r="G11184" s="422">
        <v>33.758675113989092</v>
      </c>
      <c r="H11184" s="417" t="s">
        <v>2616</v>
      </c>
      <c r="I11184" s="417" t="s">
        <v>1392</v>
      </c>
      <c r="J11184" s="417" t="s">
        <v>8115</v>
      </c>
      <c r="K11184" s="417" t="s">
        <v>24865</v>
      </c>
      <c r="L11184" s="417"/>
      <c r="M11184" s="417" t="s">
        <v>28840</v>
      </c>
    </row>
    <row r="11185" spans="1:13" x14ac:dyDescent="0.25">
      <c r="A11185" s="417" t="s">
        <v>3385</v>
      </c>
      <c r="B11185" s="417" t="s">
        <v>3405</v>
      </c>
      <c r="C11185" s="417" t="s">
        <v>24866</v>
      </c>
      <c r="D11185" s="417" t="s">
        <v>224</v>
      </c>
      <c r="E11185" s="423">
        <v>3.1062304216792531E-2</v>
      </c>
      <c r="F11185" s="423">
        <v>8.0342821326648294E-4</v>
      </c>
      <c r="G11185" s="422">
        <v>76.753698897805393</v>
      </c>
      <c r="H11185" s="417" t="s">
        <v>2616</v>
      </c>
      <c r="I11185" s="417" t="s">
        <v>1392</v>
      </c>
      <c r="J11185" s="417" t="s">
        <v>8115</v>
      </c>
      <c r="K11185" s="417" t="s">
        <v>24867</v>
      </c>
      <c r="L11185" s="417"/>
      <c r="M11185" s="417" t="s">
        <v>28840</v>
      </c>
    </row>
    <row r="11186" spans="1:13" x14ac:dyDescent="0.25">
      <c r="A11186" s="417" t="s">
        <v>3385</v>
      </c>
      <c r="B11186" s="417" t="s">
        <v>3405</v>
      </c>
      <c r="C11186" s="417" t="s">
        <v>24868</v>
      </c>
      <c r="D11186" s="417" t="s">
        <v>224</v>
      </c>
      <c r="E11186" s="423">
        <v>5.5252355346293761E-2</v>
      </c>
      <c r="F11186" s="423">
        <v>1.85290161590881E-3</v>
      </c>
      <c r="G11186" s="422">
        <v>158.20042132373499</v>
      </c>
      <c r="H11186" s="417" t="s">
        <v>2616</v>
      </c>
      <c r="I11186" s="417" t="s">
        <v>1392</v>
      </c>
      <c r="J11186" s="417" t="s">
        <v>8115</v>
      </c>
      <c r="K11186" s="417" t="s">
        <v>24869</v>
      </c>
      <c r="L11186" s="417"/>
      <c r="M11186" s="417" t="s">
        <v>28840</v>
      </c>
    </row>
    <row r="11187" spans="1:13" x14ac:dyDescent="0.25">
      <c r="A11187" s="417" t="s">
        <v>3385</v>
      </c>
      <c r="B11187" s="417" t="s">
        <v>3405</v>
      </c>
      <c r="C11187" s="417" t="s">
        <v>24870</v>
      </c>
      <c r="D11187" s="417" t="s">
        <v>224</v>
      </c>
      <c r="E11187" s="423">
        <v>1.870287701616552E-2</v>
      </c>
      <c r="F11187" s="423">
        <v>0.29439040898972962</v>
      </c>
      <c r="G11187" s="422">
        <v>950.60838013314742</v>
      </c>
      <c r="H11187" s="417" t="s">
        <v>2616</v>
      </c>
      <c r="I11187" s="417" t="s">
        <v>1392</v>
      </c>
      <c r="J11187" s="417" t="s">
        <v>24849</v>
      </c>
      <c r="K11187" s="417" t="s">
        <v>24871</v>
      </c>
      <c r="L11187" s="417"/>
      <c r="M11187" s="417" t="s">
        <v>28840</v>
      </c>
    </row>
    <row r="11188" spans="1:13" x14ac:dyDescent="0.25">
      <c r="A11188" s="417" t="s">
        <v>3385</v>
      </c>
      <c r="B11188" s="417" t="s">
        <v>3405</v>
      </c>
      <c r="C11188" s="417" t="s">
        <v>24872</v>
      </c>
      <c r="D11188" s="417" t="s">
        <v>224</v>
      </c>
      <c r="E11188" s="423">
        <v>7.0898994275125984E-2</v>
      </c>
      <c r="F11188" s="423">
        <v>0.86610256688221865</v>
      </c>
      <c r="G11188" s="422">
        <v>653.84218785673011</v>
      </c>
      <c r="H11188" s="417" t="s">
        <v>2616</v>
      </c>
      <c r="I11188" s="417" t="s">
        <v>1392</v>
      </c>
      <c r="J11188" s="417" t="s">
        <v>24849</v>
      </c>
      <c r="K11188" s="417" t="s">
        <v>24873</v>
      </c>
      <c r="L11188" s="417"/>
      <c r="M11188" s="417" t="s">
        <v>28840</v>
      </c>
    </row>
    <row r="11189" spans="1:13" x14ac:dyDescent="0.25">
      <c r="A11189" s="417" t="s">
        <v>3385</v>
      </c>
      <c r="B11189" s="417" t="s">
        <v>3405</v>
      </c>
      <c r="C11189" s="417" t="s">
        <v>24874</v>
      </c>
      <c r="D11189" s="417" t="s">
        <v>224</v>
      </c>
      <c r="E11189" s="423">
        <v>0.36422091437131632</v>
      </c>
      <c r="F11189" s="423">
        <v>0.71437005659963959</v>
      </c>
      <c r="G11189" s="422">
        <v>478.84828470597051</v>
      </c>
      <c r="H11189" s="417" t="s">
        <v>2616</v>
      </c>
      <c r="I11189" s="417" t="s">
        <v>1392</v>
      </c>
      <c r="J11189" s="417" t="s">
        <v>24849</v>
      </c>
      <c r="K11189" s="417" t="s">
        <v>24875</v>
      </c>
      <c r="L11189" s="417"/>
      <c r="M11189" s="417" t="s">
        <v>28840</v>
      </c>
    </row>
    <row r="11190" spans="1:13" x14ac:dyDescent="0.25">
      <c r="A11190" s="417" t="s">
        <v>3385</v>
      </c>
      <c r="B11190" s="417" t="s">
        <v>3405</v>
      </c>
      <c r="C11190" s="417" t="s">
        <v>24876</v>
      </c>
      <c r="D11190" s="417" t="s">
        <v>224</v>
      </c>
      <c r="E11190" s="423">
        <v>0.39134411763458038</v>
      </c>
      <c r="F11190" s="423">
        <v>0.73476997656026499</v>
      </c>
      <c r="G11190" s="422">
        <v>530.66054402378097</v>
      </c>
      <c r="H11190" s="417" t="s">
        <v>2616</v>
      </c>
      <c r="I11190" s="417" t="s">
        <v>1392</v>
      </c>
      <c r="J11190" s="417" t="s">
        <v>24849</v>
      </c>
      <c r="K11190" s="417" t="s">
        <v>24877</v>
      </c>
      <c r="L11190" s="417"/>
      <c r="M11190" s="417" t="s">
        <v>28840</v>
      </c>
    </row>
    <row r="11191" spans="1:13" x14ac:dyDescent="0.25">
      <c r="A11191" s="417" t="s">
        <v>3385</v>
      </c>
      <c r="B11191" s="417" t="s">
        <v>3405</v>
      </c>
      <c r="C11191" s="417" t="s">
        <v>24878</v>
      </c>
      <c r="D11191" s="417" t="s">
        <v>224</v>
      </c>
      <c r="E11191" s="423">
        <v>0.23010666469257049</v>
      </c>
      <c r="F11191" s="423">
        <v>0.44136419766524237</v>
      </c>
      <c r="G11191" s="422">
        <v>304.09905710553278</v>
      </c>
      <c r="H11191" s="417" t="s">
        <v>2616</v>
      </c>
      <c r="I11191" s="417" t="s">
        <v>1392</v>
      </c>
      <c r="J11191" s="417" t="s">
        <v>24849</v>
      </c>
      <c r="K11191" s="417" t="s">
        <v>24879</v>
      </c>
      <c r="L11191" s="417"/>
      <c r="M11191" s="417" t="s">
        <v>28840</v>
      </c>
    </row>
    <row r="11192" spans="1:13" x14ac:dyDescent="0.25">
      <c r="A11192" s="417" t="s">
        <v>3385</v>
      </c>
      <c r="B11192" s="417" t="s">
        <v>3405</v>
      </c>
      <c r="C11192" s="417" t="s">
        <v>24880</v>
      </c>
      <c r="D11192" s="417" t="s">
        <v>224</v>
      </c>
      <c r="E11192" s="423">
        <v>0.27008943261639679</v>
      </c>
      <c r="F11192" s="423">
        <v>0.51800278928115873</v>
      </c>
      <c r="G11192" s="422">
        <v>354.83907418675221</v>
      </c>
      <c r="H11192" s="417" t="s">
        <v>2616</v>
      </c>
      <c r="I11192" s="417" t="s">
        <v>1392</v>
      </c>
      <c r="J11192" s="417" t="s">
        <v>24849</v>
      </c>
      <c r="K11192" s="417" t="s">
        <v>24881</v>
      </c>
      <c r="L11192" s="417"/>
      <c r="M11192" s="417" t="s">
        <v>28840</v>
      </c>
    </row>
    <row r="11193" spans="1:13" x14ac:dyDescent="0.25">
      <c r="A11193" s="417" t="s">
        <v>3385</v>
      </c>
      <c r="B11193" s="417" t="s">
        <v>3405</v>
      </c>
      <c r="C11193" s="417" t="s">
        <v>24882</v>
      </c>
      <c r="D11193" s="417" t="s">
        <v>224</v>
      </c>
      <c r="E11193" s="423">
        <v>0.13953398598150199</v>
      </c>
      <c r="F11193" s="423">
        <v>4.6454508562276207E-3</v>
      </c>
      <c r="G11193" s="422">
        <v>383.34166165724952</v>
      </c>
      <c r="H11193" s="417" t="s">
        <v>2616</v>
      </c>
      <c r="I11193" s="417" t="s">
        <v>1392</v>
      </c>
      <c r="J11193" s="417" t="s">
        <v>24883</v>
      </c>
      <c r="K11193" s="417" t="s">
        <v>24884</v>
      </c>
      <c r="L11193" s="417"/>
      <c r="M11193" s="417" t="s">
        <v>28840</v>
      </c>
    </row>
    <row r="11194" spans="1:13" x14ac:dyDescent="0.25">
      <c r="A11194" s="417" t="s">
        <v>3385</v>
      </c>
      <c r="B11194" s="417" t="s">
        <v>3405</v>
      </c>
      <c r="C11194" s="417" t="s">
        <v>24885</v>
      </c>
      <c r="D11194" s="417" t="s">
        <v>224</v>
      </c>
      <c r="E11194" s="423">
        <v>6.7707468546228708E-2</v>
      </c>
      <c r="F11194" s="423">
        <v>2.254145713144248E-3</v>
      </c>
      <c r="G11194" s="422">
        <v>186.01214258678479</v>
      </c>
      <c r="H11194" s="417" t="s">
        <v>2616</v>
      </c>
      <c r="I11194" s="417" t="s">
        <v>1392</v>
      </c>
      <c r="J11194" s="417" t="s">
        <v>24883</v>
      </c>
      <c r="K11194" s="417" t="s">
        <v>24886</v>
      </c>
      <c r="L11194" s="417"/>
      <c r="M11194" s="417" t="s">
        <v>28840</v>
      </c>
    </row>
    <row r="11195" spans="1:13" x14ac:dyDescent="0.25">
      <c r="A11195" s="417" t="s">
        <v>3385</v>
      </c>
      <c r="B11195" s="417" t="s">
        <v>3405</v>
      </c>
      <c r="C11195" s="417" t="s">
        <v>24887</v>
      </c>
      <c r="D11195" s="417" t="s">
        <v>224</v>
      </c>
      <c r="E11195" s="423">
        <v>0.1747801439726378</v>
      </c>
      <c r="F11195" s="423">
        <v>8.106266869822961E-3</v>
      </c>
      <c r="G11195" s="422">
        <v>810.24554044149136</v>
      </c>
      <c r="H11195" s="417" t="s">
        <v>2616</v>
      </c>
      <c r="I11195" s="417" t="s">
        <v>1392</v>
      </c>
      <c r="J11195" s="417" t="s">
        <v>24883</v>
      </c>
      <c r="K11195" s="417" t="s">
        <v>24888</v>
      </c>
      <c r="L11195" s="417"/>
      <c r="M11195" s="417" t="s">
        <v>28840</v>
      </c>
    </row>
    <row r="11196" spans="1:13" x14ac:dyDescent="0.25">
      <c r="A11196" s="417" t="s">
        <v>3385</v>
      </c>
      <c r="B11196" s="417" t="s">
        <v>3405</v>
      </c>
      <c r="C11196" s="417" t="s">
        <v>24889</v>
      </c>
      <c r="D11196" s="417" t="s">
        <v>224</v>
      </c>
      <c r="E11196" s="423">
        <v>5.0687688896995063E-3</v>
      </c>
      <c r="F11196" s="423">
        <v>1.617543830244587E-4</v>
      </c>
      <c r="G11196" s="422">
        <v>21.77522802692463</v>
      </c>
      <c r="H11196" s="417" t="s">
        <v>2616</v>
      </c>
      <c r="I11196" s="417" t="s">
        <v>1392</v>
      </c>
      <c r="J11196" s="417" t="s">
        <v>24890</v>
      </c>
      <c r="K11196" s="417" t="s">
        <v>24891</v>
      </c>
      <c r="L11196" s="417"/>
      <c r="M11196" s="417" t="s">
        <v>28840</v>
      </c>
    </row>
    <row r="11197" spans="1:13" x14ac:dyDescent="0.25">
      <c r="A11197" s="417" t="s">
        <v>3385</v>
      </c>
      <c r="B11197" s="417" t="s">
        <v>3405</v>
      </c>
      <c r="C11197" s="417" t="s">
        <v>24892</v>
      </c>
      <c r="D11197" s="417" t="s">
        <v>224</v>
      </c>
      <c r="E11197" s="423">
        <v>0.7501008104798067</v>
      </c>
      <c r="F11197" s="423">
        <v>3.2633732288893142E-3</v>
      </c>
      <c r="G11197" s="422">
        <v>942.48797119652431</v>
      </c>
      <c r="H11197" s="417" t="s">
        <v>2616</v>
      </c>
      <c r="I11197" s="417" t="s">
        <v>1392</v>
      </c>
      <c r="J11197" s="417" t="s">
        <v>24607</v>
      </c>
      <c r="K11197" s="417" t="s">
        <v>24893</v>
      </c>
      <c r="L11197" s="417"/>
      <c r="M11197" s="417" t="s">
        <v>28840</v>
      </c>
    </row>
    <row r="11198" spans="1:13" x14ac:dyDescent="0.25">
      <c r="A11198" s="417" t="s">
        <v>3385</v>
      </c>
      <c r="B11198" s="417" t="s">
        <v>3405</v>
      </c>
      <c r="C11198" s="417" t="s">
        <v>24894</v>
      </c>
      <c r="D11198" s="417" t="s">
        <v>224</v>
      </c>
      <c r="E11198" s="423">
        <v>0.76183723005835746</v>
      </c>
      <c r="F11198" s="423">
        <v>4.1033933126685381E-3</v>
      </c>
      <c r="G11198" s="422">
        <v>974.01149276595606</v>
      </c>
      <c r="H11198" s="417" t="s">
        <v>2616</v>
      </c>
      <c r="I11198" s="417" t="s">
        <v>1392</v>
      </c>
      <c r="J11198" s="417" t="s">
        <v>24607</v>
      </c>
      <c r="K11198" s="417" t="s">
        <v>24895</v>
      </c>
      <c r="L11198" s="417"/>
      <c r="M11198" s="417" t="s">
        <v>28840</v>
      </c>
    </row>
    <row r="11199" spans="1:13" x14ac:dyDescent="0.25">
      <c r="A11199" s="417" t="s">
        <v>3385</v>
      </c>
      <c r="B11199" s="417" t="s">
        <v>3405</v>
      </c>
      <c r="C11199" s="417" t="s">
        <v>24896</v>
      </c>
      <c r="D11199" s="417" t="s">
        <v>224</v>
      </c>
      <c r="E11199" s="423">
        <v>0.45275297873470088</v>
      </c>
      <c r="F11199" s="423">
        <v>2.2718881393825568E-3</v>
      </c>
      <c r="G11199" s="422">
        <v>570.5297128537444</v>
      </c>
      <c r="H11199" s="417" t="s">
        <v>2616</v>
      </c>
      <c r="I11199" s="417" t="s">
        <v>1392</v>
      </c>
      <c r="J11199" s="417" t="s">
        <v>24607</v>
      </c>
      <c r="K11199" s="417" t="s">
        <v>24897</v>
      </c>
      <c r="L11199" s="417"/>
      <c r="M11199" s="417" t="s">
        <v>28840</v>
      </c>
    </row>
    <row r="11200" spans="1:13" x14ac:dyDescent="0.25">
      <c r="A11200" s="417" t="s">
        <v>3385</v>
      </c>
      <c r="B11200" s="417" t="s">
        <v>3405</v>
      </c>
      <c r="C11200" s="417" t="s">
        <v>24898</v>
      </c>
      <c r="D11200" s="417" t="s">
        <v>224</v>
      </c>
      <c r="E11200" s="423">
        <v>0.53139627954616975</v>
      </c>
      <c r="F11200" s="423">
        <v>2.6849863360270108E-3</v>
      </c>
      <c r="G11200" s="422">
        <v>667.53145412052925</v>
      </c>
      <c r="H11200" s="417" t="s">
        <v>2616</v>
      </c>
      <c r="I11200" s="417" t="s">
        <v>1392</v>
      </c>
      <c r="J11200" s="417" t="s">
        <v>24607</v>
      </c>
      <c r="K11200" s="417" t="s">
        <v>24899</v>
      </c>
      <c r="L11200" s="417"/>
      <c r="M11200" s="417" t="s">
        <v>28840</v>
      </c>
    </row>
    <row r="11201" spans="1:13" x14ac:dyDescent="0.25">
      <c r="A11201" s="417" t="s">
        <v>3385</v>
      </c>
      <c r="B11201" s="417" t="s">
        <v>3405</v>
      </c>
      <c r="C11201" s="417" t="s">
        <v>24900</v>
      </c>
      <c r="D11201" s="417" t="s">
        <v>224</v>
      </c>
      <c r="E11201" s="423">
        <v>0.82104830742149837</v>
      </c>
      <c r="F11201" s="423">
        <v>1.720583498474112E-3</v>
      </c>
      <c r="G11201" s="422">
        <v>1084.947489490663</v>
      </c>
      <c r="H11201" s="417" t="s">
        <v>2616</v>
      </c>
      <c r="I11201" s="417" t="s">
        <v>1392</v>
      </c>
      <c r="J11201" s="417" t="s">
        <v>24901</v>
      </c>
      <c r="K11201" s="417" t="s">
        <v>24902</v>
      </c>
      <c r="L11201" s="417"/>
      <c r="M11201" s="417" t="s">
        <v>28840</v>
      </c>
    </row>
    <row r="11202" spans="1:13" x14ac:dyDescent="0.25">
      <c r="A11202" s="417" t="s">
        <v>3385</v>
      </c>
      <c r="B11202" s="417" t="s">
        <v>3405</v>
      </c>
      <c r="C11202" s="417" t="s">
        <v>24903</v>
      </c>
      <c r="D11202" s="417" t="s">
        <v>224</v>
      </c>
      <c r="E11202" s="423">
        <v>0.8632282060669455</v>
      </c>
      <c r="F11202" s="423">
        <v>1.171580184088942E-3</v>
      </c>
      <c r="G11202" s="422">
        <v>1064.8786442930541</v>
      </c>
      <c r="H11202" s="417" t="s">
        <v>2616</v>
      </c>
      <c r="I11202" s="417" t="s">
        <v>1392</v>
      </c>
      <c r="J11202" s="417" t="s">
        <v>8253</v>
      </c>
      <c r="K11202" s="417" t="s">
        <v>24904</v>
      </c>
      <c r="L11202" s="417"/>
      <c r="M11202" s="417" t="s">
        <v>28840</v>
      </c>
    </row>
    <row r="11203" spans="1:13" x14ac:dyDescent="0.25">
      <c r="A11203" s="417" t="s">
        <v>3385</v>
      </c>
      <c r="B11203" s="417" t="s">
        <v>3405</v>
      </c>
      <c r="C11203" s="417" t="s">
        <v>24905</v>
      </c>
      <c r="D11203" s="417" t="s">
        <v>224</v>
      </c>
      <c r="E11203" s="423">
        <v>0.66758462485809955</v>
      </c>
      <c r="F11203" s="423">
        <v>1.38188595940138E-3</v>
      </c>
      <c r="G11203" s="422">
        <v>844.17574744570857</v>
      </c>
      <c r="H11203" s="417" t="s">
        <v>2616</v>
      </c>
      <c r="I11203" s="417" t="s">
        <v>1392</v>
      </c>
      <c r="J11203" s="417" t="s">
        <v>24901</v>
      </c>
      <c r="K11203" s="417" t="s">
        <v>24906</v>
      </c>
      <c r="L11203" s="417"/>
      <c r="M11203" s="417" t="s">
        <v>28840</v>
      </c>
    </row>
    <row r="11204" spans="1:13" x14ac:dyDescent="0.25">
      <c r="A11204" s="417" t="s">
        <v>3385</v>
      </c>
      <c r="B11204" s="417" t="s">
        <v>3405</v>
      </c>
      <c r="C11204" s="417" t="s">
        <v>24907</v>
      </c>
      <c r="D11204" s="417" t="s">
        <v>224</v>
      </c>
      <c r="E11204" s="423">
        <v>0.93762681156345196</v>
      </c>
      <c r="F11204" s="423">
        <v>1.950897825008923E-3</v>
      </c>
      <c r="G11204" s="422">
        <v>1194.2338778026131</v>
      </c>
      <c r="H11204" s="417" t="s">
        <v>2616</v>
      </c>
      <c r="I11204" s="417" t="s">
        <v>1392</v>
      </c>
      <c r="J11204" s="417" t="s">
        <v>24901</v>
      </c>
      <c r="K11204" s="417" t="s">
        <v>24908</v>
      </c>
      <c r="L11204" s="417"/>
      <c r="M11204" s="417" t="s">
        <v>28840</v>
      </c>
    </row>
    <row r="11205" spans="1:13" x14ac:dyDescent="0.25">
      <c r="A11205" s="417" t="s">
        <v>3385</v>
      </c>
      <c r="B11205" s="417" t="s">
        <v>3405</v>
      </c>
      <c r="C11205" s="417" t="s">
        <v>24909</v>
      </c>
      <c r="D11205" s="417" t="s">
        <v>224</v>
      </c>
      <c r="E11205" s="423">
        <v>0.8312083074214982</v>
      </c>
      <c r="F11205" s="423">
        <v>1.720583498474112E-3</v>
      </c>
      <c r="G11205" s="422">
        <v>1057.3840698906631</v>
      </c>
      <c r="H11205" s="417" t="s">
        <v>2616</v>
      </c>
      <c r="I11205" s="417" t="s">
        <v>1392</v>
      </c>
      <c r="J11205" s="417" t="s">
        <v>24901</v>
      </c>
      <c r="K11205" s="417" t="s">
        <v>24910</v>
      </c>
      <c r="L11205" s="417"/>
      <c r="M11205" s="417" t="s">
        <v>28840</v>
      </c>
    </row>
    <row r="11206" spans="1:13" x14ac:dyDescent="0.25">
      <c r="A11206" s="417" t="s">
        <v>3385</v>
      </c>
      <c r="B11206" s="417" t="s">
        <v>3405</v>
      </c>
      <c r="C11206" s="417" t="s">
        <v>24911</v>
      </c>
      <c r="D11206" s="417" t="s">
        <v>224</v>
      </c>
      <c r="E11206" s="423">
        <v>0.60203857381532955</v>
      </c>
      <c r="F11206" s="423">
        <v>2.117895020307427E-3</v>
      </c>
      <c r="G11206" s="422">
        <v>754.82786408012134</v>
      </c>
      <c r="H11206" s="417" t="s">
        <v>2616</v>
      </c>
      <c r="I11206" s="417" t="s">
        <v>1392</v>
      </c>
      <c r="J11206" s="417" t="s">
        <v>8253</v>
      </c>
      <c r="K11206" s="417" t="s">
        <v>24912</v>
      </c>
      <c r="L11206" s="417"/>
      <c r="M11206" s="417" t="s">
        <v>28840</v>
      </c>
    </row>
    <row r="11207" spans="1:13" x14ac:dyDescent="0.25">
      <c r="A11207" s="417" t="s">
        <v>3385</v>
      </c>
      <c r="B11207" s="417" t="s">
        <v>3405</v>
      </c>
      <c r="C11207" s="417" t="s">
        <v>24913</v>
      </c>
      <c r="D11207" s="417" t="s">
        <v>224</v>
      </c>
      <c r="E11207" s="423">
        <v>0.6872194667664332</v>
      </c>
      <c r="F11207" s="423">
        <v>1.422529664106764E-3</v>
      </c>
      <c r="G11207" s="422">
        <v>865.90068789695385</v>
      </c>
      <c r="H11207" s="417" t="s">
        <v>2616</v>
      </c>
      <c r="I11207" s="417" t="s">
        <v>1392</v>
      </c>
      <c r="J11207" s="417" t="s">
        <v>24901</v>
      </c>
      <c r="K11207" s="417" t="s">
        <v>24914</v>
      </c>
      <c r="L11207" s="417"/>
      <c r="M11207" s="417" t="s">
        <v>28840</v>
      </c>
    </row>
    <row r="11208" spans="1:13" x14ac:dyDescent="0.25">
      <c r="A11208" s="417" t="s">
        <v>3385</v>
      </c>
      <c r="B11208" s="417" t="s">
        <v>3405</v>
      </c>
      <c r="C11208" s="417" t="s">
        <v>24915</v>
      </c>
      <c r="D11208" s="417" t="s">
        <v>224</v>
      </c>
      <c r="E11208" s="423">
        <v>0.71230925597280015</v>
      </c>
      <c r="F11208" s="423">
        <v>1.47672127006094E-3</v>
      </c>
      <c r="G11208" s="422">
        <v>900.96792916493018</v>
      </c>
      <c r="H11208" s="417" t="s">
        <v>2616</v>
      </c>
      <c r="I11208" s="417" t="s">
        <v>1392</v>
      </c>
      <c r="J11208" s="417" t="s">
        <v>24901</v>
      </c>
      <c r="K11208" s="417" t="s">
        <v>24916</v>
      </c>
      <c r="L11208" s="417"/>
      <c r="M11208" s="417" t="s">
        <v>28840</v>
      </c>
    </row>
    <row r="11209" spans="1:13" x14ac:dyDescent="0.25">
      <c r="A11209" s="417" t="s">
        <v>3385</v>
      </c>
      <c r="B11209" s="417" t="s">
        <v>3405</v>
      </c>
      <c r="C11209" s="417" t="s">
        <v>24917</v>
      </c>
      <c r="D11209" s="417" t="s">
        <v>224</v>
      </c>
      <c r="E11209" s="423">
        <v>0.66758462485809955</v>
      </c>
      <c r="F11209" s="423">
        <v>1.38188595940138E-3</v>
      </c>
      <c r="G11209" s="422">
        <v>846.16511464570863</v>
      </c>
      <c r="H11209" s="417" t="s">
        <v>2616</v>
      </c>
      <c r="I11209" s="417" t="s">
        <v>1392</v>
      </c>
      <c r="J11209" s="417" t="s">
        <v>24901</v>
      </c>
      <c r="K11209" s="417" t="s">
        <v>24918</v>
      </c>
      <c r="L11209" s="417"/>
      <c r="M11209" s="417" t="s">
        <v>28840</v>
      </c>
    </row>
    <row r="11210" spans="1:13" x14ac:dyDescent="0.25">
      <c r="A11210" s="417" t="s">
        <v>3385</v>
      </c>
      <c r="B11210" s="417" t="s">
        <v>3405</v>
      </c>
      <c r="C11210" s="417" t="s">
        <v>24919</v>
      </c>
      <c r="D11210" s="417" t="s">
        <v>224</v>
      </c>
      <c r="E11210" s="423">
        <v>0.66305967755516604</v>
      </c>
      <c r="F11210" s="423">
        <v>1.3683380577275909E-3</v>
      </c>
      <c r="G11210" s="422">
        <v>844.8282782220266</v>
      </c>
      <c r="H11210" s="417" t="s">
        <v>2616</v>
      </c>
      <c r="I11210" s="417" t="s">
        <v>1392</v>
      </c>
      <c r="J11210" s="417" t="s">
        <v>24901</v>
      </c>
      <c r="K11210" s="417" t="s">
        <v>24920</v>
      </c>
      <c r="L11210" s="417"/>
      <c r="M11210" s="417" t="s">
        <v>28840</v>
      </c>
    </row>
    <row r="11211" spans="1:13" x14ac:dyDescent="0.25">
      <c r="A11211" s="417" t="s">
        <v>3385</v>
      </c>
      <c r="B11211" s="417" t="s">
        <v>3405</v>
      </c>
      <c r="C11211" s="417" t="s">
        <v>24921</v>
      </c>
      <c r="D11211" s="417" t="s">
        <v>224</v>
      </c>
      <c r="E11211" s="423">
        <v>0.69004941960006971</v>
      </c>
      <c r="F11211" s="423">
        <v>2.376832748393203E-3</v>
      </c>
      <c r="G11211" s="422">
        <v>865.20533142790885</v>
      </c>
      <c r="H11211" s="417" t="s">
        <v>2616</v>
      </c>
      <c r="I11211" s="417" t="s">
        <v>1392</v>
      </c>
      <c r="J11211" s="417" t="s">
        <v>8253</v>
      </c>
      <c r="K11211" s="417" t="s">
        <v>24922</v>
      </c>
      <c r="L11211" s="417"/>
      <c r="M11211" s="417" t="s">
        <v>28840</v>
      </c>
    </row>
    <row r="11212" spans="1:13" x14ac:dyDescent="0.25">
      <c r="A11212" s="417" t="s">
        <v>3385</v>
      </c>
      <c r="B11212" s="417" t="s">
        <v>3405</v>
      </c>
      <c r="C11212" s="417" t="s">
        <v>24923</v>
      </c>
      <c r="D11212" s="417" t="s">
        <v>224</v>
      </c>
      <c r="E11212" s="423">
        <v>0.67963451946298792</v>
      </c>
      <c r="F11212" s="423">
        <v>1.4089817625011079E-3</v>
      </c>
      <c r="G11212" s="422">
        <v>860.01768508390467</v>
      </c>
      <c r="H11212" s="417" t="s">
        <v>2616</v>
      </c>
      <c r="I11212" s="417" t="s">
        <v>1392</v>
      </c>
      <c r="J11212" s="417" t="s">
        <v>24901</v>
      </c>
      <c r="K11212" s="417" t="s">
        <v>24924</v>
      </c>
      <c r="L11212" s="417"/>
      <c r="M11212" s="417" t="s">
        <v>28840</v>
      </c>
    </row>
    <row r="11213" spans="1:13" x14ac:dyDescent="0.25">
      <c r="A11213" s="417" t="s">
        <v>3385</v>
      </c>
      <c r="B11213" s="417" t="s">
        <v>3405</v>
      </c>
      <c r="C11213" s="417" t="s">
        <v>24925</v>
      </c>
      <c r="D11213" s="417" t="s">
        <v>224</v>
      </c>
      <c r="E11213" s="423">
        <v>0.77577657172412551</v>
      </c>
      <c r="F11213" s="423">
        <v>1.366421832289797E-3</v>
      </c>
      <c r="G11213" s="422">
        <v>1000.707363104042</v>
      </c>
      <c r="H11213" s="417" t="s">
        <v>2616</v>
      </c>
      <c r="I11213" s="417" t="s">
        <v>1392</v>
      </c>
      <c r="J11213" s="417" t="s">
        <v>24901</v>
      </c>
      <c r="K11213" s="417" t="s">
        <v>24926</v>
      </c>
      <c r="L11213" s="417"/>
      <c r="M11213" s="417" t="s">
        <v>28840</v>
      </c>
    </row>
    <row r="11214" spans="1:13" x14ac:dyDescent="0.25">
      <c r="A11214" s="417" t="s">
        <v>3385</v>
      </c>
      <c r="B11214" s="417" t="s">
        <v>3405</v>
      </c>
      <c r="C11214" s="417" t="s">
        <v>24927</v>
      </c>
      <c r="D11214" s="417" t="s">
        <v>224</v>
      </c>
      <c r="E11214" s="423">
        <v>5.649157751315281E-3</v>
      </c>
      <c r="F11214" s="423">
        <v>2.7686737930209692E-4</v>
      </c>
      <c r="G11214" s="422">
        <v>522.48997774219959</v>
      </c>
      <c r="H11214" s="417" t="s">
        <v>2616</v>
      </c>
      <c r="I11214" s="417" t="s">
        <v>1392</v>
      </c>
      <c r="J11214" s="417" t="s">
        <v>24928</v>
      </c>
      <c r="K11214" s="417" t="s">
        <v>24929</v>
      </c>
      <c r="L11214" s="417"/>
      <c r="M11214" s="417" t="s">
        <v>28840</v>
      </c>
    </row>
    <row r="11215" spans="1:13" x14ac:dyDescent="0.25">
      <c r="A11215" s="417" t="s">
        <v>3385</v>
      </c>
      <c r="B11215" s="417" t="s">
        <v>3405</v>
      </c>
      <c r="C11215" s="417" t="s">
        <v>24930</v>
      </c>
      <c r="D11215" s="417" t="s">
        <v>224</v>
      </c>
      <c r="E11215" s="423">
        <v>0.10552609143150619</v>
      </c>
      <c r="F11215" s="423">
        <v>1.2188300438007971</v>
      </c>
      <c r="G11215" s="422">
        <v>343.15158406713942</v>
      </c>
      <c r="H11215" s="417" t="s">
        <v>2616</v>
      </c>
      <c r="I11215" s="417" t="s">
        <v>1392</v>
      </c>
      <c r="J11215" s="417" t="s">
        <v>24849</v>
      </c>
      <c r="K11215" s="417" t="s">
        <v>24931</v>
      </c>
      <c r="L11215" s="417"/>
      <c r="M11215" s="417" t="s">
        <v>28840</v>
      </c>
    </row>
    <row r="11216" spans="1:13" x14ac:dyDescent="0.25">
      <c r="A11216" s="417" t="s">
        <v>3385</v>
      </c>
      <c r="B11216" s="417" t="s">
        <v>3405</v>
      </c>
      <c r="C11216" s="417" t="s">
        <v>24932</v>
      </c>
      <c r="D11216" s="417" t="s">
        <v>224</v>
      </c>
      <c r="E11216" s="423">
        <v>3.9146037841911653E-2</v>
      </c>
      <c r="F11216" s="423">
        <v>0.5027080582152641</v>
      </c>
      <c r="G11216" s="422">
        <v>95.123767427357848</v>
      </c>
      <c r="H11216" s="417" t="s">
        <v>2616</v>
      </c>
      <c r="I11216" s="417" t="s">
        <v>1392</v>
      </c>
      <c r="J11216" s="417" t="s">
        <v>24933</v>
      </c>
      <c r="K11216" s="417" t="s">
        <v>24934</v>
      </c>
      <c r="L11216" s="417"/>
      <c r="M11216" s="417" t="s">
        <v>28840</v>
      </c>
    </row>
    <row r="11217" spans="1:13" x14ac:dyDescent="0.25">
      <c r="A11217" s="417" t="s">
        <v>3385</v>
      </c>
      <c r="B11217" s="417" t="s">
        <v>3405</v>
      </c>
      <c r="C11217" s="417" t="s">
        <v>24935</v>
      </c>
      <c r="D11217" s="417" t="s">
        <v>88</v>
      </c>
      <c r="E11217" s="423">
        <v>4.5353587284047273E-2</v>
      </c>
      <c r="F11217" s="423">
        <v>0.36857845137253209</v>
      </c>
      <c r="G11217" s="422">
        <v>105.89491298646939</v>
      </c>
      <c r="H11217" s="417" t="s">
        <v>2616</v>
      </c>
      <c r="I11217" s="417" t="s">
        <v>1392</v>
      </c>
      <c r="J11217" s="417" t="s">
        <v>24936</v>
      </c>
      <c r="K11217" s="417" t="s">
        <v>24937</v>
      </c>
      <c r="L11217" s="417"/>
      <c r="M11217" s="417" t="s">
        <v>28840</v>
      </c>
    </row>
    <row r="11218" spans="1:13" x14ac:dyDescent="0.25">
      <c r="A11218" s="417" t="s">
        <v>3385</v>
      </c>
      <c r="B11218" s="417" t="s">
        <v>2627</v>
      </c>
      <c r="C11218" s="417" t="s">
        <v>24938</v>
      </c>
      <c r="D11218" s="417" t="s">
        <v>88</v>
      </c>
      <c r="E11218" s="423">
        <v>2.1603131394250479</v>
      </c>
      <c r="F11218" s="423">
        <v>0.10736921067256371</v>
      </c>
      <c r="G11218" s="422">
        <v>4660.448184418613</v>
      </c>
      <c r="H11218" s="417" t="s">
        <v>2616</v>
      </c>
      <c r="I11218" s="417" t="s">
        <v>1392</v>
      </c>
      <c r="J11218" s="417" t="s">
        <v>24939</v>
      </c>
      <c r="K11218" s="417" t="s">
        <v>24940</v>
      </c>
      <c r="L11218" s="417"/>
      <c r="M11218" s="417" t="s">
        <v>28840</v>
      </c>
    </row>
    <row r="11219" spans="1:13" x14ac:dyDescent="0.25">
      <c r="A11219" s="417" t="s">
        <v>3385</v>
      </c>
      <c r="B11219" s="417" t="s">
        <v>2627</v>
      </c>
      <c r="C11219" s="417" t="s">
        <v>24941</v>
      </c>
      <c r="D11219" s="417" t="s">
        <v>88</v>
      </c>
      <c r="E11219" s="423">
        <v>10.889328286557991</v>
      </c>
      <c r="F11219" s="423">
        <v>0.2446655174943507</v>
      </c>
      <c r="G11219" s="422">
        <v>21791.30639013317</v>
      </c>
      <c r="H11219" s="417" t="s">
        <v>2616</v>
      </c>
      <c r="I11219" s="417" t="s">
        <v>1392</v>
      </c>
      <c r="J11219" s="417" t="s">
        <v>24939</v>
      </c>
      <c r="K11219" s="417" t="s">
        <v>24942</v>
      </c>
      <c r="L11219" s="417"/>
      <c r="M11219" s="417" t="s">
        <v>28840</v>
      </c>
    </row>
    <row r="11220" spans="1:13" x14ac:dyDescent="0.25">
      <c r="A11220" s="417" t="s">
        <v>3385</v>
      </c>
      <c r="B11220" s="417" t="s">
        <v>2623</v>
      </c>
      <c r="C11220" s="417" t="s">
        <v>24943</v>
      </c>
      <c r="D11220" s="417" t="s">
        <v>88</v>
      </c>
      <c r="E11220" s="423">
        <v>0</v>
      </c>
      <c r="F11220" s="423">
        <v>0</v>
      </c>
      <c r="G11220" s="422">
        <v>0</v>
      </c>
      <c r="H11220" s="417" t="s">
        <v>2616</v>
      </c>
      <c r="I11220" s="417" t="s">
        <v>1392</v>
      </c>
      <c r="J11220" s="417" t="s">
        <v>24450</v>
      </c>
      <c r="K11220" s="417" t="s">
        <v>24944</v>
      </c>
      <c r="L11220" s="417"/>
      <c r="M11220" s="417" t="s">
        <v>28840</v>
      </c>
    </row>
    <row r="11221" spans="1:13" x14ac:dyDescent="0.25">
      <c r="A11221" s="417" t="s">
        <v>3385</v>
      </c>
      <c r="B11221" s="417" t="s">
        <v>3655</v>
      </c>
      <c r="C11221" s="417" t="s">
        <v>24945</v>
      </c>
      <c r="D11221" s="417" t="s">
        <v>73</v>
      </c>
      <c r="E11221" s="423">
        <v>1.709923931234289E-2</v>
      </c>
      <c r="F11221" s="423">
        <v>2.5001687718784909E-3</v>
      </c>
      <c r="G11221" s="422">
        <v>64.227156262742525</v>
      </c>
      <c r="H11221" s="417" t="s">
        <v>2616</v>
      </c>
      <c r="I11221" s="417" t="s">
        <v>1392</v>
      </c>
      <c r="J11221" s="417" t="s">
        <v>24946</v>
      </c>
      <c r="K11221" s="417" t="s">
        <v>24947</v>
      </c>
      <c r="L11221" s="417"/>
      <c r="M11221" s="417" t="s">
        <v>28840</v>
      </c>
    </row>
    <row r="11222" spans="1:13" x14ac:dyDescent="0.25">
      <c r="A11222" s="417" t="s">
        <v>3385</v>
      </c>
      <c r="B11222" s="417" t="s">
        <v>3655</v>
      </c>
      <c r="C11222" s="417" t="s">
        <v>24948</v>
      </c>
      <c r="D11222" s="417" t="s">
        <v>73</v>
      </c>
      <c r="E11222" s="423">
        <v>2.0181754033065661E-2</v>
      </c>
      <c r="F11222" s="423">
        <v>2.610429102034214E-3</v>
      </c>
      <c r="G11222" s="422">
        <v>75.582986232982591</v>
      </c>
      <c r="H11222" s="417" t="s">
        <v>2616</v>
      </c>
      <c r="I11222" s="417" t="s">
        <v>1392</v>
      </c>
      <c r="J11222" s="417" t="s">
        <v>24946</v>
      </c>
      <c r="K11222" s="417" t="s">
        <v>24949</v>
      </c>
      <c r="L11222" s="417"/>
      <c r="M11222" s="417" t="s">
        <v>28840</v>
      </c>
    </row>
    <row r="11223" spans="1:13" x14ac:dyDescent="0.25">
      <c r="A11223" s="417" t="s">
        <v>3385</v>
      </c>
      <c r="B11223" s="417" t="s">
        <v>3655</v>
      </c>
      <c r="C11223" s="417" t="s">
        <v>24950</v>
      </c>
      <c r="D11223" s="417" t="s">
        <v>73</v>
      </c>
      <c r="E11223" s="423">
        <v>2.010743849755349E-2</v>
      </c>
      <c r="F11223" s="423">
        <v>2.766897315957491E-3</v>
      </c>
      <c r="G11223" s="422">
        <v>70.210751361647596</v>
      </c>
      <c r="H11223" s="417" t="s">
        <v>2616</v>
      </c>
      <c r="I11223" s="417" t="s">
        <v>1392</v>
      </c>
      <c r="J11223" s="417" t="s">
        <v>24946</v>
      </c>
      <c r="K11223" s="417" t="s">
        <v>24951</v>
      </c>
      <c r="L11223" s="417"/>
      <c r="M11223" s="417" t="s">
        <v>28840</v>
      </c>
    </row>
    <row r="11224" spans="1:13" x14ac:dyDescent="0.25">
      <c r="A11224" s="417" t="s">
        <v>3385</v>
      </c>
      <c r="B11224" s="417" t="s">
        <v>3655</v>
      </c>
      <c r="C11224" s="417" t="s">
        <v>24952</v>
      </c>
      <c r="D11224" s="417" t="s">
        <v>73</v>
      </c>
      <c r="E11224" s="423">
        <v>1.9574122371345572E-2</v>
      </c>
      <c r="F11224" s="423">
        <v>3.166281305375863E-3</v>
      </c>
      <c r="G11224" s="422">
        <v>74.458081396656809</v>
      </c>
      <c r="H11224" s="417" t="s">
        <v>2616</v>
      </c>
      <c r="I11224" s="417" t="s">
        <v>1392</v>
      </c>
      <c r="J11224" s="417" t="s">
        <v>24946</v>
      </c>
      <c r="K11224" s="417" t="s">
        <v>24953</v>
      </c>
      <c r="L11224" s="417"/>
      <c r="M11224" s="417" t="s">
        <v>28840</v>
      </c>
    </row>
    <row r="11225" spans="1:13" x14ac:dyDescent="0.25">
      <c r="A11225" s="417" t="s">
        <v>3385</v>
      </c>
      <c r="B11225" s="417" t="s">
        <v>3655</v>
      </c>
      <c r="C11225" s="417" t="s">
        <v>24954</v>
      </c>
      <c r="D11225" s="417" t="s">
        <v>73</v>
      </c>
      <c r="E11225" s="423">
        <v>2.3189888788214839E-2</v>
      </c>
      <c r="F11225" s="423">
        <v>2.877149234477691E-3</v>
      </c>
      <c r="G11225" s="422">
        <v>81.566484554866747</v>
      </c>
      <c r="H11225" s="417" t="s">
        <v>2616</v>
      </c>
      <c r="I11225" s="417" t="s">
        <v>1392</v>
      </c>
      <c r="J11225" s="417" t="s">
        <v>24946</v>
      </c>
      <c r="K11225" s="417" t="s">
        <v>24955</v>
      </c>
      <c r="L11225" s="417"/>
      <c r="M11225" s="417" t="s">
        <v>28840</v>
      </c>
    </row>
    <row r="11226" spans="1:13" x14ac:dyDescent="0.25">
      <c r="A11226" s="417" t="s">
        <v>3385</v>
      </c>
      <c r="B11226" s="417" t="s">
        <v>3655</v>
      </c>
      <c r="C11226" s="417" t="s">
        <v>24956</v>
      </c>
      <c r="D11226" s="417" t="s">
        <v>73</v>
      </c>
      <c r="E11226" s="423">
        <v>2.295362275348338E-2</v>
      </c>
      <c r="F11226" s="423">
        <v>3.2871601379422899E-3</v>
      </c>
      <c r="G11226" s="422">
        <v>86.908042720027282</v>
      </c>
      <c r="H11226" s="417" t="s">
        <v>2616</v>
      </c>
      <c r="I11226" s="417" t="s">
        <v>1392</v>
      </c>
      <c r="J11226" s="417" t="s">
        <v>24946</v>
      </c>
      <c r="K11226" s="417" t="s">
        <v>24957</v>
      </c>
      <c r="L11226" s="417"/>
      <c r="M11226" s="417" t="s">
        <v>28840</v>
      </c>
    </row>
    <row r="11227" spans="1:13" x14ac:dyDescent="0.25">
      <c r="A11227" s="417" t="s">
        <v>3385</v>
      </c>
      <c r="B11227" s="417" t="s">
        <v>2627</v>
      </c>
      <c r="C11227" s="417" t="s">
        <v>24958</v>
      </c>
      <c r="D11227" s="417" t="s">
        <v>88</v>
      </c>
      <c r="E11227" s="423">
        <v>2.3339741522438691</v>
      </c>
      <c r="F11227" s="423">
        <v>1.5617013890134921</v>
      </c>
      <c r="G11227" s="422">
        <v>8303.2874312221265</v>
      </c>
      <c r="H11227" s="417" t="s">
        <v>2616</v>
      </c>
      <c r="I11227" s="417" t="s">
        <v>1392</v>
      </c>
      <c r="J11227" s="417" t="s">
        <v>24959</v>
      </c>
      <c r="K11227" s="417" t="s">
        <v>24960</v>
      </c>
      <c r="L11227" s="417"/>
      <c r="M11227" s="417" t="s">
        <v>28840</v>
      </c>
    </row>
    <row r="11228" spans="1:13" x14ac:dyDescent="0.25">
      <c r="A11228" s="417" t="s">
        <v>3385</v>
      </c>
      <c r="B11228" s="417" t="s">
        <v>2627</v>
      </c>
      <c r="C11228" s="417" t="s">
        <v>24961</v>
      </c>
      <c r="D11228" s="417" t="s">
        <v>88</v>
      </c>
      <c r="E11228" s="423">
        <v>1.856381037997386</v>
      </c>
      <c r="F11228" s="423">
        <v>4.1385689600322177E-2</v>
      </c>
      <c r="G11228" s="422">
        <v>3385.860060421543</v>
      </c>
      <c r="H11228" s="417" t="s">
        <v>2616</v>
      </c>
      <c r="I11228" s="417" t="s">
        <v>1392</v>
      </c>
      <c r="J11228" s="417" t="s">
        <v>24959</v>
      </c>
      <c r="K11228" s="417" t="s">
        <v>24962</v>
      </c>
      <c r="L11228" s="417"/>
      <c r="M11228" s="417" t="s">
        <v>28840</v>
      </c>
    </row>
    <row r="11229" spans="1:13" x14ac:dyDescent="0.25">
      <c r="A11229" s="417" t="s">
        <v>3385</v>
      </c>
      <c r="B11229" s="417" t="s">
        <v>2627</v>
      </c>
      <c r="C11229" s="417" t="s">
        <v>24963</v>
      </c>
      <c r="D11229" s="417" t="s">
        <v>88</v>
      </c>
      <c r="E11229" s="423">
        <v>2.0726362479325529</v>
      </c>
      <c r="F11229" s="423">
        <v>3.2234080763278392</v>
      </c>
      <c r="G11229" s="422">
        <v>31250.990663490189</v>
      </c>
      <c r="H11229" s="417" t="s">
        <v>2616</v>
      </c>
      <c r="I11229" s="417" t="s">
        <v>1392</v>
      </c>
      <c r="J11229" s="417" t="s">
        <v>24964</v>
      </c>
      <c r="K11229" s="417" t="s">
        <v>24965</v>
      </c>
      <c r="L11229" s="417"/>
      <c r="M11229" s="417" t="s">
        <v>28840</v>
      </c>
    </row>
    <row r="11230" spans="1:13" x14ac:dyDescent="0.25">
      <c r="A11230" s="417" t="s">
        <v>3385</v>
      </c>
      <c r="B11230" s="417" t="s">
        <v>2627</v>
      </c>
      <c r="C11230" s="417" t="s">
        <v>24966</v>
      </c>
      <c r="D11230" s="417" t="s">
        <v>88</v>
      </c>
      <c r="E11230" s="423">
        <v>0.69959779457143167</v>
      </c>
      <c r="F11230" s="423">
        <v>1.6942165335816159</v>
      </c>
      <c r="G11230" s="422">
        <v>2149.164894969786</v>
      </c>
      <c r="H11230" s="417" t="s">
        <v>2616</v>
      </c>
      <c r="I11230" s="417" t="s">
        <v>1392</v>
      </c>
      <c r="J11230" s="417" t="s">
        <v>24964</v>
      </c>
      <c r="K11230" s="417" t="s">
        <v>24967</v>
      </c>
      <c r="L11230" s="417"/>
      <c r="M11230" s="417" t="s">
        <v>28840</v>
      </c>
    </row>
    <row r="11231" spans="1:13" x14ac:dyDescent="0.25">
      <c r="A11231" s="417" t="s">
        <v>3385</v>
      </c>
      <c r="B11231" s="417" t="s">
        <v>2627</v>
      </c>
      <c r="C11231" s="417" t="s">
        <v>24968</v>
      </c>
      <c r="D11231" s="417" t="s">
        <v>88</v>
      </c>
      <c r="E11231" s="423">
        <v>0.5505264039260962</v>
      </c>
      <c r="F11231" s="423">
        <v>5.1476527875854439</v>
      </c>
      <c r="G11231" s="422">
        <v>1337.7284354226349</v>
      </c>
      <c r="H11231" s="417" t="s">
        <v>2616</v>
      </c>
      <c r="I11231" s="417" t="s">
        <v>1392</v>
      </c>
      <c r="J11231" s="417" t="s">
        <v>24964</v>
      </c>
      <c r="K11231" s="417" t="s">
        <v>24969</v>
      </c>
      <c r="L11231" s="417"/>
      <c r="M11231" s="417" t="s">
        <v>28840</v>
      </c>
    </row>
    <row r="11232" spans="1:13" x14ac:dyDescent="0.25">
      <c r="A11232" s="417" t="s">
        <v>3385</v>
      </c>
      <c r="B11232" s="417" t="s">
        <v>2627</v>
      </c>
      <c r="C11232" s="417" t="s">
        <v>24970</v>
      </c>
      <c r="D11232" s="417" t="s">
        <v>88</v>
      </c>
      <c r="E11232" s="423">
        <v>0.8171367174120161</v>
      </c>
      <c r="F11232" s="423">
        <v>4.8436619130867413</v>
      </c>
      <c r="G11232" s="422">
        <v>5783.9846292305183</v>
      </c>
      <c r="H11232" s="417" t="s">
        <v>2616</v>
      </c>
      <c r="I11232" s="417" t="s">
        <v>1392</v>
      </c>
      <c r="J11232" s="417" t="s">
        <v>24964</v>
      </c>
      <c r="K11232" s="417" t="s">
        <v>24971</v>
      </c>
      <c r="L11232" s="417"/>
      <c r="M11232" s="417" t="s">
        <v>28840</v>
      </c>
    </row>
    <row r="11233" spans="1:13" x14ac:dyDescent="0.25">
      <c r="A11233" s="417" t="s">
        <v>3385</v>
      </c>
      <c r="B11233" s="417" t="s">
        <v>2627</v>
      </c>
      <c r="C11233" s="417" t="s">
        <v>24972</v>
      </c>
      <c r="D11233" s="417" t="s">
        <v>88</v>
      </c>
      <c r="E11233" s="423">
        <v>2.1400089313948198</v>
      </c>
      <c r="F11233" s="423">
        <v>2.5668913816453509</v>
      </c>
      <c r="G11233" s="422">
        <v>12684.19656024156</v>
      </c>
      <c r="H11233" s="417" t="s">
        <v>2616</v>
      </c>
      <c r="I11233" s="417" t="s">
        <v>1392</v>
      </c>
      <c r="J11233" s="417" t="s">
        <v>24964</v>
      </c>
      <c r="K11233" s="417" t="s">
        <v>24973</v>
      </c>
      <c r="L11233" s="417"/>
      <c r="M11233" s="417" t="s">
        <v>28840</v>
      </c>
    </row>
    <row r="11234" spans="1:13" x14ac:dyDescent="0.25">
      <c r="A11234" s="417" t="s">
        <v>3385</v>
      </c>
      <c r="B11234" s="417" t="s">
        <v>2627</v>
      </c>
      <c r="C11234" s="417" t="s">
        <v>24974</v>
      </c>
      <c r="D11234" s="417" t="s">
        <v>88</v>
      </c>
      <c r="E11234" s="423">
        <v>2.682662743471627</v>
      </c>
      <c r="F11234" s="423">
        <v>0.79664664468056456</v>
      </c>
      <c r="G11234" s="422">
        <v>5889.835391716947</v>
      </c>
      <c r="H11234" s="417" t="s">
        <v>2616</v>
      </c>
      <c r="I11234" s="417" t="s">
        <v>1392</v>
      </c>
      <c r="J11234" s="417" t="s">
        <v>24959</v>
      </c>
      <c r="K11234" s="417" t="s">
        <v>24975</v>
      </c>
      <c r="L11234" s="417"/>
      <c r="M11234" s="417" t="s">
        <v>28840</v>
      </c>
    </row>
    <row r="11235" spans="1:13" x14ac:dyDescent="0.25">
      <c r="A11235" s="417" t="s">
        <v>3385</v>
      </c>
      <c r="B11235" s="417" t="s">
        <v>2627</v>
      </c>
      <c r="C11235" s="417" t="s">
        <v>24976</v>
      </c>
      <c r="D11235" s="417" t="s">
        <v>88</v>
      </c>
      <c r="E11235" s="423">
        <v>3.056862893440373</v>
      </c>
      <c r="F11235" s="423">
        <v>0.1292021182372742</v>
      </c>
      <c r="G11235" s="422">
        <v>7738.7739820679199</v>
      </c>
      <c r="H11235" s="417" t="s">
        <v>2616</v>
      </c>
      <c r="I11235" s="417" t="s">
        <v>1392</v>
      </c>
      <c r="J11235" s="417" t="s">
        <v>24415</v>
      </c>
      <c r="K11235" s="417" t="s">
        <v>24977</v>
      </c>
      <c r="L11235" s="417"/>
      <c r="M11235" s="417" t="s">
        <v>28840</v>
      </c>
    </row>
    <row r="11236" spans="1:13" x14ac:dyDescent="0.25">
      <c r="A11236" s="417" t="s">
        <v>3385</v>
      </c>
      <c r="B11236" s="417" t="s">
        <v>2627</v>
      </c>
      <c r="C11236" s="417" t="s">
        <v>24978</v>
      </c>
      <c r="D11236" s="417" t="s">
        <v>88</v>
      </c>
      <c r="E11236" s="423">
        <v>2.4054110140183909</v>
      </c>
      <c r="F11236" s="423">
        <v>6.6746774961961464E-2</v>
      </c>
      <c r="G11236" s="422">
        <v>6102.0097619467351</v>
      </c>
      <c r="H11236" s="417" t="s">
        <v>2616</v>
      </c>
      <c r="I11236" s="417" t="s">
        <v>1392</v>
      </c>
      <c r="J11236" s="417" t="s">
        <v>24415</v>
      </c>
      <c r="K11236" s="417" t="s">
        <v>24979</v>
      </c>
      <c r="L11236" s="417"/>
      <c r="M11236" s="417" t="s">
        <v>28840</v>
      </c>
    </row>
    <row r="11237" spans="1:13" x14ac:dyDescent="0.25">
      <c r="A11237" s="417" t="s">
        <v>3385</v>
      </c>
      <c r="B11237" s="417" t="s">
        <v>2627</v>
      </c>
      <c r="C11237" s="417" t="s">
        <v>24980</v>
      </c>
      <c r="D11237" s="417" t="s">
        <v>88</v>
      </c>
      <c r="E11237" s="423">
        <v>1.534859352961057</v>
      </c>
      <c r="F11237" s="423">
        <v>2.4914735526778732E-3</v>
      </c>
      <c r="G11237" s="422">
        <v>2284.0790202130229</v>
      </c>
      <c r="H11237" s="417" t="s">
        <v>2616</v>
      </c>
      <c r="I11237" s="417" t="s">
        <v>1392</v>
      </c>
      <c r="J11237" s="417" t="s">
        <v>24415</v>
      </c>
      <c r="K11237" s="417" t="s">
        <v>24981</v>
      </c>
      <c r="L11237" s="417"/>
      <c r="M11237" s="417" t="s">
        <v>28840</v>
      </c>
    </row>
    <row r="11238" spans="1:13" x14ac:dyDescent="0.25">
      <c r="A11238" s="417" t="s">
        <v>3385</v>
      </c>
      <c r="B11238" s="417" t="s">
        <v>2627</v>
      </c>
      <c r="C11238" s="417" t="s">
        <v>24982</v>
      </c>
      <c r="D11238" s="417" t="s">
        <v>88</v>
      </c>
      <c r="E11238" s="423">
        <v>1.0519298215878781</v>
      </c>
      <c r="F11238" s="423">
        <v>2.4587407372838231E-2</v>
      </c>
      <c r="G11238" s="422">
        <v>4802.686936876612</v>
      </c>
      <c r="H11238" s="417" t="s">
        <v>2616</v>
      </c>
      <c r="I11238" s="417" t="s">
        <v>1392</v>
      </c>
      <c r="J11238" s="417" t="s">
        <v>24491</v>
      </c>
      <c r="K11238" s="417" t="s">
        <v>24983</v>
      </c>
      <c r="L11238" s="417"/>
      <c r="M11238" s="417" t="s">
        <v>28840</v>
      </c>
    </row>
    <row r="11239" spans="1:13" x14ac:dyDescent="0.25">
      <c r="A11239" s="417" t="s">
        <v>3385</v>
      </c>
      <c r="B11239" s="417" t="s">
        <v>2627</v>
      </c>
      <c r="C11239" s="417" t="s">
        <v>24984</v>
      </c>
      <c r="D11239" s="417" t="s">
        <v>88</v>
      </c>
      <c r="E11239" s="423">
        <v>0.90775512105555456</v>
      </c>
      <c r="F11239" s="423">
        <v>9.6121800179688466E-3</v>
      </c>
      <c r="G11239" s="422">
        <v>4459.0010946244038</v>
      </c>
      <c r="H11239" s="417" t="s">
        <v>2616</v>
      </c>
      <c r="I11239" s="417" t="s">
        <v>1392</v>
      </c>
      <c r="J11239" s="417" t="s">
        <v>24484</v>
      </c>
      <c r="K11239" s="417" t="s">
        <v>24985</v>
      </c>
      <c r="L11239" s="417"/>
      <c r="M11239" s="417" t="s">
        <v>28840</v>
      </c>
    </row>
    <row r="11240" spans="1:13" x14ac:dyDescent="0.25">
      <c r="A11240" s="417" t="s">
        <v>3385</v>
      </c>
      <c r="B11240" s="417" t="s">
        <v>2623</v>
      </c>
      <c r="C11240" s="417" t="s">
        <v>24986</v>
      </c>
      <c r="D11240" s="417" t="s">
        <v>88</v>
      </c>
      <c r="E11240" s="423">
        <v>0</v>
      </c>
      <c r="F11240" s="423">
        <v>0</v>
      </c>
      <c r="G11240" s="422">
        <v>0</v>
      </c>
      <c r="H11240" s="417" t="s">
        <v>2616</v>
      </c>
      <c r="I11240" s="417" t="s">
        <v>1392</v>
      </c>
      <c r="J11240" s="417" t="s">
        <v>24987</v>
      </c>
      <c r="K11240" s="417" t="s">
        <v>24988</v>
      </c>
      <c r="L11240" s="417"/>
      <c r="M11240" s="417" t="s">
        <v>28840</v>
      </c>
    </row>
    <row r="11241" spans="1:13" x14ac:dyDescent="0.25">
      <c r="A11241" s="417" t="s">
        <v>3385</v>
      </c>
      <c r="B11241" s="417" t="s">
        <v>2623</v>
      </c>
      <c r="C11241" s="417" t="s">
        <v>24989</v>
      </c>
      <c r="D11241" s="417" t="s">
        <v>88</v>
      </c>
      <c r="E11241" s="423">
        <v>0</v>
      </c>
      <c r="F11241" s="423">
        <v>0</v>
      </c>
      <c r="G11241" s="422">
        <v>0</v>
      </c>
      <c r="H11241" s="417" t="s">
        <v>2616</v>
      </c>
      <c r="I11241" s="417" t="s">
        <v>1392</v>
      </c>
      <c r="J11241" s="417" t="s">
        <v>24987</v>
      </c>
      <c r="K11241" s="417" t="s">
        <v>24990</v>
      </c>
      <c r="L11241" s="417"/>
      <c r="M11241" s="417" t="s">
        <v>28840</v>
      </c>
    </row>
    <row r="11242" spans="1:13" x14ac:dyDescent="0.25">
      <c r="A11242" s="417" t="s">
        <v>3385</v>
      </c>
      <c r="B11242" s="417" t="s">
        <v>2623</v>
      </c>
      <c r="C11242" s="417" t="s">
        <v>24991</v>
      </c>
      <c r="D11242" s="417" t="s">
        <v>88</v>
      </c>
      <c r="E11242" s="423">
        <v>0</v>
      </c>
      <c r="F11242" s="423">
        <v>0</v>
      </c>
      <c r="G11242" s="422">
        <v>0</v>
      </c>
      <c r="H11242" s="417" t="s">
        <v>2616</v>
      </c>
      <c r="I11242" s="417" t="s">
        <v>1392</v>
      </c>
      <c r="J11242" s="417" t="s">
        <v>24987</v>
      </c>
      <c r="K11242" s="417" t="s">
        <v>24992</v>
      </c>
      <c r="L11242" s="417"/>
      <c r="M11242" s="417" t="s">
        <v>28840</v>
      </c>
    </row>
    <row r="11243" spans="1:13" x14ac:dyDescent="0.25">
      <c r="A11243" s="417" t="s">
        <v>3385</v>
      </c>
      <c r="B11243" s="417" t="s">
        <v>2623</v>
      </c>
      <c r="C11243" s="417" t="s">
        <v>24993</v>
      </c>
      <c r="D11243" s="417" t="s">
        <v>88</v>
      </c>
      <c r="E11243" s="423">
        <v>0</v>
      </c>
      <c r="F11243" s="423">
        <v>0</v>
      </c>
      <c r="G11243" s="422">
        <v>0</v>
      </c>
      <c r="H11243" s="417" t="s">
        <v>2616</v>
      </c>
      <c r="I11243" s="417" t="s">
        <v>1392</v>
      </c>
      <c r="J11243" s="417" t="s">
        <v>24987</v>
      </c>
      <c r="K11243" s="417" t="s">
        <v>24994</v>
      </c>
      <c r="L11243" s="417"/>
      <c r="M11243" s="417" t="s">
        <v>28840</v>
      </c>
    </row>
    <row r="11244" spans="1:13" x14ac:dyDescent="0.25">
      <c r="A11244" s="417" t="s">
        <v>3385</v>
      </c>
      <c r="B11244" s="417" t="s">
        <v>2623</v>
      </c>
      <c r="C11244" s="417" t="s">
        <v>24995</v>
      </c>
      <c r="D11244" s="417" t="s">
        <v>88</v>
      </c>
      <c r="E11244" s="423">
        <v>0</v>
      </c>
      <c r="F11244" s="423">
        <v>0</v>
      </c>
      <c r="G11244" s="422">
        <v>0</v>
      </c>
      <c r="H11244" s="417" t="s">
        <v>2616</v>
      </c>
      <c r="I11244" s="417" t="s">
        <v>1392</v>
      </c>
      <c r="J11244" s="417" t="s">
        <v>24987</v>
      </c>
      <c r="K11244" s="417" t="s">
        <v>24996</v>
      </c>
      <c r="L11244" s="417"/>
      <c r="M11244" s="417" t="s">
        <v>28840</v>
      </c>
    </row>
    <row r="11245" spans="1:13" x14ac:dyDescent="0.25">
      <c r="A11245" s="417" t="s">
        <v>3385</v>
      </c>
      <c r="B11245" s="417" t="s">
        <v>2623</v>
      </c>
      <c r="C11245" s="417" t="s">
        <v>24997</v>
      </c>
      <c r="D11245" s="417" t="s">
        <v>88</v>
      </c>
      <c r="E11245" s="423">
        <v>0</v>
      </c>
      <c r="F11245" s="423">
        <v>0</v>
      </c>
      <c r="G11245" s="422">
        <v>0</v>
      </c>
      <c r="H11245" s="417" t="s">
        <v>2616</v>
      </c>
      <c r="I11245" s="417" t="s">
        <v>1392</v>
      </c>
      <c r="J11245" s="417" t="s">
        <v>24987</v>
      </c>
      <c r="K11245" s="417" t="s">
        <v>24998</v>
      </c>
      <c r="L11245" s="417"/>
      <c r="M11245" s="417" t="s">
        <v>28840</v>
      </c>
    </row>
    <row r="11246" spans="1:13" x14ac:dyDescent="0.25">
      <c r="A11246" s="417" t="s">
        <v>3385</v>
      </c>
      <c r="B11246" s="417" t="s">
        <v>2623</v>
      </c>
      <c r="C11246" s="417" t="s">
        <v>24999</v>
      </c>
      <c r="D11246" s="417" t="s">
        <v>88</v>
      </c>
      <c r="E11246" s="423">
        <v>0</v>
      </c>
      <c r="F11246" s="423">
        <v>0</v>
      </c>
      <c r="G11246" s="422">
        <v>0</v>
      </c>
      <c r="H11246" s="417" t="s">
        <v>2616</v>
      </c>
      <c r="I11246" s="417" t="s">
        <v>1392</v>
      </c>
      <c r="J11246" s="417" t="s">
        <v>24987</v>
      </c>
      <c r="K11246" s="417" t="s">
        <v>25000</v>
      </c>
      <c r="L11246" s="417"/>
      <c r="M11246" s="417" t="s">
        <v>28840</v>
      </c>
    </row>
    <row r="11247" spans="1:13" x14ac:dyDescent="0.25">
      <c r="A11247" s="417" t="s">
        <v>3385</v>
      </c>
      <c r="B11247" s="417" t="s">
        <v>2623</v>
      </c>
      <c r="C11247" s="417" t="s">
        <v>25001</v>
      </c>
      <c r="D11247" s="417" t="s">
        <v>88</v>
      </c>
      <c r="E11247" s="423">
        <v>0</v>
      </c>
      <c r="F11247" s="423">
        <v>0</v>
      </c>
      <c r="G11247" s="422">
        <v>0</v>
      </c>
      <c r="H11247" s="417" t="s">
        <v>2616</v>
      </c>
      <c r="I11247" s="417" t="s">
        <v>1392</v>
      </c>
      <c r="J11247" s="417" t="s">
        <v>24987</v>
      </c>
      <c r="K11247" s="417" t="s">
        <v>25002</v>
      </c>
      <c r="L11247" s="417"/>
      <c r="M11247" s="417" t="s">
        <v>28840</v>
      </c>
    </row>
    <row r="11248" spans="1:13" x14ac:dyDescent="0.25">
      <c r="A11248" s="417" t="s">
        <v>3385</v>
      </c>
      <c r="B11248" s="417" t="s">
        <v>2627</v>
      </c>
      <c r="C11248" s="417" t="s">
        <v>25003</v>
      </c>
      <c r="D11248" s="417" t="s">
        <v>88</v>
      </c>
      <c r="E11248" s="423">
        <v>1.3321191936467449</v>
      </c>
      <c r="F11248" s="423">
        <v>0.11057321745399661</v>
      </c>
      <c r="G11248" s="422">
        <v>2020.9412196001781</v>
      </c>
      <c r="H11248" s="417" t="s">
        <v>2616</v>
      </c>
      <c r="I11248" s="417" t="s">
        <v>1392</v>
      </c>
      <c r="J11248" s="417" t="s">
        <v>24532</v>
      </c>
      <c r="K11248" s="417" t="s">
        <v>25004</v>
      </c>
      <c r="L11248" s="417"/>
      <c r="M11248" s="417" t="s">
        <v>28840</v>
      </c>
    </row>
    <row r="11249" spans="1:13" x14ac:dyDescent="0.25">
      <c r="A11249" s="417" t="s">
        <v>3385</v>
      </c>
      <c r="B11249" s="417" t="s">
        <v>2627</v>
      </c>
      <c r="C11249" s="417" t="s">
        <v>1054</v>
      </c>
      <c r="D11249" s="417" t="s">
        <v>88</v>
      </c>
      <c r="E11249" s="423">
        <v>2.9890398481986908</v>
      </c>
      <c r="F11249" s="423">
        <v>0.1243883324822788</v>
      </c>
      <c r="G11249" s="422">
        <v>5663.0283018742266</v>
      </c>
      <c r="H11249" s="417" t="s">
        <v>2616</v>
      </c>
      <c r="I11249" s="417" t="s">
        <v>28841</v>
      </c>
      <c r="J11249" s="417" t="s">
        <v>24424</v>
      </c>
      <c r="K11249" s="417" t="s">
        <v>25005</v>
      </c>
      <c r="L11249" s="417"/>
      <c r="M11249" s="417" t="s">
        <v>28840</v>
      </c>
    </row>
    <row r="11250" spans="1:13" x14ac:dyDescent="0.25">
      <c r="A11250" s="417" t="s">
        <v>3385</v>
      </c>
      <c r="B11250" s="417" t="s">
        <v>2627</v>
      </c>
      <c r="C11250" s="417" t="s">
        <v>25006</v>
      </c>
      <c r="D11250" s="417" t="s">
        <v>88</v>
      </c>
      <c r="E11250" s="423">
        <v>3.942981915622743</v>
      </c>
      <c r="F11250" s="423">
        <v>0.17906436721617749</v>
      </c>
      <c r="G11250" s="422">
        <v>15052.319277771159</v>
      </c>
      <c r="H11250" s="417" t="s">
        <v>2616</v>
      </c>
      <c r="I11250" s="417" t="s">
        <v>1392</v>
      </c>
      <c r="J11250" s="417" t="s">
        <v>24424</v>
      </c>
      <c r="K11250" s="417" t="s">
        <v>25007</v>
      </c>
      <c r="L11250" s="417"/>
      <c r="M11250" s="417" t="s">
        <v>28840</v>
      </c>
    </row>
    <row r="11251" spans="1:13" x14ac:dyDescent="0.25">
      <c r="A11251" s="417" t="s">
        <v>3385</v>
      </c>
      <c r="B11251" s="417" t="s">
        <v>2627</v>
      </c>
      <c r="C11251" s="417" t="s">
        <v>25008</v>
      </c>
      <c r="D11251" s="417" t="s">
        <v>88</v>
      </c>
      <c r="E11251" s="423">
        <v>1.3046599120293929</v>
      </c>
      <c r="F11251" s="423">
        <v>2.0086090623178829E-2</v>
      </c>
      <c r="G11251" s="422">
        <v>2567.53181201808</v>
      </c>
      <c r="H11251" s="417" t="s">
        <v>2616</v>
      </c>
      <c r="I11251" s="417" t="s">
        <v>1392</v>
      </c>
      <c r="J11251" s="417" t="s">
        <v>24415</v>
      </c>
      <c r="K11251" s="417" t="s">
        <v>25009</v>
      </c>
      <c r="L11251" s="417"/>
      <c r="M11251" s="417" t="s">
        <v>28840</v>
      </c>
    </row>
    <row r="11252" spans="1:13" x14ac:dyDescent="0.25">
      <c r="A11252" s="417" t="s">
        <v>3385</v>
      </c>
      <c r="B11252" s="417" t="s">
        <v>2627</v>
      </c>
      <c r="C11252" s="417" t="s">
        <v>25010</v>
      </c>
      <c r="D11252" s="417" t="s">
        <v>88</v>
      </c>
      <c r="E11252" s="423">
        <v>1.3045008093269359</v>
      </c>
      <c r="F11252" s="423">
        <v>2.008367921688629E-2</v>
      </c>
      <c r="G11252" s="422">
        <v>2567.2097831402011</v>
      </c>
      <c r="H11252" s="417" t="s">
        <v>2616</v>
      </c>
      <c r="I11252" s="417" t="s">
        <v>1392</v>
      </c>
      <c r="J11252" s="417" t="s">
        <v>24415</v>
      </c>
      <c r="K11252" s="417" t="s">
        <v>25011</v>
      </c>
      <c r="L11252" s="417"/>
      <c r="M11252" s="417" t="s">
        <v>28840</v>
      </c>
    </row>
    <row r="11253" spans="1:13" x14ac:dyDescent="0.25">
      <c r="A11253" s="417" t="s">
        <v>3385</v>
      </c>
      <c r="B11253" s="417" t="s">
        <v>2627</v>
      </c>
      <c r="C11253" s="417" t="s">
        <v>25012</v>
      </c>
      <c r="D11253" s="417" t="s">
        <v>88</v>
      </c>
      <c r="E11253" s="423">
        <v>1.3046198293914519</v>
      </c>
      <c r="F11253" s="423">
        <v>2.0085559945654051E-2</v>
      </c>
      <c r="G11253" s="422">
        <v>2567.4451470692761</v>
      </c>
      <c r="H11253" s="417" t="s">
        <v>2616</v>
      </c>
      <c r="I11253" s="417" t="s">
        <v>1392</v>
      </c>
      <c r="J11253" s="417" t="s">
        <v>24415</v>
      </c>
      <c r="K11253" s="417" t="s">
        <v>25013</v>
      </c>
      <c r="L11253" s="417"/>
      <c r="M11253" s="417" t="s">
        <v>28840</v>
      </c>
    </row>
    <row r="11254" spans="1:13" x14ac:dyDescent="0.25">
      <c r="A11254" s="417" t="s">
        <v>3385</v>
      </c>
      <c r="B11254" s="417" t="s">
        <v>2627</v>
      </c>
      <c r="C11254" s="417" t="s">
        <v>25014</v>
      </c>
      <c r="D11254" s="417" t="s">
        <v>88</v>
      </c>
      <c r="E11254" s="423">
        <v>1675.37888927215</v>
      </c>
      <c r="F11254" s="423">
        <v>56.021998413576647</v>
      </c>
      <c r="G11254" s="422">
        <v>59595047.349539153</v>
      </c>
      <c r="H11254" s="417" t="s">
        <v>2616</v>
      </c>
      <c r="I11254" s="417" t="s">
        <v>1392</v>
      </c>
      <c r="J11254" s="417" t="s">
        <v>11238</v>
      </c>
      <c r="K11254" s="417" t="s">
        <v>25015</v>
      </c>
      <c r="L11254" s="417"/>
      <c r="M11254" s="417" t="s">
        <v>28840</v>
      </c>
    </row>
    <row r="11255" spans="1:13" x14ac:dyDescent="0.25">
      <c r="A11255" s="417" t="s">
        <v>3385</v>
      </c>
      <c r="B11255" s="417" t="s">
        <v>2627</v>
      </c>
      <c r="C11255" s="417" t="s">
        <v>25016</v>
      </c>
      <c r="D11255" s="417" t="s">
        <v>88</v>
      </c>
      <c r="E11255" s="423">
        <v>9.4230888985013657</v>
      </c>
      <c r="F11255" s="423">
        <v>0.31536489600645551</v>
      </c>
      <c r="G11255" s="422">
        <v>21289.44844199426</v>
      </c>
      <c r="H11255" s="417" t="s">
        <v>2616</v>
      </c>
      <c r="I11255" s="417" t="s">
        <v>1392</v>
      </c>
      <c r="J11255" s="417" t="s">
        <v>24424</v>
      </c>
      <c r="K11255" s="417" t="s">
        <v>25017</v>
      </c>
      <c r="L11255" s="417"/>
      <c r="M11255" s="417" t="s">
        <v>28840</v>
      </c>
    </row>
    <row r="11256" spans="1:13" x14ac:dyDescent="0.25">
      <c r="A11256" s="417" t="s">
        <v>3385</v>
      </c>
      <c r="B11256" s="417" t="s">
        <v>2623</v>
      </c>
      <c r="C11256" s="417" t="s">
        <v>25018</v>
      </c>
      <c r="D11256" s="417" t="s">
        <v>88</v>
      </c>
      <c r="E11256" s="423">
        <v>0</v>
      </c>
      <c r="F11256" s="423">
        <v>0</v>
      </c>
      <c r="G11256" s="422">
        <v>0</v>
      </c>
      <c r="H11256" s="417" t="s">
        <v>2616</v>
      </c>
      <c r="I11256" s="417" t="s">
        <v>1392</v>
      </c>
      <c r="J11256" s="417" t="s">
        <v>24549</v>
      </c>
      <c r="K11256" s="417" t="s">
        <v>25019</v>
      </c>
      <c r="L11256" s="417"/>
      <c r="M11256" s="417" t="s">
        <v>28840</v>
      </c>
    </row>
    <row r="11257" spans="1:13" x14ac:dyDescent="0.25">
      <c r="A11257" s="417" t="s">
        <v>3385</v>
      </c>
      <c r="B11257" s="417" t="s">
        <v>2623</v>
      </c>
      <c r="C11257" s="417" t="s">
        <v>25020</v>
      </c>
      <c r="D11257" s="417" t="s">
        <v>88</v>
      </c>
      <c r="E11257" s="423">
        <v>0</v>
      </c>
      <c r="F11257" s="423">
        <v>0</v>
      </c>
      <c r="G11257" s="422">
        <v>0</v>
      </c>
      <c r="H11257" s="417" t="s">
        <v>2616</v>
      </c>
      <c r="I11257" s="417" t="s">
        <v>1392</v>
      </c>
      <c r="J11257" s="417" t="s">
        <v>24549</v>
      </c>
      <c r="K11257" s="417" t="s">
        <v>25021</v>
      </c>
      <c r="L11257" s="417"/>
      <c r="M11257" s="417" t="s">
        <v>28840</v>
      </c>
    </row>
    <row r="11258" spans="1:13" x14ac:dyDescent="0.25">
      <c r="A11258" s="417" t="s">
        <v>3385</v>
      </c>
      <c r="B11258" s="417" t="s">
        <v>2623</v>
      </c>
      <c r="C11258" s="417" t="s">
        <v>25022</v>
      </c>
      <c r="D11258" s="417" t="s">
        <v>88</v>
      </c>
      <c r="E11258" s="423">
        <v>0</v>
      </c>
      <c r="F11258" s="423">
        <v>0</v>
      </c>
      <c r="G11258" s="422">
        <v>0</v>
      </c>
      <c r="H11258" s="417" t="s">
        <v>2616</v>
      </c>
      <c r="I11258" s="417" t="s">
        <v>1392</v>
      </c>
      <c r="J11258" s="417" t="s">
        <v>24549</v>
      </c>
      <c r="K11258" s="417" t="s">
        <v>25023</v>
      </c>
      <c r="L11258" s="417"/>
      <c r="M11258" s="417" t="s">
        <v>28840</v>
      </c>
    </row>
    <row r="11259" spans="1:13" x14ac:dyDescent="0.25">
      <c r="A11259" s="417" t="s">
        <v>3385</v>
      </c>
      <c r="B11259" s="417" t="s">
        <v>2623</v>
      </c>
      <c r="C11259" s="417" t="s">
        <v>25024</v>
      </c>
      <c r="D11259" s="417" t="s">
        <v>88</v>
      </c>
      <c r="E11259" s="423">
        <v>0</v>
      </c>
      <c r="F11259" s="423">
        <v>0</v>
      </c>
      <c r="G11259" s="422">
        <v>0</v>
      </c>
      <c r="H11259" s="417" t="s">
        <v>2616</v>
      </c>
      <c r="I11259" s="417" t="s">
        <v>1392</v>
      </c>
      <c r="J11259" s="417" t="s">
        <v>24549</v>
      </c>
      <c r="K11259" s="417" t="s">
        <v>25025</v>
      </c>
      <c r="L11259" s="417"/>
      <c r="M11259" s="417" t="s">
        <v>28840</v>
      </c>
    </row>
    <row r="11260" spans="1:13" x14ac:dyDescent="0.25">
      <c r="A11260" s="417" t="s">
        <v>3385</v>
      </c>
      <c r="B11260" s="417" t="s">
        <v>2627</v>
      </c>
      <c r="C11260" s="417" t="s">
        <v>25026</v>
      </c>
      <c r="D11260" s="417" t="s">
        <v>563</v>
      </c>
      <c r="E11260" s="423">
        <v>39.294414992636383</v>
      </c>
      <c r="F11260" s="423">
        <v>1.5101060017180949</v>
      </c>
      <c r="G11260" s="422">
        <v>66071.387212976639</v>
      </c>
      <c r="H11260" s="417" t="s">
        <v>2616</v>
      </c>
      <c r="I11260" s="417" t="s">
        <v>1392</v>
      </c>
      <c r="J11260" s="417" t="s">
        <v>25027</v>
      </c>
      <c r="K11260" s="417" t="s">
        <v>25028</v>
      </c>
      <c r="L11260" s="417"/>
      <c r="M11260" s="417" t="s">
        <v>28840</v>
      </c>
    </row>
    <row r="11261" spans="1:13" x14ac:dyDescent="0.25">
      <c r="A11261" s="417" t="s">
        <v>3385</v>
      </c>
      <c r="B11261" s="417" t="s">
        <v>2627</v>
      </c>
      <c r="C11261" s="417" t="s">
        <v>25029</v>
      </c>
      <c r="D11261" s="417" t="s">
        <v>563</v>
      </c>
      <c r="E11261" s="423">
        <v>48.730144034755163</v>
      </c>
      <c r="F11261" s="423">
        <v>1.909311652891595</v>
      </c>
      <c r="G11261" s="422">
        <v>84763.01173938853</v>
      </c>
      <c r="H11261" s="417" t="s">
        <v>2616</v>
      </c>
      <c r="I11261" s="417" t="s">
        <v>1392</v>
      </c>
      <c r="J11261" s="417" t="s">
        <v>25027</v>
      </c>
      <c r="K11261" s="417" t="s">
        <v>25030</v>
      </c>
      <c r="L11261" s="417"/>
      <c r="M11261" s="417" t="s">
        <v>28840</v>
      </c>
    </row>
    <row r="11262" spans="1:13" x14ac:dyDescent="0.25">
      <c r="A11262" s="417" t="s">
        <v>3385</v>
      </c>
      <c r="B11262" s="417" t="s">
        <v>2627</v>
      </c>
      <c r="C11262" s="417" t="s">
        <v>25031</v>
      </c>
      <c r="D11262" s="417" t="s">
        <v>88</v>
      </c>
      <c r="E11262" s="423">
        <v>4.1780306144866248</v>
      </c>
      <c r="F11262" s="423">
        <v>0.19956457534416069</v>
      </c>
      <c r="G11262" s="422">
        <v>7672.7105046213028</v>
      </c>
      <c r="H11262" s="417" t="s">
        <v>2616</v>
      </c>
      <c r="I11262" s="417" t="s">
        <v>1392</v>
      </c>
      <c r="J11262" s="417" t="s">
        <v>24415</v>
      </c>
      <c r="K11262" s="417" t="s">
        <v>25032</v>
      </c>
      <c r="L11262" s="417"/>
      <c r="M11262" s="417" t="s">
        <v>28840</v>
      </c>
    </row>
    <row r="11263" spans="1:13" x14ac:dyDescent="0.25">
      <c r="A11263" s="417" t="s">
        <v>3385</v>
      </c>
      <c r="B11263" s="417" t="s">
        <v>2627</v>
      </c>
      <c r="C11263" s="417" t="s">
        <v>25033</v>
      </c>
      <c r="D11263" s="417" t="s">
        <v>88</v>
      </c>
      <c r="E11263" s="423">
        <v>2.3181106028989791</v>
      </c>
      <c r="F11263" s="423">
        <v>3.9771810561321139</v>
      </c>
      <c r="G11263" s="422">
        <v>8938.1530691603057</v>
      </c>
      <c r="H11263" s="417" t="s">
        <v>2616</v>
      </c>
      <c r="I11263" s="417" t="s">
        <v>1392</v>
      </c>
      <c r="J11263" s="417" t="s">
        <v>24415</v>
      </c>
      <c r="K11263" s="417" t="s">
        <v>25034</v>
      </c>
      <c r="L11263" s="417"/>
      <c r="M11263" s="417" t="s">
        <v>28840</v>
      </c>
    </row>
    <row r="11264" spans="1:13" x14ac:dyDescent="0.25">
      <c r="A11264" s="417" t="s">
        <v>3385</v>
      </c>
      <c r="B11264" s="417" t="s">
        <v>2627</v>
      </c>
      <c r="C11264" s="417" t="s">
        <v>25035</v>
      </c>
      <c r="D11264" s="417" t="s">
        <v>88</v>
      </c>
      <c r="E11264" s="423">
        <v>3.4635020632240798</v>
      </c>
      <c r="F11264" s="423">
        <v>4.8598201512492896</v>
      </c>
      <c r="G11264" s="422">
        <v>14248.739421647801</v>
      </c>
      <c r="H11264" s="417" t="s">
        <v>2616</v>
      </c>
      <c r="I11264" s="417" t="s">
        <v>1392</v>
      </c>
      <c r="J11264" s="417" t="s">
        <v>24415</v>
      </c>
      <c r="K11264" s="417" t="s">
        <v>25036</v>
      </c>
      <c r="L11264" s="417"/>
      <c r="M11264" s="417" t="s">
        <v>28840</v>
      </c>
    </row>
    <row r="11265" spans="1:13" x14ac:dyDescent="0.25">
      <c r="A11265" s="417" t="s">
        <v>3385</v>
      </c>
      <c r="B11265" s="417" t="s">
        <v>2627</v>
      </c>
      <c r="C11265" s="417" t="s">
        <v>25037</v>
      </c>
      <c r="D11265" s="417" t="s">
        <v>88</v>
      </c>
      <c r="E11265" s="423">
        <v>2.875428490327502</v>
      </c>
      <c r="F11265" s="423">
        <v>0.99672714139346852</v>
      </c>
      <c r="G11265" s="422">
        <v>13165.254687839401</v>
      </c>
      <c r="H11265" s="417" t="s">
        <v>2616</v>
      </c>
      <c r="I11265" s="417" t="s">
        <v>1392</v>
      </c>
      <c r="J11265" s="417" t="s">
        <v>24415</v>
      </c>
      <c r="K11265" s="417" t="s">
        <v>25038</v>
      </c>
      <c r="L11265" s="417"/>
      <c r="M11265" s="417" t="s">
        <v>28840</v>
      </c>
    </row>
    <row r="11266" spans="1:13" x14ac:dyDescent="0.25">
      <c r="A11266" s="417" t="s">
        <v>3385</v>
      </c>
      <c r="B11266" s="417" t="s">
        <v>2627</v>
      </c>
      <c r="C11266" s="417" t="s">
        <v>25039</v>
      </c>
      <c r="D11266" s="417" t="s">
        <v>88</v>
      </c>
      <c r="E11266" s="423">
        <v>0.84271910149590179</v>
      </c>
      <c r="F11266" s="423">
        <v>0.71252752546414988</v>
      </c>
      <c r="G11266" s="422">
        <v>7019.7179216207487</v>
      </c>
      <c r="H11266" s="417" t="s">
        <v>2616</v>
      </c>
      <c r="I11266" s="417" t="s">
        <v>1392</v>
      </c>
      <c r="J11266" s="417" t="s">
        <v>24415</v>
      </c>
      <c r="K11266" s="417" t="s">
        <v>25040</v>
      </c>
      <c r="L11266" s="417"/>
      <c r="M11266" s="417" t="s">
        <v>28840</v>
      </c>
    </row>
    <row r="11267" spans="1:13" x14ac:dyDescent="0.25">
      <c r="A11267" s="417" t="s">
        <v>3385</v>
      </c>
      <c r="B11267" s="417" t="s">
        <v>2627</v>
      </c>
      <c r="C11267" s="417" t="s">
        <v>25041</v>
      </c>
      <c r="D11267" s="417" t="s">
        <v>88</v>
      </c>
      <c r="E11267" s="423">
        <v>0.46534368757604511</v>
      </c>
      <c r="F11267" s="423">
        <v>9.2865706627994846E-3</v>
      </c>
      <c r="G11267" s="422">
        <v>2899.2143018922338</v>
      </c>
      <c r="H11267" s="417" t="s">
        <v>2616</v>
      </c>
      <c r="I11267" s="417" t="s">
        <v>1392</v>
      </c>
      <c r="J11267" s="417" t="s">
        <v>24491</v>
      </c>
      <c r="K11267" s="417" t="s">
        <v>25042</v>
      </c>
      <c r="L11267" s="417"/>
      <c r="M11267" s="417" t="s">
        <v>28840</v>
      </c>
    </row>
    <row r="11268" spans="1:13" x14ac:dyDescent="0.25">
      <c r="A11268" s="417" t="s">
        <v>3385</v>
      </c>
      <c r="B11268" s="417" t="s">
        <v>3655</v>
      </c>
      <c r="C11268" s="417" t="s">
        <v>25043</v>
      </c>
      <c r="D11268" s="417" t="s">
        <v>88</v>
      </c>
      <c r="E11268" s="423">
        <v>0.48274651032262061</v>
      </c>
      <c r="F11268" s="423">
        <v>2.9480741843884968E-3</v>
      </c>
      <c r="G11268" s="422">
        <v>643.65950592687011</v>
      </c>
      <c r="H11268" s="417" t="s">
        <v>2616</v>
      </c>
      <c r="I11268" s="417" t="s">
        <v>1392</v>
      </c>
      <c r="J11268" s="417" t="s">
        <v>24475</v>
      </c>
      <c r="K11268" s="417" t="s">
        <v>25044</v>
      </c>
      <c r="L11268" s="417"/>
      <c r="M11268" s="417" t="s">
        <v>28840</v>
      </c>
    </row>
    <row r="11269" spans="1:13" x14ac:dyDescent="0.25">
      <c r="A11269" s="417" t="s">
        <v>3385</v>
      </c>
      <c r="B11269" s="417" t="s">
        <v>2627</v>
      </c>
      <c r="C11269" s="417" t="s">
        <v>25045</v>
      </c>
      <c r="D11269" s="417" t="s">
        <v>88</v>
      </c>
      <c r="E11269" s="423">
        <v>1.072576796213714</v>
      </c>
      <c r="F11269" s="423">
        <v>2.0318201180072829E-2</v>
      </c>
      <c r="G11269" s="422">
        <v>2948.8869950864041</v>
      </c>
      <c r="H11269" s="417" t="s">
        <v>2616</v>
      </c>
      <c r="I11269" s="417" t="s">
        <v>1392</v>
      </c>
      <c r="J11269" s="417" t="s">
        <v>5810</v>
      </c>
      <c r="K11269" s="417" t="s">
        <v>25046</v>
      </c>
      <c r="L11269" s="417"/>
      <c r="M11269" s="417" t="s">
        <v>28840</v>
      </c>
    </row>
    <row r="11270" spans="1:13" x14ac:dyDescent="0.25">
      <c r="A11270" s="417" t="s">
        <v>3385</v>
      </c>
      <c r="B11270" s="417" t="s">
        <v>2627</v>
      </c>
      <c r="C11270" s="417" t="s">
        <v>25047</v>
      </c>
      <c r="D11270" s="417" t="s">
        <v>88</v>
      </c>
      <c r="E11270" s="423">
        <v>0.51346813821476944</v>
      </c>
      <c r="F11270" s="423">
        <v>2.3331719899253049</v>
      </c>
      <c r="G11270" s="422">
        <v>2768.6154286820711</v>
      </c>
      <c r="H11270" s="417" t="s">
        <v>2616</v>
      </c>
      <c r="I11270" s="417" t="s">
        <v>1392</v>
      </c>
      <c r="J11270" s="417" t="s">
        <v>24660</v>
      </c>
      <c r="K11270" s="417" t="s">
        <v>25048</v>
      </c>
      <c r="L11270" s="417"/>
      <c r="M11270" s="417" t="s">
        <v>28840</v>
      </c>
    </row>
    <row r="11271" spans="1:13" x14ac:dyDescent="0.25">
      <c r="A11271" s="417" t="s">
        <v>3385</v>
      </c>
      <c r="B11271" s="417" t="s">
        <v>2627</v>
      </c>
      <c r="C11271" s="417" t="s">
        <v>25049</v>
      </c>
      <c r="D11271" s="417" t="s">
        <v>88</v>
      </c>
      <c r="E11271" s="423">
        <v>0.1612651229937298</v>
      </c>
      <c r="F11271" s="423">
        <v>2.9601847230763651E-3</v>
      </c>
      <c r="G11271" s="422">
        <v>1132.7294600975049</v>
      </c>
      <c r="H11271" s="417" t="s">
        <v>2616</v>
      </c>
      <c r="I11271" s="417" t="s">
        <v>1392</v>
      </c>
      <c r="J11271" s="417" t="s">
        <v>24484</v>
      </c>
      <c r="K11271" s="417" t="s">
        <v>25050</v>
      </c>
      <c r="L11271" s="417"/>
      <c r="M11271" s="417" t="s">
        <v>28840</v>
      </c>
    </row>
    <row r="11272" spans="1:13" x14ac:dyDescent="0.25">
      <c r="A11272" s="417" t="s">
        <v>3385</v>
      </c>
      <c r="B11272" s="417" t="s">
        <v>2627</v>
      </c>
      <c r="C11272" s="417" t="s">
        <v>25051</v>
      </c>
      <c r="D11272" s="417" t="s">
        <v>88</v>
      </c>
      <c r="E11272" s="423">
        <v>9.202687148257889E-2</v>
      </c>
      <c r="F11272" s="423">
        <v>2.064525936265152E-3</v>
      </c>
      <c r="G11272" s="422">
        <v>1487.496273284708</v>
      </c>
      <c r="H11272" s="417" t="s">
        <v>2616</v>
      </c>
      <c r="I11272" s="417" t="s">
        <v>1392</v>
      </c>
      <c r="J11272" s="417" t="s">
        <v>24484</v>
      </c>
      <c r="K11272" s="417" t="s">
        <v>25052</v>
      </c>
      <c r="L11272" s="417"/>
      <c r="M11272" s="417" t="s">
        <v>28840</v>
      </c>
    </row>
    <row r="11273" spans="1:13" x14ac:dyDescent="0.25">
      <c r="A11273" s="417" t="s">
        <v>3385</v>
      </c>
      <c r="B11273" s="417" t="s">
        <v>2627</v>
      </c>
      <c r="C11273" s="417" t="s">
        <v>25053</v>
      </c>
      <c r="D11273" s="417" t="s">
        <v>88</v>
      </c>
      <c r="E11273" s="423">
        <v>0.1379886188104012</v>
      </c>
      <c r="F11273" s="423">
        <v>2.6228502949272401E-3</v>
      </c>
      <c r="G11273" s="422">
        <v>935.96598037136619</v>
      </c>
      <c r="H11273" s="417" t="s">
        <v>2616</v>
      </c>
      <c r="I11273" s="417" t="s">
        <v>1392</v>
      </c>
      <c r="J11273" s="417" t="s">
        <v>24484</v>
      </c>
      <c r="K11273" s="417" t="s">
        <v>25054</v>
      </c>
      <c r="L11273" s="417"/>
      <c r="M11273" s="417" t="s">
        <v>28840</v>
      </c>
    </row>
    <row r="11274" spans="1:13" x14ac:dyDescent="0.25">
      <c r="A11274" s="417" t="s">
        <v>3385</v>
      </c>
      <c r="B11274" s="417" t="s">
        <v>2627</v>
      </c>
      <c r="C11274" s="417" t="s">
        <v>25055</v>
      </c>
      <c r="D11274" s="417" t="s">
        <v>88</v>
      </c>
      <c r="E11274" s="423">
        <v>0.21389644630790611</v>
      </c>
      <c r="F11274" s="423">
        <v>3.4933265810248842E-3</v>
      </c>
      <c r="G11274" s="422">
        <v>1179.101667467464</v>
      </c>
      <c r="H11274" s="417" t="s">
        <v>2616</v>
      </c>
      <c r="I11274" s="417" t="s">
        <v>1392</v>
      </c>
      <c r="J11274" s="417" t="s">
        <v>24491</v>
      </c>
      <c r="K11274" s="417" t="s">
        <v>25056</v>
      </c>
      <c r="L11274" s="417"/>
      <c r="M11274" s="417" t="s">
        <v>28840</v>
      </c>
    </row>
    <row r="11275" spans="1:13" x14ac:dyDescent="0.25">
      <c r="A11275" s="417" t="s">
        <v>3385</v>
      </c>
      <c r="B11275" s="417" t="s">
        <v>2627</v>
      </c>
      <c r="C11275" s="417" t="s">
        <v>25057</v>
      </c>
      <c r="D11275" s="417" t="s">
        <v>88</v>
      </c>
      <c r="E11275" s="423">
        <v>0.16564162961081791</v>
      </c>
      <c r="F11275" s="423">
        <v>3.3769066183219421E-3</v>
      </c>
      <c r="G11275" s="422">
        <v>1206.6811001314011</v>
      </c>
      <c r="H11275" s="417" t="s">
        <v>2616</v>
      </c>
      <c r="I11275" s="417" t="s">
        <v>1392</v>
      </c>
      <c r="J11275" s="417" t="s">
        <v>24484</v>
      </c>
      <c r="K11275" s="417" t="s">
        <v>25058</v>
      </c>
      <c r="L11275" s="417"/>
      <c r="M11275" s="417" t="s">
        <v>28840</v>
      </c>
    </row>
    <row r="11276" spans="1:13" x14ac:dyDescent="0.25">
      <c r="A11276" s="417" t="s">
        <v>3385</v>
      </c>
      <c r="B11276" s="417" t="s">
        <v>2627</v>
      </c>
      <c r="C11276" s="417" t="s">
        <v>25059</v>
      </c>
      <c r="D11276" s="417" t="s">
        <v>1052</v>
      </c>
      <c r="E11276" s="423">
        <v>494.23419067918388</v>
      </c>
      <c r="F11276" s="423">
        <v>4.5076757033926871</v>
      </c>
      <c r="G11276" s="422">
        <v>4852705.7682296</v>
      </c>
      <c r="H11276" s="417" t="s">
        <v>2616</v>
      </c>
      <c r="I11276" s="417" t="s">
        <v>1392</v>
      </c>
      <c r="J11276" s="417" t="s">
        <v>24484</v>
      </c>
      <c r="K11276" s="417" t="s">
        <v>25060</v>
      </c>
      <c r="L11276" s="417"/>
      <c r="M11276" s="417" t="s">
        <v>28840</v>
      </c>
    </row>
    <row r="11277" spans="1:13" x14ac:dyDescent="0.25">
      <c r="A11277" s="417" t="s">
        <v>3385</v>
      </c>
      <c r="B11277" s="417" t="s">
        <v>2627</v>
      </c>
      <c r="C11277" s="417" t="s">
        <v>25061</v>
      </c>
      <c r="D11277" s="417" t="s">
        <v>88</v>
      </c>
      <c r="E11277" s="423">
        <v>6.4794095532501643</v>
      </c>
      <c r="F11277" s="423">
        <v>0.30165050893782058</v>
      </c>
      <c r="G11277" s="422">
        <v>803149.27756944345</v>
      </c>
      <c r="H11277" s="417" t="s">
        <v>2616</v>
      </c>
      <c r="I11277" s="417" t="s">
        <v>1392</v>
      </c>
      <c r="J11277" s="417" t="s">
        <v>24424</v>
      </c>
      <c r="K11277" s="417" t="s">
        <v>25062</v>
      </c>
      <c r="L11277" s="417"/>
      <c r="M11277" s="417" t="s">
        <v>28840</v>
      </c>
    </row>
    <row r="11278" spans="1:13" x14ac:dyDescent="0.25">
      <c r="A11278" s="417" t="s">
        <v>3385</v>
      </c>
      <c r="B11278" s="417" t="s">
        <v>2627</v>
      </c>
      <c r="C11278" s="417" t="s">
        <v>25063</v>
      </c>
      <c r="D11278" s="417" t="s">
        <v>88</v>
      </c>
      <c r="E11278" s="423">
        <v>0.33742900650251939</v>
      </c>
      <c r="F11278" s="423">
        <v>2.3849982087216549E-2</v>
      </c>
      <c r="G11278" s="422">
        <v>596.78358558781258</v>
      </c>
      <c r="H11278" s="417" t="s">
        <v>2616</v>
      </c>
      <c r="I11278" s="417" t="s">
        <v>1392</v>
      </c>
      <c r="J11278" s="417" t="s">
        <v>24496</v>
      </c>
      <c r="K11278" s="417" t="s">
        <v>25064</v>
      </c>
      <c r="L11278" s="417"/>
      <c r="M11278" s="417" t="s">
        <v>28840</v>
      </c>
    </row>
    <row r="11279" spans="1:13" x14ac:dyDescent="0.25">
      <c r="A11279" s="417" t="s">
        <v>3385</v>
      </c>
      <c r="B11279" s="417" t="s">
        <v>2627</v>
      </c>
      <c r="C11279" s="417" t="s">
        <v>25065</v>
      </c>
      <c r="D11279" s="417" t="s">
        <v>83</v>
      </c>
      <c r="E11279" s="423">
        <v>0</v>
      </c>
      <c r="F11279" s="423">
        <v>0</v>
      </c>
      <c r="G11279" s="422">
        <v>35560</v>
      </c>
      <c r="H11279" s="417" t="s">
        <v>2616</v>
      </c>
      <c r="I11279" s="417" t="s">
        <v>1392</v>
      </c>
      <c r="J11279" s="417" t="s">
        <v>25066</v>
      </c>
      <c r="K11279" s="417" t="s">
        <v>25067</v>
      </c>
      <c r="L11279" s="417"/>
      <c r="M11279" s="417" t="s">
        <v>28840</v>
      </c>
    </row>
    <row r="11280" spans="1:13" x14ac:dyDescent="0.25">
      <c r="A11280" s="417" t="s">
        <v>3385</v>
      </c>
      <c r="B11280" s="417" t="s">
        <v>2627</v>
      </c>
      <c r="C11280" s="417" t="s">
        <v>25068</v>
      </c>
      <c r="D11280" s="417" t="s">
        <v>83</v>
      </c>
      <c r="E11280" s="423">
        <v>0</v>
      </c>
      <c r="F11280" s="423">
        <v>0</v>
      </c>
      <c r="G11280" s="422">
        <v>35560</v>
      </c>
      <c r="H11280" s="417" t="s">
        <v>2616</v>
      </c>
      <c r="I11280" s="417" t="s">
        <v>1392</v>
      </c>
      <c r="J11280" s="417" t="s">
        <v>25066</v>
      </c>
      <c r="K11280" s="417" t="s">
        <v>25069</v>
      </c>
      <c r="L11280" s="417"/>
      <c r="M11280" s="417" t="s">
        <v>28840</v>
      </c>
    </row>
    <row r="11281" spans="1:13" x14ac:dyDescent="0.25">
      <c r="A11281" s="417" t="s">
        <v>3385</v>
      </c>
      <c r="B11281" s="417" t="s">
        <v>2627</v>
      </c>
      <c r="C11281" s="417" t="s">
        <v>25070</v>
      </c>
      <c r="D11281" s="417" t="s">
        <v>88</v>
      </c>
      <c r="E11281" s="423">
        <v>9.4155814185747616E-2</v>
      </c>
      <c r="F11281" s="423">
        <v>1.5810271071315059E-2</v>
      </c>
      <c r="G11281" s="422">
        <v>1952.529006666138</v>
      </c>
      <c r="H11281" s="417" t="s">
        <v>2616</v>
      </c>
      <c r="I11281" s="417" t="s">
        <v>1392</v>
      </c>
      <c r="J11281" s="417" t="s">
        <v>24484</v>
      </c>
      <c r="K11281" s="417" t="s">
        <v>25071</v>
      </c>
      <c r="L11281" s="417"/>
      <c r="M11281" s="417" t="s">
        <v>28840</v>
      </c>
    </row>
    <row r="11282" spans="1:13" x14ac:dyDescent="0.25">
      <c r="A11282" s="417" t="s">
        <v>3385</v>
      </c>
      <c r="B11282" s="417" t="s">
        <v>2627</v>
      </c>
      <c r="C11282" s="417" t="s">
        <v>25072</v>
      </c>
      <c r="D11282" s="417" t="s">
        <v>88</v>
      </c>
      <c r="E11282" s="423">
        <v>0.20970603587437561</v>
      </c>
      <c r="F11282" s="423">
        <v>3.2204871568007103E-2</v>
      </c>
      <c r="G11282" s="422">
        <v>1190.851759826794</v>
      </c>
      <c r="H11282" s="417" t="s">
        <v>2616</v>
      </c>
      <c r="I11282" s="417" t="s">
        <v>1392</v>
      </c>
      <c r="J11282" s="417" t="s">
        <v>24484</v>
      </c>
      <c r="K11282" s="417" t="s">
        <v>25073</v>
      </c>
      <c r="L11282" s="417"/>
      <c r="M11282" s="417" t="s">
        <v>28840</v>
      </c>
    </row>
    <row r="11283" spans="1:13" x14ac:dyDescent="0.25">
      <c r="A11283" s="417" t="s">
        <v>3385</v>
      </c>
      <c r="B11283" s="417" t="s">
        <v>2627</v>
      </c>
      <c r="C11283" s="417" t="s">
        <v>25074</v>
      </c>
      <c r="D11283" s="417" t="s">
        <v>88</v>
      </c>
      <c r="E11283" s="423">
        <v>0.17841665757465699</v>
      </c>
      <c r="F11283" s="423">
        <v>3.2252411061586203E-2</v>
      </c>
      <c r="G11283" s="422">
        <v>1223.85508079694</v>
      </c>
      <c r="H11283" s="417" t="s">
        <v>2616</v>
      </c>
      <c r="I11283" s="417" t="s">
        <v>1392</v>
      </c>
      <c r="J11283" s="417" t="s">
        <v>24484</v>
      </c>
      <c r="K11283" s="417" t="s">
        <v>25075</v>
      </c>
      <c r="L11283" s="417"/>
      <c r="M11283" s="417" t="s">
        <v>28840</v>
      </c>
    </row>
    <row r="11284" spans="1:13" x14ac:dyDescent="0.25">
      <c r="A11284" s="417" t="s">
        <v>3385</v>
      </c>
      <c r="B11284" s="417" t="s">
        <v>3405</v>
      </c>
      <c r="C11284" s="417" t="s">
        <v>25076</v>
      </c>
      <c r="D11284" s="417" t="s">
        <v>73</v>
      </c>
      <c r="E11284" s="423">
        <v>1.5671062167226819E-2</v>
      </c>
      <c r="F11284" s="423">
        <v>2.6277967415657111E-3</v>
      </c>
      <c r="G11284" s="422">
        <v>61.100950559312551</v>
      </c>
      <c r="H11284" s="417" t="s">
        <v>2616</v>
      </c>
      <c r="I11284" s="417" t="s">
        <v>1392</v>
      </c>
      <c r="J11284" s="417" t="s">
        <v>11912</v>
      </c>
      <c r="K11284" s="417" t="s">
        <v>25077</v>
      </c>
      <c r="L11284" s="417"/>
      <c r="M11284" s="417" t="s">
        <v>28840</v>
      </c>
    </row>
    <row r="11285" spans="1:13" x14ac:dyDescent="0.25">
      <c r="A11285" s="417" t="s">
        <v>3385</v>
      </c>
      <c r="B11285" s="417" t="s">
        <v>3405</v>
      </c>
      <c r="C11285" s="417" t="s">
        <v>25078</v>
      </c>
      <c r="D11285" s="417" t="s">
        <v>73</v>
      </c>
      <c r="E11285" s="423">
        <v>4.0912388996848237E-2</v>
      </c>
      <c r="F11285" s="423">
        <v>3.8285698955132829E-3</v>
      </c>
      <c r="G11285" s="422">
        <v>77.103155977416534</v>
      </c>
      <c r="H11285" s="417" t="s">
        <v>2616</v>
      </c>
      <c r="I11285" s="417" t="s">
        <v>1392</v>
      </c>
      <c r="J11285" s="417" t="s">
        <v>11912</v>
      </c>
      <c r="K11285" s="417" t="s">
        <v>25079</v>
      </c>
      <c r="L11285" s="417"/>
      <c r="M11285" s="417" t="s">
        <v>28840</v>
      </c>
    </row>
    <row r="11286" spans="1:13" x14ac:dyDescent="0.25">
      <c r="A11286" s="417" t="s">
        <v>3385</v>
      </c>
      <c r="B11286" s="417" t="s">
        <v>3405</v>
      </c>
      <c r="C11286" s="417" t="s">
        <v>25080</v>
      </c>
      <c r="D11286" s="417" t="s">
        <v>73</v>
      </c>
      <c r="E11286" s="423">
        <v>0.14027181018714249</v>
      </c>
      <c r="F11286" s="423">
        <v>4.5147932412374089E-4</v>
      </c>
      <c r="G11286" s="422">
        <v>195.77643977740161</v>
      </c>
      <c r="H11286" s="417" t="s">
        <v>2616</v>
      </c>
      <c r="I11286" s="417" t="s">
        <v>1392</v>
      </c>
      <c r="J11286" s="417" t="s">
        <v>25081</v>
      </c>
      <c r="K11286" s="417" t="s">
        <v>25082</v>
      </c>
      <c r="L11286" s="417"/>
      <c r="M11286" s="417" t="s">
        <v>28840</v>
      </c>
    </row>
    <row r="11287" spans="1:13" x14ac:dyDescent="0.25">
      <c r="A11287" s="417" t="s">
        <v>3385</v>
      </c>
      <c r="B11287" s="417" t="s">
        <v>3405</v>
      </c>
      <c r="C11287" s="417" t="s">
        <v>25083</v>
      </c>
      <c r="D11287" s="417" t="s">
        <v>73</v>
      </c>
      <c r="E11287" s="423">
        <v>1.3736403664718649E-4</v>
      </c>
      <c r="F11287" s="423">
        <v>4.5388840200977746E-6</v>
      </c>
      <c r="G11287" s="422">
        <v>0.25947407192117339</v>
      </c>
      <c r="H11287" s="417" t="s">
        <v>2616</v>
      </c>
      <c r="I11287" s="417" t="s">
        <v>1392</v>
      </c>
      <c r="J11287" s="417" t="s">
        <v>24607</v>
      </c>
      <c r="K11287" s="417" t="s">
        <v>25084</v>
      </c>
      <c r="L11287" s="417"/>
      <c r="M11287" s="417" t="s">
        <v>28840</v>
      </c>
    </row>
    <row r="11288" spans="1:13" x14ac:dyDescent="0.25">
      <c r="A11288" s="417" t="s">
        <v>3385</v>
      </c>
      <c r="B11288" s="417" t="s">
        <v>3405</v>
      </c>
      <c r="C11288" s="417" t="s">
        <v>25085</v>
      </c>
      <c r="D11288" s="417" t="s">
        <v>73</v>
      </c>
      <c r="E11288" s="423">
        <v>8.9258783944297593E-2</v>
      </c>
      <c r="F11288" s="423">
        <v>3.9975530990229269E-4</v>
      </c>
      <c r="G11288" s="422">
        <v>111.46998493359671</v>
      </c>
      <c r="H11288" s="417" t="s">
        <v>2616</v>
      </c>
      <c r="I11288" s="417" t="s">
        <v>1392</v>
      </c>
      <c r="J11288" s="417" t="s">
        <v>24607</v>
      </c>
      <c r="K11288" s="417" t="s">
        <v>25086</v>
      </c>
      <c r="L11288" s="417"/>
      <c r="M11288" s="417" t="s">
        <v>28840</v>
      </c>
    </row>
    <row r="11289" spans="1:13" x14ac:dyDescent="0.25">
      <c r="A11289" s="417" t="s">
        <v>3385</v>
      </c>
      <c r="B11289" s="417" t="s">
        <v>3405</v>
      </c>
      <c r="C11289" s="417" t="s">
        <v>25087</v>
      </c>
      <c r="D11289" s="417" t="s">
        <v>73</v>
      </c>
      <c r="E11289" s="423">
        <v>0.14160251094059331</v>
      </c>
      <c r="F11289" s="423">
        <v>6.3186605999183162E-4</v>
      </c>
      <c r="G11289" s="422">
        <v>176.78666291661759</v>
      </c>
      <c r="H11289" s="417" t="s">
        <v>2616</v>
      </c>
      <c r="I11289" s="417" t="s">
        <v>1392</v>
      </c>
      <c r="J11289" s="417" t="s">
        <v>24607</v>
      </c>
      <c r="K11289" s="417" t="s">
        <v>25088</v>
      </c>
      <c r="L11289" s="417"/>
      <c r="M11289" s="417" t="s">
        <v>28840</v>
      </c>
    </row>
    <row r="11290" spans="1:13" x14ac:dyDescent="0.25">
      <c r="A11290" s="417" t="s">
        <v>3385</v>
      </c>
      <c r="B11290" s="417" t="s">
        <v>3405</v>
      </c>
      <c r="C11290" s="417" t="s">
        <v>25089</v>
      </c>
      <c r="D11290" s="417" t="s">
        <v>73</v>
      </c>
      <c r="E11290" s="423">
        <v>4.8234680624956068E-2</v>
      </c>
      <c r="F11290" s="423">
        <v>2.1782941832734439E-4</v>
      </c>
      <c r="G11290" s="422">
        <v>60.277847093004077</v>
      </c>
      <c r="H11290" s="417" t="s">
        <v>2616</v>
      </c>
      <c r="I11290" s="417" t="s">
        <v>1392</v>
      </c>
      <c r="J11290" s="417" t="s">
        <v>24607</v>
      </c>
      <c r="K11290" s="417" t="s">
        <v>25090</v>
      </c>
      <c r="L11290" s="417"/>
      <c r="M11290" s="417" t="s">
        <v>28840</v>
      </c>
    </row>
    <row r="11291" spans="1:13" x14ac:dyDescent="0.25">
      <c r="A11291" s="417" t="s">
        <v>3385</v>
      </c>
      <c r="B11291" s="417" t="s">
        <v>3405</v>
      </c>
      <c r="C11291" s="417" t="s">
        <v>25091</v>
      </c>
      <c r="D11291" s="417" t="s">
        <v>73</v>
      </c>
      <c r="E11291" s="423">
        <v>9.8932166100450969E-2</v>
      </c>
      <c r="F11291" s="423">
        <v>3.2951166883422742E-4</v>
      </c>
      <c r="G11291" s="422">
        <v>124.28315700051699</v>
      </c>
      <c r="H11291" s="417" t="s">
        <v>2616</v>
      </c>
      <c r="I11291" s="417" t="s">
        <v>1392</v>
      </c>
      <c r="J11291" s="417" t="s">
        <v>24607</v>
      </c>
      <c r="K11291" s="417" t="s">
        <v>25092</v>
      </c>
      <c r="L11291" s="417"/>
      <c r="M11291" s="417" t="s">
        <v>28840</v>
      </c>
    </row>
    <row r="11292" spans="1:13" x14ac:dyDescent="0.25">
      <c r="A11292" s="417" t="s">
        <v>3385</v>
      </c>
      <c r="B11292" s="417" t="s">
        <v>3405</v>
      </c>
      <c r="C11292" s="417" t="s">
        <v>25093</v>
      </c>
      <c r="D11292" s="417" t="s">
        <v>73</v>
      </c>
      <c r="E11292" s="423">
        <v>4.3193617916014266E-3</v>
      </c>
      <c r="F11292" s="423">
        <v>0.1232546743102195</v>
      </c>
      <c r="G11292" s="422">
        <v>43.785281186055172</v>
      </c>
      <c r="H11292" s="417" t="s">
        <v>2616</v>
      </c>
      <c r="I11292" s="417" t="s">
        <v>1392</v>
      </c>
      <c r="J11292" s="417" t="s">
        <v>24838</v>
      </c>
      <c r="K11292" s="417" t="s">
        <v>25094</v>
      </c>
      <c r="L11292" s="417"/>
      <c r="M11292" s="417" t="s">
        <v>28840</v>
      </c>
    </row>
    <row r="11293" spans="1:13" x14ac:dyDescent="0.25">
      <c r="A11293" s="417" t="s">
        <v>3385</v>
      </c>
      <c r="B11293" s="417" t="s">
        <v>3405</v>
      </c>
      <c r="C11293" s="417" t="s">
        <v>25095</v>
      </c>
      <c r="D11293" s="417" t="s">
        <v>73</v>
      </c>
      <c r="E11293" s="423">
        <v>3.747714008219463E-3</v>
      </c>
      <c r="F11293" s="423">
        <v>0.10695096590780109</v>
      </c>
      <c r="G11293" s="422">
        <v>37.991160602624127</v>
      </c>
      <c r="H11293" s="417" t="s">
        <v>2616</v>
      </c>
      <c r="I11293" s="417" t="s">
        <v>1392</v>
      </c>
      <c r="J11293" s="417" t="s">
        <v>24838</v>
      </c>
      <c r="K11293" s="417" t="s">
        <v>25096</v>
      </c>
      <c r="L11293" s="417"/>
      <c r="M11293" s="417" t="s">
        <v>28840</v>
      </c>
    </row>
    <row r="11294" spans="1:13" x14ac:dyDescent="0.25">
      <c r="A11294" s="417" t="s">
        <v>3385</v>
      </c>
      <c r="B11294" s="417" t="s">
        <v>3405</v>
      </c>
      <c r="C11294" s="417" t="s">
        <v>25097</v>
      </c>
      <c r="D11294" s="417" t="s">
        <v>73</v>
      </c>
      <c r="E11294" s="423">
        <v>4.4990378449333611E-3</v>
      </c>
      <c r="F11294" s="423">
        <v>0.12838526453411139</v>
      </c>
      <c r="G11294" s="422">
        <v>45.608133923131497</v>
      </c>
      <c r="H11294" s="417" t="s">
        <v>2616</v>
      </c>
      <c r="I11294" s="417" t="s">
        <v>1392</v>
      </c>
      <c r="J11294" s="417" t="s">
        <v>24838</v>
      </c>
      <c r="K11294" s="417" t="s">
        <v>25098</v>
      </c>
      <c r="L11294" s="417"/>
      <c r="M11294" s="417" t="s">
        <v>28840</v>
      </c>
    </row>
    <row r="11295" spans="1:13" x14ac:dyDescent="0.25">
      <c r="A11295" s="417" t="s">
        <v>3385</v>
      </c>
      <c r="B11295" s="417" t="s">
        <v>3405</v>
      </c>
      <c r="C11295" s="417" t="s">
        <v>25099</v>
      </c>
      <c r="D11295" s="417" t="s">
        <v>73</v>
      </c>
      <c r="E11295" s="423">
        <v>5.0580858816603614E-3</v>
      </c>
      <c r="F11295" s="423">
        <v>0.1235175053909025</v>
      </c>
      <c r="G11295" s="422">
        <v>23.16203170254208</v>
      </c>
      <c r="H11295" s="417" t="s">
        <v>2616</v>
      </c>
      <c r="I11295" s="417" t="s">
        <v>1392</v>
      </c>
      <c r="J11295" s="417" t="s">
        <v>24838</v>
      </c>
      <c r="K11295" s="417" t="s">
        <v>25100</v>
      </c>
      <c r="L11295" s="417"/>
      <c r="M11295" s="417" t="s">
        <v>28840</v>
      </c>
    </row>
    <row r="11296" spans="1:13" x14ac:dyDescent="0.25">
      <c r="A11296" s="417" t="s">
        <v>3385</v>
      </c>
      <c r="B11296" s="417" t="s">
        <v>3405</v>
      </c>
      <c r="C11296" s="417" t="s">
        <v>25101</v>
      </c>
      <c r="D11296" s="417" t="s">
        <v>73</v>
      </c>
      <c r="E11296" s="423">
        <v>4.411491871575102E-3</v>
      </c>
      <c r="F11296" s="423">
        <v>0.10772457921043049</v>
      </c>
      <c r="G11296" s="422">
        <v>20.200586867009982</v>
      </c>
      <c r="H11296" s="417" t="s">
        <v>2616</v>
      </c>
      <c r="I11296" s="417" t="s">
        <v>1392</v>
      </c>
      <c r="J11296" s="417" t="s">
        <v>24838</v>
      </c>
      <c r="K11296" s="417" t="s">
        <v>25102</v>
      </c>
      <c r="L11296" s="417"/>
      <c r="M11296" s="417" t="s">
        <v>28840</v>
      </c>
    </row>
    <row r="11297" spans="1:13" x14ac:dyDescent="0.25">
      <c r="A11297" s="417" t="s">
        <v>3385</v>
      </c>
      <c r="B11297" s="417" t="s">
        <v>3405</v>
      </c>
      <c r="C11297" s="417" t="s">
        <v>25103</v>
      </c>
      <c r="D11297" s="417" t="s">
        <v>73</v>
      </c>
      <c r="E11297" s="423">
        <v>5.2576569982272104E-3</v>
      </c>
      <c r="F11297" s="423">
        <v>0.12838765919437889</v>
      </c>
      <c r="G11297" s="422">
        <v>24.07592682998116</v>
      </c>
      <c r="H11297" s="417" t="s">
        <v>2616</v>
      </c>
      <c r="I11297" s="417" t="s">
        <v>1392</v>
      </c>
      <c r="J11297" s="417" t="s">
        <v>24838</v>
      </c>
      <c r="K11297" s="417" t="s">
        <v>25104</v>
      </c>
      <c r="L11297" s="417"/>
      <c r="M11297" s="417" t="s">
        <v>28840</v>
      </c>
    </row>
    <row r="11298" spans="1:13" x14ac:dyDescent="0.25">
      <c r="A11298" s="417" t="s">
        <v>3385</v>
      </c>
      <c r="B11298" s="417" t="s">
        <v>3405</v>
      </c>
      <c r="C11298" s="417" t="s">
        <v>25105</v>
      </c>
      <c r="D11298" s="417" t="s">
        <v>73</v>
      </c>
      <c r="E11298" s="423">
        <v>9.6530864737384339E-3</v>
      </c>
      <c r="F11298" s="423">
        <v>2.8320505296350641E-2</v>
      </c>
      <c r="G11298" s="422">
        <v>14.32468567757377</v>
      </c>
      <c r="H11298" s="417" t="s">
        <v>2616</v>
      </c>
      <c r="I11298" s="417" t="s">
        <v>1392</v>
      </c>
      <c r="J11298" s="417" t="s">
        <v>24849</v>
      </c>
      <c r="K11298" s="417" t="s">
        <v>25106</v>
      </c>
      <c r="L11298" s="417"/>
      <c r="M11298" s="417" t="s">
        <v>28840</v>
      </c>
    </row>
    <row r="11299" spans="1:13" x14ac:dyDescent="0.25">
      <c r="A11299" s="417" t="s">
        <v>3385</v>
      </c>
      <c r="B11299" s="417" t="s">
        <v>3405</v>
      </c>
      <c r="C11299" s="417" t="s">
        <v>25107</v>
      </c>
      <c r="D11299" s="417" t="s">
        <v>73</v>
      </c>
      <c r="E11299" s="423">
        <v>5.2572029407223428E-2</v>
      </c>
      <c r="F11299" s="423">
        <v>2.405966640893512E-4</v>
      </c>
      <c r="G11299" s="422">
        <v>66.966381911201609</v>
      </c>
      <c r="H11299" s="417" t="s">
        <v>2616</v>
      </c>
      <c r="I11299" s="417" t="s">
        <v>1392</v>
      </c>
      <c r="J11299" s="417" t="s">
        <v>24607</v>
      </c>
      <c r="K11299" s="417" t="s">
        <v>25108</v>
      </c>
      <c r="L11299" s="417"/>
      <c r="M11299" s="417" t="s">
        <v>28840</v>
      </c>
    </row>
    <row r="11300" spans="1:13" x14ac:dyDescent="0.25">
      <c r="A11300" s="417" t="s">
        <v>3385</v>
      </c>
      <c r="B11300" s="417" t="s">
        <v>3405</v>
      </c>
      <c r="C11300" s="417" t="s">
        <v>25109</v>
      </c>
      <c r="D11300" s="417" t="s">
        <v>73</v>
      </c>
      <c r="E11300" s="423">
        <v>9.7434611357422082E-2</v>
      </c>
      <c r="F11300" s="423">
        <v>4.3954223736667451E-4</v>
      </c>
      <c r="G11300" s="422">
        <v>122.94825645641311</v>
      </c>
      <c r="H11300" s="417" t="s">
        <v>2616</v>
      </c>
      <c r="I11300" s="417" t="s">
        <v>1392</v>
      </c>
      <c r="J11300" s="417" t="s">
        <v>24607</v>
      </c>
      <c r="K11300" s="417" t="s">
        <v>25110</v>
      </c>
      <c r="L11300" s="417"/>
      <c r="M11300" s="417" t="s">
        <v>28840</v>
      </c>
    </row>
    <row r="11301" spans="1:13" x14ac:dyDescent="0.25">
      <c r="A11301" s="417" t="s">
        <v>3385</v>
      </c>
      <c r="B11301" s="417" t="s">
        <v>3405</v>
      </c>
      <c r="C11301" s="417" t="s">
        <v>25111</v>
      </c>
      <c r="D11301" s="417" t="s">
        <v>73</v>
      </c>
      <c r="E11301" s="423">
        <v>6.9395732476836058E-2</v>
      </c>
      <c r="F11301" s="423">
        <v>3.1520193895535892E-4</v>
      </c>
      <c r="G11301" s="422">
        <v>87.959855926526004</v>
      </c>
      <c r="H11301" s="417" t="s">
        <v>2616</v>
      </c>
      <c r="I11301" s="417" t="s">
        <v>1392</v>
      </c>
      <c r="J11301" s="417" t="s">
        <v>24607</v>
      </c>
      <c r="K11301" s="417" t="s">
        <v>25112</v>
      </c>
      <c r="L11301" s="417"/>
      <c r="M11301" s="417" t="s">
        <v>28840</v>
      </c>
    </row>
    <row r="11302" spans="1:13" x14ac:dyDescent="0.25">
      <c r="A11302" s="417" t="s">
        <v>3385</v>
      </c>
      <c r="B11302" s="417" t="s">
        <v>3405</v>
      </c>
      <c r="C11302" s="417" t="s">
        <v>25113</v>
      </c>
      <c r="D11302" s="417" t="s">
        <v>73</v>
      </c>
      <c r="E11302" s="423">
        <v>0.1226718408020374</v>
      </c>
      <c r="F11302" s="423">
        <v>5.5144888058202219E-4</v>
      </c>
      <c r="G11302" s="422">
        <v>154.4400752290679</v>
      </c>
      <c r="H11302" s="417" t="s">
        <v>2616</v>
      </c>
      <c r="I11302" s="417" t="s">
        <v>1392</v>
      </c>
      <c r="J11302" s="417" t="s">
        <v>24607</v>
      </c>
      <c r="K11302" s="417" t="s">
        <v>25114</v>
      </c>
      <c r="L11302" s="417"/>
      <c r="M11302" s="417" t="s">
        <v>28840</v>
      </c>
    </row>
    <row r="11303" spans="1:13" x14ac:dyDescent="0.25">
      <c r="A11303" s="417" t="s">
        <v>3385</v>
      </c>
      <c r="B11303" s="417" t="s">
        <v>3405</v>
      </c>
      <c r="C11303" s="417" t="s">
        <v>25115</v>
      </c>
      <c r="D11303" s="417" t="s">
        <v>73</v>
      </c>
      <c r="E11303" s="423">
        <v>7.7106218778529328E-2</v>
      </c>
      <c r="F11303" s="423">
        <v>3.4939572120097E-4</v>
      </c>
      <c r="G11303" s="422">
        <v>97.581465872740324</v>
      </c>
      <c r="H11303" s="417" t="s">
        <v>2616</v>
      </c>
      <c r="I11303" s="417" t="s">
        <v>1392</v>
      </c>
      <c r="J11303" s="417" t="s">
        <v>24607</v>
      </c>
      <c r="K11303" s="417" t="s">
        <v>25116</v>
      </c>
      <c r="L11303" s="417"/>
      <c r="M11303" s="417" t="s">
        <v>28840</v>
      </c>
    </row>
    <row r="11304" spans="1:13" x14ac:dyDescent="0.25">
      <c r="A11304" s="417" t="s">
        <v>3385</v>
      </c>
      <c r="B11304" s="417" t="s">
        <v>3405</v>
      </c>
      <c r="C11304" s="417" t="s">
        <v>25117</v>
      </c>
      <c r="D11304" s="417" t="s">
        <v>73</v>
      </c>
      <c r="E11304" s="423">
        <v>8.7830040518442523E-2</v>
      </c>
      <c r="F11304" s="423">
        <v>4.1181088025780781E-4</v>
      </c>
      <c r="G11304" s="422">
        <v>110.3460537169767</v>
      </c>
      <c r="H11304" s="417" t="s">
        <v>2616</v>
      </c>
      <c r="I11304" s="417" t="s">
        <v>1392</v>
      </c>
      <c r="J11304" s="417" t="s">
        <v>24607</v>
      </c>
      <c r="K11304" s="417" t="s">
        <v>25118</v>
      </c>
      <c r="L11304" s="417"/>
      <c r="M11304" s="417" t="s">
        <v>28840</v>
      </c>
    </row>
    <row r="11305" spans="1:13" x14ac:dyDescent="0.25">
      <c r="A11305" s="417" t="s">
        <v>3385</v>
      </c>
      <c r="B11305" s="417" t="s">
        <v>3405</v>
      </c>
      <c r="C11305" s="417" t="s">
        <v>25119</v>
      </c>
      <c r="D11305" s="417" t="s">
        <v>73</v>
      </c>
      <c r="E11305" s="423">
        <v>0.1215316428565248</v>
      </c>
      <c r="F11305" s="423">
        <v>5.5910685345670805E-4</v>
      </c>
      <c r="G11305" s="422">
        <v>152.44638684259451</v>
      </c>
      <c r="H11305" s="417" t="s">
        <v>2616</v>
      </c>
      <c r="I11305" s="417" t="s">
        <v>1392</v>
      </c>
      <c r="J11305" s="417" t="s">
        <v>24607</v>
      </c>
      <c r="K11305" s="417" t="s">
        <v>25120</v>
      </c>
      <c r="L11305" s="417"/>
      <c r="M11305" s="417" t="s">
        <v>28840</v>
      </c>
    </row>
    <row r="11306" spans="1:13" x14ac:dyDescent="0.25">
      <c r="A11306" s="417" t="s">
        <v>3385</v>
      </c>
      <c r="B11306" s="417" t="s">
        <v>3405</v>
      </c>
      <c r="C11306" s="417" t="s">
        <v>25121</v>
      </c>
      <c r="D11306" s="417" t="s">
        <v>73</v>
      </c>
      <c r="E11306" s="423">
        <v>1.822337767246747E-2</v>
      </c>
      <c r="F11306" s="423">
        <v>3.5593182569583028E-2</v>
      </c>
      <c r="G11306" s="422">
        <v>24.008898029018258</v>
      </c>
      <c r="H11306" s="417" t="s">
        <v>2616</v>
      </c>
      <c r="I11306" s="417" t="s">
        <v>1392</v>
      </c>
      <c r="J11306" s="417" t="s">
        <v>24849</v>
      </c>
      <c r="K11306" s="417" t="s">
        <v>25122</v>
      </c>
      <c r="L11306" s="417"/>
      <c r="M11306" s="417" t="s">
        <v>28840</v>
      </c>
    </row>
    <row r="11307" spans="1:13" x14ac:dyDescent="0.25">
      <c r="A11307" s="417" t="s">
        <v>3385</v>
      </c>
      <c r="B11307" s="417" t="s">
        <v>3405</v>
      </c>
      <c r="C11307" s="417" t="s">
        <v>25123</v>
      </c>
      <c r="D11307" s="417" t="s">
        <v>73</v>
      </c>
      <c r="E11307" s="423">
        <v>1.1866730916534609E-2</v>
      </c>
      <c r="F11307" s="423">
        <v>1.890091023253998E-2</v>
      </c>
      <c r="G11307" s="422">
        <v>16.845345917795949</v>
      </c>
      <c r="H11307" s="417" t="s">
        <v>2616</v>
      </c>
      <c r="I11307" s="417" t="s">
        <v>1392</v>
      </c>
      <c r="J11307" s="417" t="s">
        <v>24849</v>
      </c>
      <c r="K11307" s="417" t="s">
        <v>25124</v>
      </c>
      <c r="L11307" s="417"/>
      <c r="M11307" s="417" t="s">
        <v>28840</v>
      </c>
    </row>
    <row r="11308" spans="1:13" x14ac:dyDescent="0.25">
      <c r="A11308" s="417" t="s">
        <v>3385</v>
      </c>
      <c r="B11308" s="417" t="s">
        <v>3405</v>
      </c>
      <c r="C11308" s="417" t="s">
        <v>25125</v>
      </c>
      <c r="D11308" s="417" t="s">
        <v>73</v>
      </c>
      <c r="E11308" s="423">
        <v>1.0945032832872671E-2</v>
      </c>
      <c r="F11308" s="423">
        <v>2.0635808811926701E-2</v>
      </c>
      <c r="G11308" s="422">
        <v>14.58566129548853</v>
      </c>
      <c r="H11308" s="417" t="s">
        <v>2616</v>
      </c>
      <c r="I11308" s="417" t="s">
        <v>1392</v>
      </c>
      <c r="J11308" s="417" t="s">
        <v>24849</v>
      </c>
      <c r="K11308" s="417" t="s">
        <v>25126</v>
      </c>
      <c r="L11308" s="417"/>
      <c r="M11308" s="417" t="s">
        <v>28840</v>
      </c>
    </row>
    <row r="11309" spans="1:13" x14ac:dyDescent="0.25">
      <c r="A11309" s="417" t="s">
        <v>3385</v>
      </c>
      <c r="B11309" s="417" t="s">
        <v>3405</v>
      </c>
      <c r="C11309" s="417" t="s">
        <v>25127</v>
      </c>
      <c r="D11309" s="417" t="s">
        <v>73</v>
      </c>
      <c r="E11309" s="423">
        <v>1.2817117851303459E-2</v>
      </c>
      <c r="F11309" s="423">
        <v>2.4303618686372271E-2</v>
      </c>
      <c r="G11309" s="422">
        <v>16.934589439871989</v>
      </c>
      <c r="H11309" s="417" t="s">
        <v>2616</v>
      </c>
      <c r="I11309" s="417" t="s">
        <v>1392</v>
      </c>
      <c r="J11309" s="417" t="s">
        <v>24849</v>
      </c>
      <c r="K11309" s="417" t="s">
        <v>25128</v>
      </c>
      <c r="L11309" s="417"/>
      <c r="M11309" s="417" t="s">
        <v>28840</v>
      </c>
    </row>
    <row r="11310" spans="1:13" x14ac:dyDescent="0.25">
      <c r="A11310" s="417" t="s">
        <v>3385</v>
      </c>
      <c r="B11310" s="417" t="s">
        <v>3405</v>
      </c>
      <c r="C11310" s="417" t="s">
        <v>25129</v>
      </c>
      <c r="D11310" s="417" t="s">
        <v>73</v>
      </c>
      <c r="E11310" s="423">
        <v>3.0102315261548399E-2</v>
      </c>
      <c r="F11310" s="423">
        <v>5.7410002805648619E-2</v>
      </c>
      <c r="G11310" s="422">
        <v>42.303784492381112</v>
      </c>
      <c r="H11310" s="417" t="s">
        <v>2616</v>
      </c>
      <c r="I11310" s="417" t="s">
        <v>1392</v>
      </c>
      <c r="J11310" s="417" t="s">
        <v>11912</v>
      </c>
      <c r="K11310" s="417" t="s">
        <v>25130</v>
      </c>
      <c r="L11310" s="417"/>
      <c r="M11310" s="417" t="s">
        <v>28840</v>
      </c>
    </row>
    <row r="11311" spans="1:13" x14ac:dyDescent="0.25">
      <c r="A11311" s="417" t="s">
        <v>3385</v>
      </c>
      <c r="B11311" s="417" t="s">
        <v>3405</v>
      </c>
      <c r="C11311" s="417" t="s">
        <v>25131</v>
      </c>
      <c r="D11311" s="417" t="s">
        <v>73</v>
      </c>
      <c r="E11311" s="423">
        <v>1.3274124595157359E-2</v>
      </c>
      <c r="F11311" s="423">
        <v>4.4192869814919852E-4</v>
      </c>
      <c r="G11311" s="422">
        <v>36.467999035790108</v>
      </c>
      <c r="H11311" s="417" t="s">
        <v>2616</v>
      </c>
      <c r="I11311" s="417" t="s">
        <v>1392</v>
      </c>
      <c r="J11311" s="417" t="s">
        <v>25132</v>
      </c>
      <c r="K11311" s="417" t="s">
        <v>25133</v>
      </c>
      <c r="L11311" s="417"/>
      <c r="M11311" s="417" t="s">
        <v>28840</v>
      </c>
    </row>
    <row r="11312" spans="1:13" x14ac:dyDescent="0.25">
      <c r="A11312" s="417" t="s">
        <v>3385</v>
      </c>
      <c r="B11312" s="417" t="s">
        <v>3405</v>
      </c>
      <c r="C11312" s="417" t="s">
        <v>25134</v>
      </c>
      <c r="D11312" s="417" t="s">
        <v>73</v>
      </c>
      <c r="E11312" s="423">
        <v>6.4276120846050409E-3</v>
      </c>
      <c r="F11312" s="423">
        <v>2.1399082244751699E-4</v>
      </c>
      <c r="G11312" s="422">
        <v>17.658588938097491</v>
      </c>
      <c r="H11312" s="417" t="s">
        <v>2616</v>
      </c>
      <c r="I11312" s="417" t="s">
        <v>1392</v>
      </c>
      <c r="J11312" s="417" t="s">
        <v>25132</v>
      </c>
      <c r="K11312" s="417" t="s">
        <v>25135</v>
      </c>
      <c r="L11312" s="417"/>
      <c r="M11312" s="417" t="s">
        <v>28840</v>
      </c>
    </row>
    <row r="11313" spans="1:13" x14ac:dyDescent="0.25">
      <c r="A11313" s="417" t="s">
        <v>3385</v>
      </c>
      <c r="B11313" s="417" t="s">
        <v>3405</v>
      </c>
      <c r="C11313" s="417" t="s">
        <v>25136</v>
      </c>
      <c r="D11313" s="417" t="s">
        <v>73</v>
      </c>
      <c r="E11313" s="423">
        <v>1.384765438551509E-2</v>
      </c>
      <c r="F11313" s="423">
        <v>2.250966203624269E-3</v>
      </c>
      <c r="G11313" s="422">
        <v>53.862696623502877</v>
      </c>
      <c r="H11313" s="417" t="s">
        <v>2616</v>
      </c>
      <c r="I11313" s="417" t="s">
        <v>1392</v>
      </c>
      <c r="J11313" s="417" t="s">
        <v>11912</v>
      </c>
      <c r="K11313" s="417" t="s">
        <v>25137</v>
      </c>
      <c r="L11313" s="417"/>
      <c r="M11313" s="417" t="s">
        <v>28840</v>
      </c>
    </row>
    <row r="11314" spans="1:13" x14ac:dyDescent="0.25">
      <c r="A11314" s="417" t="s">
        <v>3385</v>
      </c>
      <c r="B11314" s="417" t="s">
        <v>3405</v>
      </c>
      <c r="C11314" s="417" t="s">
        <v>25138</v>
      </c>
      <c r="D11314" s="417" t="s">
        <v>73</v>
      </c>
      <c r="E11314" s="423">
        <v>2.988906350253508E-2</v>
      </c>
      <c r="F11314" s="423">
        <v>2.7892723339861189E-3</v>
      </c>
      <c r="G11314" s="422">
        <v>58.954916116562323</v>
      </c>
      <c r="H11314" s="417" t="s">
        <v>2616</v>
      </c>
      <c r="I11314" s="417" t="s">
        <v>1392</v>
      </c>
      <c r="J11314" s="417" t="s">
        <v>11912</v>
      </c>
      <c r="K11314" s="417" t="s">
        <v>25139</v>
      </c>
      <c r="L11314" s="417"/>
      <c r="M11314" s="417" t="s">
        <v>28840</v>
      </c>
    </row>
    <row r="11315" spans="1:13" x14ac:dyDescent="0.25">
      <c r="A11315" s="417" t="s">
        <v>3385</v>
      </c>
      <c r="B11315" s="417" t="s">
        <v>3405</v>
      </c>
      <c r="C11315" s="417" t="s">
        <v>25140</v>
      </c>
      <c r="D11315" s="417" t="s">
        <v>73</v>
      </c>
      <c r="E11315" s="423">
        <v>0.1900377272068762</v>
      </c>
      <c r="F11315" s="423">
        <v>3.4387177703776539E-4</v>
      </c>
      <c r="G11315" s="422">
        <v>291.76982723585832</v>
      </c>
      <c r="H11315" s="417" t="s">
        <v>2616</v>
      </c>
      <c r="I11315" s="417" t="s">
        <v>1392</v>
      </c>
      <c r="J11315" s="417" t="s">
        <v>25141</v>
      </c>
      <c r="K11315" s="417" t="s">
        <v>25142</v>
      </c>
      <c r="L11315" s="417"/>
      <c r="M11315" s="417" t="s">
        <v>28840</v>
      </c>
    </row>
    <row r="11316" spans="1:13" x14ac:dyDescent="0.25">
      <c r="A11316" s="417" t="s">
        <v>3385</v>
      </c>
      <c r="B11316" s="417" t="s">
        <v>3405</v>
      </c>
      <c r="C11316" s="417" t="s">
        <v>25143</v>
      </c>
      <c r="D11316" s="417" t="s">
        <v>73</v>
      </c>
      <c r="E11316" s="423">
        <v>3.5416495595820448E-2</v>
      </c>
      <c r="F11316" s="423">
        <v>1.5583021322829329E-4</v>
      </c>
      <c r="G11316" s="422">
        <v>44.553661770927839</v>
      </c>
      <c r="H11316" s="417" t="s">
        <v>2616</v>
      </c>
      <c r="I11316" s="417" t="s">
        <v>1392</v>
      </c>
      <c r="J11316" s="417" t="s">
        <v>24607</v>
      </c>
      <c r="K11316" s="417" t="s">
        <v>25144</v>
      </c>
      <c r="L11316" s="417"/>
      <c r="M11316" s="417" t="s">
        <v>28840</v>
      </c>
    </row>
    <row r="11317" spans="1:13" x14ac:dyDescent="0.25">
      <c r="A11317" s="417" t="s">
        <v>3385</v>
      </c>
      <c r="B11317" s="417" t="s">
        <v>3405</v>
      </c>
      <c r="C11317" s="417" t="s">
        <v>25145</v>
      </c>
      <c r="D11317" s="417" t="s">
        <v>73</v>
      </c>
      <c r="E11317" s="423">
        <v>2.1352726109112059E-2</v>
      </c>
      <c r="F11317" s="423">
        <v>1.11378152035622E-4</v>
      </c>
      <c r="G11317" s="422">
        <v>27.040017970055342</v>
      </c>
      <c r="H11317" s="417" t="s">
        <v>2616</v>
      </c>
      <c r="I11317" s="417" t="s">
        <v>1392</v>
      </c>
      <c r="J11317" s="417" t="s">
        <v>24607</v>
      </c>
      <c r="K11317" s="417" t="s">
        <v>25146</v>
      </c>
      <c r="L11317" s="417"/>
      <c r="M11317" s="417" t="s">
        <v>28840</v>
      </c>
    </row>
    <row r="11318" spans="1:13" x14ac:dyDescent="0.25">
      <c r="A11318" s="417" t="s">
        <v>3385</v>
      </c>
      <c r="B11318" s="417" t="s">
        <v>3405</v>
      </c>
      <c r="C11318" s="417" t="s">
        <v>25147</v>
      </c>
      <c r="D11318" s="417" t="s">
        <v>73</v>
      </c>
      <c r="E11318" s="423">
        <v>2.5074962775387819E-2</v>
      </c>
      <c r="F11318" s="423">
        <v>1.2999289334004861E-4</v>
      </c>
      <c r="G11318" s="422">
        <v>31.60290875698384</v>
      </c>
      <c r="H11318" s="417" t="s">
        <v>2616</v>
      </c>
      <c r="I11318" s="417" t="s">
        <v>1392</v>
      </c>
      <c r="J11318" s="417" t="s">
        <v>24607</v>
      </c>
      <c r="K11318" s="417" t="s">
        <v>25148</v>
      </c>
      <c r="L11318" s="417"/>
      <c r="M11318" s="417" t="s">
        <v>28840</v>
      </c>
    </row>
    <row r="11319" spans="1:13" x14ac:dyDescent="0.25">
      <c r="A11319" s="417" t="s">
        <v>3385</v>
      </c>
      <c r="B11319" s="417" t="s">
        <v>3405</v>
      </c>
      <c r="C11319" s="417" t="s">
        <v>25149</v>
      </c>
      <c r="D11319" s="417" t="s">
        <v>73</v>
      </c>
      <c r="E11319" s="423">
        <v>7.8048623159809247E-2</v>
      </c>
      <c r="F11319" s="423">
        <v>5.3896535823265911E-4</v>
      </c>
      <c r="G11319" s="422">
        <v>99.190381452252097</v>
      </c>
      <c r="H11319" s="417" t="s">
        <v>2616</v>
      </c>
      <c r="I11319" s="417" t="s">
        <v>1392</v>
      </c>
      <c r="J11319" s="417" t="s">
        <v>25150</v>
      </c>
      <c r="K11319" s="417" t="s">
        <v>25151</v>
      </c>
      <c r="L11319" s="417"/>
      <c r="M11319" s="417" t="s">
        <v>28840</v>
      </c>
    </row>
    <row r="11320" spans="1:13" x14ac:dyDescent="0.25">
      <c r="A11320" s="417" t="s">
        <v>3385</v>
      </c>
      <c r="B11320" s="417" t="s">
        <v>3405</v>
      </c>
      <c r="C11320" s="417" t="s">
        <v>25152</v>
      </c>
      <c r="D11320" s="417" t="s">
        <v>73</v>
      </c>
      <c r="E11320" s="423">
        <v>8.5072999241972466E-2</v>
      </c>
      <c r="F11320" s="423">
        <v>5.8747224086137676E-4</v>
      </c>
      <c r="G11320" s="422">
        <v>108.1169860061366</v>
      </c>
      <c r="H11320" s="417" t="s">
        <v>2616</v>
      </c>
      <c r="I11320" s="417" t="s">
        <v>1392</v>
      </c>
      <c r="J11320" s="417" t="s">
        <v>25150</v>
      </c>
      <c r="K11320" s="417" t="s">
        <v>25153</v>
      </c>
      <c r="L11320" s="417"/>
      <c r="M11320" s="417" t="s">
        <v>28840</v>
      </c>
    </row>
    <row r="11321" spans="1:13" x14ac:dyDescent="0.25">
      <c r="A11321" s="417" t="s">
        <v>3385</v>
      </c>
      <c r="B11321" s="417" t="s">
        <v>3405</v>
      </c>
      <c r="C11321" s="417" t="s">
        <v>25154</v>
      </c>
      <c r="D11321" s="417" t="s">
        <v>73</v>
      </c>
      <c r="E11321" s="423">
        <v>8.1610912733600521E-2</v>
      </c>
      <c r="F11321" s="423">
        <v>4.3254488509803771E-4</v>
      </c>
      <c r="G11321" s="422">
        <v>102.54758591955439</v>
      </c>
      <c r="H11321" s="417" t="s">
        <v>2616</v>
      </c>
      <c r="I11321" s="417" t="s">
        <v>1392</v>
      </c>
      <c r="J11321" s="417" t="s">
        <v>25150</v>
      </c>
      <c r="K11321" s="417" t="s">
        <v>25155</v>
      </c>
      <c r="L11321" s="417"/>
      <c r="M11321" s="417" t="s">
        <v>28840</v>
      </c>
    </row>
    <row r="11322" spans="1:13" x14ac:dyDescent="0.25">
      <c r="A11322" s="417" t="s">
        <v>3385</v>
      </c>
      <c r="B11322" s="417" t="s">
        <v>3405</v>
      </c>
      <c r="C11322" s="417" t="s">
        <v>25156</v>
      </c>
      <c r="D11322" s="417" t="s">
        <v>73</v>
      </c>
      <c r="E11322" s="423">
        <v>8.7531916624129236E-2</v>
      </c>
      <c r="F11322" s="423">
        <v>7.0943690131597653E-4</v>
      </c>
      <c r="G11322" s="422">
        <v>111.8035462692833</v>
      </c>
      <c r="H11322" s="417" t="s">
        <v>2616</v>
      </c>
      <c r="I11322" s="417" t="s">
        <v>1392</v>
      </c>
      <c r="J11322" s="417" t="s">
        <v>25150</v>
      </c>
      <c r="K11322" s="417" t="s">
        <v>25157</v>
      </c>
      <c r="L11322" s="417"/>
      <c r="M11322" s="417" t="s">
        <v>28840</v>
      </c>
    </row>
    <row r="11323" spans="1:13" x14ac:dyDescent="0.25">
      <c r="A11323" s="417" t="s">
        <v>3385</v>
      </c>
      <c r="B11323" s="417" t="s">
        <v>3405</v>
      </c>
      <c r="C11323" s="417" t="s">
        <v>25158</v>
      </c>
      <c r="D11323" s="417" t="s">
        <v>73</v>
      </c>
      <c r="E11323" s="423">
        <v>8.1870947930919313E-2</v>
      </c>
      <c r="F11323" s="423">
        <v>4.647429622861829E-4</v>
      </c>
      <c r="G11323" s="422">
        <v>103.1660729272345</v>
      </c>
      <c r="H11323" s="417" t="s">
        <v>2616</v>
      </c>
      <c r="I11323" s="417" t="s">
        <v>1392</v>
      </c>
      <c r="J11323" s="417" t="s">
        <v>25150</v>
      </c>
      <c r="K11323" s="417" t="s">
        <v>25159</v>
      </c>
      <c r="L11323" s="417"/>
      <c r="M11323" s="417" t="s">
        <v>28840</v>
      </c>
    </row>
    <row r="11324" spans="1:13" x14ac:dyDescent="0.25">
      <c r="A11324" s="417" t="s">
        <v>3385</v>
      </c>
      <c r="B11324" s="417" t="s">
        <v>3405</v>
      </c>
      <c r="C11324" s="417" t="s">
        <v>25160</v>
      </c>
      <c r="D11324" s="417" t="s">
        <v>73</v>
      </c>
      <c r="E11324" s="423">
        <v>8.0326213066280072E-2</v>
      </c>
      <c r="F11324" s="423">
        <v>4.5597422717394019E-4</v>
      </c>
      <c r="G11324" s="422">
        <v>101.1417304540465</v>
      </c>
      <c r="H11324" s="417" t="s">
        <v>2616</v>
      </c>
      <c r="I11324" s="417" t="s">
        <v>1392</v>
      </c>
      <c r="J11324" s="417" t="s">
        <v>25150</v>
      </c>
      <c r="K11324" s="417" t="s">
        <v>25161</v>
      </c>
      <c r="L11324" s="417"/>
      <c r="M11324" s="417" t="s">
        <v>28840</v>
      </c>
    </row>
    <row r="11325" spans="1:13" x14ac:dyDescent="0.25">
      <c r="A11325" s="417" t="s">
        <v>3385</v>
      </c>
      <c r="B11325" s="417" t="s">
        <v>3405</v>
      </c>
      <c r="C11325" s="417" t="s">
        <v>25162</v>
      </c>
      <c r="D11325" s="417" t="s">
        <v>73</v>
      </c>
      <c r="E11325" s="423">
        <v>7.5919047638534701E-2</v>
      </c>
      <c r="F11325" s="423">
        <v>3.0209296972573781E-4</v>
      </c>
      <c r="G11325" s="422">
        <v>94.248795410536658</v>
      </c>
      <c r="H11325" s="417" t="s">
        <v>2616</v>
      </c>
      <c r="I11325" s="417" t="s">
        <v>1392</v>
      </c>
      <c r="J11325" s="417" t="s">
        <v>25150</v>
      </c>
      <c r="K11325" s="417" t="s">
        <v>25163</v>
      </c>
      <c r="L11325" s="417"/>
      <c r="M11325" s="417" t="s">
        <v>28840</v>
      </c>
    </row>
    <row r="11326" spans="1:13" x14ac:dyDescent="0.25">
      <c r="A11326" s="417" t="s">
        <v>3385</v>
      </c>
      <c r="B11326" s="417" t="s">
        <v>3405</v>
      </c>
      <c r="C11326" s="417" t="s">
        <v>25164</v>
      </c>
      <c r="D11326" s="417" t="s">
        <v>73</v>
      </c>
      <c r="E11326" s="423">
        <v>5.900739165660257E-2</v>
      </c>
      <c r="F11326" s="423">
        <v>4.0164909374855521E-4</v>
      </c>
      <c r="G11326" s="422">
        <v>76.900314445854221</v>
      </c>
      <c r="H11326" s="417" t="s">
        <v>2616</v>
      </c>
      <c r="I11326" s="417" t="s">
        <v>1392</v>
      </c>
      <c r="J11326" s="417" t="s">
        <v>11912</v>
      </c>
      <c r="K11326" s="417" t="s">
        <v>25165</v>
      </c>
      <c r="L11326" s="417"/>
      <c r="M11326" s="417" t="s">
        <v>28840</v>
      </c>
    </row>
    <row r="11327" spans="1:13" x14ac:dyDescent="0.25">
      <c r="A11327" s="417" t="s">
        <v>3385</v>
      </c>
      <c r="B11327" s="417" t="s">
        <v>3405</v>
      </c>
      <c r="C11327" s="417" t="s">
        <v>25166</v>
      </c>
      <c r="D11327" s="417" t="s">
        <v>73</v>
      </c>
      <c r="E11327" s="423">
        <v>3.7194376405803812E-3</v>
      </c>
      <c r="F11327" s="423">
        <v>3.1296033135335369E-2</v>
      </c>
      <c r="G11327" s="422">
        <v>10.59434253571637</v>
      </c>
      <c r="H11327" s="417" t="s">
        <v>2616</v>
      </c>
      <c r="I11327" s="417" t="s">
        <v>1392</v>
      </c>
      <c r="J11327" s="417" t="s">
        <v>24849</v>
      </c>
      <c r="K11327" s="417" t="s">
        <v>25167</v>
      </c>
      <c r="L11327" s="417"/>
      <c r="M11327" s="417" t="s">
        <v>28840</v>
      </c>
    </row>
    <row r="11328" spans="1:13" x14ac:dyDescent="0.25">
      <c r="A11328" s="417" t="s">
        <v>3385</v>
      </c>
      <c r="B11328" s="417" t="s">
        <v>3405</v>
      </c>
      <c r="C11328" s="417" t="s">
        <v>25168</v>
      </c>
      <c r="D11328" s="417" t="s">
        <v>88</v>
      </c>
      <c r="E11328" s="423">
        <v>4.0671357918607853</v>
      </c>
      <c r="F11328" s="423">
        <v>6.0228189602688264E-3</v>
      </c>
      <c r="G11328" s="422">
        <v>5798.1616479833519</v>
      </c>
      <c r="H11328" s="417" t="s">
        <v>2616</v>
      </c>
      <c r="I11328" s="417" t="s">
        <v>1392</v>
      </c>
      <c r="J11328" s="417" t="s">
        <v>25169</v>
      </c>
      <c r="K11328" s="417" t="s">
        <v>25170</v>
      </c>
      <c r="L11328" s="417"/>
      <c r="M11328" s="417" t="s">
        <v>28840</v>
      </c>
    </row>
    <row r="11329" spans="1:13" x14ac:dyDescent="0.25">
      <c r="A11329" s="417" t="s">
        <v>3385</v>
      </c>
      <c r="B11329" s="417" t="s">
        <v>3405</v>
      </c>
      <c r="C11329" s="417" t="s">
        <v>25171</v>
      </c>
      <c r="D11329" s="417" t="s">
        <v>88</v>
      </c>
      <c r="E11329" s="423">
        <v>3.8881457359830862</v>
      </c>
      <c r="F11329" s="423">
        <v>7.6803393701649304E-3</v>
      </c>
      <c r="G11329" s="422">
        <v>5766.1442222719888</v>
      </c>
      <c r="H11329" s="417" t="s">
        <v>2616</v>
      </c>
      <c r="I11329" s="417" t="s">
        <v>1392</v>
      </c>
      <c r="J11329" s="417" t="s">
        <v>25169</v>
      </c>
      <c r="K11329" s="417" t="s">
        <v>25172</v>
      </c>
      <c r="L11329" s="417"/>
      <c r="M11329" s="417" t="s">
        <v>28840</v>
      </c>
    </row>
    <row r="11330" spans="1:13" x14ac:dyDescent="0.25">
      <c r="A11330" s="417" t="s">
        <v>3385</v>
      </c>
      <c r="B11330" s="417" t="s">
        <v>2437</v>
      </c>
      <c r="C11330" s="417" t="s">
        <v>25173</v>
      </c>
      <c r="D11330" s="417" t="s">
        <v>989</v>
      </c>
      <c r="E11330" s="423">
        <v>3126.690962079856</v>
      </c>
      <c r="F11330" s="423">
        <v>47.199673479853367</v>
      </c>
      <c r="G11330" s="422">
        <v>6724512.1050621364</v>
      </c>
      <c r="H11330" s="417" t="s">
        <v>2616</v>
      </c>
      <c r="I11330" s="417" t="s">
        <v>1392</v>
      </c>
      <c r="J11330" s="417" t="s">
        <v>24445</v>
      </c>
      <c r="K11330" s="417" t="s">
        <v>25174</v>
      </c>
      <c r="L11330" s="417"/>
      <c r="M11330" s="417" t="s">
        <v>28840</v>
      </c>
    </row>
    <row r="11331" spans="1:13" x14ac:dyDescent="0.25">
      <c r="A11331" s="417" t="s">
        <v>3385</v>
      </c>
      <c r="B11331" s="417" t="s">
        <v>2627</v>
      </c>
      <c r="C11331" s="417" t="s">
        <v>25175</v>
      </c>
      <c r="D11331" s="417" t="s">
        <v>88</v>
      </c>
      <c r="E11331" s="423">
        <v>8.7282844401298956</v>
      </c>
      <c r="F11331" s="423">
        <v>0.35497189138070318</v>
      </c>
      <c r="G11331" s="422">
        <v>20815.006778069219</v>
      </c>
      <c r="H11331" s="417" t="s">
        <v>2616</v>
      </c>
      <c r="I11331" s="417" t="s">
        <v>1392</v>
      </c>
      <c r="J11331" s="417" t="s">
        <v>24424</v>
      </c>
      <c r="K11331" s="417" t="s">
        <v>25176</v>
      </c>
      <c r="L11331" s="417"/>
      <c r="M11331" s="417" t="s">
        <v>28840</v>
      </c>
    </row>
    <row r="11332" spans="1:13" x14ac:dyDescent="0.25">
      <c r="A11332" s="417" t="s">
        <v>3385</v>
      </c>
      <c r="B11332" s="417" t="s">
        <v>2627</v>
      </c>
      <c r="C11332" s="417" t="s">
        <v>1049</v>
      </c>
      <c r="D11332" s="417" t="s">
        <v>88</v>
      </c>
      <c r="E11332" s="423">
        <v>0.23006971170163851</v>
      </c>
      <c r="F11332" s="423">
        <v>6.6151327975191654E-3</v>
      </c>
      <c r="G11332" s="422">
        <v>419.96410972081043</v>
      </c>
      <c r="H11332" s="417" t="s">
        <v>2616</v>
      </c>
      <c r="I11332" s="417" t="s">
        <v>28841</v>
      </c>
      <c r="J11332" s="417" t="s">
        <v>24579</v>
      </c>
      <c r="K11332" s="417" t="s">
        <v>25177</v>
      </c>
      <c r="L11332" s="417"/>
      <c r="M11332" s="417" t="s">
        <v>28840</v>
      </c>
    </row>
    <row r="11333" spans="1:13" x14ac:dyDescent="0.25">
      <c r="A11333" s="417" t="s">
        <v>3385</v>
      </c>
      <c r="B11333" s="417" t="s">
        <v>3655</v>
      </c>
      <c r="C11333" s="417" t="s">
        <v>25178</v>
      </c>
      <c r="D11333" s="417" t="s">
        <v>88</v>
      </c>
      <c r="E11333" s="423">
        <v>0.67439482213216395</v>
      </c>
      <c r="F11333" s="423">
        <v>0.1650381004346517</v>
      </c>
      <c r="G11333" s="422">
        <v>1248.198656617004</v>
      </c>
      <c r="H11333" s="417" t="s">
        <v>2616</v>
      </c>
      <c r="I11333" s="417" t="s">
        <v>1392</v>
      </c>
      <c r="J11333" s="417" t="s">
        <v>24559</v>
      </c>
      <c r="K11333" s="417" t="s">
        <v>25179</v>
      </c>
      <c r="L11333" s="417"/>
      <c r="M11333" s="417" t="s">
        <v>28840</v>
      </c>
    </row>
    <row r="11334" spans="1:13" x14ac:dyDescent="0.25">
      <c r="A11334" s="417" t="s">
        <v>3385</v>
      </c>
      <c r="B11334" s="417" t="s">
        <v>3655</v>
      </c>
      <c r="C11334" s="417" t="s">
        <v>25180</v>
      </c>
      <c r="D11334" s="417" t="s">
        <v>88</v>
      </c>
      <c r="E11334" s="423">
        <v>0.7344325036515883</v>
      </c>
      <c r="F11334" s="423">
        <v>0.17243728702400529</v>
      </c>
      <c r="G11334" s="422">
        <v>1375.6774615946731</v>
      </c>
      <c r="H11334" s="417" t="s">
        <v>2616</v>
      </c>
      <c r="I11334" s="417" t="s">
        <v>1392</v>
      </c>
      <c r="J11334" s="417" t="s">
        <v>24559</v>
      </c>
      <c r="K11334" s="417" t="s">
        <v>25181</v>
      </c>
      <c r="L11334" s="417"/>
      <c r="M11334" s="417" t="s">
        <v>28840</v>
      </c>
    </row>
    <row r="11335" spans="1:13" x14ac:dyDescent="0.25">
      <c r="A11335" s="417" t="s">
        <v>3385</v>
      </c>
      <c r="B11335" s="417" t="s">
        <v>3655</v>
      </c>
      <c r="C11335" s="417" t="s">
        <v>25182</v>
      </c>
      <c r="D11335" s="417" t="s">
        <v>88</v>
      </c>
      <c r="E11335" s="423">
        <v>0.79447018507400213</v>
      </c>
      <c r="F11335" s="423">
        <v>0.1798364736083575</v>
      </c>
      <c r="G11335" s="422">
        <v>1503.156265406081</v>
      </c>
      <c r="H11335" s="417" t="s">
        <v>2616</v>
      </c>
      <c r="I11335" s="417" t="s">
        <v>1392</v>
      </c>
      <c r="J11335" s="417" t="s">
        <v>24559</v>
      </c>
      <c r="K11335" s="417" t="s">
        <v>25183</v>
      </c>
      <c r="L11335" s="417"/>
      <c r="M11335" s="417" t="s">
        <v>28840</v>
      </c>
    </row>
    <row r="11336" spans="1:13" x14ac:dyDescent="0.25">
      <c r="A11336" s="417" t="s">
        <v>3385</v>
      </c>
      <c r="B11336" s="417" t="s">
        <v>3655</v>
      </c>
      <c r="C11336" s="417" t="s">
        <v>25184</v>
      </c>
      <c r="D11336" s="417" t="s">
        <v>88</v>
      </c>
      <c r="E11336" s="423">
        <v>0.85427672834923829</v>
      </c>
      <c r="F11336" s="423">
        <v>0.18720751855472509</v>
      </c>
      <c r="G11336" s="422">
        <v>1630.142341856902</v>
      </c>
      <c r="H11336" s="417" t="s">
        <v>2616</v>
      </c>
      <c r="I11336" s="417" t="s">
        <v>1392</v>
      </c>
      <c r="J11336" s="417" t="s">
        <v>24559</v>
      </c>
      <c r="K11336" s="417" t="s">
        <v>25185</v>
      </c>
      <c r="L11336" s="417"/>
      <c r="M11336" s="417" t="s">
        <v>28840</v>
      </c>
    </row>
    <row r="11337" spans="1:13" x14ac:dyDescent="0.25">
      <c r="A11337" s="417" t="s">
        <v>3385</v>
      </c>
      <c r="B11337" s="417" t="s">
        <v>3655</v>
      </c>
      <c r="C11337" s="417" t="s">
        <v>25186</v>
      </c>
      <c r="D11337" s="417" t="s">
        <v>88</v>
      </c>
      <c r="E11337" s="423">
        <v>0.91425662522757878</v>
      </c>
      <c r="F11337" s="423">
        <v>0.1945996697233926</v>
      </c>
      <c r="G11337" s="422">
        <v>1757.497964799097</v>
      </c>
      <c r="H11337" s="417" t="s">
        <v>2616</v>
      </c>
      <c r="I11337" s="417" t="s">
        <v>1392</v>
      </c>
      <c r="J11337" s="417" t="s">
        <v>24559</v>
      </c>
      <c r="K11337" s="417" t="s">
        <v>25187</v>
      </c>
      <c r="L11337" s="417"/>
      <c r="M11337" s="417" t="s">
        <v>28840</v>
      </c>
    </row>
    <row r="11338" spans="1:13" x14ac:dyDescent="0.25">
      <c r="A11338" s="417" t="s">
        <v>3385</v>
      </c>
      <c r="B11338" s="417" t="s">
        <v>3655</v>
      </c>
      <c r="C11338" s="417" t="s">
        <v>25188</v>
      </c>
      <c r="D11338" s="417" t="s">
        <v>989</v>
      </c>
      <c r="E11338" s="423">
        <v>49.151607914320572</v>
      </c>
      <c r="F11338" s="423">
        <v>8.5333588727238858</v>
      </c>
      <c r="G11338" s="422">
        <v>162033.76375448279</v>
      </c>
      <c r="H11338" s="417" t="s">
        <v>2616</v>
      </c>
      <c r="I11338" s="417" t="s">
        <v>1392</v>
      </c>
      <c r="J11338" s="417" t="s">
        <v>24800</v>
      </c>
      <c r="K11338" s="417" t="s">
        <v>25189</v>
      </c>
      <c r="L11338" s="417"/>
      <c r="M11338" s="417" t="s">
        <v>28840</v>
      </c>
    </row>
    <row r="11339" spans="1:13" x14ac:dyDescent="0.25">
      <c r="A11339" s="417" t="s">
        <v>3385</v>
      </c>
      <c r="B11339" s="417" t="s">
        <v>2627</v>
      </c>
      <c r="C11339" s="417" t="s">
        <v>25190</v>
      </c>
      <c r="D11339" s="417" t="s">
        <v>88</v>
      </c>
      <c r="E11339" s="423">
        <v>1.76209999969052</v>
      </c>
      <c r="F11339" s="423">
        <v>6.0975256859492483E-2</v>
      </c>
      <c r="G11339" s="422">
        <v>9450.4007801821645</v>
      </c>
      <c r="H11339" s="417" t="s">
        <v>2616</v>
      </c>
      <c r="I11339" s="417" t="s">
        <v>1392</v>
      </c>
      <c r="J11339" s="417" t="s">
        <v>25191</v>
      </c>
      <c r="K11339" s="417" t="s">
        <v>25192</v>
      </c>
      <c r="L11339" s="417"/>
      <c r="M11339" s="417" t="s">
        <v>28840</v>
      </c>
    </row>
    <row r="11340" spans="1:13" x14ac:dyDescent="0.25">
      <c r="A11340" s="417" t="s">
        <v>3385</v>
      </c>
      <c r="B11340" s="417" t="s">
        <v>2627</v>
      </c>
      <c r="C11340" s="417" t="s">
        <v>25193</v>
      </c>
      <c r="D11340" s="417" t="s">
        <v>88</v>
      </c>
      <c r="E11340" s="423">
        <v>6.3252323623739698E-2</v>
      </c>
      <c r="F11340" s="423">
        <v>3.0404867466103549E-3</v>
      </c>
      <c r="G11340" s="422">
        <v>127.04047129291909</v>
      </c>
      <c r="H11340" s="417" t="s">
        <v>2616</v>
      </c>
      <c r="I11340" s="417" t="s">
        <v>1392</v>
      </c>
      <c r="J11340" s="417" t="s">
        <v>25191</v>
      </c>
      <c r="K11340" s="417" t="s">
        <v>25194</v>
      </c>
      <c r="L11340" s="417"/>
      <c r="M11340" s="417" t="s">
        <v>28840</v>
      </c>
    </row>
    <row r="11341" spans="1:13" x14ac:dyDescent="0.25">
      <c r="A11341" s="417" t="s">
        <v>3385</v>
      </c>
      <c r="B11341" s="417" t="s">
        <v>2627</v>
      </c>
      <c r="C11341" s="417" t="s">
        <v>25195</v>
      </c>
      <c r="D11341" s="417" t="s">
        <v>88</v>
      </c>
      <c r="E11341" s="423">
        <v>3.1018955883998411</v>
      </c>
      <c r="F11341" s="423">
        <v>3.0947725696121791E-2</v>
      </c>
      <c r="G11341" s="422">
        <v>5220.9268477498981</v>
      </c>
      <c r="H11341" s="417" t="s">
        <v>2616</v>
      </c>
      <c r="I11341" s="417" t="s">
        <v>1392</v>
      </c>
      <c r="J11341" s="417" t="s">
        <v>24540</v>
      </c>
      <c r="K11341" s="417" t="s">
        <v>25196</v>
      </c>
      <c r="L11341" s="417"/>
      <c r="M11341" s="417" t="s">
        <v>28840</v>
      </c>
    </row>
    <row r="11342" spans="1:13" x14ac:dyDescent="0.25">
      <c r="A11342" s="417" t="s">
        <v>3385</v>
      </c>
      <c r="B11342" s="417" t="s">
        <v>2627</v>
      </c>
      <c r="C11342" s="417" t="s">
        <v>25197</v>
      </c>
      <c r="D11342" s="417" t="s">
        <v>88</v>
      </c>
      <c r="E11342" s="423">
        <v>2.2531951957670331</v>
      </c>
      <c r="F11342" s="423">
        <v>5.4771727295066311E-2</v>
      </c>
      <c r="G11342" s="422">
        <v>3442.8195006697761</v>
      </c>
      <c r="H11342" s="417" t="s">
        <v>2616</v>
      </c>
      <c r="I11342" s="417" t="s">
        <v>1392</v>
      </c>
      <c r="J11342" s="417" t="s">
        <v>24540</v>
      </c>
      <c r="K11342" s="417" t="s">
        <v>25198</v>
      </c>
      <c r="L11342" s="417"/>
      <c r="M11342" s="417" t="s">
        <v>28840</v>
      </c>
    </row>
    <row r="11343" spans="1:13" x14ac:dyDescent="0.25">
      <c r="A11343" s="417" t="s">
        <v>3385</v>
      </c>
      <c r="B11343" s="417" t="s">
        <v>2627</v>
      </c>
      <c r="C11343" s="417" t="s">
        <v>25199</v>
      </c>
      <c r="D11343" s="417" t="s">
        <v>88</v>
      </c>
      <c r="E11343" s="423">
        <v>0.18883512122407331</v>
      </c>
      <c r="F11343" s="423">
        <v>7.6006187262161271E-3</v>
      </c>
      <c r="G11343" s="422">
        <v>318.58425771566351</v>
      </c>
      <c r="H11343" s="417" t="s">
        <v>2616</v>
      </c>
      <c r="I11343" s="417" t="s">
        <v>1392</v>
      </c>
      <c r="J11343" s="417" t="s">
        <v>25200</v>
      </c>
      <c r="K11343" s="417" t="s">
        <v>25201</v>
      </c>
      <c r="L11343" s="417"/>
      <c r="M11343" s="417" t="s">
        <v>28840</v>
      </c>
    </row>
    <row r="11344" spans="1:13" x14ac:dyDescent="0.25">
      <c r="A11344" s="417" t="s">
        <v>3385</v>
      </c>
      <c r="B11344" s="417" t="s">
        <v>3655</v>
      </c>
      <c r="C11344" s="417" t="s">
        <v>25202</v>
      </c>
      <c r="D11344" s="417" t="s">
        <v>88</v>
      </c>
      <c r="E11344" s="423">
        <v>5.7914038944657104E-3</v>
      </c>
      <c r="F11344" s="423">
        <v>6.9315707729856796E-4</v>
      </c>
      <c r="G11344" s="422">
        <v>12.1155535693958</v>
      </c>
      <c r="H11344" s="417" t="s">
        <v>2616</v>
      </c>
      <c r="I11344" s="417" t="s">
        <v>1392</v>
      </c>
      <c r="J11344" s="417" t="s">
        <v>25203</v>
      </c>
      <c r="K11344" s="417" t="s">
        <v>25204</v>
      </c>
      <c r="L11344" s="417"/>
      <c r="M11344" s="417" t="s">
        <v>28840</v>
      </c>
    </row>
    <row r="11345" spans="1:13" x14ac:dyDescent="0.25">
      <c r="A11345" s="417" t="s">
        <v>3385</v>
      </c>
      <c r="B11345" s="417" t="s">
        <v>2627</v>
      </c>
      <c r="C11345" s="417" t="s">
        <v>25205</v>
      </c>
      <c r="D11345" s="417" t="s">
        <v>83</v>
      </c>
      <c r="E11345" s="423">
        <v>54.701466895046757</v>
      </c>
      <c r="F11345" s="423">
        <v>372.91728219567568</v>
      </c>
      <c r="G11345" s="422">
        <v>21151303.305794101</v>
      </c>
      <c r="H11345" s="417" t="s">
        <v>2616</v>
      </c>
      <c r="I11345" s="417" t="s">
        <v>1392</v>
      </c>
      <c r="J11345" s="417" t="s">
        <v>25206</v>
      </c>
      <c r="K11345" s="417" t="s">
        <v>25207</v>
      </c>
      <c r="L11345" s="417"/>
      <c r="M11345" s="417" t="s">
        <v>28840</v>
      </c>
    </row>
    <row r="11346" spans="1:13" x14ac:dyDescent="0.25">
      <c r="A11346" s="417" t="s">
        <v>3385</v>
      </c>
      <c r="B11346" s="417" t="s">
        <v>2627</v>
      </c>
      <c r="C11346" s="417" t="s">
        <v>25208</v>
      </c>
      <c r="D11346" s="417" t="s">
        <v>83</v>
      </c>
      <c r="E11346" s="423">
        <v>17.561441063082999</v>
      </c>
      <c r="F11346" s="423">
        <v>77.829523287589467</v>
      </c>
      <c r="G11346" s="422">
        <v>131894.50001535151</v>
      </c>
      <c r="H11346" s="417" t="s">
        <v>2616</v>
      </c>
      <c r="I11346" s="417" t="s">
        <v>1392</v>
      </c>
      <c r="J11346" s="417" t="s">
        <v>25206</v>
      </c>
      <c r="K11346" s="417" t="s">
        <v>25209</v>
      </c>
      <c r="L11346" s="417"/>
      <c r="M11346" s="417" t="s">
        <v>28840</v>
      </c>
    </row>
    <row r="11347" spans="1:13" x14ac:dyDescent="0.25">
      <c r="A11347" s="417" t="s">
        <v>3385</v>
      </c>
      <c r="B11347" s="417" t="s">
        <v>3655</v>
      </c>
      <c r="C11347" s="417" t="s">
        <v>25210</v>
      </c>
      <c r="D11347" s="417" t="s">
        <v>989</v>
      </c>
      <c r="E11347" s="423">
        <v>3190444.98956386</v>
      </c>
      <c r="F11347" s="423">
        <v>141253.24380246701</v>
      </c>
      <c r="G11347" s="422">
        <v>8266910038.1515026</v>
      </c>
      <c r="H11347" s="417" t="s">
        <v>2616</v>
      </c>
      <c r="I11347" s="417" t="s">
        <v>1392</v>
      </c>
      <c r="J11347" s="417" t="s">
        <v>25211</v>
      </c>
      <c r="K11347" s="417" t="s">
        <v>25212</v>
      </c>
      <c r="L11347" s="417"/>
      <c r="M11347" s="417" t="s">
        <v>28840</v>
      </c>
    </row>
    <row r="11348" spans="1:13" x14ac:dyDescent="0.25">
      <c r="A11348" s="417" t="s">
        <v>3385</v>
      </c>
      <c r="B11348" s="417" t="s">
        <v>2627</v>
      </c>
      <c r="C11348" s="417" t="s">
        <v>25213</v>
      </c>
      <c r="D11348" s="417" t="s">
        <v>88</v>
      </c>
      <c r="E11348" s="423">
        <v>13.364788873256259</v>
      </c>
      <c r="F11348" s="423">
        <v>0.65042029205813634</v>
      </c>
      <c r="G11348" s="422">
        <v>37734.051197160188</v>
      </c>
      <c r="H11348" s="417" t="s">
        <v>2616</v>
      </c>
      <c r="I11348" s="417" t="s">
        <v>1392</v>
      </c>
      <c r="J11348" s="417" t="s">
        <v>24424</v>
      </c>
      <c r="K11348" s="417" t="s">
        <v>25214</v>
      </c>
      <c r="L11348" s="417"/>
      <c r="M11348" s="417" t="s">
        <v>28840</v>
      </c>
    </row>
    <row r="11349" spans="1:13" x14ac:dyDescent="0.25">
      <c r="A11349" s="417" t="s">
        <v>3385</v>
      </c>
      <c r="B11349" s="417" t="s">
        <v>2627</v>
      </c>
      <c r="C11349" s="417" t="s">
        <v>25215</v>
      </c>
      <c r="D11349" s="417" t="s">
        <v>88</v>
      </c>
      <c r="E11349" s="423">
        <v>2.3746175208451879E-2</v>
      </c>
      <c r="F11349" s="423">
        <v>1.3206264101942691E-3</v>
      </c>
      <c r="G11349" s="422">
        <v>276.24581982905511</v>
      </c>
      <c r="H11349" s="417" t="s">
        <v>2616</v>
      </c>
      <c r="I11349" s="417" t="s">
        <v>1392</v>
      </c>
      <c r="J11349" s="417" t="s">
        <v>24469</v>
      </c>
      <c r="K11349" s="417" t="s">
        <v>25216</v>
      </c>
      <c r="L11349" s="417"/>
      <c r="M11349" s="417" t="s">
        <v>28840</v>
      </c>
    </row>
    <row r="11350" spans="1:13" x14ac:dyDescent="0.25">
      <c r="A11350" s="417" t="s">
        <v>3385</v>
      </c>
      <c r="B11350" s="417" t="s">
        <v>2627</v>
      </c>
      <c r="C11350" s="417" t="s">
        <v>25217</v>
      </c>
      <c r="D11350" s="417" t="s">
        <v>989</v>
      </c>
      <c r="E11350" s="423">
        <v>30.93429159701374</v>
      </c>
      <c r="F11350" s="423">
        <v>3.641780171465721</v>
      </c>
      <c r="G11350" s="422">
        <v>85856.70591896215</v>
      </c>
      <c r="H11350" s="417" t="s">
        <v>2616</v>
      </c>
      <c r="I11350" s="417" t="s">
        <v>1392</v>
      </c>
      <c r="J11350" s="417" t="s">
        <v>25218</v>
      </c>
      <c r="K11350" s="417" t="s">
        <v>25219</v>
      </c>
      <c r="L11350" s="417"/>
      <c r="M11350" s="417" t="s">
        <v>28840</v>
      </c>
    </row>
    <row r="11351" spans="1:13" x14ac:dyDescent="0.25">
      <c r="A11351" s="417" t="s">
        <v>3385</v>
      </c>
      <c r="B11351" s="417" t="s">
        <v>2623</v>
      </c>
      <c r="C11351" s="417" t="s">
        <v>25220</v>
      </c>
      <c r="D11351" s="417" t="s">
        <v>88</v>
      </c>
      <c r="E11351" s="423">
        <v>0</v>
      </c>
      <c r="F11351" s="423">
        <v>0</v>
      </c>
      <c r="G11351" s="422">
        <v>0</v>
      </c>
      <c r="H11351" s="417" t="s">
        <v>2616</v>
      </c>
      <c r="I11351" s="417" t="s">
        <v>1392</v>
      </c>
      <c r="J11351" s="417" t="s">
        <v>24987</v>
      </c>
      <c r="K11351" s="417" t="s">
        <v>25221</v>
      </c>
      <c r="L11351" s="417"/>
      <c r="M11351" s="417" t="s">
        <v>28840</v>
      </c>
    </row>
    <row r="11352" spans="1:13" x14ac:dyDescent="0.25">
      <c r="A11352" s="417" t="s">
        <v>3385</v>
      </c>
      <c r="B11352" s="417" t="s">
        <v>3655</v>
      </c>
      <c r="C11352" s="417" t="s">
        <v>25222</v>
      </c>
      <c r="D11352" s="417" t="s">
        <v>83</v>
      </c>
      <c r="E11352" s="423">
        <v>0.24183936482012891</v>
      </c>
      <c r="F11352" s="423">
        <v>2.8989182491477292E-2</v>
      </c>
      <c r="G11352" s="422">
        <v>778.93804128309966</v>
      </c>
      <c r="H11352" s="417" t="s">
        <v>2616</v>
      </c>
      <c r="I11352" s="417" t="s">
        <v>1392</v>
      </c>
      <c r="J11352" s="417" t="s">
        <v>24475</v>
      </c>
      <c r="K11352" s="417" t="s">
        <v>25223</v>
      </c>
      <c r="L11352" s="417"/>
      <c r="M11352" s="417" t="s">
        <v>28840</v>
      </c>
    </row>
    <row r="11353" spans="1:13" x14ac:dyDescent="0.25">
      <c r="A11353" s="417" t="s">
        <v>3385</v>
      </c>
      <c r="B11353" s="417" t="s">
        <v>2627</v>
      </c>
      <c r="C11353" s="417" t="s">
        <v>25224</v>
      </c>
      <c r="D11353" s="417" t="s">
        <v>88</v>
      </c>
      <c r="E11353" s="423">
        <v>3.758701858502413</v>
      </c>
      <c r="F11353" s="423">
        <v>6.2395531967748302E-2</v>
      </c>
      <c r="G11353" s="422">
        <v>5806.0444910627384</v>
      </c>
      <c r="H11353" s="417" t="s">
        <v>2616</v>
      </c>
      <c r="I11353" s="417" t="s">
        <v>1392</v>
      </c>
      <c r="J11353" s="417" t="s">
        <v>24415</v>
      </c>
      <c r="K11353" s="417" t="s">
        <v>25225</v>
      </c>
      <c r="L11353" s="417"/>
      <c r="M11353" s="417" t="s">
        <v>28840</v>
      </c>
    </row>
    <row r="11354" spans="1:13" x14ac:dyDescent="0.25">
      <c r="A11354" s="417" t="s">
        <v>3385</v>
      </c>
      <c r="B11354" s="417" t="s">
        <v>2627</v>
      </c>
      <c r="C11354" s="417" t="s">
        <v>25226</v>
      </c>
      <c r="D11354" s="417" t="s">
        <v>88</v>
      </c>
      <c r="E11354" s="423">
        <v>1.588698587087586</v>
      </c>
      <c r="F11354" s="423">
        <v>2.8535895152896541E-2</v>
      </c>
      <c r="G11354" s="422">
        <v>3148.8802071399532</v>
      </c>
      <c r="H11354" s="417" t="s">
        <v>2616</v>
      </c>
      <c r="I11354" s="417" t="s">
        <v>1392</v>
      </c>
      <c r="J11354" s="417" t="s">
        <v>24415</v>
      </c>
      <c r="K11354" s="417" t="s">
        <v>25227</v>
      </c>
      <c r="L11354" s="417"/>
      <c r="M11354" s="417" t="s">
        <v>28840</v>
      </c>
    </row>
    <row r="11355" spans="1:13" x14ac:dyDescent="0.25">
      <c r="A11355" s="417" t="s">
        <v>3385</v>
      </c>
      <c r="B11355" s="417" t="s">
        <v>2627</v>
      </c>
      <c r="C11355" s="417" t="s">
        <v>25228</v>
      </c>
      <c r="D11355" s="417" t="s">
        <v>88</v>
      </c>
      <c r="E11355" s="423">
        <v>3.1777014644190609</v>
      </c>
      <c r="F11355" s="423">
        <v>6.3256915823053442E-2</v>
      </c>
      <c r="G11355" s="422">
        <v>5529.0738188003088</v>
      </c>
      <c r="H11355" s="417" t="s">
        <v>2616</v>
      </c>
      <c r="I11355" s="417" t="s">
        <v>1392</v>
      </c>
      <c r="J11355" s="417" t="s">
        <v>24415</v>
      </c>
      <c r="K11355" s="417" t="s">
        <v>25229</v>
      </c>
      <c r="L11355" s="417"/>
      <c r="M11355" s="417" t="s">
        <v>28840</v>
      </c>
    </row>
    <row r="11356" spans="1:13" x14ac:dyDescent="0.25">
      <c r="A11356" s="417" t="s">
        <v>3385</v>
      </c>
      <c r="B11356" s="417" t="s">
        <v>2627</v>
      </c>
      <c r="C11356" s="417" t="s">
        <v>25230</v>
      </c>
      <c r="D11356" s="417" t="s">
        <v>88</v>
      </c>
      <c r="E11356" s="423">
        <v>6.3350015382416967</v>
      </c>
      <c r="F11356" s="423">
        <v>0.20222500024447171</v>
      </c>
      <c r="G11356" s="422">
        <v>10410.16615282762</v>
      </c>
      <c r="H11356" s="417" t="s">
        <v>2616</v>
      </c>
      <c r="I11356" s="417" t="s">
        <v>1392</v>
      </c>
      <c r="J11356" s="417" t="s">
        <v>24424</v>
      </c>
      <c r="K11356" s="417" t="s">
        <v>25231</v>
      </c>
      <c r="L11356" s="417"/>
      <c r="M11356" s="417" t="s">
        <v>28840</v>
      </c>
    </row>
    <row r="11357" spans="1:13" x14ac:dyDescent="0.25">
      <c r="A11357" s="417" t="s">
        <v>3385</v>
      </c>
      <c r="B11357" s="417" t="s">
        <v>2627</v>
      </c>
      <c r="C11357" s="417" t="s">
        <v>25232</v>
      </c>
      <c r="D11357" s="417" t="s">
        <v>88</v>
      </c>
      <c r="E11357" s="423">
        <v>1.8258445407859401E-2</v>
      </c>
      <c r="F11357" s="423">
        <v>1.3333079669812631E-4</v>
      </c>
      <c r="G11357" s="422">
        <v>167.05280177190471</v>
      </c>
      <c r="H11357" s="417" t="s">
        <v>2616</v>
      </c>
      <c r="I11357" s="417" t="s">
        <v>1392</v>
      </c>
      <c r="J11357" s="417" t="s">
        <v>24484</v>
      </c>
      <c r="K11357" s="417" t="s">
        <v>25233</v>
      </c>
      <c r="L11357" s="417"/>
      <c r="M11357" s="417" t="s">
        <v>28840</v>
      </c>
    </row>
    <row r="11358" spans="1:13" x14ac:dyDescent="0.25">
      <c r="A11358" s="417" t="s">
        <v>3385</v>
      </c>
      <c r="B11358" s="417" t="s">
        <v>2627</v>
      </c>
      <c r="C11358" s="417" t="s">
        <v>25234</v>
      </c>
      <c r="D11358" s="417" t="s">
        <v>88</v>
      </c>
      <c r="E11358" s="423">
        <v>1.7491631032800142E-2</v>
      </c>
      <c r="F11358" s="423">
        <v>1.814145349724411E-4</v>
      </c>
      <c r="G11358" s="422">
        <v>183.70497169819379</v>
      </c>
      <c r="H11358" s="417" t="s">
        <v>2616</v>
      </c>
      <c r="I11358" s="417" t="s">
        <v>1392</v>
      </c>
      <c r="J11358" s="417" t="s">
        <v>24484</v>
      </c>
      <c r="K11358" s="417" t="s">
        <v>25235</v>
      </c>
      <c r="L11358" s="417"/>
      <c r="M11358" s="417" t="s">
        <v>28840</v>
      </c>
    </row>
    <row r="11359" spans="1:13" x14ac:dyDescent="0.25">
      <c r="A11359" s="417" t="s">
        <v>3385</v>
      </c>
      <c r="B11359" s="417" t="s">
        <v>2627</v>
      </c>
      <c r="C11359" s="417" t="s">
        <v>25236</v>
      </c>
      <c r="D11359" s="417" t="s">
        <v>88</v>
      </c>
      <c r="E11359" s="423">
        <v>1.760509632178928E-2</v>
      </c>
      <c r="F11359" s="423">
        <v>1.8413448691121211E-4</v>
      </c>
      <c r="G11359" s="422">
        <v>156.57122595299319</v>
      </c>
      <c r="H11359" s="417" t="s">
        <v>2616</v>
      </c>
      <c r="I11359" s="417" t="s">
        <v>1392</v>
      </c>
      <c r="J11359" s="417" t="s">
        <v>24484</v>
      </c>
      <c r="K11359" s="417" t="s">
        <v>25237</v>
      </c>
      <c r="L11359" s="417"/>
      <c r="M11359" s="417" t="s">
        <v>28840</v>
      </c>
    </row>
    <row r="11360" spans="1:13" x14ac:dyDescent="0.25">
      <c r="A11360" s="417" t="s">
        <v>3385</v>
      </c>
      <c r="B11360" s="417" t="s">
        <v>3655</v>
      </c>
      <c r="C11360" s="417" t="s">
        <v>25238</v>
      </c>
      <c r="D11360" s="417" t="s">
        <v>989</v>
      </c>
      <c r="E11360" s="423">
        <v>31.490034416378229</v>
      </c>
      <c r="F11360" s="423">
        <v>7.6258254564426462</v>
      </c>
      <c r="G11360" s="422">
        <v>75017.121838890409</v>
      </c>
      <c r="H11360" s="417" t="s">
        <v>2616</v>
      </c>
      <c r="I11360" s="417" t="s">
        <v>1392</v>
      </c>
      <c r="J11360" s="417" t="s">
        <v>24800</v>
      </c>
      <c r="K11360" s="417" t="s">
        <v>25239</v>
      </c>
      <c r="L11360" s="417"/>
      <c r="M11360" s="417" t="s">
        <v>28840</v>
      </c>
    </row>
    <row r="11361" spans="1:13" x14ac:dyDescent="0.25">
      <c r="A11361" s="417" t="s">
        <v>3385</v>
      </c>
      <c r="B11361" s="417" t="s">
        <v>3655</v>
      </c>
      <c r="C11361" s="417" t="s">
        <v>25240</v>
      </c>
      <c r="D11361" s="417" t="s">
        <v>4427</v>
      </c>
      <c r="E11361" s="423">
        <v>12.72906158452408</v>
      </c>
      <c r="F11361" s="423">
        <v>1.5009984885866809</v>
      </c>
      <c r="G11361" s="422">
        <v>27431.519617606489</v>
      </c>
      <c r="H11361" s="417" t="s">
        <v>2616</v>
      </c>
      <c r="I11361" s="417" t="s">
        <v>1392</v>
      </c>
      <c r="J11361" s="417" t="s">
        <v>24559</v>
      </c>
      <c r="K11361" s="417" t="s">
        <v>25241</v>
      </c>
      <c r="L11361" s="417"/>
      <c r="M11361" s="417" t="s">
        <v>28840</v>
      </c>
    </row>
    <row r="11362" spans="1:13" x14ac:dyDescent="0.25">
      <c r="A11362" s="417" t="s">
        <v>3385</v>
      </c>
      <c r="B11362" s="417" t="s">
        <v>3655</v>
      </c>
      <c r="C11362" s="417" t="s">
        <v>25242</v>
      </c>
      <c r="D11362" s="417" t="s">
        <v>4427</v>
      </c>
      <c r="E11362" s="423">
        <v>15.64949264188253</v>
      </c>
      <c r="F11362" s="423">
        <v>1.8626121583325621</v>
      </c>
      <c r="G11362" s="422">
        <v>33644.124122958063</v>
      </c>
      <c r="H11362" s="417" t="s">
        <v>2616</v>
      </c>
      <c r="I11362" s="417" t="s">
        <v>1392</v>
      </c>
      <c r="J11362" s="417" t="s">
        <v>24559</v>
      </c>
      <c r="K11362" s="417" t="s">
        <v>25243</v>
      </c>
      <c r="L11362" s="417"/>
      <c r="M11362" s="417" t="s">
        <v>28840</v>
      </c>
    </row>
    <row r="11363" spans="1:13" x14ac:dyDescent="0.25">
      <c r="A11363" s="417" t="s">
        <v>3385</v>
      </c>
      <c r="B11363" s="417" t="s">
        <v>3655</v>
      </c>
      <c r="C11363" s="417" t="s">
        <v>25244</v>
      </c>
      <c r="D11363" s="417" t="s">
        <v>4427</v>
      </c>
      <c r="E11363" s="423">
        <v>16.525621960289921</v>
      </c>
      <c r="F11363" s="423">
        <v>1.9710962593224779</v>
      </c>
      <c r="G11363" s="422">
        <v>35516.666632399443</v>
      </c>
      <c r="H11363" s="417" t="s">
        <v>2616</v>
      </c>
      <c r="I11363" s="417" t="s">
        <v>1392</v>
      </c>
      <c r="J11363" s="417" t="s">
        <v>24559</v>
      </c>
      <c r="K11363" s="417" t="s">
        <v>25245</v>
      </c>
      <c r="L11363" s="417"/>
      <c r="M11363" s="417" t="s">
        <v>28840</v>
      </c>
    </row>
    <row r="11364" spans="1:13" x14ac:dyDescent="0.25">
      <c r="A11364" s="417" t="s">
        <v>3385</v>
      </c>
      <c r="B11364" s="417" t="s">
        <v>3655</v>
      </c>
      <c r="C11364" s="417" t="s">
        <v>25246</v>
      </c>
      <c r="D11364" s="417" t="s">
        <v>4427</v>
      </c>
      <c r="E11364" s="423">
        <v>20.030139228227629</v>
      </c>
      <c r="F11364" s="423">
        <v>2.4050326631198899</v>
      </c>
      <c r="G11364" s="422">
        <v>42970.746789140823</v>
      </c>
      <c r="H11364" s="417" t="s">
        <v>2616</v>
      </c>
      <c r="I11364" s="417" t="s">
        <v>1392</v>
      </c>
      <c r="J11364" s="417" t="s">
        <v>24559</v>
      </c>
      <c r="K11364" s="417" t="s">
        <v>25247</v>
      </c>
      <c r="L11364" s="417"/>
      <c r="M11364" s="417" t="s">
        <v>28840</v>
      </c>
    </row>
    <row r="11365" spans="1:13" x14ac:dyDescent="0.25">
      <c r="A11365" s="417" t="s">
        <v>3385</v>
      </c>
      <c r="B11365" s="417" t="s">
        <v>3655</v>
      </c>
      <c r="C11365" s="417" t="s">
        <v>25248</v>
      </c>
      <c r="D11365" s="417" t="s">
        <v>4427</v>
      </c>
      <c r="E11365" s="423">
        <v>22.116701708461669</v>
      </c>
      <c r="F11365" s="423">
        <v>2.6603669486328818</v>
      </c>
      <c r="G11365" s="422">
        <v>47440.522535934499</v>
      </c>
      <c r="H11365" s="417" t="s">
        <v>2616</v>
      </c>
      <c r="I11365" s="417" t="s">
        <v>1392</v>
      </c>
      <c r="J11365" s="417" t="s">
        <v>24559</v>
      </c>
      <c r="K11365" s="417" t="s">
        <v>25249</v>
      </c>
      <c r="L11365" s="417"/>
      <c r="M11365" s="417" t="s">
        <v>28840</v>
      </c>
    </row>
    <row r="11366" spans="1:13" x14ac:dyDescent="0.25">
      <c r="A11366" s="417" t="s">
        <v>3385</v>
      </c>
      <c r="B11366" s="417" t="s">
        <v>3655</v>
      </c>
      <c r="C11366" s="417" t="s">
        <v>25250</v>
      </c>
      <c r="D11366" s="417" t="s">
        <v>4427</v>
      </c>
      <c r="E11366" s="423">
        <v>23.284874128469319</v>
      </c>
      <c r="F11366" s="423">
        <v>2.8050124164368841</v>
      </c>
      <c r="G11366" s="422">
        <v>49946.995997068247</v>
      </c>
      <c r="H11366" s="417" t="s">
        <v>2616</v>
      </c>
      <c r="I11366" s="417" t="s">
        <v>1392</v>
      </c>
      <c r="J11366" s="417" t="s">
        <v>24559</v>
      </c>
      <c r="K11366" s="417" t="s">
        <v>25251</v>
      </c>
      <c r="L11366" s="417"/>
      <c r="M11366" s="417" t="s">
        <v>28840</v>
      </c>
    </row>
    <row r="11367" spans="1:13" x14ac:dyDescent="0.25">
      <c r="A11367" s="417" t="s">
        <v>3385</v>
      </c>
      <c r="B11367" s="417" t="s">
        <v>3655</v>
      </c>
      <c r="C11367" s="417" t="s">
        <v>25252</v>
      </c>
      <c r="D11367" s="417" t="s">
        <v>4427</v>
      </c>
      <c r="E11367" s="423">
        <v>3.651633649174975</v>
      </c>
      <c r="F11367" s="423">
        <v>0.36845344930941759</v>
      </c>
      <c r="G11367" s="422">
        <v>8245.9042112212028</v>
      </c>
      <c r="H11367" s="417" t="s">
        <v>2616</v>
      </c>
      <c r="I11367" s="417" t="s">
        <v>1392</v>
      </c>
      <c r="J11367" s="417" t="s">
        <v>24559</v>
      </c>
      <c r="K11367" s="417" t="s">
        <v>25253</v>
      </c>
      <c r="L11367" s="417"/>
      <c r="M11367" s="417" t="s">
        <v>28840</v>
      </c>
    </row>
    <row r="11368" spans="1:13" x14ac:dyDescent="0.25">
      <c r="A11368" s="417" t="s">
        <v>3385</v>
      </c>
      <c r="B11368" s="417" t="s">
        <v>3655</v>
      </c>
      <c r="C11368" s="417" t="s">
        <v>25254</v>
      </c>
      <c r="D11368" s="417" t="s">
        <v>4427</v>
      </c>
      <c r="E11368" s="423">
        <v>4.7490422436460067</v>
      </c>
      <c r="F11368" s="423">
        <v>0.50158056202390577</v>
      </c>
      <c r="G11368" s="422">
        <v>10605.257679758601</v>
      </c>
      <c r="H11368" s="417" t="s">
        <v>2616</v>
      </c>
      <c r="I11368" s="417" t="s">
        <v>1392</v>
      </c>
      <c r="J11368" s="417" t="s">
        <v>24559</v>
      </c>
      <c r="K11368" s="417" t="s">
        <v>25255</v>
      </c>
      <c r="L11368" s="417"/>
      <c r="M11368" s="417" t="s">
        <v>28840</v>
      </c>
    </row>
    <row r="11369" spans="1:13" x14ac:dyDescent="0.25">
      <c r="A11369" s="417" t="s">
        <v>3385</v>
      </c>
      <c r="B11369" s="417" t="s">
        <v>3655</v>
      </c>
      <c r="C11369" s="417" t="s">
        <v>25256</v>
      </c>
      <c r="D11369" s="417" t="s">
        <v>4427</v>
      </c>
      <c r="E11369" s="423">
        <v>2.4383297309179728</v>
      </c>
      <c r="F11369" s="423">
        <v>0.2213716195299123</v>
      </c>
      <c r="G11369" s="422">
        <v>5590.41533459729</v>
      </c>
      <c r="H11369" s="417" t="s">
        <v>2616</v>
      </c>
      <c r="I11369" s="417" t="s">
        <v>1392</v>
      </c>
      <c r="J11369" s="417" t="s">
        <v>24559</v>
      </c>
      <c r="K11369" s="417" t="s">
        <v>25257</v>
      </c>
      <c r="L11369" s="417"/>
      <c r="M11369" s="417" t="s">
        <v>28840</v>
      </c>
    </row>
    <row r="11370" spans="1:13" x14ac:dyDescent="0.25">
      <c r="A11370" s="417" t="s">
        <v>3385</v>
      </c>
      <c r="B11370" s="417" t="s">
        <v>3655</v>
      </c>
      <c r="C11370" s="417" t="s">
        <v>25258</v>
      </c>
      <c r="D11370" s="417" t="s">
        <v>4427</v>
      </c>
      <c r="E11370" s="423">
        <v>7.7072320855258658</v>
      </c>
      <c r="F11370" s="423">
        <v>0.85741931331591448</v>
      </c>
      <c r="G11370" s="422">
        <v>17015.260132209631</v>
      </c>
      <c r="H11370" s="417" t="s">
        <v>2616</v>
      </c>
      <c r="I11370" s="417" t="s">
        <v>1392</v>
      </c>
      <c r="J11370" s="417" t="s">
        <v>24559</v>
      </c>
      <c r="K11370" s="417" t="s">
        <v>25259</v>
      </c>
      <c r="L11370" s="417"/>
      <c r="M11370" s="417" t="s">
        <v>28840</v>
      </c>
    </row>
    <row r="11371" spans="1:13" x14ac:dyDescent="0.25">
      <c r="A11371" s="417" t="s">
        <v>3385</v>
      </c>
      <c r="B11371" s="417" t="s">
        <v>3655</v>
      </c>
      <c r="C11371" s="417" t="s">
        <v>25260</v>
      </c>
      <c r="D11371" s="417" t="s">
        <v>4427</v>
      </c>
      <c r="E11371" s="423">
        <v>2.4383297309179728</v>
      </c>
      <c r="F11371" s="423">
        <v>0.2213716195299123</v>
      </c>
      <c r="G11371" s="422">
        <v>5590.7177345972896</v>
      </c>
      <c r="H11371" s="417" t="s">
        <v>2616</v>
      </c>
      <c r="I11371" s="417" t="s">
        <v>1392</v>
      </c>
      <c r="J11371" s="417" t="s">
        <v>24559</v>
      </c>
      <c r="K11371" s="417" t="s">
        <v>25261</v>
      </c>
      <c r="L11371" s="417"/>
      <c r="M11371" s="417" t="s">
        <v>28840</v>
      </c>
    </row>
    <row r="11372" spans="1:13" x14ac:dyDescent="0.25">
      <c r="A11372" s="417" t="s">
        <v>3385</v>
      </c>
      <c r="B11372" s="417" t="s">
        <v>3655</v>
      </c>
      <c r="C11372" s="417" t="s">
        <v>25262</v>
      </c>
      <c r="D11372" s="417" t="s">
        <v>4427</v>
      </c>
      <c r="E11372" s="423">
        <v>7.7072320855258658</v>
      </c>
      <c r="F11372" s="423">
        <v>0.85741931331591448</v>
      </c>
      <c r="G11372" s="422">
        <v>17020.430132209629</v>
      </c>
      <c r="H11372" s="417" t="s">
        <v>2616</v>
      </c>
      <c r="I11372" s="417" t="s">
        <v>1392</v>
      </c>
      <c r="J11372" s="417" t="s">
        <v>24559</v>
      </c>
      <c r="K11372" s="417" t="s">
        <v>25263</v>
      </c>
      <c r="L11372" s="417"/>
      <c r="M11372" s="417" t="s">
        <v>28840</v>
      </c>
    </row>
    <row r="11373" spans="1:13" x14ac:dyDescent="0.25">
      <c r="A11373" s="417" t="s">
        <v>3385</v>
      </c>
      <c r="B11373" s="417" t="s">
        <v>3655</v>
      </c>
      <c r="C11373" s="417" t="s">
        <v>25264</v>
      </c>
      <c r="D11373" s="417" t="s">
        <v>4427</v>
      </c>
      <c r="E11373" s="423">
        <v>2.6503452874304778</v>
      </c>
      <c r="F11373" s="423">
        <v>0.2481675240822549</v>
      </c>
      <c r="G11373" s="422">
        <v>6069.7016427139433</v>
      </c>
      <c r="H11373" s="417" t="s">
        <v>2616</v>
      </c>
      <c r="I11373" s="417" t="s">
        <v>1392</v>
      </c>
      <c r="J11373" s="417" t="s">
        <v>24559</v>
      </c>
      <c r="K11373" s="417" t="s">
        <v>25265</v>
      </c>
      <c r="L11373" s="417"/>
      <c r="M11373" s="417" t="s">
        <v>28840</v>
      </c>
    </row>
    <row r="11374" spans="1:13" x14ac:dyDescent="0.25">
      <c r="A11374" s="417" t="s">
        <v>3385</v>
      </c>
      <c r="B11374" s="417" t="s">
        <v>3655</v>
      </c>
      <c r="C11374" s="417" t="s">
        <v>25266</v>
      </c>
      <c r="D11374" s="417" t="s">
        <v>4427</v>
      </c>
      <c r="E11374" s="423">
        <v>2.8910477033906279</v>
      </c>
      <c r="F11374" s="423">
        <v>0.27250573870779499</v>
      </c>
      <c r="G11374" s="422">
        <v>6616.8198251405529</v>
      </c>
      <c r="H11374" s="417" t="s">
        <v>2616</v>
      </c>
      <c r="I11374" s="417" t="s">
        <v>1392</v>
      </c>
      <c r="J11374" s="417" t="s">
        <v>24559</v>
      </c>
      <c r="K11374" s="417" t="s">
        <v>25267</v>
      </c>
      <c r="L11374" s="417"/>
      <c r="M11374" s="417" t="s">
        <v>28840</v>
      </c>
    </row>
    <row r="11375" spans="1:13" x14ac:dyDescent="0.25">
      <c r="A11375" s="417" t="s">
        <v>3385</v>
      </c>
      <c r="B11375" s="417" t="s">
        <v>2627</v>
      </c>
      <c r="C11375" s="417" t="s">
        <v>25268</v>
      </c>
      <c r="D11375" s="417" t="s">
        <v>88</v>
      </c>
      <c r="E11375" s="423">
        <v>2.0614485270690128</v>
      </c>
      <c r="F11375" s="423">
        <v>2.9745000000000001E-2</v>
      </c>
      <c r="G11375" s="422">
        <v>3277.3122038498941</v>
      </c>
      <c r="H11375" s="417" t="s">
        <v>2616</v>
      </c>
      <c r="I11375" s="417" t="s">
        <v>1392</v>
      </c>
      <c r="J11375" s="417" t="s">
        <v>25269</v>
      </c>
      <c r="K11375" s="417" t="s">
        <v>25270</v>
      </c>
      <c r="L11375" s="417"/>
      <c r="M11375" s="417" t="s">
        <v>28840</v>
      </c>
    </row>
    <row r="11376" spans="1:13" x14ac:dyDescent="0.25">
      <c r="A11376" s="417" t="s">
        <v>3385</v>
      </c>
      <c r="B11376" s="417" t="s">
        <v>2627</v>
      </c>
      <c r="C11376" s="417" t="s">
        <v>25271</v>
      </c>
      <c r="D11376" s="417" t="s">
        <v>88</v>
      </c>
      <c r="E11376" s="423">
        <v>0.41188984726421091</v>
      </c>
      <c r="F11376" s="423">
        <v>0.23122686748080001</v>
      </c>
      <c r="G11376" s="422">
        <v>4993.8853495967833</v>
      </c>
      <c r="H11376" s="417" t="s">
        <v>2616</v>
      </c>
      <c r="I11376" s="417" t="s">
        <v>1392</v>
      </c>
      <c r="J11376" s="417" t="s">
        <v>24529</v>
      </c>
      <c r="K11376" s="417" t="s">
        <v>25272</v>
      </c>
      <c r="L11376" s="417"/>
      <c r="M11376" s="417" t="s">
        <v>28840</v>
      </c>
    </row>
    <row r="11377" spans="1:13" x14ac:dyDescent="0.25">
      <c r="A11377" s="417" t="s">
        <v>3385</v>
      </c>
      <c r="B11377" s="417" t="s">
        <v>2627</v>
      </c>
      <c r="C11377" s="417" t="s">
        <v>25273</v>
      </c>
      <c r="D11377" s="417" t="s">
        <v>88</v>
      </c>
      <c r="E11377" s="423">
        <v>3.9613303817585661E-2</v>
      </c>
      <c r="F11377" s="423">
        <v>2.233843983022498E-4</v>
      </c>
      <c r="G11377" s="422">
        <v>88.065073071626259</v>
      </c>
      <c r="H11377" s="417" t="s">
        <v>2616</v>
      </c>
      <c r="I11377" s="417" t="s">
        <v>1392</v>
      </c>
      <c r="J11377" s="417" t="s">
        <v>24529</v>
      </c>
      <c r="K11377" s="417" t="s">
        <v>25274</v>
      </c>
      <c r="L11377" s="417"/>
      <c r="M11377" s="417" t="s">
        <v>28840</v>
      </c>
    </row>
    <row r="11378" spans="1:13" x14ac:dyDescent="0.25">
      <c r="A11378" s="417" t="s">
        <v>3385</v>
      </c>
      <c r="B11378" s="417" t="s">
        <v>2623</v>
      </c>
      <c r="C11378" s="417" t="s">
        <v>25275</v>
      </c>
      <c r="D11378" s="417" t="s">
        <v>88</v>
      </c>
      <c r="E11378" s="423">
        <v>0</v>
      </c>
      <c r="F11378" s="423">
        <v>0</v>
      </c>
      <c r="G11378" s="422">
        <v>0</v>
      </c>
      <c r="H11378" s="417" t="s">
        <v>2616</v>
      </c>
      <c r="I11378" s="417" t="s">
        <v>1392</v>
      </c>
      <c r="J11378" s="417" t="s">
        <v>24549</v>
      </c>
      <c r="K11378" s="417" t="s">
        <v>25276</v>
      </c>
      <c r="L11378" s="417"/>
      <c r="M11378" s="417" t="s">
        <v>28840</v>
      </c>
    </row>
    <row r="11379" spans="1:13" x14ac:dyDescent="0.25">
      <c r="A11379" s="417" t="s">
        <v>3385</v>
      </c>
      <c r="B11379" s="417" t="s">
        <v>2627</v>
      </c>
      <c r="C11379" s="417" t="s">
        <v>25277</v>
      </c>
      <c r="D11379" s="417" t="s">
        <v>88</v>
      </c>
      <c r="E11379" s="423">
        <v>0.44530395854534133</v>
      </c>
      <c r="F11379" s="423">
        <v>3.3297257371402503E-2</v>
      </c>
      <c r="G11379" s="422">
        <v>573.95941019217878</v>
      </c>
      <c r="H11379" s="417" t="s">
        <v>2616</v>
      </c>
      <c r="I11379" s="417" t="s">
        <v>1392</v>
      </c>
      <c r="J11379" s="417" t="s">
        <v>24439</v>
      </c>
      <c r="K11379" s="417" t="s">
        <v>25278</v>
      </c>
      <c r="L11379" s="417"/>
      <c r="M11379" s="417" t="s">
        <v>28840</v>
      </c>
    </row>
    <row r="11380" spans="1:13" x14ac:dyDescent="0.25">
      <c r="A11380" s="417" t="s">
        <v>3385</v>
      </c>
      <c r="B11380" s="417" t="s">
        <v>2627</v>
      </c>
      <c r="C11380" s="417" t="s">
        <v>25279</v>
      </c>
      <c r="D11380" s="417" t="s">
        <v>88</v>
      </c>
      <c r="E11380" s="423">
        <v>1.029684272231489</v>
      </c>
      <c r="F11380" s="423">
        <v>3.1130892634936069E-2</v>
      </c>
      <c r="G11380" s="422">
        <v>1406.937933274794</v>
      </c>
      <c r="H11380" s="417" t="s">
        <v>2616</v>
      </c>
      <c r="I11380" s="417" t="s">
        <v>1392</v>
      </c>
      <c r="J11380" s="417" t="s">
        <v>24602</v>
      </c>
      <c r="K11380" s="417" t="s">
        <v>25280</v>
      </c>
      <c r="L11380" s="417"/>
      <c r="M11380" s="417" t="s">
        <v>28840</v>
      </c>
    </row>
    <row r="11381" spans="1:13" x14ac:dyDescent="0.25">
      <c r="A11381" s="417" t="s">
        <v>3385</v>
      </c>
      <c r="B11381" s="417" t="s">
        <v>2627</v>
      </c>
      <c r="C11381" s="417" t="s">
        <v>25281</v>
      </c>
      <c r="D11381" s="417" t="s">
        <v>88</v>
      </c>
      <c r="E11381" s="423">
        <v>0.43052820942101822</v>
      </c>
      <c r="F11381" s="423">
        <v>1.7958365153503079E-2</v>
      </c>
      <c r="G11381" s="422">
        <v>697.77963081880796</v>
      </c>
      <c r="H11381" s="417" t="s">
        <v>2616</v>
      </c>
      <c r="I11381" s="417" t="s">
        <v>1392</v>
      </c>
      <c r="J11381" s="417" t="s">
        <v>24602</v>
      </c>
      <c r="K11381" s="417" t="s">
        <v>25282</v>
      </c>
      <c r="L11381" s="417"/>
      <c r="M11381" s="417" t="s">
        <v>28840</v>
      </c>
    </row>
    <row r="11382" spans="1:13" x14ac:dyDescent="0.25">
      <c r="A11382" s="417" t="s">
        <v>3385</v>
      </c>
      <c r="B11382" s="417" t="s">
        <v>2627</v>
      </c>
      <c r="C11382" s="417" t="s">
        <v>922</v>
      </c>
      <c r="D11382" s="417" t="s">
        <v>88</v>
      </c>
      <c r="E11382" s="423">
        <v>0.98651543053720936</v>
      </c>
      <c r="F11382" s="423">
        <v>5.9033197334510921E-2</v>
      </c>
      <c r="G11382" s="422">
        <v>1306.8796328459539</v>
      </c>
      <c r="H11382" s="417" t="s">
        <v>2616</v>
      </c>
      <c r="I11382" s="417" t="s">
        <v>28841</v>
      </c>
      <c r="J11382" s="417" t="s">
        <v>24602</v>
      </c>
      <c r="K11382" s="417" t="s">
        <v>25283</v>
      </c>
      <c r="L11382" s="417"/>
      <c r="M11382" s="417" t="s">
        <v>28840</v>
      </c>
    </row>
    <row r="11383" spans="1:13" x14ac:dyDescent="0.25">
      <c r="A11383" s="417" t="s">
        <v>3385</v>
      </c>
      <c r="B11383" s="417" t="s">
        <v>2627</v>
      </c>
      <c r="C11383" s="417" t="s">
        <v>25284</v>
      </c>
      <c r="D11383" s="417" t="s">
        <v>88</v>
      </c>
      <c r="E11383" s="423">
        <v>2.4522504316637348</v>
      </c>
      <c r="F11383" s="423">
        <v>0.1020282590921027</v>
      </c>
      <c r="G11383" s="422">
        <v>3980.0405125147508</v>
      </c>
      <c r="H11383" s="417" t="s">
        <v>2616</v>
      </c>
      <c r="I11383" s="417" t="s">
        <v>1392</v>
      </c>
      <c r="J11383" s="417" t="s">
        <v>24469</v>
      </c>
      <c r="K11383" s="417" t="s">
        <v>25285</v>
      </c>
      <c r="L11383" s="417"/>
      <c r="M11383" s="417" t="s">
        <v>28840</v>
      </c>
    </row>
    <row r="11384" spans="1:13" x14ac:dyDescent="0.25">
      <c r="A11384" s="417" t="s">
        <v>3385</v>
      </c>
      <c r="B11384" s="417" t="s">
        <v>2627</v>
      </c>
      <c r="C11384" s="417" t="s">
        <v>25286</v>
      </c>
      <c r="D11384" s="417" t="s">
        <v>88</v>
      </c>
      <c r="E11384" s="423">
        <v>0.56327317923950238</v>
      </c>
      <c r="F11384" s="423">
        <v>4.187101370095863E-2</v>
      </c>
      <c r="G11384" s="422">
        <v>699.31118379397321</v>
      </c>
      <c r="H11384" s="417" t="s">
        <v>2616</v>
      </c>
      <c r="I11384" s="417" t="s">
        <v>1392</v>
      </c>
      <c r="J11384" s="417" t="s">
        <v>24439</v>
      </c>
      <c r="K11384" s="417" t="s">
        <v>25287</v>
      </c>
      <c r="L11384" s="417"/>
      <c r="M11384" s="417" t="s">
        <v>28840</v>
      </c>
    </row>
    <row r="11385" spans="1:13" x14ac:dyDescent="0.25">
      <c r="A11385" s="417" t="s">
        <v>3385</v>
      </c>
      <c r="B11385" s="417" t="s">
        <v>2627</v>
      </c>
      <c r="C11385" s="417" t="s">
        <v>25288</v>
      </c>
      <c r="D11385" s="417" t="s">
        <v>88</v>
      </c>
      <c r="E11385" s="423">
        <v>0.1839348422538577</v>
      </c>
      <c r="F11385" s="423">
        <v>8.391599275908079E-3</v>
      </c>
      <c r="G11385" s="422">
        <v>321.47807734562622</v>
      </c>
      <c r="H11385" s="417" t="s">
        <v>2616</v>
      </c>
      <c r="I11385" s="417" t="s">
        <v>1392</v>
      </c>
      <c r="J11385" s="417" t="s">
        <v>24579</v>
      </c>
      <c r="K11385" s="417" t="s">
        <v>25289</v>
      </c>
      <c r="L11385" s="417"/>
      <c r="M11385" s="417" t="s">
        <v>28840</v>
      </c>
    </row>
    <row r="11386" spans="1:13" x14ac:dyDescent="0.25">
      <c r="A11386" s="417" t="s">
        <v>3385</v>
      </c>
      <c r="B11386" s="417" t="s">
        <v>3655</v>
      </c>
      <c r="C11386" s="417" t="s">
        <v>25290</v>
      </c>
      <c r="D11386" s="417" t="s">
        <v>989</v>
      </c>
      <c r="E11386" s="423">
        <v>368.88431980751278</v>
      </c>
      <c r="F11386" s="423">
        <v>167.69083291080821</v>
      </c>
      <c r="G11386" s="422">
        <v>1100087.75976967</v>
      </c>
      <c r="H11386" s="417" t="s">
        <v>2616</v>
      </c>
      <c r="I11386" s="417" t="s">
        <v>1392</v>
      </c>
      <c r="J11386" s="417" t="s">
        <v>24800</v>
      </c>
      <c r="K11386" s="417" t="s">
        <v>25291</v>
      </c>
      <c r="L11386" s="417"/>
      <c r="M11386" s="417" t="s">
        <v>28840</v>
      </c>
    </row>
    <row r="11387" spans="1:13" x14ac:dyDescent="0.25">
      <c r="A11387" s="417" t="s">
        <v>3385</v>
      </c>
      <c r="B11387" s="417" t="s">
        <v>2627</v>
      </c>
      <c r="C11387" s="417" t="s">
        <v>1055</v>
      </c>
      <c r="D11387" s="417" t="s">
        <v>88</v>
      </c>
      <c r="E11387" s="423">
        <v>4.4816591269568518</v>
      </c>
      <c r="F11387" s="423">
        <v>0.2302488291382086</v>
      </c>
      <c r="G11387" s="422">
        <v>14027.179418593931</v>
      </c>
      <c r="H11387" s="417" t="s">
        <v>2616</v>
      </c>
      <c r="I11387" s="417" t="s">
        <v>28841</v>
      </c>
      <c r="J11387" s="417" t="s">
        <v>24424</v>
      </c>
      <c r="K11387" s="417" t="s">
        <v>25292</v>
      </c>
      <c r="L11387" s="417"/>
      <c r="M11387" s="417" t="s">
        <v>28840</v>
      </c>
    </row>
    <row r="11388" spans="1:13" x14ac:dyDescent="0.25">
      <c r="A11388" s="417" t="s">
        <v>3385</v>
      </c>
      <c r="B11388" s="417" t="s">
        <v>2627</v>
      </c>
      <c r="C11388" s="417" t="s">
        <v>25293</v>
      </c>
      <c r="D11388" s="417" t="s">
        <v>88</v>
      </c>
      <c r="E11388" s="423">
        <v>4.4814079269845619</v>
      </c>
      <c r="F11388" s="423">
        <v>0.230213912767259</v>
      </c>
      <c r="G11388" s="422">
        <v>14050.513364805311</v>
      </c>
      <c r="H11388" s="417" t="s">
        <v>2616</v>
      </c>
      <c r="I11388" s="417" t="s">
        <v>1392</v>
      </c>
      <c r="J11388" s="417" t="s">
        <v>24424</v>
      </c>
      <c r="K11388" s="417" t="s">
        <v>25294</v>
      </c>
      <c r="L11388" s="417"/>
      <c r="M11388" s="417" t="s">
        <v>28840</v>
      </c>
    </row>
    <row r="11389" spans="1:13" x14ac:dyDescent="0.25">
      <c r="A11389" s="417" t="s">
        <v>3385</v>
      </c>
      <c r="B11389" s="417" t="s">
        <v>2627</v>
      </c>
      <c r="C11389" s="417" t="s">
        <v>25295</v>
      </c>
      <c r="D11389" s="417" t="s">
        <v>88</v>
      </c>
      <c r="E11389" s="423">
        <v>4.5606131162400416</v>
      </c>
      <c r="F11389" s="423">
        <v>0.19864444387724819</v>
      </c>
      <c r="G11389" s="422">
        <v>8775.0031424517947</v>
      </c>
      <c r="H11389" s="417" t="s">
        <v>2616</v>
      </c>
      <c r="I11389" s="417" t="s">
        <v>1392</v>
      </c>
      <c r="J11389" s="417" t="s">
        <v>24424</v>
      </c>
      <c r="K11389" s="417" t="s">
        <v>25296</v>
      </c>
      <c r="L11389" s="417"/>
      <c r="M11389" s="417" t="s">
        <v>28840</v>
      </c>
    </row>
    <row r="11390" spans="1:13" x14ac:dyDescent="0.25">
      <c r="A11390" s="417" t="s">
        <v>3385</v>
      </c>
      <c r="B11390" s="417" t="s">
        <v>2623</v>
      </c>
      <c r="C11390" s="417" t="s">
        <v>25297</v>
      </c>
      <c r="D11390" s="417" t="s">
        <v>88</v>
      </c>
      <c r="E11390" s="423">
        <v>0</v>
      </c>
      <c r="F11390" s="423">
        <v>0</v>
      </c>
      <c r="G11390" s="422">
        <v>0</v>
      </c>
      <c r="H11390" s="417" t="s">
        <v>2616</v>
      </c>
      <c r="I11390" s="417" t="s">
        <v>1392</v>
      </c>
      <c r="J11390" s="417" t="s">
        <v>24450</v>
      </c>
      <c r="K11390" s="417" t="s">
        <v>25298</v>
      </c>
      <c r="L11390" s="417"/>
      <c r="M11390" s="417" t="s">
        <v>28840</v>
      </c>
    </row>
    <row r="11391" spans="1:13" x14ac:dyDescent="0.25">
      <c r="A11391" s="417" t="s">
        <v>3385</v>
      </c>
      <c r="B11391" s="417" t="s">
        <v>3655</v>
      </c>
      <c r="C11391" s="417" t="s">
        <v>25299</v>
      </c>
      <c r="D11391" s="417" t="s">
        <v>88</v>
      </c>
      <c r="E11391" s="423">
        <v>0.29443639906627078</v>
      </c>
      <c r="F11391" s="423">
        <v>0.11031230543441541</v>
      </c>
      <c r="G11391" s="422">
        <v>424.53055507849632</v>
      </c>
      <c r="H11391" s="417" t="s">
        <v>2616</v>
      </c>
      <c r="I11391" s="417" t="s">
        <v>1392</v>
      </c>
      <c r="J11391" s="417" t="s">
        <v>24681</v>
      </c>
      <c r="K11391" s="417" t="s">
        <v>25300</v>
      </c>
      <c r="L11391" s="417"/>
      <c r="M11391" s="417" t="s">
        <v>28840</v>
      </c>
    </row>
    <row r="11392" spans="1:13" x14ac:dyDescent="0.25">
      <c r="A11392" s="417" t="s">
        <v>3385</v>
      </c>
      <c r="B11392" s="417" t="s">
        <v>3655</v>
      </c>
      <c r="C11392" s="417" t="s">
        <v>25301</v>
      </c>
      <c r="D11392" s="417" t="s">
        <v>88</v>
      </c>
      <c r="E11392" s="423">
        <v>0.28234738995486319</v>
      </c>
      <c r="F11392" s="423">
        <v>0.11014955285820011</v>
      </c>
      <c r="G11392" s="422">
        <v>400.49843429633819</v>
      </c>
      <c r="H11392" s="417" t="s">
        <v>2616</v>
      </c>
      <c r="I11392" s="417" t="s">
        <v>1392</v>
      </c>
      <c r="J11392" s="417" t="s">
        <v>24681</v>
      </c>
      <c r="K11392" s="417" t="s">
        <v>25302</v>
      </c>
      <c r="L11392" s="417"/>
      <c r="M11392" s="417" t="s">
        <v>28840</v>
      </c>
    </row>
    <row r="11393" spans="1:13" x14ac:dyDescent="0.25">
      <c r="A11393" s="417" t="s">
        <v>3385</v>
      </c>
      <c r="B11393" s="417" t="s">
        <v>3655</v>
      </c>
      <c r="C11393" s="417" t="s">
        <v>25303</v>
      </c>
      <c r="D11393" s="417" t="s">
        <v>88</v>
      </c>
      <c r="E11393" s="423">
        <v>0.27954649416155869</v>
      </c>
      <c r="F11393" s="423">
        <v>0.11013045373702809</v>
      </c>
      <c r="G11393" s="422">
        <v>387.15679458714288</v>
      </c>
      <c r="H11393" s="417" t="s">
        <v>2616</v>
      </c>
      <c r="I11393" s="417" t="s">
        <v>1392</v>
      </c>
      <c r="J11393" s="417" t="s">
        <v>24681</v>
      </c>
      <c r="K11393" s="417" t="s">
        <v>25304</v>
      </c>
      <c r="L11393" s="417"/>
      <c r="M11393" s="417" t="s">
        <v>28840</v>
      </c>
    </row>
    <row r="11394" spans="1:13" x14ac:dyDescent="0.25">
      <c r="A11394" s="417" t="s">
        <v>3385</v>
      </c>
      <c r="B11394" s="417" t="s">
        <v>3655</v>
      </c>
      <c r="C11394" s="417" t="s">
        <v>25305</v>
      </c>
      <c r="D11394" s="417" t="s">
        <v>88</v>
      </c>
      <c r="E11394" s="423">
        <v>0.25015059436768339</v>
      </c>
      <c r="F11394" s="423">
        <v>0.1100681667514376</v>
      </c>
      <c r="G11394" s="422">
        <v>352.74257448119789</v>
      </c>
      <c r="H11394" s="417" t="s">
        <v>2616</v>
      </c>
      <c r="I11394" s="417" t="s">
        <v>1392</v>
      </c>
      <c r="J11394" s="417" t="s">
        <v>24681</v>
      </c>
      <c r="K11394" s="417" t="s">
        <v>25306</v>
      </c>
      <c r="L11394" s="417"/>
      <c r="M11394" s="417" t="s">
        <v>28840</v>
      </c>
    </row>
    <row r="11395" spans="1:13" x14ac:dyDescent="0.25">
      <c r="A11395" s="417" t="s">
        <v>3385</v>
      </c>
      <c r="B11395" s="417" t="s">
        <v>3655</v>
      </c>
      <c r="C11395" s="417" t="s">
        <v>25307</v>
      </c>
      <c r="D11395" s="417" t="s">
        <v>88</v>
      </c>
      <c r="E11395" s="423">
        <v>0.85738106702725569</v>
      </c>
      <c r="F11395" s="423">
        <v>4.6190748535668721E-2</v>
      </c>
      <c r="G11395" s="422">
        <v>1445.0289578360671</v>
      </c>
      <c r="H11395" s="417" t="s">
        <v>2616</v>
      </c>
      <c r="I11395" s="417" t="s">
        <v>1392</v>
      </c>
      <c r="J11395" s="417" t="s">
        <v>24681</v>
      </c>
      <c r="K11395" s="417" t="s">
        <v>25308</v>
      </c>
      <c r="L11395" s="417"/>
      <c r="M11395" s="417" t="s">
        <v>28840</v>
      </c>
    </row>
    <row r="11396" spans="1:13" x14ac:dyDescent="0.25">
      <c r="A11396" s="417" t="s">
        <v>3385</v>
      </c>
      <c r="B11396" s="417" t="s">
        <v>3655</v>
      </c>
      <c r="C11396" s="417" t="s">
        <v>25309</v>
      </c>
      <c r="D11396" s="417" t="s">
        <v>88</v>
      </c>
      <c r="E11396" s="423">
        <v>0.81461161636030377</v>
      </c>
      <c r="F11396" s="423">
        <v>4.5614949653952748E-2</v>
      </c>
      <c r="G11396" s="422">
        <v>1360.006223570372</v>
      </c>
      <c r="H11396" s="417" t="s">
        <v>2616</v>
      </c>
      <c r="I11396" s="417" t="s">
        <v>1392</v>
      </c>
      <c r="J11396" s="417" t="s">
        <v>24681</v>
      </c>
      <c r="K11396" s="417" t="s">
        <v>25310</v>
      </c>
      <c r="L11396" s="417"/>
      <c r="M11396" s="417" t="s">
        <v>28840</v>
      </c>
    </row>
    <row r="11397" spans="1:13" x14ac:dyDescent="0.25">
      <c r="A11397" s="417" t="s">
        <v>3385</v>
      </c>
      <c r="B11397" s="417" t="s">
        <v>3655</v>
      </c>
      <c r="C11397" s="417" t="s">
        <v>25311</v>
      </c>
      <c r="D11397" s="417" t="s">
        <v>88</v>
      </c>
      <c r="E11397" s="423">
        <v>0.80470238851684106</v>
      </c>
      <c r="F11397" s="423">
        <v>4.5547379380669092E-2</v>
      </c>
      <c r="G11397" s="422">
        <v>1312.805123644755</v>
      </c>
      <c r="H11397" s="417" t="s">
        <v>2616</v>
      </c>
      <c r="I11397" s="417" t="s">
        <v>1392</v>
      </c>
      <c r="J11397" s="417" t="s">
        <v>24681</v>
      </c>
      <c r="K11397" s="417" t="s">
        <v>25312</v>
      </c>
      <c r="L11397" s="417"/>
      <c r="M11397" s="417" t="s">
        <v>28840</v>
      </c>
    </row>
    <row r="11398" spans="1:13" x14ac:dyDescent="0.25">
      <c r="A11398" s="417" t="s">
        <v>3385</v>
      </c>
      <c r="B11398" s="417" t="s">
        <v>3655</v>
      </c>
      <c r="C11398" s="417" t="s">
        <v>25313</v>
      </c>
      <c r="D11398" s="417" t="s">
        <v>88</v>
      </c>
      <c r="E11398" s="423">
        <v>0.7007032570939814</v>
      </c>
      <c r="F11398" s="423">
        <v>4.5327015453209753E-2</v>
      </c>
      <c r="G11398" s="422">
        <v>1191.0517830843371</v>
      </c>
      <c r="H11398" s="417" t="s">
        <v>2616</v>
      </c>
      <c r="I11398" s="417" t="s">
        <v>1392</v>
      </c>
      <c r="J11398" s="417" t="s">
        <v>24681</v>
      </c>
      <c r="K11398" s="417" t="s">
        <v>25314</v>
      </c>
      <c r="L11398" s="417"/>
      <c r="M11398" s="417" t="s">
        <v>28840</v>
      </c>
    </row>
    <row r="11399" spans="1:13" x14ac:dyDescent="0.25">
      <c r="A11399" s="417" t="s">
        <v>3385</v>
      </c>
      <c r="B11399" s="417" t="s">
        <v>2627</v>
      </c>
      <c r="C11399" s="417" t="s">
        <v>1057</v>
      </c>
      <c r="D11399" s="417" t="s">
        <v>88</v>
      </c>
      <c r="E11399" s="423">
        <v>5.1710073504901883</v>
      </c>
      <c r="F11399" s="423">
        <v>0.2488429957493016</v>
      </c>
      <c r="G11399" s="422">
        <v>11420.43261267595</v>
      </c>
      <c r="H11399" s="417" t="s">
        <v>2616</v>
      </c>
      <c r="I11399" s="417" t="s">
        <v>28841</v>
      </c>
      <c r="J11399" s="417" t="s">
        <v>24424</v>
      </c>
      <c r="K11399" s="417" t="s">
        <v>25315</v>
      </c>
      <c r="L11399" s="417"/>
      <c r="M11399" s="417" t="s">
        <v>28840</v>
      </c>
    </row>
    <row r="11400" spans="1:13" x14ac:dyDescent="0.25">
      <c r="A11400" s="417" t="s">
        <v>3385</v>
      </c>
      <c r="B11400" s="417" t="s">
        <v>2627</v>
      </c>
      <c r="C11400" s="417" t="s">
        <v>25316</v>
      </c>
      <c r="D11400" s="417" t="s">
        <v>88</v>
      </c>
      <c r="E11400" s="423">
        <v>1.558767830277531</v>
      </c>
      <c r="F11400" s="423">
        <v>0.90295052652842711</v>
      </c>
      <c r="G11400" s="422">
        <v>2099.1707542460831</v>
      </c>
      <c r="H11400" s="417" t="s">
        <v>2616</v>
      </c>
      <c r="I11400" s="417" t="s">
        <v>1392</v>
      </c>
      <c r="J11400" s="417" t="s">
        <v>25317</v>
      </c>
      <c r="K11400" s="417" t="s">
        <v>25318</v>
      </c>
      <c r="L11400" s="417"/>
      <c r="M11400" s="417" t="s">
        <v>28840</v>
      </c>
    </row>
    <row r="11401" spans="1:13" x14ac:dyDescent="0.25">
      <c r="A11401" s="417" t="s">
        <v>3385</v>
      </c>
      <c r="B11401" s="417" t="s">
        <v>2627</v>
      </c>
      <c r="C11401" s="417" t="s">
        <v>25319</v>
      </c>
      <c r="D11401" s="417" t="s">
        <v>88</v>
      </c>
      <c r="E11401" s="423">
        <v>1.8029891895985</v>
      </c>
      <c r="F11401" s="423">
        <v>0.92157533851151463</v>
      </c>
      <c r="G11401" s="422">
        <v>2543.503925102998</v>
      </c>
      <c r="H11401" s="417" t="s">
        <v>2616</v>
      </c>
      <c r="I11401" s="417" t="s">
        <v>1392</v>
      </c>
      <c r="J11401" s="417" t="s">
        <v>25317</v>
      </c>
      <c r="K11401" s="417" t="s">
        <v>25320</v>
      </c>
      <c r="L11401" s="417"/>
      <c r="M11401" s="417" t="s">
        <v>28840</v>
      </c>
    </row>
    <row r="11402" spans="1:13" x14ac:dyDescent="0.25">
      <c r="A11402" s="417" t="s">
        <v>3385</v>
      </c>
      <c r="B11402" s="417" t="s">
        <v>2627</v>
      </c>
      <c r="C11402" s="417" t="s">
        <v>25321</v>
      </c>
      <c r="D11402" s="417" t="s">
        <v>88</v>
      </c>
      <c r="E11402" s="423">
        <v>1.5724653189629421</v>
      </c>
      <c r="F11402" s="423">
        <v>0.90627740212502228</v>
      </c>
      <c r="G11402" s="422">
        <v>2166.228977160124</v>
      </c>
      <c r="H11402" s="417" t="s">
        <v>2616</v>
      </c>
      <c r="I11402" s="417" t="s">
        <v>1392</v>
      </c>
      <c r="J11402" s="417" t="s">
        <v>25317</v>
      </c>
      <c r="K11402" s="417" t="s">
        <v>25322</v>
      </c>
      <c r="L11402" s="417"/>
      <c r="M11402" s="417" t="s">
        <v>28840</v>
      </c>
    </row>
    <row r="11403" spans="1:13" x14ac:dyDescent="0.25">
      <c r="A11403" s="417" t="s">
        <v>3385</v>
      </c>
      <c r="B11403" s="417" t="s">
        <v>2627</v>
      </c>
      <c r="C11403" s="417" t="s">
        <v>25323</v>
      </c>
      <c r="D11403" s="417" t="s">
        <v>88</v>
      </c>
      <c r="E11403" s="423">
        <v>2.5668726210199919</v>
      </c>
      <c r="F11403" s="423">
        <v>9.5062583558571043E-2</v>
      </c>
      <c r="G11403" s="422">
        <v>4422.812332271842</v>
      </c>
      <c r="H11403" s="417" t="s">
        <v>2616</v>
      </c>
      <c r="I11403" s="417" t="s">
        <v>1392</v>
      </c>
      <c r="J11403" s="417" t="s">
        <v>24415</v>
      </c>
      <c r="K11403" s="417" t="s">
        <v>25324</v>
      </c>
      <c r="L11403" s="417"/>
      <c r="M11403" s="417" t="s">
        <v>28840</v>
      </c>
    </row>
    <row r="11404" spans="1:13" x14ac:dyDescent="0.25">
      <c r="A11404" s="417" t="s">
        <v>3385</v>
      </c>
      <c r="B11404" s="417" t="s">
        <v>2627</v>
      </c>
      <c r="C11404" s="417" t="s">
        <v>25325</v>
      </c>
      <c r="D11404" s="417" t="s">
        <v>88</v>
      </c>
      <c r="E11404" s="423">
        <v>4.9796063897592511</v>
      </c>
      <c r="F11404" s="423">
        <v>3.6854568339348519E-2</v>
      </c>
      <c r="G11404" s="422">
        <v>57980.512130870353</v>
      </c>
      <c r="H11404" s="417" t="s">
        <v>2616</v>
      </c>
      <c r="I11404" s="417" t="s">
        <v>1392</v>
      </c>
      <c r="J11404" s="417" t="s">
        <v>24415</v>
      </c>
      <c r="K11404" s="417" t="s">
        <v>25326</v>
      </c>
      <c r="L11404" s="417"/>
      <c r="M11404" s="417" t="s">
        <v>28840</v>
      </c>
    </row>
    <row r="11405" spans="1:13" x14ac:dyDescent="0.25">
      <c r="A11405" s="417" t="s">
        <v>3385</v>
      </c>
      <c r="B11405" s="417" t="s">
        <v>2627</v>
      </c>
      <c r="C11405" s="417" t="s">
        <v>25327</v>
      </c>
      <c r="D11405" s="417" t="s">
        <v>88</v>
      </c>
      <c r="E11405" s="423">
        <v>1.3046729713544261</v>
      </c>
      <c r="F11405" s="423">
        <v>2.008633492973266E-2</v>
      </c>
      <c r="G11405" s="422">
        <v>2567.5555053825728</v>
      </c>
      <c r="H11405" s="417" t="s">
        <v>2616</v>
      </c>
      <c r="I11405" s="417" t="s">
        <v>1392</v>
      </c>
      <c r="J11405" s="417" t="s">
        <v>24415</v>
      </c>
      <c r="K11405" s="417" t="s">
        <v>25328</v>
      </c>
      <c r="L11405" s="417"/>
      <c r="M11405" s="417" t="s">
        <v>28840</v>
      </c>
    </row>
    <row r="11406" spans="1:13" x14ac:dyDescent="0.25">
      <c r="A11406" s="417" t="s">
        <v>3385</v>
      </c>
      <c r="B11406" s="417" t="s">
        <v>2627</v>
      </c>
      <c r="C11406" s="417" t="s">
        <v>25329</v>
      </c>
      <c r="D11406" s="417" t="s">
        <v>88</v>
      </c>
      <c r="E11406" s="423">
        <v>1.304683726323997</v>
      </c>
      <c r="F11406" s="423">
        <v>2.008645519523683E-2</v>
      </c>
      <c r="G11406" s="422">
        <v>2567.575776079128</v>
      </c>
      <c r="H11406" s="417" t="s">
        <v>2616</v>
      </c>
      <c r="I11406" s="417" t="s">
        <v>1392</v>
      </c>
      <c r="J11406" s="417" t="s">
        <v>24415</v>
      </c>
      <c r="K11406" s="417" t="s">
        <v>25330</v>
      </c>
      <c r="L11406" s="417"/>
      <c r="M11406" s="417" t="s">
        <v>28840</v>
      </c>
    </row>
    <row r="11407" spans="1:13" x14ac:dyDescent="0.25">
      <c r="A11407" s="417" t="s">
        <v>3385</v>
      </c>
      <c r="B11407" s="417" t="s">
        <v>3655</v>
      </c>
      <c r="C11407" s="417" t="s">
        <v>25331</v>
      </c>
      <c r="D11407" s="417" t="s">
        <v>88</v>
      </c>
      <c r="E11407" s="423">
        <v>1.3583215539772771E-2</v>
      </c>
      <c r="F11407" s="423">
        <v>3.4400383980767598E-3</v>
      </c>
      <c r="G11407" s="422">
        <v>40.472710722062232</v>
      </c>
      <c r="H11407" s="417" t="s">
        <v>2616</v>
      </c>
      <c r="I11407" s="417" t="s">
        <v>1392</v>
      </c>
      <c r="J11407" s="417" t="s">
        <v>24475</v>
      </c>
      <c r="K11407" s="417" t="s">
        <v>25332</v>
      </c>
      <c r="L11407" s="417"/>
      <c r="M11407" s="417" t="s">
        <v>28840</v>
      </c>
    </row>
    <row r="11408" spans="1:13" x14ac:dyDescent="0.25">
      <c r="A11408" s="417" t="s">
        <v>3385</v>
      </c>
      <c r="B11408" s="417" t="s">
        <v>3655</v>
      </c>
      <c r="C11408" s="417" t="s">
        <v>25333</v>
      </c>
      <c r="D11408" s="417" t="s">
        <v>88</v>
      </c>
      <c r="E11408" s="423">
        <v>6.3299044518690168</v>
      </c>
      <c r="F11408" s="423">
        <v>0.61124183428844281</v>
      </c>
      <c r="G11408" s="422">
        <v>13040.873145022049</v>
      </c>
      <c r="H11408" s="417" t="s">
        <v>2616</v>
      </c>
      <c r="I11408" s="417" t="s">
        <v>1392</v>
      </c>
      <c r="J11408" s="417" t="s">
        <v>24803</v>
      </c>
      <c r="K11408" s="417" t="s">
        <v>25334</v>
      </c>
      <c r="L11408" s="417"/>
      <c r="M11408" s="417" t="s">
        <v>28840</v>
      </c>
    </row>
    <row r="11409" spans="1:13" x14ac:dyDescent="0.25">
      <c r="A11409" s="417" t="s">
        <v>3385</v>
      </c>
      <c r="B11409" s="417" t="s">
        <v>3655</v>
      </c>
      <c r="C11409" s="417" t="s">
        <v>25335</v>
      </c>
      <c r="D11409" s="417" t="s">
        <v>88</v>
      </c>
      <c r="E11409" s="423">
        <v>8.0044796195567383</v>
      </c>
      <c r="F11409" s="423">
        <v>0.81859111247910055</v>
      </c>
      <c r="G11409" s="422">
        <v>16591.026745627889</v>
      </c>
      <c r="H11409" s="417" t="s">
        <v>2616</v>
      </c>
      <c r="I11409" s="417" t="s">
        <v>1392</v>
      </c>
      <c r="J11409" s="417" t="s">
        <v>24803</v>
      </c>
      <c r="K11409" s="417" t="s">
        <v>25336</v>
      </c>
      <c r="L11409" s="417"/>
      <c r="M11409" s="417" t="s">
        <v>28840</v>
      </c>
    </row>
    <row r="11410" spans="1:13" x14ac:dyDescent="0.25">
      <c r="A11410" s="417" t="s">
        <v>3385</v>
      </c>
      <c r="B11410" s="417" t="s">
        <v>3655</v>
      </c>
      <c r="C11410" s="417" t="s">
        <v>25337</v>
      </c>
      <c r="D11410" s="417" t="s">
        <v>88</v>
      </c>
      <c r="E11410" s="423">
        <v>6.272079916852503</v>
      </c>
      <c r="F11410" s="423">
        <v>0.60408188362672133</v>
      </c>
      <c r="G11410" s="422">
        <v>12918.28325586428</v>
      </c>
      <c r="H11410" s="417" t="s">
        <v>2616</v>
      </c>
      <c r="I11410" s="417" t="s">
        <v>1392</v>
      </c>
      <c r="J11410" s="417" t="s">
        <v>24803</v>
      </c>
      <c r="K11410" s="417" t="s">
        <v>25338</v>
      </c>
      <c r="L11410" s="417"/>
      <c r="M11410" s="417" t="s">
        <v>28840</v>
      </c>
    </row>
    <row r="11411" spans="1:13" x14ac:dyDescent="0.25">
      <c r="A11411" s="417" t="s">
        <v>3385</v>
      </c>
      <c r="B11411" s="417" t="s">
        <v>3655</v>
      </c>
      <c r="C11411" s="417" t="s">
        <v>25339</v>
      </c>
      <c r="D11411" s="417" t="s">
        <v>88</v>
      </c>
      <c r="E11411" s="423">
        <v>6.7194899548912836</v>
      </c>
      <c r="F11411" s="423">
        <v>0.65948109783748798</v>
      </c>
      <c r="G11411" s="422">
        <v>13866.807031473891</v>
      </c>
      <c r="H11411" s="417" t="s">
        <v>2616</v>
      </c>
      <c r="I11411" s="417" t="s">
        <v>1392</v>
      </c>
      <c r="J11411" s="417" t="s">
        <v>24803</v>
      </c>
      <c r="K11411" s="417" t="s">
        <v>25340</v>
      </c>
      <c r="L11411" s="417"/>
      <c r="M11411" s="417" t="s">
        <v>28840</v>
      </c>
    </row>
    <row r="11412" spans="1:13" x14ac:dyDescent="0.25">
      <c r="A11412" s="417" t="s">
        <v>3385</v>
      </c>
      <c r="B11412" s="417" t="s">
        <v>3655</v>
      </c>
      <c r="C11412" s="417" t="s">
        <v>25341</v>
      </c>
      <c r="D11412" s="417" t="s">
        <v>88</v>
      </c>
      <c r="E11412" s="423">
        <v>3.346968339844703</v>
      </c>
      <c r="F11412" s="423">
        <v>0.59058589258367766</v>
      </c>
      <c r="G11412" s="422">
        <v>7840.5846455591554</v>
      </c>
      <c r="H11412" s="417" t="s">
        <v>2616</v>
      </c>
      <c r="I11412" s="417" t="s">
        <v>1392</v>
      </c>
      <c r="J11412" s="417" t="s">
        <v>24803</v>
      </c>
      <c r="K11412" s="417" t="s">
        <v>25342</v>
      </c>
      <c r="L11412" s="417"/>
      <c r="M11412" s="417" t="s">
        <v>28840</v>
      </c>
    </row>
    <row r="11413" spans="1:13" x14ac:dyDescent="0.25">
      <c r="A11413" s="417" t="s">
        <v>3385</v>
      </c>
      <c r="B11413" s="417" t="s">
        <v>3655</v>
      </c>
      <c r="C11413" s="417" t="s">
        <v>25343</v>
      </c>
      <c r="D11413" s="417" t="s">
        <v>88</v>
      </c>
      <c r="E11413" s="423">
        <v>4.0455354484331627</v>
      </c>
      <c r="F11413" s="423">
        <v>0.67708388236392802</v>
      </c>
      <c r="G11413" s="422">
        <v>9321.5695462783424</v>
      </c>
      <c r="H11413" s="417" t="s">
        <v>2616</v>
      </c>
      <c r="I11413" s="417" t="s">
        <v>1392</v>
      </c>
      <c r="J11413" s="417" t="s">
        <v>24803</v>
      </c>
      <c r="K11413" s="417" t="s">
        <v>25344</v>
      </c>
      <c r="L11413" s="417"/>
      <c r="M11413" s="417" t="s">
        <v>28840</v>
      </c>
    </row>
    <row r="11414" spans="1:13" x14ac:dyDescent="0.25">
      <c r="A11414" s="417" t="s">
        <v>3385</v>
      </c>
      <c r="B11414" s="417" t="s">
        <v>3655</v>
      </c>
      <c r="C11414" s="417" t="s">
        <v>25345</v>
      </c>
      <c r="D11414" s="417" t="s">
        <v>88</v>
      </c>
      <c r="E11414" s="423">
        <v>3.3229916007688902</v>
      </c>
      <c r="F11414" s="423">
        <v>0.58761704434805417</v>
      </c>
      <c r="G11414" s="422">
        <v>7789.753182940929</v>
      </c>
      <c r="H11414" s="417" t="s">
        <v>2616</v>
      </c>
      <c r="I11414" s="417" t="s">
        <v>1392</v>
      </c>
      <c r="J11414" s="417" t="s">
        <v>24803</v>
      </c>
      <c r="K11414" s="417" t="s">
        <v>25346</v>
      </c>
      <c r="L11414" s="417"/>
      <c r="M11414" s="417" t="s">
        <v>28840</v>
      </c>
    </row>
    <row r="11415" spans="1:13" x14ac:dyDescent="0.25">
      <c r="A11415" s="417" t="s">
        <v>3385</v>
      </c>
      <c r="B11415" s="417" t="s">
        <v>3655</v>
      </c>
      <c r="C11415" s="417" t="s">
        <v>25347</v>
      </c>
      <c r="D11415" s="417" t="s">
        <v>88</v>
      </c>
      <c r="E11415" s="423">
        <v>3.509928392682959</v>
      </c>
      <c r="F11415" s="423">
        <v>0.61076393534796491</v>
      </c>
      <c r="G11415" s="422">
        <v>8186.0652377941542</v>
      </c>
      <c r="H11415" s="417" t="s">
        <v>2616</v>
      </c>
      <c r="I11415" s="417" t="s">
        <v>1392</v>
      </c>
      <c r="J11415" s="417" t="s">
        <v>24803</v>
      </c>
      <c r="K11415" s="417" t="s">
        <v>25348</v>
      </c>
      <c r="L11415" s="417"/>
      <c r="M11415" s="417" t="s">
        <v>28840</v>
      </c>
    </row>
    <row r="11416" spans="1:13" x14ac:dyDescent="0.25">
      <c r="A11416" s="417" t="s">
        <v>3385</v>
      </c>
      <c r="B11416" s="417" t="s">
        <v>3655</v>
      </c>
      <c r="C11416" s="417" t="s">
        <v>25349</v>
      </c>
      <c r="D11416" s="417" t="s">
        <v>88</v>
      </c>
      <c r="E11416" s="423">
        <v>6.0479770849451464</v>
      </c>
      <c r="F11416" s="423">
        <v>0.68595415509242574</v>
      </c>
      <c r="G11416" s="422">
        <v>13944.207710904249</v>
      </c>
      <c r="H11416" s="417" t="s">
        <v>2616</v>
      </c>
      <c r="I11416" s="417" t="s">
        <v>1392</v>
      </c>
      <c r="J11416" s="417" t="s">
        <v>24803</v>
      </c>
      <c r="K11416" s="417" t="s">
        <v>25350</v>
      </c>
      <c r="L11416" s="417"/>
      <c r="M11416" s="417" t="s">
        <v>28840</v>
      </c>
    </row>
    <row r="11417" spans="1:13" x14ac:dyDescent="0.25">
      <c r="A11417" s="417" t="s">
        <v>3385</v>
      </c>
      <c r="B11417" s="417" t="s">
        <v>3655</v>
      </c>
      <c r="C11417" s="417" t="s">
        <v>25351</v>
      </c>
      <c r="D11417" s="417" t="s">
        <v>88</v>
      </c>
      <c r="E11417" s="423">
        <v>9.2108039195601066</v>
      </c>
      <c r="F11417" s="423">
        <v>1.077581759384169</v>
      </c>
      <c r="G11417" s="422">
        <v>20649.503067530921</v>
      </c>
      <c r="H11417" s="417" t="s">
        <v>2616</v>
      </c>
      <c r="I11417" s="417" t="s">
        <v>1392</v>
      </c>
      <c r="J11417" s="417" t="s">
        <v>24803</v>
      </c>
      <c r="K11417" s="417" t="s">
        <v>25352</v>
      </c>
      <c r="L11417" s="417"/>
      <c r="M11417" s="417" t="s">
        <v>28840</v>
      </c>
    </row>
    <row r="11418" spans="1:13" x14ac:dyDescent="0.25">
      <c r="A11418" s="417" t="s">
        <v>3385</v>
      </c>
      <c r="B11418" s="417" t="s">
        <v>3655</v>
      </c>
      <c r="C11418" s="417" t="s">
        <v>25353</v>
      </c>
      <c r="D11418" s="417" t="s">
        <v>88</v>
      </c>
      <c r="E11418" s="423">
        <v>5.9393370496345854</v>
      </c>
      <c r="F11418" s="423">
        <v>0.67250212659023068</v>
      </c>
      <c r="G11418" s="422">
        <v>13713.887312886971</v>
      </c>
      <c r="H11418" s="417" t="s">
        <v>2616</v>
      </c>
      <c r="I11418" s="417" t="s">
        <v>1392</v>
      </c>
      <c r="J11418" s="417" t="s">
        <v>24803</v>
      </c>
      <c r="K11418" s="417" t="s">
        <v>25354</v>
      </c>
      <c r="L11418" s="417"/>
      <c r="M11418" s="417" t="s">
        <v>28840</v>
      </c>
    </row>
    <row r="11419" spans="1:13" x14ac:dyDescent="0.25">
      <c r="A11419" s="417" t="s">
        <v>3385</v>
      </c>
      <c r="B11419" s="417" t="s">
        <v>3655</v>
      </c>
      <c r="C11419" s="417" t="s">
        <v>25355</v>
      </c>
      <c r="D11419" s="417" t="s">
        <v>88</v>
      </c>
      <c r="E11419" s="423">
        <v>6.7839257111930138</v>
      </c>
      <c r="F11419" s="423">
        <v>0.77708079985889911</v>
      </c>
      <c r="G11419" s="422">
        <v>15504.44263784629</v>
      </c>
      <c r="H11419" s="417" t="s">
        <v>2616</v>
      </c>
      <c r="I11419" s="417" t="s">
        <v>1392</v>
      </c>
      <c r="J11419" s="417" t="s">
        <v>24803</v>
      </c>
      <c r="K11419" s="417" t="s">
        <v>25356</v>
      </c>
      <c r="L11419" s="417"/>
      <c r="M11419" s="417" t="s">
        <v>28840</v>
      </c>
    </row>
    <row r="11420" spans="1:13" x14ac:dyDescent="0.25">
      <c r="A11420" s="417" t="s">
        <v>3385</v>
      </c>
      <c r="B11420" s="417" t="s">
        <v>3655</v>
      </c>
      <c r="C11420" s="417" t="s">
        <v>25357</v>
      </c>
      <c r="D11420" s="417" t="s">
        <v>88</v>
      </c>
      <c r="E11420" s="423">
        <v>3.7074681618727121</v>
      </c>
      <c r="F11420" s="423">
        <v>0.6084273370232145</v>
      </c>
      <c r="G11420" s="422">
        <v>6884.7954485848441</v>
      </c>
      <c r="H11420" s="417" t="s">
        <v>2616</v>
      </c>
      <c r="I11420" s="417" t="s">
        <v>1392</v>
      </c>
      <c r="J11420" s="417" t="s">
        <v>24803</v>
      </c>
      <c r="K11420" s="417" t="s">
        <v>25358</v>
      </c>
      <c r="L11420" s="417"/>
      <c r="M11420" s="417" t="s">
        <v>28840</v>
      </c>
    </row>
    <row r="11421" spans="1:13" x14ac:dyDescent="0.25">
      <c r="A11421" s="417" t="s">
        <v>3385</v>
      </c>
      <c r="B11421" s="417" t="s">
        <v>3655</v>
      </c>
      <c r="C11421" s="417" t="s">
        <v>25359</v>
      </c>
      <c r="D11421" s="417" t="s">
        <v>88</v>
      </c>
      <c r="E11421" s="423">
        <v>5.9404297475680066</v>
      </c>
      <c r="F11421" s="423">
        <v>0.88491714883502537</v>
      </c>
      <c r="G11421" s="422">
        <v>11618.746336227239</v>
      </c>
      <c r="H11421" s="417" t="s">
        <v>2616</v>
      </c>
      <c r="I11421" s="417" t="s">
        <v>1392</v>
      </c>
      <c r="J11421" s="417" t="s">
        <v>24803</v>
      </c>
      <c r="K11421" s="417" t="s">
        <v>25360</v>
      </c>
      <c r="L11421" s="417"/>
      <c r="M11421" s="417" t="s">
        <v>28840</v>
      </c>
    </row>
    <row r="11422" spans="1:13" x14ac:dyDescent="0.25">
      <c r="A11422" s="417" t="s">
        <v>3385</v>
      </c>
      <c r="B11422" s="417" t="s">
        <v>3655</v>
      </c>
      <c r="C11422" s="417" t="s">
        <v>25361</v>
      </c>
      <c r="D11422" s="417" t="s">
        <v>88</v>
      </c>
      <c r="E11422" s="423">
        <v>3.6306608249678178</v>
      </c>
      <c r="F11422" s="423">
        <v>0.59891689750486854</v>
      </c>
      <c r="G11422" s="422">
        <v>6721.9614054599097</v>
      </c>
      <c r="H11422" s="417" t="s">
        <v>2616</v>
      </c>
      <c r="I11422" s="417" t="s">
        <v>1392</v>
      </c>
      <c r="J11422" s="417" t="s">
        <v>24803</v>
      </c>
      <c r="K11422" s="417" t="s">
        <v>25362</v>
      </c>
      <c r="L11422" s="417"/>
      <c r="M11422" s="417" t="s">
        <v>28840</v>
      </c>
    </row>
    <row r="11423" spans="1:13" x14ac:dyDescent="0.25">
      <c r="A11423" s="417" t="s">
        <v>3385</v>
      </c>
      <c r="B11423" s="417" t="s">
        <v>3655</v>
      </c>
      <c r="C11423" s="417" t="s">
        <v>25363</v>
      </c>
      <c r="D11423" s="417" t="s">
        <v>88</v>
      </c>
      <c r="E11423" s="423">
        <v>4.2290571484587582</v>
      </c>
      <c r="F11423" s="423">
        <v>0.67301153842187389</v>
      </c>
      <c r="G11423" s="422">
        <v>7990.5809972409288</v>
      </c>
      <c r="H11423" s="417" t="s">
        <v>2616</v>
      </c>
      <c r="I11423" s="417" t="s">
        <v>1392</v>
      </c>
      <c r="J11423" s="417" t="s">
        <v>24803</v>
      </c>
      <c r="K11423" s="417" t="s">
        <v>25364</v>
      </c>
      <c r="L11423" s="417"/>
      <c r="M11423" s="417" t="s">
        <v>28840</v>
      </c>
    </row>
    <row r="11424" spans="1:13" x14ac:dyDescent="0.25">
      <c r="A11424" s="417" t="s">
        <v>3385</v>
      </c>
      <c r="B11424" s="417" t="s">
        <v>2623</v>
      </c>
      <c r="C11424" s="417" t="s">
        <v>25365</v>
      </c>
      <c r="D11424" s="417" t="s">
        <v>88</v>
      </c>
      <c r="E11424" s="423">
        <v>0</v>
      </c>
      <c r="F11424" s="423">
        <v>0</v>
      </c>
      <c r="G11424" s="422">
        <v>0</v>
      </c>
      <c r="H11424" s="417" t="s">
        <v>2616</v>
      </c>
      <c r="I11424" s="417" t="s">
        <v>1392</v>
      </c>
      <c r="J11424" s="417" t="s">
        <v>24549</v>
      </c>
      <c r="K11424" s="417" t="s">
        <v>25366</v>
      </c>
      <c r="L11424" s="417"/>
      <c r="M11424" s="417" t="s">
        <v>28840</v>
      </c>
    </row>
    <row r="11425" spans="1:13" x14ac:dyDescent="0.25">
      <c r="A11425" s="417" t="s">
        <v>3385</v>
      </c>
      <c r="B11425" s="417" t="s">
        <v>2627</v>
      </c>
      <c r="C11425" s="417" t="s">
        <v>25367</v>
      </c>
      <c r="D11425" s="417" t="s">
        <v>88</v>
      </c>
      <c r="E11425" s="423">
        <v>1.876360386204434</v>
      </c>
      <c r="F11425" s="423">
        <v>0.13734194536513911</v>
      </c>
      <c r="G11425" s="422">
        <v>35818.43194366782</v>
      </c>
      <c r="H11425" s="417" t="s">
        <v>2616</v>
      </c>
      <c r="I11425" s="417" t="s">
        <v>1392</v>
      </c>
      <c r="J11425" s="417" t="s">
        <v>24529</v>
      </c>
      <c r="K11425" s="417" t="s">
        <v>25368</v>
      </c>
      <c r="L11425" s="417"/>
      <c r="M11425" s="417" t="s">
        <v>28840</v>
      </c>
    </row>
    <row r="11426" spans="1:13" x14ac:dyDescent="0.25">
      <c r="A11426" s="417" t="s">
        <v>3385</v>
      </c>
      <c r="B11426" s="417" t="s">
        <v>2627</v>
      </c>
      <c r="C11426" s="417" t="s">
        <v>25369</v>
      </c>
      <c r="D11426" s="417" t="s">
        <v>88</v>
      </c>
      <c r="E11426" s="423">
        <v>4.0728310943257551</v>
      </c>
      <c r="F11426" s="423">
        <v>0.27749032611583641</v>
      </c>
      <c r="G11426" s="422">
        <v>59138.904912049627</v>
      </c>
      <c r="H11426" s="417" t="s">
        <v>2616</v>
      </c>
      <c r="I11426" s="417" t="s">
        <v>1392</v>
      </c>
      <c r="J11426" s="417" t="s">
        <v>24529</v>
      </c>
      <c r="K11426" s="417" t="s">
        <v>25370</v>
      </c>
      <c r="L11426" s="417"/>
      <c r="M11426" s="417" t="s">
        <v>28840</v>
      </c>
    </row>
    <row r="11427" spans="1:13" x14ac:dyDescent="0.25">
      <c r="A11427" s="417" t="s">
        <v>3385</v>
      </c>
      <c r="B11427" s="417" t="s">
        <v>2627</v>
      </c>
      <c r="C11427" s="417" t="s">
        <v>25371</v>
      </c>
      <c r="D11427" s="417" t="s">
        <v>88</v>
      </c>
      <c r="E11427" s="423">
        <v>0.90563901027153604</v>
      </c>
      <c r="F11427" s="423">
        <v>6.0134908373491287E-2</v>
      </c>
      <c r="G11427" s="422">
        <v>26091.471202813169</v>
      </c>
      <c r="H11427" s="417" t="s">
        <v>2616</v>
      </c>
      <c r="I11427" s="417" t="s">
        <v>1392</v>
      </c>
      <c r="J11427" s="417" t="s">
        <v>24529</v>
      </c>
      <c r="K11427" s="417" t="s">
        <v>25372</v>
      </c>
      <c r="L11427" s="417"/>
      <c r="M11427" s="417" t="s">
        <v>28840</v>
      </c>
    </row>
    <row r="11428" spans="1:13" x14ac:dyDescent="0.25">
      <c r="A11428" s="417" t="s">
        <v>3385</v>
      </c>
      <c r="B11428" s="417" t="s">
        <v>2627</v>
      </c>
      <c r="C11428" s="417" t="s">
        <v>25373</v>
      </c>
      <c r="D11428" s="417" t="s">
        <v>88</v>
      </c>
      <c r="E11428" s="423">
        <v>2.1598941028195728</v>
      </c>
      <c r="F11428" s="423">
        <v>0.15379002055833321</v>
      </c>
      <c r="G11428" s="422">
        <v>39877.627793842737</v>
      </c>
      <c r="H11428" s="417" t="s">
        <v>2616</v>
      </c>
      <c r="I11428" s="417" t="s">
        <v>1392</v>
      </c>
      <c r="J11428" s="417" t="s">
        <v>24529</v>
      </c>
      <c r="K11428" s="417" t="s">
        <v>25374</v>
      </c>
      <c r="L11428" s="417"/>
      <c r="M11428" s="417" t="s">
        <v>28840</v>
      </c>
    </row>
    <row r="11429" spans="1:13" x14ac:dyDescent="0.25">
      <c r="A11429" s="417" t="s">
        <v>3385</v>
      </c>
      <c r="B11429" s="417" t="s">
        <v>2627</v>
      </c>
      <c r="C11429" s="417" t="s">
        <v>25375</v>
      </c>
      <c r="D11429" s="417" t="s">
        <v>88</v>
      </c>
      <c r="E11429" s="423">
        <v>4.0537556071940202</v>
      </c>
      <c r="F11429" s="423">
        <v>0.27845852015427958</v>
      </c>
      <c r="G11429" s="422">
        <v>57553.738687606739</v>
      </c>
      <c r="H11429" s="417" t="s">
        <v>2616</v>
      </c>
      <c r="I11429" s="417" t="s">
        <v>1392</v>
      </c>
      <c r="J11429" s="417" t="s">
        <v>24529</v>
      </c>
      <c r="K11429" s="417" t="s">
        <v>25376</v>
      </c>
      <c r="L11429" s="417"/>
      <c r="M11429" s="417" t="s">
        <v>28840</v>
      </c>
    </row>
    <row r="11430" spans="1:13" x14ac:dyDescent="0.25">
      <c r="A11430" s="417" t="s">
        <v>3385</v>
      </c>
      <c r="B11430" s="417" t="s">
        <v>2627</v>
      </c>
      <c r="C11430" s="417" t="s">
        <v>1042</v>
      </c>
      <c r="D11430" s="417" t="s">
        <v>88</v>
      </c>
      <c r="E11430" s="423">
        <v>2.946640237335024</v>
      </c>
      <c r="F11430" s="423">
        <v>6.3339874113012506E-2</v>
      </c>
      <c r="G11430" s="422">
        <v>4836.6388119486601</v>
      </c>
      <c r="H11430" s="417" t="s">
        <v>2616</v>
      </c>
      <c r="I11430" s="417" t="s">
        <v>28841</v>
      </c>
      <c r="J11430" s="417" t="s">
        <v>25377</v>
      </c>
      <c r="K11430" s="417" t="s">
        <v>25378</v>
      </c>
      <c r="L11430" s="417"/>
      <c r="M11430" s="417" t="s">
        <v>28840</v>
      </c>
    </row>
    <row r="11431" spans="1:13" x14ac:dyDescent="0.25">
      <c r="A11431" s="417" t="s">
        <v>3385</v>
      </c>
      <c r="B11431" s="417" t="s">
        <v>2627</v>
      </c>
      <c r="C11431" s="417" t="s">
        <v>25379</v>
      </c>
      <c r="D11431" s="417" t="s">
        <v>88</v>
      </c>
      <c r="E11431" s="423">
        <v>1.635399926226256</v>
      </c>
      <c r="F11431" s="423">
        <v>6.0055291045498033E-2</v>
      </c>
      <c r="G11431" s="422">
        <v>20503.93778926598</v>
      </c>
      <c r="H11431" s="417" t="s">
        <v>2616</v>
      </c>
      <c r="I11431" s="417" t="s">
        <v>1392</v>
      </c>
      <c r="J11431" s="417" t="s">
        <v>25377</v>
      </c>
      <c r="K11431" s="417" t="s">
        <v>25380</v>
      </c>
      <c r="L11431" s="417"/>
      <c r="M11431" s="417" t="s">
        <v>28840</v>
      </c>
    </row>
    <row r="11432" spans="1:13" x14ac:dyDescent="0.25">
      <c r="A11432" s="417" t="s">
        <v>3385</v>
      </c>
      <c r="B11432" s="417" t="s">
        <v>3655</v>
      </c>
      <c r="C11432" s="417" t="s">
        <v>25381</v>
      </c>
      <c r="D11432" s="417" t="s">
        <v>1052</v>
      </c>
      <c r="E11432" s="423">
        <v>17.054490010047559</v>
      </c>
      <c r="F11432" s="423">
        <v>1.134625395649189</v>
      </c>
      <c r="G11432" s="422">
        <v>41854.826002282221</v>
      </c>
      <c r="H11432" s="417" t="s">
        <v>2616</v>
      </c>
      <c r="I11432" s="417" t="s">
        <v>1392</v>
      </c>
      <c r="J11432" s="417" t="s">
        <v>24475</v>
      </c>
      <c r="K11432" s="417" t="s">
        <v>25382</v>
      </c>
      <c r="L11432" s="417"/>
      <c r="M11432" s="417" t="s">
        <v>28840</v>
      </c>
    </row>
    <row r="11433" spans="1:13" x14ac:dyDescent="0.25">
      <c r="A11433" s="417" t="s">
        <v>3385</v>
      </c>
      <c r="B11433" s="417" t="s">
        <v>2627</v>
      </c>
      <c r="C11433" s="417" t="s">
        <v>25383</v>
      </c>
      <c r="D11433" s="417" t="s">
        <v>88</v>
      </c>
      <c r="E11433" s="423">
        <v>1.78612504653368</v>
      </c>
      <c r="F11433" s="423">
        <v>6.6160736775670803E-2</v>
      </c>
      <c r="G11433" s="422">
        <v>10314.58847933891</v>
      </c>
      <c r="H11433" s="417" t="s">
        <v>2616</v>
      </c>
      <c r="I11433" s="417" t="s">
        <v>1392</v>
      </c>
      <c r="J11433" s="417" t="s">
        <v>24415</v>
      </c>
      <c r="K11433" s="417" t="s">
        <v>25384</v>
      </c>
      <c r="L11433" s="417"/>
      <c r="M11433" s="417" t="s">
        <v>28840</v>
      </c>
    </row>
    <row r="11434" spans="1:13" x14ac:dyDescent="0.25">
      <c r="A11434" s="417" t="s">
        <v>3385</v>
      </c>
      <c r="B11434" s="417" t="s">
        <v>2627</v>
      </c>
      <c r="C11434" s="417" t="s">
        <v>25385</v>
      </c>
      <c r="D11434" s="417" t="s">
        <v>88</v>
      </c>
      <c r="E11434" s="423">
        <v>8.8207216469616938</v>
      </c>
      <c r="F11434" s="423">
        <v>0.32136125783640751</v>
      </c>
      <c r="G11434" s="422">
        <v>21351.590276266841</v>
      </c>
      <c r="H11434" s="417" t="s">
        <v>2616</v>
      </c>
      <c r="I11434" s="417" t="s">
        <v>1392</v>
      </c>
      <c r="J11434" s="417" t="s">
        <v>24424</v>
      </c>
      <c r="K11434" s="417" t="s">
        <v>25386</v>
      </c>
      <c r="L11434" s="417"/>
      <c r="M11434" s="417" t="s">
        <v>28840</v>
      </c>
    </row>
    <row r="11435" spans="1:13" x14ac:dyDescent="0.25">
      <c r="A11435" s="417" t="s">
        <v>3385</v>
      </c>
      <c r="B11435" s="417" t="s">
        <v>2627</v>
      </c>
      <c r="C11435" s="417" t="s">
        <v>25387</v>
      </c>
      <c r="D11435" s="417" t="s">
        <v>88</v>
      </c>
      <c r="E11435" s="423">
        <v>1.2015520523944609</v>
      </c>
      <c r="F11435" s="423">
        <v>1.7522010758421129E-2</v>
      </c>
      <c r="G11435" s="422">
        <v>2179.576468792241</v>
      </c>
      <c r="H11435" s="417" t="s">
        <v>2616</v>
      </c>
      <c r="I11435" s="417" t="s">
        <v>1392</v>
      </c>
      <c r="J11435" s="417" t="s">
        <v>24540</v>
      </c>
      <c r="K11435" s="417" t="s">
        <v>25388</v>
      </c>
      <c r="L11435" s="417"/>
      <c r="M11435" s="417" t="s">
        <v>28840</v>
      </c>
    </row>
    <row r="11436" spans="1:13" x14ac:dyDescent="0.25">
      <c r="A11436" s="417" t="s">
        <v>3385</v>
      </c>
      <c r="B11436" s="417" t="s">
        <v>3405</v>
      </c>
      <c r="C11436" s="417" t="s">
        <v>25389</v>
      </c>
      <c r="D11436" s="417" t="s">
        <v>73</v>
      </c>
      <c r="E11436" s="423">
        <v>7.7935656405715953E-2</v>
      </c>
      <c r="F11436" s="423">
        <v>3.4947746641984421E-4</v>
      </c>
      <c r="G11436" s="422">
        <v>97.359292497130184</v>
      </c>
      <c r="H11436" s="417" t="s">
        <v>2616</v>
      </c>
      <c r="I11436" s="417" t="s">
        <v>1392</v>
      </c>
      <c r="J11436" s="417" t="s">
        <v>25390</v>
      </c>
      <c r="K11436" s="417" t="s">
        <v>25391</v>
      </c>
      <c r="L11436" s="417"/>
      <c r="M11436" s="417" t="s">
        <v>28840</v>
      </c>
    </row>
    <row r="11437" spans="1:13" x14ac:dyDescent="0.25">
      <c r="A11437" s="417" t="s">
        <v>3385</v>
      </c>
      <c r="B11437" s="417" t="s">
        <v>3405</v>
      </c>
      <c r="C11437" s="417" t="s">
        <v>25392</v>
      </c>
      <c r="D11437" s="417" t="s">
        <v>73</v>
      </c>
      <c r="E11437" s="423">
        <v>7.7935656405715953E-2</v>
      </c>
      <c r="F11437" s="423">
        <v>3.4947746641984421E-4</v>
      </c>
      <c r="G11437" s="422">
        <v>97.359292497130184</v>
      </c>
      <c r="H11437" s="417" t="s">
        <v>2616</v>
      </c>
      <c r="I11437" s="417" t="s">
        <v>1392</v>
      </c>
      <c r="J11437" s="417" t="s">
        <v>25390</v>
      </c>
      <c r="K11437" s="417" t="s">
        <v>25393</v>
      </c>
      <c r="L11437" s="417"/>
      <c r="M11437" s="417" t="s">
        <v>28840</v>
      </c>
    </row>
    <row r="11438" spans="1:13" x14ac:dyDescent="0.25">
      <c r="A11438" s="417" t="s">
        <v>3385</v>
      </c>
      <c r="B11438" s="417" t="s">
        <v>3405</v>
      </c>
      <c r="C11438" s="417" t="s">
        <v>25394</v>
      </c>
      <c r="D11438" s="417" t="s">
        <v>73</v>
      </c>
      <c r="E11438" s="423">
        <v>5.9006010430344348E-2</v>
      </c>
      <c r="F11438" s="423">
        <v>6.4262135667816353E-5</v>
      </c>
      <c r="G11438" s="422">
        <v>74.661118538413149</v>
      </c>
      <c r="H11438" s="417" t="s">
        <v>2616</v>
      </c>
      <c r="I11438" s="417" t="s">
        <v>1392</v>
      </c>
      <c r="J11438" s="417" t="s">
        <v>25395</v>
      </c>
      <c r="K11438" s="417" t="s">
        <v>25396</v>
      </c>
      <c r="L11438" s="417"/>
      <c r="M11438" s="417" t="s">
        <v>28840</v>
      </c>
    </row>
    <row r="11439" spans="1:13" x14ac:dyDescent="0.25">
      <c r="A11439" s="417" t="s">
        <v>3385</v>
      </c>
      <c r="B11439" s="417" t="s">
        <v>3405</v>
      </c>
      <c r="C11439" s="417" t="s">
        <v>25397</v>
      </c>
      <c r="D11439" s="417" t="s">
        <v>73</v>
      </c>
      <c r="E11439" s="423">
        <v>7.9088964144854335E-2</v>
      </c>
      <c r="F11439" s="423">
        <v>3.6606788692247169E-4</v>
      </c>
      <c r="G11439" s="422">
        <v>99.264232989519684</v>
      </c>
      <c r="H11439" s="417" t="s">
        <v>2616</v>
      </c>
      <c r="I11439" s="417" t="s">
        <v>1392</v>
      </c>
      <c r="J11439" s="417" t="s">
        <v>25390</v>
      </c>
      <c r="K11439" s="417" t="s">
        <v>25398</v>
      </c>
      <c r="L11439" s="417"/>
      <c r="M11439" s="417" t="s">
        <v>28840</v>
      </c>
    </row>
    <row r="11440" spans="1:13" x14ac:dyDescent="0.25">
      <c r="A11440" s="417" t="s">
        <v>3385</v>
      </c>
      <c r="B11440" s="417" t="s">
        <v>2627</v>
      </c>
      <c r="C11440" s="417" t="s">
        <v>25399</v>
      </c>
      <c r="D11440" s="417" t="s">
        <v>88</v>
      </c>
      <c r="E11440" s="423">
        <v>1.0264233545057211</v>
      </c>
      <c r="F11440" s="423">
        <v>3.1481609304457467E-2</v>
      </c>
      <c r="G11440" s="422">
        <v>2148.3710832348129</v>
      </c>
      <c r="H11440" s="417" t="s">
        <v>2616</v>
      </c>
      <c r="I11440" s="417" t="s">
        <v>1392</v>
      </c>
      <c r="J11440" s="417" t="s">
        <v>25400</v>
      </c>
      <c r="K11440" s="417" t="s">
        <v>25401</v>
      </c>
      <c r="L11440" s="417"/>
      <c r="M11440" s="417" t="s">
        <v>28840</v>
      </c>
    </row>
    <row r="11441" spans="1:13" x14ac:dyDescent="0.25">
      <c r="A11441" s="417" t="s">
        <v>3385</v>
      </c>
      <c r="B11441" s="417" t="s">
        <v>2623</v>
      </c>
      <c r="C11441" s="417" t="s">
        <v>25402</v>
      </c>
      <c r="D11441" s="417" t="s">
        <v>88</v>
      </c>
      <c r="E11441" s="423">
        <v>0</v>
      </c>
      <c r="F11441" s="423">
        <v>0</v>
      </c>
      <c r="G11441" s="422">
        <v>0</v>
      </c>
      <c r="H11441" s="417" t="s">
        <v>2616</v>
      </c>
      <c r="I11441" s="417" t="s">
        <v>1392</v>
      </c>
      <c r="J11441" s="417" t="s">
        <v>24549</v>
      </c>
      <c r="K11441" s="417" t="s">
        <v>25403</v>
      </c>
      <c r="L11441" s="417"/>
      <c r="M11441" s="417" t="s">
        <v>28840</v>
      </c>
    </row>
    <row r="11442" spans="1:13" x14ac:dyDescent="0.25">
      <c r="A11442" s="417" t="s">
        <v>3385</v>
      </c>
      <c r="B11442" s="417" t="s">
        <v>2627</v>
      </c>
      <c r="C11442" s="417" t="s">
        <v>25404</v>
      </c>
      <c r="D11442" s="417" t="s">
        <v>88</v>
      </c>
      <c r="E11442" s="423">
        <v>5.3792525416692571</v>
      </c>
      <c r="F11442" s="423">
        <v>0.26234447224059898</v>
      </c>
      <c r="G11442" s="422">
        <v>83112.507937753559</v>
      </c>
      <c r="H11442" s="417" t="s">
        <v>2616</v>
      </c>
      <c r="I11442" s="417" t="s">
        <v>1392</v>
      </c>
      <c r="J11442" s="417" t="s">
        <v>24529</v>
      </c>
      <c r="K11442" s="417" t="s">
        <v>25405</v>
      </c>
      <c r="L11442" s="417"/>
      <c r="M11442" s="417" t="s">
        <v>28840</v>
      </c>
    </row>
    <row r="11443" spans="1:13" x14ac:dyDescent="0.25">
      <c r="A11443" s="417" t="s">
        <v>3385</v>
      </c>
      <c r="B11443" s="417" t="s">
        <v>2627</v>
      </c>
      <c r="C11443" s="417" t="s">
        <v>25406</v>
      </c>
      <c r="D11443" s="417" t="s">
        <v>88</v>
      </c>
      <c r="E11443" s="423">
        <v>4.9426641431940057</v>
      </c>
      <c r="F11443" s="423">
        <v>0.42089406408357227</v>
      </c>
      <c r="G11443" s="422">
        <v>16616.121562746921</v>
      </c>
      <c r="H11443" s="417" t="s">
        <v>2616</v>
      </c>
      <c r="I11443" s="417" t="s">
        <v>1392</v>
      </c>
      <c r="J11443" s="417" t="s">
        <v>24529</v>
      </c>
      <c r="K11443" s="417" t="s">
        <v>25407</v>
      </c>
      <c r="L11443" s="417"/>
      <c r="M11443" s="417" t="s">
        <v>28840</v>
      </c>
    </row>
    <row r="11444" spans="1:13" x14ac:dyDescent="0.25">
      <c r="A11444" s="417" t="s">
        <v>3385</v>
      </c>
      <c r="B11444" s="417" t="s">
        <v>2627</v>
      </c>
      <c r="C11444" s="417" t="s">
        <v>25408</v>
      </c>
      <c r="D11444" s="417" t="s">
        <v>88</v>
      </c>
      <c r="E11444" s="423">
        <v>1.838917881803749</v>
      </c>
      <c r="F11444" s="423">
        <v>1.9762137917364048E-2</v>
      </c>
      <c r="G11444" s="422">
        <v>4072.0790933461708</v>
      </c>
      <c r="H11444" s="417" t="s">
        <v>2616</v>
      </c>
      <c r="I11444" s="417" t="s">
        <v>1392</v>
      </c>
      <c r="J11444" s="417" t="s">
        <v>24529</v>
      </c>
      <c r="K11444" s="417" t="s">
        <v>25409</v>
      </c>
      <c r="L11444" s="417"/>
      <c r="M11444" s="417" t="s">
        <v>28840</v>
      </c>
    </row>
    <row r="11445" spans="1:13" x14ac:dyDescent="0.25">
      <c r="A11445" s="417" t="s">
        <v>3385</v>
      </c>
      <c r="B11445" s="417" t="s">
        <v>2627</v>
      </c>
      <c r="C11445" s="417" t="s">
        <v>25410</v>
      </c>
      <c r="D11445" s="417" t="s">
        <v>88</v>
      </c>
      <c r="E11445" s="423">
        <v>8.3974885081407411</v>
      </c>
      <c r="F11445" s="423">
        <v>0.33288010992222189</v>
      </c>
      <c r="G11445" s="422">
        <v>20572.12797700271</v>
      </c>
      <c r="H11445" s="417" t="s">
        <v>2616</v>
      </c>
      <c r="I11445" s="417" t="s">
        <v>1392</v>
      </c>
      <c r="J11445" s="417" t="s">
        <v>24424</v>
      </c>
      <c r="K11445" s="417" t="s">
        <v>25411</v>
      </c>
      <c r="L11445" s="417"/>
      <c r="M11445" s="417" t="s">
        <v>28840</v>
      </c>
    </row>
    <row r="11446" spans="1:13" x14ac:dyDescent="0.25">
      <c r="A11446" s="417" t="s">
        <v>3385</v>
      </c>
      <c r="B11446" s="417" t="s">
        <v>2623</v>
      </c>
      <c r="C11446" s="417" t="s">
        <v>25412</v>
      </c>
      <c r="D11446" s="417" t="s">
        <v>88</v>
      </c>
      <c r="E11446" s="423">
        <v>0</v>
      </c>
      <c r="F11446" s="423">
        <v>0</v>
      </c>
      <c r="G11446" s="422">
        <v>0</v>
      </c>
      <c r="H11446" s="417" t="s">
        <v>2616</v>
      </c>
      <c r="I11446" s="417" t="s">
        <v>1392</v>
      </c>
      <c r="J11446" s="417" t="s">
        <v>24450</v>
      </c>
      <c r="K11446" s="417" t="s">
        <v>25413</v>
      </c>
      <c r="L11446" s="417"/>
      <c r="M11446" s="417" t="s">
        <v>28840</v>
      </c>
    </row>
    <row r="11447" spans="1:13" x14ac:dyDescent="0.25">
      <c r="A11447" s="417" t="s">
        <v>3385</v>
      </c>
      <c r="B11447" s="417" t="s">
        <v>2623</v>
      </c>
      <c r="C11447" s="417" t="s">
        <v>25414</v>
      </c>
      <c r="D11447" s="417" t="s">
        <v>88</v>
      </c>
      <c r="E11447" s="423">
        <v>0</v>
      </c>
      <c r="F11447" s="423">
        <v>0</v>
      </c>
      <c r="G11447" s="422">
        <v>0</v>
      </c>
      <c r="H11447" s="417" t="s">
        <v>2616</v>
      </c>
      <c r="I11447" s="417" t="s">
        <v>1392</v>
      </c>
      <c r="J11447" s="417" t="s">
        <v>24450</v>
      </c>
      <c r="K11447" s="417" t="s">
        <v>25415</v>
      </c>
      <c r="L11447" s="417"/>
      <c r="M11447" s="417" t="s">
        <v>28840</v>
      </c>
    </row>
    <row r="11448" spans="1:13" x14ac:dyDescent="0.25">
      <c r="A11448" s="417" t="s">
        <v>3385</v>
      </c>
      <c r="B11448" s="417" t="s">
        <v>2627</v>
      </c>
      <c r="C11448" s="417" t="s">
        <v>25416</v>
      </c>
      <c r="D11448" s="417" t="s">
        <v>989</v>
      </c>
      <c r="E11448" s="423">
        <v>78651440.03302142</v>
      </c>
      <c r="F11448" s="423">
        <v>3311072.4058726449</v>
      </c>
      <c r="G11448" s="422">
        <v>144471732796.07959</v>
      </c>
      <c r="H11448" s="417" t="s">
        <v>2616</v>
      </c>
      <c r="I11448" s="417" t="s">
        <v>1392</v>
      </c>
      <c r="J11448" s="417" t="s">
        <v>25417</v>
      </c>
      <c r="K11448" s="417" t="s">
        <v>25418</v>
      </c>
      <c r="L11448" s="417"/>
      <c r="M11448" s="417" t="s">
        <v>28840</v>
      </c>
    </row>
    <row r="11449" spans="1:13" x14ac:dyDescent="0.25">
      <c r="A11449" s="417" t="s">
        <v>3385</v>
      </c>
      <c r="B11449" s="417" t="s">
        <v>3405</v>
      </c>
      <c r="C11449" s="417" t="s">
        <v>25419</v>
      </c>
      <c r="D11449" s="417" t="s">
        <v>989</v>
      </c>
      <c r="E11449" s="423">
        <v>496484944.38491791</v>
      </c>
      <c r="F11449" s="423">
        <v>27171010.812257718</v>
      </c>
      <c r="G11449" s="422">
        <v>955463325299.97729</v>
      </c>
      <c r="H11449" s="417" t="s">
        <v>2616</v>
      </c>
      <c r="I11449" s="417" t="s">
        <v>1392</v>
      </c>
      <c r="J11449" s="417" t="s">
        <v>25420</v>
      </c>
      <c r="K11449" s="417" t="s">
        <v>25421</v>
      </c>
      <c r="L11449" s="417"/>
      <c r="M11449" s="417" t="s">
        <v>28840</v>
      </c>
    </row>
    <row r="11450" spans="1:13" x14ac:dyDescent="0.25">
      <c r="A11450" s="417" t="s">
        <v>3385</v>
      </c>
      <c r="B11450" s="417" t="s">
        <v>3405</v>
      </c>
      <c r="C11450" s="417" t="s">
        <v>25422</v>
      </c>
      <c r="D11450" s="417" t="s">
        <v>989</v>
      </c>
      <c r="E11450" s="423">
        <v>477165223.60678679</v>
      </c>
      <c r="F11450" s="423">
        <v>20135896.014909212</v>
      </c>
      <c r="G11450" s="422">
        <v>920620106679.96777</v>
      </c>
      <c r="H11450" s="417" t="s">
        <v>2616</v>
      </c>
      <c r="I11450" s="417" t="s">
        <v>1392</v>
      </c>
      <c r="J11450" s="417" t="s">
        <v>24928</v>
      </c>
      <c r="K11450" s="417" t="s">
        <v>25423</v>
      </c>
      <c r="L11450" s="417"/>
      <c r="M11450" s="417" t="s">
        <v>28840</v>
      </c>
    </row>
    <row r="11451" spans="1:13" x14ac:dyDescent="0.25">
      <c r="A11451" s="417" t="s">
        <v>3385</v>
      </c>
      <c r="B11451" s="417" t="s">
        <v>2627</v>
      </c>
      <c r="C11451" s="417" t="s">
        <v>25424</v>
      </c>
      <c r="D11451" s="417" t="s">
        <v>88</v>
      </c>
      <c r="E11451" s="423">
        <v>7.4041273428275787</v>
      </c>
      <c r="F11451" s="423">
        <v>2.1086547287946251E-2</v>
      </c>
      <c r="G11451" s="422">
        <v>9895.5485467096605</v>
      </c>
      <c r="H11451" s="417" t="s">
        <v>2616</v>
      </c>
      <c r="I11451" s="417" t="s">
        <v>1392</v>
      </c>
      <c r="J11451" s="417" t="s">
        <v>25425</v>
      </c>
      <c r="K11451" s="417" t="s">
        <v>25426</v>
      </c>
      <c r="L11451" s="417"/>
      <c r="M11451" s="417" t="s">
        <v>28840</v>
      </c>
    </row>
    <row r="11452" spans="1:13" x14ac:dyDescent="0.25">
      <c r="A11452" s="417" t="s">
        <v>3385</v>
      </c>
      <c r="B11452" s="417" t="s">
        <v>2627</v>
      </c>
      <c r="C11452" s="417" t="s">
        <v>25427</v>
      </c>
      <c r="D11452" s="417" t="s">
        <v>88</v>
      </c>
      <c r="E11452" s="423">
        <v>9.1740471659334961</v>
      </c>
      <c r="F11452" s="423">
        <v>0.3814750821700903</v>
      </c>
      <c r="G11452" s="422">
        <v>21966.34843938124</v>
      </c>
      <c r="H11452" s="417" t="s">
        <v>2616</v>
      </c>
      <c r="I11452" s="417" t="s">
        <v>1392</v>
      </c>
      <c r="J11452" s="417" t="s">
        <v>24424</v>
      </c>
      <c r="K11452" s="417" t="s">
        <v>25428</v>
      </c>
      <c r="L11452" s="417"/>
      <c r="M11452" s="417" t="s">
        <v>28840</v>
      </c>
    </row>
    <row r="11453" spans="1:13" x14ac:dyDescent="0.25">
      <c r="A11453" s="417" t="s">
        <v>3385</v>
      </c>
      <c r="B11453" s="417" t="s">
        <v>2627</v>
      </c>
      <c r="C11453" s="417" t="s">
        <v>25429</v>
      </c>
      <c r="D11453" s="417" t="s">
        <v>88</v>
      </c>
      <c r="E11453" s="423">
        <v>0.69978245079678292</v>
      </c>
      <c r="F11453" s="423">
        <v>2.571153E-2</v>
      </c>
      <c r="G11453" s="422">
        <v>1080.074666751568</v>
      </c>
      <c r="H11453" s="417" t="s">
        <v>2616</v>
      </c>
      <c r="I11453" s="417" t="s">
        <v>1392</v>
      </c>
      <c r="J11453" s="417" t="s">
        <v>25430</v>
      </c>
      <c r="K11453" s="417" t="s">
        <v>25431</v>
      </c>
      <c r="L11453" s="417"/>
      <c r="M11453" s="417" t="s">
        <v>28840</v>
      </c>
    </row>
    <row r="11454" spans="1:13" x14ac:dyDescent="0.25">
      <c r="A11454" s="417" t="s">
        <v>3385</v>
      </c>
      <c r="B11454" s="417" t="s">
        <v>2627</v>
      </c>
      <c r="C11454" s="417" t="s">
        <v>25432</v>
      </c>
      <c r="D11454" s="417" t="s">
        <v>88</v>
      </c>
      <c r="E11454" s="423">
        <v>0.5965840826207317</v>
      </c>
      <c r="F11454" s="423">
        <v>6.5860557026515526E-2</v>
      </c>
      <c r="G11454" s="422">
        <v>896.40065231787855</v>
      </c>
      <c r="H11454" s="417" t="s">
        <v>2616</v>
      </c>
      <c r="I11454" s="417" t="s">
        <v>1392</v>
      </c>
      <c r="J11454" s="417" t="s">
        <v>25430</v>
      </c>
      <c r="K11454" s="417" t="s">
        <v>25433</v>
      </c>
      <c r="L11454" s="417"/>
      <c r="M11454" s="417" t="s">
        <v>28840</v>
      </c>
    </row>
    <row r="11455" spans="1:13" x14ac:dyDescent="0.25">
      <c r="A11455" s="417" t="s">
        <v>3385</v>
      </c>
      <c r="B11455" s="417" t="s">
        <v>2627</v>
      </c>
      <c r="C11455" s="417" t="s">
        <v>25434</v>
      </c>
      <c r="D11455" s="417" t="s">
        <v>88</v>
      </c>
      <c r="E11455" s="423">
        <v>0.88695490257238185</v>
      </c>
      <c r="F11455" s="423">
        <v>6.6337585122582296E-2</v>
      </c>
      <c r="G11455" s="422">
        <v>1450.0827350072291</v>
      </c>
      <c r="H11455" s="417" t="s">
        <v>2616</v>
      </c>
      <c r="I11455" s="417" t="s">
        <v>1392</v>
      </c>
      <c r="J11455" s="417" t="s">
        <v>25430</v>
      </c>
      <c r="K11455" s="417" t="s">
        <v>25435</v>
      </c>
      <c r="L11455" s="417"/>
      <c r="M11455" s="417" t="s">
        <v>28840</v>
      </c>
    </row>
    <row r="11456" spans="1:13" x14ac:dyDescent="0.25">
      <c r="A11456" s="417" t="s">
        <v>3385</v>
      </c>
      <c r="B11456" s="417" t="s">
        <v>2627</v>
      </c>
      <c r="C11456" s="417" t="s">
        <v>25436</v>
      </c>
      <c r="D11456" s="417" t="s">
        <v>88</v>
      </c>
      <c r="E11456" s="423">
        <v>0.78350486656618212</v>
      </c>
      <c r="F11456" s="423">
        <v>3.5279999999999999E-2</v>
      </c>
      <c r="G11456" s="422">
        <v>1251.184690350427</v>
      </c>
      <c r="H11456" s="417" t="s">
        <v>2616</v>
      </c>
      <c r="I11456" s="417" t="s">
        <v>1392</v>
      </c>
      <c r="J11456" s="417" t="s">
        <v>25430</v>
      </c>
      <c r="K11456" s="417" t="s">
        <v>25437</v>
      </c>
      <c r="L11456" s="417"/>
      <c r="M11456" s="417" t="s">
        <v>28840</v>
      </c>
    </row>
    <row r="11457" spans="1:13" x14ac:dyDescent="0.25">
      <c r="A11457" s="417" t="s">
        <v>3385</v>
      </c>
      <c r="B11457" s="417" t="s">
        <v>2627</v>
      </c>
      <c r="C11457" s="417" t="s">
        <v>25438</v>
      </c>
      <c r="D11457" s="417" t="s">
        <v>88</v>
      </c>
      <c r="E11457" s="423">
        <v>0.55006676665923127</v>
      </c>
      <c r="F11457" s="423">
        <v>2.4054180000000001E-2</v>
      </c>
      <c r="G11457" s="422">
        <v>851.77674177756649</v>
      </c>
      <c r="H11457" s="417" t="s">
        <v>2616</v>
      </c>
      <c r="I11457" s="417" t="s">
        <v>1392</v>
      </c>
      <c r="J11457" s="417" t="s">
        <v>25430</v>
      </c>
      <c r="K11457" s="417" t="s">
        <v>25439</v>
      </c>
      <c r="L11457" s="417"/>
      <c r="M11457" s="417" t="s">
        <v>28840</v>
      </c>
    </row>
    <row r="11458" spans="1:13" x14ac:dyDescent="0.25">
      <c r="A11458" s="417" t="s">
        <v>3385</v>
      </c>
      <c r="B11458" s="417" t="s">
        <v>2627</v>
      </c>
      <c r="C11458" s="417" t="s">
        <v>25440</v>
      </c>
      <c r="D11458" s="417" t="s">
        <v>88</v>
      </c>
      <c r="E11458" s="423">
        <v>0.53959070383403374</v>
      </c>
      <c r="F11458" s="423">
        <v>6.6663569154374186E-2</v>
      </c>
      <c r="G11458" s="422">
        <v>822.86875201454495</v>
      </c>
      <c r="H11458" s="417" t="s">
        <v>2616</v>
      </c>
      <c r="I11458" s="417" t="s">
        <v>1392</v>
      </c>
      <c r="J11458" s="417" t="s">
        <v>25430</v>
      </c>
      <c r="K11458" s="417" t="s">
        <v>25441</v>
      </c>
      <c r="L11458" s="417"/>
      <c r="M11458" s="417" t="s">
        <v>28840</v>
      </c>
    </row>
    <row r="11459" spans="1:13" x14ac:dyDescent="0.25">
      <c r="A11459" s="417" t="s">
        <v>3385</v>
      </c>
      <c r="B11459" s="417" t="s">
        <v>2627</v>
      </c>
      <c r="C11459" s="417" t="s">
        <v>25442</v>
      </c>
      <c r="D11459" s="417" t="s">
        <v>88</v>
      </c>
      <c r="E11459" s="423">
        <v>0.86866509583340801</v>
      </c>
      <c r="F11459" s="423">
        <v>6.5967498587767653E-2</v>
      </c>
      <c r="G11459" s="422">
        <v>1416.993439370181</v>
      </c>
      <c r="H11459" s="417" t="s">
        <v>2616</v>
      </c>
      <c r="I11459" s="417" t="s">
        <v>1392</v>
      </c>
      <c r="J11459" s="417" t="s">
        <v>25430</v>
      </c>
      <c r="K11459" s="417" t="s">
        <v>25443</v>
      </c>
      <c r="L11459" s="417"/>
      <c r="M11459" s="417" t="s">
        <v>28840</v>
      </c>
    </row>
    <row r="11460" spans="1:13" x14ac:dyDescent="0.25">
      <c r="A11460" s="417" t="s">
        <v>3385</v>
      </c>
      <c r="B11460" s="417" t="s">
        <v>2627</v>
      </c>
      <c r="C11460" s="417" t="s">
        <v>25444</v>
      </c>
      <c r="D11460" s="417" t="s">
        <v>88</v>
      </c>
      <c r="E11460" s="423">
        <v>0.67564396928282511</v>
      </c>
      <c r="F11460" s="423">
        <v>3.407901E-2</v>
      </c>
      <c r="G11460" s="422">
        <v>1086.288095146256</v>
      </c>
      <c r="H11460" s="417" t="s">
        <v>2616</v>
      </c>
      <c r="I11460" s="417" t="s">
        <v>1392</v>
      </c>
      <c r="J11460" s="417" t="s">
        <v>25430</v>
      </c>
      <c r="K11460" s="417" t="s">
        <v>25445</v>
      </c>
      <c r="L11460" s="417"/>
      <c r="M11460" s="417" t="s">
        <v>28840</v>
      </c>
    </row>
    <row r="11461" spans="1:13" x14ac:dyDescent="0.25">
      <c r="A11461" s="417" t="s">
        <v>3385</v>
      </c>
      <c r="B11461" s="417" t="s">
        <v>2627</v>
      </c>
      <c r="C11461" s="417" t="s">
        <v>25446</v>
      </c>
      <c r="D11461" s="417" t="s">
        <v>88</v>
      </c>
      <c r="E11461" s="423">
        <v>0.58094692929608505</v>
      </c>
      <c r="F11461" s="423">
        <v>2.483896E-2</v>
      </c>
      <c r="G11461" s="422">
        <v>905.23839314386078</v>
      </c>
      <c r="H11461" s="417" t="s">
        <v>2616</v>
      </c>
      <c r="I11461" s="417" t="s">
        <v>1392</v>
      </c>
      <c r="J11461" s="417" t="s">
        <v>25430</v>
      </c>
      <c r="K11461" s="417" t="s">
        <v>25447</v>
      </c>
      <c r="L11461" s="417"/>
      <c r="M11461" s="417" t="s">
        <v>28840</v>
      </c>
    </row>
    <row r="11462" spans="1:13" x14ac:dyDescent="0.25">
      <c r="A11462" s="417" t="s">
        <v>3385</v>
      </c>
      <c r="B11462" s="417" t="s">
        <v>2627</v>
      </c>
      <c r="C11462" s="417" t="s">
        <v>25448</v>
      </c>
      <c r="D11462" s="417" t="s">
        <v>88</v>
      </c>
      <c r="E11462" s="423">
        <v>0.61410152874453072</v>
      </c>
      <c r="F11462" s="423">
        <v>6.5302766624787303E-2</v>
      </c>
      <c r="G11462" s="422">
        <v>915.50912218087876</v>
      </c>
      <c r="H11462" s="417" t="s">
        <v>2616</v>
      </c>
      <c r="I11462" s="417" t="s">
        <v>1392</v>
      </c>
      <c r="J11462" s="417" t="s">
        <v>25430</v>
      </c>
      <c r="K11462" s="417" t="s">
        <v>25449</v>
      </c>
      <c r="L11462" s="417"/>
      <c r="M11462" s="417" t="s">
        <v>28840</v>
      </c>
    </row>
    <row r="11463" spans="1:13" x14ac:dyDescent="0.25">
      <c r="A11463" s="417" t="s">
        <v>3385</v>
      </c>
      <c r="B11463" s="417" t="s">
        <v>2627</v>
      </c>
      <c r="C11463" s="417" t="s">
        <v>25450</v>
      </c>
      <c r="D11463" s="417" t="s">
        <v>88</v>
      </c>
      <c r="E11463" s="423">
        <v>0.88104676788568193</v>
      </c>
      <c r="F11463" s="423">
        <v>6.608067331126867E-2</v>
      </c>
      <c r="G11463" s="422">
        <v>1439.5792953182829</v>
      </c>
      <c r="H11463" s="417" t="s">
        <v>2616</v>
      </c>
      <c r="I11463" s="417" t="s">
        <v>1392</v>
      </c>
      <c r="J11463" s="417" t="s">
        <v>25430</v>
      </c>
      <c r="K11463" s="417" t="s">
        <v>25451</v>
      </c>
      <c r="L11463" s="417"/>
      <c r="M11463" s="417" t="s">
        <v>28840</v>
      </c>
    </row>
    <row r="11464" spans="1:13" x14ac:dyDescent="0.25">
      <c r="A11464" s="417" t="s">
        <v>3385</v>
      </c>
      <c r="B11464" s="417" t="s">
        <v>2627</v>
      </c>
      <c r="C11464" s="417" t="s">
        <v>1000</v>
      </c>
      <c r="D11464" s="417" t="s">
        <v>88</v>
      </c>
      <c r="E11464" s="423">
        <v>0.7080032190622958</v>
      </c>
      <c r="F11464" s="423">
        <v>3.4643710000000001E-2</v>
      </c>
      <c r="G11464" s="422">
        <v>1138.910783610163</v>
      </c>
      <c r="H11464" s="417" t="s">
        <v>2616</v>
      </c>
      <c r="I11464" s="417" t="s">
        <v>28841</v>
      </c>
      <c r="J11464" s="417" t="s">
        <v>25430</v>
      </c>
      <c r="K11464" s="417" t="s">
        <v>25452</v>
      </c>
      <c r="L11464" s="417"/>
      <c r="M11464" s="417" t="s">
        <v>28840</v>
      </c>
    </row>
    <row r="11465" spans="1:13" x14ac:dyDescent="0.25">
      <c r="A11465" s="417" t="s">
        <v>3385</v>
      </c>
      <c r="B11465" s="417" t="s">
        <v>2627</v>
      </c>
      <c r="C11465" s="417" t="s">
        <v>25453</v>
      </c>
      <c r="D11465" s="417" t="s">
        <v>88</v>
      </c>
      <c r="E11465" s="423">
        <v>480.30399754904141</v>
      </c>
      <c r="F11465" s="423">
        <v>5.5512969638477863</v>
      </c>
      <c r="G11465" s="422">
        <v>1278686.2085699011</v>
      </c>
      <c r="H11465" s="417" t="s">
        <v>2616</v>
      </c>
      <c r="I11465" s="417" t="s">
        <v>1392</v>
      </c>
      <c r="J11465" s="417" t="s">
        <v>24529</v>
      </c>
      <c r="K11465" s="417" t="s">
        <v>25454</v>
      </c>
      <c r="L11465" s="417"/>
      <c r="M11465" s="417" t="s">
        <v>28840</v>
      </c>
    </row>
    <row r="11466" spans="1:13" x14ac:dyDescent="0.25">
      <c r="A11466" s="417" t="s">
        <v>3385</v>
      </c>
      <c r="B11466" s="417" t="s">
        <v>2627</v>
      </c>
      <c r="C11466" s="417" t="s">
        <v>25455</v>
      </c>
      <c r="D11466" s="417" t="s">
        <v>88</v>
      </c>
      <c r="E11466" s="423">
        <v>0.1975901381987312</v>
      </c>
      <c r="F11466" s="423">
        <v>3.685583308477668E-3</v>
      </c>
      <c r="G11466" s="422">
        <v>819.85441411893407</v>
      </c>
      <c r="H11466" s="417" t="s">
        <v>2616</v>
      </c>
      <c r="I11466" s="417" t="s">
        <v>1392</v>
      </c>
      <c r="J11466" s="417" t="s">
        <v>25456</v>
      </c>
      <c r="K11466" s="417" t="s">
        <v>25457</v>
      </c>
      <c r="L11466" s="417"/>
      <c r="M11466" s="417" t="s">
        <v>28840</v>
      </c>
    </row>
    <row r="11467" spans="1:13" x14ac:dyDescent="0.25">
      <c r="A11467" s="417" t="s">
        <v>3385</v>
      </c>
      <c r="B11467" s="417" t="s">
        <v>2627</v>
      </c>
      <c r="C11467" s="417" t="s">
        <v>25458</v>
      </c>
      <c r="D11467" s="417" t="s">
        <v>88</v>
      </c>
      <c r="E11467" s="423">
        <v>1.8313179015039931</v>
      </c>
      <c r="F11467" s="423">
        <v>1.5178326402408431</v>
      </c>
      <c r="G11467" s="422">
        <v>6938.9844313396761</v>
      </c>
      <c r="H11467" s="417" t="s">
        <v>2616</v>
      </c>
      <c r="I11467" s="417" t="s">
        <v>1392</v>
      </c>
      <c r="J11467" s="417" t="s">
        <v>24499</v>
      </c>
      <c r="K11467" s="417" t="s">
        <v>25459</v>
      </c>
      <c r="L11467" s="417"/>
      <c r="M11467" s="417" t="s">
        <v>28840</v>
      </c>
    </row>
    <row r="11468" spans="1:13" x14ac:dyDescent="0.25">
      <c r="A11468" s="417" t="s">
        <v>3385</v>
      </c>
      <c r="B11468" s="417" t="s">
        <v>2627</v>
      </c>
      <c r="C11468" s="417" t="s">
        <v>25460</v>
      </c>
      <c r="D11468" s="417" t="s">
        <v>88</v>
      </c>
      <c r="E11468" s="423">
        <v>0.82895412350509634</v>
      </c>
      <c r="F11468" s="423">
        <v>0.31105699887427918</v>
      </c>
      <c r="G11468" s="422">
        <v>1788.5620403275191</v>
      </c>
      <c r="H11468" s="417" t="s">
        <v>2616</v>
      </c>
      <c r="I11468" s="417" t="s">
        <v>1392</v>
      </c>
      <c r="J11468" s="417" t="s">
        <v>25461</v>
      </c>
      <c r="K11468" s="417" t="s">
        <v>25462</v>
      </c>
      <c r="L11468" s="417"/>
      <c r="M11468" s="417" t="s">
        <v>28840</v>
      </c>
    </row>
    <row r="11469" spans="1:13" x14ac:dyDescent="0.25">
      <c r="A11469" s="417" t="s">
        <v>3385</v>
      </c>
      <c r="B11469" s="417" t="s">
        <v>2627</v>
      </c>
      <c r="C11469" s="417" t="s">
        <v>25463</v>
      </c>
      <c r="D11469" s="417" t="s">
        <v>88</v>
      </c>
      <c r="E11469" s="423">
        <v>0.92466381731338865</v>
      </c>
      <c r="F11469" s="423">
        <v>0.46289269441025821</v>
      </c>
      <c r="G11469" s="422">
        <v>2023.0142821352761</v>
      </c>
      <c r="H11469" s="417" t="s">
        <v>2616</v>
      </c>
      <c r="I11469" s="417" t="s">
        <v>1392</v>
      </c>
      <c r="J11469" s="417" t="s">
        <v>25461</v>
      </c>
      <c r="K11469" s="417" t="s">
        <v>25464</v>
      </c>
      <c r="L11469" s="417"/>
      <c r="M11469" s="417" t="s">
        <v>28840</v>
      </c>
    </row>
    <row r="11470" spans="1:13" x14ac:dyDescent="0.25">
      <c r="A11470" s="417" t="s">
        <v>3385</v>
      </c>
      <c r="B11470" s="417" t="s">
        <v>2627</v>
      </c>
      <c r="C11470" s="417" t="s">
        <v>25465</v>
      </c>
      <c r="D11470" s="417" t="s">
        <v>88</v>
      </c>
      <c r="E11470" s="423">
        <v>0.85500246048789363</v>
      </c>
      <c r="F11470" s="423">
        <v>0.7547014620737349</v>
      </c>
      <c r="G11470" s="422">
        <v>2002.1538583219019</v>
      </c>
      <c r="H11470" s="417" t="s">
        <v>2616</v>
      </c>
      <c r="I11470" s="417" t="s">
        <v>1392</v>
      </c>
      <c r="J11470" s="417" t="s">
        <v>25461</v>
      </c>
      <c r="K11470" s="417" t="s">
        <v>25466</v>
      </c>
      <c r="L11470" s="417"/>
      <c r="M11470" s="417" t="s">
        <v>28840</v>
      </c>
    </row>
    <row r="11471" spans="1:13" x14ac:dyDescent="0.25">
      <c r="A11471" s="417" t="s">
        <v>3385</v>
      </c>
      <c r="B11471" s="417" t="s">
        <v>2627</v>
      </c>
      <c r="C11471" s="417" t="s">
        <v>25467</v>
      </c>
      <c r="D11471" s="417" t="s">
        <v>88</v>
      </c>
      <c r="E11471" s="423">
        <v>0.89562410411148108</v>
      </c>
      <c r="F11471" s="423">
        <v>0.75871887041779074</v>
      </c>
      <c r="G11471" s="422">
        <v>2082.452096857206</v>
      </c>
      <c r="H11471" s="417" t="s">
        <v>2616</v>
      </c>
      <c r="I11471" s="417" t="s">
        <v>1392</v>
      </c>
      <c r="J11471" s="417" t="s">
        <v>25461</v>
      </c>
      <c r="K11471" s="417" t="s">
        <v>25468</v>
      </c>
      <c r="L11471" s="417"/>
      <c r="M11471" s="417" t="s">
        <v>28840</v>
      </c>
    </row>
    <row r="11472" spans="1:13" x14ac:dyDescent="0.25">
      <c r="A11472" s="417" t="s">
        <v>3385</v>
      </c>
      <c r="B11472" s="417" t="s">
        <v>2627</v>
      </c>
      <c r="C11472" s="417" t="s">
        <v>25469</v>
      </c>
      <c r="D11472" s="417" t="s">
        <v>88</v>
      </c>
      <c r="E11472" s="423">
        <v>1.077580443533634</v>
      </c>
      <c r="F11472" s="423">
        <v>1.392613576606796</v>
      </c>
      <c r="G11472" s="422">
        <v>2492.498282060812</v>
      </c>
      <c r="H11472" s="417" t="s">
        <v>2616</v>
      </c>
      <c r="I11472" s="417" t="s">
        <v>1392</v>
      </c>
      <c r="J11472" s="417" t="s">
        <v>25461</v>
      </c>
      <c r="K11472" s="417" t="s">
        <v>25470</v>
      </c>
      <c r="L11472" s="417"/>
      <c r="M11472" s="417" t="s">
        <v>28840</v>
      </c>
    </row>
    <row r="11473" spans="1:13" x14ac:dyDescent="0.25">
      <c r="A11473" s="417" t="s">
        <v>3385</v>
      </c>
      <c r="B11473" s="417" t="s">
        <v>2627</v>
      </c>
      <c r="C11473" s="417" t="s">
        <v>25471</v>
      </c>
      <c r="D11473" s="417" t="s">
        <v>88</v>
      </c>
      <c r="E11473" s="423">
        <v>1.0742963905644509</v>
      </c>
      <c r="F11473" s="423">
        <v>1.6637864836274781</v>
      </c>
      <c r="G11473" s="422">
        <v>2683.1694488945091</v>
      </c>
      <c r="H11473" s="417" t="s">
        <v>2616</v>
      </c>
      <c r="I11473" s="417" t="s">
        <v>1392</v>
      </c>
      <c r="J11473" s="417" t="s">
        <v>25461</v>
      </c>
      <c r="K11473" s="417" t="s">
        <v>25472</v>
      </c>
      <c r="L11473" s="417"/>
      <c r="M11473" s="417" t="s">
        <v>28840</v>
      </c>
    </row>
    <row r="11474" spans="1:13" x14ac:dyDescent="0.25">
      <c r="A11474" s="417" t="s">
        <v>3385</v>
      </c>
      <c r="B11474" s="417" t="s">
        <v>2627</v>
      </c>
      <c r="C11474" s="417" t="s">
        <v>25473</v>
      </c>
      <c r="D11474" s="417" t="s">
        <v>88</v>
      </c>
      <c r="E11474" s="423">
        <v>6.0688206268960414</v>
      </c>
      <c r="F11474" s="423">
        <v>0.3181544950435431</v>
      </c>
      <c r="G11474" s="422">
        <v>24522.252169097552</v>
      </c>
      <c r="H11474" s="417" t="s">
        <v>2616</v>
      </c>
      <c r="I11474" s="417" t="s">
        <v>1392</v>
      </c>
      <c r="J11474" s="417" t="s">
        <v>24424</v>
      </c>
      <c r="K11474" s="417" t="s">
        <v>25474</v>
      </c>
      <c r="L11474" s="417"/>
      <c r="M11474" s="417" t="s">
        <v>28840</v>
      </c>
    </row>
    <row r="11475" spans="1:13" x14ac:dyDescent="0.25">
      <c r="A11475" s="417" t="s">
        <v>3385</v>
      </c>
      <c r="B11475" s="417" t="s">
        <v>2627</v>
      </c>
      <c r="C11475" s="417" t="s">
        <v>25475</v>
      </c>
      <c r="D11475" s="417" t="s">
        <v>88</v>
      </c>
      <c r="E11475" s="423">
        <v>0.96464001014655243</v>
      </c>
      <c r="F11475" s="423">
        <v>0.2159376690512711</v>
      </c>
      <c r="G11475" s="422">
        <v>2571.083530046777</v>
      </c>
      <c r="H11475" s="417" t="s">
        <v>2616</v>
      </c>
      <c r="I11475" s="417" t="s">
        <v>1392</v>
      </c>
      <c r="J11475" s="417" t="s">
        <v>25476</v>
      </c>
      <c r="K11475" s="417" t="s">
        <v>25477</v>
      </c>
      <c r="L11475" s="417"/>
      <c r="M11475" s="417" t="s">
        <v>28840</v>
      </c>
    </row>
    <row r="11476" spans="1:13" x14ac:dyDescent="0.25">
      <c r="A11476" s="417" t="s">
        <v>3385</v>
      </c>
      <c r="B11476" s="417" t="s">
        <v>2627</v>
      </c>
      <c r="C11476" s="417" t="s">
        <v>25478</v>
      </c>
      <c r="D11476" s="417" t="s">
        <v>88</v>
      </c>
      <c r="E11476" s="423">
        <v>1.0104755322128169</v>
      </c>
      <c r="F11476" s="423">
        <v>2.3706475540061218</v>
      </c>
      <c r="G11476" s="422">
        <v>10886.80848267452</v>
      </c>
      <c r="H11476" s="417" t="s">
        <v>2616</v>
      </c>
      <c r="I11476" s="417" t="s">
        <v>1392</v>
      </c>
      <c r="J11476" s="417" t="s">
        <v>25476</v>
      </c>
      <c r="K11476" s="417" t="s">
        <v>25479</v>
      </c>
      <c r="L11476" s="417"/>
      <c r="M11476" s="417" t="s">
        <v>28840</v>
      </c>
    </row>
    <row r="11477" spans="1:13" x14ac:dyDescent="0.25">
      <c r="A11477" s="417" t="s">
        <v>3385</v>
      </c>
      <c r="B11477" s="417" t="s">
        <v>2627</v>
      </c>
      <c r="C11477" s="417" t="s">
        <v>25480</v>
      </c>
      <c r="D11477" s="417" t="s">
        <v>88</v>
      </c>
      <c r="E11477" s="423">
        <v>0.81155680321083423</v>
      </c>
      <c r="F11477" s="423">
        <v>4.4439094171060347</v>
      </c>
      <c r="G11477" s="422">
        <v>1788.511402955402</v>
      </c>
      <c r="H11477" s="417" t="s">
        <v>2616</v>
      </c>
      <c r="I11477" s="417" t="s">
        <v>1392</v>
      </c>
      <c r="J11477" s="417" t="s">
        <v>24964</v>
      </c>
      <c r="K11477" s="417" t="s">
        <v>25481</v>
      </c>
      <c r="L11477" s="417"/>
      <c r="M11477" s="417" t="s">
        <v>28840</v>
      </c>
    </row>
    <row r="11478" spans="1:13" x14ac:dyDescent="0.25">
      <c r="A11478" s="417" t="s">
        <v>3385</v>
      </c>
      <c r="B11478" s="417" t="s">
        <v>2627</v>
      </c>
      <c r="C11478" s="417" t="s">
        <v>25482</v>
      </c>
      <c r="D11478" s="417" t="s">
        <v>88</v>
      </c>
      <c r="E11478" s="423">
        <v>0.67169729810855061</v>
      </c>
      <c r="F11478" s="423">
        <v>1.076785842306521E-2</v>
      </c>
      <c r="G11478" s="422">
        <v>954.19631764446046</v>
      </c>
      <c r="H11478" s="417" t="s">
        <v>2616</v>
      </c>
      <c r="I11478" s="417" t="s">
        <v>1392</v>
      </c>
      <c r="J11478" s="417" t="s">
        <v>24532</v>
      </c>
      <c r="K11478" s="417" t="s">
        <v>25483</v>
      </c>
      <c r="L11478" s="417"/>
      <c r="M11478" s="417" t="s">
        <v>28840</v>
      </c>
    </row>
    <row r="11479" spans="1:13" x14ac:dyDescent="0.25">
      <c r="A11479" s="417" t="s">
        <v>3385</v>
      </c>
      <c r="B11479" s="417" t="s">
        <v>2627</v>
      </c>
      <c r="C11479" s="417" t="s">
        <v>25484</v>
      </c>
      <c r="D11479" s="417" t="s">
        <v>88</v>
      </c>
      <c r="E11479" s="423">
        <v>0.1219063590693919</v>
      </c>
      <c r="F11479" s="423">
        <v>3.5182155840472011E-3</v>
      </c>
      <c r="G11479" s="422">
        <v>1075.424294871036</v>
      </c>
      <c r="H11479" s="417" t="s">
        <v>2616</v>
      </c>
      <c r="I11479" s="417" t="s">
        <v>1392</v>
      </c>
      <c r="J11479" s="417" t="s">
        <v>24484</v>
      </c>
      <c r="K11479" s="417" t="s">
        <v>25485</v>
      </c>
      <c r="L11479" s="417"/>
      <c r="M11479" s="417" t="s">
        <v>28840</v>
      </c>
    </row>
    <row r="11480" spans="1:13" x14ac:dyDescent="0.25">
      <c r="A11480" s="417" t="s">
        <v>3385</v>
      </c>
      <c r="B11480" s="417" t="s">
        <v>2627</v>
      </c>
      <c r="C11480" s="417" t="s">
        <v>25486</v>
      </c>
      <c r="D11480" s="417" t="s">
        <v>88</v>
      </c>
      <c r="E11480" s="423">
        <v>41.059951671763557</v>
      </c>
      <c r="F11480" s="423">
        <v>0.97485452313467924</v>
      </c>
      <c r="G11480" s="422">
        <v>65498.243148184403</v>
      </c>
      <c r="H11480" s="417" t="s">
        <v>2616</v>
      </c>
      <c r="I11480" s="417" t="s">
        <v>1392</v>
      </c>
      <c r="J11480" s="417" t="s">
        <v>24469</v>
      </c>
      <c r="K11480" s="417" t="s">
        <v>25487</v>
      </c>
      <c r="L11480" s="417"/>
      <c r="M11480" s="417" t="s">
        <v>28840</v>
      </c>
    </row>
    <row r="11481" spans="1:13" x14ac:dyDescent="0.25">
      <c r="A11481" s="417" t="s">
        <v>3385</v>
      </c>
      <c r="B11481" s="417" t="s">
        <v>3655</v>
      </c>
      <c r="C11481" s="417" t="s">
        <v>25488</v>
      </c>
      <c r="D11481" s="417" t="s">
        <v>88</v>
      </c>
      <c r="E11481" s="423">
        <v>0.29124306165292402</v>
      </c>
      <c r="F11481" s="423">
        <v>2.6026185093238681E-2</v>
      </c>
      <c r="G11481" s="422">
        <v>763.12689971802547</v>
      </c>
      <c r="H11481" s="417" t="s">
        <v>2616</v>
      </c>
      <c r="I11481" s="417" t="s">
        <v>1392</v>
      </c>
      <c r="J11481" s="417" t="s">
        <v>25489</v>
      </c>
      <c r="K11481" s="417" t="s">
        <v>25490</v>
      </c>
      <c r="L11481" s="417"/>
      <c r="M11481" s="417" t="s">
        <v>28840</v>
      </c>
    </row>
    <row r="11482" spans="1:13" x14ac:dyDescent="0.25">
      <c r="A11482" s="417" t="s">
        <v>3385</v>
      </c>
      <c r="B11482" s="417" t="s">
        <v>3655</v>
      </c>
      <c r="C11482" s="417" t="s">
        <v>25491</v>
      </c>
      <c r="D11482" s="417" t="s">
        <v>88</v>
      </c>
      <c r="E11482" s="423">
        <v>0.36201963836694312</v>
      </c>
      <c r="F11482" s="423">
        <v>9.7283907987860782E-2</v>
      </c>
      <c r="G11482" s="422">
        <v>910.77658175898182</v>
      </c>
      <c r="H11482" s="417" t="s">
        <v>2616</v>
      </c>
      <c r="I11482" s="417" t="s">
        <v>1392</v>
      </c>
      <c r="J11482" s="417" t="s">
        <v>25489</v>
      </c>
      <c r="K11482" s="417" t="s">
        <v>25492</v>
      </c>
      <c r="L11482" s="417"/>
      <c r="M11482" s="417" t="s">
        <v>28840</v>
      </c>
    </row>
    <row r="11483" spans="1:13" x14ac:dyDescent="0.25">
      <c r="A11483" s="417" t="s">
        <v>3385</v>
      </c>
      <c r="B11483" s="417" t="s">
        <v>2627</v>
      </c>
      <c r="C11483" s="417" t="s">
        <v>25493</v>
      </c>
      <c r="D11483" s="417" t="s">
        <v>88</v>
      </c>
      <c r="E11483" s="423">
        <v>10.80069035253581</v>
      </c>
      <c r="F11483" s="423">
        <v>0.37463108830583652</v>
      </c>
      <c r="G11483" s="422">
        <v>31259.928295249389</v>
      </c>
      <c r="H11483" s="417" t="s">
        <v>2616</v>
      </c>
      <c r="I11483" s="417" t="s">
        <v>1392</v>
      </c>
      <c r="J11483" s="417" t="s">
        <v>24424</v>
      </c>
      <c r="K11483" s="417" t="s">
        <v>25494</v>
      </c>
      <c r="L11483" s="417"/>
      <c r="M11483" s="417" t="s">
        <v>28840</v>
      </c>
    </row>
    <row r="11484" spans="1:13" x14ac:dyDescent="0.25">
      <c r="A11484" s="417" t="s">
        <v>3385</v>
      </c>
      <c r="B11484" s="417" t="s">
        <v>2627</v>
      </c>
      <c r="C11484" s="417" t="s">
        <v>25495</v>
      </c>
      <c r="D11484" s="417" t="s">
        <v>88</v>
      </c>
      <c r="E11484" s="423">
        <v>1.678117792851789</v>
      </c>
      <c r="F11484" s="423">
        <v>2.5747295435519782E-3</v>
      </c>
      <c r="G11484" s="422">
        <v>2473.918955662818</v>
      </c>
      <c r="H11484" s="417" t="s">
        <v>2616</v>
      </c>
      <c r="I11484" s="417" t="s">
        <v>1392</v>
      </c>
      <c r="J11484" s="417" t="s">
        <v>24415</v>
      </c>
      <c r="K11484" s="417" t="s">
        <v>25496</v>
      </c>
      <c r="L11484" s="417"/>
      <c r="M11484" s="417" t="s">
        <v>28840</v>
      </c>
    </row>
    <row r="11485" spans="1:13" x14ac:dyDescent="0.25">
      <c r="A11485" s="417" t="s">
        <v>3385</v>
      </c>
      <c r="B11485" s="417" t="s">
        <v>2627</v>
      </c>
      <c r="C11485" s="417" t="s">
        <v>25497</v>
      </c>
      <c r="D11485" s="417" t="s">
        <v>88</v>
      </c>
      <c r="E11485" s="423">
        <v>5.5852349424000689</v>
      </c>
      <c r="F11485" s="423">
        <v>0.22901178260553501</v>
      </c>
      <c r="G11485" s="422">
        <v>22316.475677847571</v>
      </c>
      <c r="H11485" s="417" t="s">
        <v>2616</v>
      </c>
      <c r="I11485" s="417" t="s">
        <v>1392</v>
      </c>
      <c r="J11485" s="417" t="s">
        <v>24424</v>
      </c>
      <c r="K11485" s="417" t="s">
        <v>25498</v>
      </c>
      <c r="L11485" s="417"/>
      <c r="M11485" s="417" t="s">
        <v>28840</v>
      </c>
    </row>
    <row r="11486" spans="1:13" x14ac:dyDescent="0.25">
      <c r="A11486" s="417" t="s">
        <v>3385</v>
      </c>
      <c r="B11486" s="417" t="s">
        <v>2627</v>
      </c>
      <c r="C11486" s="417" t="s">
        <v>25499</v>
      </c>
      <c r="D11486" s="417" t="s">
        <v>88</v>
      </c>
      <c r="E11486" s="423">
        <v>0.12708709662545359</v>
      </c>
      <c r="F11486" s="423">
        <v>0.31885831449751267</v>
      </c>
      <c r="G11486" s="422">
        <v>266.19618150820389</v>
      </c>
      <c r="H11486" s="417" t="s">
        <v>2616</v>
      </c>
      <c r="I11486" s="417" t="s">
        <v>1392</v>
      </c>
      <c r="J11486" s="417" t="s">
        <v>24660</v>
      </c>
      <c r="K11486" s="417" t="s">
        <v>25500</v>
      </c>
      <c r="L11486" s="417"/>
      <c r="M11486" s="417" t="s">
        <v>28840</v>
      </c>
    </row>
    <row r="11487" spans="1:13" x14ac:dyDescent="0.25">
      <c r="A11487" s="417" t="s">
        <v>3385</v>
      </c>
      <c r="B11487" s="417" t="s">
        <v>2627</v>
      </c>
      <c r="C11487" s="417" t="s">
        <v>25501</v>
      </c>
      <c r="D11487" s="417" t="s">
        <v>88</v>
      </c>
      <c r="E11487" s="423">
        <v>0.64981958369543724</v>
      </c>
      <c r="F11487" s="423">
        <v>7.6304868495721606E-3</v>
      </c>
      <c r="G11487" s="422">
        <v>9831.2667873286191</v>
      </c>
      <c r="H11487" s="417" t="s">
        <v>2616</v>
      </c>
      <c r="I11487" s="417" t="s">
        <v>1392</v>
      </c>
      <c r="J11487" s="417" t="s">
        <v>24484</v>
      </c>
      <c r="K11487" s="417" t="s">
        <v>25502</v>
      </c>
      <c r="L11487" s="417"/>
      <c r="M11487" s="417" t="s">
        <v>28840</v>
      </c>
    </row>
    <row r="11488" spans="1:13" x14ac:dyDescent="0.25">
      <c r="A11488" s="417" t="s">
        <v>3385</v>
      </c>
      <c r="B11488" s="417" t="s">
        <v>2627</v>
      </c>
      <c r="C11488" s="417" t="s">
        <v>25503</v>
      </c>
      <c r="D11488" s="417" t="s">
        <v>88</v>
      </c>
      <c r="E11488" s="423">
        <v>1.2059183024226019</v>
      </c>
      <c r="F11488" s="423">
        <v>1.8273227715318051E-2</v>
      </c>
      <c r="G11488" s="422">
        <v>22753.570581275031</v>
      </c>
      <c r="H11488" s="417" t="s">
        <v>2616</v>
      </c>
      <c r="I11488" s="417" t="s">
        <v>1392</v>
      </c>
      <c r="J11488" s="417" t="s">
        <v>24484</v>
      </c>
      <c r="K11488" s="417" t="s">
        <v>25504</v>
      </c>
      <c r="L11488" s="417"/>
      <c r="M11488" s="417" t="s">
        <v>28840</v>
      </c>
    </row>
    <row r="11489" spans="1:13" x14ac:dyDescent="0.25">
      <c r="A11489" s="417" t="s">
        <v>3385</v>
      </c>
      <c r="B11489" s="417" t="s">
        <v>2627</v>
      </c>
      <c r="C11489" s="417" t="s">
        <v>25505</v>
      </c>
      <c r="D11489" s="417" t="s">
        <v>88</v>
      </c>
      <c r="E11489" s="423">
        <v>0.62603564614197116</v>
      </c>
      <c r="F11489" s="423">
        <v>9.3422685958725916E-3</v>
      </c>
      <c r="G11489" s="422">
        <v>4151.586416271266</v>
      </c>
      <c r="H11489" s="417" t="s">
        <v>2616</v>
      </c>
      <c r="I11489" s="417" t="s">
        <v>1392</v>
      </c>
      <c r="J11489" s="417" t="s">
        <v>24484</v>
      </c>
      <c r="K11489" s="417" t="s">
        <v>25506</v>
      </c>
      <c r="L11489" s="417"/>
      <c r="M11489" s="417" t="s">
        <v>28840</v>
      </c>
    </row>
    <row r="11490" spans="1:13" x14ac:dyDescent="0.25">
      <c r="A11490" s="417" t="s">
        <v>3385</v>
      </c>
      <c r="B11490" s="417" t="s">
        <v>2627</v>
      </c>
      <c r="C11490" s="417" t="s">
        <v>25507</v>
      </c>
      <c r="D11490" s="417" t="s">
        <v>88</v>
      </c>
      <c r="E11490" s="423">
        <v>1.2708328773536219</v>
      </c>
      <c r="F11490" s="423">
        <v>1.6260210145564301E-2</v>
      </c>
      <c r="G11490" s="422">
        <v>2971.6876783284911</v>
      </c>
      <c r="H11490" s="417" t="s">
        <v>2616</v>
      </c>
      <c r="I11490" s="417" t="s">
        <v>1392</v>
      </c>
      <c r="J11490" s="417" t="s">
        <v>5810</v>
      </c>
      <c r="K11490" s="417" t="s">
        <v>25508</v>
      </c>
      <c r="L11490" s="417"/>
      <c r="M11490" s="417" t="s">
        <v>28840</v>
      </c>
    </row>
    <row r="11491" spans="1:13" x14ac:dyDescent="0.25">
      <c r="A11491" s="417" t="s">
        <v>3385</v>
      </c>
      <c r="B11491" s="417" t="s">
        <v>2627</v>
      </c>
      <c r="C11491" s="417" t="s">
        <v>25509</v>
      </c>
      <c r="D11491" s="417" t="s">
        <v>88</v>
      </c>
      <c r="E11491" s="423">
        <v>8.0926683442186444</v>
      </c>
      <c r="F11491" s="423">
        <v>0.42341322660541247</v>
      </c>
      <c r="G11491" s="422">
        <v>15535.340159683799</v>
      </c>
      <c r="H11491" s="417" t="s">
        <v>2616</v>
      </c>
      <c r="I11491" s="417" t="s">
        <v>1392</v>
      </c>
      <c r="J11491" s="417" t="s">
        <v>24424</v>
      </c>
      <c r="K11491" s="417" t="s">
        <v>25510</v>
      </c>
      <c r="L11491" s="417"/>
      <c r="M11491" s="417" t="s">
        <v>28840</v>
      </c>
    </row>
    <row r="11492" spans="1:13" x14ac:dyDescent="0.25">
      <c r="A11492" s="417" t="s">
        <v>3385</v>
      </c>
      <c r="B11492" s="417" t="s">
        <v>2627</v>
      </c>
      <c r="C11492" s="417" t="s">
        <v>25511</v>
      </c>
      <c r="D11492" s="417" t="s">
        <v>88</v>
      </c>
      <c r="E11492" s="423">
        <v>0.38641823414362347</v>
      </c>
      <c r="F11492" s="423">
        <v>6.3827184323406406E-3</v>
      </c>
      <c r="G11492" s="422">
        <v>2992.3671952625482</v>
      </c>
      <c r="H11492" s="417" t="s">
        <v>2616</v>
      </c>
      <c r="I11492" s="417" t="s">
        <v>1392</v>
      </c>
      <c r="J11492" s="417" t="s">
        <v>25456</v>
      </c>
      <c r="K11492" s="417" t="s">
        <v>25512</v>
      </c>
      <c r="L11492" s="417"/>
      <c r="M11492" s="417" t="s">
        <v>28840</v>
      </c>
    </row>
    <row r="11493" spans="1:13" x14ac:dyDescent="0.25">
      <c r="A11493" s="417" t="s">
        <v>3385</v>
      </c>
      <c r="B11493" s="417" t="s">
        <v>2627</v>
      </c>
      <c r="C11493" s="417" t="s">
        <v>25513</v>
      </c>
      <c r="D11493" s="417" t="s">
        <v>88</v>
      </c>
      <c r="E11493" s="423">
        <v>1.2182460728697999</v>
      </c>
      <c r="F11493" s="423">
        <v>1.3720236535259261E-2</v>
      </c>
      <c r="G11493" s="422">
        <v>12044.02608704896</v>
      </c>
      <c r="H11493" s="417" t="s">
        <v>2616</v>
      </c>
      <c r="I11493" s="417" t="s">
        <v>1392</v>
      </c>
      <c r="J11493" s="417" t="s">
        <v>24484</v>
      </c>
      <c r="K11493" s="417" t="s">
        <v>25514</v>
      </c>
      <c r="L11493" s="417"/>
      <c r="M11493" s="417" t="s">
        <v>28840</v>
      </c>
    </row>
    <row r="11494" spans="1:13" x14ac:dyDescent="0.25">
      <c r="A11494" s="417" t="s">
        <v>3385</v>
      </c>
      <c r="B11494" s="417" t="s">
        <v>2623</v>
      </c>
      <c r="C11494" s="417" t="s">
        <v>25515</v>
      </c>
      <c r="D11494" s="417" t="s">
        <v>88</v>
      </c>
      <c r="E11494" s="423">
        <v>0</v>
      </c>
      <c r="F11494" s="423">
        <v>0</v>
      </c>
      <c r="G11494" s="422">
        <v>0</v>
      </c>
      <c r="H11494" s="417" t="s">
        <v>2616</v>
      </c>
      <c r="I11494" s="417" t="s">
        <v>1392</v>
      </c>
      <c r="J11494" s="417" t="s">
        <v>25516</v>
      </c>
      <c r="K11494" s="417" t="s">
        <v>25517</v>
      </c>
      <c r="L11494" s="417"/>
      <c r="M11494" s="417" t="s">
        <v>28840</v>
      </c>
    </row>
    <row r="11495" spans="1:13" x14ac:dyDescent="0.25">
      <c r="A11495" s="417" t="s">
        <v>3385</v>
      </c>
      <c r="B11495" s="417" t="s">
        <v>2623</v>
      </c>
      <c r="C11495" s="417" t="s">
        <v>25518</v>
      </c>
      <c r="D11495" s="417" t="s">
        <v>88</v>
      </c>
      <c r="E11495" s="423">
        <v>0</v>
      </c>
      <c r="F11495" s="423">
        <v>0</v>
      </c>
      <c r="G11495" s="422">
        <v>0</v>
      </c>
      <c r="H11495" s="417" t="s">
        <v>2616</v>
      </c>
      <c r="I11495" s="417" t="s">
        <v>1392</v>
      </c>
      <c r="J11495" s="417" t="s">
        <v>25516</v>
      </c>
      <c r="K11495" s="417" t="s">
        <v>25519</v>
      </c>
      <c r="L11495" s="417"/>
      <c r="M11495" s="417" t="s">
        <v>28840</v>
      </c>
    </row>
    <row r="11496" spans="1:13" x14ac:dyDescent="0.25">
      <c r="A11496" s="417" t="s">
        <v>3385</v>
      </c>
      <c r="B11496" s="417" t="s">
        <v>2623</v>
      </c>
      <c r="C11496" s="417" t="s">
        <v>25520</v>
      </c>
      <c r="D11496" s="417" t="s">
        <v>88</v>
      </c>
      <c r="E11496" s="423">
        <v>0</v>
      </c>
      <c r="F11496" s="423">
        <v>0</v>
      </c>
      <c r="G11496" s="422">
        <v>0</v>
      </c>
      <c r="H11496" s="417" t="s">
        <v>2616</v>
      </c>
      <c r="I11496" s="417" t="s">
        <v>1392</v>
      </c>
      <c r="J11496" s="417" t="s">
        <v>25516</v>
      </c>
      <c r="K11496" s="417" t="s">
        <v>25521</v>
      </c>
      <c r="L11496" s="417"/>
      <c r="M11496" s="417" t="s">
        <v>28840</v>
      </c>
    </row>
    <row r="11497" spans="1:13" x14ac:dyDescent="0.25">
      <c r="A11497" s="417" t="s">
        <v>3385</v>
      </c>
      <c r="B11497" s="417" t="s">
        <v>2623</v>
      </c>
      <c r="C11497" s="417" t="s">
        <v>25522</v>
      </c>
      <c r="D11497" s="417" t="s">
        <v>88</v>
      </c>
      <c r="E11497" s="423">
        <v>0</v>
      </c>
      <c r="F11497" s="423">
        <v>0</v>
      </c>
      <c r="G11497" s="422">
        <v>0</v>
      </c>
      <c r="H11497" s="417" t="s">
        <v>2616</v>
      </c>
      <c r="I11497" s="417" t="s">
        <v>1392</v>
      </c>
      <c r="J11497" s="417" t="s">
        <v>25516</v>
      </c>
      <c r="K11497" s="417" t="s">
        <v>25523</v>
      </c>
      <c r="L11497" s="417"/>
      <c r="M11497" s="417" t="s">
        <v>28840</v>
      </c>
    </row>
    <row r="11498" spans="1:13" x14ac:dyDescent="0.25">
      <c r="A11498" s="417" t="s">
        <v>3385</v>
      </c>
      <c r="B11498" s="417" t="s">
        <v>2623</v>
      </c>
      <c r="C11498" s="417" t="s">
        <v>25524</v>
      </c>
      <c r="D11498" s="417" t="s">
        <v>88</v>
      </c>
      <c r="E11498" s="423">
        <v>0</v>
      </c>
      <c r="F11498" s="423">
        <v>0</v>
      </c>
      <c r="G11498" s="422">
        <v>0</v>
      </c>
      <c r="H11498" s="417" t="s">
        <v>2616</v>
      </c>
      <c r="I11498" s="417" t="s">
        <v>1392</v>
      </c>
      <c r="J11498" s="417" t="s">
        <v>25516</v>
      </c>
      <c r="K11498" s="417" t="s">
        <v>25525</v>
      </c>
      <c r="L11498" s="417"/>
      <c r="M11498" s="417" t="s">
        <v>28840</v>
      </c>
    </row>
    <row r="11499" spans="1:13" x14ac:dyDescent="0.25">
      <c r="A11499" s="417" t="s">
        <v>3385</v>
      </c>
      <c r="B11499" s="417" t="s">
        <v>2623</v>
      </c>
      <c r="C11499" s="417" t="s">
        <v>25526</v>
      </c>
      <c r="D11499" s="417" t="s">
        <v>88</v>
      </c>
      <c r="E11499" s="423">
        <v>0</v>
      </c>
      <c r="F11499" s="423">
        <v>0</v>
      </c>
      <c r="G11499" s="422">
        <v>0</v>
      </c>
      <c r="H11499" s="417" t="s">
        <v>2616</v>
      </c>
      <c r="I11499" s="417" t="s">
        <v>1392</v>
      </c>
      <c r="J11499" s="417" t="s">
        <v>25516</v>
      </c>
      <c r="K11499" s="417" t="s">
        <v>25527</v>
      </c>
      <c r="L11499" s="417"/>
      <c r="M11499" s="417" t="s">
        <v>28840</v>
      </c>
    </row>
    <row r="11500" spans="1:13" x14ac:dyDescent="0.25">
      <c r="A11500" s="417" t="s">
        <v>3385</v>
      </c>
      <c r="B11500" s="417" t="s">
        <v>2623</v>
      </c>
      <c r="C11500" s="417" t="s">
        <v>25528</v>
      </c>
      <c r="D11500" s="417" t="s">
        <v>88</v>
      </c>
      <c r="E11500" s="423">
        <v>0</v>
      </c>
      <c r="F11500" s="423">
        <v>0</v>
      </c>
      <c r="G11500" s="422">
        <v>0</v>
      </c>
      <c r="H11500" s="417" t="s">
        <v>2616</v>
      </c>
      <c r="I11500" s="417" t="s">
        <v>1392</v>
      </c>
      <c r="J11500" s="417" t="s">
        <v>25516</v>
      </c>
      <c r="K11500" s="417" t="s">
        <v>25529</v>
      </c>
      <c r="L11500" s="417"/>
      <c r="M11500" s="417" t="s">
        <v>28840</v>
      </c>
    </row>
    <row r="11501" spans="1:13" x14ac:dyDescent="0.25">
      <c r="A11501" s="417" t="s">
        <v>3385</v>
      </c>
      <c r="B11501" s="417" t="s">
        <v>2623</v>
      </c>
      <c r="C11501" s="417" t="s">
        <v>25530</v>
      </c>
      <c r="D11501" s="417" t="s">
        <v>88</v>
      </c>
      <c r="E11501" s="423">
        <v>0</v>
      </c>
      <c r="F11501" s="423">
        <v>0</v>
      </c>
      <c r="G11501" s="422">
        <v>0</v>
      </c>
      <c r="H11501" s="417" t="s">
        <v>2616</v>
      </c>
      <c r="I11501" s="417" t="s">
        <v>1392</v>
      </c>
      <c r="J11501" s="417" t="s">
        <v>25516</v>
      </c>
      <c r="K11501" s="417" t="s">
        <v>25531</v>
      </c>
      <c r="L11501" s="417"/>
      <c r="M11501" s="417" t="s">
        <v>28840</v>
      </c>
    </row>
    <row r="11502" spans="1:13" x14ac:dyDescent="0.25">
      <c r="A11502" s="417" t="s">
        <v>3385</v>
      </c>
      <c r="B11502" s="417" t="s">
        <v>2623</v>
      </c>
      <c r="C11502" s="417" t="s">
        <v>25532</v>
      </c>
      <c r="D11502" s="417" t="s">
        <v>88</v>
      </c>
      <c r="E11502" s="423">
        <v>0</v>
      </c>
      <c r="F11502" s="423">
        <v>0</v>
      </c>
      <c r="G11502" s="422">
        <v>0</v>
      </c>
      <c r="H11502" s="417" t="s">
        <v>2616</v>
      </c>
      <c r="I11502" s="417" t="s">
        <v>1392</v>
      </c>
      <c r="J11502" s="417" t="s">
        <v>25516</v>
      </c>
      <c r="K11502" s="417" t="s">
        <v>25533</v>
      </c>
      <c r="L11502" s="417"/>
      <c r="M11502" s="417" t="s">
        <v>28840</v>
      </c>
    </row>
    <row r="11503" spans="1:13" x14ac:dyDescent="0.25">
      <c r="A11503" s="417" t="s">
        <v>3385</v>
      </c>
      <c r="B11503" s="417" t="s">
        <v>2623</v>
      </c>
      <c r="C11503" s="417" t="s">
        <v>25534</v>
      </c>
      <c r="D11503" s="417" t="s">
        <v>88</v>
      </c>
      <c r="E11503" s="423">
        <v>0</v>
      </c>
      <c r="F11503" s="423">
        <v>0</v>
      </c>
      <c r="G11503" s="422">
        <v>0</v>
      </c>
      <c r="H11503" s="417" t="s">
        <v>2616</v>
      </c>
      <c r="I11503" s="417" t="s">
        <v>1392</v>
      </c>
      <c r="J11503" s="417" t="s">
        <v>25516</v>
      </c>
      <c r="K11503" s="417" t="s">
        <v>25535</v>
      </c>
      <c r="L11503" s="417"/>
      <c r="M11503" s="417" t="s">
        <v>28840</v>
      </c>
    </row>
    <row r="11504" spans="1:13" x14ac:dyDescent="0.25">
      <c r="A11504" s="417" t="s">
        <v>3385</v>
      </c>
      <c r="B11504" s="417" t="s">
        <v>2623</v>
      </c>
      <c r="C11504" s="417" t="s">
        <v>25536</v>
      </c>
      <c r="D11504" s="417" t="s">
        <v>88</v>
      </c>
      <c r="E11504" s="423">
        <v>0</v>
      </c>
      <c r="F11504" s="423">
        <v>0</v>
      </c>
      <c r="G11504" s="422">
        <v>0</v>
      </c>
      <c r="H11504" s="417" t="s">
        <v>2616</v>
      </c>
      <c r="I11504" s="417" t="s">
        <v>1392</v>
      </c>
      <c r="J11504" s="417" t="s">
        <v>25516</v>
      </c>
      <c r="K11504" s="417" t="s">
        <v>25537</v>
      </c>
      <c r="L11504" s="417"/>
      <c r="M11504" s="417" t="s">
        <v>28840</v>
      </c>
    </row>
    <row r="11505" spans="1:13" x14ac:dyDescent="0.25">
      <c r="A11505" s="417" t="s">
        <v>3385</v>
      </c>
      <c r="B11505" s="417" t="s">
        <v>2623</v>
      </c>
      <c r="C11505" s="417" t="s">
        <v>25538</v>
      </c>
      <c r="D11505" s="417" t="s">
        <v>88</v>
      </c>
      <c r="E11505" s="423">
        <v>0</v>
      </c>
      <c r="F11505" s="423">
        <v>0</v>
      </c>
      <c r="G11505" s="422">
        <v>0</v>
      </c>
      <c r="H11505" s="417" t="s">
        <v>2616</v>
      </c>
      <c r="I11505" s="417" t="s">
        <v>1392</v>
      </c>
      <c r="J11505" s="417" t="s">
        <v>25516</v>
      </c>
      <c r="K11505" s="417" t="s">
        <v>25539</v>
      </c>
      <c r="L11505" s="417"/>
      <c r="M11505" s="417" t="s">
        <v>28840</v>
      </c>
    </row>
    <row r="11506" spans="1:13" x14ac:dyDescent="0.25">
      <c r="A11506" s="417" t="s">
        <v>3385</v>
      </c>
      <c r="B11506" s="417" t="s">
        <v>3405</v>
      </c>
      <c r="C11506" s="417" t="s">
        <v>25540</v>
      </c>
      <c r="D11506" s="417" t="s">
        <v>88</v>
      </c>
      <c r="E11506" s="423">
        <v>3.8532050416086379</v>
      </c>
      <c r="F11506" s="423">
        <v>7.0966572844088308E-3</v>
      </c>
      <c r="G11506" s="422">
        <v>4987.9226016120056</v>
      </c>
      <c r="H11506" s="417" t="s">
        <v>2616</v>
      </c>
      <c r="I11506" s="417" t="s">
        <v>1392</v>
      </c>
      <c r="J11506" s="417" t="s">
        <v>25541</v>
      </c>
      <c r="K11506" s="417" t="s">
        <v>25542</v>
      </c>
      <c r="L11506" s="417"/>
      <c r="M11506" s="417" t="s">
        <v>28840</v>
      </c>
    </row>
    <row r="11507" spans="1:13" x14ac:dyDescent="0.25">
      <c r="A11507" s="417" t="s">
        <v>3385</v>
      </c>
      <c r="B11507" s="417" t="s">
        <v>2627</v>
      </c>
      <c r="C11507" s="417" t="s">
        <v>25543</v>
      </c>
      <c r="D11507" s="417" t="s">
        <v>83</v>
      </c>
      <c r="E11507" s="423">
        <v>9.1700478703446962</v>
      </c>
      <c r="F11507" s="423">
        <v>0.55037903312538028</v>
      </c>
      <c r="G11507" s="422">
        <v>107443.7591124249</v>
      </c>
      <c r="H11507" s="417" t="s">
        <v>2616</v>
      </c>
      <c r="I11507" s="417" t="s">
        <v>1392</v>
      </c>
      <c r="J11507" s="417" t="s">
        <v>25206</v>
      </c>
      <c r="K11507" s="417" t="s">
        <v>25544</v>
      </c>
      <c r="L11507" s="417"/>
      <c r="M11507" s="417" t="s">
        <v>28840</v>
      </c>
    </row>
    <row r="11508" spans="1:13" x14ac:dyDescent="0.25">
      <c r="A11508" s="417" t="s">
        <v>3385</v>
      </c>
      <c r="B11508" s="417" t="s">
        <v>2627</v>
      </c>
      <c r="C11508" s="417" t="s">
        <v>25545</v>
      </c>
      <c r="D11508" s="417" t="s">
        <v>88</v>
      </c>
      <c r="E11508" s="423">
        <v>0.37219281713313318</v>
      </c>
      <c r="F11508" s="423">
        <v>9.521144676640645E-3</v>
      </c>
      <c r="G11508" s="422">
        <v>3433.9265259131462</v>
      </c>
      <c r="H11508" s="417" t="s">
        <v>2616</v>
      </c>
      <c r="I11508" s="417" t="s">
        <v>1392</v>
      </c>
      <c r="J11508" s="417" t="s">
        <v>24491</v>
      </c>
      <c r="K11508" s="417" t="s">
        <v>25546</v>
      </c>
      <c r="L11508" s="417"/>
      <c r="M11508" s="417" t="s">
        <v>28840</v>
      </c>
    </row>
    <row r="11509" spans="1:13" x14ac:dyDescent="0.25">
      <c r="A11509" s="417" t="s">
        <v>3385</v>
      </c>
      <c r="B11509" s="417" t="s">
        <v>2627</v>
      </c>
      <c r="C11509" s="417" t="s">
        <v>25547</v>
      </c>
      <c r="D11509" s="417" t="s">
        <v>88</v>
      </c>
      <c r="E11509" s="423">
        <v>55.25618494659858</v>
      </c>
      <c r="F11509" s="423">
        <v>1.2828268181249849</v>
      </c>
      <c r="G11509" s="422">
        <v>87073.85649333871</v>
      </c>
      <c r="H11509" s="417" t="s">
        <v>2616</v>
      </c>
      <c r="I11509" s="417" t="s">
        <v>1392</v>
      </c>
      <c r="J11509" s="417" t="s">
        <v>25200</v>
      </c>
      <c r="K11509" s="417" t="s">
        <v>25548</v>
      </c>
      <c r="L11509" s="417"/>
      <c r="M11509" s="417" t="s">
        <v>28840</v>
      </c>
    </row>
    <row r="11510" spans="1:13" x14ac:dyDescent="0.25">
      <c r="A11510" s="417" t="s">
        <v>3385</v>
      </c>
      <c r="B11510" s="417" t="s">
        <v>2623</v>
      </c>
      <c r="C11510" s="417" t="s">
        <v>25549</v>
      </c>
      <c r="D11510" s="417" t="s">
        <v>88</v>
      </c>
      <c r="E11510" s="423">
        <v>0</v>
      </c>
      <c r="F11510" s="423">
        <v>0</v>
      </c>
      <c r="G11510" s="422">
        <v>0</v>
      </c>
      <c r="H11510" s="417" t="s">
        <v>2616</v>
      </c>
      <c r="I11510" s="417" t="s">
        <v>1392</v>
      </c>
      <c r="J11510" s="417" t="s">
        <v>24549</v>
      </c>
      <c r="K11510" s="417" t="s">
        <v>25550</v>
      </c>
      <c r="L11510" s="417"/>
      <c r="M11510" s="417" t="s">
        <v>28840</v>
      </c>
    </row>
    <row r="11511" spans="1:13" x14ac:dyDescent="0.25">
      <c r="A11511" s="417" t="s">
        <v>3385</v>
      </c>
      <c r="B11511" s="417" t="s">
        <v>2627</v>
      </c>
      <c r="C11511" s="417" t="s">
        <v>25551</v>
      </c>
      <c r="D11511" s="417" t="s">
        <v>88</v>
      </c>
      <c r="E11511" s="423">
        <v>4.5442002869197662</v>
      </c>
      <c r="F11511" s="423">
        <v>0.1126050318625052</v>
      </c>
      <c r="G11511" s="422">
        <v>17073.88481817922</v>
      </c>
      <c r="H11511" s="417" t="s">
        <v>2616</v>
      </c>
      <c r="I11511" s="417" t="s">
        <v>1392</v>
      </c>
      <c r="J11511" s="417" t="s">
        <v>25552</v>
      </c>
      <c r="K11511" s="417" t="s">
        <v>25553</v>
      </c>
      <c r="L11511" s="417"/>
      <c r="M11511" s="417" t="s">
        <v>28840</v>
      </c>
    </row>
    <row r="11512" spans="1:13" x14ac:dyDescent="0.25">
      <c r="A11512" s="417" t="s">
        <v>3385</v>
      </c>
      <c r="B11512" s="417" t="s">
        <v>2627</v>
      </c>
      <c r="C11512" s="417" t="s">
        <v>25554</v>
      </c>
      <c r="D11512" s="417" t="s">
        <v>88</v>
      </c>
      <c r="E11512" s="423">
        <v>0.30445350944101501</v>
      </c>
      <c r="F11512" s="423">
        <v>8.9732560305952752E-2</v>
      </c>
      <c r="G11512" s="422">
        <v>630.50478595951472</v>
      </c>
      <c r="H11512" s="417" t="s">
        <v>2616</v>
      </c>
      <c r="I11512" s="417" t="s">
        <v>1392</v>
      </c>
      <c r="J11512" s="417" t="s">
        <v>24469</v>
      </c>
      <c r="K11512" s="417" t="s">
        <v>25555</v>
      </c>
      <c r="L11512" s="417"/>
      <c r="M11512" s="417" t="s">
        <v>28840</v>
      </c>
    </row>
    <row r="11513" spans="1:13" x14ac:dyDescent="0.25">
      <c r="A11513" s="417" t="s">
        <v>3385</v>
      </c>
      <c r="B11513" s="417" t="s">
        <v>2627</v>
      </c>
      <c r="C11513" s="417" t="s">
        <v>25556</v>
      </c>
      <c r="D11513" s="417" t="s">
        <v>83</v>
      </c>
      <c r="E11513" s="423">
        <v>0</v>
      </c>
      <c r="F11513" s="423">
        <v>0</v>
      </c>
      <c r="G11513" s="422">
        <v>25704</v>
      </c>
      <c r="H11513" s="417" t="s">
        <v>2616</v>
      </c>
      <c r="I11513" s="417" t="s">
        <v>1392</v>
      </c>
      <c r="J11513" s="417" t="s">
        <v>25066</v>
      </c>
      <c r="K11513" s="417" t="s">
        <v>25557</v>
      </c>
      <c r="L11513" s="417"/>
      <c r="M11513" s="417" t="s">
        <v>28840</v>
      </c>
    </row>
    <row r="11514" spans="1:13" x14ac:dyDescent="0.25">
      <c r="A11514" s="417" t="s">
        <v>3385</v>
      </c>
      <c r="B11514" s="417" t="s">
        <v>2627</v>
      </c>
      <c r="C11514" s="417" t="s">
        <v>25558</v>
      </c>
      <c r="D11514" s="417" t="s">
        <v>88</v>
      </c>
      <c r="E11514" s="423">
        <v>1.7043634468292419</v>
      </c>
      <c r="F11514" s="423">
        <v>4.5077721121463687E-2</v>
      </c>
      <c r="G11514" s="422">
        <v>12196.570656811709</v>
      </c>
      <c r="H11514" s="417" t="s">
        <v>2616</v>
      </c>
      <c r="I11514" s="417" t="s">
        <v>1392</v>
      </c>
      <c r="J11514" s="417" t="s">
        <v>25559</v>
      </c>
      <c r="K11514" s="417" t="s">
        <v>25560</v>
      </c>
      <c r="L11514" s="417"/>
      <c r="M11514" s="417" t="s">
        <v>28840</v>
      </c>
    </row>
    <row r="11515" spans="1:13" x14ac:dyDescent="0.25">
      <c r="A11515" s="417" t="s">
        <v>3385</v>
      </c>
      <c r="B11515" s="417" t="s">
        <v>2627</v>
      </c>
      <c r="C11515" s="417" t="s">
        <v>25561</v>
      </c>
      <c r="D11515" s="417" t="s">
        <v>88</v>
      </c>
      <c r="E11515" s="423">
        <v>3.7927269993066361</v>
      </c>
      <c r="F11515" s="423">
        <v>0.46869708501187141</v>
      </c>
      <c r="G11515" s="422">
        <v>17034.761796297669</v>
      </c>
      <c r="H11515" s="417" t="s">
        <v>2616</v>
      </c>
      <c r="I11515" s="417" t="s">
        <v>1392</v>
      </c>
      <c r="J11515" s="417" t="s">
        <v>24499</v>
      </c>
      <c r="K11515" s="417" t="s">
        <v>25562</v>
      </c>
      <c r="L11515" s="417"/>
      <c r="M11515" s="417" t="s">
        <v>28840</v>
      </c>
    </row>
    <row r="11516" spans="1:13" x14ac:dyDescent="0.25">
      <c r="A11516" s="417" t="s">
        <v>3385</v>
      </c>
      <c r="B11516" s="417" t="s">
        <v>3405</v>
      </c>
      <c r="C11516" s="417" t="s">
        <v>25563</v>
      </c>
      <c r="D11516" s="417" t="s">
        <v>88</v>
      </c>
      <c r="E11516" s="423">
        <v>6.6797209712740516E-2</v>
      </c>
      <c r="F11516" s="423">
        <v>5.1715870453616594E-4</v>
      </c>
      <c r="G11516" s="422">
        <v>88.781351357594687</v>
      </c>
      <c r="H11516" s="417" t="s">
        <v>2616</v>
      </c>
      <c r="I11516" s="417" t="s">
        <v>1392</v>
      </c>
      <c r="J11516" s="417" t="s">
        <v>25564</v>
      </c>
      <c r="K11516" s="417" t="s">
        <v>25565</v>
      </c>
      <c r="L11516" s="417"/>
      <c r="M11516" s="417" t="s">
        <v>28840</v>
      </c>
    </row>
    <row r="11517" spans="1:13" x14ac:dyDescent="0.25">
      <c r="A11517" s="417" t="s">
        <v>3385</v>
      </c>
      <c r="B11517" s="417" t="s">
        <v>3405</v>
      </c>
      <c r="C11517" s="417" t="s">
        <v>25566</v>
      </c>
      <c r="D11517" s="417" t="s">
        <v>88</v>
      </c>
      <c r="E11517" s="423">
        <v>3.9548990561610209E-2</v>
      </c>
      <c r="F11517" s="423">
        <v>8.7076224561832122E-4</v>
      </c>
      <c r="G11517" s="422">
        <v>62.941553089647122</v>
      </c>
      <c r="H11517" s="417" t="s">
        <v>2616</v>
      </c>
      <c r="I11517" s="417" t="s">
        <v>1392</v>
      </c>
      <c r="J11517" s="417" t="s">
        <v>25564</v>
      </c>
      <c r="K11517" s="417" t="s">
        <v>25567</v>
      </c>
      <c r="L11517" s="417"/>
      <c r="M11517" s="417" t="s">
        <v>28840</v>
      </c>
    </row>
    <row r="11518" spans="1:13" x14ac:dyDescent="0.25">
      <c r="A11518" s="417" t="s">
        <v>3385</v>
      </c>
      <c r="B11518" s="417" t="s">
        <v>2627</v>
      </c>
      <c r="C11518" s="417" t="s">
        <v>1068</v>
      </c>
      <c r="D11518" s="417" t="s">
        <v>88</v>
      </c>
      <c r="E11518" s="423">
        <v>0.47654696839629851</v>
      </c>
      <c r="F11518" s="423">
        <v>0.43292302013850348</v>
      </c>
      <c r="G11518" s="422">
        <v>2028.5359635906671</v>
      </c>
      <c r="H11518" s="417" t="s">
        <v>2616</v>
      </c>
      <c r="I11518" s="417" t="s">
        <v>28841</v>
      </c>
      <c r="J11518" s="417" t="s">
        <v>24481</v>
      </c>
      <c r="K11518" s="417" t="s">
        <v>25568</v>
      </c>
      <c r="L11518" s="417"/>
      <c r="M11518" s="417" t="s">
        <v>28840</v>
      </c>
    </row>
    <row r="11519" spans="1:13" x14ac:dyDescent="0.25">
      <c r="A11519" s="417" t="s">
        <v>3385</v>
      </c>
      <c r="B11519" s="417" t="s">
        <v>2627</v>
      </c>
      <c r="C11519" s="417" t="s">
        <v>25569</v>
      </c>
      <c r="D11519" s="417" t="s">
        <v>88</v>
      </c>
      <c r="E11519" s="423">
        <v>0.48373753711484058</v>
      </c>
      <c r="F11519" s="423">
        <v>1.279011444458642</v>
      </c>
      <c r="G11519" s="422">
        <v>1888.911431432216</v>
      </c>
      <c r="H11519" s="417" t="s">
        <v>2616</v>
      </c>
      <c r="I11519" s="417" t="s">
        <v>1392</v>
      </c>
      <c r="J11519" s="417" t="s">
        <v>24537</v>
      </c>
      <c r="K11519" s="417" t="s">
        <v>25570</v>
      </c>
      <c r="L11519" s="417"/>
      <c r="M11519" s="417" t="s">
        <v>28840</v>
      </c>
    </row>
    <row r="11520" spans="1:13" x14ac:dyDescent="0.25">
      <c r="A11520" s="417" t="s">
        <v>3385</v>
      </c>
      <c r="B11520" s="417" t="s">
        <v>2627</v>
      </c>
      <c r="C11520" s="417" t="s">
        <v>25571</v>
      </c>
      <c r="D11520" s="417" t="s">
        <v>88</v>
      </c>
      <c r="E11520" s="423">
        <v>1.1941622882361611</v>
      </c>
      <c r="F11520" s="423">
        <v>1.512336689075647E-2</v>
      </c>
      <c r="G11520" s="422">
        <v>26720.463435637561</v>
      </c>
      <c r="H11520" s="417" t="s">
        <v>2616</v>
      </c>
      <c r="I11520" s="417" t="s">
        <v>1392</v>
      </c>
      <c r="J11520" s="417" t="s">
        <v>24484</v>
      </c>
      <c r="K11520" s="417" t="s">
        <v>25572</v>
      </c>
      <c r="L11520" s="417"/>
      <c r="M11520" s="417" t="s">
        <v>28840</v>
      </c>
    </row>
    <row r="11521" spans="1:13" x14ac:dyDescent="0.25">
      <c r="A11521" s="417" t="s">
        <v>3385</v>
      </c>
      <c r="B11521" s="417" t="s">
        <v>2627</v>
      </c>
      <c r="C11521" s="417" t="s">
        <v>25573</v>
      </c>
      <c r="D11521" s="417" t="s">
        <v>88</v>
      </c>
      <c r="E11521" s="423">
        <v>0.81511119124621334</v>
      </c>
      <c r="F11521" s="423">
        <v>1.9392117425181311E-2</v>
      </c>
      <c r="G11521" s="422">
        <v>1827.6173498440471</v>
      </c>
      <c r="H11521" s="417" t="s">
        <v>2616</v>
      </c>
      <c r="I11521" s="417" t="s">
        <v>1392</v>
      </c>
      <c r="J11521" s="417" t="s">
        <v>24415</v>
      </c>
      <c r="K11521" s="417" t="s">
        <v>25574</v>
      </c>
      <c r="L11521" s="417"/>
      <c r="M11521" s="417" t="s">
        <v>28840</v>
      </c>
    </row>
    <row r="11522" spans="1:13" x14ac:dyDescent="0.25">
      <c r="A11522" s="417" t="s">
        <v>3385</v>
      </c>
      <c r="B11522" s="417" t="s">
        <v>2627</v>
      </c>
      <c r="C11522" s="417" t="s">
        <v>25575</v>
      </c>
      <c r="D11522" s="417" t="s">
        <v>88</v>
      </c>
      <c r="E11522" s="423">
        <v>4.2248476718921326</v>
      </c>
      <c r="F11522" s="423">
        <v>8.214450630720873E-3</v>
      </c>
      <c r="G11522" s="422">
        <v>16503.941043649989</v>
      </c>
      <c r="H11522" s="417" t="s">
        <v>2616</v>
      </c>
      <c r="I11522" s="417" t="s">
        <v>1392</v>
      </c>
      <c r="J11522" s="417" t="s">
        <v>24415</v>
      </c>
      <c r="K11522" s="417" t="s">
        <v>25576</v>
      </c>
      <c r="L11522" s="417"/>
      <c r="M11522" s="417" t="s">
        <v>28840</v>
      </c>
    </row>
    <row r="11523" spans="1:13" x14ac:dyDescent="0.25">
      <c r="A11523" s="417" t="s">
        <v>3385</v>
      </c>
      <c r="B11523" s="417" t="s">
        <v>2627</v>
      </c>
      <c r="C11523" s="417" t="s">
        <v>1133</v>
      </c>
      <c r="D11523" s="417" t="s">
        <v>88</v>
      </c>
      <c r="E11523" s="423">
        <v>2.0534952599469891</v>
      </c>
      <c r="F11523" s="423">
        <v>0.20088597778300141</v>
      </c>
      <c r="G11523" s="422">
        <v>8482.9065732674335</v>
      </c>
      <c r="H11523" s="417" t="s">
        <v>2616</v>
      </c>
      <c r="I11523" s="417" t="s">
        <v>28841</v>
      </c>
      <c r="J11523" s="417" t="s">
        <v>25577</v>
      </c>
      <c r="K11523" s="417" t="s">
        <v>25578</v>
      </c>
      <c r="L11523" s="417"/>
      <c r="M11523" s="417" t="s">
        <v>28840</v>
      </c>
    </row>
    <row r="11524" spans="1:13" x14ac:dyDescent="0.25">
      <c r="A11524" s="417" t="s">
        <v>3385</v>
      </c>
      <c r="B11524" s="417" t="s">
        <v>2627</v>
      </c>
      <c r="C11524" s="417" t="s">
        <v>25579</v>
      </c>
      <c r="D11524" s="417" t="s">
        <v>88</v>
      </c>
      <c r="E11524" s="423">
        <v>2.0402222825779801</v>
      </c>
      <c r="F11524" s="423">
        <v>0.20209427029967331</v>
      </c>
      <c r="G11524" s="422">
        <v>7919.2681573026939</v>
      </c>
      <c r="H11524" s="417" t="s">
        <v>2616</v>
      </c>
      <c r="I11524" s="417" t="s">
        <v>1392</v>
      </c>
      <c r="J11524" s="417" t="s">
        <v>25577</v>
      </c>
      <c r="K11524" s="417" t="s">
        <v>25580</v>
      </c>
      <c r="L11524" s="417"/>
      <c r="M11524" s="417" t="s">
        <v>28840</v>
      </c>
    </row>
    <row r="11525" spans="1:13" x14ac:dyDescent="0.25">
      <c r="A11525" s="417" t="s">
        <v>3385</v>
      </c>
      <c r="B11525" s="417" t="s">
        <v>2627</v>
      </c>
      <c r="C11525" s="417" t="s">
        <v>25581</v>
      </c>
      <c r="D11525" s="417" t="s">
        <v>88</v>
      </c>
      <c r="E11525" s="423">
        <v>0.69046750018193659</v>
      </c>
      <c r="F11525" s="423">
        <v>4.5821945511351311E-2</v>
      </c>
      <c r="G11525" s="422">
        <v>918.60018883866667</v>
      </c>
      <c r="H11525" s="417" t="s">
        <v>2616</v>
      </c>
      <c r="I11525" s="417" t="s">
        <v>1392</v>
      </c>
      <c r="J11525" s="417" t="s">
        <v>24496</v>
      </c>
      <c r="K11525" s="417" t="s">
        <v>25582</v>
      </c>
      <c r="L11525" s="417"/>
      <c r="M11525" s="417" t="s">
        <v>28840</v>
      </c>
    </row>
    <row r="11526" spans="1:13" x14ac:dyDescent="0.25">
      <c r="A11526" s="417" t="s">
        <v>3385</v>
      </c>
      <c r="B11526" s="417" t="s">
        <v>3655</v>
      </c>
      <c r="C11526" s="417" t="s">
        <v>25583</v>
      </c>
      <c r="D11526" s="417" t="s">
        <v>1052</v>
      </c>
      <c r="E11526" s="423">
        <v>82.138809340371722</v>
      </c>
      <c r="F11526" s="423">
        <v>3.0650513210057522</v>
      </c>
      <c r="G11526" s="422">
        <v>155351.67781150941</v>
      </c>
      <c r="H11526" s="417" t="s">
        <v>2616</v>
      </c>
      <c r="I11526" s="417" t="s">
        <v>1392</v>
      </c>
      <c r="J11526" s="417" t="s">
        <v>24475</v>
      </c>
      <c r="K11526" s="417" t="s">
        <v>25584</v>
      </c>
      <c r="L11526" s="417"/>
      <c r="M11526" s="417" t="s">
        <v>28840</v>
      </c>
    </row>
    <row r="11527" spans="1:13" x14ac:dyDescent="0.25">
      <c r="A11527" s="417" t="s">
        <v>3385</v>
      </c>
      <c r="B11527" s="417" t="s">
        <v>2437</v>
      </c>
      <c r="C11527" s="417" t="s">
        <v>25585</v>
      </c>
      <c r="D11527" s="417" t="s">
        <v>17280</v>
      </c>
      <c r="E11527" s="423">
        <v>2.9641898016202449E-2</v>
      </c>
      <c r="F11527" s="423">
        <v>4.1648253454801068E-3</v>
      </c>
      <c r="G11527" s="422">
        <v>85.572650002655138</v>
      </c>
      <c r="H11527" s="417" t="s">
        <v>2616</v>
      </c>
      <c r="I11527" s="417" t="s">
        <v>1392</v>
      </c>
      <c r="J11527" s="417" t="s">
        <v>25586</v>
      </c>
      <c r="K11527" s="417" t="s">
        <v>25587</v>
      </c>
      <c r="L11527" s="417"/>
      <c r="M11527" s="417" t="s">
        <v>28840</v>
      </c>
    </row>
    <row r="11528" spans="1:13" x14ac:dyDescent="0.25">
      <c r="A11528" s="417" t="s">
        <v>3385</v>
      </c>
      <c r="B11528" s="417" t="s">
        <v>3655</v>
      </c>
      <c r="C11528" s="417" t="s">
        <v>25588</v>
      </c>
      <c r="D11528" s="417" t="s">
        <v>88</v>
      </c>
      <c r="E11528" s="423">
        <v>6.7603759896737481</v>
      </c>
      <c r="F11528" s="423">
        <v>0.66454368920095641</v>
      </c>
      <c r="G11528" s="422">
        <v>13953.4867487386</v>
      </c>
      <c r="H11528" s="417" t="s">
        <v>2616</v>
      </c>
      <c r="I11528" s="417" t="s">
        <v>1392</v>
      </c>
      <c r="J11528" s="417" t="s">
        <v>24803</v>
      </c>
      <c r="K11528" s="417" t="s">
        <v>25589</v>
      </c>
      <c r="L11528" s="417"/>
      <c r="M11528" s="417" t="s">
        <v>28840</v>
      </c>
    </row>
    <row r="11529" spans="1:13" x14ac:dyDescent="0.25">
      <c r="A11529" s="417" t="s">
        <v>3385</v>
      </c>
      <c r="B11529" s="417" t="s">
        <v>3655</v>
      </c>
      <c r="C11529" s="417" t="s">
        <v>25590</v>
      </c>
      <c r="D11529" s="417" t="s">
        <v>88</v>
      </c>
      <c r="E11529" s="423">
        <v>7.186758923632838</v>
      </c>
      <c r="F11529" s="423">
        <v>0.71733928496395849</v>
      </c>
      <c r="G11529" s="422">
        <v>14857.43238440542</v>
      </c>
      <c r="H11529" s="417" t="s">
        <v>2616</v>
      </c>
      <c r="I11529" s="417" t="s">
        <v>1392</v>
      </c>
      <c r="J11529" s="417" t="s">
        <v>24803</v>
      </c>
      <c r="K11529" s="417" t="s">
        <v>25591</v>
      </c>
      <c r="L11529" s="417"/>
      <c r="M11529" s="417" t="s">
        <v>28840</v>
      </c>
    </row>
    <row r="11530" spans="1:13" x14ac:dyDescent="0.25">
      <c r="A11530" s="417" t="s">
        <v>3385</v>
      </c>
      <c r="B11530" s="417" t="s">
        <v>3655</v>
      </c>
      <c r="C11530" s="417" t="s">
        <v>25592</v>
      </c>
      <c r="D11530" s="417" t="s">
        <v>88</v>
      </c>
      <c r="E11530" s="423">
        <v>6.3316567104035197</v>
      </c>
      <c r="F11530" s="423">
        <v>0.61145880249037332</v>
      </c>
      <c r="G11530" s="422">
        <v>13044.587989354701</v>
      </c>
      <c r="H11530" s="417" t="s">
        <v>2616</v>
      </c>
      <c r="I11530" s="417" t="s">
        <v>1392</v>
      </c>
      <c r="J11530" s="417" t="s">
        <v>24803</v>
      </c>
      <c r="K11530" s="417" t="s">
        <v>25593</v>
      </c>
      <c r="L11530" s="417"/>
      <c r="M11530" s="417" t="s">
        <v>28840</v>
      </c>
    </row>
    <row r="11531" spans="1:13" x14ac:dyDescent="0.25">
      <c r="A11531" s="417" t="s">
        <v>3385</v>
      </c>
      <c r="B11531" s="417" t="s">
        <v>3655</v>
      </c>
      <c r="C11531" s="417" t="s">
        <v>25594</v>
      </c>
      <c r="D11531" s="417" t="s">
        <v>88</v>
      </c>
      <c r="E11531" s="423">
        <v>6.2371799124909932</v>
      </c>
      <c r="F11531" s="423">
        <v>0.60058244238161551</v>
      </c>
      <c r="G11531" s="422">
        <v>12853.80201247452</v>
      </c>
      <c r="H11531" s="417" t="s">
        <v>2616</v>
      </c>
      <c r="I11531" s="417" t="s">
        <v>1392</v>
      </c>
      <c r="J11531" s="417" t="s">
        <v>24803</v>
      </c>
      <c r="K11531" s="417" t="s">
        <v>25595</v>
      </c>
      <c r="L11531" s="417"/>
      <c r="M11531" s="417" t="s">
        <v>28840</v>
      </c>
    </row>
    <row r="11532" spans="1:13" x14ac:dyDescent="0.25">
      <c r="A11532" s="417" t="s">
        <v>3385</v>
      </c>
      <c r="B11532" s="417" t="s">
        <v>3655</v>
      </c>
      <c r="C11532" s="417" t="s">
        <v>25596</v>
      </c>
      <c r="D11532" s="417" t="s">
        <v>88</v>
      </c>
      <c r="E11532" s="423">
        <v>6.2996771369803932</v>
      </c>
      <c r="F11532" s="423">
        <v>0.60832097491660664</v>
      </c>
      <c r="G11532" s="422">
        <v>12986.298153051201</v>
      </c>
      <c r="H11532" s="417" t="s">
        <v>2616</v>
      </c>
      <c r="I11532" s="417" t="s">
        <v>1392</v>
      </c>
      <c r="J11532" s="417" t="s">
        <v>24803</v>
      </c>
      <c r="K11532" s="417" t="s">
        <v>25597</v>
      </c>
      <c r="L11532" s="417"/>
      <c r="M11532" s="417" t="s">
        <v>28840</v>
      </c>
    </row>
    <row r="11533" spans="1:13" x14ac:dyDescent="0.25">
      <c r="A11533" s="417" t="s">
        <v>3385</v>
      </c>
      <c r="B11533" s="417" t="s">
        <v>3655</v>
      </c>
      <c r="C11533" s="417" t="s">
        <v>25598</v>
      </c>
      <c r="D11533" s="417" t="s">
        <v>88</v>
      </c>
      <c r="E11533" s="423">
        <v>6.1749747308990104</v>
      </c>
      <c r="F11533" s="423">
        <v>0.59288007122089736</v>
      </c>
      <c r="G11533" s="422">
        <v>12721.925012268141</v>
      </c>
      <c r="H11533" s="417" t="s">
        <v>2616</v>
      </c>
      <c r="I11533" s="417" t="s">
        <v>1392</v>
      </c>
      <c r="J11533" s="417" t="s">
        <v>24803</v>
      </c>
      <c r="K11533" s="417" t="s">
        <v>25599</v>
      </c>
      <c r="L11533" s="417"/>
      <c r="M11533" s="417" t="s">
        <v>28840</v>
      </c>
    </row>
    <row r="11534" spans="1:13" x14ac:dyDescent="0.25">
      <c r="A11534" s="417" t="s">
        <v>3385</v>
      </c>
      <c r="B11534" s="417" t="s">
        <v>3655</v>
      </c>
      <c r="C11534" s="417" t="s">
        <v>25600</v>
      </c>
      <c r="D11534" s="417" t="s">
        <v>88</v>
      </c>
      <c r="E11534" s="423">
        <v>3.855802776226239</v>
      </c>
      <c r="F11534" s="423">
        <v>0.66000622580147761</v>
      </c>
      <c r="G11534" s="422">
        <v>26484.949857588639</v>
      </c>
      <c r="H11534" s="417" t="s">
        <v>2616</v>
      </c>
      <c r="I11534" s="417" t="s">
        <v>1392</v>
      </c>
      <c r="J11534" s="417" t="s">
        <v>24803</v>
      </c>
      <c r="K11534" s="417" t="s">
        <v>25601</v>
      </c>
      <c r="L11534" s="417"/>
      <c r="M11534" s="417" t="s">
        <v>28840</v>
      </c>
    </row>
    <row r="11535" spans="1:13" x14ac:dyDescent="0.25">
      <c r="A11535" s="417" t="s">
        <v>3385</v>
      </c>
      <c r="B11535" s="417" t="s">
        <v>3655</v>
      </c>
      <c r="C11535" s="417" t="s">
        <v>25602</v>
      </c>
      <c r="D11535" s="417" t="s">
        <v>88</v>
      </c>
      <c r="E11535" s="423">
        <v>4.08885317433817</v>
      </c>
      <c r="F11535" s="423">
        <v>0.68886299657963035</v>
      </c>
      <c r="G11535" s="422">
        <v>26979.02425513888</v>
      </c>
      <c r="H11535" s="417" t="s">
        <v>2616</v>
      </c>
      <c r="I11535" s="417" t="s">
        <v>1392</v>
      </c>
      <c r="J11535" s="417" t="s">
        <v>24803</v>
      </c>
      <c r="K11535" s="417" t="s">
        <v>25603</v>
      </c>
      <c r="L11535" s="417"/>
      <c r="M11535" s="417" t="s">
        <v>28840</v>
      </c>
    </row>
    <row r="11536" spans="1:13" x14ac:dyDescent="0.25">
      <c r="A11536" s="417" t="s">
        <v>3385</v>
      </c>
      <c r="B11536" s="417" t="s">
        <v>3655</v>
      </c>
      <c r="C11536" s="417" t="s">
        <v>25604</v>
      </c>
      <c r="D11536" s="417" t="s">
        <v>88</v>
      </c>
      <c r="E11536" s="423">
        <v>3.623336463980348</v>
      </c>
      <c r="F11536" s="423">
        <v>0.63122177764246812</v>
      </c>
      <c r="G11536" s="422">
        <v>25992.113746929921</v>
      </c>
      <c r="H11536" s="417" t="s">
        <v>2616</v>
      </c>
      <c r="I11536" s="417" t="s">
        <v>1392</v>
      </c>
      <c r="J11536" s="417" t="s">
        <v>24803</v>
      </c>
      <c r="K11536" s="417" t="s">
        <v>25605</v>
      </c>
      <c r="L11536" s="417"/>
      <c r="M11536" s="417" t="s">
        <v>28840</v>
      </c>
    </row>
    <row r="11537" spans="1:13" x14ac:dyDescent="0.25">
      <c r="A11537" s="417" t="s">
        <v>3385</v>
      </c>
      <c r="B11537" s="417" t="s">
        <v>3655</v>
      </c>
      <c r="C11537" s="417" t="s">
        <v>25606</v>
      </c>
      <c r="D11537" s="417" t="s">
        <v>88</v>
      </c>
      <c r="E11537" s="423">
        <v>3.531196010999508</v>
      </c>
      <c r="F11537" s="423">
        <v>0.62063470850241997</v>
      </c>
      <c r="G11537" s="422">
        <v>25806.28089485778</v>
      </c>
      <c r="H11537" s="417" t="s">
        <v>2616</v>
      </c>
      <c r="I11537" s="417" t="s">
        <v>1392</v>
      </c>
      <c r="J11537" s="417" t="s">
        <v>24803</v>
      </c>
      <c r="K11537" s="417" t="s">
        <v>25607</v>
      </c>
      <c r="L11537" s="417"/>
      <c r="M11537" s="417" t="s">
        <v>28840</v>
      </c>
    </row>
    <row r="11538" spans="1:13" x14ac:dyDescent="0.25">
      <c r="A11538" s="417" t="s">
        <v>3385</v>
      </c>
      <c r="B11538" s="417" t="s">
        <v>3655</v>
      </c>
      <c r="C11538" s="417" t="s">
        <v>25608</v>
      </c>
      <c r="D11538" s="417" t="s">
        <v>88</v>
      </c>
      <c r="E11538" s="423">
        <v>3.5650730110464188</v>
      </c>
      <c r="F11538" s="423">
        <v>0.6248294270660375</v>
      </c>
      <c r="G11538" s="422">
        <v>25878.10123484072</v>
      </c>
      <c r="H11538" s="417" t="s">
        <v>2616</v>
      </c>
      <c r="I11538" s="417" t="s">
        <v>1392</v>
      </c>
      <c r="J11538" s="417" t="s">
        <v>24803</v>
      </c>
      <c r="K11538" s="417" t="s">
        <v>25609</v>
      </c>
      <c r="L11538" s="417"/>
      <c r="M11538" s="417" t="s">
        <v>28840</v>
      </c>
    </row>
    <row r="11539" spans="1:13" x14ac:dyDescent="0.25">
      <c r="A11539" s="417" t="s">
        <v>3385</v>
      </c>
      <c r="B11539" s="417" t="s">
        <v>3655</v>
      </c>
      <c r="C11539" s="417" t="s">
        <v>25610</v>
      </c>
      <c r="D11539" s="417" t="s">
        <v>88</v>
      </c>
      <c r="E11539" s="423">
        <v>3.4972313979349572</v>
      </c>
      <c r="F11539" s="423">
        <v>0.61642914156379147</v>
      </c>
      <c r="G11539" s="422">
        <v>25734.274815802841</v>
      </c>
      <c r="H11539" s="417" t="s">
        <v>2616</v>
      </c>
      <c r="I11539" s="417" t="s">
        <v>1392</v>
      </c>
      <c r="J11539" s="417" t="s">
        <v>24803</v>
      </c>
      <c r="K11539" s="417" t="s">
        <v>25611</v>
      </c>
      <c r="L11539" s="417"/>
      <c r="M11539" s="417" t="s">
        <v>28840</v>
      </c>
    </row>
    <row r="11540" spans="1:13" x14ac:dyDescent="0.25">
      <c r="A11540" s="417" t="s">
        <v>3385</v>
      </c>
      <c r="B11540" s="417" t="s">
        <v>3655</v>
      </c>
      <c r="C11540" s="417" t="s">
        <v>25612</v>
      </c>
      <c r="D11540" s="417" t="s">
        <v>88</v>
      </c>
      <c r="E11540" s="423">
        <v>3.6395955316747188</v>
      </c>
      <c r="F11540" s="423">
        <v>0.62681958228364099</v>
      </c>
      <c r="G11540" s="422">
        <v>8460.9637733806558</v>
      </c>
      <c r="H11540" s="417" t="s">
        <v>2616</v>
      </c>
      <c r="I11540" s="417" t="s">
        <v>1392</v>
      </c>
      <c r="J11540" s="417" t="s">
        <v>24803</v>
      </c>
      <c r="K11540" s="417" t="s">
        <v>25613</v>
      </c>
      <c r="L11540" s="417"/>
      <c r="M11540" s="417" t="s">
        <v>28840</v>
      </c>
    </row>
    <row r="11541" spans="1:13" x14ac:dyDescent="0.25">
      <c r="A11541" s="417" t="s">
        <v>3385</v>
      </c>
      <c r="B11541" s="417" t="s">
        <v>3655</v>
      </c>
      <c r="C11541" s="417" t="s">
        <v>25614</v>
      </c>
      <c r="D11541" s="417" t="s">
        <v>88</v>
      </c>
      <c r="E11541" s="423">
        <v>3.908275188987604</v>
      </c>
      <c r="F11541" s="423">
        <v>0.66008803989783615</v>
      </c>
      <c r="G11541" s="422">
        <v>9030.573351677358</v>
      </c>
      <c r="H11541" s="417" t="s">
        <v>2616</v>
      </c>
      <c r="I11541" s="417" t="s">
        <v>1392</v>
      </c>
      <c r="J11541" s="417" t="s">
        <v>24803</v>
      </c>
      <c r="K11541" s="417" t="s">
        <v>25615</v>
      </c>
      <c r="L11541" s="417"/>
      <c r="M11541" s="417" t="s">
        <v>28840</v>
      </c>
    </row>
    <row r="11542" spans="1:13" x14ac:dyDescent="0.25">
      <c r="A11542" s="417" t="s">
        <v>3385</v>
      </c>
      <c r="B11542" s="417" t="s">
        <v>3655</v>
      </c>
      <c r="C11542" s="417" t="s">
        <v>25616</v>
      </c>
      <c r="D11542" s="417" t="s">
        <v>88</v>
      </c>
      <c r="E11542" s="423">
        <v>3.3703317881799468</v>
      </c>
      <c r="F11542" s="423">
        <v>0.59347880193604319</v>
      </c>
      <c r="G11542" s="422">
        <v>7890.115914419468</v>
      </c>
      <c r="H11542" s="417" t="s">
        <v>2616</v>
      </c>
      <c r="I11542" s="417" t="s">
        <v>1392</v>
      </c>
      <c r="J11542" s="417" t="s">
        <v>24803</v>
      </c>
      <c r="K11542" s="417" t="s">
        <v>25617</v>
      </c>
      <c r="L11542" s="417"/>
      <c r="M11542" s="417" t="s">
        <v>28840</v>
      </c>
    </row>
    <row r="11543" spans="1:13" x14ac:dyDescent="0.25">
      <c r="A11543" s="417" t="s">
        <v>3385</v>
      </c>
      <c r="B11543" s="417" t="s">
        <v>3655</v>
      </c>
      <c r="C11543" s="417" t="s">
        <v>25618</v>
      </c>
      <c r="D11543" s="417" t="s">
        <v>88</v>
      </c>
      <c r="E11543" s="423">
        <v>3.2773152056949351</v>
      </c>
      <c r="F11543" s="423">
        <v>0.58278324866133424</v>
      </c>
      <c r="G11543" s="422">
        <v>7702.4256405146689</v>
      </c>
      <c r="H11543" s="417" t="s">
        <v>2616</v>
      </c>
      <c r="I11543" s="417" t="s">
        <v>1392</v>
      </c>
      <c r="J11543" s="417" t="s">
        <v>24803</v>
      </c>
      <c r="K11543" s="417" t="s">
        <v>25619</v>
      </c>
      <c r="L11543" s="417"/>
      <c r="M11543" s="417" t="s">
        <v>28840</v>
      </c>
    </row>
    <row r="11544" spans="1:13" x14ac:dyDescent="0.25">
      <c r="A11544" s="417" t="s">
        <v>3385</v>
      </c>
      <c r="B11544" s="417" t="s">
        <v>3655</v>
      </c>
      <c r="C11544" s="417" t="s">
        <v>25620</v>
      </c>
      <c r="D11544" s="417" t="s">
        <v>88</v>
      </c>
      <c r="E11544" s="423">
        <v>3.3167410251064262</v>
      </c>
      <c r="F11544" s="423">
        <v>0.58766503321382013</v>
      </c>
      <c r="G11544" s="422">
        <v>7786.0096557094903</v>
      </c>
      <c r="H11544" s="417" t="s">
        <v>2616</v>
      </c>
      <c r="I11544" s="417" t="s">
        <v>1392</v>
      </c>
      <c r="J11544" s="417" t="s">
        <v>24803</v>
      </c>
      <c r="K11544" s="417" t="s">
        <v>25621</v>
      </c>
      <c r="L11544" s="417"/>
      <c r="M11544" s="417" t="s">
        <v>28840</v>
      </c>
    </row>
    <row r="11545" spans="1:13" x14ac:dyDescent="0.25">
      <c r="A11545" s="417" t="s">
        <v>3385</v>
      </c>
      <c r="B11545" s="417" t="s">
        <v>3655</v>
      </c>
      <c r="C11545" s="417" t="s">
        <v>25622</v>
      </c>
      <c r="D11545" s="417" t="s">
        <v>88</v>
      </c>
      <c r="E11545" s="423">
        <v>3.2382398382028179</v>
      </c>
      <c r="F11545" s="423">
        <v>0.57794485776539206</v>
      </c>
      <c r="G11545" s="422">
        <v>7619.5845950941357</v>
      </c>
      <c r="H11545" s="417" t="s">
        <v>2616</v>
      </c>
      <c r="I11545" s="417" t="s">
        <v>1392</v>
      </c>
      <c r="J11545" s="417" t="s">
        <v>24803</v>
      </c>
      <c r="K11545" s="417" t="s">
        <v>25623</v>
      </c>
      <c r="L11545" s="417"/>
      <c r="M11545" s="417" t="s">
        <v>28840</v>
      </c>
    </row>
    <row r="11546" spans="1:13" x14ac:dyDescent="0.25">
      <c r="A11546" s="417" t="s">
        <v>3385</v>
      </c>
      <c r="B11546" s="417" t="s">
        <v>3655</v>
      </c>
      <c r="C11546" s="417" t="s">
        <v>25624</v>
      </c>
      <c r="D11546" s="417" t="s">
        <v>88</v>
      </c>
      <c r="E11546" s="423">
        <v>6.5853363992908278</v>
      </c>
      <c r="F11546" s="423">
        <v>0.75249107032181273</v>
      </c>
      <c r="G11546" s="422">
        <v>15083.42686333932</v>
      </c>
      <c r="H11546" s="417" t="s">
        <v>2616</v>
      </c>
      <c r="I11546" s="417" t="s">
        <v>1392</v>
      </c>
      <c r="J11546" s="417" t="s">
        <v>24803</v>
      </c>
      <c r="K11546" s="417" t="s">
        <v>25625</v>
      </c>
      <c r="L11546" s="417"/>
      <c r="M11546" s="417" t="s">
        <v>28840</v>
      </c>
    </row>
    <row r="11547" spans="1:13" x14ac:dyDescent="0.25">
      <c r="A11547" s="417" t="s">
        <v>3385</v>
      </c>
      <c r="B11547" s="417" t="s">
        <v>3655</v>
      </c>
      <c r="C11547" s="417" t="s">
        <v>25626</v>
      </c>
      <c r="D11547" s="417" t="s">
        <v>88</v>
      </c>
      <c r="E11547" s="423">
        <v>7.1723430416384151</v>
      </c>
      <c r="F11547" s="423">
        <v>0.82517541792248572</v>
      </c>
      <c r="G11547" s="422">
        <v>16327.899963061889</v>
      </c>
      <c r="H11547" s="417" t="s">
        <v>2616</v>
      </c>
      <c r="I11547" s="417" t="s">
        <v>1392</v>
      </c>
      <c r="J11547" s="417" t="s">
        <v>24803</v>
      </c>
      <c r="K11547" s="417" t="s">
        <v>25627</v>
      </c>
      <c r="L11547" s="417"/>
      <c r="M11547" s="417" t="s">
        <v>28840</v>
      </c>
    </row>
    <row r="11548" spans="1:13" x14ac:dyDescent="0.25">
      <c r="A11548" s="417" t="s">
        <v>3385</v>
      </c>
      <c r="B11548" s="417" t="s">
        <v>3655</v>
      </c>
      <c r="C11548" s="417" t="s">
        <v>25628</v>
      </c>
      <c r="D11548" s="417" t="s">
        <v>88</v>
      </c>
      <c r="E11548" s="423">
        <v>5.9867932011084077</v>
      </c>
      <c r="F11548" s="423">
        <v>0.67920019082530247</v>
      </c>
      <c r="G11548" s="422">
        <v>13824.00378949267</v>
      </c>
      <c r="H11548" s="417" t="s">
        <v>2616</v>
      </c>
      <c r="I11548" s="417" t="s">
        <v>1392</v>
      </c>
      <c r="J11548" s="417" t="s">
        <v>24803</v>
      </c>
      <c r="K11548" s="417" t="s">
        <v>25629</v>
      </c>
      <c r="L11548" s="417"/>
      <c r="M11548" s="417" t="s">
        <v>28840</v>
      </c>
    </row>
    <row r="11549" spans="1:13" x14ac:dyDescent="0.25">
      <c r="A11549" s="417" t="s">
        <v>3385</v>
      </c>
      <c r="B11549" s="417" t="s">
        <v>3655</v>
      </c>
      <c r="C11549" s="417" t="s">
        <v>25630</v>
      </c>
      <c r="D11549" s="417" t="s">
        <v>88</v>
      </c>
      <c r="E11549" s="423">
        <v>5.8159479841331416</v>
      </c>
      <c r="F11549" s="423">
        <v>0.65804579115517159</v>
      </c>
      <c r="G11549" s="422">
        <v>13461.8063955014</v>
      </c>
      <c r="H11549" s="417" t="s">
        <v>2616</v>
      </c>
      <c r="I11549" s="417" t="s">
        <v>1392</v>
      </c>
      <c r="J11549" s="417" t="s">
        <v>24803</v>
      </c>
      <c r="K11549" s="417" t="s">
        <v>25631</v>
      </c>
      <c r="L11549" s="417"/>
      <c r="M11549" s="417" t="s">
        <v>28840</v>
      </c>
    </row>
    <row r="11550" spans="1:13" x14ac:dyDescent="0.25">
      <c r="A11550" s="417" t="s">
        <v>3385</v>
      </c>
      <c r="B11550" s="417" t="s">
        <v>3655</v>
      </c>
      <c r="C11550" s="417" t="s">
        <v>25632</v>
      </c>
      <c r="D11550" s="417" t="s">
        <v>88</v>
      </c>
      <c r="E11550" s="423">
        <v>4.0888764577951049</v>
      </c>
      <c r="F11550" s="423">
        <v>0.65565408228041366</v>
      </c>
      <c r="G11550" s="422">
        <v>7693.3933931376287</v>
      </c>
      <c r="H11550" s="417" t="s">
        <v>2616</v>
      </c>
      <c r="I11550" s="417" t="s">
        <v>1392</v>
      </c>
      <c r="J11550" s="417" t="s">
        <v>24803</v>
      </c>
      <c r="K11550" s="417" t="s">
        <v>25633</v>
      </c>
      <c r="L11550" s="417"/>
      <c r="M11550" s="417" t="s">
        <v>28840</v>
      </c>
    </row>
    <row r="11551" spans="1:13" x14ac:dyDescent="0.25">
      <c r="A11551" s="417" t="s">
        <v>3385</v>
      </c>
      <c r="B11551" s="417" t="s">
        <v>3655</v>
      </c>
      <c r="C11551" s="417" t="s">
        <v>25634</v>
      </c>
      <c r="D11551" s="417" t="s">
        <v>88</v>
      </c>
      <c r="E11551" s="423">
        <v>4.5035776677833432</v>
      </c>
      <c r="F11551" s="423">
        <v>0.70700322337677524</v>
      </c>
      <c r="G11551" s="422">
        <v>8572.5733898657145</v>
      </c>
      <c r="H11551" s="417" t="s">
        <v>2616</v>
      </c>
      <c r="I11551" s="417" t="s">
        <v>1392</v>
      </c>
      <c r="J11551" s="417" t="s">
        <v>24803</v>
      </c>
      <c r="K11551" s="417" t="s">
        <v>25635</v>
      </c>
      <c r="L11551" s="417"/>
      <c r="M11551" s="417" t="s">
        <v>28840</v>
      </c>
    </row>
    <row r="11552" spans="1:13" x14ac:dyDescent="0.25">
      <c r="A11552" s="417" t="s">
        <v>3385</v>
      </c>
      <c r="B11552" s="417" t="s">
        <v>3655</v>
      </c>
      <c r="C11552" s="417" t="s">
        <v>25636</v>
      </c>
      <c r="D11552" s="417" t="s">
        <v>88</v>
      </c>
      <c r="E11552" s="423">
        <v>3.671838902908966</v>
      </c>
      <c r="F11552" s="423">
        <v>0.60401565024752335</v>
      </c>
      <c r="G11552" s="422">
        <v>6809.260265484545</v>
      </c>
      <c r="H11552" s="417" t="s">
        <v>2616</v>
      </c>
      <c r="I11552" s="417" t="s">
        <v>1392</v>
      </c>
      <c r="J11552" s="417" t="s">
        <v>24803</v>
      </c>
      <c r="K11552" s="417" t="s">
        <v>25637</v>
      </c>
      <c r="L11552" s="417"/>
      <c r="M11552" s="417" t="s">
        <v>28840</v>
      </c>
    </row>
    <row r="11553" spans="1:13" x14ac:dyDescent="0.25">
      <c r="A11553" s="417" t="s">
        <v>3385</v>
      </c>
      <c r="B11553" s="417" t="s">
        <v>3655</v>
      </c>
      <c r="C11553" s="417" t="s">
        <v>25638</v>
      </c>
      <c r="D11553" s="417" t="s">
        <v>88</v>
      </c>
      <c r="E11553" s="423">
        <v>3.5776541479527029</v>
      </c>
      <c r="F11553" s="423">
        <v>0.59317545150756157</v>
      </c>
      <c r="G11553" s="422">
        <v>6619.093428596354</v>
      </c>
      <c r="H11553" s="417" t="s">
        <v>2616</v>
      </c>
      <c r="I11553" s="417" t="s">
        <v>1392</v>
      </c>
      <c r="J11553" s="417" t="s">
        <v>24803</v>
      </c>
      <c r="K11553" s="417" t="s">
        <v>25639</v>
      </c>
      <c r="L11553" s="417"/>
      <c r="M11553" s="417" t="s">
        <v>28840</v>
      </c>
    </row>
    <row r="11554" spans="1:13" x14ac:dyDescent="0.25">
      <c r="A11554" s="417" t="s">
        <v>3385</v>
      </c>
      <c r="B11554" s="417" t="s">
        <v>3655</v>
      </c>
      <c r="C11554" s="417" t="s">
        <v>25640</v>
      </c>
      <c r="D11554" s="417" t="s">
        <v>88</v>
      </c>
      <c r="E11554" s="423">
        <v>3.6381070708468322</v>
      </c>
      <c r="F11554" s="423">
        <v>0.60066085447330986</v>
      </c>
      <c r="G11554" s="422">
        <v>6747.2555828124296</v>
      </c>
      <c r="H11554" s="417" t="s">
        <v>2616</v>
      </c>
      <c r="I11554" s="417" t="s">
        <v>1392</v>
      </c>
      <c r="J11554" s="417" t="s">
        <v>24803</v>
      </c>
      <c r="K11554" s="417" t="s">
        <v>25641</v>
      </c>
      <c r="L11554" s="417"/>
      <c r="M11554" s="417" t="s">
        <v>28840</v>
      </c>
    </row>
    <row r="11555" spans="1:13" x14ac:dyDescent="0.25">
      <c r="A11555" s="417" t="s">
        <v>3385</v>
      </c>
      <c r="B11555" s="417" t="s">
        <v>2627</v>
      </c>
      <c r="C11555" s="417" t="s">
        <v>25642</v>
      </c>
      <c r="D11555" s="417" t="s">
        <v>88</v>
      </c>
      <c r="E11555" s="423">
        <v>5.708339675956319</v>
      </c>
      <c r="F11555" s="423">
        <v>6.0321015657912397E-2</v>
      </c>
      <c r="G11555" s="422">
        <v>7674.2487712174679</v>
      </c>
      <c r="H11555" s="417" t="s">
        <v>2616</v>
      </c>
      <c r="I11555" s="417" t="s">
        <v>1392</v>
      </c>
      <c r="J11555" s="417" t="s">
        <v>25377</v>
      </c>
      <c r="K11555" s="417" t="s">
        <v>25643</v>
      </c>
      <c r="L11555" s="417"/>
      <c r="M11555" s="417" t="s">
        <v>28840</v>
      </c>
    </row>
    <row r="11556" spans="1:13" x14ac:dyDescent="0.25">
      <c r="A11556" s="417" t="s">
        <v>3385</v>
      </c>
      <c r="B11556" s="417" t="s">
        <v>2627</v>
      </c>
      <c r="C11556" s="417" t="s">
        <v>25644</v>
      </c>
      <c r="D11556" s="417" t="s">
        <v>88</v>
      </c>
      <c r="E11556" s="423">
        <v>2.0402127629528879</v>
      </c>
      <c r="F11556" s="423">
        <v>4.1690111270341772E-2</v>
      </c>
      <c r="G11556" s="422">
        <v>3508.6322194421691</v>
      </c>
      <c r="H11556" s="417" t="s">
        <v>2616</v>
      </c>
      <c r="I11556" s="417" t="s">
        <v>1392</v>
      </c>
      <c r="J11556" s="417" t="s">
        <v>24532</v>
      </c>
      <c r="K11556" s="417" t="s">
        <v>25645</v>
      </c>
      <c r="L11556" s="417"/>
      <c r="M11556" s="417" t="s">
        <v>28840</v>
      </c>
    </row>
    <row r="11557" spans="1:13" x14ac:dyDescent="0.25">
      <c r="A11557" s="417" t="s">
        <v>3385</v>
      </c>
      <c r="B11557" s="417" t="s">
        <v>23629</v>
      </c>
      <c r="C11557" s="417" t="s">
        <v>25646</v>
      </c>
      <c r="D11557" s="417" t="s">
        <v>4427</v>
      </c>
      <c r="E11557" s="423">
        <v>1.117918698152087E-2</v>
      </c>
      <c r="F11557" s="423">
        <v>8.8689244546319565E-4</v>
      </c>
      <c r="G11557" s="422">
        <v>47.384484165068493</v>
      </c>
      <c r="H11557" s="417" t="s">
        <v>2616</v>
      </c>
      <c r="I11557" s="417" t="s">
        <v>1392</v>
      </c>
      <c r="J11557" s="417" t="s">
        <v>23674</v>
      </c>
      <c r="K11557" s="417" t="s">
        <v>25647</v>
      </c>
      <c r="L11557" s="417"/>
      <c r="M11557" s="417" t="s">
        <v>28840</v>
      </c>
    </row>
    <row r="11558" spans="1:13" x14ac:dyDescent="0.25">
      <c r="A11558" s="417" t="s">
        <v>3385</v>
      </c>
      <c r="B11558" s="417" t="s">
        <v>23629</v>
      </c>
      <c r="C11558" s="417" t="s">
        <v>25648</v>
      </c>
      <c r="D11558" s="417" t="s">
        <v>4427</v>
      </c>
      <c r="E11558" s="423">
        <v>1.529708848175172E-2</v>
      </c>
      <c r="F11558" s="423">
        <v>1.1618944364820739E-3</v>
      </c>
      <c r="G11558" s="422">
        <v>50.410690217004777</v>
      </c>
      <c r="H11558" s="417" t="s">
        <v>2616</v>
      </c>
      <c r="I11558" s="417" t="s">
        <v>1392</v>
      </c>
      <c r="J11558" s="417" t="s">
        <v>23674</v>
      </c>
      <c r="K11558" s="417" t="s">
        <v>25649</v>
      </c>
      <c r="L11558" s="417"/>
      <c r="M11558" s="417" t="s">
        <v>28840</v>
      </c>
    </row>
    <row r="11559" spans="1:13" x14ac:dyDescent="0.25">
      <c r="A11559" s="417" t="s">
        <v>3385</v>
      </c>
      <c r="B11559" s="417" t="s">
        <v>23629</v>
      </c>
      <c r="C11559" s="417" t="s">
        <v>25650</v>
      </c>
      <c r="D11559" s="417" t="s">
        <v>4427</v>
      </c>
      <c r="E11559" s="423">
        <v>1.2097330049315531E-2</v>
      </c>
      <c r="F11559" s="423">
        <v>1.1057027044468809E-3</v>
      </c>
      <c r="G11559" s="422">
        <v>51.887103490110249</v>
      </c>
      <c r="H11559" s="417" t="s">
        <v>2616</v>
      </c>
      <c r="I11559" s="417" t="s">
        <v>1392</v>
      </c>
      <c r="J11559" s="417" t="s">
        <v>23674</v>
      </c>
      <c r="K11559" s="417" t="s">
        <v>25651</v>
      </c>
      <c r="L11559" s="417"/>
      <c r="M11559" s="417" t="s">
        <v>28840</v>
      </c>
    </row>
    <row r="11560" spans="1:13" x14ac:dyDescent="0.25">
      <c r="A11560" s="417" t="s">
        <v>3385</v>
      </c>
      <c r="B11560" s="417" t="s">
        <v>23629</v>
      </c>
      <c r="C11560" s="417" t="s">
        <v>25652</v>
      </c>
      <c r="D11560" s="417" t="s">
        <v>4427</v>
      </c>
      <c r="E11560" s="423">
        <v>4.0831669202230038E-3</v>
      </c>
      <c r="F11560" s="423">
        <v>2.7323323446170212E-4</v>
      </c>
      <c r="G11560" s="422">
        <v>17.658770030422211</v>
      </c>
      <c r="H11560" s="417" t="s">
        <v>2616</v>
      </c>
      <c r="I11560" s="417" t="s">
        <v>1392</v>
      </c>
      <c r="J11560" s="417" t="s">
        <v>23674</v>
      </c>
      <c r="K11560" s="417" t="s">
        <v>25653</v>
      </c>
      <c r="L11560" s="417"/>
      <c r="M11560" s="417" t="s">
        <v>28840</v>
      </c>
    </row>
    <row r="11561" spans="1:13" x14ac:dyDescent="0.25">
      <c r="A11561" s="417" t="s">
        <v>3385</v>
      </c>
      <c r="B11561" s="417" t="s">
        <v>23629</v>
      </c>
      <c r="C11561" s="417" t="s">
        <v>25654</v>
      </c>
      <c r="D11561" s="417" t="s">
        <v>88</v>
      </c>
      <c r="E11561" s="423">
        <v>0.1669437987706168</v>
      </c>
      <c r="F11561" s="423">
        <v>1.9364726123588281E-2</v>
      </c>
      <c r="G11561" s="422">
        <v>283.82872074221268</v>
      </c>
      <c r="H11561" s="417" t="s">
        <v>2616</v>
      </c>
      <c r="I11561" s="417" t="s">
        <v>1392</v>
      </c>
      <c r="J11561" s="417" t="s">
        <v>23674</v>
      </c>
      <c r="K11561" s="417" t="s">
        <v>25655</v>
      </c>
      <c r="L11561" s="417"/>
      <c r="M11561" s="417" t="s">
        <v>28840</v>
      </c>
    </row>
    <row r="11562" spans="1:13" x14ac:dyDescent="0.25">
      <c r="A11562" s="417" t="s">
        <v>3385</v>
      </c>
      <c r="B11562" s="417" t="s">
        <v>23629</v>
      </c>
      <c r="C11562" s="417" t="s">
        <v>25656</v>
      </c>
      <c r="D11562" s="417" t="s">
        <v>88</v>
      </c>
      <c r="E11562" s="423">
        <v>0.18196138704669121</v>
      </c>
      <c r="F11562" s="423">
        <v>2.0367631769310258E-2</v>
      </c>
      <c r="G11562" s="422">
        <v>294.86500089971929</v>
      </c>
      <c r="H11562" s="417" t="s">
        <v>2616</v>
      </c>
      <c r="I11562" s="417" t="s">
        <v>1392</v>
      </c>
      <c r="J11562" s="417" t="s">
        <v>23674</v>
      </c>
      <c r="K11562" s="417" t="s">
        <v>25657</v>
      </c>
      <c r="L11562" s="417"/>
      <c r="M11562" s="417" t="s">
        <v>28840</v>
      </c>
    </row>
    <row r="11563" spans="1:13" x14ac:dyDescent="0.25">
      <c r="A11563" s="417" t="s">
        <v>3385</v>
      </c>
      <c r="B11563" s="417" t="s">
        <v>23629</v>
      </c>
      <c r="C11563" s="417" t="s">
        <v>25658</v>
      </c>
      <c r="D11563" s="417" t="s">
        <v>4427</v>
      </c>
      <c r="E11563" s="423">
        <v>0.29914289859665472</v>
      </c>
      <c r="F11563" s="423">
        <v>0.18707655038810639</v>
      </c>
      <c r="G11563" s="422">
        <v>634.63425854152467</v>
      </c>
      <c r="H11563" s="417" t="s">
        <v>2616</v>
      </c>
      <c r="I11563" s="417" t="s">
        <v>1392</v>
      </c>
      <c r="J11563" s="417" t="s">
        <v>23674</v>
      </c>
      <c r="K11563" s="417" t="s">
        <v>25659</v>
      </c>
      <c r="L11563" s="417"/>
      <c r="M11563" s="417" t="s">
        <v>28840</v>
      </c>
    </row>
    <row r="11564" spans="1:13" x14ac:dyDescent="0.25">
      <c r="A11564" s="417" t="s">
        <v>3385</v>
      </c>
      <c r="B11564" s="417" t="s">
        <v>23629</v>
      </c>
      <c r="C11564" s="417" t="s">
        <v>25660</v>
      </c>
      <c r="D11564" s="417" t="s">
        <v>4427</v>
      </c>
      <c r="E11564" s="423">
        <v>0.30698481016815549</v>
      </c>
      <c r="F11564" s="423">
        <v>0.18760024948772469</v>
      </c>
      <c r="G11564" s="422">
        <v>640.39720385056546</v>
      </c>
      <c r="H11564" s="417" t="s">
        <v>2616</v>
      </c>
      <c r="I11564" s="417" t="s">
        <v>1392</v>
      </c>
      <c r="J11564" s="417" t="s">
        <v>23674</v>
      </c>
      <c r="K11564" s="417" t="s">
        <v>25661</v>
      </c>
      <c r="L11564" s="417"/>
      <c r="M11564" s="417" t="s">
        <v>28840</v>
      </c>
    </row>
    <row r="11565" spans="1:13" x14ac:dyDescent="0.25">
      <c r="A11565" s="417" t="s">
        <v>3385</v>
      </c>
      <c r="B11565" s="417" t="s">
        <v>23629</v>
      </c>
      <c r="C11565" s="417" t="s">
        <v>25662</v>
      </c>
      <c r="D11565" s="417" t="s">
        <v>88</v>
      </c>
      <c r="E11565" s="423">
        <v>0.17426658944149201</v>
      </c>
      <c r="F11565" s="423">
        <v>2.3384259719023359E-2</v>
      </c>
      <c r="G11565" s="422">
        <v>357.63576875477912</v>
      </c>
      <c r="H11565" s="417" t="s">
        <v>2616</v>
      </c>
      <c r="I11565" s="417" t="s">
        <v>1392</v>
      </c>
      <c r="J11565" s="417" t="s">
        <v>23674</v>
      </c>
      <c r="K11565" s="417" t="s">
        <v>25663</v>
      </c>
      <c r="L11565" s="417"/>
      <c r="M11565" s="417" t="s">
        <v>28840</v>
      </c>
    </row>
    <row r="11566" spans="1:13" x14ac:dyDescent="0.25">
      <c r="A11566" s="417" t="s">
        <v>3385</v>
      </c>
      <c r="B11566" s="417" t="s">
        <v>23629</v>
      </c>
      <c r="C11566" s="417" t="s">
        <v>25664</v>
      </c>
      <c r="D11566" s="417" t="s">
        <v>88</v>
      </c>
      <c r="E11566" s="423">
        <v>0.22302499301511541</v>
      </c>
      <c r="F11566" s="423">
        <v>2.6640446880452719E-2</v>
      </c>
      <c r="G11566" s="422">
        <v>393.46784651768212</v>
      </c>
      <c r="H11566" s="417" t="s">
        <v>2616</v>
      </c>
      <c r="I11566" s="417" t="s">
        <v>1392</v>
      </c>
      <c r="J11566" s="417" t="s">
        <v>23674</v>
      </c>
      <c r="K11566" s="417" t="s">
        <v>25665</v>
      </c>
      <c r="L11566" s="417"/>
      <c r="M11566" s="417" t="s">
        <v>28840</v>
      </c>
    </row>
    <row r="11567" spans="1:13" x14ac:dyDescent="0.25">
      <c r="A11567" s="417" t="s">
        <v>3385</v>
      </c>
      <c r="B11567" s="417" t="s">
        <v>23629</v>
      </c>
      <c r="C11567" s="417" t="s">
        <v>25666</v>
      </c>
      <c r="D11567" s="417" t="s">
        <v>4427</v>
      </c>
      <c r="E11567" s="423">
        <v>9.5347362298562097E-2</v>
      </c>
      <c r="F11567" s="423">
        <v>5.82506471565397E-2</v>
      </c>
      <c r="G11567" s="422">
        <v>209.841740854026</v>
      </c>
      <c r="H11567" s="417" t="s">
        <v>2616</v>
      </c>
      <c r="I11567" s="417" t="s">
        <v>1392</v>
      </c>
      <c r="J11567" s="417" t="s">
        <v>23674</v>
      </c>
      <c r="K11567" s="417" t="s">
        <v>25667</v>
      </c>
      <c r="L11567" s="417"/>
      <c r="M11567" s="417" t="s">
        <v>28840</v>
      </c>
    </row>
    <row r="11568" spans="1:13" x14ac:dyDescent="0.25">
      <c r="A11568" s="417" t="s">
        <v>3385</v>
      </c>
      <c r="B11568" s="417" t="s">
        <v>23629</v>
      </c>
      <c r="C11568" s="417" t="s">
        <v>25668</v>
      </c>
      <c r="D11568" s="417" t="s">
        <v>4427</v>
      </c>
      <c r="E11568" s="423">
        <v>0.1031892738544174</v>
      </c>
      <c r="F11568" s="423">
        <v>5.8774346248229588E-2</v>
      </c>
      <c r="G11568" s="422">
        <v>215.60468552828709</v>
      </c>
      <c r="H11568" s="417" t="s">
        <v>2616</v>
      </c>
      <c r="I11568" s="417" t="s">
        <v>1392</v>
      </c>
      <c r="J11568" s="417" t="s">
        <v>23674</v>
      </c>
      <c r="K11568" s="417" t="s">
        <v>25669</v>
      </c>
      <c r="L11568" s="417"/>
      <c r="M11568" s="417" t="s">
        <v>28840</v>
      </c>
    </row>
    <row r="11569" spans="1:13" x14ac:dyDescent="0.25">
      <c r="A11569" s="417" t="s">
        <v>3385</v>
      </c>
      <c r="B11569" s="417" t="s">
        <v>2627</v>
      </c>
      <c r="C11569" s="417" t="s">
        <v>25670</v>
      </c>
      <c r="D11569" s="417" t="s">
        <v>989</v>
      </c>
      <c r="E11569" s="423">
        <v>772.58138862075668</v>
      </c>
      <c r="F11569" s="423">
        <v>24.18042569032826</v>
      </c>
      <c r="G11569" s="422">
        <v>2083112.735307917</v>
      </c>
      <c r="H11569" s="417" t="s">
        <v>2616</v>
      </c>
      <c r="I11569" s="417" t="s">
        <v>1392</v>
      </c>
      <c r="J11569" s="417" t="s">
        <v>24442</v>
      </c>
      <c r="K11569" s="417" t="s">
        <v>25671</v>
      </c>
      <c r="L11569" s="417"/>
      <c r="M11569" s="417" t="s">
        <v>28840</v>
      </c>
    </row>
    <row r="11570" spans="1:13" x14ac:dyDescent="0.25">
      <c r="A11570" s="417" t="s">
        <v>3385</v>
      </c>
      <c r="B11570" s="417" t="s">
        <v>2627</v>
      </c>
      <c r="C11570" s="417" t="s">
        <v>25672</v>
      </c>
      <c r="D11570" s="417" t="s">
        <v>989</v>
      </c>
      <c r="E11570" s="423">
        <v>145.4922639978758</v>
      </c>
      <c r="F11570" s="423">
        <v>4.7321192560901908</v>
      </c>
      <c r="G11570" s="422">
        <v>314027.58273943799</v>
      </c>
      <c r="H11570" s="417" t="s">
        <v>2616</v>
      </c>
      <c r="I11570" s="417" t="s">
        <v>1392</v>
      </c>
      <c r="J11570" s="417" t="s">
        <v>24442</v>
      </c>
      <c r="K11570" s="417" t="s">
        <v>25673</v>
      </c>
      <c r="L11570" s="417"/>
      <c r="M11570" s="417" t="s">
        <v>28840</v>
      </c>
    </row>
    <row r="11571" spans="1:13" x14ac:dyDescent="0.25">
      <c r="A11571" s="417" t="s">
        <v>3385</v>
      </c>
      <c r="B11571" s="417" t="s">
        <v>23629</v>
      </c>
      <c r="C11571" s="417" t="s">
        <v>25674</v>
      </c>
      <c r="D11571" s="417" t="s">
        <v>4427</v>
      </c>
      <c r="E11571" s="423">
        <v>2.9524022645675219E-2</v>
      </c>
      <c r="F11571" s="423">
        <v>3.600053737228044E-3</v>
      </c>
      <c r="G11571" s="422">
        <v>133.0705264211727</v>
      </c>
      <c r="H11571" s="417" t="s">
        <v>2616</v>
      </c>
      <c r="I11571" s="417" t="s">
        <v>1392</v>
      </c>
      <c r="J11571" s="417" t="s">
        <v>23674</v>
      </c>
      <c r="K11571" s="417" t="s">
        <v>25675</v>
      </c>
      <c r="L11571" s="417"/>
      <c r="M11571" s="417" t="s">
        <v>28840</v>
      </c>
    </row>
    <row r="11572" spans="1:13" x14ac:dyDescent="0.25">
      <c r="A11572" s="417" t="s">
        <v>3385</v>
      </c>
      <c r="B11572" s="417" t="s">
        <v>23629</v>
      </c>
      <c r="C11572" s="417" t="s">
        <v>25676</v>
      </c>
      <c r="D11572" s="417" t="s">
        <v>4427</v>
      </c>
      <c r="E11572" s="423">
        <v>2.6427695499612509E-2</v>
      </c>
      <c r="F11572" s="423">
        <v>3.0549205944685291E-3</v>
      </c>
      <c r="G11572" s="422">
        <v>118.24542720863811</v>
      </c>
      <c r="H11572" s="417" t="s">
        <v>2616</v>
      </c>
      <c r="I11572" s="417" t="s">
        <v>1392</v>
      </c>
      <c r="J11572" s="417" t="s">
        <v>23674</v>
      </c>
      <c r="K11572" s="417" t="s">
        <v>25677</v>
      </c>
      <c r="L11572" s="417"/>
      <c r="M11572" s="417" t="s">
        <v>28840</v>
      </c>
    </row>
    <row r="11573" spans="1:13" x14ac:dyDescent="0.25">
      <c r="A11573" s="417" t="s">
        <v>3385</v>
      </c>
      <c r="B11573" s="417" t="s">
        <v>2627</v>
      </c>
      <c r="C11573" s="417" t="s">
        <v>25678</v>
      </c>
      <c r="D11573" s="417" t="s">
        <v>88</v>
      </c>
      <c r="E11573" s="423">
        <v>1.9985079309248449E-2</v>
      </c>
      <c r="F11573" s="423">
        <v>5.8660990944315511E-2</v>
      </c>
      <c r="G11573" s="422">
        <v>77.033483533011747</v>
      </c>
      <c r="H11573" s="417" t="s">
        <v>2616</v>
      </c>
      <c r="I11573" s="417" t="s">
        <v>1392</v>
      </c>
      <c r="J11573" s="417" t="s">
        <v>24660</v>
      </c>
      <c r="K11573" s="417" t="s">
        <v>25679</v>
      </c>
      <c r="L11573" s="417"/>
      <c r="M11573" s="417" t="s">
        <v>28840</v>
      </c>
    </row>
    <row r="11574" spans="1:13" x14ac:dyDescent="0.25">
      <c r="A11574" s="417" t="s">
        <v>3385</v>
      </c>
      <c r="B11574" s="417" t="s">
        <v>3655</v>
      </c>
      <c r="C11574" s="417" t="s">
        <v>25680</v>
      </c>
      <c r="D11574" s="417" t="s">
        <v>88</v>
      </c>
      <c r="E11574" s="423">
        <v>0.56933213499157043</v>
      </c>
      <c r="F11574" s="423">
        <v>0.15428733370665629</v>
      </c>
      <c r="G11574" s="422">
        <v>1042.026786030515</v>
      </c>
      <c r="H11574" s="417" t="s">
        <v>2616</v>
      </c>
      <c r="I11574" s="417" t="s">
        <v>1392</v>
      </c>
      <c r="J11574" s="417" t="s">
        <v>24559</v>
      </c>
      <c r="K11574" s="417" t="s">
        <v>25681</v>
      </c>
      <c r="L11574" s="417"/>
      <c r="M11574" s="417" t="s">
        <v>28840</v>
      </c>
    </row>
    <row r="11575" spans="1:13" x14ac:dyDescent="0.25">
      <c r="A11575" s="417" t="s">
        <v>3385</v>
      </c>
      <c r="B11575" s="417" t="s">
        <v>3655</v>
      </c>
      <c r="C11575" s="417" t="s">
        <v>25682</v>
      </c>
      <c r="D11575" s="417" t="s">
        <v>88</v>
      </c>
      <c r="E11575" s="423">
        <v>0.62966185960189258</v>
      </c>
      <c r="F11575" s="423">
        <v>0.16172268166873269</v>
      </c>
      <c r="G11575" s="422">
        <v>1170.124732133419</v>
      </c>
      <c r="H11575" s="417" t="s">
        <v>2616</v>
      </c>
      <c r="I11575" s="417" t="s">
        <v>1392</v>
      </c>
      <c r="J11575" s="417" t="s">
        <v>24559</v>
      </c>
      <c r="K11575" s="417" t="s">
        <v>25683</v>
      </c>
      <c r="L11575" s="417"/>
      <c r="M11575" s="417" t="s">
        <v>28840</v>
      </c>
    </row>
    <row r="11576" spans="1:13" x14ac:dyDescent="0.25">
      <c r="A11576" s="417" t="s">
        <v>3385</v>
      </c>
      <c r="B11576" s="417" t="s">
        <v>3655</v>
      </c>
      <c r="C11576" s="417" t="s">
        <v>25684</v>
      </c>
      <c r="D11576" s="417" t="s">
        <v>88</v>
      </c>
      <c r="E11576" s="423">
        <v>0.68999158414527095</v>
      </c>
      <c r="F11576" s="423">
        <v>0.16915802961943671</v>
      </c>
      <c r="G11576" s="422">
        <v>1298.222676305634</v>
      </c>
      <c r="H11576" s="417" t="s">
        <v>2616</v>
      </c>
      <c r="I11576" s="417" t="s">
        <v>1392</v>
      </c>
      <c r="J11576" s="417" t="s">
        <v>24559</v>
      </c>
      <c r="K11576" s="417" t="s">
        <v>25685</v>
      </c>
      <c r="L11576" s="417"/>
      <c r="M11576" s="417" t="s">
        <v>28840</v>
      </c>
    </row>
    <row r="11577" spans="1:13" x14ac:dyDescent="0.25">
      <c r="A11577" s="417" t="s">
        <v>3385</v>
      </c>
      <c r="B11577" s="417" t="s">
        <v>3655</v>
      </c>
      <c r="C11577" s="417" t="s">
        <v>25686</v>
      </c>
      <c r="D11577" s="417" t="s">
        <v>88</v>
      </c>
      <c r="E11577" s="423">
        <v>0.75009017056634086</v>
      </c>
      <c r="F11577" s="423">
        <v>0.1765652359304421</v>
      </c>
      <c r="G11577" s="422">
        <v>1425.8278947606459</v>
      </c>
      <c r="H11577" s="417" t="s">
        <v>2616</v>
      </c>
      <c r="I11577" s="417" t="s">
        <v>1392</v>
      </c>
      <c r="J11577" s="417" t="s">
        <v>24559</v>
      </c>
      <c r="K11577" s="417" t="s">
        <v>25687</v>
      </c>
      <c r="L11577" s="417"/>
      <c r="M11577" s="417" t="s">
        <v>28840</v>
      </c>
    </row>
    <row r="11578" spans="1:13" x14ac:dyDescent="0.25">
      <c r="A11578" s="417" t="s">
        <v>3385</v>
      </c>
      <c r="B11578" s="417" t="s">
        <v>2627</v>
      </c>
      <c r="C11578" s="417" t="s">
        <v>25688</v>
      </c>
      <c r="D11578" s="417" t="s">
        <v>88</v>
      </c>
      <c r="E11578" s="423">
        <v>0.59864495150174346</v>
      </c>
      <c r="F11578" s="423">
        <v>6.3590446483661883E-3</v>
      </c>
      <c r="G11578" s="422">
        <v>4906.7417526717763</v>
      </c>
      <c r="H11578" s="417" t="s">
        <v>2616</v>
      </c>
      <c r="I11578" s="417" t="s">
        <v>1392</v>
      </c>
      <c r="J11578" s="417" t="s">
        <v>24484</v>
      </c>
      <c r="K11578" s="417" t="s">
        <v>25689</v>
      </c>
      <c r="L11578" s="417"/>
      <c r="M11578" s="417" t="s">
        <v>28840</v>
      </c>
    </row>
    <row r="11579" spans="1:13" x14ac:dyDescent="0.25">
      <c r="A11579" s="417" t="s">
        <v>3385</v>
      </c>
      <c r="B11579" s="417" t="s">
        <v>2627</v>
      </c>
      <c r="C11579" s="417" t="s">
        <v>25690</v>
      </c>
      <c r="D11579" s="417" t="s">
        <v>88</v>
      </c>
      <c r="E11579" s="423">
        <v>0.72864372472962857</v>
      </c>
      <c r="F11579" s="423">
        <v>1.3253599049057039E-2</v>
      </c>
      <c r="G11579" s="422">
        <v>3798.5815270086482</v>
      </c>
      <c r="H11579" s="417" t="s">
        <v>2616</v>
      </c>
      <c r="I11579" s="417" t="s">
        <v>1392</v>
      </c>
      <c r="J11579" s="417" t="s">
        <v>24484</v>
      </c>
      <c r="K11579" s="417" t="s">
        <v>25691</v>
      </c>
      <c r="L11579" s="417"/>
      <c r="M11579" s="417" t="s">
        <v>28840</v>
      </c>
    </row>
    <row r="11580" spans="1:13" x14ac:dyDescent="0.25">
      <c r="A11580" s="417" t="s">
        <v>3385</v>
      </c>
      <c r="B11580" s="417" t="s">
        <v>2627</v>
      </c>
      <c r="C11580" s="417" t="s">
        <v>25692</v>
      </c>
      <c r="D11580" s="417" t="s">
        <v>88</v>
      </c>
      <c r="E11580" s="423">
        <v>0.6297443137239227</v>
      </c>
      <c r="F11580" s="423">
        <v>1.0933518782446481E-2</v>
      </c>
      <c r="G11580" s="422">
        <v>5306.9901292666891</v>
      </c>
      <c r="H11580" s="417" t="s">
        <v>2616</v>
      </c>
      <c r="I11580" s="417" t="s">
        <v>1392</v>
      </c>
      <c r="J11580" s="417" t="s">
        <v>24484</v>
      </c>
      <c r="K11580" s="417" t="s">
        <v>25693</v>
      </c>
      <c r="L11580" s="417"/>
      <c r="M11580" s="417" t="s">
        <v>28840</v>
      </c>
    </row>
    <row r="11581" spans="1:13" x14ac:dyDescent="0.25">
      <c r="A11581" s="417" t="s">
        <v>3385</v>
      </c>
      <c r="B11581" s="417" t="s">
        <v>3405</v>
      </c>
      <c r="C11581" s="417" t="s">
        <v>25694</v>
      </c>
      <c r="D11581" s="417" t="s">
        <v>989</v>
      </c>
      <c r="E11581" s="423">
        <v>52965.794985543362</v>
      </c>
      <c r="F11581" s="423">
        <v>1631.0617487906579</v>
      </c>
      <c r="G11581" s="422">
        <v>131450466.7550229</v>
      </c>
      <c r="H11581" s="417" t="s">
        <v>2616</v>
      </c>
      <c r="I11581" s="417" t="s">
        <v>1392</v>
      </c>
      <c r="J11581" s="417" t="s">
        <v>25695</v>
      </c>
      <c r="K11581" s="417" t="s">
        <v>25696</v>
      </c>
      <c r="L11581" s="417"/>
      <c r="M11581" s="417" t="s">
        <v>28840</v>
      </c>
    </row>
    <row r="11582" spans="1:13" x14ac:dyDescent="0.25">
      <c r="A11582" s="417" t="s">
        <v>3385</v>
      </c>
      <c r="B11582" s="417" t="s">
        <v>3405</v>
      </c>
      <c r="C11582" s="417" t="s">
        <v>25697</v>
      </c>
      <c r="D11582" s="417" t="s">
        <v>989</v>
      </c>
      <c r="E11582" s="423">
        <v>55696.110384880179</v>
      </c>
      <c r="F11582" s="423">
        <v>1294.485177444998</v>
      </c>
      <c r="G11582" s="422">
        <v>112987128.6710856</v>
      </c>
      <c r="H11582" s="417" t="s">
        <v>2616</v>
      </c>
      <c r="I11582" s="417" t="s">
        <v>1392</v>
      </c>
      <c r="J11582" s="417" t="s">
        <v>25695</v>
      </c>
      <c r="K11582" s="417" t="s">
        <v>25698</v>
      </c>
      <c r="L11582" s="417"/>
      <c r="M11582" s="417" t="s">
        <v>28840</v>
      </c>
    </row>
    <row r="11583" spans="1:13" x14ac:dyDescent="0.25">
      <c r="A11583" s="417" t="s">
        <v>3385</v>
      </c>
      <c r="B11583" s="417" t="s">
        <v>3405</v>
      </c>
      <c r="C11583" s="417" t="s">
        <v>25699</v>
      </c>
      <c r="D11583" s="417" t="s">
        <v>989</v>
      </c>
      <c r="E11583" s="423">
        <v>720396.03999861213</v>
      </c>
      <c r="F11583" s="423">
        <v>29030.411768096448</v>
      </c>
      <c r="G11583" s="422">
        <v>1416645614.508534</v>
      </c>
      <c r="H11583" s="417" t="s">
        <v>2616</v>
      </c>
      <c r="I11583" s="417" t="s">
        <v>1392</v>
      </c>
      <c r="J11583" s="417" t="s">
        <v>25695</v>
      </c>
      <c r="K11583" s="417" t="s">
        <v>25700</v>
      </c>
      <c r="L11583" s="417"/>
      <c r="M11583" s="417" t="s">
        <v>28840</v>
      </c>
    </row>
    <row r="11584" spans="1:13" x14ac:dyDescent="0.25">
      <c r="A11584" s="417" t="s">
        <v>3385</v>
      </c>
      <c r="B11584" s="417" t="s">
        <v>3405</v>
      </c>
      <c r="C11584" s="417" t="s">
        <v>25701</v>
      </c>
      <c r="D11584" s="417" t="s">
        <v>989</v>
      </c>
      <c r="E11584" s="423">
        <v>770828.50331378856</v>
      </c>
      <c r="F11584" s="423">
        <v>17148.319164647481</v>
      </c>
      <c r="G11584" s="422">
        <v>1498185100.753957</v>
      </c>
      <c r="H11584" s="417" t="s">
        <v>2616</v>
      </c>
      <c r="I11584" s="417" t="s">
        <v>1392</v>
      </c>
      <c r="J11584" s="417" t="s">
        <v>25695</v>
      </c>
      <c r="K11584" s="417" t="s">
        <v>25702</v>
      </c>
      <c r="L11584" s="417"/>
      <c r="M11584" s="417" t="s">
        <v>28840</v>
      </c>
    </row>
    <row r="11585" spans="1:13" x14ac:dyDescent="0.25">
      <c r="A11585" s="417" t="s">
        <v>3385</v>
      </c>
      <c r="B11585" s="417" t="s">
        <v>3405</v>
      </c>
      <c r="C11585" s="417" t="s">
        <v>25703</v>
      </c>
      <c r="D11585" s="417" t="s">
        <v>989</v>
      </c>
      <c r="E11585" s="423">
        <v>25545.95579625796</v>
      </c>
      <c r="F11585" s="423">
        <v>921.46378005289012</v>
      </c>
      <c r="G11585" s="422">
        <v>74623233.229301319</v>
      </c>
      <c r="H11585" s="417" t="s">
        <v>2616</v>
      </c>
      <c r="I11585" s="417" t="s">
        <v>1392</v>
      </c>
      <c r="J11585" s="417" t="s">
        <v>25695</v>
      </c>
      <c r="K11585" s="417" t="s">
        <v>25704</v>
      </c>
      <c r="L11585" s="417"/>
      <c r="M11585" s="417" t="s">
        <v>28840</v>
      </c>
    </row>
    <row r="11586" spans="1:13" x14ac:dyDescent="0.25">
      <c r="A11586" s="417" t="s">
        <v>3385</v>
      </c>
      <c r="B11586" s="417" t="s">
        <v>3405</v>
      </c>
      <c r="C11586" s="417" t="s">
        <v>25705</v>
      </c>
      <c r="D11586" s="417" t="s">
        <v>989</v>
      </c>
      <c r="E11586" s="423">
        <v>9858.6515643708626</v>
      </c>
      <c r="F11586" s="423">
        <v>280.19028436748181</v>
      </c>
      <c r="G11586" s="422">
        <v>23826562.068644151</v>
      </c>
      <c r="H11586" s="417" t="s">
        <v>2616</v>
      </c>
      <c r="I11586" s="417" t="s">
        <v>1392</v>
      </c>
      <c r="J11586" s="417" t="s">
        <v>25695</v>
      </c>
      <c r="K11586" s="417" t="s">
        <v>25706</v>
      </c>
      <c r="L11586" s="417"/>
      <c r="M11586" s="417" t="s">
        <v>28840</v>
      </c>
    </row>
    <row r="11587" spans="1:13" x14ac:dyDescent="0.25">
      <c r="A11587" s="417" t="s">
        <v>3385</v>
      </c>
      <c r="B11587" s="417" t="s">
        <v>3405</v>
      </c>
      <c r="C11587" s="417" t="s">
        <v>25707</v>
      </c>
      <c r="D11587" s="417" t="s">
        <v>989</v>
      </c>
      <c r="E11587" s="423">
        <v>140943.8069113582</v>
      </c>
      <c r="F11587" s="423">
        <v>4298.4181576254141</v>
      </c>
      <c r="G11587" s="422">
        <v>296477810.65485001</v>
      </c>
      <c r="H11587" s="417" t="s">
        <v>2616</v>
      </c>
      <c r="I11587" s="417" t="s">
        <v>1392</v>
      </c>
      <c r="J11587" s="417" t="s">
        <v>25695</v>
      </c>
      <c r="K11587" s="417" t="s">
        <v>25708</v>
      </c>
      <c r="L11587" s="417"/>
      <c r="M11587" s="417" t="s">
        <v>28840</v>
      </c>
    </row>
    <row r="11588" spans="1:13" x14ac:dyDescent="0.25">
      <c r="A11588" s="417" t="s">
        <v>3385</v>
      </c>
      <c r="B11588" s="417" t="s">
        <v>3405</v>
      </c>
      <c r="C11588" s="417" t="s">
        <v>25709</v>
      </c>
      <c r="D11588" s="417" t="s">
        <v>989</v>
      </c>
      <c r="E11588" s="423">
        <v>191814.48326105249</v>
      </c>
      <c r="F11588" s="423">
        <v>4752.921559774245</v>
      </c>
      <c r="G11588" s="422">
        <v>422115604.08790118</v>
      </c>
      <c r="H11588" s="417" t="s">
        <v>2616</v>
      </c>
      <c r="I11588" s="417" t="s">
        <v>1392</v>
      </c>
      <c r="J11588" s="417" t="s">
        <v>25695</v>
      </c>
      <c r="K11588" s="417" t="s">
        <v>25710</v>
      </c>
      <c r="L11588" s="417"/>
      <c r="M11588" s="417" t="s">
        <v>28840</v>
      </c>
    </row>
    <row r="11589" spans="1:13" x14ac:dyDescent="0.25">
      <c r="A11589" s="417" t="s">
        <v>3385</v>
      </c>
      <c r="B11589" s="417" t="s">
        <v>3405</v>
      </c>
      <c r="C11589" s="417" t="s">
        <v>25711</v>
      </c>
      <c r="D11589" s="417" t="s">
        <v>989</v>
      </c>
      <c r="E11589" s="423">
        <v>229853.16227163619</v>
      </c>
      <c r="F11589" s="423">
        <v>6614.9631066933835</v>
      </c>
      <c r="G11589" s="422">
        <v>471465666.59300208</v>
      </c>
      <c r="H11589" s="417" t="s">
        <v>2616</v>
      </c>
      <c r="I11589" s="417" t="s">
        <v>1392</v>
      </c>
      <c r="J11589" s="417" t="s">
        <v>25695</v>
      </c>
      <c r="K11589" s="417" t="s">
        <v>25712</v>
      </c>
      <c r="L11589" s="417"/>
      <c r="M11589" s="417" t="s">
        <v>28840</v>
      </c>
    </row>
    <row r="11590" spans="1:13" x14ac:dyDescent="0.25">
      <c r="A11590" s="417" t="s">
        <v>3385</v>
      </c>
      <c r="B11590" s="417" t="s">
        <v>3405</v>
      </c>
      <c r="C11590" s="417" t="s">
        <v>25713</v>
      </c>
      <c r="D11590" s="417" t="s">
        <v>989</v>
      </c>
      <c r="E11590" s="423">
        <v>231791.7391673789</v>
      </c>
      <c r="F11590" s="423">
        <v>6981.7496937057549</v>
      </c>
      <c r="G11590" s="422">
        <v>474464410.83579367</v>
      </c>
      <c r="H11590" s="417" t="s">
        <v>2616</v>
      </c>
      <c r="I11590" s="417" t="s">
        <v>1392</v>
      </c>
      <c r="J11590" s="417" t="s">
        <v>25695</v>
      </c>
      <c r="K11590" s="417" t="s">
        <v>25714</v>
      </c>
      <c r="L11590" s="417"/>
      <c r="M11590" s="417" t="s">
        <v>28840</v>
      </c>
    </row>
    <row r="11591" spans="1:13" x14ac:dyDescent="0.25">
      <c r="A11591" s="417" t="s">
        <v>3385</v>
      </c>
      <c r="B11591" s="417" t="s">
        <v>3405</v>
      </c>
      <c r="C11591" s="417" t="s">
        <v>25715</v>
      </c>
      <c r="D11591" s="417" t="s">
        <v>989</v>
      </c>
      <c r="E11591" s="423">
        <v>201010.28153559609</v>
      </c>
      <c r="F11591" s="423">
        <v>4579.1339705446862</v>
      </c>
      <c r="G11591" s="422">
        <v>418846448.71221972</v>
      </c>
      <c r="H11591" s="417" t="s">
        <v>2616</v>
      </c>
      <c r="I11591" s="417" t="s">
        <v>1392</v>
      </c>
      <c r="J11591" s="417" t="s">
        <v>25695</v>
      </c>
      <c r="K11591" s="417" t="s">
        <v>25716</v>
      </c>
      <c r="L11591" s="417"/>
      <c r="M11591" s="417" t="s">
        <v>28840</v>
      </c>
    </row>
    <row r="11592" spans="1:13" x14ac:dyDescent="0.25">
      <c r="A11592" s="417" t="s">
        <v>3385</v>
      </c>
      <c r="B11592" s="417" t="s">
        <v>3405</v>
      </c>
      <c r="C11592" s="417" t="s">
        <v>25717</v>
      </c>
      <c r="D11592" s="417" t="s">
        <v>989</v>
      </c>
      <c r="E11592" s="423">
        <v>201238.31358860029</v>
      </c>
      <c r="F11592" s="423">
        <v>4657.1071022955184</v>
      </c>
      <c r="G11592" s="422">
        <v>419010763.54198241</v>
      </c>
      <c r="H11592" s="417" t="s">
        <v>2616</v>
      </c>
      <c r="I11592" s="417" t="s">
        <v>1392</v>
      </c>
      <c r="J11592" s="417" t="s">
        <v>25695</v>
      </c>
      <c r="K11592" s="417" t="s">
        <v>25718</v>
      </c>
      <c r="L11592" s="417"/>
      <c r="M11592" s="417" t="s">
        <v>28840</v>
      </c>
    </row>
    <row r="11593" spans="1:13" x14ac:dyDescent="0.25">
      <c r="A11593" s="417" t="s">
        <v>3385</v>
      </c>
      <c r="B11593" s="417" t="s">
        <v>2627</v>
      </c>
      <c r="C11593" s="417" t="s">
        <v>25719</v>
      </c>
      <c r="D11593" s="417" t="s">
        <v>563</v>
      </c>
      <c r="E11593" s="423">
        <v>321.47583844749249</v>
      </c>
      <c r="F11593" s="423">
        <v>7.339253227141322</v>
      </c>
      <c r="G11593" s="422">
        <v>644638.65763972397</v>
      </c>
      <c r="H11593" s="417" t="s">
        <v>2616</v>
      </c>
      <c r="I11593" s="417" t="s">
        <v>1392</v>
      </c>
      <c r="J11593" s="417" t="s">
        <v>25720</v>
      </c>
      <c r="K11593" s="417" t="s">
        <v>25721</v>
      </c>
      <c r="L11593" s="417"/>
      <c r="M11593" s="417" t="s">
        <v>28840</v>
      </c>
    </row>
    <row r="11594" spans="1:13" x14ac:dyDescent="0.25">
      <c r="A11594" s="417" t="s">
        <v>3385</v>
      </c>
      <c r="B11594" s="417" t="s">
        <v>2627</v>
      </c>
      <c r="C11594" s="417" t="s">
        <v>25722</v>
      </c>
      <c r="D11594" s="417" t="s">
        <v>563</v>
      </c>
      <c r="E11594" s="423">
        <v>260.58778516101432</v>
      </c>
      <c r="F11594" s="423">
        <v>14.41691982342723</v>
      </c>
      <c r="G11594" s="422">
        <v>510788.50763752469</v>
      </c>
      <c r="H11594" s="417" t="s">
        <v>2616</v>
      </c>
      <c r="I11594" s="417" t="s">
        <v>1392</v>
      </c>
      <c r="J11594" s="417" t="s">
        <v>25720</v>
      </c>
      <c r="K11594" s="417" t="s">
        <v>25723</v>
      </c>
      <c r="L11594" s="417"/>
      <c r="M11594" s="417" t="s">
        <v>28840</v>
      </c>
    </row>
    <row r="11595" spans="1:13" x14ac:dyDescent="0.25">
      <c r="A11595" s="417" t="s">
        <v>3385</v>
      </c>
      <c r="B11595" s="417" t="s">
        <v>3405</v>
      </c>
      <c r="C11595" s="417" t="s">
        <v>25724</v>
      </c>
      <c r="D11595" s="417" t="s">
        <v>73</v>
      </c>
      <c r="E11595" s="423">
        <v>4.179049221380393E-3</v>
      </c>
      <c r="F11595" s="423">
        <v>9.8638732919809596E-2</v>
      </c>
      <c r="G11595" s="422">
        <v>18.542195649218989</v>
      </c>
      <c r="H11595" s="417" t="s">
        <v>2616</v>
      </c>
      <c r="I11595" s="417" t="s">
        <v>1392</v>
      </c>
      <c r="J11595" s="417" t="s">
        <v>25725</v>
      </c>
      <c r="K11595" s="417" t="s">
        <v>25726</v>
      </c>
      <c r="L11595" s="417"/>
      <c r="M11595" s="417" t="s">
        <v>28840</v>
      </c>
    </row>
    <row r="11596" spans="1:13" x14ac:dyDescent="0.25">
      <c r="A11596" s="417" t="s">
        <v>3385</v>
      </c>
      <c r="B11596" s="417" t="s">
        <v>2627</v>
      </c>
      <c r="C11596" s="417" t="s">
        <v>25727</v>
      </c>
      <c r="D11596" s="417" t="s">
        <v>88</v>
      </c>
      <c r="E11596" s="423">
        <v>20.303561663042359</v>
      </c>
      <c r="F11596" s="423">
        <v>0.50311613720836035</v>
      </c>
      <c r="G11596" s="422">
        <v>76263.922729625119</v>
      </c>
      <c r="H11596" s="417" t="s">
        <v>2616</v>
      </c>
      <c r="I11596" s="417" t="s">
        <v>1392</v>
      </c>
      <c r="J11596" s="417" t="s">
        <v>25552</v>
      </c>
      <c r="K11596" s="417" t="s">
        <v>25728</v>
      </c>
      <c r="L11596" s="417"/>
      <c r="M11596" s="417" t="s">
        <v>28840</v>
      </c>
    </row>
    <row r="11597" spans="1:13" x14ac:dyDescent="0.25">
      <c r="A11597" s="417" t="s">
        <v>3385</v>
      </c>
      <c r="B11597" s="417" t="s">
        <v>23629</v>
      </c>
      <c r="C11597" s="417" t="s">
        <v>25729</v>
      </c>
      <c r="D11597" s="417" t="s">
        <v>4427</v>
      </c>
      <c r="E11597" s="423">
        <v>1.8745147752220259E-2</v>
      </c>
      <c r="F11597" s="423">
        <v>1.165077664549064E-3</v>
      </c>
      <c r="G11597" s="422">
        <v>80.314596519837849</v>
      </c>
      <c r="H11597" s="417" t="s">
        <v>2616</v>
      </c>
      <c r="I11597" s="417" t="s">
        <v>1392</v>
      </c>
      <c r="J11597" s="417" t="s">
        <v>23674</v>
      </c>
      <c r="K11597" s="417" t="s">
        <v>25730</v>
      </c>
      <c r="L11597" s="417"/>
      <c r="M11597" s="417" t="s">
        <v>28840</v>
      </c>
    </row>
    <row r="11598" spans="1:13" x14ac:dyDescent="0.25">
      <c r="A11598" s="417" t="s">
        <v>3385</v>
      </c>
      <c r="B11598" s="417" t="s">
        <v>3405</v>
      </c>
      <c r="C11598" s="417" t="s">
        <v>25731</v>
      </c>
      <c r="D11598" s="417" t="s">
        <v>989</v>
      </c>
      <c r="E11598" s="423">
        <v>0</v>
      </c>
      <c r="F11598" s="423">
        <v>0</v>
      </c>
      <c r="G11598" s="422">
        <v>0</v>
      </c>
      <c r="H11598" s="417" t="s">
        <v>2616</v>
      </c>
      <c r="I11598" s="417" t="s">
        <v>1392</v>
      </c>
      <c r="J11598" s="417" t="s">
        <v>25732</v>
      </c>
      <c r="K11598" s="417" t="s">
        <v>25733</v>
      </c>
      <c r="L11598" s="417"/>
      <c r="M11598" s="417" t="s">
        <v>28840</v>
      </c>
    </row>
    <row r="11599" spans="1:13" x14ac:dyDescent="0.25">
      <c r="A11599" s="417" t="s">
        <v>3385</v>
      </c>
      <c r="B11599" s="417" t="s">
        <v>3405</v>
      </c>
      <c r="C11599" s="417" t="s">
        <v>25734</v>
      </c>
      <c r="D11599" s="417" t="s">
        <v>989</v>
      </c>
      <c r="E11599" s="423">
        <v>0</v>
      </c>
      <c r="F11599" s="423">
        <v>0</v>
      </c>
      <c r="G11599" s="422">
        <v>0</v>
      </c>
      <c r="H11599" s="417" t="s">
        <v>2616</v>
      </c>
      <c r="I11599" s="417" t="s">
        <v>1392</v>
      </c>
      <c r="J11599" s="417" t="s">
        <v>25732</v>
      </c>
      <c r="K11599" s="417" t="s">
        <v>25735</v>
      </c>
      <c r="L11599" s="417"/>
      <c r="M11599" s="417" t="s">
        <v>28840</v>
      </c>
    </row>
    <row r="11600" spans="1:13" x14ac:dyDescent="0.25">
      <c r="A11600" s="417" t="s">
        <v>3385</v>
      </c>
      <c r="B11600" s="417" t="s">
        <v>2627</v>
      </c>
      <c r="C11600" s="417" t="s">
        <v>25736</v>
      </c>
      <c r="D11600" s="417" t="s">
        <v>88</v>
      </c>
      <c r="E11600" s="423">
        <v>3.3239402218139111</v>
      </c>
      <c r="F11600" s="423">
        <v>7.0031387766990496E-3</v>
      </c>
      <c r="G11600" s="422">
        <v>4641.2139599727871</v>
      </c>
      <c r="H11600" s="417" t="s">
        <v>2616</v>
      </c>
      <c r="I11600" s="417" t="s">
        <v>1392</v>
      </c>
      <c r="J11600" s="417" t="s">
        <v>25737</v>
      </c>
      <c r="K11600" s="417" t="s">
        <v>25738</v>
      </c>
      <c r="L11600" s="417"/>
      <c r="M11600" s="417" t="s">
        <v>28840</v>
      </c>
    </row>
    <row r="11601" spans="1:13" x14ac:dyDescent="0.25">
      <c r="A11601" s="417" t="s">
        <v>3385</v>
      </c>
      <c r="B11601" s="417" t="s">
        <v>2627</v>
      </c>
      <c r="C11601" s="417" t="s">
        <v>25739</v>
      </c>
      <c r="D11601" s="417" t="s">
        <v>83</v>
      </c>
      <c r="E11601" s="423">
        <v>2.2097991817495211</v>
      </c>
      <c r="F11601" s="423">
        <v>0.1320269496133625</v>
      </c>
      <c r="G11601" s="422">
        <v>30932.201065902249</v>
      </c>
      <c r="H11601" s="417" t="s">
        <v>2616</v>
      </c>
      <c r="I11601" s="417" t="s">
        <v>1392</v>
      </c>
      <c r="J11601" s="417" t="s">
        <v>25740</v>
      </c>
      <c r="K11601" s="417" t="s">
        <v>25741</v>
      </c>
      <c r="L11601" s="417"/>
      <c r="M11601" s="417" t="s">
        <v>28840</v>
      </c>
    </row>
    <row r="11602" spans="1:13" x14ac:dyDescent="0.25">
      <c r="A11602" s="417" t="s">
        <v>3385</v>
      </c>
      <c r="B11602" s="417" t="s">
        <v>2627</v>
      </c>
      <c r="C11602" s="417" t="s">
        <v>25742</v>
      </c>
      <c r="D11602" s="417" t="s">
        <v>83</v>
      </c>
      <c r="E11602" s="423">
        <v>0</v>
      </c>
      <c r="F11602" s="423">
        <v>0</v>
      </c>
      <c r="G11602" s="422">
        <v>25704</v>
      </c>
      <c r="H11602" s="417" t="s">
        <v>2616</v>
      </c>
      <c r="I11602" s="417" t="s">
        <v>1392</v>
      </c>
      <c r="J11602" s="417" t="s">
        <v>25740</v>
      </c>
      <c r="K11602" s="417" t="s">
        <v>25743</v>
      </c>
      <c r="L11602" s="417"/>
      <c r="M11602" s="417" t="s">
        <v>28840</v>
      </c>
    </row>
    <row r="11603" spans="1:13" x14ac:dyDescent="0.25">
      <c r="A11603" s="417" t="s">
        <v>3385</v>
      </c>
      <c r="B11603" s="417" t="s">
        <v>3405</v>
      </c>
      <c r="C11603" s="417" t="s">
        <v>25744</v>
      </c>
      <c r="D11603" s="417" t="s">
        <v>989</v>
      </c>
      <c r="E11603" s="423">
        <v>3123.308548830752</v>
      </c>
      <c r="F11603" s="423">
        <v>103.5104096759261</v>
      </c>
      <c r="G11603" s="422">
        <v>5405473.3000009386</v>
      </c>
      <c r="H11603" s="417" t="s">
        <v>2616</v>
      </c>
      <c r="I11603" s="417" t="s">
        <v>1392</v>
      </c>
      <c r="J11603" s="417" t="s">
        <v>25745</v>
      </c>
      <c r="K11603" s="417" t="s">
        <v>25746</v>
      </c>
      <c r="L11603" s="417"/>
      <c r="M11603" s="417" t="s">
        <v>28840</v>
      </c>
    </row>
    <row r="11604" spans="1:13" x14ac:dyDescent="0.25">
      <c r="A11604" s="417" t="s">
        <v>3385</v>
      </c>
      <c r="B11604" s="417" t="s">
        <v>2627</v>
      </c>
      <c r="C11604" s="417" t="s">
        <v>25747</v>
      </c>
      <c r="D11604" s="417" t="s">
        <v>88</v>
      </c>
      <c r="E11604" s="423">
        <v>1.8537332139973131</v>
      </c>
      <c r="F11604" s="423">
        <v>1.8759631454180251E-2</v>
      </c>
      <c r="G11604" s="422">
        <v>3072.1954917373268</v>
      </c>
      <c r="H11604" s="417" t="s">
        <v>2616</v>
      </c>
      <c r="I11604" s="417" t="s">
        <v>1392</v>
      </c>
      <c r="J11604" s="417" t="s">
        <v>25737</v>
      </c>
      <c r="K11604" s="417" t="s">
        <v>25748</v>
      </c>
      <c r="L11604" s="417"/>
      <c r="M11604" s="417" t="s">
        <v>28840</v>
      </c>
    </row>
    <row r="11605" spans="1:13" x14ac:dyDescent="0.25">
      <c r="A11605" s="417" t="s">
        <v>3385</v>
      </c>
      <c r="B11605" s="417" t="s">
        <v>2627</v>
      </c>
      <c r="C11605" s="417" t="s">
        <v>25749</v>
      </c>
      <c r="D11605" s="417" t="s">
        <v>83</v>
      </c>
      <c r="E11605" s="423">
        <v>2.8634118959118151</v>
      </c>
      <c r="F11605" s="423">
        <v>3.638360657895447</v>
      </c>
      <c r="G11605" s="422">
        <v>36115.859251943562</v>
      </c>
      <c r="H11605" s="417" t="s">
        <v>2616</v>
      </c>
      <c r="I11605" s="417" t="s">
        <v>1392</v>
      </c>
      <c r="J11605" s="417" t="s">
        <v>25740</v>
      </c>
      <c r="K11605" s="417" t="s">
        <v>25750</v>
      </c>
      <c r="L11605" s="417"/>
      <c r="M11605" s="417" t="s">
        <v>28840</v>
      </c>
    </row>
    <row r="11606" spans="1:13" x14ac:dyDescent="0.25">
      <c r="A11606" s="417" t="s">
        <v>3385</v>
      </c>
      <c r="B11606" s="417" t="s">
        <v>2437</v>
      </c>
      <c r="C11606" s="417" t="s">
        <v>25751</v>
      </c>
      <c r="D11606" s="417" t="s">
        <v>88</v>
      </c>
      <c r="E11606" s="423">
        <v>0.87982557170900777</v>
      </c>
      <c r="F11606" s="423">
        <v>4.7386902049655882E-3</v>
      </c>
      <c r="G11606" s="422">
        <v>1663.661194182838</v>
      </c>
      <c r="H11606" s="417" t="s">
        <v>2616</v>
      </c>
      <c r="I11606" s="417" t="s">
        <v>1392</v>
      </c>
      <c r="J11606" s="417" t="s">
        <v>25752</v>
      </c>
      <c r="K11606" s="417" t="s">
        <v>25753</v>
      </c>
      <c r="L11606" s="417"/>
      <c r="M11606" s="417" t="s">
        <v>28840</v>
      </c>
    </row>
    <row r="11607" spans="1:13" x14ac:dyDescent="0.25">
      <c r="A11607" s="417" t="s">
        <v>3385</v>
      </c>
      <c r="B11607" s="417" t="s">
        <v>2437</v>
      </c>
      <c r="C11607" s="417" t="s">
        <v>25754</v>
      </c>
      <c r="D11607" s="417" t="s">
        <v>88</v>
      </c>
      <c r="E11607" s="423">
        <v>0.59972065083721782</v>
      </c>
      <c r="F11607" s="423">
        <v>4.8168003499016038E-3</v>
      </c>
      <c r="G11607" s="422">
        <v>1284.836042478956</v>
      </c>
      <c r="H11607" s="417" t="s">
        <v>2616</v>
      </c>
      <c r="I11607" s="417" t="s">
        <v>1392</v>
      </c>
      <c r="J11607" s="417" t="s">
        <v>25752</v>
      </c>
      <c r="K11607" s="417" t="s">
        <v>25755</v>
      </c>
      <c r="L11607" s="417"/>
      <c r="M11607" s="417" t="s">
        <v>28840</v>
      </c>
    </row>
    <row r="11608" spans="1:13" x14ac:dyDescent="0.25">
      <c r="A11608" s="417" t="s">
        <v>3385</v>
      </c>
      <c r="B11608" s="417" t="s">
        <v>2627</v>
      </c>
      <c r="C11608" s="417" t="s">
        <v>25756</v>
      </c>
      <c r="D11608" s="417" t="s">
        <v>88</v>
      </c>
      <c r="E11608" s="423">
        <v>0.90312002041755846</v>
      </c>
      <c r="F11608" s="423">
        <v>5.5544677746290159E-3</v>
      </c>
      <c r="G11608" s="422">
        <v>1726.1111918887359</v>
      </c>
      <c r="H11608" s="417" t="s">
        <v>2616</v>
      </c>
      <c r="I11608" s="417" t="s">
        <v>1392</v>
      </c>
      <c r="J11608" s="417" t="s">
        <v>25757</v>
      </c>
      <c r="K11608" s="417" t="s">
        <v>25758</v>
      </c>
      <c r="L11608" s="417"/>
      <c r="M11608" s="417" t="s">
        <v>28840</v>
      </c>
    </row>
    <row r="11609" spans="1:13" x14ac:dyDescent="0.25">
      <c r="A11609" s="417" t="s">
        <v>3385</v>
      </c>
      <c r="B11609" s="417" t="s">
        <v>2627</v>
      </c>
      <c r="C11609" s="417" t="s">
        <v>25759</v>
      </c>
      <c r="D11609" s="417" t="s">
        <v>88</v>
      </c>
      <c r="E11609" s="423">
        <v>0.88830191974980743</v>
      </c>
      <c r="F11609" s="423">
        <v>6.7643453381706371E-3</v>
      </c>
      <c r="G11609" s="422">
        <v>1717.478761234338</v>
      </c>
      <c r="H11609" s="417" t="s">
        <v>2616</v>
      </c>
      <c r="I11609" s="417" t="s">
        <v>1392</v>
      </c>
      <c r="J11609" s="417" t="s">
        <v>25757</v>
      </c>
      <c r="K11609" s="417" t="s">
        <v>25760</v>
      </c>
      <c r="L11609" s="417"/>
      <c r="M11609" s="417" t="s">
        <v>28840</v>
      </c>
    </row>
    <row r="11610" spans="1:13" x14ac:dyDescent="0.25">
      <c r="A11610" s="417" t="s">
        <v>3385</v>
      </c>
      <c r="B11610" s="417" t="s">
        <v>2627</v>
      </c>
      <c r="C11610" s="417" t="s">
        <v>25761</v>
      </c>
      <c r="D11610" s="417" t="s">
        <v>88</v>
      </c>
      <c r="E11610" s="423">
        <v>0.94052145426523792</v>
      </c>
      <c r="F11610" s="423">
        <v>1.025237779828988E-2</v>
      </c>
      <c r="G11610" s="422">
        <v>1812.634090736472</v>
      </c>
      <c r="H11610" s="417" t="s">
        <v>2616</v>
      </c>
      <c r="I11610" s="417" t="s">
        <v>1392</v>
      </c>
      <c r="J11610" s="417" t="s">
        <v>25757</v>
      </c>
      <c r="K11610" s="417" t="s">
        <v>25762</v>
      </c>
      <c r="L11610" s="417"/>
      <c r="M11610" s="417" t="s">
        <v>28840</v>
      </c>
    </row>
    <row r="11611" spans="1:13" x14ac:dyDescent="0.25">
      <c r="A11611" s="417" t="s">
        <v>3385</v>
      </c>
      <c r="B11611" s="417" t="s">
        <v>2627</v>
      </c>
      <c r="C11611" s="417" t="s">
        <v>25763</v>
      </c>
      <c r="D11611" s="417" t="s">
        <v>88</v>
      </c>
      <c r="E11611" s="423">
        <v>0.9107659251406921</v>
      </c>
      <c r="F11611" s="423">
        <v>8.6564973802631118E-3</v>
      </c>
      <c r="G11611" s="422">
        <v>1766.9787946262929</v>
      </c>
      <c r="H11611" s="417" t="s">
        <v>2616</v>
      </c>
      <c r="I11611" s="417" t="s">
        <v>1392</v>
      </c>
      <c r="J11611" s="417" t="s">
        <v>25764</v>
      </c>
      <c r="K11611" s="417" t="s">
        <v>25765</v>
      </c>
      <c r="L11611" s="417"/>
      <c r="M11611" s="417" t="s">
        <v>28840</v>
      </c>
    </row>
    <row r="11612" spans="1:13" x14ac:dyDescent="0.25">
      <c r="A11612" s="417" t="s">
        <v>3385</v>
      </c>
      <c r="B11612" s="417" t="s">
        <v>2623</v>
      </c>
      <c r="C11612" s="417" t="s">
        <v>25766</v>
      </c>
      <c r="D11612" s="417" t="s">
        <v>563</v>
      </c>
      <c r="E11612" s="423">
        <v>10.95663868402996</v>
      </c>
      <c r="F11612" s="423">
        <v>25.156582640072031</v>
      </c>
      <c r="G11612" s="422">
        <v>15682.48107555081</v>
      </c>
      <c r="H11612" s="417" t="s">
        <v>2616</v>
      </c>
      <c r="I11612" s="417" t="s">
        <v>1392</v>
      </c>
      <c r="J11612" s="417" t="s">
        <v>24701</v>
      </c>
      <c r="K11612" s="417" t="s">
        <v>25767</v>
      </c>
      <c r="L11612" s="417"/>
      <c r="M11612" s="417" t="s">
        <v>28840</v>
      </c>
    </row>
    <row r="11613" spans="1:13" x14ac:dyDescent="0.25">
      <c r="A11613" s="417" t="s">
        <v>3385</v>
      </c>
      <c r="B11613" s="417" t="s">
        <v>2623</v>
      </c>
      <c r="C11613" s="417" t="s">
        <v>25768</v>
      </c>
      <c r="D11613" s="417" t="s">
        <v>563</v>
      </c>
      <c r="E11613" s="423">
        <v>7.7299976938413959</v>
      </c>
      <c r="F11613" s="423">
        <v>34.660275967229047</v>
      </c>
      <c r="G11613" s="422">
        <v>9303.099182074342</v>
      </c>
      <c r="H11613" s="417" t="s">
        <v>2616</v>
      </c>
      <c r="I11613" s="417" t="s">
        <v>1392</v>
      </c>
      <c r="J11613" s="417" t="s">
        <v>24701</v>
      </c>
      <c r="K11613" s="417" t="s">
        <v>25769</v>
      </c>
      <c r="L11613" s="417"/>
      <c r="M11613" s="417" t="s">
        <v>28840</v>
      </c>
    </row>
    <row r="11614" spans="1:13" x14ac:dyDescent="0.25">
      <c r="A11614" s="417" t="s">
        <v>3385</v>
      </c>
      <c r="B11614" s="417" t="s">
        <v>2623</v>
      </c>
      <c r="C11614" s="417" t="s">
        <v>25770</v>
      </c>
      <c r="D11614" s="417" t="s">
        <v>563</v>
      </c>
      <c r="E11614" s="423">
        <v>2.8780843390403432</v>
      </c>
      <c r="F11614" s="423">
        <v>35.624001442223687</v>
      </c>
      <c r="G11614" s="422">
        <v>7589.1359475987256</v>
      </c>
      <c r="H11614" s="417" t="s">
        <v>2616</v>
      </c>
      <c r="I11614" s="417" t="s">
        <v>1392</v>
      </c>
      <c r="J11614" s="417" t="s">
        <v>24701</v>
      </c>
      <c r="K11614" s="417" t="s">
        <v>25771</v>
      </c>
      <c r="L11614" s="417"/>
      <c r="M11614" s="417" t="s">
        <v>28840</v>
      </c>
    </row>
    <row r="11615" spans="1:13" x14ac:dyDescent="0.25">
      <c r="A11615" s="417" t="s">
        <v>3385</v>
      </c>
      <c r="B11615" s="417" t="s">
        <v>2623</v>
      </c>
      <c r="C11615" s="417" t="s">
        <v>25772</v>
      </c>
      <c r="D11615" s="417" t="s">
        <v>563</v>
      </c>
      <c r="E11615" s="423">
        <v>5.0438165387190672</v>
      </c>
      <c r="F11615" s="423">
        <v>22.170133477889632</v>
      </c>
      <c r="G11615" s="422">
        <v>10090.861466590281</v>
      </c>
      <c r="H11615" s="417" t="s">
        <v>2616</v>
      </c>
      <c r="I11615" s="417" t="s">
        <v>1392</v>
      </c>
      <c r="J11615" s="417" t="s">
        <v>24701</v>
      </c>
      <c r="K11615" s="417" t="s">
        <v>25773</v>
      </c>
      <c r="L11615" s="417"/>
      <c r="M11615" s="417" t="s">
        <v>28840</v>
      </c>
    </row>
    <row r="11616" spans="1:13" x14ac:dyDescent="0.25">
      <c r="A11616" s="417" t="s">
        <v>3385</v>
      </c>
      <c r="B11616" s="417" t="s">
        <v>2623</v>
      </c>
      <c r="C11616" s="417" t="s">
        <v>25774</v>
      </c>
      <c r="D11616" s="417" t="s">
        <v>563</v>
      </c>
      <c r="E11616" s="423">
        <v>25.658395577459679</v>
      </c>
      <c r="F11616" s="423">
        <v>83.323123700162114</v>
      </c>
      <c r="G11616" s="422">
        <v>31064.448095948592</v>
      </c>
      <c r="H11616" s="417" t="s">
        <v>2616</v>
      </c>
      <c r="I11616" s="417" t="s">
        <v>1392</v>
      </c>
      <c r="J11616" s="417" t="s">
        <v>24701</v>
      </c>
      <c r="K11616" s="417" t="s">
        <v>25775</v>
      </c>
      <c r="L11616" s="417"/>
      <c r="M11616" s="417" t="s">
        <v>28840</v>
      </c>
    </row>
    <row r="11617" spans="1:13" x14ac:dyDescent="0.25">
      <c r="A11617" s="417" t="s">
        <v>3385</v>
      </c>
      <c r="B11617" s="417" t="s">
        <v>2623</v>
      </c>
      <c r="C11617" s="417" t="s">
        <v>25776</v>
      </c>
      <c r="D11617" s="417" t="s">
        <v>563</v>
      </c>
      <c r="E11617" s="423">
        <v>19.557518464316001</v>
      </c>
      <c r="F11617" s="423">
        <v>95.469435976092754</v>
      </c>
      <c r="G11617" s="422">
        <v>25192.44383621815</v>
      </c>
      <c r="H11617" s="417" t="s">
        <v>2616</v>
      </c>
      <c r="I11617" s="417" t="s">
        <v>1392</v>
      </c>
      <c r="J11617" s="417" t="s">
        <v>24701</v>
      </c>
      <c r="K11617" s="417" t="s">
        <v>25777</v>
      </c>
      <c r="L11617" s="417"/>
      <c r="M11617" s="417" t="s">
        <v>28840</v>
      </c>
    </row>
    <row r="11618" spans="1:13" x14ac:dyDescent="0.25">
      <c r="A11618" s="417" t="s">
        <v>3385</v>
      </c>
      <c r="B11618" s="417" t="s">
        <v>2623</v>
      </c>
      <c r="C11618" s="417" t="s">
        <v>25778</v>
      </c>
      <c r="D11618" s="417" t="s">
        <v>88</v>
      </c>
      <c r="E11618" s="423">
        <v>0</v>
      </c>
      <c r="F11618" s="423">
        <v>0</v>
      </c>
      <c r="G11618" s="422">
        <v>0</v>
      </c>
      <c r="H11618" s="417" t="s">
        <v>2616</v>
      </c>
      <c r="I11618" s="417" t="s">
        <v>1392</v>
      </c>
      <c r="J11618" s="417" t="s">
        <v>25779</v>
      </c>
      <c r="K11618" s="417" t="s">
        <v>25780</v>
      </c>
      <c r="L11618" s="417"/>
      <c r="M11618" s="417" t="s">
        <v>28840</v>
      </c>
    </row>
    <row r="11619" spans="1:13" x14ac:dyDescent="0.25">
      <c r="A11619" s="417" t="s">
        <v>3385</v>
      </c>
      <c r="B11619" s="417" t="s">
        <v>2623</v>
      </c>
      <c r="C11619" s="417" t="s">
        <v>25781</v>
      </c>
      <c r="D11619" s="417" t="s">
        <v>4476</v>
      </c>
      <c r="E11619" s="423">
        <v>0</v>
      </c>
      <c r="F11619" s="423">
        <v>0</v>
      </c>
      <c r="G11619" s="422">
        <v>0</v>
      </c>
      <c r="H11619" s="417" t="s">
        <v>2616</v>
      </c>
      <c r="I11619" s="417" t="s">
        <v>1392</v>
      </c>
      <c r="J11619" s="417" t="s">
        <v>25779</v>
      </c>
      <c r="K11619" s="417" t="s">
        <v>25782</v>
      </c>
      <c r="L11619" s="417"/>
      <c r="M11619" s="417" t="s">
        <v>28840</v>
      </c>
    </row>
    <row r="11620" spans="1:13" x14ac:dyDescent="0.25">
      <c r="A11620" s="417" t="s">
        <v>3385</v>
      </c>
      <c r="B11620" s="417" t="s">
        <v>2627</v>
      </c>
      <c r="C11620" s="417" t="s">
        <v>25783</v>
      </c>
      <c r="D11620" s="417" t="s">
        <v>563</v>
      </c>
      <c r="E11620" s="423">
        <v>54.743970903283348</v>
      </c>
      <c r="F11620" s="423">
        <v>21.832632660532791</v>
      </c>
      <c r="G11620" s="422">
        <v>105041.3842321751</v>
      </c>
      <c r="H11620" s="417" t="s">
        <v>2616</v>
      </c>
      <c r="I11620" s="417" t="s">
        <v>1392</v>
      </c>
      <c r="J11620" s="417" t="s">
        <v>25784</v>
      </c>
      <c r="K11620" s="417" t="s">
        <v>25785</v>
      </c>
      <c r="L11620" s="417"/>
      <c r="M11620" s="417" t="s">
        <v>28840</v>
      </c>
    </row>
    <row r="11621" spans="1:13" x14ac:dyDescent="0.25">
      <c r="A11621" s="417" t="s">
        <v>3385</v>
      </c>
      <c r="B11621" s="417" t="s">
        <v>2627</v>
      </c>
      <c r="C11621" s="417" t="s">
        <v>25786</v>
      </c>
      <c r="D11621" s="417" t="s">
        <v>563</v>
      </c>
      <c r="E11621" s="423">
        <v>32.595234348461219</v>
      </c>
      <c r="F11621" s="423">
        <v>24.05604161382011</v>
      </c>
      <c r="G11621" s="422">
        <v>68916.115219062049</v>
      </c>
      <c r="H11621" s="417" t="s">
        <v>2616</v>
      </c>
      <c r="I11621" s="417" t="s">
        <v>1392</v>
      </c>
      <c r="J11621" s="417" t="s">
        <v>25784</v>
      </c>
      <c r="K11621" s="417" t="s">
        <v>25787</v>
      </c>
      <c r="L11621" s="417"/>
      <c r="M11621" s="417" t="s">
        <v>28840</v>
      </c>
    </row>
    <row r="11622" spans="1:13" x14ac:dyDescent="0.25">
      <c r="A11622" s="417" t="s">
        <v>3385</v>
      </c>
      <c r="B11622" s="417" t="s">
        <v>2627</v>
      </c>
      <c r="C11622" s="417" t="s">
        <v>25788</v>
      </c>
      <c r="D11622" s="417" t="s">
        <v>563</v>
      </c>
      <c r="E11622" s="423">
        <v>70.470954357569113</v>
      </c>
      <c r="F11622" s="423">
        <v>9.3711721727946049</v>
      </c>
      <c r="G11622" s="422">
        <v>168267.13611539529</v>
      </c>
      <c r="H11622" s="417" t="s">
        <v>2616</v>
      </c>
      <c r="I11622" s="417" t="s">
        <v>1392</v>
      </c>
      <c r="J11622" s="417" t="s">
        <v>25784</v>
      </c>
      <c r="K11622" s="417" t="s">
        <v>25789</v>
      </c>
      <c r="L11622" s="417"/>
      <c r="M11622" s="417" t="s">
        <v>28840</v>
      </c>
    </row>
    <row r="11623" spans="1:13" x14ac:dyDescent="0.25">
      <c r="A11623" s="417" t="s">
        <v>3385</v>
      </c>
      <c r="B11623" s="417" t="s">
        <v>2627</v>
      </c>
      <c r="C11623" s="417" t="s">
        <v>25790</v>
      </c>
      <c r="D11623" s="417" t="s">
        <v>563</v>
      </c>
      <c r="E11623" s="423">
        <v>89.118091160950542</v>
      </c>
      <c r="F11623" s="423">
        <v>8.2726012804457838</v>
      </c>
      <c r="G11623" s="422">
        <v>194671.83625710229</v>
      </c>
      <c r="H11623" s="417" t="s">
        <v>2616</v>
      </c>
      <c r="I11623" s="417" t="s">
        <v>1392</v>
      </c>
      <c r="J11623" s="417" t="s">
        <v>25784</v>
      </c>
      <c r="K11623" s="417" t="s">
        <v>25791</v>
      </c>
      <c r="L11623" s="417"/>
      <c r="M11623" s="417" t="s">
        <v>28840</v>
      </c>
    </row>
    <row r="11624" spans="1:13" x14ac:dyDescent="0.25">
      <c r="A11624" s="417" t="s">
        <v>3385</v>
      </c>
      <c r="B11624" s="417" t="s">
        <v>3405</v>
      </c>
      <c r="C11624" s="417" t="s">
        <v>25792</v>
      </c>
      <c r="D11624" s="417" t="s">
        <v>224</v>
      </c>
      <c r="E11624" s="423">
        <v>0.81082564954545389</v>
      </c>
      <c r="F11624" s="423">
        <v>3.0354396767173762E-3</v>
      </c>
      <c r="G11624" s="422">
        <v>1065.265444961906</v>
      </c>
      <c r="H11624" s="417" t="s">
        <v>2616</v>
      </c>
      <c r="I11624" s="417" t="s">
        <v>1392</v>
      </c>
      <c r="J11624" s="417" t="s">
        <v>25793</v>
      </c>
      <c r="K11624" s="417" t="s">
        <v>25794</v>
      </c>
      <c r="L11624" s="417"/>
      <c r="M11624" s="417" t="s">
        <v>28840</v>
      </c>
    </row>
    <row r="11625" spans="1:13" x14ac:dyDescent="0.25">
      <c r="A11625" s="417" t="s">
        <v>3385</v>
      </c>
      <c r="B11625" s="417" t="s">
        <v>3405</v>
      </c>
      <c r="C11625" s="417" t="s">
        <v>25795</v>
      </c>
      <c r="D11625" s="417" t="s">
        <v>224</v>
      </c>
      <c r="E11625" s="423">
        <v>0.1397914080882609</v>
      </c>
      <c r="F11625" s="423">
        <v>1.438680617775351E-2</v>
      </c>
      <c r="G11625" s="422">
        <v>192.33241466460331</v>
      </c>
      <c r="H11625" s="417" t="s">
        <v>2616</v>
      </c>
      <c r="I11625" s="417" t="s">
        <v>1392</v>
      </c>
      <c r="J11625" s="417" t="s">
        <v>25793</v>
      </c>
      <c r="K11625" s="417" t="s">
        <v>25796</v>
      </c>
      <c r="L11625" s="417"/>
      <c r="M11625" s="417" t="s">
        <v>28840</v>
      </c>
    </row>
    <row r="11626" spans="1:13" x14ac:dyDescent="0.25">
      <c r="A11626" s="417" t="s">
        <v>3385</v>
      </c>
      <c r="B11626" s="417" t="s">
        <v>3405</v>
      </c>
      <c r="C11626" s="417" t="s">
        <v>25797</v>
      </c>
      <c r="D11626" s="417" t="s">
        <v>224</v>
      </c>
      <c r="E11626" s="423">
        <v>8.299234307979475E-2</v>
      </c>
      <c r="F11626" s="423">
        <v>8.4991358502277237E-2</v>
      </c>
      <c r="G11626" s="422">
        <v>405.45592149554233</v>
      </c>
      <c r="H11626" s="417" t="s">
        <v>2616</v>
      </c>
      <c r="I11626" s="417" t="s">
        <v>1392</v>
      </c>
      <c r="J11626" s="417" t="s">
        <v>25793</v>
      </c>
      <c r="K11626" s="417" t="s">
        <v>25798</v>
      </c>
      <c r="L11626" s="417"/>
      <c r="M11626" s="417" t="s">
        <v>28840</v>
      </c>
    </row>
    <row r="11627" spans="1:13" x14ac:dyDescent="0.25">
      <c r="A11627" s="417" t="s">
        <v>3385</v>
      </c>
      <c r="B11627" s="417" t="s">
        <v>3405</v>
      </c>
      <c r="C11627" s="417" t="s">
        <v>25799</v>
      </c>
      <c r="D11627" s="417" t="s">
        <v>224</v>
      </c>
      <c r="E11627" s="423">
        <v>1.047887244596188E-2</v>
      </c>
      <c r="F11627" s="423">
        <v>3.4805806832677782E-4</v>
      </c>
      <c r="G11627" s="422">
        <v>34.378828087147269</v>
      </c>
      <c r="H11627" s="417" t="s">
        <v>2616</v>
      </c>
      <c r="I11627" s="417" t="s">
        <v>1392</v>
      </c>
      <c r="J11627" s="417" t="s">
        <v>25793</v>
      </c>
      <c r="K11627" s="417" t="s">
        <v>25800</v>
      </c>
      <c r="L11627" s="417"/>
      <c r="M11627" s="417" t="s">
        <v>28840</v>
      </c>
    </row>
    <row r="11628" spans="1:13" x14ac:dyDescent="0.25">
      <c r="A11628" s="417" t="s">
        <v>3385</v>
      </c>
      <c r="B11628" s="417" t="s">
        <v>3405</v>
      </c>
      <c r="C11628" s="417" t="s">
        <v>25801</v>
      </c>
      <c r="D11628" s="417" t="s">
        <v>224</v>
      </c>
      <c r="E11628" s="423">
        <v>1.581064213965859E-2</v>
      </c>
      <c r="F11628" s="423">
        <v>4.8104822624549237E-3</v>
      </c>
      <c r="G11628" s="422">
        <v>170.62701356378071</v>
      </c>
      <c r="H11628" s="417" t="s">
        <v>2616</v>
      </c>
      <c r="I11628" s="417" t="s">
        <v>1392</v>
      </c>
      <c r="J11628" s="417" t="s">
        <v>25793</v>
      </c>
      <c r="K11628" s="417" t="s">
        <v>25802</v>
      </c>
      <c r="L11628" s="417"/>
      <c r="M11628" s="417" t="s">
        <v>28840</v>
      </c>
    </row>
    <row r="11629" spans="1:13" x14ac:dyDescent="0.25">
      <c r="A11629" s="417" t="s">
        <v>3385</v>
      </c>
      <c r="B11629" s="417" t="s">
        <v>3405</v>
      </c>
      <c r="C11629" s="417" t="s">
        <v>25803</v>
      </c>
      <c r="D11629" s="417" t="s">
        <v>224</v>
      </c>
      <c r="E11629" s="423">
        <v>7.3525489159711362E-3</v>
      </c>
      <c r="F11629" s="423">
        <v>1.90690167466085E-4</v>
      </c>
      <c r="G11629" s="422">
        <v>28.555534723072089</v>
      </c>
      <c r="H11629" s="417" t="s">
        <v>2616</v>
      </c>
      <c r="I11629" s="417" t="s">
        <v>1392</v>
      </c>
      <c r="J11629" s="417" t="s">
        <v>25793</v>
      </c>
      <c r="K11629" s="417" t="s">
        <v>25804</v>
      </c>
      <c r="L11629" s="417"/>
      <c r="M11629" s="417" t="s">
        <v>28840</v>
      </c>
    </row>
    <row r="11630" spans="1:13" x14ac:dyDescent="0.25">
      <c r="A11630" s="417" t="s">
        <v>3385</v>
      </c>
      <c r="B11630" s="417" t="s">
        <v>3405</v>
      </c>
      <c r="C11630" s="417" t="s">
        <v>25805</v>
      </c>
      <c r="D11630" s="417" t="s">
        <v>224</v>
      </c>
      <c r="E11630" s="423">
        <v>3.122734545722454E-2</v>
      </c>
      <c r="F11630" s="423">
        <v>0.3293114327886979</v>
      </c>
      <c r="G11630" s="422">
        <v>120.12834844835859</v>
      </c>
      <c r="H11630" s="417" t="s">
        <v>2616</v>
      </c>
      <c r="I11630" s="417" t="s">
        <v>1392</v>
      </c>
      <c r="J11630" s="417" t="s">
        <v>25793</v>
      </c>
      <c r="K11630" s="417" t="s">
        <v>25806</v>
      </c>
      <c r="L11630" s="417"/>
      <c r="M11630" s="417" t="s">
        <v>28840</v>
      </c>
    </row>
    <row r="11631" spans="1:13" x14ac:dyDescent="0.25">
      <c r="A11631" s="417" t="s">
        <v>3385</v>
      </c>
      <c r="B11631" s="417" t="s">
        <v>3405</v>
      </c>
      <c r="C11631" s="417" t="s">
        <v>25807</v>
      </c>
      <c r="D11631" s="417" t="s">
        <v>224</v>
      </c>
      <c r="E11631" s="423">
        <v>2.1494433061357419E-2</v>
      </c>
      <c r="F11631" s="423">
        <v>0.11078920750056841</v>
      </c>
      <c r="G11631" s="422">
        <v>75.734323105199479</v>
      </c>
      <c r="H11631" s="417" t="s">
        <v>2616</v>
      </c>
      <c r="I11631" s="417" t="s">
        <v>1392</v>
      </c>
      <c r="J11631" s="417" t="s">
        <v>25793</v>
      </c>
      <c r="K11631" s="417" t="s">
        <v>25808</v>
      </c>
      <c r="L11631" s="417"/>
      <c r="M11631" s="417" t="s">
        <v>28840</v>
      </c>
    </row>
    <row r="11632" spans="1:13" x14ac:dyDescent="0.25">
      <c r="A11632" s="417" t="s">
        <v>3385</v>
      </c>
      <c r="B11632" s="417" t="s">
        <v>3405</v>
      </c>
      <c r="C11632" s="417" t="s">
        <v>25809</v>
      </c>
      <c r="D11632" s="417" t="s">
        <v>224</v>
      </c>
      <c r="E11632" s="423">
        <v>2.1511999966317481E-2</v>
      </c>
      <c r="F11632" s="423">
        <v>2.7172854300896651E-2</v>
      </c>
      <c r="G11632" s="422">
        <v>54.408184048452377</v>
      </c>
      <c r="H11632" s="417" t="s">
        <v>2616</v>
      </c>
      <c r="I11632" s="417" t="s">
        <v>1392</v>
      </c>
      <c r="J11632" s="417" t="s">
        <v>25793</v>
      </c>
      <c r="K11632" s="417" t="s">
        <v>25810</v>
      </c>
      <c r="L11632" s="417"/>
      <c r="M11632" s="417" t="s">
        <v>28840</v>
      </c>
    </row>
    <row r="11633" spans="1:13" x14ac:dyDescent="0.25">
      <c r="A11633" s="417" t="s">
        <v>3385</v>
      </c>
      <c r="B11633" s="417" t="s">
        <v>3405</v>
      </c>
      <c r="C11633" s="417" t="s">
        <v>25811</v>
      </c>
      <c r="D11633" s="417" t="s">
        <v>224</v>
      </c>
      <c r="E11633" s="423">
        <v>3.1784553253776521E-2</v>
      </c>
      <c r="F11633" s="423">
        <v>0.28625035839468338</v>
      </c>
      <c r="G11633" s="422">
        <v>114.9277500914567</v>
      </c>
      <c r="H11633" s="417" t="s">
        <v>2616</v>
      </c>
      <c r="I11633" s="417" t="s">
        <v>1392</v>
      </c>
      <c r="J11633" s="417" t="s">
        <v>25793</v>
      </c>
      <c r="K11633" s="417" t="s">
        <v>25812</v>
      </c>
      <c r="L11633" s="417"/>
      <c r="M11633" s="417" t="s">
        <v>28840</v>
      </c>
    </row>
    <row r="11634" spans="1:13" x14ac:dyDescent="0.25">
      <c r="A11634" s="417" t="s">
        <v>3385</v>
      </c>
      <c r="B11634" s="417" t="s">
        <v>3405</v>
      </c>
      <c r="C11634" s="417" t="s">
        <v>25813</v>
      </c>
      <c r="D11634" s="417" t="s">
        <v>224</v>
      </c>
      <c r="E11634" s="423">
        <v>8.8246634319636155E-2</v>
      </c>
      <c r="F11634" s="423">
        <v>0.11025918097446891</v>
      </c>
      <c r="G11634" s="422">
        <v>153.1714586994448</v>
      </c>
      <c r="H11634" s="417" t="s">
        <v>2616</v>
      </c>
      <c r="I11634" s="417" t="s">
        <v>1392</v>
      </c>
      <c r="J11634" s="417" t="s">
        <v>25793</v>
      </c>
      <c r="K11634" s="417" t="s">
        <v>25814</v>
      </c>
      <c r="L11634" s="417"/>
      <c r="M11634" s="417" t="s">
        <v>28840</v>
      </c>
    </row>
    <row r="11635" spans="1:13" x14ac:dyDescent="0.25">
      <c r="A11635" s="417" t="s">
        <v>3385</v>
      </c>
      <c r="B11635" s="417" t="s">
        <v>3405</v>
      </c>
      <c r="C11635" s="417" t="s">
        <v>25815</v>
      </c>
      <c r="D11635" s="417" t="s">
        <v>224</v>
      </c>
      <c r="E11635" s="423">
        <v>2.326733296593806E-2</v>
      </c>
      <c r="F11635" s="423">
        <v>0.21072761702785081</v>
      </c>
      <c r="G11635" s="422">
        <v>88.350136508779372</v>
      </c>
      <c r="H11635" s="417" t="s">
        <v>2616</v>
      </c>
      <c r="I11635" s="417" t="s">
        <v>1392</v>
      </c>
      <c r="J11635" s="417" t="s">
        <v>25793</v>
      </c>
      <c r="K11635" s="417" t="s">
        <v>25816</v>
      </c>
      <c r="L11635" s="417"/>
      <c r="M11635" s="417" t="s">
        <v>28840</v>
      </c>
    </row>
    <row r="11636" spans="1:13" x14ac:dyDescent="0.25">
      <c r="A11636" s="417" t="s">
        <v>3385</v>
      </c>
      <c r="B11636" s="417" t="s">
        <v>3405</v>
      </c>
      <c r="C11636" s="417" t="s">
        <v>25817</v>
      </c>
      <c r="D11636" s="417" t="s">
        <v>224</v>
      </c>
      <c r="E11636" s="423">
        <v>9.5809688288836202E-3</v>
      </c>
      <c r="F11636" s="423">
        <v>2.4259605847183049E-2</v>
      </c>
      <c r="G11636" s="422">
        <v>36.207787294222157</v>
      </c>
      <c r="H11636" s="417" t="s">
        <v>2616</v>
      </c>
      <c r="I11636" s="417" t="s">
        <v>1392</v>
      </c>
      <c r="J11636" s="417" t="s">
        <v>25793</v>
      </c>
      <c r="K11636" s="417" t="s">
        <v>25818</v>
      </c>
      <c r="L11636" s="417"/>
      <c r="M11636" s="417" t="s">
        <v>28840</v>
      </c>
    </row>
    <row r="11637" spans="1:13" x14ac:dyDescent="0.25">
      <c r="A11637" s="417" t="s">
        <v>3385</v>
      </c>
      <c r="B11637" s="417" t="s">
        <v>3405</v>
      </c>
      <c r="C11637" s="417" t="s">
        <v>25819</v>
      </c>
      <c r="D11637" s="417" t="s">
        <v>224</v>
      </c>
      <c r="E11637" s="423">
        <v>2.8517885175758099E-2</v>
      </c>
      <c r="F11637" s="423">
        <v>0.20841131250151829</v>
      </c>
      <c r="G11637" s="422">
        <v>98.494084209988358</v>
      </c>
      <c r="H11637" s="417" t="s">
        <v>2616</v>
      </c>
      <c r="I11637" s="417" t="s">
        <v>1392</v>
      </c>
      <c r="J11637" s="417" t="s">
        <v>25793</v>
      </c>
      <c r="K11637" s="417" t="s">
        <v>25820</v>
      </c>
      <c r="L11637" s="417"/>
      <c r="M11637" s="417" t="s">
        <v>28840</v>
      </c>
    </row>
    <row r="11638" spans="1:13" x14ac:dyDescent="0.25">
      <c r="A11638" s="417" t="s">
        <v>3385</v>
      </c>
      <c r="B11638" s="417" t="s">
        <v>3405</v>
      </c>
      <c r="C11638" s="417" t="s">
        <v>25821</v>
      </c>
      <c r="D11638" s="417" t="s">
        <v>224</v>
      </c>
      <c r="E11638" s="423">
        <v>8.8192869692256294E-3</v>
      </c>
      <c r="F11638" s="423">
        <v>2.5425282772678301E-4</v>
      </c>
      <c r="G11638" s="422">
        <v>31.36524285488122</v>
      </c>
      <c r="H11638" s="417" t="s">
        <v>2616</v>
      </c>
      <c r="I11638" s="417" t="s">
        <v>1392</v>
      </c>
      <c r="J11638" s="417" t="s">
        <v>25793</v>
      </c>
      <c r="K11638" s="417" t="s">
        <v>25822</v>
      </c>
      <c r="L11638" s="417"/>
      <c r="M11638" s="417" t="s">
        <v>28840</v>
      </c>
    </row>
    <row r="11639" spans="1:13" x14ac:dyDescent="0.25">
      <c r="A11639" s="417" t="s">
        <v>3385</v>
      </c>
      <c r="B11639" s="417" t="s">
        <v>3405</v>
      </c>
      <c r="C11639" s="417" t="s">
        <v>25823</v>
      </c>
      <c r="D11639" s="417" t="s">
        <v>224</v>
      </c>
      <c r="E11639" s="423">
        <v>7.0480967288568577E-2</v>
      </c>
      <c r="F11639" s="423">
        <v>0.1162035568467804</v>
      </c>
      <c r="G11639" s="422">
        <v>128.33971041700801</v>
      </c>
      <c r="H11639" s="417" t="s">
        <v>2616</v>
      </c>
      <c r="I11639" s="417" t="s">
        <v>1392</v>
      </c>
      <c r="J11639" s="417" t="s">
        <v>25793</v>
      </c>
      <c r="K11639" s="417" t="s">
        <v>25824</v>
      </c>
      <c r="L11639" s="417"/>
      <c r="M11639" s="417" t="s">
        <v>28840</v>
      </c>
    </row>
    <row r="11640" spans="1:13" x14ac:dyDescent="0.25">
      <c r="A11640" s="417" t="s">
        <v>3385</v>
      </c>
      <c r="B11640" s="417" t="s">
        <v>3405</v>
      </c>
      <c r="C11640" s="417" t="s">
        <v>25825</v>
      </c>
      <c r="D11640" s="417" t="s">
        <v>224</v>
      </c>
      <c r="E11640" s="423">
        <v>1.5140841860820139E-2</v>
      </c>
      <c r="F11640" s="423">
        <v>0.10017550278536121</v>
      </c>
      <c r="G11640" s="422">
        <v>57.351745916984711</v>
      </c>
      <c r="H11640" s="417" t="s">
        <v>2616</v>
      </c>
      <c r="I11640" s="417" t="s">
        <v>1392</v>
      </c>
      <c r="J11640" s="417" t="s">
        <v>25793</v>
      </c>
      <c r="K11640" s="417" t="s">
        <v>25826</v>
      </c>
      <c r="L11640" s="417"/>
      <c r="M11640" s="417" t="s">
        <v>28840</v>
      </c>
    </row>
    <row r="11641" spans="1:13" x14ac:dyDescent="0.25">
      <c r="A11641" s="417" t="s">
        <v>3385</v>
      </c>
      <c r="B11641" s="417" t="s">
        <v>3405</v>
      </c>
      <c r="C11641" s="417" t="s">
        <v>25827</v>
      </c>
      <c r="D11641" s="417" t="s">
        <v>224</v>
      </c>
      <c r="E11641" s="423">
        <v>0.21097716505665759</v>
      </c>
      <c r="F11641" s="423">
        <v>4.0030499861539011E-2</v>
      </c>
      <c r="G11641" s="422">
        <v>283.27694647526329</v>
      </c>
      <c r="H11641" s="417" t="s">
        <v>2616</v>
      </c>
      <c r="I11641" s="417" t="s">
        <v>1392</v>
      </c>
      <c r="J11641" s="417" t="s">
        <v>25793</v>
      </c>
      <c r="K11641" s="417" t="s">
        <v>25828</v>
      </c>
      <c r="L11641" s="417"/>
      <c r="M11641" s="417" t="s">
        <v>28840</v>
      </c>
    </row>
    <row r="11642" spans="1:13" x14ac:dyDescent="0.25">
      <c r="A11642" s="417" t="s">
        <v>3385</v>
      </c>
      <c r="B11642" s="417" t="s">
        <v>3405</v>
      </c>
      <c r="C11642" s="417" t="s">
        <v>25829</v>
      </c>
      <c r="D11642" s="417" t="s">
        <v>224</v>
      </c>
      <c r="E11642" s="423">
        <v>1.1298167407993489E-2</v>
      </c>
      <c r="F11642" s="423">
        <v>3.5221637792491302E-4</v>
      </c>
      <c r="G11642" s="422">
        <v>35.899432288658822</v>
      </c>
      <c r="H11642" s="417" t="s">
        <v>2616</v>
      </c>
      <c r="I11642" s="417" t="s">
        <v>1392</v>
      </c>
      <c r="J11642" s="417" t="s">
        <v>25793</v>
      </c>
      <c r="K11642" s="417" t="s">
        <v>25830</v>
      </c>
      <c r="L11642" s="417"/>
      <c r="M11642" s="417" t="s">
        <v>28840</v>
      </c>
    </row>
    <row r="11643" spans="1:13" x14ac:dyDescent="0.25">
      <c r="A11643" s="417" t="s">
        <v>3385</v>
      </c>
      <c r="B11643" s="417" t="s">
        <v>3405</v>
      </c>
      <c r="C11643" s="417" t="s">
        <v>25831</v>
      </c>
      <c r="D11643" s="417" t="s">
        <v>224</v>
      </c>
      <c r="E11643" s="423">
        <v>1.597078962597262E-2</v>
      </c>
      <c r="F11643" s="423">
        <v>0.1045469693035407</v>
      </c>
      <c r="G11643" s="422">
        <v>62.060793657314683</v>
      </c>
      <c r="H11643" s="417" t="s">
        <v>2616</v>
      </c>
      <c r="I11643" s="417" t="s">
        <v>1392</v>
      </c>
      <c r="J11643" s="417" t="s">
        <v>25793</v>
      </c>
      <c r="K11643" s="417" t="s">
        <v>25832</v>
      </c>
      <c r="L11643" s="417"/>
      <c r="M11643" s="417" t="s">
        <v>28840</v>
      </c>
    </row>
    <row r="11644" spans="1:13" x14ac:dyDescent="0.25">
      <c r="A11644" s="417" t="s">
        <v>3385</v>
      </c>
      <c r="B11644" s="417" t="s">
        <v>3405</v>
      </c>
      <c r="C11644" s="417" t="s">
        <v>25833</v>
      </c>
      <c r="D11644" s="417" t="s">
        <v>224</v>
      </c>
      <c r="E11644" s="423">
        <v>3.5428768897071708E-2</v>
      </c>
      <c r="F11644" s="423">
        <v>0.34831944757340511</v>
      </c>
      <c r="G11644" s="422">
        <v>130.54341852243331</v>
      </c>
      <c r="H11644" s="417" t="s">
        <v>2616</v>
      </c>
      <c r="I11644" s="417" t="s">
        <v>1392</v>
      </c>
      <c r="J11644" s="417" t="s">
        <v>25793</v>
      </c>
      <c r="K11644" s="417" t="s">
        <v>25834</v>
      </c>
      <c r="L11644" s="417"/>
      <c r="M11644" s="417" t="s">
        <v>28840</v>
      </c>
    </row>
    <row r="11645" spans="1:13" x14ac:dyDescent="0.25">
      <c r="A11645" s="417" t="s">
        <v>3385</v>
      </c>
      <c r="B11645" s="417" t="s">
        <v>3405</v>
      </c>
      <c r="C11645" s="417" t="s">
        <v>25835</v>
      </c>
      <c r="D11645" s="417" t="s">
        <v>224</v>
      </c>
      <c r="E11645" s="423">
        <v>0.1589397892055453</v>
      </c>
      <c r="F11645" s="423">
        <v>3.8219637227776222E-2</v>
      </c>
      <c r="G11645" s="422">
        <v>218.95850443993501</v>
      </c>
      <c r="H11645" s="417" t="s">
        <v>2616</v>
      </c>
      <c r="I11645" s="417" t="s">
        <v>1392</v>
      </c>
      <c r="J11645" s="417" t="s">
        <v>25793</v>
      </c>
      <c r="K11645" s="417" t="s">
        <v>25836</v>
      </c>
      <c r="L11645" s="417"/>
      <c r="M11645" s="417" t="s">
        <v>28840</v>
      </c>
    </row>
    <row r="11646" spans="1:13" x14ac:dyDescent="0.25">
      <c r="A11646" s="417" t="s">
        <v>3385</v>
      </c>
      <c r="B11646" s="417" t="s">
        <v>3405</v>
      </c>
      <c r="C11646" s="417" t="s">
        <v>25837</v>
      </c>
      <c r="D11646" s="417" t="s">
        <v>224</v>
      </c>
      <c r="E11646" s="423">
        <v>2.0140733092971461E-2</v>
      </c>
      <c r="F11646" s="423">
        <v>0.12940561098170411</v>
      </c>
      <c r="G11646" s="422">
        <v>70.798114185541195</v>
      </c>
      <c r="H11646" s="417" t="s">
        <v>2616</v>
      </c>
      <c r="I11646" s="417" t="s">
        <v>1392</v>
      </c>
      <c r="J11646" s="417" t="s">
        <v>25793</v>
      </c>
      <c r="K11646" s="417" t="s">
        <v>25838</v>
      </c>
      <c r="L11646" s="417"/>
      <c r="M11646" s="417" t="s">
        <v>28840</v>
      </c>
    </row>
    <row r="11647" spans="1:13" x14ac:dyDescent="0.25">
      <c r="A11647" s="417" t="s">
        <v>3385</v>
      </c>
      <c r="B11647" s="417" t="s">
        <v>3405</v>
      </c>
      <c r="C11647" s="417" t="s">
        <v>25839</v>
      </c>
      <c r="D11647" s="417" t="s">
        <v>224</v>
      </c>
      <c r="E11647" s="423">
        <v>7.3525489159711362E-3</v>
      </c>
      <c r="F11647" s="423">
        <v>1.90690167466085E-4</v>
      </c>
      <c r="G11647" s="422">
        <v>28.555534723072089</v>
      </c>
      <c r="H11647" s="417" t="s">
        <v>2616</v>
      </c>
      <c r="I11647" s="417" t="s">
        <v>1392</v>
      </c>
      <c r="J11647" s="417" t="s">
        <v>25793</v>
      </c>
      <c r="K11647" s="417" t="s">
        <v>25840</v>
      </c>
      <c r="L11647" s="417"/>
      <c r="M11647" s="417" t="s">
        <v>28840</v>
      </c>
    </row>
    <row r="11648" spans="1:13" x14ac:dyDescent="0.25">
      <c r="A11648" s="417" t="s">
        <v>3385</v>
      </c>
      <c r="B11648" s="417" t="s">
        <v>3405</v>
      </c>
      <c r="C11648" s="417" t="s">
        <v>25841</v>
      </c>
      <c r="D11648" s="417" t="s">
        <v>224</v>
      </c>
      <c r="E11648" s="423">
        <v>2.377031949928312E-2</v>
      </c>
      <c r="F11648" s="423">
        <v>8.3987701961733163E-2</v>
      </c>
      <c r="G11648" s="422">
        <v>67.491216804618119</v>
      </c>
      <c r="H11648" s="417" t="s">
        <v>2616</v>
      </c>
      <c r="I11648" s="417" t="s">
        <v>1392</v>
      </c>
      <c r="J11648" s="417" t="s">
        <v>25793</v>
      </c>
      <c r="K11648" s="417" t="s">
        <v>25842</v>
      </c>
      <c r="L11648" s="417"/>
      <c r="M11648" s="417" t="s">
        <v>28840</v>
      </c>
    </row>
    <row r="11649" spans="1:13" x14ac:dyDescent="0.25">
      <c r="A11649" s="417" t="s">
        <v>3385</v>
      </c>
      <c r="B11649" s="417" t="s">
        <v>3405</v>
      </c>
      <c r="C11649" s="417" t="s">
        <v>25843</v>
      </c>
      <c r="D11649" s="417" t="s">
        <v>224</v>
      </c>
      <c r="E11649" s="423">
        <v>8.9438168732792513E-3</v>
      </c>
      <c r="F11649" s="423">
        <v>1.335946014919146E-2</v>
      </c>
      <c r="G11649" s="422">
        <v>34.897036196143382</v>
      </c>
      <c r="H11649" s="417" t="s">
        <v>2616</v>
      </c>
      <c r="I11649" s="417" t="s">
        <v>1392</v>
      </c>
      <c r="J11649" s="417" t="s">
        <v>25793</v>
      </c>
      <c r="K11649" s="417" t="s">
        <v>25844</v>
      </c>
      <c r="L11649" s="417"/>
      <c r="M11649" s="417" t="s">
        <v>28840</v>
      </c>
    </row>
    <row r="11650" spans="1:13" x14ac:dyDescent="0.25">
      <c r="A11650" s="417" t="s">
        <v>3385</v>
      </c>
      <c r="B11650" s="417" t="s">
        <v>3405</v>
      </c>
      <c r="C11650" s="417" t="s">
        <v>25845</v>
      </c>
      <c r="D11650" s="417" t="s">
        <v>224</v>
      </c>
      <c r="E11650" s="423">
        <v>2.3981061738275751E-2</v>
      </c>
      <c r="F11650" s="423">
        <v>0.18066965032513679</v>
      </c>
      <c r="G11650" s="422">
        <v>85.271264167592122</v>
      </c>
      <c r="H11650" s="417" t="s">
        <v>2616</v>
      </c>
      <c r="I11650" s="417" t="s">
        <v>1392</v>
      </c>
      <c r="J11650" s="417" t="s">
        <v>25793</v>
      </c>
      <c r="K11650" s="417" t="s">
        <v>25846</v>
      </c>
      <c r="L11650" s="417"/>
      <c r="M11650" s="417" t="s">
        <v>28840</v>
      </c>
    </row>
    <row r="11651" spans="1:13" x14ac:dyDescent="0.25">
      <c r="A11651" s="417" t="s">
        <v>3385</v>
      </c>
      <c r="B11651" s="417" t="s">
        <v>3405</v>
      </c>
      <c r="C11651" s="417" t="s">
        <v>25847</v>
      </c>
      <c r="D11651" s="417" t="s">
        <v>224</v>
      </c>
      <c r="E11651" s="423">
        <v>7.3703592728430944E-3</v>
      </c>
      <c r="F11651" s="423">
        <v>1.9240888087544269E-4</v>
      </c>
      <c r="G11651" s="422">
        <v>28.589929916746229</v>
      </c>
      <c r="H11651" s="417" t="s">
        <v>2616</v>
      </c>
      <c r="I11651" s="417" t="s">
        <v>1392</v>
      </c>
      <c r="J11651" s="417" t="s">
        <v>25793</v>
      </c>
      <c r="K11651" s="417" t="s">
        <v>25848</v>
      </c>
      <c r="L11651" s="417"/>
      <c r="M11651" s="417" t="s">
        <v>28840</v>
      </c>
    </row>
    <row r="11652" spans="1:13" x14ac:dyDescent="0.25">
      <c r="A11652" s="417" t="s">
        <v>3385</v>
      </c>
      <c r="B11652" s="417" t="s">
        <v>3405</v>
      </c>
      <c r="C11652" s="417" t="s">
        <v>25849</v>
      </c>
      <c r="D11652" s="417" t="s">
        <v>224</v>
      </c>
      <c r="E11652" s="423">
        <v>1.294436890371259E-2</v>
      </c>
      <c r="F11652" s="423">
        <v>4.464059636819602E-2</v>
      </c>
      <c r="G11652" s="422">
        <v>45.304832858875983</v>
      </c>
      <c r="H11652" s="417" t="s">
        <v>2616</v>
      </c>
      <c r="I11652" s="417" t="s">
        <v>1392</v>
      </c>
      <c r="J11652" s="417" t="s">
        <v>25793</v>
      </c>
      <c r="K11652" s="417" t="s">
        <v>25850</v>
      </c>
      <c r="L11652" s="417"/>
      <c r="M11652" s="417" t="s">
        <v>28840</v>
      </c>
    </row>
    <row r="11653" spans="1:13" x14ac:dyDescent="0.25">
      <c r="A11653" s="417" t="s">
        <v>3385</v>
      </c>
      <c r="B11653" s="417" t="s">
        <v>3405</v>
      </c>
      <c r="C11653" s="417" t="s">
        <v>25851</v>
      </c>
      <c r="D11653" s="417" t="s">
        <v>224</v>
      </c>
      <c r="E11653" s="423">
        <v>1.39483758124491E-2</v>
      </c>
      <c r="F11653" s="423">
        <v>6.2783807733081703E-2</v>
      </c>
      <c r="G11653" s="422">
        <v>200.59286133580579</v>
      </c>
      <c r="H11653" s="417" t="s">
        <v>2616</v>
      </c>
      <c r="I11653" s="417" t="s">
        <v>1392</v>
      </c>
      <c r="J11653" s="417" t="s">
        <v>25793</v>
      </c>
      <c r="K11653" s="417" t="s">
        <v>25852</v>
      </c>
      <c r="L11653" s="417"/>
      <c r="M11653" s="417" t="s">
        <v>28840</v>
      </c>
    </row>
    <row r="11654" spans="1:13" x14ac:dyDescent="0.25">
      <c r="A11654" s="417" t="s">
        <v>3385</v>
      </c>
      <c r="B11654" s="417" t="s">
        <v>3405</v>
      </c>
      <c r="C11654" s="417" t="s">
        <v>25853</v>
      </c>
      <c r="D11654" s="417" t="s">
        <v>224</v>
      </c>
      <c r="E11654" s="423">
        <v>1.686525398911146E-2</v>
      </c>
      <c r="F11654" s="423">
        <v>0.11391170457967451</v>
      </c>
      <c r="G11654" s="422">
        <v>63.028733863886927</v>
      </c>
      <c r="H11654" s="417" t="s">
        <v>2616</v>
      </c>
      <c r="I11654" s="417" t="s">
        <v>1392</v>
      </c>
      <c r="J11654" s="417" t="s">
        <v>25793</v>
      </c>
      <c r="K11654" s="417" t="s">
        <v>25854</v>
      </c>
      <c r="L11654" s="417"/>
      <c r="M11654" s="417" t="s">
        <v>28840</v>
      </c>
    </row>
    <row r="11655" spans="1:13" x14ac:dyDescent="0.25">
      <c r="A11655" s="417" t="s">
        <v>3385</v>
      </c>
      <c r="B11655" s="417" t="s">
        <v>3405</v>
      </c>
      <c r="C11655" s="417" t="s">
        <v>25855</v>
      </c>
      <c r="D11655" s="417" t="s">
        <v>224</v>
      </c>
      <c r="E11655" s="423">
        <v>3.6642460746155771E-2</v>
      </c>
      <c r="F11655" s="423">
        <v>0.39848086875490762</v>
      </c>
      <c r="G11655" s="422">
        <v>139.9709793400055</v>
      </c>
      <c r="H11655" s="417" t="s">
        <v>2616</v>
      </c>
      <c r="I11655" s="417" t="s">
        <v>1392</v>
      </c>
      <c r="J11655" s="417" t="s">
        <v>25793</v>
      </c>
      <c r="K11655" s="417" t="s">
        <v>25856</v>
      </c>
      <c r="L11655" s="417"/>
      <c r="M11655" s="417" t="s">
        <v>28840</v>
      </c>
    </row>
    <row r="11656" spans="1:13" x14ac:dyDescent="0.25">
      <c r="A11656" s="417" t="s">
        <v>3385</v>
      </c>
      <c r="B11656" s="417" t="s">
        <v>3405</v>
      </c>
      <c r="C11656" s="417" t="s">
        <v>25857</v>
      </c>
      <c r="D11656" s="417" t="s">
        <v>224</v>
      </c>
      <c r="E11656" s="423">
        <v>0.1451788293849525</v>
      </c>
      <c r="F11656" s="423">
        <v>1.4712099167813001E-2</v>
      </c>
      <c r="G11656" s="422">
        <v>200.18641913706361</v>
      </c>
      <c r="H11656" s="417" t="s">
        <v>2616</v>
      </c>
      <c r="I11656" s="417" t="s">
        <v>1392</v>
      </c>
      <c r="J11656" s="417" t="s">
        <v>25793</v>
      </c>
      <c r="K11656" s="417" t="s">
        <v>25858</v>
      </c>
      <c r="L11656" s="417"/>
      <c r="M11656" s="417" t="s">
        <v>28840</v>
      </c>
    </row>
    <row r="11657" spans="1:13" x14ac:dyDescent="0.25">
      <c r="A11657" s="417" t="s">
        <v>3385</v>
      </c>
      <c r="B11657" s="417" t="s">
        <v>3405</v>
      </c>
      <c r="C11657" s="417" t="s">
        <v>25859</v>
      </c>
      <c r="D11657" s="417" t="s">
        <v>224</v>
      </c>
      <c r="E11657" s="423">
        <v>8.701270052909546E-2</v>
      </c>
      <c r="F11657" s="423">
        <v>8.6620865274497236E-2</v>
      </c>
      <c r="G11657" s="422">
        <v>416.93406310219109</v>
      </c>
      <c r="H11657" s="417" t="s">
        <v>2616</v>
      </c>
      <c r="I11657" s="417" t="s">
        <v>1392</v>
      </c>
      <c r="J11657" s="417" t="s">
        <v>25793</v>
      </c>
      <c r="K11657" s="417" t="s">
        <v>25860</v>
      </c>
      <c r="L11657" s="417"/>
      <c r="M11657" s="417" t="s">
        <v>28840</v>
      </c>
    </row>
    <row r="11658" spans="1:13" x14ac:dyDescent="0.25">
      <c r="A11658" s="417" t="s">
        <v>3385</v>
      </c>
      <c r="B11658" s="417" t="s">
        <v>3405</v>
      </c>
      <c r="C11658" s="417" t="s">
        <v>25861</v>
      </c>
      <c r="D11658" s="417" t="s">
        <v>224</v>
      </c>
      <c r="E11658" s="423">
        <v>1.35164426235608E-2</v>
      </c>
      <c r="F11658" s="423">
        <v>3.9068446431421769E-4</v>
      </c>
      <c r="G11658" s="422">
        <v>40.115627029083278</v>
      </c>
      <c r="H11658" s="417" t="s">
        <v>2616</v>
      </c>
      <c r="I11658" s="417" t="s">
        <v>1392</v>
      </c>
      <c r="J11658" s="417" t="s">
        <v>25793</v>
      </c>
      <c r="K11658" s="417" t="s">
        <v>25862</v>
      </c>
      <c r="L11658" s="417"/>
      <c r="M11658" s="417" t="s">
        <v>28840</v>
      </c>
    </row>
    <row r="11659" spans="1:13" x14ac:dyDescent="0.25">
      <c r="A11659" s="417" t="s">
        <v>3385</v>
      </c>
      <c r="B11659" s="417" t="s">
        <v>3405</v>
      </c>
      <c r="C11659" s="417" t="s">
        <v>25863</v>
      </c>
      <c r="D11659" s="417" t="s">
        <v>224</v>
      </c>
      <c r="E11659" s="423">
        <v>1.870514193818653E-2</v>
      </c>
      <c r="F11659" s="423">
        <v>4.968345862038143E-3</v>
      </c>
      <c r="G11659" s="422">
        <v>179.2195939538735</v>
      </c>
      <c r="H11659" s="417" t="s">
        <v>2616</v>
      </c>
      <c r="I11659" s="417" t="s">
        <v>1392</v>
      </c>
      <c r="J11659" s="417" t="s">
        <v>25793</v>
      </c>
      <c r="K11659" s="417" t="s">
        <v>25864</v>
      </c>
      <c r="L11659" s="417"/>
      <c r="M11659" s="417" t="s">
        <v>28840</v>
      </c>
    </row>
    <row r="11660" spans="1:13" x14ac:dyDescent="0.25">
      <c r="A11660" s="417" t="s">
        <v>3385</v>
      </c>
      <c r="B11660" s="417" t="s">
        <v>3405</v>
      </c>
      <c r="C11660" s="417" t="s">
        <v>25865</v>
      </c>
      <c r="D11660" s="417" t="s">
        <v>224</v>
      </c>
      <c r="E11660" s="423">
        <v>1.0002134277355291E-2</v>
      </c>
      <c r="F11660" s="423">
        <v>2.1898982750480499E-4</v>
      </c>
      <c r="G11660" s="422">
        <v>33.138702627499057</v>
      </c>
      <c r="H11660" s="417" t="s">
        <v>2616</v>
      </c>
      <c r="I11660" s="417" t="s">
        <v>1392</v>
      </c>
      <c r="J11660" s="417" t="s">
        <v>25793</v>
      </c>
      <c r="K11660" s="417" t="s">
        <v>25866</v>
      </c>
      <c r="L11660" s="417"/>
      <c r="M11660" s="417" t="s">
        <v>28840</v>
      </c>
    </row>
    <row r="11661" spans="1:13" x14ac:dyDescent="0.25">
      <c r="A11661" s="417" t="s">
        <v>3385</v>
      </c>
      <c r="B11661" s="417" t="s">
        <v>3405</v>
      </c>
      <c r="C11661" s="417" t="s">
        <v>25867</v>
      </c>
      <c r="D11661" s="417" t="s">
        <v>224</v>
      </c>
      <c r="E11661" s="423">
        <v>3.4584740320887521E-2</v>
      </c>
      <c r="F11661" s="423">
        <v>0.33888463420298398</v>
      </c>
      <c r="G11661" s="422">
        <v>127.42709414151609</v>
      </c>
      <c r="H11661" s="417" t="s">
        <v>2616</v>
      </c>
      <c r="I11661" s="417" t="s">
        <v>1392</v>
      </c>
      <c r="J11661" s="417" t="s">
        <v>25793</v>
      </c>
      <c r="K11661" s="417" t="s">
        <v>25868</v>
      </c>
      <c r="L11661" s="417"/>
      <c r="M11661" s="417" t="s">
        <v>28840</v>
      </c>
    </row>
    <row r="11662" spans="1:13" x14ac:dyDescent="0.25">
      <c r="A11662" s="417" t="s">
        <v>3385</v>
      </c>
      <c r="B11662" s="417" t="s">
        <v>3405</v>
      </c>
      <c r="C11662" s="417" t="s">
        <v>25869</v>
      </c>
      <c r="D11662" s="417" t="s">
        <v>224</v>
      </c>
      <c r="E11662" s="423">
        <v>2.4397617330267199E-2</v>
      </c>
      <c r="F11662" s="423">
        <v>0.1131389508812167</v>
      </c>
      <c r="G11662" s="422">
        <v>81.139766582868845</v>
      </c>
      <c r="H11662" s="417" t="s">
        <v>2616</v>
      </c>
      <c r="I11662" s="417" t="s">
        <v>1392</v>
      </c>
      <c r="J11662" s="417" t="s">
        <v>25793</v>
      </c>
      <c r="K11662" s="417" t="s">
        <v>25870</v>
      </c>
      <c r="L11662" s="417"/>
      <c r="M11662" s="417" t="s">
        <v>28840</v>
      </c>
    </row>
    <row r="11663" spans="1:13" x14ac:dyDescent="0.25">
      <c r="A11663" s="417" t="s">
        <v>3385</v>
      </c>
      <c r="B11663" s="417" t="s">
        <v>3405</v>
      </c>
      <c r="C11663" s="417" t="s">
        <v>25871</v>
      </c>
      <c r="D11663" s="417" t="s">
        <v>224</v>
      </c>
      <c r="E11663" s="423">
        <v>2.4527415334413358E-2</v>
      </c>
      <c r="F11663" s="423">
        <v>2.7907952948479781E-2</v>
      </c>
      <c r="G11663" s="422">
        <v>59.64869997677188</v>
      </c>
      <c r="H11663" s="417" t="s">
        <v>2616</v>
      </c>
      <c r="I11663" s="417" t="s">
        <v>1392</v>
      </c>
      <c r="J11663" s="417" t="s">
        <v>25793</v>
      </c>
      <c r="K11663" s="417" t="s">
        <v>25872</v>
      </c>
      <c r="L11663" s="417"/>
      <c r="M11663" s="417" t="s">
        <v>28840</v>
      </c>
    </row>
    <row r="11664" spans="1:13" x14ac:dyDescent="0.25">
      <c r="A11664" s="417" t="s">
        <v>3385</v>
      </c>
      <c r="B11664" s="417" t="s">
        <v>3405</v>
      </c>
      <c r="C11664" s="417" t="s">
        <v>25873</v>
      </c>
      <c r="D11664" s="417" t="s">
        <v>224</v>
      </c>
      <c r="E11664" s="423">
        <v>3.5905043323908023E-2</v>
      </c>
      <c r="F11664" s="423">
        <v>0.30130167230968807</v>
      </c>
      <c r="G11664" s="422">
        <v>124.7764792755605</v>
      </c>
      <c r="H11664" s="417" t="s">
        <v>2616</v>
      </c>
      <c r="I11664" s="417" t="s">
        <v>1392</v>
      </c>
      <c r="J11664" s="417" t="s">
        <v>25793</v>
      </c>
      <c r="K11664" s="417" t="s">
        <v>25874</v>
      </c>
      <c r="L11664" s="417"/>
      <c r="M11664" s="417" t="s">
        <v>28840</v>
      </c>
    </row>
    <row r="11665" spans="1:13" x14ac:dyDescent="0.25">
      <c r="A11665" s="417" t="s">
        <v>3385</v>
      </c>
      <c r="B11665" s="417" t="s">
        <v>3405</v>
      </c>
      <c r="C11665" s="417" t="s">
        <v>25875</v>
      </c>
      <c r="D11665" s="417" t="s">
        <v>224</v>
      </c>
      <c r="E11665" s="423">
        <v>9.2533966381354305E-2</v>
      </c>
      <c r="F11665" s="423">
        <v>0.1125757420628903</v>
      </c>
      <c r="G11665" s="422">
        <v>160.17244969803491</v>
      </c>
      <c r="H11665" s="417" t="s">
        <v>2616</v>
      </c>
      <c r="I11665" s="417" t="s">
        <v>1392</v>
      </c>
      <c r="J11665" s="417" t="s">
        <v>25793</v>
      </c>
      <c r="K11665" s="417" t="s">
        <v>25876</v>
      </c>
      <c r="L11665" s="417"/>
      <c r="M11665" s="417" t="s">
        <v>28840</v>
      </c>
    </row>
    <row r="11666" spans="1:13" x14ac:dyDescent="0.25">
      <c r="A11666" s="417" t="s">
        <v>3385</v>
      </c>
      <c r="B11666" s="417" t="s">
        <v>3405</v>
      </c>
      <c r="C11666" s="417" t="s">
        <v>25877</v>
      </c>
      <c r="D11666" s="417" t="s">
        <v>224</v>
      </c>
      <c r="E11666" s="423">
        <v>2.6068143415976391E-2</v>
      </c>
      <c r="F11666" s="423">
        <v>0.21391170122940389</v>
      </c>
      <c r="G11666" s="422">
        <v>93.490409487878068</v>
      </c>
      <c r="H11666" s="417" t="s">
        <v>2616</v>
      </c>
      <c r="I11666" s="417" t="s">
        <v>1392</v>
      </c>
      <c r="J11666" s="417" t="s">
        <v>25793</v>
      </c>
      <c r="K11666" s="417" t="s">
        <v>25878</v>
      </c>
      <c r="L11666" s="417"/>
      <c r="M11666" s="417" t="s">
        <v>28840</v>
      </c>
    </row>
    <row r="11667" spans="1:13" x14ac:dyDescent="0.25">
      <c r="A11667" s="417" t="s">
        <v>3385</v>
      </c>
      <c r="B11667" s="417" t="s">
        <v>3405</v>
      </c>
      <c r="C11667" s="417" t="s">
        <v>25879</v>
      </c>
      <c r="D11667" s="417" t="s">
        <v>224</v>
      </c>
      <c r="E11667" s="423">
        <v>1.228762428938497E-2</v>
      </c>
      <c r="F11667" s="423">
        <v>2.492808145469257E-2</v>
      </c>
      <c r="G11667" s="422">
        <v>40.985938249292637</v>
      </c>
      <c r="H11667" s="417" t="s">
        <v>2616</v>
      </c>
      <c r="I11667" s="417" t="s">
        <v>1392</v>
      </c>
      <c r="J11667" s="417" t="s">
        <v>25793</v>
      </c>
      <c r="K11667" s="417" t="s">
        <v>25880</v>
      </c>
      <c r="L11667" s="417"/>
      <c r="M11667" s="417" t="s">
        <v>28840</v>
      </c>
    </row>
    <row r="11668" spans="1:13" x14ac:dyDescent="0.25">
      <c r="A11668" s="417" t="s">
        <v>3385</v>
      </c>
      <c r="B11668" s="417" t="s">
        <v>3405</v>
      </c>
      <c r="C11668" s="417" t="s">
        <v>25881</v>
      </c>
      <c r="D11668" s="417" t="s">
        <v>224</v>
      </c>
      <c r="E11668" s="423">
        <v>3.1822371742799747E-2</v>
      </c>
      <c r="F11668" s="423">
        <v>0.21466598083223029</v>
      </c>
      <c r="G11668" s="422">
        <v>105.2540812020606</v>
      </c>
      <c r="H11668" s="417" t="s">
        <v>2616</v>
      </c>
      <c r="I11668" s="417" t="s">
        <v>1392</v>
      </c>
      <c r="J11668" s="417" t="s">
        <v>25793</v>
      </c>
      <c r="K11668" s="417" t="s">
        <v>25882</v>
      </c>
      <c r="L11668" s="417"/>
      <c r="M11668" s="417" t="s">
        <v>28840</v>
      </c>
    </row>
    <row r="11669" spans="1:13" x14ac:dyDescent="0.25">
      <c r="A11669" s="417" t="s">
        <v>3385</v>
      </c>
      <c r="B11669" s="417" t="s">
        <v>3405</v>
      </c>
      <c r="C11669" s="417" t="s">
        <v>25883</v>
      </c>
      <c r="D11669" s="417" t="s">
        <v>224</v>
      </c>
      <c r="E11669" s="423">
        <v>1.155507013848768E-2</v>
      </c>
      <c r="F11669" s="423">
        <v>2.8560992585131969E-4</v>
      </c>
      <c r="G11669" s="422">
        <v>36.190228576051233</v>
      </c>
      <c r="H11669" s="417" t="s">
        <v>2616</v>
      </c>
      <c r="I11669" s="417" t="s">
        <v>1392</v>
      </c>
      <c r="J11669" s="417" t="s">
        <v>25793</v>
      </c>
      <c r="K11669" s="417" t="s">
        <v>25884</v>
      </c>
      <c r="L11669" s="417"/>
      <c r="M11669" s="417" t="s">
        <v>28840</v>
      </c>
    </row>
    <row r="11670" spans="1:13" x14ac:dyDescent="0.25">
      <c r="A11670" s="417" t="s">
        <v>3385</v>
      </c>
      <c r="B11670" s="417" t="s">
        <v>3405</v>
      </c>
      <c r="C11670" s="417" t="s">
        <v>25885</v>
      </c>
      <c r="D11670" s="417" t="s">
        <v>224</v>
      </c>
      <c r="E11670" s="423">
        <v>7.5596949812964304E-2</v>
      </c>
      <c r="F11670" s="423">
        <v>0.12061922139783179</v>
      </c>
      <c r="G11670" s="422">
        <v>137.00597587330719</v>
      </c>
      <c r="H11670" s="417" t="s">
        <v>2616</v>
      </c>
      <c r="I11670" s="417" t="s">
        <v>1392</v>
      </c>
      <c r="J11670" s="417" t="s">
        <v>25793</v>
      </c>
      <c r="K11670" s="417" t="s">
        <v>25886</v>
      </c>
      <c r="L11670" s="417"/>
      <c r="M11670" s="417" t="s">
        <v>28840</v>
      </c>
    </row>
    <row r="11671" spans="1:13" x14ac:dyDescent="0.25">
      <c r="A11671" s="417" t="s">
        <v>3385</v>
      </c>
      <c r="B11671" s="417" t="s">
        <v>3405</v>
      </c>
      <c r="C11671" s="417" t="s">
        <v>25887</v>
      </c>
      <c r="D11671" s="417" t="s">
        <v>224</v>
      </c>
      <c r="E11671" s="423">
        <v>1.8171024156899519E-2</v>
      </c>
      <c r="F11671" s="423">
        <v>0.1040253770954235</v>
      </c>
      <c r="G11671" s="422">
        <v>63.357607408105942</v>
      </c>
      <c r="H11671" s="417" t="s">
        <v>2616</v>
      </c>
      <c r="I11671" s="417" t="s">
        <v>1392</v>
      </c>
      <c r="J11671" s="417" t="s">
        <v>25793</v>
      </c>
      <c r="K11671" s="417" t="s">
        <v>25888</v>
      </c>
      <c r="L11671" s="417"/>
      <c r="M11671" s="417" t="s">
        <v>28840</v>
      </c>
    </row>
    <row r="11672" spans="1:13" x14ac:dyDescent="0.25">
      <c r="A11672" s="417" t="s">
        <v>3385</v>
      </c>
      <c r="B11672" s="417" t="s">
        <v>3405</v>
      </c>
      <c r="C11672" s="417" t="s">
        <v>25889</v>
      </c>
      <c r="D11672" s="417" t="s">
        <v>224</v>
      </c>
      <c r="E11672" s="423">
        <v>0.22003255214589931</v>
      </c>
      <c r="F11672" s="423">
        <v>4.1306624589197129E-2</v>
      </c>
      <c r="G11672" s="422">
        <v>295.95853894588578</v>
      </c>
      <c r="H11672" s="417" t="s">
        <v>2616</v>
      </c>
      <c r="I11672" s="417" t="s">
        <v>1392</v>
      </c>
      <c r="J11672" s="417" t="s">
        <v>25793</v>
      </c>
      <c r="K11672" s="417" t="s">
        <v>25890</v>
      </c>
      <c r="L11672" s="417"/>
      <c r="M11672" s="417" t="s">
        <v>28840</v>
      </c>
    </row>
    <row r="11673" spans="1:13" x14ac:dyDescent="0.25">
      <c r="A11673" s="417" t="s">
        <v>3385</v>
      </c>
      <c r="B11673" s="417" t="s">
        <v>3405</v>
      </c>
      <c r="C11673" s="417" t="s">
        <v>25891</v>
      </c>
      <c r="D11673" s="417" t="s">
        <v>224</v>
      </c>
      <c r="E11673" s="423">
        <v>1.3917181731856181E-2</v>
      </c>
      <c r="F11673" s="423">
        <v>3.8059923035254489E-4</v>
      </c>
      <c r="G11673" s="422">
        <v>40.245767091429762</v>
      </c>
      <c r="H11673" s="417" t="s">
        <v>2616</v>
      </c>
      <c r="I11673" s="417" t="s">
        <v>1392</v>
      </c>
      <c r="J11673" s="417" t="s">
        <v>25793</v>
      </c>
      <c r="K11673" s="417" t="s">
        <v>25892</v>
      </c>
      <c r="L11673" s="417"/>
      <c r="M11673" s="417" t="s">
        <v>28840</v>
      </c>
    </row>
    <row r="11674" spans="1:13" x14ac:dyDescent="0.25">
      <c r="A11674" s="417" t="s">
        <v>3385</v>
      </c>
      <c r="B11674" s="417" t="s">
        <v>3405</v>
      </c>
      <c r="C11674" s="417" t="s">
        <v>25893</v>
      </c>
      <c r="D11674" s="417" t="s">
        <v>224</v>
      </c>
      <c r="E11674" s="423">
        <v>1.8805890813201859E-2</v>
      </c>
      <c r="F11674" s="423">
        <v>0.10707926673531309</v>
      </c>
      <c r="G11674" s="422">
        <v>67.365277834715798</v>
      </c>
      <c r="H11674" s="417" t="s">
        <v>2616</v>
      </c>
      <c r="I11674" s="417" t="s">
        <v>1392</v>
      </c>
      <c r="J11674" s="417" t="s">
        <v>25793</v>
      </c>
      <c r="K11674" s="417" t="s">
        <v>25894</v>
      </c>
      <c r="L11674" s="417"/>
      <c r="M11674" s="417" t="s">
        <v>28840</v>
      </c>
    </row>
    <row r="11675" spans="1:13" x14ac:dyDescent="0.25">
      <c r="A11675" s="417" t="s">
        <v>3385</v>
      </c>
      <c r="B11675" s="417" t="s">
        <v>3405</v>
      </c>
      <c r="C11675" s="417" t="s">
        <v>25895</v>
      </c>
      <c r="D11675" s="417" t="s">
        <v>224</v>
      </c>
      <c r="E11675" s="423">
        <v>3.9184349067152568E-2</v>
      </c>
      <c r="F11675" s="423">
        <v>0.36116077330100982</v>
      </c>
      <c r="G11675" s="422">
        <v>139.1624394128215</v>
      </c>
      <c r="H11675" s="417" t="s">
        <v>2616</v>
      </c>
      <c r="I11675" s="417" t="s">
        <v>1392</v>
      </c>
      <c r="J11675" s="417" t="s">
        <v>25793</v>
      </c>
      <c r="K11675" s="417" t="s">
        <v>25896</v>
      </c>
      <c r="L11675" s="417"/>
      <c r="M11675" s="417" t="s">
        <v>28840</v>
      </c>
    </row>
    <row r="11676" spans="1:13" x14ac:dyDescent="0.25">
      <c r="A11676" s="417" t="s">
        <v>3385</v>
      </c>
      <c r="B11676" s="417" t="s">
        <v>3405</v>
      </c>
      <c r="C11676" s="417" t="s">
        <v>25897</v>
      </c>
      <c r="D11676" s="417" t="s">
        <v>224</v>
      </c>
      <c r="E11676" s="423">
        <v>0.16232933579460529</v>
      </c>
      <c r="F11676" s="423">
        <v>3.8468303188594122E-2</v>
      </c>
      <c r="G11676" s="422">
        <v>224.06538366900341</v>
      </c>
      <c r="H11676" s="417" t="s">
        <v>2616</v>
      </c>
      <c r="I11676" s="417" t="s">
        <v>1392</v>
      </c>
      <c r="J11676" s="417" t="s">
        <v>25793</v>
      </c>
      <c r="K11676" s="417" t="s">
        <v>25898</v>
      </c>
      <c r="L11676" s="417"/>
      <c r="M11676" s="417" t="s">
        <v>28840</v>
      </c>
    </row>
    <row r="11677" spans="1:13" x14ac:dyDescent="0.25">
      <c r="A11677" s="417" t="s">
        <v>3385</v>
      </c>
      <c r="B11677" s="417" t="s">
        <v>3405</v>
      </c>
      <c r="C11677" s="417" t="s">
        <v>25899</v>
      </c>
      <c r="D11677" s="417" t="s">
        <v>224</v>
      </c>
      <c r="E11677" s="423">
        <v>2.3454558445829998E-2</v>
      </c>
      <c r="F11677" s="423">
        <v>0.13496734121822779</v>
      </c>
      <c r="G11677" s="422">
        <v>77.643297644172293</v>
      </c>
      <c r="H11677" s="417" t="s">
        <v>2616</v>
      </c>
      <c r="I11677" s="417" t="s">
        <v>1392</v>
      </c>
      <c r="J11677" s="417" t="s">
        <v>25793</v>
      </c>
      <c r="K11677" s="417" t="s">
        <v>25900</v>
      </c>
      <c r="L11677" s="417"/>
      <c r="M11677" s="417" t="s">
        <v>28840</v>
      </c>
    </row>
    <row r="11678" spans="1:13" x14ac:dyDescent="0.25">
      <c r="A11678" s="417" t="s">
        <v>3385</v>
      </c>
      <c r="B11678" s="417" t="s">
        <v>3405</v>
      </c>
      <c r="C11678" s="417" t="s">
        <v>25901</v>
      </c>
      <c r="D11678" s="417" t="s">
        <v>224</v>
      </c>
      <c r="E11678" s="423">
        <v>1.0002134277355291E-2</v>
      </c>
      <c r="F11678" s="423">
        <v>2.1898982750480499E-4</v>
      </c>
      <c r="G11678" s="422">
        <v>33.138702627499057</v>
      </c>
      <c r="H11678" s="417" t="s">
        <v>2616</v>
      </c>
      <c r="I11678" s="417" t="s">
        <v>1392</v>
      </c>
      <c r="J11678" s="417" t="s">
        <v>25793</v>
      </c>
      <c r="K11678" s="417" t="s">
        <v>25902</v>
      </c>
      <c r="L11678" s="417"/>
      <c r="M11678" s="417" t="s">
        <v>28840</v>
      </c>
    </row>
    <row r="11679" spans="1:13" x14ac:dyDescent="0.25">
      <c r="A11679" s="417" t="s">
        <v>3385</v>
      </c>
      <c r="B11679" s="417" t="s">
        <v>3405</v>
      </c>
      <c r="C11679" s="417" t="s">
        <v>25903</v>
      </c>
      <c r="D11679" s="417" t="s">
        <v>224</v>
      </c>
      <c r="E11679" s="423">
        <v>2.6592937585204469E-2</v>
      </c>
      <c r="F11679" s="423">
        <v>8.5321080027058405E-2</v>
      </c>
      <c r="G11679" s="422">
        <v>72.359101848399192</v>
      </c>
      <c r="H11679" s="417" t="s">
        <v>2616</v>
      </c>
      <c r="I11679" s="417" t="s">
        <v>1392</v>
      </c>
      <c r="J11679" s="417" t="s">
        <v>25793</v>
      </c>
      <c r="K11679" s="417" t="s">
        <v>25904</v>
      </c>
      <c r="L11679" s="417"/>
      <c r="M11679" s="417" t="s">
        <v>28840</v>
      </c>
    </row>
    <row r="11680" spans="1:13" x14ac:dyDescent="0.25">
      <c r="A11680" s="417" t="s">
        <v>3385</v>
      </c>
      <c r="B11680" s="417" t="s">
        <v>3405</v>
      </c>
      <c r="C11680" s="417" t="s">
        <v>25905</v>
      </c>
      <c r="D11680" s="417" t="s">
        <v>224</v>
      </c>
      <c r="E11680" s="423">
        <v>1.168808150282377E-2</v>
      </c>
      <c r="F11680" s="423">
        <v>1.381948459309227E-2</v>
      </c>
      <c r="G11680" s="422">
        <v>39.853193355595742</v>
      </c>
      <c r="H11680" s="417" t="s">
        <v>2616</v>
      </c>
      <c r="I11680" s="417" t="s">
        <v>1392</v>
      </c>
      <c r="J11680" s="417" t="s">
        <v>25793</v>
      </c>
      <c r="K11680" s="417" t="s">
        <v>25906</v>
      </c>
      <c r="L11680" s="417"/>
      <c r="M11680" s="417" t="s">
        <v>28840</v>
      </c>
    </row>
    <row r="11681" spans="1:13" x14ac:dyDescent="0.25">
      <c r="A11681" s="417" t="s">
        <v>3385</v>
      </c>
      <c r="B11681" s="417" t="s">
        <v>3405</v>
      </c>
      <c r="C11681" s="417" t="s">
        <v>25907</v>
      </c>
      <c r="D11681" s="417" t="s">
        <v>224</v>
      </c>
      <c r="E11681" s="423">
        <v>2.7310570665798641E-2</v>
      </c>
      <c r="F11681" s="423">
        <v>0.18730532967970981</v>
      </c>
      <c r="G11681" s="422">
        <v>92.207217048385459</v>
      </c>
      <c r="H11681" s="417" t="s">
        <v>2616</v>
      </c>
      <c r="I11681" s="417" t="s">
        <v>1392</v>
      </c>
      <c r="J11681" s="417" t="s">
        <v>25793</v>
      </c>
      <c r="K11681" s="417" t="s">
        <v>25908</v>
      </c>
      <c r="L11681" s="417"/>
      <c r="M11681" s="417" t="s">
        <v>28840</v>
      </c>
    </row>
    <row r="11682" spans="1:13" x14ac:dyDescent="0.25">
      <c r="A11682" s="417" t="s">
        <v>3385</v>
      </c>
      <c r="B11682" s="417" t="s">
        <v>3405</v>
      </c>
      <c r="C11682" s="417" t="s">
        <v>25909</v>
      </c>
      <c r="D11682" s="417" t="s">
        <v>224</v>
      </c>
      <c r="E11682" s="423">
        <v>1.005506442098849E-2</v>
      </c>
      <c r="F11682" s="423">
        <v>2.2165909583699069E-4</v>
      </c>
      <c r="G11682" s="422">
        <v>33.308395720292957</v>
      </c>
      <c r="H11682" s="417" t="s">
        <v>2616</v>
      </c>
      <c r="I11682" s="417" t="s">
        <v>1392</v>
      </c>
      <c r="J11682" s="417" t="s">
        <v>25793</v>
      </c>
      <c r="K11682" s="417" t="s">
        <v>25910</v>
      </c>
      <c r="L11682" s="417"/>
      <c r="M11682" s="417" t="s">
        <v>28840</v>
      </c>
    </row>
    <row r="11683" spans="1:13" x14ac:dyDescent="0.25">
      <c r="A11683" s="417" t="s">
        <v>3385</v>
      </c>
      <c r="B11683" s="417" t="s">
        <v>3405</v>
      </c>
      <c r="C11683" s="417" t="s">
        <v>25911</v>
      </c>
      <c r="D11683" s="417" t="s">
        <v>224</v>
      </c>
      <c r="E11683" s="423">
        <v>1.6080927644557982E-2</v>
      </c>
      <c r="F11683" s="423">
        <v>4.7025253963461681E-2</v>
      </c>
      <c r="G11683" s="422">
        <v>51.516482075515093</v>
      </c>
      <c r="H11683" s="417" t="s">
        <v>2616</v>
      </c>
      <c r="I11683" s="417" t="s">
        <v>1392</v>
      </c>
      <c r="J11683" s="417" t="s">
        <v>25793</v>
      </c>
      <c r="K11683" s="417" t="s">
        <v>25912</v>
      </c>
      <c r="L11683" s="417"/>
      <c r="M11683" s="417" t="s">
        <v>28840</v>
      </c>
    </row>
    <row r="11684" spans="1:13" x14ac:dyDescent="0.25">
      <c r="A11684" s="417" t="s">
        <v>3385</v>
      </c>
      <c r="B11684" s="417" t="s">
        <v>3405</v>
      </c>
      <c r="C11684" s="417" t="s">
        <v>25913</v>
      </c>
      <c r="D11684" s="417" t="s">
        <v>224</v>
      </c>
      <c r="E11684" s="423">
        <v>1.683257773164026E-2</v>
      </c>
      <c r="F11684" s="423">
        <v>6.4753275942427996E-2</v>
      </c>
      <c r="G11684" s="422">
        <v>210.62626520027229</v>
      </c>
      <c r="H11684" s="417" t="s">
        <v>2616</v>
      </c>
      <c r="I11684" s="417" t="s">
        <v>1392</v>
      </c>
      <c r="J11684" s="417" t="s">
        <v>25793</v>
      </c>
      <c r="K11684" s="417" t="s">
        <v>25914</v>
      </c>
      <c r="L11684" s="417"/>
      <c r="M11684" s="417" t="s">
        <v>28840</v>
      </c>
    </row>
    <row r="11685" spans="1:13" x14ac:dyDescent="0.25">
      <c r="A11685" s="417" t="s">
        <v>3385</v>
      </c>
      <c r="B11685" s="417" t="s">
        <v>3405</v>
      </c>
      <c r="C11685" s="417" t="s">
        <v>25915</v>
      </c>
      <c r="D11685" s="417" t="s">
        <v>224</v>
      </c>
      <c r="E11685" s="423">
        <v>1.970664325300673E-2</v>
      </c>
      <c r="F11685" s="423">
        <v>0.1165662350818521</v>
      </c>
      <c r="G11685" s="422">
        <v>68.299722079296416</v>
      </c>
      <c r="H11685" s="417" t="s">
        <v>2616</v>
      </c>
      <c r="I11685" s="417" t="s">
        <v>1392</v>
      </c>
      <c r="J11685" s="417" t="s">
        <v>25793</v>
      </c>
      <c r="K11685" s="417" t="s">
        <v>25916</v>
      </c>
      <c r="L11685" s="417"/>
      <c r="M11685" s="417" t="s">
        <v>28840</v>
      </c>
    </row>
    <row r="11686" spans="1:13" x14ac:dyDescent="0.25">
      <c r="A11686" s="417" t="s">
        <v>3385</v>
      </c>
      <c r="B11686" s="417" t="s">
        <v>3405</v>
      </c>
      <c r="C11686" s="417" t="s">
        <v>25917</v>
      </c>
      <c r="D11686" s="417" t="s">
        <v>224</v>
      </c>
      <c r="E11686" s="423">
        <v>3.9632907305807437E-2</v>
      </c>
      <c r="F11686" s="423">
        <v>0.40436170761065759</v>
      </c>
      <c r="G11686" s="422">
        <v>145.84357812620209</v>
      </c>
      <c r="H11686" s="417" t="s">
        <v>2616</v>
      </c>
      <c r="I11686" s="417" t="s">
        <v>1392</v>
      </c>
      <c r="J11686" s="417" t="s">
        <v>25793</v>
      </c>
      <c r="K11686" s="417" t="s">
        <v>25918</v>
      </c>
      <c r="L11686" s="417"/>
      <c r="M11686" s="417" t="s">
        <v>28840</v>
      </c>
    </row>
    <row r="11687" spans="1:13" x14ac:dyDescent="0.25">
      <c r="A11687" s="417" t="s">
        <v>3385</v>
      </c>
      <c r="B11687" s="417" t="s">
        <v>3405</v>
      </c>
      <c r="C11687" s="417" t="s">
        <v>25919</v>
      </c>
      <c r="D11687" s="417" t="s">
        <v>224</v>
      </c>
      <c r="E11687" s="423">
        <v>0.15812739135765061</v>
      </c>
      <c r="F11687" s="423">
        <v>1.5674133339845339E-2</v>
      </c>
      <c r="G11687" s="422">
        <v>262.14049023546039</v>
      </c>
      <c r="H11687" s="417" t="s">
        <v>2616</v>
      </c>
      <c r="I11687" s="417" t="s">
        <v>1392</v>
      </c>
      <c r="J11687" s="417" t="s">
        <v>25793</v>
      </c>
      <c r="K11687" s="417" t="s">
        <v>25920</v>
      </c>
      <c r="L11687" s="417"/>
      <c r="M11687" s="417" t="s">
        <v>28840</v>
      </c>
    </row>
    <row r="11688" spans="1:13" x14ac:dyDescent="0.25">
      <c r="A11688" s="417" t="s">
        <v>3385</v>
      </c>
      <c r="B11688" s="417" t="s">
        <v>3405</v>
      </c>
      <c r="C11688" s="417" t="s">
        <v>25921</v>
      </c>
      <c r="D11688" s="417" t="s">
        <v>224</v>
      </c>
      <c r="E11688" s="423">
        <v>9.9724564558663312E-2</v>
      </c>
      <c r="F11688" s="423">
        <v>9.0697250895241568E-2</v>
      </c>
      <c r="G11688" s="422">
        <v>490.37934595571539</v>
      </c>
      <c r="H11688" s="417" t="s">
        <v>2616</v>
      </c>
      <c r="I11688" s="417" t="s">
        <v>1392</v>
      </c>
      <c r="J11688" s="417" t="s">
        <v>25793</v>
      </c>
      <c r="K11688" s="417" t="s">
        <v>25922</v>
      </c>
      <c r="L11688" s="417"/>
      <c r="M11688" s="417" t="s">
        <v>28840</v>
      </c>
    </row>
    <row r="11689" spans="1:13" x14ac:dyDescent="0.25">
      <c r="A11689" s="417" t="s">
        <v>3385</v>
      </c>
      <c r="B11689" s="417" t="s">
        <v>3405</v>
      </c>
      <c r="C11689" s="417" t="s">
        <v>25923</v>
      </c>
      <c r="D11689" s="417" t="s">
        <v>224</v>
      </c>
      <c r="E11689" s="423">
        <v>2.4789407896380511E-2</v>
      </c>
      <c r="F11689" s="423">
        <v>6.8566542714976469E-4</v>
      </c>
      <c r="G11689" s="422">
        <v>103.98133559984061</v>
      </c>
      <c r="H11689" s="417" t="s">
        <v>2616</v>
      </c>
      <c r="I11689" s="417" t="s">
        <v>1392</v>
      </c>
      <c r="J11689" s="417" t="s">
        <v>25793</v>
      </c>
      <c r="K11689" s="417" t="s">
        <v>25924</v>
      </c>
      <c r="L11689" s="417"/>
      <c r="M11689" s="417" t="s">
        <v>28840</v>
      </c>
    </row>
    <row r="11690" spans="1:13" x14ac:dyDescent="0.25">
      <c r="A11690" s="417" t="s">
        <v>3385</v>
      </c>
      <c r="B11690" s="417" t="s">
        <v>3405</v>
      </c>
      <c r="C11690" s="417" t="s">
        <v>25925</v>
      </c>
      <c r="D11690" s="417" t="s">
        <v>224</v>
      </c>
      <c r="E11690" s="423">
        <v>2.5780100202648579E-2</v>
      </c>
      <c r="F11690" s="423">
        <v>5.5361475095605664E-3</v>
      </c>
      <c r="G11690" s="422">
        <v>243.8005025716879</v>
      </c>
      <c r="H11690" s="417" t="s">
        <v>2616</v>
      </c>
      <c r="I11690" s="417" t="s">
        <v>1392</v>
      </c>
      <c r="J11690" s="417" t="s">
        <v>25793</v>
      </c>
      <c r="K11690" s="417" t="s">
        <v>25926</v>
      </c>
      <c r="L11690" s="417"/>
      <c r="M11690" s="417" t="s">
        <v>28840</v>
      </c>
    </row>
    <row r="11691" spans="1:13" x14ac:dyDescent="0.25">
      <c r="A11691" s="417" t="s">
        <v>3385</v>
      </c>
      <c r="B11691" s="417" t="s">
        <v>3405</v>
      </c>
      <c r="C11691" s="417" t="s">
        <v>25927</v>
      </c>
      <c r="D11691" s="417" t="s">
        <v>224</v>
      </c>
      <c r="E11691" s="423">
        <v>1.6458202569876339E-2</v>
      </c>
      <c r="F11691" s="423">
        <v>4.6894774528519071E-4</v>
      </c>
      <c r="G11691" s="422">
        <v>87.776024910472344</v>
      </c>
      <c r="H11691" s="417" t="s">
        <v>2616</v>
      </c>
      <c r="I11691" s="417" t="s">
        <v>1392</v>
      </c>
      <c r="J11691" s="417" t="s">
        <v>25793</v>
      </c>
      <c r="K11691" s="417" t="s">
        <v>25928</v>
      </c>
      <c r="L11691" s="417"/>
      <c r="M11691" s="417" t="s">
        <v>28840</v>
      </c>
    </row>
    <row r="11692" spans="1:13" x14ac:dyDescent="0.25">
      <c r="A11692" s="417" t="s">
        <v>3385</v>
      </c>
      <c r="B11692" s="417" t="s">
        <v>3405</v>
      </c>
      <c r="C11692" s="417" t="s">
        <v>25929</v>
      </c>
      <c r="D11692" s="417" t="s">
        <v>224</v>
      </c>
      <c r="E11692" s="423">
        <v>4.432136708767459E-2</v>
      </c>
      <c r="F11692" s="423">
        <v>0.36253443864768981</v>
      </c>
      <c r="G11692" s="422">
        <v>190.4200041240662</v>
      </c>
      <c r="H11692" s="417" t="s">
        <v>2616</v>
      </c>
      <c r="I11692" s="417" t="s">
        <v>1392</v>
      </c>
      <c r="J11692" s="417" t="s">
        <v>25793</v>
      </c>
      <c r="K11692" s="417" t="s">
        <v>25930</v>
      </c>
      <c r="L11692" s="417"/>
      <c r="M11692" s="417" t="s">
        <v>28840</v>
      </c>
    </row>
    <row r="11693" spans="1:13" x14ac:dyDescent="0.25">
      <c r="A11693" s="417" t="s">
        <v>3385</v>
      </c>
      <c r="B11693" s="417" t="s">
        <v>3405</v>
      </c>
      <c r="C11693" s="417" t="s">
        <v>25931</v>
      </c>
      <c r="D11693" s="417" t="s">
        <v>224</v>
      </c>
      <c r="E11693" s="423">
        <v>3.4481306659398678E-2</v>
      </c>
      <c r="F11693" s="423">
        <v>0.1189524463923432</v>
      </c>
      <c r="G11693" s="422">
        <v>140.26795753999531</v>
      </c>
      <c r="H11693" s="417" t="s">
        <v>2616</v>
      </c>
      <c r="I11693" s="417" t="s">
        <v>1392</v>
      </c>
      <c r="J11693" s="417" t="s">
        <v>25793</v>
      </c>
      <c r="K11693" s="417" t="s">
        <v>25932</v>
      </c>
      <c r="L11693" s="417"/>
      <c r="M11693" s="417" t="s">
        <v>28840</v>
      </c>
    </row>
    <row r="11694" spans="1:13" x14ac:dyDescent="0.25">
      <c r="A11694" s="417" t="s">
        <v>3385</v>
      </c>
      <c r="B11694" s="417" t="s">
        <v>3405</v>
      </c>
      <c r="C11694" s="417" t="s">
        <v>25933</v>
      </c>
      <c r="D11694" s="417" t="s">
        <v>224</v>
      </c>
      <c r="E11694" s="423">
        <v>3.5004889694920133E-2</v>
      </c>
      <c r="F11694" s="423">
        <v>2.9879318346149451E-2</v>
      </c>
      <c r="G11694" s="422">
        <v>118.9288942829474</v>
      </c>
      <c r="H11694" s="417" t="s">
        <v>2616</v>
      </c>
      <c r="I11694" s="417" t="s">
        <v>1392</v>
      </c>
      <c r="J11694" s="417" t="s">
        <v>25793</v>
      </c>
      <c r="K11694" s="417" t="s">
        <v>25934</v>
      </c>
      <c r="L11694" s="417"/>
      <c r="M11694" s="417" t="s">
        <v>28840</v>
      </c>
    </row>
    <row r="11695" spans="1:13" x14ac:dyDescent="0.25">
      <c r="A11695" s="417" t="s">
        <v>3385</v>
      </c>
      <c r="B11695" s="417" t="s">
        <v>3405</v>
      </c>
      <c r="C11695" s="417" t="s">
        <v>25935</v>
      </c>
      <c r="D11695" s="417" t="s">
        <v>224</v>
      </c>
      <c r="E11695" s="423">
        <v>4.9922170525533729E-2</v>
      </c>
      <c r="F11695" s="423">
        <v>0.34087187610458469</v>
      </c>
      <c r="G11695" s="422">
        <v>198.9933034225395</v>
      </c>
      <c r="H11695" s="417" t="s">
        <v>2616</v>
      </c>
      <c r="I11695" s="417" t="s">
        <v>1392</v>
      </c>
      <c r="J11695" s="417" t="s">
        <v>25793</v>
      </c>
      <c r="K11695" s="417" t="s">
        <v>25936</v>
      </c>
      <c r="L11695" s="417"/>
      <c r="M11695" s="417" t="s">
        <v>28840</v>
      </c>
    </row>
    <row r="11696" spans="1:13" x14ac:dyDescent="0.25">
      <c r="A11696" s="417" t="s">
        <v>3385</v>
      </c>
      <c r="B11696" s="417" t="s">
        <v>3405</v>
      </c>
      <c r="C11696" s="417" t="s">
        <v>25937</v>
      </c>
      <c r="D11696" s="417" t="s">
        <v>224</v>
      </c>
      <c r="E11696" s="423">
        <v>0.1059468513337179</v>
      </c>
      <c r="F11696" s="423">
        <v>0.11832742961800979</v>
      </c>
      <c r="G11696" s="422">
        <v>223.13630608588369</v>
      </c>
      <c r="H11696" s="417" t="s">
        <v>2616</v>
      </c>
      <c r="I11696" s="417" t="s">
        <v>1392</v>
      </c>
      <c r="J11696" s="417" t="s">
        <v>25793</v>
      </c>
      <c r="K11696" s="417" t="s">
        <v>25938</v>
      </c>
      <c r="L11696" s="417"/>
      <c r="M11696" s="417" t="s">
        <v>28840</v>
      </c>
    </row>
    <row r="11697" spans="1:13" x14ac:dyDescent="0.25">
      <c r="A11697" s="417" t="s">
        <v>3385</v>
      </c>
      <c r="B11697" s="417" t="s">
        <v>3405</v>
      </c>
      <c r="C11697" s="417" t="s">
        <v>25939</v>
      </c>
      <c r="D11697" s="417" t="s">
        <v>224</v>
      </c>
      <c r="E11697" s="423">
        <v>3.5776349493856968E-2</v>
      </c>
      <c r="F11697" s="423">
        <v>0.22160168621765389</v>
      </c>
      <c r="G11697" s="422">
        <v>151.3752637767135</v>
      </c>
      <c r="H11697" s="417" t="s">
        <v>2616</v>
      </c>
      <c r="I11697" s="417" t="s">
        <v>1392</v>
      </c>
      <c r="J11697" s="417" t="s">
        <v>25793</v>
      </c>
      <c r="K11697" s="417" t="s">
        <v>25940</v>
      </c>
      <c r="L11697" s="417"/>
      <c r="M11697" s="417" t="s">
        <v>28840</v>
      </c>
    </row>
    <row r="11698" spans="1:13" x14ac:dyDescent="0.25">
      <c r="A11698" s="417" t="s">
        <v>3385</v>
      </c>
      <c r="B11698" s="417" t="s">
        <v>3405</v>
      </c>
      <c r="C11698" s="417" t="s">
        <v>25941</v>
      </c>
      <c r="D11698" s="417" t="s">
        <v>224</v>
      </c>
      <c r="E11698" s="423">
        <v>1.848027768427388E-2</v>
      </c>
      <c r="F11698" s="423">
        <v>2.673939434963591E-2</v>
      </c>
      <c r="G11698" s="422">
        <v>95.684814225994288</v>
      </c>
      <c r="H11698" s="417" t="s">
        <v>2616</v>
      </c>
      <c r="I11698" s="417" t="s">
        <v>1392</v>
      </c>
      <c r="J11698" s="417" t="s">
        <v>25793</v>
      </c>
      <c r="K11698" s="417" t="s">
        <v>25942</v>
      </c>
      <c r="L11698" s="417"/>
      <c r="M11698" s="417" t="s">
        <v>28840</v>
      </c>
    </row>
    <row r="11699" spans="1:13" x14ac:dyDescent="0.25">
      <c r="A11699" s="417" t="s">
        <v>3385</v>
      </c>
      <c r="B11699" s="417" t="s">
        <v>3405</v>
      </c>
      <c r="C11699" s="417" t="s">
        <v>25943</v>
      </c>
      <c r="D11699" s="417" t="s">
        <v>224</v>
      </c>
      <c r="E11699" s="423">
        <v>4.3099819904086699E-2</v>
      </c>
      <c r="F11699" s="423">
        <v>0.23023673175262679</v>
      </c>
      <c r="G11699" s="422">
        <v>168.66435367691579</v>
      </c>
      <c r="H11699" s="417" t="s">
        <v>2616</v>
      </c>
      <c r="I11699" s="417" t="s">
        <v>1392</v>
      </c>
      <c r="J11699" s="417" t="s">
        <v>25793</v>
      </c>
      <c r="K11699" s="417" t="s">
        <v>25944</v>
      </c>
      <c r="L11699" s="417"/>
      <c r="M11699" s="417" t="s">
        <v>28840</v>
      </c>
    </row>
    <row r="11700" spans="1:13" x14ac:dyDescent="0.25">
      <c r="A11700" s="417" t="s">
        <v>3385</v>
      </c>
      <c r="B11700" s="417" t="s">
        <v>3405</v>
      </c>
      <c r="C11700" s="417" t="s">
        <v>25945</v>
      </c>
      <c r="D11700" s="417" t="s">
        <v>224</v>
      </c>
      <c r="E11700" s="423">
        <v>2.1483692343025291E-2</v>
      </c>
      <c r="F11700" s="423">
        <v>5.4447911412761085E-4</v>
      </c>
      <c r="G11700" s="422">
        <v>95.077698184190325</v>
      </c>
      <c r="H11700" s="417" t="s">
        <v>2616</v>
      </c>
      <c r="I11700" s="417" t="s">
        <v>1392</v>
      </c>
      <c r="J11700" s="417" t="s">
        <v>25793</v>
      </c>
      <c r="K11700" s="417" t="s">
        <v>25946</v>
      </c>
      <c r="L11700" s="417"/>
      <c r="M11700" s="417" t="s">
        <v>28840</v>
      </c>
    </row>
    <row r="11701" spans="1:13" x14ac:dyDescent="0.25">
      <c r="A11701" s="417" t="s">
        <v>3385</v>
      </c>
      <c r="B11701" s="417" t="s">
        <v>3405</v>
      </c>
      <c r="C11701" s="417" t="s">
        <v>25947</v>
      </c>
      <c r="D11701" s="417" t="s">
        <v>224</v>
      </c>
      <c r="E11701" s="423">
        <v>9.1639592803949746E-2</v>
      </c>
      <c r="F11701" s="423">
        <v>0.13190894488200319</v>
      </c>
      <c r="G11701" s="422">
        <v>206.14819686913361</v>
      </c>
      <c r="H11701" s="417" t="s">
        <v>2616</v>
      </c>
      <c r="I11701" s="417" t="s">
        <v>1392</v>
      </c>
      <c r="J11701" s="417" t="s">
        <v>25793</v>
      </c>
      <c r="K11701" s="417" t="s">
        <v>25948</v>
      </c>
      <c r="L11701" s="417"/>
      <c r="M11701" s="417" t="s">
        <v>28840</v>
      </c>
    </row>
    <row r="11702" spans="1:13" x14ac:dyDescent="0.25">
      <c r="A11702" s="417" t="s">
        <v>3385</v>
      </c>
      <c r="B11702" s="417" t="s">
        <v>3405</v>
      </c>
      <c r="C11702" s="417" t="s">
        <v>25949</v>
      </c>
      <c r="D11702" s="417" t="s">
        <v>224</v>
      </c>
      <c r="E11702" s="423">
        <v>2.897650478413194E-2</v>
      </c>
      <c r="F11702" s="423">
        <v>0.1139007822174862</v>
      </c>
      <c r="G11702" s="422">
        <v>125.8533054267033</v>
      </c>
      <c r="H11702" s="417" t="s">
        <v>2616</v>
      </c>
      <c r="I11702" s="417" t="s">
        <v>1392</v>
      </c>
      <c r="J11702" s="417" t="s">
        <v>25793</v>
      </c>
      <c r="K11702" s="417" t="s">
        <v>25950</v>
      </c>
      <c r="L11702" s="417"/>
      <c r="M11702" s="417" t="s">
        <v>28840</v>
      </c>
    </row>
    <row r="11703" spans="1:13" x14ac:dyDescent="0.25">
      <c r="A11703" s="417" t="s">
        <v>3385</v>
      </c>
      <c r="B11703" s="417" t="s">
        <v>3405</v>
      </c>
      <c r="C11703" s="417" t="s">
        <v>25951</v>
      </c>
      <c r="D11703" s="417" t="s">
        <v>224</v>
      </c>
      <c r="E11703" s="423">
        <v>0.24553518770935301</v>
      </c>
      <c r="F11703" s="423">
        <v>4.4636969127152148E-2</v>
      </c>
      <c r="G11703" s="422">
        <v>374.13489876750111</v>
      </c>
      <c r="H11703" s="417" t="s">
        <v>2616</v>
      </c>
      <c r="I11703" s="417" t="s">
        <v>1392</v>
      </c>
      <c r="J11703" s="417" t="s">
        <v>25793</v>
      </c>
      <c r="K11703" s="417" t="s">
        <v>25952</v>
      </c>
      <c r="L11703" s="417"/>
      <c r="M11703" s="417" t="s">
        <v>28840</v>
      </c>
    </row>
    <row r="11704" spans="1:13" x14ac:dyDescent="0.25">
      <c r="A11704" s="417" t="s">
        <v>3385</v>
      </c>
      <c r="B11704" s="417" t="s">
        <v>3405</v>
      </c>
      <c r="C11704" s="417" t="s">
        <v>25953</v>
      </c>
      <c r="D11704" s="417" t="s">
        <v>224</v>
      </c>
      <c r="E11704" s="423">
        <v>2.3195679321169751E-2</v>
      </c>
      <c r="F11704" s="423">
        <v>6.2816442599388704E-4</v>
      </c>
      <c r="G11704" s="422">
        <v>96.250387058986604</v>
      </c>
      <c r="H11704" s="417" t="s">
        <v>2616</v>
      </c>
      <c r="I11704" s="417" t="s">
        <v>1392</v>
      </c>
      <c r="J11704" s="417" t="s">
        <v>25793</v>
      </c>
      <c r="K11704" s="417" t="s">
        <v>25954</v>
      </c>
      <c r="L11704" s="417"/>
      <c r="M11704" s="417" t="s">
        <v>28840</v>
      </c>
    </row>
    <row r="11705" spans="1:13" x14ac:dyDescent="0.25">
      <c r="A11705" s="417" t="s">
        <v>3385</v>
      </c>
      <c r="B11705" s="417" t="s">
        <v>3405</v>
      </c>
      <c r="C11705" s="417" t="s">
        <v>25955</v>
      </c>
      <c r="D11705" s="417" t="s">
        <v>224</v>
      </c>
      <c r="E11705" s="423">
        <v>2.879406998944286E-2</v>
      </c>
      <c r="F11705" s="423">
        <v>0.1133865725217251</v>
      </c>
      <c r="G11705" s="422">
        <v>126.5672531602055</v>
      </c>
      <c r="H11705" s="417" t="s">
        <v>2616</v>
      </c>
      <c r="I11705" s="417" t="s">
        <v>1392</v>
      </c>
      <c r="J11705" s="417" t="s">
        <v>25793</v>
      </c>
      <c r="K11705" s="417" t="s">
        <v>25956</v>
      </c>
      <c r="L11705" s="417"/>
      <c r="M11705" s="417" t="s">
        <v>28840</v>
      </c>
    </row>
    <row r="11706" spans="1:13" x14ac:dyDescent="0.25">
      <c r="A11706" s="417" t="s">
        <v>3385</v>
      </c>
      <c r="B11706" s="417" t="s">
        <v>3405</v>
      </c>
      <c r="C11706" s="417" t="s">
        <v>25957</v>
      </c>
      <c r="D11706" s="417" t="s">
        <v>224</v>
      </c>
      <c r="E11706" s="423">
        <v>5.1767662149202427E-2</v>
      </c>
      <c r="F11706" s="423">
        <v>0.39349368988830108</v>
      </c>
      <c r="G11706" s="422">
        <v>208.02413285744731</v>
      </c>
      <c r="H11706" s="417" t="s">
        <v>2616</v>
      </c>
      <c r="I11706" s="417" t="s">
        <v>1392</v>
      </c>
      <c r="J11706" s="417" t="s">
        <v>25793</v>
      </c>
      <c r="K11706" s="417" t="s">
        <v>25958</v>
      </c>
      <c r="L11706" s="417"/>
      <c r="M11706" s="417" t="s">
        <v>28840</v>
      </c>
    </row>
    <row r="11707" spans="1:13" x14ac:dyDescent="0.25">
      <c r="A11707" s="417" t="s">
        <v>3385</v>
      </c>
      <c r="B11707" s="417" t="s">
        <v>3405</v>
      </c>
      <c r="C11707" s="417" t="s">
        <v>25959</v>
      </c>
      <c r="D11707" s="417" t="s">
        <v>224</v>
      </c>
      <c r="E11707" s="423">
        <v>0.17318663488376629</v>
      </c>
      <c r="F11707" s="423">
        <v>3.9217886083080973E-2</v>
      </c>
      <c r="G11707" s="422">
        <v>280.95483358018458</v>
      </c>
      <c r="H11707" s="417" t="s">
        <v>2616</v>
      </c>
      <c r="I11707" s="417" t="s">
        <v>1392</v>
      </c>
      <c r="J11707" s="417" t="s">
        <v>25793</v>
      </c>
      <c r="K11707" s="417" t="s">
        <v>25960</v>
      </c>
      <c r="L11707" s="417"/>
      <c r="M11707" s="417" t="s">
        <v>28840</v>
      </c>
    </row>
    <row r="11708" spans="1:13" x14ac:dyDescent="0.25">
      <c r="A11708" s="417" t="s">
        <v>3385</v>
      </c>
      <c r="B11708" s="417" t="s">
        <v>3405</v>
      </c>
      <c r="C11708" s="417" t="s">
        <v>25961</v>
      </c>
      <c r="D11708" s="417" t="s">
        <v>224</v>
      </c>
      <c r="E11708" s="423">
        <v>3.5093787187280387E-2</v>
      </c>
      <c r="F11708" s="423">
        <v>0.14931287242772601</v>
      </c>
      <c r="G11708" s="422">
        <v>142.7946370514853</v>
      </c>
      <c r="H11708" s="417" t="s">
        <v>2616</v>
      </c>
      <c r="I11708" s="417" t="s">
        <v>1392</v>
      </c>
      <c r="J11708" s="417" t="s">
        <v>25793</v>
      </c>
      <c r="K11708" s="417" t="s">
        <v>25962</v>
      </c>
      <c r="L11708" s="417"/>
      <c r="M11708" s="417" t="s">
        <v>28840</v>
      </c>
    </row>
    <row r="11709" spans="1:13" x14ac:dyDescent="0.25">
      <c r="A11709" s="417" t="s">
        <v>3385</v>
      </c>
      <c r="B11709" s="417" t="s">
        <v>3405</v>
      </c>
      <c r="C11709" s="417" t="s">
        <v>25963</v>
      </c>
      <c r="D11709" s="417" t="s">
        <v>224</v>
      </c>
      <c r="E11709" s="423">
        <v>1.6458202569876339E-2</v>
      </c>
      <c r="F11709" s="423">
        <v>4.6894774528519071E-4</v>
      </c>
      <c r="G11709" s="422">
        <v>87.776024910472344</v>
      </c>
      <c r="H11709" s="417" t="s">
        <v>2616</v>
      </c>
      <c r="I11709" s="417" t="s">
        <v>1392</v>
      </c>
      <c r="J11709" s="417" t="s">
        <v>25793</v>
      </c>
      <c r="K11709" s="417" t="s">
        <v>25964</v>
      </c>
      <c r="L11709" s="417"/>
      <c r="M11709" s="417" t="s">
        <v>28840</v>
      </c>
    </row>
    <row r="11710" spans="1:13" x14ac:dyDescent="0.25">
      <c r="A11710" s="417" t="s">
        <v>3385</v>
      </c>
      <c r="B11710" s="417" t="s">
        <v>3405</v>
      </c>
      <c r="C11710" s="417" t="s">
        <v>25965</v>
      </c>
      <c r="D11710" s="417" t="s">
        <v>224</v>
      </c>
      <c r="E11710" s="423">
        <v>3.6368279502228991E-2</v>
      </c>
      <c r="F11710" s="423">
        <v>8.8658415045772099E-2</v>
      </c>
      <c r="G11710" s="422">
        <v>129.6703096153866</v>
      </c>
      <c r="H11710" s="417" t="s">
        <v>2616</v>
      </c>
      <c r="I11710" s="417" t="s">
        <v>1392</v>
      </c>
      <c r="J11710" s="417" t="s">
        <v>25793</v>
      </c>
      <c r="K11710" s="417" t="s">
        <v>25966</v>
      </c>
      <c r="L11710" s="417"/>
      <c r="M11710" s="417" t="s">
        <v>28840</v>
      </c>
    </row>
    <row r="11711" spans="1:13" x14ac:dyDescent="0.25">
      <c r="A11711" s="417" t="s">
        <v>3385</v>
      </c>
      <c r="B11711" s="417" t="s">
        <v>3405</v>
      </c>
      <c r="C11711" s="417" t="s">
        <v>25967</v>
      </c>
      <c r="D11711" s="417" t="s">
        <v>224</v>
      </c>
      <c r="E11711" s="423">
        <v>2.164977076520545E-2</v>
      </c>
      <c r="F11711" s="423">
        <v>1.514205999427647E-2</v>
      </c>
      <c r="G11711" s="422">
        <v>99.121589975556276</v>
      </c>
      <c r="H11711" s="417" t="s">
        <v>2616</v>
      </c>
      <c r="I11711" s="417" t="s">
        <v>1392</v>
      </c>
      <c r="J11711" s="417" t="s">
        <v>25793</v>
      </c>
      <c r="K11711" s="417" t="s">
        <v>25968</v>
      </c>
      <c r="L11711" s="417"/>
      <c r="M11711" s="417" t="s">
        <v>28840</v>
      </c>
    </row>
    <row r="11712" spans="1:13" x14ac:dyDescent="0.25">
      <c r="A11712" s="417" t="s">
        <v>3385</v>
      </c>
      <c r="B11712" s="417" t="s">
        <v>3405</v>
      </c>
      <c r="C11712" s="417" t="s">
        <v>25969</v>
      </c>
      <c r="D11712" s="417" t="s">
        <v>224</v>
      </c>
      <c r="E11712" s="423">
        <v>3.8821790938858652E-2</v>
      </c>
      <c r="F11712" s="423">
        <v>0.20409210466211941</v>
      </c>
      <c r="G11712" s="422">
        <v>156.83217970319399</v>
      </c>
      <c r="H11712" s="417" t="s">
        <v>2616</v>
      </c>
      <c r="I11712" s="417" t="s">
        <v>1392</v>
      </c>
      <c r="J11712" s="417" t="s">
        <v>25793</v>
      </c>
      <c r="K11712" s="417" t="s">
        <v>25970</v>
      </c>
      <c r="L11712" s="417"/>
      <c r="M11712" s="417" t="s">
        <v>28840</v>
      </c>
    </row>
    <row r="11713" spans="1:13" x14ac:dyDescent="0.25">
      <c r="A11713" s="417" t="s">
        <v>3385</v>
      </c>
      <c r="B11713" s="417" t="s">
        <v>3405</v>
      </c>
      <c r="C11713" s="417" t="s">
        <v>25971</v>
      </c>
      <c r="D11713" s="417" t="s">
        <v>224</v>
      </c>
      <c r="E11713" s="423">
        <v>1.9845605733875699E-2</v>
      </c>
      <c r="F11713" s="423">
        <v>4.7519300030456741E-4</v>
      </c>
      <c r="G11713" s="422">
        <v>91.876565687694807</v>
      </c>
      <c r="H11713" s="417" t="s">
        <v>2616</v>
      </c>
      <c r="I11713" s="417" t="s">
        <v>1392</v>
      </c>
      <c r="J11713" s="417" t="s">
        <v>25793</v>
      </c>
      <c r="K11713" s="417" t="s">
        <v>25972</v>
      </c>
      <c r="L11713" s="417"/>
      <c r="M11713" s="417" t="s">
        <v>28840</v>
      </c>
    </row>
    <row r="11714" spans="1:13" x14ac:dyDescent="0.25">
      <c r="A11714" s="417" t="s">
        <v>3385</v>
      </c>
      <c r="B11714" s="417" t="s">
        <v>3405</v>
      </c>
      <c r="C11714" s="417" t="s">
        <v>25973</v>
      </c>
      <c r="D11714" s="417" t="s">
        <v>224</v>
      </c>
      <c r="E11714" s="423">
        <v>2.7532536445651332E-2</v>
      </c>
      <c r="F11714" s="423">
        <v>5.3451875195215548E-2</v>
      </c>
      <c r="G11714" s="422">
        <v>116.2599485477166</v>
      </c>
      <c r="H11714" s="417" t="s">
        <v>2616</v>
      </c>
      <c r="I11714" s="417" t="s">
        <v>1392</v>
      </c>
      <c r="J11714" s="417" t="s">
        <v>25793</v>
      </c>
      <c r="K11714" s="417" t="s">
        <v>25974</v>
      </c>
      <c r="L11714" s="417"/>
      <c r="M11714" s="417" t="s">
        <v>28840</v>
      </c>
    </row>
    <row r="11715" spans="1:13" x14ac:dyDescent="0.25">
      <c r="A11715" s="417" t="s">
        <v>3385</v>
      </c>
      <c r="B11715" s="417" t="s">
        <v>3405</v>
      </c>
      <c r="C11715" s="417" t="s">
        <v>25975</v>
      </c>
      <c r="D11715" s="417" t="s">
        <v>224</v>
      </c>
      <c r="E11715" s="423">
        <v>2.710299872777128E-2</v>
      </c>
      <c r="F11715" s="423">
        <v>6.9800014763036572E-2</v>
      </c>
      <c r="G11715" s="422">
        <v>282.26235911525009</v>
      </c>
      <c r="H11715" s="417" t="s">
        <v>2616</v>
      </c>
      <c r="I11715" s="417" t="s">
        <v>1392</v>
      </c>
      <c r="J11715" s="417" t="s">
        <v>25793</v>
      </c>
      <c r="K11715" s="417" t="s">
        <v>25976</v>
      </c>
      <c r="L11715" s="417"/>
      <c r="M11715" s="417" t="s">
        <v>28840</v>
      </c>
    </row>
    <row r="11716" spans="1:13" x14ac:dyDescent="0.25">
      <c r="A11716" s="417" t="s">
        <v>3385</v>
      </c>
      <c r="B11716" s="417" t="s">
        <v>3405</v>
      </c>
      <c r="C11716" s="417" t="s">
        <v>25977</v>
      </c>
      <c r="D11716" s="417" t="s">
        <v>224</v>
      </c>
      <c r="E11716" s="423">
        <v>2.9694649520853732E-2</v>
      </c>
      <c r="F11716" s="423">
        <v>0.1231749488459887</v>
      </c>
      <c r="G11716" s="422">
        <v>127.34634269719049</v>
      </c>
      <c r="H11716" s="417" t="s">
        <v>2616</v>
      </c>
      <c r="I11716" s="417" t="s">
        <v>1392</v>
      </c>
      <c r="J11716" s="417" t="s">
        <v>25793</v>
      </c>
      <c r="K11716" s="417" t="s">
        <v>25978</v>
      </c>
      <c r="L11716" s="417"/>
      <c r="M11716" s="417" t="s">
        <v>28840</v>
      </c>
    </row>
    <row r="11717" spans="1:13" x14ac:dyDescent="0.25">
      <c r="A11717" s="417" t="s">
        <v>3385</v>
      </c>
      <c r="B11717" s="417" t="s">
        <v>3405</v>
      </c>
      <c r="C11717" s="417" t="s">
        <v>25979</v>
      </c>
      <c r="D11717" s="417" t="s">
        <v>224</v>
      </c>
      <c r="E11717" s="423">
        <v>4.9786466157043782E-2</v>
      </c>
      <c r="F11717" s="423">
        <v>0.4184446484405388</v>
      </c>
      <c r="G11717" s="422">
        <v>205.44416443373049</v>
      </c>
      <c r="H11717" s="417" t="s">
        <v>2616</v>
      </c>
      <c r="I11717" s="417" t="s">
        <v>1392</v>
      </c>
      <c r="J11717" s="417" t="s">
        <v>25793</v>
      </c>
      <c r="K11717" s="417" t="s">
        <v>25980</v>
      </c>
      <c r="L11717" s="417"/>
      <c r="M11717" s="417" t="s">
        <v>28840</v>
      </c>
    </row>
    <row r="11718" spans="1:13" x14ac:dyDescent="0.25">
      <c r="A11718" s="417" t="s">
        <v>3385</v>
      </c>
      <c r="B11718" s="417" t="s">
        <v>3405</v>
      </c>
      <c r="C11718" s="417" t="s">
        <v>25981</v>
      </c>
      <c r="D11718" s="417" t="s">
        <v>224</v>
      </c>
      <c r="E11718" s="423">
        <v>0.14815964408741539</v>
      </c>
      <c r="F11718" s="423">
        <v>1.488591408669163E-2</v>
      </c>
      <c r="G11718" s="422">
        <v>238.06142538543449</v>
      </c>
      <c r="H11718" s="417" t="s">
        <v>2616</v>
      </c>
      <c r="I11718" s="417" t="s">
        <v>1392</v>
      </c>
      <c r="J11718" s="417" t="s">
        <v>25793</v>
      </c>
      <c r="K11718" s="417" t="s">
        <v>25982</v>
      </c>
      <c r="L11718" s="417"/>
      <c r="M11718" s="417" t="s">
        <v>28840</v>
      </c>
    </row>
    <row r="11719" spans="1:13" x14ac:dyDescent="0.25">
      <c r="A11719" s="417" t="s">
        <v>3385</v>
      </c>
      <c r="B11719" s="417" t="s">
        <v>3405</v>
      </c>
      <c r="C11719" s="417" t="s">
        <v>25983</v>
      </c>
      <c r="D11719" s="417" t="s">
        <v>224</v>
      </c>
      <c r="E11719" s="423">
        <v>9.0988334017783765E-2</v>
      </c>
      <c r="F11719" s="423">
        <v>8.7259013889474268E-2</v>
      </c>
      <c r="G11719" s="422">
        <v>457.56191606317918</v>
      </c>
      <c r="H11719" s="417" t="s">
        <v>2616</v>
      </c>
      <c r="I11719" s="417" t="s">
        <v>1392</v>
      </c>
      <c r="J11719" s="417" t="s">
        <v>25793</v>
      </c>
      <c r="K11719" s="417" t="s">
        <v>25984</v>
      </c>
      <c r="L11719" s="417"/>
      <c r="M11719" s="417" t="s">
        <v>28840</v>
      </c>
    </row>
    <row r="11720" spans="1:13" x14ac:dyDescent="0.25">
      <c r="A11720" s="417" t="s">
        <v>3385</v>
      </c>
      <c r="B11720" s="417" t="s">
        <v>3405</v>
      </c>
      <c r="C11720" s="417" t="s">
        <v>25985</v>
      </c>
      <c r="D11720" s="417" t="s">
        <v>224</v>
      </c>
      <c r="E11720" s="423">
        <v>1.7286904145181772E-2</v>
      </c>
      <c r="F11720" s="423">
        <v>4.6483421526638329E-4</v>
      </c>
      <c r="G11720" s="422">
        <v>78.883588146481259</v>
      </c>
      <c r="H11720" s="417" t="s">
        <v>2616</v>
      </c>
      <c r="I11720" s="417" t="s">
        <v>1392</v>
      </c>
      <c r="J11720" s="417" t="s">
        <v>25793</v>
      </c>
      <c r="K11720" s="417" t="s">
        <v>25986</v>
      </c>
      <c r="L11720" s="417"/>
      <c r="M11720" s="417" t="s">
        <v>28840</v>
      </c>
    </row>
    <row r="11721" spans="1:13" x14ac:dyDescent="0.25">
      <c r="A11721" s="417" t="s">
        <v>3385</v>
      </c>
      <c r="B11721" s="417" t="s">
        <v>3405</v>
      </c>
      <c r="C11721" s="417" t="s">
        <v>25987</v>
      </c>
      <c r="D11721" s="417" t="s">
        <v>224</v>
      </c>
      <c r="E11721" s="423">
        <v>2.0818719057745801E-2</v>
      </c>
      <c r="F11721" s="423">
        <v>5.083452377574218E-3</v>
      </c>
      <c r="G11721" s="422">
        <v>217.39873628427031</v>
      </c>
      <c r="H11721" s="417" t="s">
        <v>2616</v>
      </c>
      <c r="I11721" s="417" t="s">
        <v>1392</v>
      </c>
      <c r="J11721" s="417" t="s">
        <v>25793</v>
      </c>
      <c r="K11721" s="417" t="s">
        <v>25988</v>
      </c>
      <c r="L11721" s="417"/>
      <c r="M11721" s="417" t="s">
        <v>28840</v>
      </c>
    </row>
    <row r="11722" spans="1:13" x14ac:dyDescent="0.25">
      <c r="A11722" s="417" t="s">
        <v>3385</v>
      </c>
      <c r="B11722" s="417" t="s">
        <v>3405</v>
      </c>
      <c r="C11722" s="417" t="s">
        <v>25989</v>
      </c>
      <c r="D11722" s="417" t="s">
        <v>224</v>
      </c>
      <c r="E11722" s="423">
        <v>1.2024906806682389E-2</v>
      </c>
      <c r="F11722" s="423">
        <v>2.8746507776970418E-4</v>
      </c>
      <c r="G11722" s="422">
        <v>69.871501238935764</v>
      </c>
      <c r="H11722" s="417" t="s">
        <v>2616</v>
      </c>
      <c r="I11722" s="417" t="s">
        <v>1392</v>
      </c>
      <c r="J11722" s="417" t="s">
        <v>25793</v>
      </c>
      <c r="K11722" s="417" t="s">
        <v>25990</v>
      </c>
      <c r="L11722" s="417"/>
      <c r="M11722" s="417" t="s">
        <v>28840</v>
      </c>
    </row>
    <row r="11723" spans="1:13" x14ac:dyDescent="0.25">
      <c r="A11723" s="417" t="s">
        <v>3385</v>
      </c>
      <c r="B11723" s="417" t="s">
        <v>3405</v>
      </c>
      <c r="C11723" s="417" t="s">
        <v>25991</v>
      </c>
      <c r="D11723" s="417" t="s">
        <v>224</v>
      </c>
      <c r="E11723" s="423">
        <v>3.8363243107543368E-2</v>
      </c>
      <c r="F11723" s="423">
        <v>0.34237382060469518</v>
      </c>
      <c r="G11723" s="422">
        <v>166.6177066350707</v>
      </c>
      <c r="H11723" s="417" t="s">
        <v>2616</v>
      </c>
      <c r="I11723" s="417" t="s">
        <v>1392</v>
      </c>
      <c r="J11723" s="417" t="s">
        <v>25793</v>
      </c>
      <c r="K11723" s="417" t="s">
        <v>25992</v>
      </c>
      <c r="L11723" s="417"/>
      <c r="M11723" s="417" t="s">
        <v>28840</v>
      </c>
    </row>
    <row r="11724" spans="1:13" x14ac:dyDescent="0.25">
      <c r="A11724" s="417" t="s">
        <v>3385</v>
      </c>
      <c r="B11724" s="417" t="s">
        <v>3405</v>
      </c>
      <c r="C11724" s="417" t="s">
        <v>25993</v>
      </c>
      <c r="D11724" s="417" t="s">
        <v>224</v>
      </c>
      <c r="E11724" s="423">
        <v>2.7982688882606011E-2</v>
      </c>
      <c r="F11724" s="423">
        <v>0.1140313163537876</v>
      </c>
      <c r="G11724" s="422">
        <v>119.6137274481316</v>
      </c>
      <c r="H11724" s="417" t="s">
        <v>2616</v>
      </c>
      <c r="I11724" s="417" t="s">
        <v>1392</v>
      </c>
      <c r="J11724" s="417" t="s">
        <v>25793</v>
      </c>
      <c r="K11724" s="417" t="s">
        <v>25994</v>
      </c>
      <c r="L11724" s="417"/>
      <c r="M11724" s="417" t="s">
        <v>28840</v>
      </c>
    </row>
    <row r="11725" spans="1:13" x14ac:dyDescent="0.25">
      <c r="A11725" s="417" t="s">
        <v>3385</v>
      </c>
      <c r="B11725" s="417" t="s">
        <v>3405</v>
      </c>
      <c r="C11725" s="417" t="s">
        <v>25995</v>
      </c>
      <c r="D11725" s="417" t="s">
        <v>224</v>
      </c>
      <c r="E11725" s="423">
        <v>2.8174449764657369E-2</v>
      </c>
      <c r="F11725" s="423">
        <v>2.8231157985472911E-2</v>
      </c>
      <c r="G11725" s="422">
        <v>98.093350376326455</v>
      </c>
      <c r="H11725" s="417" t="s">
        <v>2616</v>
      </c>
      <c r="I11725" s="417" t="s">
        <v>1392</v>
      </c>
      <c r="J11725" s="417" t="s">
        <v>25793</v>
      </c>
      <c r="K11725" s="417" t="s">
        <v>25996</v>
      </c>
      <c r="L11725" s="417"/>
      <c r="M11725" s="417" t="s">
        <v>28840</v>
      </c>
    </row>
    <row r="11726" spans="1:13" x14ac:dyDescent="0.25">
      <c r="A11726" s="417" t="s">
        <v>3385</v>
      </c>
      <c r="B11726" s="417" t="s">
        <v>3405</v>
      </c>
      <c r="C11726" s="417" t="s">
        <v>25997</v>
      </c>
      <c r="D11726" s="417" t="s">
        <v>224</v>
      </c>
      <c r="E11726" s="423">
        <v>4.0063948180830297E-2</v>
      </c>
      <c r="F11726" s="423">
        <v>0.3069422063688243</v>
      </c>
      <c r="G11726" s="422">
        <v>165.05311700540281</v>
      </c>
      <c r="H11726" s="417" t="s">
        <v>2616</v>
      </c>
      <c r="I11726" s="417" t="s">
        <v>1392</v>
      </c>
      <c r="J11726" s="417" t="s">
        <v>25793</v>
      </c>
      <c r="K11726" s="417" t="s">
        <v>25998</v>
      </c>
      <c r="L11726" s="417"/>
      <c r="M11726" s="417" t="s">
        <v>28840</v>
      </c>
    </row>
    <row r="11727" spans="1:13" x14ac:dyDescent="0.25">
      <c r="A11727" s="417" t="s">
        <v>3385</v>
      </c>
      <c r="B11727" s="417" t="s">
        <v>3405</v>
      </c>
      <c r="C11727" s="417" t="s">
        <v>25999</v>
      </c>
      <c r="D11727" s="417" t="s">
        <v>224</v>
      </c>
      <c r="E11727" s="423">
        <v>9.6615943986261374E-2</v>
      </c>
      <c r="F11727" s="423">
        <v>0.11346399600509691</v>
      </c>
      <c r="G11727" s="422">
        <v>199.2228646846319</v>
      </c>
      <c r="H11727" s="417" t="s">
        <v>2616</v>
      </c>
      <c r="I11727" s="417" t="s">
        <v>1392</v>
      </c>
      <c r="J11727" s="417" t="s">
        <v>25793</v>
      </c>
      <c r="K11727" s="417" t="s">
        <v>26000</v>
      </c>
      <c r="L11727" s="417"/>
      <c r="M11727" s="417" t="s">
        <v>28840</v>
      </c>
    </row>
    <row r="11728" spans="1:13" x14ac:dyDescent="0.25">
      <c r="A11728" s="417" t="s">
        <v>3385</v>
      </c>
      <c r="B11728" s="417" t="s">
        <v>3405</v>
      </c>
      <c r="C11728" s="417" t="s">
        <v>26001</v>
      </c>
      <c r="D11728" s="417" t="s">
        <v>224</v>
      </c>
      <c r="E11728" s="423">
        <v>2.9594056979406071E-2</v>
      </c>
      <c r="F11728" s="423">
        <v>0.21509049290277049</v>
      </c>
      <c r="G11728" s="422">
        <v>131.84179210238619</v>
      </c>
      <c r="H11728" s="417" t="s">
        <v>2616</v>
      </c>
      <c r="I11728" s="417" t="s">
        <v>1392</v>
      </c>
      <c r="J11728" s="417" t="s">
        <v>25793</v>
      </c>
      <c r="K11728" s="417" t="s">
        <v>26002</v>
      </c>
      <c r="L11728" s="417"/>
      <c r="M11728" s="417" t="s">
        <v>28840</v>
      </c>
    </row>
    <row r="11729" spans="1:13" x14ac:dyDescent="0.25">
      <c r="A11729" s="417" t="s">
        <v>3385</v>
      </c>
      <c r="B11729" s="417" t="s">
        <v>3405</v>
      </c>
      <c r="C11729" s="417" t="s">
        <v>26003</v>
      </c>
      <c r="D11729" s="417" t="s">
        <v>224</v>
      </c>
      <c r="E11729" s="423">
        <v>1.414012207628281E-2</v>
      </c>
      <c r="F11729" s="423">
        <v>2.5226324922222969E-2</v>
      </c>
      <c r="G11729" s="422">
        <v>77.600176057474044</v>
      </c>
      <c r="H11729" s="417" t="s">
        <v>2616</v>
      </c>
      <c r="I11729" s="417" t="s">
        <v>1392</v>
      </c>
      <c r="J11729" s="417" t="s">
        <v>25793</v>
      </c>
      <c r="K11729" s="417" t="s">
        <v>26004</v>
      </c>
      <c r="L11729" s="417"/>
      <c r="M11729" s="417" t="s">
        <v>28840</v>
      </c>
    </row>
    <row r="11730" spans="1:13" x14ac:dyDescent="0.25">
      <c r="A11730" s="417" t="s">
        <v>3385</v>
      </c>
      <c r="B11730" s="417" t="s">
        <v>3405</v>
      </c>
      <c r="C11730" s="417" t="s">
        <v>26005</v>
      </c>
      <c r="D11730" s="417" t="s">
        <v>224</v>
      </c>
      <c r="E11730" s="423">
        <v>3.5588390184638809E-2</v>
      </c>
      <c r="F11730" s="423">
        <v>0.2169864252546731</v>
      </c>
      <c r="G11730" s="422">
        <v>144.26550221574931</v>
      </c>
      <c r="H11730" s="417" t="s">
        <v>2616</v>
      </c>
      <c r="I11730" s="417" t="s">
        <v>1392</v>
      </c>
      <c r="J11730" s="417" t="s">
        <v>25793</v>
      </c>
      <c r="K11730" s="417" t="s">
        <v>26006</v>
      </c>
      <c r="L11730" s="417"/>
      <c r="M11730" s="417" t="s">
        <v>28840</v>
      </c>
    </row>
    <row r="11731" spans="1:13" x14ac:dyDescent="0.25">
      <c r="A11731" s="417" t="s">
        <v>3385</v>
      </c>
      <c r="B11731" s="417" t="s">
        <v>3405</v>
      </c>
      <c r="C11731" s="417" t="s">
        <v>26007</v>
      </c>
      <c r="D11731" s="417" t="s">
        <v>224</v>
      </c>
      <c r="E11731" s="423">
        <v>1.512363278618483E-2</v>
      </c>
      <c r="F11731" s="423">
        <v>3.5528907195600811E-4</v>
      </c>
      <c r="G11731" s="422">
        <v>74.511464160097034</v>
      </c>
      <c r="H11731" s="417" t="s">
        <v>2616</v>
      </c>
      <c r="I11731" s="417" t="s">
        <v>1392</v>
      </c>
      <c r="J11731" s="417" t="s">
        <v>25793</v>
      </c>
      <c r="K11731" s="417" t="s">
        <v>26008</v>
      </c>
      <c r="L11731" s="417"/>
      <c r="M11731" s="417" t="s">
        <v>28840</v>
      </c>
    </row>
    <row r="11732" spans="1:13" x14ac:dyDescent="0.25">
      <c r="A11732" s="417" t="s">
        <v>3385</v>
      </c>
      <c r="B11732" s="417" t="s">
        <v>3405</v>
      </c>
      <c r="C11732" s="417" t="s">
        <v>26009</v>
      </c>
      <c r="D11732" s="417" t="s">
        <v>224</v>
      </c>
      <c r="E11732" s="423">
        <v>8.0056013464215453E-2</v>
      </c>
      <c r="F11732" s="423">
        <v>0.1222899092708106</v>
      </c>
      <c r="G11732" s="422">
        <v>176.75588710863491</v>
      </c>
      <c r="H11732" s="417" t="s">
        <v>2616</v>
      </c>
      <c r="I11732" s="417" t="s">
        <v>1392</v>
      </c>
      <c r="J11732" s="417" t="s">
        <v>25793</v>
      </c>
      <c r="K11732" s="417" t="s">
        <v>26010</v>
      </c>
      <c r="L11732" s="417"/>
      <c r="M11732" s="417" t="s">
        <v>28840</v>
      </c>
    </row>
    <row r="11733" spans="1:13" x14ac:dyDescent="0.25">
      <c r="A11733" s="417" t="s">
        <v>3385</v>
      </c>
      <c r="B11733" s="417" t="s">
        <v>3405</v>
      </c>
      <c r="C11733" s="417" t="s">
        <v>26011</v>
      </c>
      <c r="D11733" s="417" t="s">
        <v>224</v>
      </c>
      <c r="E11733" s="423">
        <v>2.1869360930802689E-2</v>
      </c>
      <c r="F11733" s="423">
        <v>0.10548576932859829</v>
      </c>
      <c r="G11733" s="422">
        <v>102.1355364329397</v>
      </c>
      <c r="H11733" s="417" t="s">
        <v>2616</v>
      </c>
      <c r="I11733" s="417" t="s">
        <v>1392</v>
      </c>
      <c r="J11733" s="417" t="s">
        <v>25793</v>
      </c>
      <c r="K11733" s="417" t="s">
        <v>26012</v>
      </c>
      <c r="L11733" s="417"/>
      <c r="M11733" s="417" t="s">
        <v>28840</v>
      </c>
    </row>
    <row r="11734" spans="1:13" x14ac:dyDescent="0.25">
      <c r="A11734" s="417" t="s">
        <v>3385</v>
      </c>
      <c r="B11734" s="417" t="s">
        <v>3405</v>
      </c>
      <c r="C11734" s="417" t="s">
        <v>26013</v>
      </c>
      <c r="D11734" s="417" t="s">
        <v>224</v>
      </c>
      <c r="E11734" s="423">
        <v>0.22588845823679099</v>
      </c>
      <c r="F11734" s="423">
        <v>4.1827449234503447E-2</v>
      </c>
      <c r="G11734" s="422">
        <v>337.12395658841768</v>
      </c>
      <c r="H11734" s="417" t="s">
        <v>2616</v>
      </c>
      <c r="I11734" s="417" t="s">
        <v>1392</v>
      </c>
      <c r="J11734" s="417" t="s">
        <v>25793</v>
      </c>
      <c r="K11734" s="417" t="s">
        <v>26014</v>
      </c>
      <c r="L11734" s="417"/>
      <c r="M11734" s="417" t="s">
        <v>28840</v>
      </c>
    </row>
    <row r="11735" spans="1:13" x14ac:dyDescent="0.25">
      <c r="A11735" s="417" t="s">
        <v>3385</v>
      </c>
      <c r="B11735" s="417" t="s">
        <v>3405</v>
      </c>
      <c r="C11735" s="417" t="s">
        <v>26015</v>
      </c>
      <c r="D11735" s="417" t="s">
        <v>224</v>
      </c>
      <c r="E11735" s="423">
        <v>1.737942124415099E-2</v>
      </c>
      <c r="F11735" s="423">
        <v>4.4902906861664257E-4</v>
      </c>
      <c r="G11735" s="422">
        <v>78.319793728197851</v>
      </c>
      <c r="H11735" s="417" t="s">
        <v>2616</v>
      </c>
      <c r="I11735" s="417" t="s">
        <v>1392</v>
      </c>
      <c r="J11735" s="417" t="s">
        <v>25793</v>
      </c>
      <c r="K11735" s="417" t="s">
        <v>26016</v>
      </c>
      <c r="L11735" s="417"/>
      <c r="M11735" s="417" t="s">
        <v>28840</v>
      </c>
    </row>
    <row r="11736" spans="1:13" x14ac:dyDescent="0.25">
      <c r="A11736" s="417" t="s">
        <v>3385</v>
      </c>
      <c r="B11736" s="417" t="s">
        <v>3405</v>
      </c>
      <c r="C11736" s="417" t="s">
        <v>26017</v>
      </c>
      <c r="D11736" s="417" t="s">
        <v>224</v>
      </c>
      <c r="E11736" s="423">
        <v>2.2379133473476899E-2</v>
      </c>
      <c r="F11736" s="423">
        <v>0.1080451837634282</v>
      </c>
      <c r="G11736" s="422">
        <v>105.82098938292491</v>
      </c>
      <c r="H11736" s="417" t="s">
        <v>2616</v>
      </c>
      <c r="I11736" s="417" t="s">
        <v>1392</v>
      </c>
      <c r="J11736" s="417" t="s">
        <v>25793</v>
      </c>
      <c r="K11736" s="417" t="s">
        <v>26018</v>
      </c>
      <c r="L11736" s="417"/>
      <c r="M11736" s="417" t="s">
        <v>28840</v>
      </c>
    </row>
    <row r="11737" spans="1:13" x14ac:dyDescent="0.25">
      <c r="A11737" s="417" t="s">
        <v>3385</v>
      </c>
      <c r="B11737" s="417" t="s">
        <v>3405</v>
      </c>
      <c r="C11737" s="417" t="s">
        <v>26019</v>
      </c>
      <c r="D11737" s="417" t="s">
        <v>224</v>
      </c>
      <c r="E11737" s="423">
        <v>4.314076253580712E-2</v>
      </c>
      <c r="F11737" s="423">
        <v>0.36588619930244359</v>
      </c>
      <c r="G11737" s="422">
        <v>178.88270845788509</v>
      </c>
      <c r="H11737" s="417" t="s">
        <v>2616</v>
      </c>
      <c r="I11737" s="417" t="s">
        <v>1392</v>
      </c>
      <c r="J11737" s="417" t="s">
        <v>25793</v>
      </c>
      <c r="K11737" s="417" t="s">
        <v>26020</v>
      </c>
      <c r="L11737" s="417"/>
      <c r="M11737" s="417" t="s">
        <v>28840</v>
      </c>
    </row>
    <row r="11738" spans="1:13" x14ac:dyDescent="0.25">
      <c r="A11738" s="417" t="s">
        <v>3385</v>
      </c>
      <c r="B11738" s="417" t="s">
        <v>3405</v>
      </c>
      <c r="C11738" s="417" t="s">
        <v>26021</v>
      </c>
      <c r="D11738" s="417" t="s">
        <v>224</v>
      </c>
      <c r="E11738" s="423">
        <v>0.1660189486003476</v>
      </c>
      <c r="F11738" s="423">
        <v>3.8611689882010317E-2</v>
      </c>
      <c r="G11738" s="422">
        <v>262.35364740754483</v>
      </c>
      <c r="H11738" s="417" t="s">
        <v>2616</v>
      </c>
      <c r="I11738" s="417" t="s">
        <v>1392</v>
      </c>
      <c r="J11738" s="417" t="s">
        <v>25793</v>
      </c>
      <c r="K11738" s="417" t="s">
        <v>26022</v>
      </c>
      <c r="L11738" s="417"/>
      <c r="M11738" s="417" t="s">
        <v>28840</v>
      </c>
    </row>
    <row r="11739" spans="1:13" x14ac:dyDescent="0.25">
      <c r="A11739" s="417" t="s">
        <v>3385</v>
      </c>
      <c r="B11739" s="417" t="s">
        <v>3405</v>
      </c>
      <c r="C11739" s="417" t="s">
        <v>26023</v>
      </c>
      <c r="D11739" s="417" t="s">
        <v>224</v>
      </c>
      <c r="E11739" s="423">
        <v>2.727392419565345E-2</v>
      </c>
      <c r="F11739" s="423">
        <v>0.13705830386431619</v>
      </c>
      <c r="G11739" s="422">
        <v>116.7494335278985</v>
      </c>
      <c r="H11739" s="417" t="s">
        <v>2616</v>
      </c>
      <c r="I11739" s="417" t="s">
        <v>1392</v>
      </c>
      <c r="J11739" s="417" t="s">
        <v>25793</v>
      </c>
      <c r="K11739" s="417" t="s">
        <v>26024</v>
      </c>
      <c r="L11739" s="417"/>
      <c r="M11739" s="417" t="s">
        <v>28840</v>
      </c>
    </row>
    <row r="11740" spans="1:13" x14ac:dyDescent="0.25">
      <c r="A11740" s="417" t="s">
        <v>3385</v>
      </c>
      <c r="B11740" s="417" t="s">
        <v>3405</v>
      </c>
      <c r="C11740" s="417" t="s">
        <v>26025</v>
      </c>
      <c r="D11740" s="417" t="s">
        <v>224</v>
      </c>
      <c r="E11740" s="423">
        <v>1.2024906806682389E-2</v>
      </c>
      <c r="F11740" s="423">
        <v>2.8746507776970418E-4</v>
      </c>
      <c r="G11740" s="422">
        <v>69.871501238935764</v>
      </c>
      <c r="H11740" s="417" t="s">
        <v>2616</v>
      </c>
      <c r="I11740" s="417" t="s">
        <v>1392</v>
      </c>
      <c r="J11740" s="417" t="s">
        <v>25793</v>
      </c>
      <c r="K11740" s="417" t="s">
        <v>26026</v>
      </c>
      <c r="L11740" s="417"/>
      <c r="M11740" s="417" t="s">
        <v>28840</v>
      </c>
    </row>
    <row r="11741" spans="1:13" x14ac:dyDescent="0.25">
      <c r="A11741" s="417" t="s">
        <v>3385</v>
      </c>
      <c r="B11741" s="417" t="s">
        <v>3405</v>
      </c>
      <c r="C11741" s="417" t="s">
        <v>26027</v>
      </c>
      <c r="D11741" s="417" t="s">
        <v>224</v>
      </c>
      <c r="E11741" s="423">
        <v>3.0128608037163919E-2</v>
      </c>
      <c r="F11741" s="423">
        <v>8.5848264710461364E-2</v>
      </c>
      <c r="G11741" s="422">
        <v>110.6167617501192</v>
      </c>
      <c r="H11741" s="417" t="s">
        <v>2616</v>
      </c>
      <c r="I11741" s="417" t="s">
        <v>1392</v>
      </c>
      <c r="J11741" s="417" t="s">
        <v>25793</v>
      </c>
      <c r="K11741" s="417" t="s">
        <v>26028</v>
      </c>
      <c r="L11741" s="417"/>
      <c r="M11741" s="417" t="s">
        <v>28840</v>
      </c>
    </row>
    <row r="11742" spans="1:13" x14ac:dyDescent="0.25">
      <c r="A11742" s="417" t="s">
        <v>3385</v>
      </c>
      <c r="B11742" s="417" t="s">
        <v>3405</v>
      </c>
      <c r="C11742" s="417" t="s">
        <v>26029</v>
      </c>
      <c r="D11742" s="417" t="s">
        <v>224</v>
      </c>
      <c r="E11742" s="423">
        <v>1.526195058271817E-2</v>
      </c>
      <c r="F11742" s="423">
        <v>1.4044860482440779E-2</v>
      </c>
      <c r="G11742" s="422">
        <v>78.22523944185582</v>
      </c>
      <c r="H11742" s="417" t="s">
        <v>2616</v>
      </c>
      <c r="I11742" s="417" t="s">
        <v>1392</v>
      </c>
      <c r="J11742" s="417" t="s">
        <v>25793</v>
      </c>
      <c r="K11742" s="417" t="s">
        <v>26030</v>
      </c>
      <c r="L11742" s="417"/>
      <c r="M11742" s="417" t="s">
        <v>28840</v>
      </c>
    </row>
    <row r="11743" spans="1:13" x14ac:dyDescent="0.25">
      <c r="A11743" s="417" t="s">
        <v>3385</v>
      </c>
      <c r="B11743" s="417" t="s">
        <v>3405</v>
      </c>
      <c r="C11743" s="417" t="s">
        <v>26031</v>
      </c>
      <c r="D11743" s="417" t="s">
        <v>224</v>
      </c>
      <c r="E11743" s="423">
        <v>3.1110350049224401E-2</v>
      </c>
      <c r="F11743" s="423">
        <v>0.18976928997493089</v>
      </c>
      <c r="G11743" s="422">
        <v>131.31182178181771</v>
      </c>
      <c r="H11743" s="417" t="s">
        <v>2616</v>
      </c>
      <c r="I11743" s="417" t="s">
        <v>1392</v>
      </c>
      <c r="J11743" s="417" t="s">
        <v>25793</v>
      </c>
      <c r="K11743" s="417" t="s">
        <v>26032</v>
      </c>
      <c r="L11743" s="417"/>
      <c r="M11743" s="417" t="s">
        <v>28840</v>
      </c>
    </row>
    <row r="11744" spans="1:13" x14ac:dyDescent="0.25">
      <c r="A11744" s="417" t="s">
        <v>3385</v>
      </c>
      <c r="B11744" s="417" t="s">
        <v>3405</v>
      </c>
      <c r="C11744" s="417" t="s">
        <v>26033</v>
      </c>
      <c r="D11744" s="417" t="s">
        <v>224</v>
      </c>
      <c r="E11744" s="423">
        <v>1.3603200683159631E-2</v>
      </c>
      <c r="F11744" s="423">
        <v>2.9057128181123791E-4</v>
      </c>
      <c r="G11744" s="422">
        <v>71.588957792088635</v>
      </c>
      <c r="H11744" s="417" t="s">
        <v>2616</v>
      </c>
      <c r="I11744" s="417" t="s">
        <v>1392</v>
      </c>
      <c r="J11744" s="417" t="s">
        <v>25793</v>
      </c>
      <c r="K11744" s="417" t="s">
        <v>26034</v>
      </c>
      <c r="L11744" s="417"/>
      <c r="M11744" s="417" t="s">
        <v>28840</v>
      </c>
    </row>
    <row r="11745" spans="1:13" x14ac:dyDescent="0.25">
      <c r="A11745" s="417" t="s">
        <v>3385</v>
      </c>
      <c r="B11745" s="417" t="s">
        <v>3405</v>
      </c>
      <c r="C11745" s="417" t="s">
        <v>26035</v>
      </c>
      <c r="D11745" s="417" t="s">
        <v>224</v>
      </c>
      <c r="E11745" s="423">
        <v>1.987567139539477E-2</v>
      </c>
      <c r="F11745" s="423">
        <v>4.7966376961844658E-2</v>
      </c>
      <c r="G11745" s="422">
        <v>90.443927066566786</v>
      </c>
      <c r="H11745" s="417" t="s">
        <v>2616</v>
      </c>
      <c r="I11745" s="417" t="s">
        <v>1392</v>
      </c>
      <c r="J11745" s="417" t="s">
        <v>25793</v>
      </c>
      <c r="K11745" s="417" t="s">
        <v>26036</v>
      </c>
      <c r="L11745" s="417"/>
      <c r="M11745" s="417" t="s">
        <v>28840</v>
      </c>
    </row>
    <row r="11746" spans="1:13" x14ac:dyDescent="0.25">
      <c r="A11746" s="417" t="s">
        <v>3385</v>
      </c>
      <c r="B11746" s="417" t="s">
        <v>3405</v>
      </c>
      <c r="C11746" s="417" t="s">
        <v>26037</v>
      </c>
      <c r="D11746" s="417" t="s">
        <v>224</v>
      </c>
      <c r="E11746" s="423">
        <v>2.0451112072799E-2</v>
      </c>
      <c r="F11746" s="423">
        <v>6.5525538375911269E-2</v>
      </c>
      <c r="G11746" s="422">
        <v>250.83148210503549</v>
      </c>
      <c r="H11746" s="417" t="s">
        <v>2616</v>
      </c>
      <c r="I11746" s="417" t="s">
        <v>1392</v>
      </c>
      <c r="J11746" s="417" t="s">
        <v>25793</v>
      </c>
      <c r="K11746" s="417" t="s">
        <v>26038</v>
      </c>
      <c r="L11746" s="417"/>
      <c r="M11746" s="417" t="s">
        <v>28840</v>
      </c>
    </row>
    <row r="11747" spans="1:13" x14ac:dyDescent="0.25">
      <c r="A11747" s="417" t="s">
        <v>3385</v>
      </c>
      <c r="B11747" s="417" t="s">
        <v>3405</v>
      </c>
      <c r="C11747" s="417" t="s">
        <v>26039</v>
      </c>
      <c r="D11747" s="417" t="s">
        <v>224</v>
      </c>
      <c r="E11747" s="423">
        <v>2.3279342762335401E-2</v>
      </c>
      <c r="F11747" s="423">
        <v>0.1175768728962735</v>
      </c>
      <c r="G11747" s="422">
        <v>106.74062324980331</v>
      </c>
      <c r="H11747" s="417" t="s">
        <v>2616</v>
      </c>
      <c r="I11747" s="417" t="s">
        <v>1392</v>
      </c>
      <c r="J11747" s="417" t="s">
        <v>25793</v>
      </c>
      <c r="K11747" s="417" t="s">
        <v>26040</v>
      </c>
      <c r="L11747" s="417"/>
      <c r="M11747" s="417" t="s">
        <v>28840</v>
      </c>
    </row>
    <row r="11748" spans="1:13" x14ac:dyDescent="0.25">
      <c r="A11748" s="417" t="s">
        <v>3385</v>
      </c>
      <c r="B11748" s="417" t="s">
        <v>3405</v>
      </c>
      <c r="C11748" s="417" t="s">
        <v>26041</v>
      </c>
      <c r="D11748" s="417" t="s">
        <v>224</v>
      </c>
      <c r="E11748" s="423">
        <v>4.3224660289559597E-2</v>
      </c>
      <c r="F11748" s="423">
        <v>0.40649040311975893</v>
      </c>
      <c r="G11748" s="422">
        <v>184.4518863886141</v>
      </c>
      <c r="H11748" s="417" t="s">
        <v>2616</v>
      </c>
      <c r="I11748" s="417" t="s">
        <v>1392</v>
      </c>
      <c r="J11748" s="417" t="s">
        <v>25793</v>
      </c>
      <c r="K11748" s="417" t="s">
        <v>26042</v>
      </c>
      <c r="L11748" s="417"/>
      <c r="M11748" s="417" t="s">
        <v>28840</v>
      </c>
    </row>
    <row r="11749" spans="1:13" x14ac:dyDescent="0.25">
      <c r="A11749" s="417" t="s">
        <v>3385</v>
      </c>
      <c r="B11749" s="417" t="s">
        <v>3405</v>
      </c>
      <c r="C11749" s="417" t="s">
        <v>26043</v>
      </c>
      <c r="D11749" s="417" t="s">
        <v>224</v>
      </c>
      <c r="E11749" s="423">
        <v>0.34763587627543691</v>
      </c>
      <c r="F11749" s="423">
        <v>1.484972252416191E-3</v>
      </c>
      <c r="G11749" s="422">
        <v>439.39583381538199</v>
      </c>
      <c r="H11749" s="417" t="s">
        <v>2616</v>
      </c>
      <c r="I11749" s="417" t="s">
        <v>1392</v>
      </c>
      <c r="J11749" s="417" t="s">
        <v>24607</v>
      </c>
      <c r="K11749" s="417" t="s">
        <v>26044</v>
      </c>
      <c r="L11749" s="417"/>
      <c r="M11749" s="417" t="s">
        <v>28840</v>
      </c>
    </row>
    <row r="11750" spans="1:13" x14ac:dyDescent="0.25">
      <c r="A11750" s="417" t="s">
        <v>3385</v>
      </c>
      <c r="B11750" s="417" t="s">
        <v>3405</v>
      </c>
      <c r="C11750" s="417" t="s">
        <v>26045</v>
      </c>
      <c r="D11750" s="417" t="s">
        <v>224</v>
      </c>
      <c r="E11750" s="423">
        <v>3.7363421000223969E-4</v>
      </c>
      <c r="F11750" s="423">
        <v>1.178950570687014E-5</v>
      </c>
      <c r="G11750" s="422">
        <v>0.92285018635940974</v>
      </c>
      <c r="H11750" s="417" t="s">
        <v>2616</v>
      </c>
      <c r="I11750" s="417" t="s">
        <v>1392</v>
      </c>
      <c r="J11750" s="417" t="s">
        <v>24607</v>
      </c>
      <c r="K11750" s="417" t="s">
        <v>26046</v>
      </c>
      <c r="L11750" s="417"/>
      <c r="M11750" s="417" t="s">
        <v>28840</v>
      </c>
    </row>
    <row r="11751" spans="1:13" x14ac:dyDescent="0.25">
      <c r="A11751" s="417" t="s">
        <v>3385</v>
      </c>
      <c r="B11751" s="417" t="s">
        <v>3405</v>
      </c>
      <c r="C11751" s="417" t="s">
        <v>26047</v>
      </c>
      <c r="D11751" s="417" t="s">
        <v>224</v>
      </c>
      <c r="E11751" s="423">
        <v>0.43647483901879841</v>
      </c>
      <c r="F11751" s="423">
        <v>1.015496669268178E-2</v>
      </c>
      <c r="G11751" s="422">
        <v>551.11303098251892</v>
      </c>
      <c r="H11751" s="417" t="s">
        <v>2616</v>
      </c>
      <c r="I11751" s="417" t="s">
        <v>1392</v>
      </c>
      <c r="J11751" s="417" t="s">
        <v>26048</v>
      </c>
      <c r="K11751" s="417" t="s">
        <v>26049</v>
      </c>
      <c r="L11751" s="417"/>
      <c r="M11751" s="417" t="s">
        <v>28840</v>
      </c>
    </row>
    <row r="11752" spans="1:13" x14ac:dyDescent="0.25">
      <c r="A11752" s="417" t="s">
        <v>3385</v>
      </c>
      <c r="B11752" s="417" t="s">
        <v>3405</v>
      </c>
      <c r="C11752" s="417" t="s">
        <v>26050</v>
      </c>
      <c r="D11752" s="417" t="s">
        <v>224</v>
      </c>
      <c r="E11752" s="423">
        <v>5.5482241630324346E-4</v>
      </c>
      <c r="F11752" s="423">
        <v>1.9582504734039371E-5</v>
      </c>
      <c r="G11752" s="422">
        <v>1.281070290310979</v>
      </c>
      <c r="H11752" s="417" t="s">
        <v>2616</v>
      </c>
      <c r="I11752" s="417" t="s">
        <v>1392</v>
      </c>
      <c r="J11752" s="417" t="s">
        <v>26048</v>
      </c>
      <c r="K11752" s="417" t="s">
        <v>26051</v>
      </c>
      <c r="L11752" s="417"/>
      <c r="M11752" s="417" t="s">
        <v>28840</v>
      </c>
    </row>
    <row r="11753" spans="1:13" x14ac:dyDescent="0.25">
      <c r="A11753" s="417" t="s">
        <v>3385</v>
      </c>
      <c r="B11753" s="417" t="s">
        <v>3405</v>
      </c>
      <c r="C11753" s="417" t="s">
        <v>26052</v>
      </c>
      <c r="D11753" s="417" t="s">
        <v>224</v>
      </c>
      <c r="E11753" s="423">
        <v>0.34135157587542342</v>
      </c>
      <c r="F11753" s="423">
        <v>1.476559621370605E-3</v>
      </c>
      <c r="G11753" s="422">
        <v>431.70401056419729</v>
      </c>
      <c r="H11753" s="417" t="s">
        <v>2616</v>
      </c>
      <c r="I11753" s="417" t="s">
        <v>1392</v>
      </c>
      <c r="J11753" s="417" t="s">
        <v>24607</v>
      </c>
      <c r="K11753" s="417" t="s">
        <v>26053</v>
      </c>
      <c r="L11753" s="417"/>
      <c r="M11753" s="417" t="s">
        <v>28840</v>
      </c>
    </row>
    <row r="11754" spans="1:13" x14ac:dyDescent="0.25">
      <c r="A11754" s="417" t="s">
        <v>3385</v>
      </c>
      <c r="B11754" s="417" t="s">
        <v>3405</v>
      </c>
      <c r="C11754" s="417" t="s">
        <v>26054</v>
      </c>
      <c r="D11754" s="417" t="s">
        <v>224</v>
      </c>
      <c r="E11754" s="423">
        <v>5.5216908602593988E-4</v>
      </c>
      <c r="F11754" s="423">
        <v>1.9488855214557168E-5</v>
      </c>
      <c r="G11754" s="422">
        <v>1.274943820662185</v>
      </c>
      <c r="H11754" s="417" t="s">
        <v>2616</v>
      </c>
      <c r="I11754" s="417" t="s">
        <v>1392</v>
      </c>
      <c r="J11754" s="417" t="s">
        <v>24607</v>
      </c>
      <c r="K11754" s="417" t="s">
        <v>26055</v>
      </c>
      <c r="L11754" s="417"/>
      <c r="M11754" s="417" t="s">
        <v>28840</v>
      </c>
    </row>
    <row r="11755" spans="1:13" x14ac:dyDescent="0.25">
      <c r="A11755" s="417" t="s">
        <v>3385</v>
      </c>
      <c r="B11755" s="417" t="s">
        <v>3405</v>
      </c>
      <c r="C11755" s="417" t="s">
        <v>26056</v>
      </c>
      <c r="D11755" s="417" t="s">
        <v>224</v>
      </c>
      <c r="E11755" s="423">
        <v>0.35269279249902952</v>
      </c>
      <c r="F11755" s="423">
        <v>1.512801695227938E-3</v>
      </c>
      <c r="G11755" s="422">
        <v>445.86249039519021</v>
      </c>
      <c r="H11755" s="417" t="s">
        <v>2616</v>
      </c>
      <c r="I11755" s="417" t="s">
        <v>1392</v>
      </c>
      <c r="J11755" s="417" t="s">
        <v>24607</v>
      </c>
      <c r="K11755" s="417" t="s">
        <v>26057</v>
      </c>
      <c r="L11755" s="417"/>
      <c r="M11755" s="417" t="s">
        <v>28840</v>
      </c>
    </row>
    <row r="11756" spans="1:13" x14ac:dyDescent="0.25">
      <c r="A11756" s="417" t="s">
        <v>3385</v>
      </c>
      <c r="B11756" s="417" t="s">
        <v>3405</v>
      </c>
      <c r="C11756" s="417" t="s">
        <v>26058</v>
      </c>
      <c r="D11756" s="417" t="s">
        <v>224</v>
      </c>
      <c r="E11756" s="423">
        <v>0.65691840290260661</v>
      </c>
      <c r="F11756" s="423">
        <v>2.8069475820452941E-3</v>
      </c>
      <c r="G11756" s="422">
        <v>830.03084292684264</v>
      </c>
      <c r="H11756" s="417" t="s">
        <v>2616</v>
      </c>
      <c r="I11756" s="417" t="s">
        <v>1392</v>
      </c>
      <c r="J11756" s="417" t="s">
        <v>24607</v>
      </c>
      <c r="K11756" s="417" t="s">
        <v>26059</v>
      </c>
      <c r="L11756" s="417"/>
      <c r="M11756" s="417" t="s">
        <v>28840</v>
      </c>
    </row>
    <row r="11757" spans="1:13" x14ac:dyDescent="0.25">
      <c r="A11757" s="417" t="s">
        <v>3385</v>
      </c>
      <c r="B11757" s="417" t="s">
        <v>3405</v>
      </c>
      <c r="C11757" s="417" t="s">
        <v>26060</v>
      </c>
      <c r="D11757" s="417" t="s">
        <v>224</v>
      </c>
      <c r="E11757" s="423">
        <v>4.3155949778915948E-4</v>
      </c>
      <c r="F11757" s="423">
        <v>1.4316982292229641E-5</v>
      </c>
      <c r="G11757" s="422">
        <v>1.0359773007873261</v>
      </c>
      <c r="H11757" s="417" t="s">
        <v>2616</v>
      </c>
      <c r="I11757" s="417" t="s">
        <v>1392</v>
      </c>
      <c r="J11757" s="417" t="s">
        <v>24607</v>
      </c>
      <c r="K11757" s="417" t="s">
        <v>26061</v>
      </c>
      <c r="L11757" s="417"/>
      <c r="M11757" s="417" t="s">
        <v>28840</v>
      </c>
    </row>
    <row r="11758" spans="1:13" x14ac:dyDescent="0.25">
      <c r="A11758" s="417" t="s">
        <v>3385</v>
      </c>
      <c r="B11758" s="417" t="s">
        <v>3405</v>
      </c>
      <c r="C11758" s="417" t="s">
        <v>26062</v>
      </c>
      <c r="D11758" s="417" t="s">
        <v>224</v>
      </c>
      <c r="E11758" s="423">
        <v>0.3476448839736529</v>
      </c>
      <c r="F11758" s="423">
        <v>1.526437731093525E-3</v>
      </c>
      <c r="G11758" s="422">
        <v>439.89693932140801</v>
      </c>
      <c r="H11758" s="417" t="s">
        <v>2616</v>
      </c>
      <c r="I11758" s="417" t="s">
        <v>1392</v>
      </c>
      <c r="J11758" s="417" t="s">
        <v>24607</v>
      </c>
      <c r="K11758" s="417" t="s">
        <v>26063</v>
      </c>
      <c r="L11758" s="417"/>
      <c r="M11758" s="417" t="s">
        <v>28840</v>
      </c>
    </row>
    <row r="11759" spans="1:13" x14ac:dyDescent="0.25">
      <c r="A11759" s="417" t="s">
        <v>3385</v>
      </c>
      <c r="B11759" s="417" t="s">
        <v>3405</v>
      </c>
      <c r="C11759" s="417" t="s">
        <v>26064</v>
      </c>
      <c r="D11759" s="417" t="s">
        <v>224</v>
      </c>
      <c r="E11759" s="423">
        <v>7.6025931449878205E-4</v>
      </c>
      <c r="F11759" s="423">
        <v>2.941892227485507E-5</v>
      </c>
      <c r="G11759" s="422">
        <v>1.643926032340794</v>
      </c>
      <c r="H11759" s="417" t="s">
        <v>2616</v>
      </c>
      <c r="I11759" s="417" t="s">
        <v>1392</v>
      </c>
      <c r="J11759" s="417" t="s">
        <v>24607</v>
      </c>
      <c r="K11759" s="417" t="s">
        <v>26065</v>
      </c>
      <c r="L11759" s="417"/>
      <c r="M11759" s="417" t="s">
        <v>28840</v>
      </c>
    </row>
    <row r="11760" spans="1:13" x14ac:dyDescent="0.25">
      <c r="A11760" s="417" t="s">
        <v>3385</v>
      </c>
      <c r="B11760" s="417" t="s">
        <v>3405</v>
      </c>
      <c r="C11760" s="417" t="s">
        <v>26066</v>
      </c>
      <c r="D11760" s="417" t="s">
        <v>224</v>
      </c>
      <c r="E11760" s="423">
        <v>1.648961231058613E-2</v>
      </c>
      <c r="F11760" s="423">
        <v>0.41585518901783403</v>
      </c>
      <c r="G11760" s="422">
        <v>102.516499916283</v>
      </c>
      <c r="H11760" s="417" t="s">
        <v>2616</v>
      </c>
      <c r="I11760" s="417" t="s">
        <v>1392</v>
      </c>
      <c r="J11760" s="417" t="s">
        <v>24838</v>
      </c>
      <c r="K11760" s="417" t="s">
        <v>26067</v>
      </c>
      <c r="L11760" s="417"/>
      <c r="M11760" s="417" t="s">
        <v>28840</v>
      </c>
    </row>
    <row r="11761" spans="1:13" x14ac:dyDescent="0.25">
      <c r="A11761" s="417" t="s">
        <v>3385</v>
      </c>
      <c r="B11761" s="417" t="s">
        <v>3405</v>
      </c>
      <c r="C11761" s="417" t="s">
        <v>26068</v>
      </c>
      <c r="D11761" s="417" t="s">
        <v>224</v>
      </c>
      <c r="E11761" s="423">
        <v>4.0358340127930672E-2</v>
      </c>
      <c r="F11761" s="423">
        <v>1.042284417116992</v>
      </c>
      <c r="G11761" s="422">
        <v>254.90219435784761</v>
      </c>
      <c r="H11761" s="417" t="s">
        <v>2616</v>
      </c>
      <c r="I11761" s="417" t="s">
        <v>1392</v>
      </c>
      <c r="J11761" s="417" t="s">
        <v>24838</v>
      </c>
      <c r="K11761" s="417" t="s">
        <v>26069</v>
      </c>
      <c r="L11761" s="417"/>
      <c r="M11761" s="417" t="s">
        <v>28840</v>
      </c>
    </row>
    <row r="11762" spans="1:13" x14ac:dyDescent="0.25">
      <c r="A11762" s="417" t="s">
        <v>3385</v>
      </c>
      <c r="B11762" s="417" t="s">
        <v>3405</v>
      </c>
      <c r="C11762" s="417" t="s">
        <v>26070</v>
      </c>
      <c r="D11762" s="417" t="s">
        <v>224</v>
      </c>
      <c r="E11762" s="423">
        <v>2.0876366925082789E-3</v>
      </c>
      <c r="F11762" s="423">
        <v>1.997590250015437E-5</v>
      </c>
      <c r="G11762" s="422">
        <v>3.0660283812526088</v>
      </c>
      <c r="H11762" s="417" t="s">
        <v>2616</v>
      </c>
      <c r="I11762" s="417" t="s">
        <v>1392</v>
      </c>
      <c r="J11762" s="417" t="s">
        <v>24838</v>
      </c>
      <c r="K11762" s="417" t="s">
        <v>26071</v>
      </c>
      <c r="L11762" s="417"/>
      <c r="M11762" s="417" t="s">
        <v>28840</v>
      </c>
    </row>
    <row r="11763" spans="1:13" x14ac:dyDescent="0.25">
      <c r="A11763" s="417" t="s">
        <v>3385</v>
      </c>
      <c r="B11763" s="417" t="s">
        <v>3405</v>
      </c>
      <c r="C11763" s="417" t="s">
        <v>26072</v>
      </c>
      <c r="D11763" s="417" t="s">
        <v>224</v>
      </c>
      <c r="E11763" s="423">
        <v>4.0629511023048202E-2</v>
      </c>
      <c r="F11763" s="423">
        <v>0.41704611922794788</v>
      </c>
      <c r="G11763" s="422">
        <v>96.774384055377524</v>
      </c>
      <c r="H11763" s="417" t="s">
        <v>2616</v>
      </c>
      <c r="I11763" s="417" t="s">
        <v>1392</v>
      </c>
      <c r="J11763" s="417" t="s">
        <v>24838</v>
      </c>
      <c r="K11763" s="417" t="s">
        <v>26073</v>
      </c>
      <c r="L11763" s="417"/>
      <c r="M11763" s="417" t="s">
        <v>28840</v>
      </c>
    </row>
    <row r="11764" spans="1:13" x14ac:dyDescent="0.25">
      <c r="A11764" s="417" t="s">
        <v>3385</v>
      </c>
      <c r="B11764" s="417" t="s">
        <v>3405</v>
      </c>
      <c r="C11764" s="417" t="s">
        <v>26074</v>
      </c>
      <c r="D11764" s="417" t="s">
        <v>224</v>
      </c>
      <c r="E11764" s="423">
        <v>2.1892893789024802E-3</v>
      </c>
      <c r="F11764" s="423">
        <v>2.0948583311766598E-5</v>
      </c>
      <c r="G11764" s="422">
        <v>3.2153216100283868</v>
      </c>
      <c r="H11764" s="417" t="s">
        <v>2616</v>
      </c>
      <c r="I11764" s="417" t="s">
        <v>1392</v>
      </c>
      <c r="J11764" s="417" t="s">
        <v>24838</v>
      </c>
      <c r="K11764" s="417" t="s">
        <v>26075</v>
      </c>
      <c r="L11764" s="417"/>
      <c r="M11764" s="417" t="s">
        <v>28840</v>
      </c>
    </row>
    <row r="11765" spans="1:13" x14ac:dyDescent="0.25">
      <c r="A11765" s="417" t="s">
        <v>3385</v>
      </c>
      <c r="B11765" s="417" t="s">
        <v>3405</v>
      </c>
      <c r="C11765" s="417" t="s">
        <v>26076</v>
      </c>
      <c r="D11765" s="417" t="s">
        <v>224</v>
      </c>
      <c r="E11765" s="423">
        <v>3.5158237802053287E-2</v>
      </c>
      <c r="F11765" s="423">
        <v>4.8945205059874507E-2</v>
      </c>
      <c r="G11765" s="422">
        <v>194.63711704785939</v>
      </c>
      <c r="H11765" s="417" t="s">
        <v>2616</v>
      </c>
      <c r="I11765" s="417" t="s">
        <v>1392</v>
      </c>
      <c r="J11765" s="417" t="s">
        <v>25793</v>
      </c>
      <c r="K11765" s="417" t="s">
        <v>26077</v>
      </c>
      <c r="L11765" s="417"/>
      <c r="M11765" s="417" t="s">
        <v>28840</v>
      </c>
    </row>
    <row r="11766" spans="1:13" x14ac:dyDescent="0.25">
      <c r="A11766" s="417" t="s">
        <v>3385</v>
      </c>
      <c r="B11766" s="417" t="s">
        <v>3405</v>
      </c>
      <c r="C11766" s="417" t="s">
        <v>26078</v>
      </c>
      <c r="D11766" s="417" t="s">
        <v>224</v>
      </c>
      <c r="E11766" s="423">
        <v>1.748257229520719E-2</v>
      </c>
      <c r="F11766" s="423">
        <v>-2.8226245646861652E-2</v>
      </c>
      <c r="G11766" s="422">
        <v>171.98260269948989</v>
      </c>
      <c r="H11766" s="417" t="s">
        <v>2616</v>
      </c>
      <c r="I11766" s="417" t="s">
        <v>1392</v>
      </c>
      <c r="J11766" s="417" t="s">
        <v>25793</v>
      </c>
      <c r="K11766" s="417" t="s">
        <v>26079</v>
      </c>
      <c r="L11766" s="417"/>
      <c r="M11766" s="417" t="s">
        <v>28840</v>
      </c>
    </row>
    <row r="11767" spans="1:13" x14ac:dyDescent="0.25">
      <c r="A11767" s="417" t="s">
        <v>3385</v>
      </c>
      <c r="B11767" s="417" t="s">
        <v>3405</v>
      </c>
      <c r="C11767" s="417" t="s">
        <v>26080</v>
      </c>
      <c r="D11767" s="417" t="s">
        <v>224</v>
      </c>
      <c r="E11767" s="423">
        <v>0.14865223254478299</v>
      </c>
      <c r="F11767" s="423">
        <v>1.529888801301397E-2</v>
      </c>
      <c r="G11767" s="422">
        <v>204.5233811943061</v>
      </c>
      <c r="H11767" s="417" t="s">
        <v>2616</v>
      </c>
      <c r="I11767" s="417" t="s">
        <v>1392</v>
      </c>
      <c r="J11767" s="417" t="s">
        <v>25793</v>
      </c>
      <c r="K11767" s="417" t="s">
        <v>26081</v>
      </c>
      <c r="L11767" s="417"/>
      <c r="M11767" s="417" t="s">
        <v>28840</v>
      </c>
    </row>
    <row r="11768" spans="1:13" x14ac:dyDescent="0.25">
      <c r="A11768" s="417" t="s">
        <v>3385</v>
      </c>
      <c r="B11768" s="417" t="s">
        <v>3405</v>
      </c>
      <c r="C11768" s="417" t="s">
        <v>26082</v>
      </c>
      <c r="D11768" s="417" t="s">
        <v>224</v>
      </c>
      <c r="E11768" s="423">
        <v>0.1639461459812141</v>
      </c>
      <c r="F11768" s="423">
        <v>5.4345081768792172E-2</v>
      </c>
      <c r="G11768" s="422">
        <v>506.31528347397591</v>
      </c>
      <c r="H11768" s="417" t="s">
        <v>2616</v>
      </c>
      <c r="I11768" s="417" t="s">
        <v>1392</v>
      </c>
      <c r="J11768" s="417" t="s">
        <v>25793</v>
      </c>
      <c r="K11768" s="417" t="s">
        <v>26083</v>
      </c>
      <c r="L11768" s="417"/>
      <c r="M11768" s="417" t="s">
        <v>28840</v>
      </c>
    </row>
    <row r="11769" spans="1:13" x14ac:dyDescent="0.25">
      <c r="A11769" s="417" t="s">
        <v>3385</v>
      </c>
      <c r="B11769" s="417" t="s">
        <v>3405</v>
      </c>
      <c r="C11769" s="417" t="s">
        <v>26084</v>
      </c>
      <c r="D11769" s="417" t="s">
        <v>224</v>
      </c>
      <c r="E11769" s="423">
        <v>0.52285882748822954</v>
      </c>
      <c r="F11769" s="423">
        <v>6.1993966884462013E-3</v>
      </c>
      <c r="G11769" s="422">
        <v>912.85234569499562</v>
      </c>
      <c r="H11769" s="417" t="s">
        <v>2616</v>
      </c>
      <c r="I11769" s="417" t="s">
        <v>1392</v>
      </c>
      <c r="J11769" s="417" t="s">
        <v>25793</v>
      </c>
      <c r="K11769" s="417" t="s">
        <v>26085</v>
      </c>
      <c r="L11769" s="417"/>
      <c r="M11769" s="417" t="s">
        <v>28840</v>
      </c>
    </row>
    <row r="11770" spans="1:13" x14ac:dyDescent="0.25">
      <c r="A11770" s="417" t="s">
        <v>3385</v>
      </c>
      <c r="B11770" s="417" t="s">
        <v>3405</v>
      </c>
      <c r="C11770" s="417" t="s">
        <v>26086</v>
      </c>
      <c r="D11770" s="417" t="s">
        <v>224</v>
      </c>
      <c r="E11770" s="423">
        <v>5.4510659934408477E-2</v>
      </c>
      <c r="F11770" s="423">
        <v>4.5525866803303961E-3</v>
      </c>
      <c r="G11770" s="422">
        <v>271.14792679473072</v>
      </c>
      <c r="H11770" s="417" t="s">
        <v>2616</v>
      </c>
      <c r="I11770" s="417" t="s">
        <v>1392</v>
      </c>
      <c r="J11770" s="417" t="s">
        <v>25793</v>
      </c>
      <c r="K11770" s="417" t="s">
        <v>26087</v>
      </c>
      <c r="L11770" s="417"/>
      <c r="M11770" s="417" t="s">
        <v>28840</v>
      </c>
    </row>
    <row r="11771" spans="1:13" x14ac:dyDescent="0.25">
      <c r="A11771" s="417" t="s">
        <v>3385</v>
      </c>
      <c r="B11771" s="417" t="s">
        <v>3405</v>
      </c>
      <c r="C11771" s="417" t="s">
        <v>26088</v>
      </c>
      <c r="D11771" s="417" t="s">
        <v>224</v>
      </c>
      <c r="E11771" s="423">
        <v>0.8860594201244415</v>
      </c>
      <c r="F11771" s="423">
        <v>8.9240193905533206E-3</v>
      </c>
      <c r="G11771" s="422">
        <v>1246.9812185931639</v>
      </c>
      <c r="H11771" s="417" t="s">
        <v>2616</v>
      </c>
      <c r="I11771" s="417" t="s">
        <v>1392</v>
      </c>
      <c r="J11771" s="417" t="s">
        <v>25793</v>
      </c>
      <c r="K11771" s="417" t="s">
        <v>26089</v>
      </c>
      <c r="L11771" s="417"/>
      <c r="M11771" s="417" t="s">
        <v>28840</v>
      </c>
    </row>
    <row r="11772" spans="1:13" x14ac:dyDescent="0.25">
      <c r="A11772" s="417" t="s">
        <v>3385</v>
      </c>
      <c r="B11772" s="417" t="s">
        <v>3405</v>
      </c>
      <c r="C11772" s="417" t="s">
        <v>26090</v>
      </c>
      <c r="D11772" s="417" t="s">
        <v>224</v>
      </c>
      <c r="E11772" s="423">
        <v>0.66215730273375073</v>
      </c>
      <c r="F11772" s="423">
        <v>2.955469598605906E-2</v>
      </c>
      <c r="G11772" s="422">
        <v>1092.89836141099</v>
      </c>
      <c r="H11772" s="417" t="s">
        <v>2616</v>
      </c>
      <c r="I11772" s="417" t="s">
        <v>1392</v>
      </c>
      <c r="J11772" s="417" t="s">
        <v>25793</v>
      </c>
      <c r="K11772" s="417" t="s">
        <v>26091</v>
      </c>
      <c r="L11772" s="417"/>
      <c r="M11772" s="417" t="s">
        <v>28840</v>
      </c>
    </row>
    <row r="11773" spans="1:13" x14ac:dyDescent="0.25">
      <c r="A11773" s="417" t="s">
        <v>3385</v>
      </c>
      <c r="B11773" s="417" t="s">
        <v>3405</v>
      </c>
      <c r="C11773" s="417" t="s">
        <v>26092</v>
      </c>
      <c r="D11773" s="417" t="s">
        <v>224</v>
      </c>
      <c r="E11773" s="423">
        <v>0.37001873852672951</v>
      </c>
      <c r="F11773" s="423">
        <v>6.2514591026227209E-2</v>
      </c>
      <c r="G11773" s="422">
        <v>546.31525748287083</v>
      </c>
      <c r="H11773" s="417" t="s">
        <v>2616</v>
      </c>
      <c r="I11773" s="417" t="s">
        <v>1392</v>
      </c>
      <c r="J11773" s="417" t="s">
        <v>25793</v>
      </c>
      <c r="K11773" s="417" t="s">
        <v>26093</v>
      </c>
      <c r="L11773" s="417"/>
      <c r="M11773" s="417" t="s">
        <v>28840</v>
      </c>
    </row>
    <row r="11774" spans="1:13" x14ac:dyDescent="0.25">
      <c r="A11774" s="417" t="s">
        <v>3385</v>
      </c>
      <c r="B11774" s="417" t="s">
        <v>3405</v>
      </c>
      <c r="C11774" s="417" t="s">
        <v>26094</v>
      </c>
      <c r="D11774" s="417" t="s">
        <v>224</v>
      </c>
      <c r="E11774" s="423">
        <v>0.53693207687087019</v>
      </c>
      <c r="F11774" s="423">
        <v>7.7006947603226383E-3</v>
      </c>
      <c r="G11774" s="422">
        <v>800.95409025313097</v>
      </c>
      <c r="H11774" s="417" t="s">
        <v>2616</v>
      </c>
      <c r="I11774" s="417" t="s">
        <v>1392</v>
      </c>
      <c r="J11774" s="417" t="s">
        <v>25793</v>
      </c>
      <c r="K11774" s="417" t="s">
        <v>26095</v>
      </c>
      <c r="L11774" s="417"/>
      <c r="M11774" s="417" t="s">
        <v>28840</v>
      </c>
    </row>
    <row r="11775" spans="1:13" x14ac:dyDescent="0.25">
      <c r="A11775" s="417" t="s">
        <v>3385</v>
      </c>
      <c r="B11775" s="417" t="s">
        <v>3405</v>
      </c>
      <c r="C11775" s="417" t="s">
        <v>26096</v>
      </c>
      <c r="D11775" s="417" t="s">
        <v>224</v>
      </c>
      <c r="E11775" s="423">
        <v>0.44808829646624149</v>
      </c>
      <c r="F11775" s="423">
        <v>6.1937725424858099E-2</v>
      </c>
      <c r="G11775" s="422">
        <v>570.6024607408159</v>
      </c>
      <c r="H11775" s="417" t="s">
        <v>2616</v>
      </c>
      <c r="I11775" s="417" t="s">
        <v>1392</v>
      </c>
      <c r="J11775" s="417" t="s">
        <v>25793</v>
      </c>
      <c r="K11775" s="417" t="s">
        <v>26097</v>
      </c>
      <c r="L11775" s="417"/>
      <c r="M11775" s="417" t="s">
        <v>28840</v>
      </c>
    </row>
    <row r="11776" spans="1:13" x14ac:dyDescent="0.25">
      <c r="A11776" s="417" t="s">
        <v>3385</v>
      </c>
      <c r="B11776" s="417" t="s">
        <v>3405</v>
      </c>
      <c r="C11776" s="417" t="s">
        <v>26098</v>
      </c>
      <c r="D11776" s="417" t="s">
        <v>224</v>
      </c>
      <c r="E11776" s="423">
        <v>0.38293194970418831</v>
      </c>
      <c r="F11776" s="423">
        <v>3.6110850827825773E-2</v>
      </c>
      <c r="G11776" s="422">
        <v>663.798086481778</v>
      </c>
      <c r="H11776" s="417" t="s">
        <v>2616</v>
      </c>
      <c r="I11776" s="417" t="s">
        <v>1392</v>
      </c>
      <c r="J11776" s="417" t="s">
        <v>25793</v>
      </c>
      <c r="K11776" s="417" t="s">
        <v>26099</v>
      </c>
      <c r="L11776" s="417"/>
      <c r="M11776" s="417" t="s">
        <v>28840</v>
      </c>
    </row>
    <row r="11777" spans="1:13" x14ac:dyDescent="0.25">
      <c r="A11777" s="417" t="s">
        <v>3385</v>
      </c>
      <c r="B11777" s="417" t="s">
        <v>3405</v>
      </c>
      <c r="C11777" s="417" t="s">
        <v>26100</v>
      </c>
      <c r="D11777" s="417" t="s">
        <v>224</v>
      </c>
      <c r="E11777" s="423">
        <v>0.28817336645220709</v>
      </c>
      <c r="F11777" s="423">
        <v>8.9094942005427724E-2</v>
      </c>
      <c r="G11777" s="422">
        <v>616.40309354195938</v>
      </c>
      <c r="H11777" s="417" t="s">
        <v>2616</v>
      </c>
      <c r="I11777" s="417" t="s">
        <v>1392</v>
      </c>
      <c r="J11777" s="417" t="s">
        <v>25793</v>
      </c>
      <c r="K11777" s="417" t="s">
        <v>26101</v>
      </c>
      <c r="L11777" s="417"/>
      <c r="M11777" s="417" t="s">
        <v>28840</v>
      </c>
    </row>
    <row r="11778" spans="1:13" x14ac:dyDescent="0.25">
      <c r="A11778" s="417" t="s">
        <v>3385</v>
      </c>
      <c r="B11778" s="417" t="s">
        <v>3405</v>
      </c>
      <c r="C11778" s="417" t="s">
        <v>26102</v>
      </c>
      <c r="D11778" s="417" t="s">
        <v>224</v>
      </c>
      <c r="E11778" s="423">
        <v>6.2463782624184817E-2</v>
      </c>
      <c r="F11778" s="423">
        <v>1.242965094427215E-2</v>
      </c>
      <c r="G11778" s="422">
        <v>603.95549174216706</v>
      </c>
      <c r="H11778" s="417" t="s">
        <v>2616</v>
      </c>
      <c r="I11778" s="417" t="s">
        <v>1392</v>
      </c>
      <c r="J11778" s="417" t="s">
        <v>25793</v>
      </c>
      <c r="K11778" s="417" t="s">
        <v>26103</v>
      </c>
      <c r="L11778" s="417"/>
      <c r="M11778" s="417" t="s">
        <v>28840</v>
      </c>
    </row>
    <row r="11779" spans="1:13" x14ac:dyDescent="0.25">
      <c r="A11779" s="417" t="s">
        <v>3385</v>
      </c>
      <c r="B11779" s="417" t="s">
        <v>3405</v>
      </c>
      <c r="C11779" s="417" t="s">
        <v>26104</v>
      </c>
      <c r="D11779" s="417" t="s">
        <v>224</v>
      </c>
      <c r="E11779" s="423">
        <v>0.31845474614287572</v>
      </c>
      <c r="F11779" s="423">
        <v>4.9685653497807993E-2</v>
      </c>
      <c r="G11779" s="422">
        <v>573.78837078064862</v>
      </c>
      <c r="H11779" s="417" t="s">
        <v>2616</v>
      </c>
      <c r="I11779" s="417" t="s">
        <v>1392</v>
      </c>
      <c r="J11779" s="417" t="s">
        <v>25793</v>
      </c>
      <c r="K11779" s="417" t="s">
        <v>26105</v>
      </c>
      <c r="L11779" s="417"/>
      <c r="M11779" s="417" t="s">
        <v>28840</v>
      </c>
    </row>
    <row r="11780" spans="1:13" x14ac:dyDescent="0.25">
      <c r="A11780" s="417" t="s">
        <v>3385</v>
      </c>
      <c r="B11780" s="417" t="s">
        <v>3405</v>
      </c>
      <c r="C11780" s="417" t="s">
        <v>26106</v>
      </c>
      <c r="D11780" s="417" t="s">
        <v>224</v>
      </c>
      <c r="E11780" s="423">
        <v>0.5549138677318477</v>
      </c>
      <c r="F11780" s="423">
        <v>5.6591807407566173E-3</v>
      </c>
      <c r="G11780" s="422">
        <v>712.71101992399053</v>
      </c>
      <c r="H11780" s="417" t="s">
        <v>2616</v>
      </c>
      <c r="I11780" s="417" t="s">
        <v>1392</v>
      </c>
      <c r="J11780" s="417" t="s">
        <v>25793</v>
      </c>
      <c r="K11780" s="417" t="s">
        <v>26107</v>
      </c>
      <c r="L11780" s="417"/>
      <c r="M11780" s="417" t="s">
        <v>28840</v>
      </c>
    </row>
    <row r="11781" spans="1:13" x14ac:dyDescent="0.25">
      <c r="A11781" s="417" t="s">
        <v>3385</v>
      </c>
      <c r="B11781" s="417" t="s">
        <v>3405</v>
      </c>
      <c r="C11781" s="417" t="s">
        <v>26108</v>
      </c>
      <c r="D11781" s="417" t="s">
        <v>224</v>
      </c>
      <c r="E11781" s="423">
        <v>0.45319258734142093</v>
      </c>
      <c r="F11781" s="423">
        <v>2.6947052106397289E-2</v>
      </c>
      <c r="G11781" s="422">
        <v>586.92325321700946</v>
      </c>
      <c r="H11781" s="417" t="s">
        <v>2616</v>
      </c>
      <c r="I11781" s="417" t="s">
        <v>1392</v>
      </c>
      <c r="J11781" s="417" t="s">
        <v>25793</v>
      </c>
      <c r="K11781" s="417" t="s">
        <v>26109</v>
      </c>
      <c r="L11781" s="417"/>
      <c r="M11781" s="417" t="s">
        <v>28840</v>
      </c>
    </row>
    <row r="11782" spans="1:13" x14ac:dyDescent="0.25">
      <c r="A11782" s="417" t="s">
        <v>3385</v>
      </c>
      <c r="B11782" s="417" t="s">
        <v>3405</v>
      </c>
      <c r="C11782" s="417" t="s">
        <v>26110</v>
      </c>
      <c r="D11782" s="417" t="s">
        <v>224</v>
      </c>
      <c r="E11782" s="423">
        <v>0.36645065391492859</v>
      </c>
      <c r="F11782" s="423">
        <v>4.1293524602915847E-2</v>
      </c>
      <c r="G11782" s="422">
        <v>794.08696166204572</v>
      </c>
      <c r="H11782" s="417" t="s">
        <v>2616</v>
      </c>
      <c r="I11782" s="417" t="s">
        <v>1392</v>
      </c>
      <c r="J11782" s="417" t="s">
        <v>25793</v>
      </c>
      <c r="K11782" s="417" t="s">
        <v>26111</v>
      </c>
      <c r="L11782" s="417"/>
      <c r="M11782" s="417" t="s">
        <v>28840</v>
      </c>
    </row>
    <row r="11783" spans="1:13" x14ac:dyDescent="0.25">
      <c r="A11783" s="417" t="s">
        <v>3385</v>
      </c>
      <c r="B11783" s="417" t="s">
        <v>3405</v>
      </c>
      <c r="C11783" s="417" t="s">
        <v>26112</v>
      </c>
      <c r="D11783" s="417" t="s">
        <v>224</v>
      </c>
      <c r="E11783" s="423">
        <v>0.26155746672569391</v>
      </c>
      <c r="F11783" s="423">
        <v>3.803580043082503E-2</v>
      </c>
      <c r="G11783" s="422">
        <v>344.12266128541501</v>
      </c>
      <c r="H11783" s="417" t="s">
        <v>2616</v>
      </c>
      <c r="I11783" s="417" t="s">
        <v>1392</v>
      </c>
      <c r="J11783" s="417" t="s">
        <v>25793</v>
      </c>
      <c r="K11783" s="417" t="s">
        <v>26113</v>
      </c>
      <c r="L11783" s="417"/>
      <c r="M11783" s="417" t="s">
        <v>28840</v>
      </c>
    </row>
    <row r="11784" spans="1:13" x14ac:dyDescent="0.25">
      <c r="A11784" s="417" t="s">
        <v>3385</v>
      </c>
      <c r="B11784" s="417" t="s">
        <v>3405</v>
      </c>
      <c r="C11784" s="417" t="s">
        <v>26114</v>
      </c>
      <c r="D11784" s="417" t="s">
        <v>224</v>
      </c>
      <c r="E11784" s="423">
        <v>0.42437871960470441</v>
      </c>
      <c r="F11784" s="423">
        <v>2.9515630701398071E-3</v>
      </c>
      <c r="G11784" s="422">
        <v>731.75155418448037</v>
      </c>
      <c r="H11784" s="417" t="s">
        <v>2616</v>
      </c>
      <c r="I11784" s="417" t="s">
        <v>1392</v>
      </c>
      <c r="J11784" s="417" t="s">
        <v>25793</v>
      </c>
      <c r="K11784" s="417" t="s">
        <v>26115</v>
      </c>
      <c r="L11784" s="417"/>
      <c r="M11784" s="417" t="s">
        <v>28840</v>
      </c>
    </row>
    <row r="11785" spans="1:13" x14ac:dyDescent="0.25">
      <c r="A11785" s="417" t="s">
        <v>3385</v>
      </c>
      <c r="B11785" s="417" t="s">
        <v>3405</v>
      </c>
      <c r="C11785" s="417" t="s">
        <v>26116</v>
      </c>
      <c r="D11785" s="417" t="s">
        <v>224</v>
      </c>
      <c r="E11785" s="423">
        <v>0.47245052153665718</v>
      </c>
      <c r="F11785" s="423">
        <v>1.7978660782899569E-2</v>
      </c>
      <c r="G11785" s="422">
        <v>662.58880380650328</v>
      </c>
      <c r="H11785" s="417" t="s">
        <v>2616</v>
      </c>
      <c r="I11785" s="417" t="s">
        <v>1392</v>
      </c>
      <c r="J11785" s="417" t="s">
        <v>25793</v>
      </c>
      <c r="K11785" s="417" t="s">
        <v>26117</v>
      </c>
      <c r="L11785" s="417"/>
      <c r="M11785" s="417" t="s">
        <v>28840</v>
      </c>
    </row>
    <row r="11786" spans="1:13" x14ac:dyDescent="0.25">
      <c r="A11786" s="417" t="s">
        <v>3385</v>
      </c>
      <c r="B11786" s="417" t="s">
        <v>3405</v>
      </c>
      <c r="C11786" s="417" t="s">
        <v>26118</v>
      </c>
      <c r="D11786" s="417" t="s">
        <v>224</v>
      </c>
      <c r="E11786" s="423">
        <v>0.19972078200621041</v>
      </c>
      <c r="F11786" s="423">
        <v>0.23480109109211539</v>
      </c>
      <c r="G11786" s="422">
        <v>335.2523037401711</v>
      </c>
      <c r="H11786" s="417" t="s">
        <v>2616</v>
      </c>
      <c r="I11786" s="417" t="s">
        <v>1392</v>
      </c>
      <c r="J11786" s="417" t="s">
        <v>25793</v>
      </c>
      <c r="K11786" s="417" t="s">
        <v>26119</v>
      </c>
      <c r="L11786" s="417"/>
      <c r="M11786" s="417" t="s">
        <v>28840</v>
      </c>
    </row>
    <row r="11787" spans="1:13" x14ac:dyDescent="0.25">
      <c r="A11787" s="417" t="s">
        <v>3385</v>
      </c>
      <c r="B11787" s="417" t="s">
        <v>3405</v>
      </c>
      <c r="C11787" s="417" t="s">
        <v>26120</v>
      </c>
      <c r="D11787" s="417" t="s">
        <v>224</v>
      </c>
      <c r="E11787" s="423">
        <v>0.35819682422471277</v>
      </c>
      <c r="F11787" s="423">
        <v>3.3527449235460333E-2</v>
      </c>
      <c r="G11787" s="422">
        <v>559.93551543295473</v>
      </c>
      <c r="H11787" s="417" t="s">
        <v>2616</v>
      </c>
      <c r="I11787" s="417" t="s">
        <v>1392</v>
      </c>
      <c r="J11787" s="417" t="s">
        <v>25793</v>
      </c>
      <c r="K11787" s="417" t="s">
        <v>26121</v>
      </c>
      <c r="L11787" s="417"/>
      <c r="M11787" s="417" t="s">
        <v>28840</v>
      </c>
    </row>
    <row r="11788" spans="1:13" x14ac:dyDescent="0.25">
      <c r="A11788" s="417" t="s">
        <v>3385</v>
      </c>
      <c r="B11788" s="417" t="s">
        <v>3405</v>
      </c>
      <c r="C11788" s="417" t="s">
        <v>26122</v>
      </c>
      <c r="D11788" s="417" t="s">
        <v>224</v>
      </c>
      <c r="E11788" s="423">
        <v>0.27551313599048599</v>
      </c>
      <c r="F11788" s="423">
        <v>8.9849724770861575E-2</v>
      </c>
      <c r="G11788" s="422">
        <v>387.26180591082601</v>
      </c>
      <c r="H11788" s="417" t="s">
        <v>2616</v>
      </c>
      <c r="I11788" s="417" t="s">
        <v>1392</v>
      </c>
      <c r="J11788" s="417" t="s">
        <v>25793</v>
      </c>
      <c r="K11788" s="417" t="s">
        <v>26123</v>
      </c>
      <c r="L11788" s="417"/>
      <c r="M11788" s="417" t="s">
        <v>28840</v>
      </c>
    </row>
    <row r="11789" spans="1:13" x14ac:dyDescent="0.25">
      <c r="A11789" s="417" t="s">
        <v>3385</v>
      </c>
      <c r="B11789" s="417" t="s">
        <v>3405</v>
      </c>
      <c r="C11789" s="417" t="s">
        <v>26124</v>
      </c>
      <c r="D11789" s="417" t="s">
        <v>224</v>
      </c>
      <c r="E11789" s="423">
        <v>0.76441591719921709</v>
      </c>
      <c r="F11789" s="423">
        <v>3.3478489541943382E-3</v>
      </c>
      <c r="G11789" s="422">
        <v>1140.672338518393</v>
      </c>
      <c r="H11789" s="417" t="s">
        <v>2616</v>
      </c>
      <c r="I11789" s="417" t="s">
        <v>1392</v>
      </c>
      <c r="J11789" s="417" t="s">
        <v>25793</v>
      </c>
      <c r="K11789" s="417" t="s">
        <v>26125</v>
      </c>
      <c r="L11789" s="417"/>
      <c r="M11789" s="417" t="s">
        <v>28840</v>
      </c>
    </row>
    <row r="11790" spans="1:13" x14ac:dyDescent="0.25">
      <c r="A11790" s="417" t="s">
        <v>3385</v>
      </c>
      <c r="B11790" s="417" t="s">
        <v>3405</v>
      </c>
      <c r="C11790" s="417" t="s">
        <v>26126</v>
      </c>
      <c r="D11790" s="417" t="s">
        <v>224</v>
      </c>
      <c r="E11790" s="423">
        <v>0.3108379335950533</v>
      </c>
      <c r="F11790" s="423">
        <v>4.1141899274982928E-2</v>
      </c>
      <c r="G11790" s="422">
        <v>414.29419148271768</v>
      </c>
      <c r="H11790" s="417" t="s">
        <v>2616</v>
      </c>
      <c r="I11790" s="417" t="s">
        <v>1392</v>
      </c>
      <c r="J11790" s="417" t="s">
        <v>25793</v>
      </c>
      <c r="K11790" s="417" t="s">
        <v>26127</v>
      </c>
      <c r="L11790" s="417"/>
      <c r="M11790" s="417" t="s">
        <v>28840</v>
      </c>
    </row>
    <row r="11791" spans="1:13" x14ac:dyDescent="0.25">
      <c r="A11791" s="417" t="s">
        <v>3385</v>
      </c>
      <c r="B11791" s="417" t="s">
        <v>3405</v>
      </c>
      <c r="C11791" s="417" t="s">
        <v>26128</v>
      </c>
      <c r="D11791" s="417" t="s">
        <v>224</v>
      </c>
      <c r="E11791" s="423">
        <v>0.43295547415037139</v>
      </c>
      <c r="F11791" s="423">
        <v>5.1008344066770291E-3</v>
      </c>
      <c r="G11791" s="422">
        <v>742.06104198095306</v>
      </c>
      <c r="H11791" s="417" t="s">
        <v>2616</v>
      </c>
      <c r="I11791" s="417" t="s">
        <v>1392</v>
      </c>
      <c r="J11791" s="417" t="s">
        <v>25793</v>
      </c>
      <c r="K11791" s="417" t="s">
        <v>26129</v>
      </c>
      <c r="L11791" s="417"/>
      <c r="M11791" s="417" t="s">
        <v>28840</v>
      </c>
    </row>
    <row r="11792" spans="1:13" x14ac:dyDescent="0.25">
      <c r="A11792" s="417" t="s">
        <v>3385</v>
      </c>
      <c r="B11792" s="417" t="s">
        <v>3405</v>
      </c>
      <c r="C11792" s="417" t="s">
        <v>26130</v>
      </c>
      <c r="D11792" s="417" t="s">
        <v>224</v>
      </c>
      <c r="E11792" s="423">
        <v>0.94744032184963545</v>
      </c>
      <c r="F11792" s="423">
        <v>2.0668342059703061E-2</v>
      </c>
      <c r="G11792" s="422">
        <v>1192.0216463064689</v>
      </c>
      <c r="H11792" s="417" t="s">
        <v>2616</v>
      </c>
      <c r="I11792" s="417" t="s">
        <v>1392</v>
      </c>
      <c r="J11792" s="417" t="s">
        <v>25793</v>
      </c>
      <c r="K11792" s="417" t="s">
        <v>26131</v>
      </c>
      <c r="L11792" s="417"/>
      <c r="M11792" s="417" t="s">
        <v>28840</v>
      </c>
    </row>
    <row r="11793" spans="1:13" x14ac:dyDescent="0.25">
      <c r="A11793" s="417" t="s">
        <v>3385</v>
      </c>
      <c r="B11793" s="417" t="s">
        <v>3405</v>
      </c>
      <c r="C11793" s="417" t="s">
        <v>26132</v>
      </c>
      <c r="D11793" s="417" t="s">
        <v>224</v>
      </c>
      <c r="E11793" s="423">
        <v>0.37789538996945199</v>
      </c>
      <c r="F11793" s="423">
        <v>4.2552750924696237E-2</v>
      </c>
      <c r="G11793" s="422">
        <v>482.89370254925069</v>
      </c>
      <c r="H11793" s="417" t="s">
        <v>2616</v>
      </c>
      <c r="I11793" s="417" t="s">
        <v>1392</v>
      </c>
      <c r="J11793" s="417" t="s">
        <v>25793</v>
      </c>
      <c r="K11793" s="417" t="s">
        <v>26133</v>
      </c>
      <c r="L11793" s="417"/>
      <c r="M11793" s="417" t="s">
        <v>28840</v>
      </c>
    </row>
    <row r="11794" spans="1:13" x14ac:dyDescent="0.25">
      <c r="A11794" s="417" t="s">
        <v>3385</v>
      </c>
      <c r="B11794" s="417" t="s">
        <v>3405</v>
      </c>
      <c r="C11794" s="417" t="s">
        <v>26134</v>
      </c>
      <c r="D11794" s="417" t="s">
        <v>224</v>
      </c>
      <c r="E11794" s="423">
        <v>0.41681908689162023</v>
      </c>
      <c r="F11794" s="423">
        <v>4.8187298179338334E-3</v>
      </c>
      <c r="G11794" s="422">
        <v>650.71965200064255</v>
      </c>
      <c r="H11794" s="417" t="s">
        <v>2616</v>
      </c>
      <c r="I11794" s="417" t="s">
        <v>1392</v>
      </c>
      <c r="J11794" s="417" t="s">
        <v>25793</v>
      </c>
      <c r="K11794" s="417" t="s">
        <v>26135</v>
      </c>
      <c r="L11794" s="417"/>
      <c r="M11794" s="417" t="s">
        <v>28840</v>
      </c>
    </row>
    <row r="11795" spans="1:13" x14ac:dyDescent="0.25">
      <c r="A11795" s="417" t="s">
        <v>3385</v>
      </c>
      <c r="B11795" s="417" t="s">
        <v>3405</v>
      </c>
      <c r="C11795" s="417" t="s">
        <v>26136</v>
      </c>
      <c r="D11795" s="417" t="s">
        <v>224</v>
      </c>
      <c r="E11795" s="423">
        <v>2.3632908490557859E-2</v>
      </c>
      <c r="F11795" s="423">
        <v>5.5679291883324551E-2</v>
      </c>
      <c r="G11795" s="422">
        <v>281.38809102006331</v>
      </c>
      <c r="H11795" s="417" t="s">
        <v>2616</v>
      </c>
      <c r="I11795" s="417" t="s">
        <v>1392</v>
      </c>
      <c r="J11795" s="417" t="s">
        <v>25793</v>
      </c>
      <c r="K11795" s="417" t="s">
        <v>26137</v>
      </c>
      <c r="L11795" s="417"/>
      <c r="M11795" s="417" t="s">
        <v>28840</v>
      </c>
    </row>
    <row r="11796" spans="1:13" x14ac:dyDescent="0.25">
      <c r="A11796" s="417" t="s">
        <v>3385</v>
      </c>
      <c r="B11796" s="417" t="s">
        <v>3405</v>
      </c>
      <c r="C11796" s="417" t="s">
        <v>26138</v>
      </c>
      <c r="D11796" s="417" t="s">
        <v>224</v>
      </c>
      <c r="E11796" s="423">
        <v>0.46425383347860649</v>
      </c>
      <c r="F11796" s="423">
        <v>1.996482445526631E-2</v>
      </c>
      <c r="G11796" s="422">
        <v>896.9276018321101</v>
      </c>
      <c r="H11796" s="417" t="s">
        <v>2616</v>
      </c>
      <c r="I11796" s="417" t="s">
        <v>1392</v>
      </c>
      <c r="J11796" s="417" t="s">
        <v>25793</v>
      </c>
      <c r="K11796" s="417" t="s">
        <v>26139</v>
      </c>
      <c r="L11796" s="417"/>
      <c r="M11796" s="417" t="s">
        <v>28840</v>
      </c>
    </row>
    <row r="11797" spans="1:13" x14ac:dyDescent="0.25">
      <c r="A11797" s="417" t="s">
        <v>3385</v>
      </c>
      <c r="B11797" s="417" t="s">
        <v>3405</v>
      </c>
      <c r="C11797" s="417" t="s">
        <v>26140</v>
      </c>
      <c r="D11797" s="417" t="s">
        <v>224</v>
      </c>
      <c r="E11797" s="423">
        <v>0.2061324436395931</v>
      </c>
      <c r="F11797" s="423">
        <v>7.6165878481894558E-2</v>
      </c>
      <c r="G11797" s="422">
        <v>635.81802693692259</v>
      </c>
      <c r="H11797" s="417" t="s">
        <v>2616</v>
      </c>
      <c r="I11797" s="417" t="s">
        <v>1392</v>
      </c>
      <c r="J11797" s="417" t="s">
        <v>25793</v>
      </c>
      <c r="K11797" s="417" t="s">
        <v>26141</v>
      </c>
      <c r="L11797" s="417"/>
      <c r="M11797" s="417" t="s">
        <v>28840</v>
      </c>
    </row>
    <row r="11798" spans="1:13" x14ac:dyDescent="0.25">
      <c r="A11798" s="417" t="s">
        <v>3385</v>
      </c>
      <c r="B11798" s="417" t="s">
        <v>3405</v>
      </c>
      <c r="C11798" s="417" t="s">
        <v>26142</v>
      </c>
      <c r="D11798" s="417" t="s">
        <v>224</v>
      </c>
      <c r="E11798" s="423">
        <v>0.87635970152384457</v>
      </c>
      <c r="F11798" s="423">
        <v>3.2947670209101791E-3</v>
      </c>
      <c r="G11798" s="422">
        <v>1151.9581536001219</v>
      </c>
      <c r="H11798" s="417" t="s">
        <v>2616</v>
      </c>
      <c r="I11798" s="417" t="s">
        <v>1392</v>
      </c>
      <c r="J11798" s="417" t="s">
        <v>25793</v>
      </c>
      <c r="K11798" s="417" t="s">
        <v>26143</v>
      </c>
      <c r="L11798" s="417"/>
      <c r="M11798" s="417" t="s">
        <v>28840</v>
      </c>
    </row>
    <row r="11799" spans="1:13" x14ac:dyDescent="0.25">
      <c r="A11799" s="417" t="s">
        <v>3385</v>
      </c>
      <c r="B11799" s="417" t="s">
        <v>3405</v>
      </c>
      <c r="C11799" s="417" t="s">
        <v>26144</v>
      </c>
      <c r="D11799" s="417" t="s">
        <v>224</v>
      </c>
      <c r="E11799" s="423">
        <v>0.15422573121927641</v>
      </c>
      <c r="F11799" s="423">
        <v>1.564333476604177E-2</v>
      </c>
      <c r="G11799" s="422">
        <v>212.63339626266711</v>
      </c>
      <c r="H11799" s="417" t="s">
        <v>2616</v>
      </c>
      <c r="I11799" s="417" t="s">
        <v>1392</v>
      </c>
      <c r="J11799" s="417" t="s">
        <v>25793</v>
      </c>
      <c r="K11799" s="417" t="s">
        <v>26145</v>
      </c>
      <c r="L11799" s="417"/>
      <c r="M11799" s="417" t="s">
        <v>28840</v>
      </c>
    </row>
    <row r="11800" spans="1:13" x14ac:dyDescent="0.25">
      <c r="A11800" s="417" t="s">
        <v>3385</v>
      </c>
      <c r="B11800" s="417" t="s">
        <v>3405</v>
      </c>
      <c r="C11800" s="417" t="s">
        <v>26146</v>
      </c>
      <c r="D11800" s="417" t="s">
        <v>224</v>
      </c>
      <c r="E11800" s="423">
        <v>0.16949652960340739</v>
      </c>
      <c r="F11800" s="423">
        <v>5.539537385789494E-2</v>
      </c>
      <c r="G11800" s="422">
        <v>519.69966551490484</v>
      </c>
      <c r="H11800" s="417" t="s">
        <v>2616</v>
      </c>
      <c r="I11800" s="417" t="s">
        <v>1392</v>
      </c>
      <c r="J11800" s="417" t="s">
        <v>25793</v>
      </c>
      <c r="K11800" s="417" t="s">
        <v>26147</v>
      </c>
      <c r="L11800" s="417"/>
      <c r="M11800" s="417" t="s">
        <v>28840</v>
      </c>
    </row>
    <row r="11801" spans="1:13" x14ac:dyDescent="0.25">
      <c r="A11801" s="417" t="s">
        <v>3385</v>
      </c>
      <c r="B11801" s="417" t="s">
        <v>3405</v>
      </c>
      <c r="C11801" s="417" t="s">
        <v>26148</v>
      </c>
      <c r="D11801" s="417" t="s">
        <v>224</v>
      </c>
      <c r="E11801" s="423">
        <v>0.55453843782800372</v>
      </c>
      <c r="F11801" s="423">
        <v>6.5691130430851029E-3</v>
      </c>
      <c r="G11801" s="422">
        <v>967.69581604743678</v>
      </c>
      <c r="H11801" s="417" t="s">
        <v>2616</v>
      </c>
      <c r="I11801" s="417" t="s">
        <v>1392</v>
      </c>
      <c r="J11801" s="417" t="s">
        <v>25793</v>
      </c>
      <c r="K11801" s="417" t="s">
        <v>26149</v>
      </c>
      <c r="L11801" s="417"/>
      <c r="M11801" s="417" t="s">
        <v>28840</v>
      </c>
    </row>
    <row r="11802" spans="1:13" x14ac:dyDescent="0.25">
      <c r="A11802" s="417" t="s">
        <v>3385</v>
      </c>
      <c r="B11802" s="417" t="s">
        <v>3405</v>
      </c>
      <c r="C11802" s="417" t="s">
        <v>26150</v>
      </c>
      <c r="D11802" s="417" t="s">
        <v>224</v>
      </c>
      <c r="E11802" s="423">
        <v>5.8488760174377437E-2</v>
      </c>
      <c r="F11802" s="423">
        <v>4.7032292052538918E-3</v>
      </c>
      <c r="G11802" s="422">
        <v>282.55509263768442</v>
      </c>
      <c r="H11802" s="417" t="s">
        <v>2616</v>
      </c>
      <c r="I11802" s="417" t="s">
        <v>1392</v>
      </c>
      <c r="J11802" s="417" t="s">
        <v>25793</v>
      </c>
      <c r="K11802" s="417" t="s">
        <v>26151</v>
      </c>
      <c r="L11802" s="417"/>
      <c r="M11802" s="417" t="s">
        <v>28840</v>
      </c>
    </row>
    <row r="11803" spans="1:13" x14ac:dyDescent="0.25">
      <c r="A11803" s="417" t="s">
        <v>3385</v>
      </c>
      <c r="B11803" s="417" t="s">
        <v>3405</v>
      </c>
      <c r="C11803" s="417" t="s">
        <v>26152</v>
      </c>
      <c r="D11803" s="417" t="s">
        <v>224</v>
      </c>
      <c r="E11803" s="423">
        <v>0.91234622274355137</v>
      </c>
      <c r="F11803" s="423">
        <v>9.1872462032761525E-3</v>
      </c>
      <c r="G11803" s="422">
        <v>1284.3400410120121</v>
      </c>
      <c r="H11803" s="417" t="s">
        <v>2616</v>
      </c>
      <c r="I11803" s="417" t="s">
        <v>1392</v>
      </c>
      <c r="J11803" s="417" t="s">
        <v>25793</v>
      </c>
      <c r="K11803" s="417" t="s">
        <v>26153</v>
      </c>
      <c r="L11803" s="417"/>
      <c r="M11803" s="417" t="s">
        <v>28840</v>
      </c>
    </row>
    <row r="11804" spans="1:13" x14ac:dyDescent="0.25">
      <c r="A11804" s="417" t="s">
        <v>3385</v>
      </c>
      <c r="B11804" s="417" t="s">
        <v>3405</v>
      </c>
      <c r="C11804" s="417" t="s">
        <v>26154</v>
      </c>
      <c r="D11804" s="417" t="s">
        <v>224</v>
      </c>
      <c r="E11804" s="423">
        <v>0.68381166647796587</v>
      </c>
      <c r="F11804" s="423">
        <v>3.0434952232637209E-2</v>
      </c>
      <c r="G11804" s="422">
        <v>1128.4074383071261</v>
      </c>
      <c r="H11804" s="417" t="s">
        <v>2616</v>
      </c>
      <c r="I11804" s="417" t="s">
        <v>1392</v>
      </c>
      <c r="J11804" s="417" t="s">
        <v>25793</v>
      </c>
      <c r="K11804" s="417" t="s">
        <v>26155</v>
      </c>
      <c r="L11804" s="417"/>
      <c r="M11804" s="417" t="s">
        <v>28840</v>
      </c>
    </row>
    <row r="11805" spans="1:13" x14ac:dyDescent="0.25">
      <c r="A11805" s="417" t="s">
        <v>3385</v>
      </c>
      <c r="B11805" s="417" t="s">
        <v>3405</v>
      </c>
      <c r="C11805" s="417" t="s">
        <v>26156</v>
      </c>
      <c r="D11805" s="417" t="s">
        <v>224</v>
      </c>
      <c r="E11805" s="423">
        <v>0.3802409336717491</v>
      </c>
      <c r="F11805" s="423">
        <v>6.385056749498505E-2</v>
      </c>
      <c r="G11805" s="422">
        <v>561.60290155729751</v>
      </c>
      <c r="H11805" s="417" t="s">
        <v>2616</v>
      </c>
      <c r="I11805" s="417" t="s">
        <v>1392</v>
      </c>
      <c r="J11805" s="417" t="s">
        <v>25793</v>
      </c>
      <c r="K11805" s="417" t="s">
        <v>26157</v>
      </c>
      <c r="L11805" s="417"/>
      <c r="M11805" s="417" t="s">
        <v>28840</v>
      </c>
    </row>
    <row r="11806" spans="1:13" x14ac:dyDescent="0.25">
      <c r="A11806" s="417" t="s">
        <v>3385</v>
      </c>
      <c r="B11806" s="417" t="s">
        <v>3405</v>
      </c>
      <c r="C11806" s="417" t="s">
        <v>26158</v>
      </c>
      <c r="D11806" s="417" t="s">
        <v>224</v>
      </c>
      <c r="E11806" s="423">
        <v>0.55345149903164981</v>
      </c>
      <c r="F11806" s="423">
        <v>7.9256230316424661E-3</v>
      </c>
      <c r="G11806" s="422">
        <v>825.75411130414909</v>
      </c>
      <c r="H11806" s="417" t="s">
        <v>2616</v>
      </c>
      <c r="I11806" s="417" t="s">
        <v>1392</v>
      </c>
      <c r="J11806" s="417" t="s">
        <v>25793</v>
      </c>
      <c r="K11806" s="417" t="s">
        <v>26159</v>
      </c>
      <c r="L11806" s="417"/>
      <c r="M11806" s="417" t="s">
        <v>28840</v>
      </c>
    </row>
    <row r="11807" spans="1:13" x14ac:dyDescent="0.25">
      <c r="A11807" s="417" t="s">
        <v>3385</v>
      </c>
      <c r="B11807" s="417" t="s">
        <v>3405</v>
      </c>
      <c r="C11807" s="417" t="s">
        <v>26160</v>
      </c>
      <c r="D11807" s="417" t="s">
        <v>224</v>
      </c>
      <c r="E11807" s="423">
        <v>0.47406473397910548</v>
      </c>
      <c r="F11807" s="423">
        <v>6.5212626183221004E-2</v>
      </c>
      <c r="G11807" s="422">
        <v>604.37411450458342</v>
      </c>
      <c r="H11807" s="417" t="s">
        <v>2616</v>
      </c>
      <c r="I11807" s="417" t="s">
        <v>1392</v>
      </c>
      <c r="J11807" s="417" t="s">
        <v>25793</v>
      </c>
      <c r="K11807" s="417" t="s">
        <v>26161</v>
      </c>
      <c r="L11807" s="417"/>
      <c r="M11807" s="417" t="s">
        <v>28840</v>
      </c>
    </row>
    <row r="11808" spans="1:13" x14ac:dyDescent="0.25">
      <c r="A11808" s="417" t="s">
        <v>3385</v>
      </c>
      <c r="B11808" s="417" t="s">
        <v>3405</v>
      </c>
      <c r="C11808" s="417" t="s">
        <v>26162</v>
      </c>
      <c r="D11808" s="417" t="s">
        <v>224</v>
      </c>
      <c r="E11808" s="423">
        <v>0.39334873550044769</v>
      </c>
      <c r="F11808" s="423">
        <v>3.6885126482121743E-2</v>
      </c>
      <c r="G11808" s="422">
        <v>681.42010949034136</v>
      </c>
      <c r="H11808" s="417" t="s">
        <v>2616</v>
      </c>
      <c r="I11808" s="417" t="s">
        <v>1392</v>
      </c>
      <c r="J11808" s="417" t="s">
        <v>25793</v>
      </c>
      <c r="K11808" s="417" t="s">
        <v>26163</v>
      </c>
      <c r="L11808" s="417"/>
      <c r="M11808" s="417" t="s">
        <v>28840</v>
      </c>
    </row>
    <row r="11809" spans="1:13" x14ac:dyDescent="0.25">
      <c r="A11809" s="417" t="s">
        <v>3385</v>
      </c>
      <c r="B11809" s="417" t="s">
        <v>3405</v>
      </c>
      <c r="C11809" s="417" t="s">
        <v>26164</v>
      </c>
      <c r="D11809" s="417" t="s">
        <v>224</v>
      </c>
      <c r="E11809" s="423">
        <v>0.29494776885719509</v>
      </c>
      <c r="F11809" s="423">
        <v>9.0454536286490056E-2</v>
      </c>
      <c r="G11809" s="422">
        <v>629.46416427736085</v>
      </c>
      <c r="H11809" s="417" t="s">
        <v>2616</v>
      </c>
      <c r="I11809" s="417" t="s">
        <v>1392</v>
      </c>
      <c r="J11809" s="417" t="s">
        <v>25793</v>
      </c>
      <c r="K11809" s="417" t="s">
        <v>26165</v>
      </c>
      <c r="L11809" s="417"/>
      <c r="M11809" s="417" t="s">
        <v>28840</v>
      </c>
    </row>
    <row r="11810" spans="1:13" x14ac:dyDescent="0.25">
      <c r="A11810" s="417" t="s">
        <v>3385</v>
      </c>
      <c r="B11810" s="417" t="s">
        <v>3405</v>
      </c>
      <c r="C11810" s="417" t="s">
        <v>26166</v>
      </c>
      <c r="D11810" s="417" t="s">
        <v>224</v>
      </c>
      <c r="E11810" s="423">
        <v>6.6577121104874348E-2</v>
      </c>
      <c r="F11810" s="423">
        <v>1.2783449725727871E-2</v>
      </c>
      <c r="G11810" s="422">
        <v>623.83573205813082</v>
      </c>
      <c r="H11810" s="417" t="s">
        <v>2616</v>
      </c>
      <c r="I11810" s="417" t="s">
        <v>1392</v>
      </c>
      <c r="J11810" s="417" t="s">
        <v>25793</v>
      </c>
      <c r="K11810" s="417" t="s">
        <v>26167</v>
      </c>
      <c r="L11810" s="417"/>
      <c r="M11810" s="417" t="s">
        <v>28840</v>
      </c>
    </row>
    <row r="11811" spans="1:13" x14ac:dyDescent="0.25">
      <c r="A11811" s="417" t="s">
        <v>3385</v>
      </c>
      <c r="B11811" s="417" t="s">
        <v>3405</v>
      </c>
      <c r="C11811" s="417" t="s">
        <v>26168</v>
      </c>
      <c r="D11811" s="417" t="s">
        <v>224</v>
      </c>
      <c r="E11811" s="423">
        <v>0.33042834474090649</v>
      </c>
      <c r="F11811" s="423">
        <v>5.1194424616518699E-2</v>
      </c>
      <c r="G11811" s="422">
        <v>594.75966695643604</v>
      </c>
      <c r="H11811" s="417" t="s">
        <v>2616</v>
      </c>
      <c r="I11811" s="417" t="s">
        <v>1392</v>
      </c>
      <c r="J11811" s="417" t="s">
        <v>25793</v>
      </c>
      <c r="K11811" s="417" t="s">
        <v>26169</v>
      </c>
      <c r="L11811" s="417"/>
      <c r="M11811" s="417" t="s">
        <v>28840</v>
      </c>
    </row>
    <row r="11812" spans="1:13" x14ac:dyDescent="0.25">
      <c r="A11812" s="417" t="s">
        <v>3385</v>
      </c>
      <c r="B11812" s="417" t="s">
        <v>3405</v>
      </c>
      <c r="C11812" s="417" t="s">
        <v>26170</v>
      </c>
      <c r="D11812" s="417" t="s">
        <v>224</v>
      </c>
      <c r="E11812" s="423">
        <v>0.57523389691968407</v>
      </c>
      <c r="F11812" s="423">
        <v>5.8645768222571086E-3</v>
      </c>
      <c r="G11812" s="422">
        <v>739.47534132353985</v>
      </c>
      <c r="H11812" s="417" t="s">
        <v>2616</v>
      </c>
      <c r="I11812" s="417" t="s">
        <v>1392</v>
      </c>
      <c r="J11812" s="417" t="s">
        <v>25793</v>
      </c>
      <c r="K11812" s="417" t="s">
        <v>26171</v>
      </c>
      <c r="L11812" s="417"/>
      <c r="M11812" s="417" t="s">
        <v>28840</v>
      </c>
    </row>
    <row r="11813" spans="1:13" x14ac:dyDescent="0.25">
      <c r="A11813" s="417" t="s">
        <v>3385</v>
      </c>
      <c r="B11813" s="417" t="s">
        <v>3405</v>
      </c>
      <c r="C11813" s="417" t="s">
        <v>26172</v>
      </c>
      <c r="D11813" s="417" t="s">
        <v>224</v>
      </c>
      <c r="E11813" s="423">
        <v>0.47277506910735889</v>
      </c>
      <c r="F11813" s="423">
        <v>2.7988820831352741E-2</v>
      </c>
      <c r="G11813" s="422">
        <v>612.92397669250192</v>
      </c>
      <c r="H11813" s="417" t="s">
        <v>2616</v>
      </c>
      <c r="I11813" s="417" t="s">
        <v>1392</v>
      </c>
      <c r="J11813" s="417" t="s">
        <v>25793</v>
      </c>
      <c r="K11813" s="417" t="s">
        <v>26173</v>
      </c>
      <c r="L11813" s="417"/>
      <c r="M11813" s="417" t="s">
        <v>28840</v>
      </c>
    </row>
    <row r="11814" spans="1:13" x14ac:dyDescent="0.25">
      <c r="A11814" s="417" t="s">
        <v>3385</v>
      </c>
      <c r="B11814" s="417" t="s">
        <v>3405</v>
      </c>
      <c r="C11814" s="417" t="s">
        <v>26174</v>
      </c>
      <c r="D11814" s="417" t="s">
        <v>224</v>
      </c>
      <c r="E11814" s="423">
        <v>0.38290087019153413</v>
      </c>
      <c r="F11814" s="423">
        <v>4.2894107153936982E-2</v>
      </c>
      <c r="G11814" s="422">
        <v>828.23610610654191</v>
      </c>
      <c r="H11814" s="417" t="s">
        <v>2616</v>
      </c>
      <c r="I11814" s="417" t="s">
        <v>1392</v>
      </c>
      <c r="J11814" s="417" t="s">
        <v>25793</v>
      </c>
      <c r="K11814" s="417" t="s">
        <v>26175</v>
      </c>
      <c r="L11814" s="417"/>
      <c r="M11814" s="417" t="s">
        <v>28840</v>
      </c>
    </row>
    <row r="11815" spans="1:13" x14ac:dyDescent="0.25">
      <c r="A11815" s="417" t="s">
        <v>3385</v>
      </c>
      <c r="B11815" s="417" t="s">
        <v>3405</v>
      </c>
      <c r="C11815" s="417" t="s">
        <v>26176</v>
      </c>
      <c r="D11815" s="417" t="s">
        <v>224</v>
      </c>
      <c r="E11815" s="423">
        <v>0.27219601728494891</v>
      </c>
      <c r="F11815" s="423">
        <v>3.9249491097357488E-2</v>
      </c>
      <c r="G11815" s="422">
        <v>358.70872459084438</v>
      </c>
      <c r="H11815" s="417" t="s">
        <v>2616</v>
      </c>
      <c r="I11815" s="417" t="s">
        <v>1392</v>
      </c>
      <c r="J11815" s="417" t="s">
        <v>25793</v>
      </c>
      <c r="K11815" s="417" t="s">
        <v>26177</v>
      </c>
      <c r="L11815" s="417"/>
      <c r="M11815" s="417" t="s">
        <v>28840</v>
      </c>
    </row>
    <row r="11816" spans="1:13" x14ac:dyDescent="0.25">
      <c r="A11816" s="417" t="s">
        <v>3385</v>
      </c>
      <c r="B11816" s="417" t="s">
        <v>3405</v>
      </c>
      <c r="C11816" s="417" t="s">
        <v>26178</v>
      </c>
      <c r="D11816" s="417" t="s">
        <v>224</v>
      </c>
      <c r="E11816" s="423">
        <v>0.43311132599925078</v>
      </c>
      <c r="F11816" s="423">
        <v>3.0184161577652148E-3</v>
      </c>
      <c r="G11816" s="422">
        <v>746.39649999409221</v>
      </c>
      <c r="H11816" s="417" t="s">
        <v>2616</v>
      </c>
      <c r="I11816" s="417" t="s">
        <v>1392</v>
      </c>
      <c r="J11816" s="417" t="s">
        <v>25793</v>
      </c>
      <c r="K11816" s="417" t="s">
        <v>26179</v>
      </c>
      <c r="L11816" s="417"/>
      <c r="M11816" s="417" t="s">
        <v>28840</v>
      </c>
    </row>
    <row r="11817" spans="1:13" x14ac:dyDescent="0.25">
      <c r="A11817" s="417" t="s">
        <v>3385</v>
      </c>
      <c r="B11817" s="417" t="s">
        <v>3405</v>
      </c>
      <c r="C11817" s="417" t="s">
        <v>26180</v>
      </c>
      <c r="D11817" s="417" t="s">
        <v>224</v>
      </c>
      <c r="E11817" s="423">
        <v>0.48624113548525222</v>
      </c>
      <c r="F11817" s="423">
        <v>1.843331863862108E-2</v>
      </c>
      <c r="G11817" s="422">
        <v>682.30595807250677</v>
      </c>
      <c r="H11817" s="417" t="s">
        <v>2616</v>
      </c>
      <c r="I11817" s="417" t="s">
        <v>1392</v>
      </c>
      <c r="J11817" s="417" t="s">
        <v>25793</v>
      </c>
      <c r="K11817" s="417" t="s">
        <v>26181</v>
      </c>
      <c r="L11817" s="417"/>
      <c r="M11817" s="417" t="s">
        <v>28840</v>
      </c>
    </row>
    <row r="11818" spans="1:13" x14ac:dyDescent="0.25">
      <c r="A11818" s="417" t="s">
        <v>3385</v>
      </c>
      <c r="B11818" s="417" t="s">
        <v>3405</v>
      </c>
      <c r="C11818" s="417" t="s">
        <v>26182</v>
      </c>
      <c r="D11818" s="417" t="s">
        <v>224</v>
      </c>
      <c r="E11818" s="423">
        <v>0.20952231031069751</v>
      </c>
      <c r="F11818" s="423">
        <v>0.24346494139961741</v>
      </c>
      <c r="G11818" s="422">
        <v>351.40461589190659</v>
      </c>
      <c r="H11818" s="417" t="s">
        <v>2616</v>
      </c>
      <c r="I11818" s="417" t="s">
        <v>1392</v>
      </c>
      <c r="J11818" s="417" t="s">
        <v>25793</v>
      </c>
      <c r="K11818" s="417" t="s">
        <v>26183</v>
      </c>
      <c r="L11818" s="417"/>
      <c r="M11818" s="417" t="s">
        <v>28840</v>
      </c>
    </row>
    <row r="11819" spans="1:13" x14ac:dyDescent="0.25">
      <c r="A11819" s="417" t="s">
        <v>3385</v>
      </c>
      <c r="B11819" s="417" t="s">
        <v>3405</v>
      </c>
      <c r="C11819" s="417" t="s">
        <v>26184</v>
      </c>
      <c r="D11819" s="417" t="s">
        <v>224</v>
      </c>
      <c r="E11819" s="423">
        <v>0.36276198729543502</v>
      </c>
      <c r="F11819" s="423">
        <v>3.3748431275024152E-2</v>
      </c>
      <c r="G11819" s="422">
        <v>567.05415888489529</v>
      </c>
      <c r="H11819" s="417" t="s">
        <v>2616</v>
      </c>
      <c r="I11819" s="417" t="s">
        <v>1392</v>
      </c>
      <c r="J11819" s="417" t="s">
        <v>25793</v>
      </c>
      <c r="K11819" s="417" t="s">
        <v>26185</v>
      </c>
      <c r="L11819" s="417"/>
      <c r="M11819" s="417" t="s">
        <v>28840</v>
      </c>
    </row>
    <row r="11820" spans="1:13" x14ac:dyDescent="0.25">
      <c r="A11820" s="417" t="s">
        <v>3385</v>
      </c>
      <c r="B11820" s="417" t="s">
        <v>3405</v>
      </c>
      <c r="C11820" s="417" t="s">
        <v>26186</v>
      </c>
      <c r="D11820" s="417" t="s">
        <v>224</v>
      </c>
      <c r="E11820" s="423">
        <v>0.28975690013951688</v>
      </c>
      <c r="F11820" s="423">
        <v>9.3718463106807939E-2</v>
      </c>
      <c r="G11820" s="422">
        <v>407.65163552518032</v>
      </c>
      <c r="H11820" s="417" t="s">
        <v>2616</v>
      </c>
      <c r="I11820" s="417" t="s">
        <v>1392</v>
      </c>
      <c r="J11820" s="417" t="s">
        <v>25793</v>
      </c>
      <c r="K11820" s="417" t="s">
        <v>26187</v>
      </c>
      <c r="L11820" s="417"/>
      <c r="M11820" s="417" t="s">
        <v>28840</v>
      </c>
    </row>
    <row r="11821" spans="1:13" x14ac:dyDescent="0.25">
      <c r="A11821" s="417" t="s">
        <v>3385</v>
      </c>
      <c r="B11821" s="417" t="s">
        <v>3405</v>
      </c>
      <c r="C11821" s="417" t="s">
        <v>26188</v>
      </c>
      <c r="D11821" s="417" t="s">
        <v>224</v>
      </c>
      <c r="E11821" s="423">
        <v>0.78743051406385123</v>
      </c>
      <c r="F11821" s="423">
        <v>3.4610781536552589E-3</v>
      </c>
      <c r="G11821" s="422">
        <v>1175.171467341346</v>
      </c>
      <c r="H11821" s="417" t="s">
        <v>2616</v>
      </c>
      <c r="I11821" s="417" t="s">
        <v>1392</v>
      </c>
      <c r="J11821" s="417" t="s">
        <v>25793</v>
      </c>
      <c r="K11821" s="417" t="s">
        <v>26189</v>
      </c>
      <c r="L11821" s="417"/>
      <c r="M11821" s="417" t="s">
        <v>28840</v>
      </c>
    </row>
    <row r="11822" spans="1:13" x14ac:dyDescent="0.25">
      <c r="A11822" s="417" t="s">
        <v>3385</v>
      </c>
      <c r="B11822" s="417" t="s">
        <v>3405</v>
      </c>
      <c r="C11822" s="417" t="s">
        <v>26190</v>
      </c>
      <c r="D11822" s="417" t="s">
        <v>224</v>
      </c>
      <c r="E11822" s="423">
        <v>0.31813880688118462</v>
      </c>
      <c r="F11822" s="423">
        <v>4.1806882980967908E-2</v>
      </c>
      <c r="G11822" s="422">
        <v>424.57220436817022</v>
      </c>
      <c r="H11822" s="417" t="s">
        <v>2616</v>
      </c>
      <c r="I11822" s="417" t="s">
        <v>1392</v>
      </c>
      <c r="J11822" s="417" t="s">
        <v>25793</v>
      </c>
      <c r="K11822" s="417" t="s">
        <v>26191</v>
      </c>
      <c r="L11822" s="417"/>
      <c r="M11822" s="417" t="s">
        <v>28840</v>
      </c>
    </row>
    <row r="11823" spans="1:13" x14ac:dyDescent="0.25">
      <c r="A11823" s="417" t="s">
        <v>3385</v>
      </c>
      <c r="B11823" s="417" t="s">
        <v>3405</v>
      </c>
      <c r="C11823" s="417" t="s">
        <v>26192</v>
      </c>
      <c r="D11823" s="417" t="s">
        <v>224</v>
      </c>
      <c r="E11823" s="423">
        <v>0.4495649203015345</v>
      </c>
      <c r="F11823" s="423">
        <v>5.2908018722075487E-3</v>
      </c>
      <c r="G11823" s="422">
        <v>770.1414633655736</v>
      </c>
      <c r="H11823" s="417" t="s">
        <v>2616</v>
      </c>
      <c r="I11823" s="417" t="s">
        <v>1392</v>
      </c>
      <c r="J11823" s="417" t="s">
        <v>25793</v>
      </c>
      <c r="K11823" s="417" t="s">
        <v>26193</v>
      </c>
      <c r="L11823" s="417"/>
      <c r="M11823" s="417" t="s">
        <v>28840</v>
      </c>
    </row>
    <row r="11824" spans="1:13" x14ac:dyDescent="0.25">
      <c r="A11824" s="417" t="s">
        <v>3385</v>
      </c>
      <c r="B11824" s="417" t="s">
        <v>3405</v>
      </c>
      <c r="C11824" s="417" t="s">
        <v>26194</v>
      </c>
      <c r="D11824" s="417" t="s">
        <v>224</v>
      </c>
      <c r="E11824" s="423">
        <v>0.98456843874660749</v>
      </c>
      <c r="F11824" s="423">
        <v>2.1447973280343029E-2</v>
      </c>
      <c r="G11824" s="422">
        <v>1239.464660703708</v>
      </c>
      <c r="H11824" s="417" t="s">
        <v>2616</v>
      </c>
      <c r="I11824" s="417" t="s">
        <v>1392</v>
      </c>
      <c r="J11824" s="417" t="s">
        <v>25793</v>
      </c>
      <c r="K11824" s="417" t="s">
        <v>26195</v>
      </c>
      <c r="L11824" s="417"/>
      <c r="M11824" s="417" t="s">
        <v>28840</v>
      </c>
    </row>
    <row r="11825" spans="1:13" x14ac:dyDescent="0.25">
      <c r="A11825" s="417" t="s">
        <v>3385</v>
      </c>
      <c r="B11825" s="417" t="s">
        <v>3405</v>
      </c>
      <c r="C11825" s="417" t="s">
        <v>26196</v>
      </c>
      <c r="D11825" s="417" t="s">
        <v>224</v>
      </c>
      <c r="E11825" s="423">
        <v>0.39228868596443311</v>
      </c>
      <c r="F11825" s="423">
        <v>4.3920587920252011E-2</v>
      </c>
      <c r="G11825" s="422">
        <v>501.9681673408237</v>
      </c>
      <c r="H11825" s="417" t="s">
        <v>2616</v>
      </c>
      <c r="I11825" s="417" t="s">
        <v>1392</v>
      </c>
      <c r="J11825" s="417" t="s">
        <v>25793</v>
      </c>
      <c r="K11825" s="417" t="s">
        <v>26197</v>
      </c>
      <c r="L11825" s="417"/>
      <c r="M11825" s="417" t="s">
        <v>28840</v>
      </c>
    </row>
    <row r="11826" spans="1:13" x14ac:dyDescent="0.25">
      <c r="A11826" s="417" t="s">
        <v>3385</v>
      </c>
      <c r="B11826" s="417" t="s">
        <v>3405</v>
      </c>
      <c r="C11826" s="417" t="s">
        <v>26198</v>
      </c>
      <c r="D11826" s="417" t="s">
        <v>224</v>
      </c>
      <c r="E11826" s="423">
        <v>0.4413206187586331</v>
      </c>
      <c r="F11826" s="423">
        <v>5.0968107912178536E-3</v>
      </c>
      <c r="G11826" s="422">
        <v>688.95774652323144</v>
      </c>
      <c r="H11826" s="417" t="s">
        <v>2616</v>
      </c>
      <c r="I11826" s="417" t="s">
        <v>1392</v>
      </c>
      <c r="J11826" s="417" t="s">
        <v>25793</v>
      </c>
      <c r="K11826" s="417" t="s">
        <v>26199</v>
      </c>
      <c r="L11826" s="417"/>
      <c r="M11826" s="417" t="s">
        <v>28840</v>
      </c>
    </row>
    <row r="11827" spans="1:13" x14ac:dyDescent="0.25">
      <c r="A11827" s="417" t="s">
        <v>3385</v>
      </c>
      <c r="B11827" s="417" t="s">
        <v>3405</v>
      </c>
      <c r="C11827" s="417" t="s">
        <v>26200</v>
      </c>
      <c r="D11827" s="417" t="s">
        <v>224</v>
      </c>
      <c r="E11827" s="423">
        <v>2.681733057562221E-2</v>
      </c>
      <c r="F11827" s="423">
        <v>5.7428520055710898E-2</v>
      </c>
      <c r="G11827" s="422">
        <v>293.92614598521652</v>
      </c>
      <c r="H11827" s="417" t="s">
        <v>2616</v>
      </c>
      <c r="I11827" s="417" t="s">
        <v>1392</v>
      </c>
      <c r="J11827" s="417" t="s">
        <v>25793</v>
      </c>
      <c r="K11827" s="417" t="s">
        <v>26201</v>
      </c>
      <c r="L11827" s="417"/>
      <c r="M11827" s="417" t="s">
        <v>28840</v>
      </c>
    </row>
    <row r="11828" spans="1:13" x14ac:dyDescent="0.25">
      <c r="A11828" s="417" t="s">
        <v>3385</v>
      </c>
      <c r="B11828" s="417" t="s">
        <v>3405</v>
      </c>
      <c r="C11828" s="417" t="s">
        <v>26202</v>
      </c>
      <c r="D11828" s="417" t="s">
        <v>224</v>
      </c>
      <c r="E11828" s="423">
        <v>0.47742989864793939</v>
      </c>
      <c r="F11828" s="423">
        <v>2.044918190325044E-2</v>
      </c>
      <c r="G11828" s="422">
        <v>921.46165294890898</v>
      </c>
      <c r="H11828" s="417" t="s">
        <v>2616</v>
      </c>
      <c r="I11828" s="417" t="s">
        <v>1392</v>
      </c>
      <c r="J11828" s="417" t="s">
        <v>25793</v>
      </c>
      <c r="K11828" s="417" t="s">
        <v>26203</v>
      </c>
      <c r="L11828" s="417"/>
      <c r="M11828" s="417" t="s">
        <v>28840</v>
      </c>
    </row>
    <row r="11829" spans="1:13" x14ac:dyDescent="0.25">
      <c r="A11829" s="417" t="s">
        <v>3385</v>
      </c>
      <c r="B11829" s="417" t="s">
        <v>3405</v>
      </c>
      <c r="C11829" s="417" t="s">
        <v>26204</v>
      </c>
      <c r="D11829" s="417" t="s">
        <v>224</v>
      </c>
      <c r="E11829" s="423">
        <v>0.2116143918474277</v>
      </c>
      <c r="F11829" s="423">
        <v>7.730868690230705E-2</v>
      </c>
      <c r="G11829" s="422">
        <v>648.97957457711016</v>
      </c>
      <c r="H11829" s="417" t="s">
        <v>2616</v>
      </c>
      <c r="I11829" s="417" t="s">
        <v>1392</v>
      </c>
      <c r="J11829" s="417" t="s">
        <v>25793</v>
      </c>
      <c r="K11829" s="417" t="s">
        <v>26205</v>
      </c>
      <c r="L11829" s="417"/>
      <c r="M11829" s="417" t="s">
        <v>28840</v>
      </c>
    </row>
    <row r="11830" spans="1:13" x14ac:dyDescent="0.25">
      <c r="A11830" s="417" t="s">
        <v>3385</v>
      </c>
      <c r="B11830" s="417" t="s">
        <v>3405</v>
      </c>
      <c r="C11830" s="417" t="s">
        <v>26206</v>
      </c>
      <c r="D11830" s="417" t="s">
        <v>224</v>
      </c>
      <c r="E11830" s="423">
        <v>0.81457325138013326</v>
      </c>
      <c r="F11830" s="423">
        <v>2.0386497149991509E-2</v>
      </c>
      <c r="G11830" s="422">
        <v>1162.878918123653</v>
      </c>
      <c r="H11830" s="417" t="s">
        <v>2616</v>
      </c>
      <c r="I11830" s="417" t="s">
        <v>1392</v>
      </c>
      <c r="J11830" s="417" t="s">
        <v>25793</v>
      </c>
      <c r="K11830" s="417" t="s">
        <v>26207</v>
      </c>
      <c r="L11830" s="417"/>
      <c r="M11830" s="417" t="s">
        <v>28840</v>
      </c>
    </row>
    <row r="11831" spans="1:13" x14ac:dyDescent="0.25">
      <c r="A11831" s="417" t="s">
        <v>3385</v>
      </c>
      <c r="B11831" s="417" t="s">
        <v>3405</v>
      </c>
      <c r="C11831" s="417" t="s">
        <v>26208</v>
      </c>
      <c r="D11831" s="417" t="s">
        <v>224</v>
      </c>
      <c r="E11831" s="423">
        <v>0.95133038220276378</v>
      </c>
      <c r="F11831" s="423">
        <v>9.9414979143512008E-4</v>
      </c>
      <c r="G11831" s="422">
        <v>1195.3904832055439</v>
      </c>
      <c r="H11831" s="417" t="s">
        <v>2616</v>
      </c>
      <c r="I11831" s="417" t="s">
        <v>1392</v>
      </c>
      <c r="J11831" s="417" t="s">
        <v>25793</v>
      </c>
      <c r="K11831" s="417" t="s">
        <v>26209</v>
      </c>
      <c r="L11831" s="417"/>
      <c r="M11831" s="417" t="s">
        <v>28840</v>
      </c>
    </row>
    <row r="11832" spans="1:13" x14ac:dyDescent="0.25">
      <c r="A11832" s="417" t="s">
        <v>3385</v>
      </c>
      <c r="B11832" s="417" t="s">
        <v>3405</v>
      </c>
      <c r="C11832" s="417" t="s">
        <v>26210</v>
      </c>
      <c r="D11832" s="417" t="s">
        <v>224</v>
      </c>
      <c r="E11832" s="423">
        <v>0.44144079606307551</v>
      </c>
      <c r="F11832" s="423">
        <v>1.929223908541575E-2</v>
      </c>
      <c r="G11832" s="422">
        <v>759.96635110804573</v>
      </c>
      <c r="H11832" s="417" t="s">
        <v>2616</v>
      </c>
      <c r="I11832" s="417" t="s">
        <v>1392</v>
      </c>
      <c r="J11832" s="417" t="s">
        <v>25793</v>
      </c>
      <c r="K11832" s="417" t="s">
        <v>26211</v>
      </c>
      <c r="L11832" s="417"/>
      <c r="M11832" s="417" t="s">
        <v>28840</v>
      </c>
    </row>
    <row r="11833" spans="1:13" x14ac:dyDescent="0.25">
      <c r="A11833" s="417" t="s">
        <v>3385</v>
      </c>
      <c r="B11833" s="417" t="s">
        <v>3405</v>
      </c>
      <c r="C11833" s="417" t="s">
        <v>26212</v>
      </c>
      <c r="D11833" s="417" t="s">
        <v>224</v>
      </c>
      <c r="E11833" s="423">
        <v>0.46677795462751059</v>
      </c>
      <c r="F11833" s="423">
        <v>1.6053655418293979E-2</v>
      </c>
      <c r="G11833" s="422">
        <v>817.46459530338768</v>
      </c>
      <c r="H11833" s="417" t="s">
        <v>2616</v>
      </c>
      <c r="I11833" s="417" t="s">
        <v>1392</v>
      </c>
      <c r="J11833" s="417" t="s">
        <v>26213</v>
      </c>
      <c r="K11833" s="417" t="s">
        <v>26214</v>
      </c>
      <c r="L11833" s="417"/>
      <c r="M11833" s="417" t="s">
        <v>28840</v>
      </c>
    </row>
    <row r="11834" spans="1:13" x14ac:dyDescent="0.25">
      <c r="A11834" s="417" t="s">
        <v>3385</v>
      </c>
      <c r="B11834" s="417" t="s">
        <v>3405</v>
      </c>
      <c r="C11834" s="417" t="s">
        <v>26215</v>
      </c>
      <c r="D11834" s="417" t="s">
        <v>224</v>
      </c>
      <c r="E11834" s="423">
        <v>2.451801795638444E-3</v>
      </c>
      <c r="F11834" s="423">
        <v>2.3170094536499221E-5</v>
      </c>
      <c r="G11834" s="422">
        <v>3.8150240191744631</v>
      </c>
      <c r="H11834" s="417" t="s">
        <v>2616</v>
      </c>
      <c r="I11834" s="417" t="s">
        <v>1392</v>
      </c>
      <c r="J11834" s="417" t="s">
        <v>25793</v>
      </c>
      <c r="K11834" s="417" t="s">
        <v>26216</v>
      </c>
      <c r="L11834" s="417"/>
      <c r="M11834" s="417" t="s">
        <v>28840</v>
      </c>
    </row>
    <row r="11835" spans="1:13" x14ac:dyDescent="0.25">
      <c r="A11835" s="417" t="s">
        <v>3385</v>
      </c>
      <c r="B11835" s="417" t="s">
        <v>3405</v>
      </c>
      <c r="C11835" s="417" t="s">
        <v>26217</v>
      </c>
      <c r="D11835" s="417" t="s">
        <v>224</v>
      </c>
      <c r="E11835" s="423">
        <v>0.2454250800518408</v>
      </c>
      <c r="F11835" s="423">
        <v>2.252440045038592E-2</v>
      </c>
      <c r="G11835" s="422">
        <v>604.83974765815049</v>
      </c>
      <c r="H11835" s="417" t="s">
        <v>2616</v>
      </c>
      <c r="I11835" s="417" t="s">
        <v>1392</v>
      </c>
      <c r="J11835" s="417" t="s">
        <v>25793</v>
      </c>
      <c r="K11835" s="417" t="s">
        <v>26218</v>
      </c>
      <c r="L11835" s="417"/>
      <c r="M11835" s="417" t="s">
        <v>28840</v>
      </c>
    </row>
    <row r="11836" spans="1:13" x14ac:dyDescent="0.25">
      <c r="A11836" s="417" t="s">
        <v>3385</v>
      </c>
      <c r="B11836" s="417" t="s">
        <v>3405</v>
      </c>
      <c r="C11836" s="417" t="s">
        <v>26219</v>
      </c>
      <c r="D11836" s="417" t="s">
        <v>224</v>
      </c>
      <c r="E11836" s="423">
        <v>0.55495944872483272</v>
      </c>
      <c r="F11836" s="423">
        <v>6.5739013933413916E-3</v>
      </c>
      <c r="G11836" s="422">
        <v>968.41556275968605</v>
      </c>
      <c r="H11836" s="417" t="s">
        <v>2616</v>
      </c>
      <c r="I11836" s="417" t="s">
        <v>1392</v>
      </c>
      <c r="J11836" s="417" t="s">
        <v>25793</v>
      </c>
      <c r="K11836" s="417" t="s">
        <v>26220</v>
      </c>
      <c r="L11836" s="417"/>
      <c r="M11836" s="417" t="s">
        <v>28840</v>
      </c>
    </row>
    <row r="11837" spans="1:13" x14ac:dyDescent="0.25">
      <c r="A11837" s="417" t="s">
        <v>3385</v>
      </c>
      <c r="B11837" s="417" t="s">
        <v>3405</v>
      </c>
      <c r="C11837" s="417" t="s">
        <v>26221</v>
      </c>
      <c r="D11837" s="417" t="s">
        <v>224</v>
      </c>
      <c r="E11837" s="423">
        <v>0.9124254476942536</v>
      </c>
      <c r="F11837" s="423">
        <v>9.1880629614160079E-3</v>
      </c>
      <c r="G11837" s="422">
        <v>1284.4498334194111</v>
      </c>
      <c r="H11837" s="417" t="s">
        <v>2616</v>
      </c>
      <c r="I11837" s="417" t="s">
        <v>1392</v>
      </c>
      <c r="J11837" s="417" t="s">
        <v>25793</v>
      </c>
      <c r="K11837" s="417" t="s">
        <v>26222</v>
      </c>
      <c r="L11837" s="417"/>
      <c r="M11837" s="417" t="s">
        <v>28840</v>
      </c>
    </row>
    <row r="11838" spans="1:13" x14ac:dyDescent="0.25">
      <c r="A11838" s="417" t="s">
        <v>3385</v>
      </c>
      <c r="B11838" s="417" t="s">
        <v>3405</v>
      </c>
      <c r="C11838" s="417" t="s">
        <v>26223</v>
      </c>
      <c r="D11838" s="417" t="s">
        <v>224</v>
      </c>
      <c r="E11838" s="423">
        <v>0.6780890298343637</v>
      </c>
      <c r="F11838" s="423">
        <v>2.5565403379380319E-2</v>
      </c>
      <c r="G11838" s="422">
        <v>1117.9945906175849</v>
      </c>
      <c r="H11838" s="417" t="s">
        <v>2616</v>
      </c>
      <c r="I11838" s="417" t="s">
        <v>1392</v>
      </c>
      <c r="J11838" s="417" t="s">
        <v>25793</v>
      </c>
      <c r="K11838" s="417" t="s">
        <v>26224</v>
      </c>
      <c r="L11838" s="417"/>
      <c r="M11838" s="417" t="s">
        <v>28840</v>
      </c>
    </row>
    <row r="11839" spans="1:13" x14ac:dyDescent="0.25">
      <c r="A11839" s="417" t="s">
        <v>3385</v>
      </c>
      <c r="B11839" s="417" t="s">
        <v>3405</v>
      </c>
      <c r="C11839" s="417" t="s">
        <v>26225</v>
      </c>
      <c r="D11839" s="417" t="s">
        <v>224</v>
      </c>
      <c r="E11839" s="423">
        <v>0.79971015615765262</v>
      </c>
      <c r="F11839" s="423">
        <v>1.752082770531868E-3</v>
      </c>
      <c r="G11839" s="422">
        <v>1126.515188239498</v>
      </c>
      <c r="H11839" s="417" t="s">
        <v>2616</v>
      </c>
      <c r="I11839" s="417" t="s">
        <v>1392</v>
      </c>
      <c r="J11839" s="417" t="s">
        <v>25793</v>
      </c>
      <c r="K11839" s="417" t="s">
        <v>26226</v>
      </c>
      <c r="L11839" s="417"/>
      <c r="M11839" s="417" t="s">
        <v>28840</v>
      </c>
    </row>
    <row r="11840" spans="1:13" x14ac:dyDescent="0.25">
      <c r="A11840" s="417" t="s">
        <v>3385</v>
      </c>
      <c r="B11840" s="417" t="s">
        <v>3405</v>
      </c>
      <c r="C11840" s="417" t="s">
        <v>26227</v>
      </c>
      <c r="D11840" s="417" t="s">
        <v>224</v>
      </c>
      <c r="E11840" s="423">
        <v>0.66686519087024043</v>
      </c>
      <c r="F11840" s="423">
        <v>3.641226896467618E-3</v>
      </c>
      <c r="G11840" s="422">
        <v>990.0260670714755</v>
      </c>
      <c r="H11840" s="417" t="s">
        <v>2616</v>
      </c>
      <c r="I11840" s="417" t="s">
        <v>1392</v>
      </c>
      <c r="J11840" s="417" t="s">
        <v>25793</v>
      </c>
      <c r="K11840" s="417" t="s">
        <v>26228</v>
      </c>
      <c r="L11840" s="417"/>
      <c r="M11840" s="417" t="s">
        <v>28840</v>
      </c>
    </row>
    <row r="11841" spans="1:13" x14ac:dyDescent="0.25">
      <c r="A11841" s="417" t="s">
        <v>3385</v>
      </c>
      <c r="B11841" s="417" t="s">
        <v>3405</v>
      </c>
      <c r="C11841" s="417" t="s">
        <v>26229</v>
      </c>
      <c r="D11841" s="417" t="s">
        <v>224</v>
      </c>
      <c r="E11841" s="423">
        <v>0.50109601461087538</v>
      </c>
      <c r="F11841" s="423">
        <v>5.0648198840359267E-2</v>
      </c>
      <c r="G11841" s="422">
        <v>633.961949196104</v>
      </c>
      <c r="H11841" s="417" t="s">
        <v>2616</v>
      </c>
      <c r="I11841" s="417" t="s">
        <v>1392</v>
      </c>
      <c r="J11841" s="417" t="s">
        <v>25793</v>
      </c>
      <c r="K11841" s="417" t="s">
        <v>26230</v>
      </c>
      <c r="L11841" s="417"/>
      <c r="M11841" s="417" t="s">
        <v>28840</v>
      </c>
    </row>
    <row r="11842" spans="1:13" x14ac:dyDescent="0.25">
      <c r="A11842" s="417" t="s">
        <v>3385</v>
      </c>
      <c r="B11842" s="417" t="s">
        <v>3405</v>
      </c>
      <c r="C11842" s="417" t="s">
        <v>26231</v>
      </c>
      <c r="D11842" s="417" t="s">
        <v>224</v>
      </c>
      <c r="E11842" s="423">
        <v>0.5190245090948391</v>
      </c>
      <c r="F11842" s="423">
        <v>2.5144078830944671E-3</v>
      </c>
      <c r="G11842" s="422">
        <v>898.87473861323076</v>
      </c>
      <c r="H11842" s="417" t="s">
        <v>2616</v>
      </c>
      <c r="I11842" s="417" t="s">
        <v>1392</v>
      </c>
      <c r="J11842" s="417" t="s">
        <v>25793</v>
      </c>
      <c r="K11842" s="417" t="s">
        <v>26232</v>
      </c>
      <c r="L11842" s="417"/>
      <c r="M11842" s="417" t="s">
        <v>28840</v>
      </c>
    </row>
    <row r="11843" spans="1:13" x14ac:dyDescent="0.25">
      <c r="A11843" s="417" t="s">
        <v>3385</v>
      </c>
      <c r="B11843" s="417" t="s">
        <v>3405</v>
      </c>
      <c r="C11843" s="417" t="s">
        <v>26233</v>
      </c>
      <c r="D11843" s="417" t="s">
        <v>224</v>
      </c>
      <c r="E11843" s="423">
        <v>0.3872146638958211</v>
      </c>
      <c r="F11843" s="423">
        <v>4.8149862936705701E-2</v>
      </c>
      <c r="G11843" s="422">
        <v>813.39098872751651</v>
      </c>
      <c r="H11843" s="417" t="s">
        <v>2616</v>
      </c>
      <c r="I11843" s="417" t="s">
        <v>1392</v>
      </c>
      <c r="J11843" s="417" t="s">
        <v>25793</v>
      </c>
      <c r="K11843" s="417" t="s">
        <v>26234</v>
      </c>
      <c r="L11843" s="417"/>
      <c r="M11843" s="417" t="s">
        <v>28840</v>
      </c>
    </row>
    <row r="11844" spans="1:13" x14ac:dyDescent="0.25">
      <c r="A11844" s="417" t="s">
        <v>3385</v>
      </c>
      <c r="B11844" s="417" t="s">
        <v>3405</v>
      </c>
      <c r="C11844" s="417" t="s">
        <v>26235</v>
      </c>
      <c r="D11844" s="417" t="s">
        <v>224</v>
      </c>
      <c r="E11844" s="423">
        <v>7.0004584553453833E-2</v>
      </c>
      <c r="F11844" s="423">
        <v>1.1599316816189051E-2</v>
      </c>
      <c r="G11844" s="422">
        <v>661.6522300867025</v>
      </c>
      <c r="H11844" s="417" t="s">
        <v>2616</v>
      </c>
      <c r="I11844" s="417" t="s">
        <v>1392</v>
      </c>
      <c r="J11844" s="417" t="s">
        <v>25793</v>
      </c>
      <c r="K11844" s="417" t="s">
        <v>26236</v>
      </c>
      <c r="L11844" s="417"/>
      <c r="M11844" s="417" t="s">
        <v>28840</v>
      </c>
    </row>
    <row r="11845" spans="1:13" x14ac:dyDescent="0.25">
      <c r="A11845" s="417" t="s">
        <v>3385</v>
      </c>
      <c r="B11845" s="417" t="s">
        <v>3405</v>
      </c>
      <c r="C11845" s="417" t="s">
        <v>26237</v>
      </c>
      <c r="D11845" s="417" t="s">
        <v>224</v>
      </c>
      <c r="E11845" s="423">
        <v>0.41465755763447149</v>
      </c>
      <c r="F11845" s="423">
        <v>1.524004531988055E-3</v>
      </c>
      <c r="G11845" s="422">
        <v>732.01836914273565</v>
      </c>
      <c r="H11845" s="417" t="s">
        <v>2616</v>
      </c>
      <c r="I11845" s="417" t="s">
        <v>1392</v>
      </c>
      <c r="J11845" s="417" t="s">
        <v>25793</v>
      </c>
      <c r="K11845" s="417" t="s">
        <v>26238</v>
      </c>
      <c r="L11845" s="417"/>
      <c r="M11845" s="417" t="s">
        <v>28840</v>
      </c>
    </row>
    <row r="11846" spans="1:13" x14ac:dyDescent="0.25">
      <c r="A11846" s="417" t="s">
        <v>3385</v>
      </c>
      <c r="B11846" s="417" t="s">
        <v>3405</v>
      </c>
      <c r="C11846" s="417" t="s">
        <v>26239</v>
      </c>
      <c r="D11846" s="417" t="s">
        <v>224</v>
      </c>
      <c r="E11846" s="423">
        <v>0.5950110281548171</v>
      </c>
      <c r="F11846" s="423">
        <v>6.0600740956238391E-3</v>
      </c>
      <c r="G11846" s="422">
        <v>764.11384362792978</v>
      </c>
      <c r="H11846" s="417" t="s">
        <v>2616</v>
      </c>
      <c r="I11846" s="417" t="s">
        <v>1392</v>
      </c>
      <c r="J11846" s="417" t="s">
        <v>25793</v>
      </c>
      <c r="K11846" s="417" t="s">
        <v>26240</v>
      </c>
      <c r="L11846" s="417"/>
      <c r="M11846" s="417" t="s">
        <v>28840</v>
      </c>
    </row>
    <row r="11847" spans="1:13" x14ac:dyDescent="0.25">
      <c r="A11847" s="417" t="s">
        <v>3385</v>
      </c>
      <c r="B11847" s="417" t="s">
        <v>3405</v>
      </c>
      <c r="C11847" s="417" t="s">
        <v>26241</v>
      </c>
      <c r="D11847" s="417" t="s">
        <v>224</v>
      </c>
      <c r="E11847" s="423">
        <v>0.58764663331677558</v>
      </c>
      <c r="F11847" s="423">
        <v>1.1950297038184629E-3</v>
      </c>
      <c r="G11847" s="422">
        <v>750.56699154553144</v>
      </c>
      <c r="H11847" s="417" t="s">
        <v>2616</v>
      </c>
      <c r="I11847" s="417" t="s">
        <v>1392</v>
      </c>
      <c r="J11847" s="417" t="s">
        <v>25793</v>
      </c>
      <c r="K11847" s="417" t="s">
        <v>26242</v>
      </c>
      <c r="L11847" s="417"/>
      <c r="M11847" s="417" t="s">
        <v>28840</v>
      </c>
    </row>
    <row r="11848" spans="1:13" x14ac:dyDescent="0.25">
      <c r="A11848" s="417" t="s">
        <v>3385</v>
      </c>
      <c r="B11848" s="417" t="s">
        <v>3405</v>
      </c>
      <c r="C11848" s="417" t="s">
        <v>26243</v>
      </c>
      <c r="D11848" s="417" t="s">
        <v>224</v>
      </c>
      <c r="E11848" s="423">
        <v>0.39450262051713758</v>
      </c>
      <c r="F11848" s="423">
        <v>4.1732657166583788E-2</v>
      </c>
      <c r="G11848" s="422">
        <v>852.66481323905384</v>
      </c>
      <c r="H11848" s="417" t="s">
        <v>2616</v>
      </c>
      <c r="I11848" s="417" t="s">
        <v>1392</v>
      </c>
      <c r="J11848" s="417" t="s">
        <v>25793</v>
      </c>
      <c r="K11848" s="417" t="s">
        <v>26244</v>
      </c>
      <c r="L11848" s="417"/>
      <c r="M11848" s="417" t="s">
        <v>28840</v>
      </c>
    </row>
    <row r="11849" spans="1:13" x14ac:dyDescent="0.25">
      <c r="A11849" s="417" t="s">
        <v>3385</v>
      </c>
      <c r="B11849" s="417" t="s">
        <v>3405</v>
      </c>
      <c r="C11849" s="417" t="s">
        <v>26245</v>
      </c>
      <c r="D11849" s="417" t="s">
        <v>224</v>
      </c>
      <c r="E11849" s="423">
        <v>0.64905641138441905</v>
      </c>
      <c r="F11849" s="423">
        <v>2.1818707824455021E-2</v>
      </c>
      <c r="G11849" s="422">
        <v>810.4301479080558</v>
      </c>
      <c r="H11849" s="417" t="s">
        <v>2616</v>
      </c>
      <c r="I11849" s="417" t="s">
        <v>1392</v>
      </c>
      <c r="J11849" s="417" t="s">
        <v>25793</v>
      </c>
      <c r="K11849" s="417" t="s">
        <v>26246</v>
      </c>
      <c r="L11849" s="417"/>
      <c r="M11849" s="417" t="s">
        <v>28840</v>
      </c>
    </row>
    <row r="11850" spans="1:13" x14ac:dyDescent="0.25">
      <c r="A11850" s="417" t="s">
        <v>3385</v>
      </c>
      <c r="B11850" s="417" t="s">
        <v>3405</v>
      </c>
      <c r="C11850" s="417" t="s">
        <v>26247</v>
      </c>
      <c r="D11850" s="417" t="s">
        <v>224</v>
      </c>
      <c r="E11850" s="423">
        <v>0.53868187412931179</v>
      </c>
      <c r="F11850" s="423">
        <v>3.7385416612116559E-3</v>
      </c>
      <c r="G11850" s="422">
        <v>924.24629030498772</v>
      </c>
      <c r="H11850" s="417" t="s">
        <v>2616</v>
      </c>
      <c r="I11850" s="417" t="s">
        <v>1392</v>
      </c>
      <c r="J11850" s="417" t="s">
        <v>25793</v>
      </c>
      <c r="K11850" s="417" t="s">
        <v>26248</v>
      </c>
      <c r="L11850" s="417"/>
      <c r="M11850" s="417" t="s">
        <v>28840</v>
      </c>
    </row>
    <row r="11851" spans="1:13" x14ac:dyDescent="0.25">
      <c r="A11851" s="417" t="s">
        <v>3385</v>
      </c>
      <c r="B11851" s="417" t="s">
        <v>3405</v>
      </c>
      <c r="C11851" s="417" t="s">
        <v>26249</v>
      </c>
      <c r="D11851" s="417" t="s">
        <v>224</v>
      </c>
      <c r="E11851" s="423">
        <v>0.56420164572074827</v>
      </c>
      <c r="F11851" s="423">
        <v>2.5858194296674549E-3</v>
      </c>
      <c r="G11851" s="422">
        <v>784.50784152734616</v>
      </c>
      <c r="H11851" s="417" t="s">
        <v>2616</v>
      </c>
      <c r="I11851" s="417" t="s">
        <v>1392</v>
      </c>
      <c r="J11851" s="417" t="s">
        <v>25793</v>
      </c>
      <c r="K11851" s="417" t="s">
        <v>26250</v>
      </c>
      <c r="L11851" s="417"/>
      <c r="M11851" s="417" t="s">
        <v>28840</v>
      </c>
    </row>
    <row r="11852" spans="1:13" x14ac:dyDescent="0.25">
      <c r="A11852" s="417" t="s">
        <v>3385</v>
      </c>
      <c r="B11852" s="417" t="s">
        <v>3405</v>
      </c>
      <c r="C11852" s="417" t="s">
        <v>26251</v>
      </c>
      <c r="D11852" s="417" t="s">
        <v>224</v>
      </c>
      <c r="E11852" s="423">
        <v>0.4748683875192784</v>
      </c>
      <c r="F11852" s="423">
        <v>2.6662220784416961E-3</v>
      </c>
      <c r="G11852" s="422">
        <v>668.70218957470263</v>
      </c>
      <c r="H11852" s="417" t="s">
        <v>2616</v>
      </c>
      <c r="I11852" s="417" t="s">
        <v>1392</v>
      </c>
      <c r="J11852" s="417" t="s">
        <v>25793</v>
      </c>
      <c r="K11852" s="417" t="s">
        <v>26252</v>
      </c>
      <c r="L11852" s="417"/>
      <c r="M11852" s="417" t="s">
        <v>28840</v>
      </c>
    </row>
    <row r="11853" spans="1:13" x14ac:dyDescent="0.25">
      <c r="A11853" s="417" t="s">
        <v>3385</v>
      </c>
      <c r="B11853" s="417" t="s">
        <v>3405</v>
      </c>
      <c r="C11853" s="417" t="s">
        <v>26253</v>
      </c>
      <c r="D11853" s="417" t="s">
        <v>224</v>
      </c>
      <c r="E11853" s="423">
        <v>0.56122858164638501</v>
      </c>
      <c r="F11853" s="423">
        <v>3.7295426618107579E-3</v>
      </c>
      <c r="G11853" s="422">
        <v>938.71384850793356</v>
      </c>
      <c r="H11853" s="417" t="s">
        <v>2616</v>
      </c>
      <c r="I11853" s="417" t="s">
        <v>1392</v>
      </c>
      <c r="J11853" s="417" t="s">
        <v>25793</v>
      </c>
      <c r="K11853" s="417" t="s">
        <v>26254</v>
      </c>
      <c r="L11853" s="417"/>
      <c r="M11853" s="417" t="s">
        <v>28840</v>
      </c>
    </row>
    <row r="11854" spans="1:13" x14ac:dyDescent="0.25">
      <c r="A11854" s="417" t="s">
        <v>3385</v>
      </c>
      <c r="B11854" s="417" t="s">
        <v>3405</v>
      </c>
      <c r="C11854" s="417" t="s">
        <v>26255</v>
      </c>
      <c r="D11854" s="417" t="s">
        <v>224</v>
      </c>
      <c r="E11854" s="423">
        <v>0.29255361246962308</v>
      </c>
      <c r="F11854" s="423">
        <v>9.3286558126684183E-2</v>
      </c>
      <c r="G11854" s="422">
        <v>411.11789703848137</v>
      </c>
      <c r="H11854" s="417" t="s">
        <v>2616</v>
      </c>
      <c r="I11854" s="417" t="s">
        <v>1392</v>
      </c>
      <c r="J11854" s="417" t="s">
        <v>25793</v>
      </c>
      <c r="K11854" s="417" t="s">
        <v>26256</v>
      </c>
      <c r="L11854" s="417"/>
      <c r="M11854" s="417" t="s">
        <v>28840</v>
      </c>
    </row>
    <row r="11855" spans="1:13" x14ac:dyDescent="0.25">
      <c r="A11855" s="417" t="s">
        <v>3385</v>
      </c>
      <c r="B11855" s="417" t="s">
        <v>3405</v>
      </c>
      <c r="C11855" s="417" t="s">
        <v>26257</v>
      </c>
      <c r="D11855" s="417" t="s">
        <v>224</v>
      </c>
      <c r="E11855" s="423">
        <v>0.78743176576508589</v>
      </c>
      <c r="F11855" s="423">
        <v>3.4610771778291402E-3</v>
      </c>
      <c r="G11855" s="422">
        <v>1175.173005416865</v>
      </c>
      <c r="H11855" s="417" t="s">
        <v>2616</v>
      </c>
      <c r="I11855" s="417" t="s">
        <v>1392</v>
      </c>
      <c r="J11855" s="417" t="s">
        <v>25793</v>
      </c>
      <c r="K11855" s="417" t="s">
        <v>26258</v>
      </c>
      <c r="L11855" s="417"/>
      <c r="M11855" s="417" t="s">
        <v>28840</v>
      </c>
    </row>
    <row r="11856" spans="1:13" x14ac:dyDescent="0.25">
      <c r="A11856" s="417" t="s">
        <v>3385</v>
      </c>
      <c r="B11856" s="417" t="s">
        <v>3405</v>
      </c>
      <c r="C11856" s="417" t="s">
        <v>26259</v>
      </c>
      <c r="D11856" s="417" t="s">
        <v>224</v>
      </c>
      <c r="E11856" s="423">
        <v>0.58463609278053685</v>
      </c>
      <c r="F11856" s="423">
        <v>2.0368802352353568E-3</v>
      </c>
      <c r="G11856" s="422">
        <v>746.52464701996655</v>
      </c>
      <c r="H11856" s="417" t="s">
        <v>2616</v>
      </c>
      <c r="I11856" s="417" t="s">
        <v>1392</v>
      </c>
      <c r="J11856" s="417" t="s">
        <v>25793</v>
      </c>
      <c r="K11856" s="417" t="s">
        <v>26260</v>
      </c>
      <c r="L11856" s="417"/>
      <c r="M11856" s="417" t="s">
        <v>28840</v>
      </c>
    </row>
    <row r="11857" spans="1:13" x14ac:dyDescent="0.25">
      <c r="A11857" s="417" t="s">
        <v>3385</v>
      </c>
      <c r="B11857" s="417" t="s">
        <v>3405</v>
      </c>
      <c r="C11857" s="417" t="s">
        <v>26261</v>
      </c>
      <c r="D11857" s="417" t="s">
        <v>224</v>
      </c>
      <c r="E11857" s="423">
        <v>0.525976471913152</v>
      </c>
      <c r="F11857" s="423">
        <v>3.794111826123605E-3</v>
      </c>
      <c r="G11857" s="422">
        <v>897.43702830119116</v>
      </c>
      <c r="H11857" s="417" t="s">
        <v>2616</v>
      </c>
      <c r="I11857" s="417" t="s">
        <v>1392</v>
      </c>
      <c r="J11857" s="417" t="s">
        <v>25793</v>
      </c>
      <c r="K11857" s="417" t="s">
        <v>26262</v>
      </c>
      <c r="L11857" s="417"/>
      <c r="M11857" s="417" t="s">
        <v>28840</v>
      </c>
    </row>
    <row r="11858" spans="1:13" x14ac:dyDescent="0.25">
      <c r="A11858" s="417" t="s">
        <v>3385</v>
      </c>
      <c r="B11858" s="417" t="s">
        <v>3405</v>
      </c>
      <c r="C11858" s="417" t="s">
        <v>26263</v>
      </c>
      <c r="D11858" s="417" t="s">
        <v>224</v>
      </c>
      <c r="E11858" s="423">
        <v>1.0093234887567439</v>
      </c>
      <c r="F11858" s="423">
        <v>1.6412567999501741E-2</v>
      </c>
      <c r="G11858" s="422">
        <v>1268.9129942257371</v>
      </c>
      <c r="H11858" s="417" t="s">
        <v>2616</v>
      </c>
      <c r="I11858" s="417" t="s">
        <v>1392</v>
      </c>
      <c r="J11858" s="417" t="s">
        <v>25793</v>
      </c>
      <c r="K11858" s="417" t="s">
        <v>26264</v>
      </c>
      <c r="L11858" s="417"/>
      <c r="M11858" s="417" t="s">
        <v>28840</v>
      </c>
    </row>
    <row r="11859" spans="1:13" x14ac:dyDescent="0.25">
      <c r="A11859" s="417" t="s">
        <v>3385</v>
      </c>
      <c r="B11859" s="417" t="s">
        <v>3405</v>
      </c>
      <c r="C11859" s="417" t="s">
        <v>26265</v>
      </c>
      <c r="D11859" s="417" t="s">
        <v>224</v>
      </c>
      <c r="E11859" s="423">
        <v>0.38282513553861902</v>
      </c>
      <c r="F11859" s="423">
        <v>4.2864824515300451E-2</v>
      </c>
      <c r="G11859" s="422">
        <v>489.54796883880329</v>
      </c>
      <c r="H11859" s="417" t="s">
        <v>2616</v>
      </c>
      <c r="I11859" s="417" t="s">
        <v>1392</v>
      </c>
      <c r="J11859" s="417" t="s">
        <v>25793</v>
      </c>
      <c r="K11859" s="417" t="s">
        <v>26266</v>
      </c>
      <c r="L11859" s="417"/>
      <c r="M11859" s="417" t="s">
        <v>28840</v>
      </c>
    </row>
    <row r="11860" spans="1:13" x14ac:dyDescent="0.25">
      <c r="A11860" s="417" t="s">
        <v>3385</v>
      </c>
      <c r="B11860" s="417" t="s">
        <v>3405</v>
      </c>
      <c r="C11860" s="417" t="s">
        <v>26267</v>
      </c>
      <c r="D11860" s="417" t="s">
        <v>224</v>
      </c>
      <c r="E11860" s="423">
        <v>0.44265583415072868</v>
      </c>
      <c r="F11860" s="423">
        <v>4.968985997605176E-3</v>
      </c>
      <c r="G11860" s="422">
        <v>690.96382183537742</v>
      </c>
      <c r="H11860" s="417" t="s">
        <v>2616</v>
      </c>
      <c r="I11860" s="417" t="s">
        <v>1392</v>
      </c>
      <c r="J11860" s="417" t="s">
        <v>25793</v>
      </c>
      <c r="K11860" s="417" t="s">
        <v>26268</v>
      </c>
      <c r="L11860" s="417"/>
      <c r="M11860" s="417" t="s">
        <v>28840</v>
      </c>
    </row>
    <row r="11861" spans="1:13" x14ac:dyDescent="0.25">
      <c r="A11861" s="417" t="s">
        <v>3385</v>
      </c>
      <c r="B11861" s="417" t="s">
        <v>3405</v>
      </c>
      <c r="C11861" s="417" t="s">
        <v>26269</v>
      </c>
      <c r="D11861" s="417" t="s">
        <v>224</v>
      </c>
      <c r="E11861" s="423">
        <v>7.2859519016018143E-2</v>
      </c>
      <c r="F11861" s="423">
        <v>2.072694171254175E-2</v>
      </c>
      <c r="G11861" s="422">
        <v>719.50404146906362</v>
      </c>
      <c r="H11861" s="417" t="s">
        <v>2616</v>
      </c>
      <c r="I11861" s="417" t="s">
        <v>1392</v>
      </c>
      <c r="J11861" s="417" t="s">
        <v>25793</v>
      </c>
      <c r="K11861" s="417" t="s">
        <v>26270</v>
      </c>
      <c r="L11861" s="417"/>
      <c r="M11861" s="417" t="s">
        <v>28840</v>
      </c>
    </row>
    <row r="11862" spans="1:13" x14ac:dyDescent="0.25">
      <c r="A11862" s="417" t="s">
        <v>3385</v>
      </c>
      <c r="B11862" s="417" t="s">
        <v>3405</v>
      </c>
      <c r="C11862" s="417" t="s">
        <v>26271</v>
      </c>
      <c r="D11862" s="417" t="s">
        <v>224</v>
      </c>
      <c r="E11862" s="423">
        <v>0.5523396639171434</v>
      </c>
      <c r="F11862" s="423">
        <v>1.408368158725159E-3</v>
      </c>
      <c r="G11862" s="422">
        <v>1060.196299569714</v>
      </c>
      <c r="H11862" s="417" t="s">
        <v>2616</v>
      </c>
      <c r="I11862" s="417" t="s">
        <v>1392</v>
      </c>
      <c r="J11862" s="417" t="s">
        <v>25793</v>
      </c>
      <c r="K11862" s="417" t="s">
        <v>26272</v>
      </c>
      <c r="L11862" s="417"/>
      <c r="M11862" s="417" t="s">
        <v>28840</v>
      </c>
    </row>
    <row r="11863" spans="1:13" x14ac:dyDescent="0.25">
      <c r="A11863" s="417" t="s">
        <v>3385</v>
      </c>
      <c r="B11863" s="417" t="s">
        <v>3405</v>
      </c>
      <c r="C11863" s="417" t="s">
        <v>26273</v>
      </c>
      <c r="D11863" s="417" t="s">
        <v>224</v>
      </c>
      <c r="E11863" s="423">
        <v>0.22265940159546591</v>
      </c>
      <c r="F11863" s="423">
        <v>5.0137376823625041E-2</v>
      </c>
      <c r="G11863" s="422">
        <v>680.8612546455762</v>
      </c>
      <c r="H11863" s="417" t="s">
        <v>2616</v>
      </c>
      <c r="I11863" s="417" t="s">
        <v>1392</v>
      </c>
      <c r="J11863" s="417" t="s">
        <v>25793</v>
      </c>
      <c r="K11863" s="417" t="s">
        <v>26274</v>
      </c>
      <c r="L11863" s="417"/>
      <c r="M11863" s="417" t="s">
        <v>28840</v>
      </c>
    </row>
    <row r="11864" spans="1:13" x14ac:dyDescent="0.25">
      <c r="A11864" s="417" t="s">
        <v>3385</v>
      </c>
      <c r="B11864" s="417" t="s">
        <v>3405</v>
      </c>
      <c r="C11864" s="417" t="s">
        <v>26275</v>
      </c>
      <c r="D11864" s="417" t="s">
        <v>224</v>
      </c>
      <c r="E11864" s="423">
        <v>1.051114735268144</v>
      </c>
      <c r="F11864" s="423">
        <v>4.1703455622747127E-3</v>
      </c>
      <c r="G11864" s="422">
        <v>1429.989348387355</v>
      </c>
      <c r="H11864" s="417" t="s">
        <v>2616</v>
      </c>
      <c r="I11864" s="417" t="s">
        <v>1392</v>
      </c>
      <c r="J11864" s="417" t="s">
        <v>25793</v>
      </c>
      <c r="K11864" s="417" t="s">
        <v>26276</v>
      </c>
      <c r="L11864" s="417"/>
      <c r="M11864" s="417" t="s">
        <v>28840</v>
      </c>
    </row>
    <row r="11865" spans="1:13" x14ac:dyDescent="0.25">
      <c r="A11865" s="417" t="s">
        <v>3385</v>
      </c>
      <c r="B11865" s="417" t="s">
        <v>3405</v>
      </c>
      <c r="C11865" s="417" t="s">
        <v>26277</v>
      </c>
      <c r="D11865" s="417" t="s">
        <v>224</v>
      </c>
      <c r="E11865" s="423">
        <v>0.16762125641746481</v>
      </c>
      <c r="F11865" s="423">
        <v>1.6651376713536149E-2</v>
      </c>
      <c r="G11865" s="422">
        <v>275.20241141670442</v>
      </c>
      <c r="H11865" s="417" t="s">
        <v>2616</v>
      </c>
      <c r="I11865" s="417" t="s">
        <v>1392</v>
      </c>
      <c r="J11865" s="417" t="s">
        <v>25793</v>
      </c>
      <c r="K11865" s="417" t="s">
        <v>26278</v>
      </c>
      <c r="L11865" s="417"/>
      <c r="M11865" s="417" t="s">
        <v>28840</v>
      </c>
    </row>
    <row r="11866" spans="1:13" x14ac:dyDescent="0.25">
      <c r="A11866" s="417" t="s">
        <v>3385</v>
      </c>
      <c r="B11866" s="417" t="s">
        <v>3405</v>
      </c>
      <c r="C11866" s="417" t="s">
        <v>26279</v>
      </c>
      <c r="D11866" s="417" t="s">
        <v>224</v>
      </c>
      <c r="E11866" s="423">
        <v>0.185866345835629</v>
      </c>
      <c r="F11866" s="423">
        <v>5.8086987099631608E-2</v>
      </c>
      <c r="G11866" s="422">
        <v>597.70234748420808</v>
      </c>
      <c r="H11866" s="417" t="s">
        <v>2616</v>
      </c>
      <c r="I11866" s="417" t="s">
        <v>1392</v>
      </c>
      <c r="J11866" s="417" t="s">
        <v>25793</v>
      </c>
      <c r="K11866" s="417" t="s">
        <v>26280</v>
      </c>
      <c r="L11866" s="417"/>
      <c r="M11866" s="417" t="s">
        <v>28840</v>
      </c>
    </row>
    <row r="11867" spans="1:13" x14ac:dyDescent="0.25">
      <c r="A11867" s="417" t="s">
        <v>3385</v>
      </c>
      <c r="B11867" s="417" t="s">
        <v>3405</v>
      </c>
      <c r="C11867" s="417" t="s">
        <v>26281</v>
      </c>
      <c r="D11867" s="417" t="s">
        <v>224</v>
      </c>
      <c r="E11867" s="423">
        <v>0.64151262403064346</v>
      </c>
      <c r="F11867" s="423">
        <v>7.7285962132253617E-3</v>
      </c>
      <c r="G11867" s="422">
        <v>1161.350985904767</v>
      </c>
      <c r="H11867" s="417" t="s">
        <v>2616</v>
      </c>
      <c r="I11867" s="417" t="s">
        <v>1392</v>
      </c>
      <c r="J11867" s="417" t="s">
        <v>25793</v>
      </c>
      <c r="K11867" s="417" t="s">
        <v>26282</v>
      </c>
      <c r="L11867" s="417"/>
      <c r="M11867" s="417" t="s">
        <v>28840</v>
      </c>
    </row>
    <row r="11868" spans="1:13" x14ac:dyDescent="0.25">
      <c r="A11868" s="417" t="s">
        <v>3385</v>
      </c>
      <c r="B11868" s="417" t="s">
        <v>3405</v>
      </c>
      <c r="C11868" s="417" t="s">
        <v>26283</v>
      </c>
      <c r="D11868" s="417" t="s">
        <v>224</v>
      </c>
      <c r="E11868" s="423">
        <v>6.8219383346481768E-2</v>
      </c>
      <c r="F11868" s="423">
        <v>5.2533336266041616E-3</v>
      </c>
      <c r="G11868" s="422">
        <v>354.03392746759738</v>
      </c>
      <c r="H11868" s="417" t="s">
        <v>2616</v>
      </c>
      <c r="I11868" s="417" t="s">
        <v>1392</v>
      </c>
      <c r="J11868" s="417" t="s">
        <v>25793</v>
      </c>
      <c r="K11868" s="417" t="s">
        <v>26284</v>
      </c>
      <c r="L11868" s="417"/>
      <c r="M11868" s="417" t="s">
        <v>28840</v>
      </c>
    </row>
    <row r="11869" spans="1:13" x14ac:dyDescent="0.25">
      <c r="A11869" s="417" t="s">
        <v>3385</v>
      </c>
      <c r="B11869" s="417" t="s">
        <v>3405</v>
      </c>
      <c r="C11869" s="417" t="s">
        <v>26285</v>
      </c>
      <c r="D11869" s="417" t="s">
        <v>224</v>
      </c>
      <c r="E11869" s="423">
        <v>0.97637786342506605</v>
      </c>
      <c r="F11869" s="423">
        <v>1.000944270448516E-2</v>
      </c>
      <c r="G11869" s="422">
        <v>1418.8123727350289</v>
      </c>
      <c r="H11869" s="417" t="s">
        <v>2616</v>
      </c>
      <c r="I11869" s="417" t="s">
        <v>1392</v>
      </c>
      <c r="J11869" s="417" t="s">
        <v>25793</v>
      </c>
      <c r="K11869" s="417" t="s">
        <v>26286</v>
      </c>
      <c r="L11869" s="417"/>
      <c r="M11869" s="417" t="s">
        <v>28840</v>
      </c>
    </row>
    <row r="11870" spans="1:13" x14ac:dyDescent="0.25">
      <c r="A11870" s="417" t="s">
        <v>3385</v>
      </c>
      <c r="B11870" s="417" t="s">
        <v>3405</v>
      </c>
      <c r="C11870" s="417" t="s">
        <v>26287</v>
      </c>
      <c r="D11870" s="417" t="s">
        <v>224</v>
      </c>
      <c r="E11870" s="423">
        <v>0.73840327875562062</v>
      </c>
      <c r="F11870" s="423">
        <v>3.2774017562197229E-2</v>
      </c>
      <c r="G11870" s="422">
        <v>1260.5579218192361</v>
      </c>
      <c r="H11870" s="417" t="s">
        <v>2616</v>
      </c>
      <c r="I11870" s="417" t="s">
        <v>1392</v>
      </c>
      <c r="J11870" s="417" t="s">
        <v>25793</v>
      </c>
      <c r="K11870" s="417" t="s">
        <v>26288</v>
      </c>
      <c r="L11870" s="417"/>
      <c r="M11870" s="417" t="s">
        <v>28840</v>
      </c>
    </row>
    <row r="11871" spans="1:13" x14ac:dyDescent="0.25">
      <c r="A11871" s="417" t="s">
        <v>3385</v>
      </c>
      <c r="B11871" s="417" t="s">
        <v>3405</v>
      </c>
      <c r="C11871" s="417" t="s">
        <v>26289</v>
      </c>
      <c r="D11871" s="417" t="s">
        <v>224</v>
      </c>
      <c r="E11871" s="423">
        <v>0.4078692676302077</v>
      </c>
      <c r="F11871" s="423">
        <v>6.7233928317753183E-2</v>
      </c>
      <c r="G11871" s="422">
        <v>644.42004357086512</v>
      </c>
      <c r="H11871" s="417" t="s">
        <v>2616</v>
      </c>
      <c r="I11871" s="417" t="s">
        <v>1392</v>
      </c>
      <c r="J11871" s="417" t="s">
        <v>25793</v>
      </c>
      <c r="K11871" s="417" t="s">
        <v>26290</v>
      </c>
      <c r="L11871" s="417"/>
      <c r="M11871" s="417" t="s">
        <v>28840</v>
      </c>
    </row>
    <row r="11872" spans="1:13" x14ac:dyDescent="0.25">
      <c r="A11872" s="417" t="s">
        <v>3385</v>
      </c>
      <c r="B11872" s="417" t="s">
        <v>3405</v>
      </c>
      <c r="C11872" s="417" t="s">
        <v>26291</v>
      </c>
      <c r="D11872" s="417" t="s">
        <v>224</v>
      </c>
      <c r="E11872" s="423">
        <v>0.59681905822138615</v>
      </c>
      <c r="F11872" s="423">
        <v>8.6544269089769092E-3</v>
      </c>
      <c r="G11872" s="422">
        <v>932.67303454276328</v>
      </c>
      <c r="H11872" s="417" t="s">
        <v>2616</v>
      </c>
      <c r="I11872" s="417" t="s">
        <v>1392</v>
      </c>
      <c r="J11872" s="417" t="s">
        <v>25793</v>
      </c>
      <c r="K11872" s="417" t="s">
        <v>26292</v>
      </c>
      <c r="L11872" s="417"/>
      <c r="M11872" s="417" t="s">
        <v>28840</v>
      </c>
    </row>
    <row r="11873" spans="1:13" x14ac:dyDescent="0.25">
      <c r="A11873" s="417" t="s">
        <v>3385</v>
      </c>
      <c r="B11873" s="417" t="s">
        <v>3405</v>
      </c>
      <c r="C11873" s="417" t="s">
        <v>26293</v>
      </c>
      <c r="D11873" s="417" t="s">
        <v>224</v>
      </c>
      <c r="E11873" s="423">
        <v>0.54527703535014316</v>
      </c>
      <c r="F11873" s="423">
        <v>7.3964946205715101E-2</v>
      </c>
      <c r="G11873" s="422">
        <v>741.1952133130635</v>
      </c>
      <c r="H11873" s="417" t="s">
        <v>2616</v>
      </c>
      <c r="I11873" s="417" t="s">
        <v>1392</v>
      </c>
      <c r="J11873" s="417" t="s">
        <v>25793</v>
      </c>
      <c r="K11873" s="417" t="s">
        <v>26294</v>
      </c>
      <c r="L11873" s="417"/>
      <c r="M11873" s="417" t="s">
        <v>28840</v>
      </c>
    </row>
    <row r="11874" spans="1:13" x14ac:dyDescent="0.25">
      <c r="A11874" s="417" t="s">
        <v>3385</v>
      </c>
      <c r="B11874" s="417" t="s">
        <v>3405</v>
      </c>
      <c r="C11874" s="417" t="s">
        <v>26295</v>
      </c>
      <c r="D11874" s="417" t="s">
        <v>224</v>
      </c>
      <c r="E11874" s="423">
        <v>0.42150221223151862</v>
      </c>
      <c r="F11874" s="423">
        <v>3.8927805883689458E-2</v>
      </c>
      <c r="G11874" s="422">
        <v>769.92625877067223</v>
      </c>
      <c r="H11874" s="417" t="s">
        <v>2616</v>
      </c>
      <c r="I11874" s="417" t="s">
        <v>1392</v>
      </c>
      <c r="J11874" s="417" t="s">
        <v>25793</v>
      </c>
      <c r="K11874" s="417" t="s">
        <v>26296</v>
      </c>
      <c r="L11874" s="417"/>
      <c r="M11874" s="417" t="s">
        <v>28840</v>
      </c>
    </row>
    <row r="11875" spans="1:13" x14ac:dyDescent="0.25">
      <c r="A11875" s="417" t="s">
        <v>3385</v>
      </c>
      <c r="B11875" s="417" t="s">
        <v>3405</v>
      </c>
      <c r="C11875" s="417" t="s">
        <v>26297</v>
      </c>
      <c r="D11875" s="417" t="s">
        <v>224</v>
      </c>
      <c r="E11875" s="423">
        <v>0.31402734210076999</v>
      </c>
      <c r="F11875" s="423">
        <v>9.3841618876336325E-2</v>
      </c>
      <c r="G11875" s="422">
        <v>706.02952126574462</v>
      </c>
      <c r="H11875" s="417" t="s">
        <v>2616</v>
      </c>
      <c r="I11875" s="417" t="s">
        <v>1392</v>
      </c>
      <c r="J11875" s="417" t="s">
        <v>25793</v>
      </c>
      <c r="K11875" s="417" t="s">
        <v>26298</v>
      </c>
      <c r="L11875" s="417"/>
      <c r="M11875" s="417" t="s">
        <v>28840</v>
      </c>
    </row>
    <row r="11876" spans="1:13" x14ac:dyDescent="0.25">
      <c r="A11876" s="417" t="s">
        <v>3385</v>
      </c>
      <c r="B11876" s="417" t="s">
        <v>3405</v>
      </c>
      <c r="C11876" s="417" t="s">
        <v>26299</v>
      </c>
      <c r="D11876" s="417" t="s">
        <v>224</v>
      </c>
      <c r="E11876" s="423">
        <v>7.6200686689553404E-2</v>
      </c>
      <c r="F11876" s="423">
        <v>1.3827262961293741E-2</v>
      </c>
      <c r="G11876" s="422">
        <v>715.36874381779751</v>
      </c>
      <c r="H11876" s="417" t="s">
        <v>2616</v>
      </c>
      <c r="I11876" s="417" t="s">
        <v>1392</v>
      </c>
      <c r="J11876" s="417" t="s">
        <v>25793</v>
      </c>
      <c r="K11876" s="417" t="s">
        <v>26300</v>
      </c>
      <c r="L11876" s="417"/>
      <c r="M11876" s="417" t="s">
        <v>28840</v>
      </c>
    </row>
    <row r="11877" spans="1:13" x14ac:dyDescent="0.25">
      <c r="A11877" s="417" t="s">
        <v>3385</v>
      </c>
      <c r="B11877" s="417" t="s">
        <v>3405</v>
      </c>
      <c r="C11877" s="417" t="s">
        <v>26301</v>
      </c>
      <c r="D11877" s="417" t="s">
        <v>224</v>
      </c>
      <c r="E11877" s="423">
        <v>0.36303615802084788</v>
      </c>
      <c r="F11877" s="423">
        <v>5.5087887362120787E-2</v>
      </c>
      <c r="G11877" s="422">
        <v>693.13686475256145</v>
      </c>
      <c r="H11877" s="417" t="s">
        <v>2616</v>
      </c>
      <c r="I11877" s="417" t="s">
        <v>1392</v>
      </c>
      <c r="J11877" s="417" t="s">
        <v>25793</v>
      </c>
      <c r="K11877" s="417" t="s">
        <v>26302</v>
      </c>
      <c r="L11877" s="417"/>
      <c r="M11877" s="417" t="s">
        <v>28840</v>
      </c>
    </row>
    <row r="11878" spans="1:13" x14ac:dyDescent="0.25">
      <c r="A11878" s="417" t="s">
        <v>3385</v>
      </c>
      <c r="B11878" s="417" t="s">
        <v>3405</v>
      </c>
      <c r="C11878" s="417" t="s">
        <v>26303</v>
      </c>
      <c r="D11878" s="417" t="s">
        <v>224</v>
      </c>
      <c r="E11878" s="423">
        <v>0.62869924466061045</v>
      </c>
      <c r="F11878" s="423">
        <v>6.554347119303066E-3</v>
      </c>
      <c r="G11878" s="422">
        <v>852.68227230869309</v>
      </c>
      <c r="H11878" s="417" t="s">
        <v>2616</v>
      </c>
      <c r="I11878" s="417" t="s">
        <v>1392</v>
      </c>
      <c r="J11878" s="417" t="s">
        <v>25793</v>
      </c>
      <c r="K11878" s="417" t="s">
        <v>26304</v>
      </c>
      <c r="L11878" s="417"/>
      <c r="M11878" s="417" t="s">
        <v>28840</v>
      </c>
    </row>
    <row r="11879" spans="1:13" x14ac:dyDescent="0.25">
      <c r="A11879" s="417" t="s">
        <v>3385</v>
      </c>
      <c r="B11879" s="417" t="s">
        <v>3405</v>
      </c>
      <c r="C11879" s="417" t="s">
        <v>26305</v>
      </c>
      <c r="D11879" s="417" t="s">
        <v>224</v>
      </c>
      <c r="E11879" s="423">
        <v>0.52521038468936143</v>
      </c>
      <c r="F11879" s="423">
        <v>3.079099764908224E-2</v>
      </c>
      <c r="G11879" s="422">
        <v>725.67365554297646</v>
      </c>
      <c r="H11879" s="417" t="s">
        <v>2616</v>
      </c>
      <c r="I11879" s="417" t="s">
        <v>1392</v>
      </c>
      <c r="J11879" s="417" t="s">
        <v>25793</v>
      </c>
      <c r="K11879" s="417" t="s">
        <v>26306</v>
      </c>
      <c r="L11879" s="417"/>
      <c r="M11879" s="417" t="s">
        <v>28840</v>
      </c>
    </row>
    <row r="11880" spans="1:13" x14ac:dyDescent="0.25">
      <c r="A11880" s="417" t="s">
        <v>3385</v>
      </c>
      <c r="B11880" s="417" t="s">
        <v>3405</v>
      </c>
      <c r="C11880" s="417" t="s">
        <v>26307</v>
      </c>
      <c r="D11880" s="417" t="s">
        <v>224</v>
      </c>
      <c r="E11880" s="423">
        <v>0.42749779848595221</v>
      </c>
      <c r="F11880" s="423">
        <v>4.7105829870266507E-2</v>
      </c>
      <c r="G11880" s="422">
        <v>961.5961774586757</v>
      </c>
      <c r="H11880" s="417" t="s">
        <v>2616</v>
      </c>
      <c r="I11880" s="417" t="s">
        <v>1392</v>
      </c>
      <c r="J11880" s="417" t="s">
        <v>25793</v>
      </c>
      <c r="K11880" s="417" t="s">
        <v>26308</v>
      </c>
      <c r="L11880" s="417"/>
      <c r="M11880" s="417" t="s">
        <v>28840</v>
      </c>
    </row>
    <row r="11881" spans="1:13" x14ac:dyDescent="0.25">
      <c r="A11881" s="417" t="s">
        <v>3385</v>
      </c>
      <c r="B11881" s="417" t="s">
        <v>3405</v>
      </c>
      <c r="C11881" s="417" t="s">
        <v>26309</v>
      </c>
      <c r="D11881" s="417" t="s">
        <v>224</v>
      </c>
      <c r="E11881" s="423">
        <v>0.30160544575510512</v>
      </c>
      <c r="F11881" s="423">
        <v>4.2425766144508797E-2</v>
      </c>
      <c r="G11881" s="422">
        <v>441.58477155801341</v>
      </c>
      <c r="H11881" s="417" t="s">
        <v>2616</v>
      </c>
      <c r="I11881" s="417" t="s">
        <v>1392</v>
      </c>
      <c r="J11881" s="417" t="s">
        <v>25793</v>
      </c>
      <c r="K11881" s="417" t="s">
        <v>26310</v>
      </c>
      <c r="L11881" s="417"/>
      <c r="M11881" s="417" t="s">
        <v>28840</v>
      </c>
    </row>
    <row r="11882" spans="1:13" x14ac:dyDescent="0.25">
      <c r="A11882" s="417" t="s">
        <v>3385</v>
      </c>
      <c r="B11882" s="417" t="s">
        <v>3405</v>
      </c>
      <c r="C11882" s="417" t="s">
        <v>26311</v>
      </c>
      <c r="D11882" s="417" t="s">
        <v>224</v>
      </c>
      <c r="E11882" s="423">
        <v>0.45687375222064441</v>
      </c>
      <c r="F11882" s="423">
        <v>3.3571227795314591E-3</v>
      </c>
      <c r="G11882" s="422">
        <v>826.79992614361936</v>
      </c>
      <c r="H11882" s="417" t="s">
        <v>2616</v>
      </c>
      <c r="I11882" s="417" t="s">
        <v>1392</v>
      </c>
      <c r="J11882" s="417" t="s">
        <v>25793</v>
      </c>
      <c r="K11882" s="417" t="s">
        <v>26312</v>
      </c>
      <c r="L11882" s="417"/>
      <c r="M11882" s="417" t="s">
        <v>28840</v>
      </c>
    </row>
    <row r="11883" spans="1:13" x14ac:dyDescent="0.25">
      <c r="A11883" s="417" t="s">
        <v>3385</v>
      </c>
      <c r="B11883" s="417" t="s">
        <v>3405</v>
      </c>
      <c r="C11883" s="417" t="s">
        <v>26313</v>
      </c>
      <c r="D11883" s="417" t="s">
        <v>224</v>
      </c>
      <c r="E11883" s="423">
        <v>0.52273399711522561</v>
      </c>
      <c r="F11883" s="423">
        <v>1.971419014617597E-2</v>
      </c>
      <c r="G11883" s="422">
        <v>776.37652358127264</v>
      </c>
      <c r="H11883" s="417" t="s">
        <v>2616</v>
      </c>
      <c r="I11883" s="417" t="s">
        <v>1392</v>
      </c>
      <c r="J11883" s="417" t="s">
        <v>25793</v>
      </c>
      <c r="K11883" s="417" t="s">
        <v>26314</v>
      </c>
      <c r="L11883" s="417"/>
      <c r="M11883" s="417" t="s">
        <v>28840</v>
      </c>
    </row>
    <row r="11884" spans="1:13" x14ac:dyDescent="0.25">
      <c r="A11884" s="417" t="s">
        <v>3385</v>
      </c>
      <c r="B11884" s="417" t="s">
        <v>3405</v>
      </c>
      <c r="C11884" s="417" t="s">
        <v>26315</v>
      </c>
      <c r="D11884" s="417" t="s">
        <v>224</v>
      </c>
      <c r="E11884" s="423">
        <v>0.23724313195911501</v>
      </c>
      <c r="F11884" s="423">
        <v>0.26533852364452049</v>
      </c>
      <c r="G11884" s="422">
        <v>439.12774044247288</v>
      </c>
      <c r="H11884" s="417" t="s">
        <v>2616</v>
      </c>
      <c r="I11884" s="417" t="s">
        <v>1392</v>
      </c>
      <c r="J11884" s="417" t="s">
        <v>25793</v>
      </c>
      <c r="K11884" s="417" t="s">
        <v>26316</v>
      </c>
      <c r="L11884" s="417"/>
      <c r="M11884" s="417" t="s">
        <v>28840</v>
      </c>
    </row>
    <row r="11885" spans="1:13" x14ac:dyDescent="0.25">
      <c r="A11885" s="417" t="s">
        <v>3385</v>
      </c>
      <c r="B11885" s="417" t="s">
        <v>3405</v>
      </c>
      <c r="C11885" s="417" t="s">
        <v>26317</v>
      </c>
      <c r="D11885" s="417" t="s">
        <v>224</v>
      </c>
      <c r="E11885" s="423">
        <v>0.37630965331180538</v>
      </c>
      <c r="F11885" s="423">
        <v>3.4434660159278457E-2</v>
      </c>
      <c r="G11885" s="422">
        <v>628.54747727599567</v>
      </c>
      <c r="H11885" s="417" t="s">
        <v>2616</v>
      </c>
      <c r="I11885" s="417" t="s">
        <v>1392</v>
      </c>
      <c r="J11885" s="417" t="s">
        <v>25793</v>
      </c>
      <c r="K11885" s="417" t="s">
        <v>26318</v>
      </c>
      <c r="L11885" s="417"/>
      <c r="M11885" s="417" t="s">
        <v>28840</v>
      </c>
    </row>
    <row r="11886" spans="1:13" x14ac:dyDescent="0.25">
      <c r="A11886" s="417" t="s">
        <v>3385</v>
      </c>
      <c r="B11886" s="417" t="s">
        <v>3405</v>
      </c>
      <c r="C11886" s="417" t="s">
        <v>26319</v>
      </c>
      <c r="D11886" s="417" t="s">
        <v>224</v>
      </c>
      <c r="E11886" s="423">
        <v>0.32923084841178751</v>
      </c>
      <c r="F11886" s="423">
        <v>0.1037525376860413</v>
      </c>
      <c r="G11886" s="422">
        <v>507.29643577773749</v>
      </c>
      <c r="H11886" s="417" t="s">
        <v>2616</v>
      </c>
      <c r="I11886" s="417" t="s">
        <v>1392</v>
      </c>
      <c r="J11886" s="417" t="s">
        <v>25793</v>
      </c>
      <c r="K11886" s="417" t="s">
        <v>26320</v>
      </c>
      <c r="L11886" s="417"/>
      <c r="M11886" s="417" t="s">
        <v>28840</v>
      </c>
    </row>
    <row r="11887" spans="1:13" x14ac:dyDescent="0.25">
      <c r="A11887" s="417" t="s">
        <v>3385</v>
      </c>
      <c r="B11887" s="417" t="s">
        <v>3405</v>
      </c>
      <c r="C11887" s="417" t="s">
        <v>26321</v>
      </c>
      <c r="D11887" s="417" t="s">
        <v>224</v>
      </c>
      <c r="E11887" s="423">
        <v>0.84349167578086726</v>
      </c>
      <c r="F11887" s="423">
        <v>3.9178991783085527E-3</v>
      </c>
      <c r="G11887" s="422">
        <v>1302.678046329966</v>
      </c>
      <c r="H11887" s="417" t="s">
        <v>2616</v>
      </c>
      <c r="I11887" s="417" t="s">
        <v>1392</v>
      </c>
      <c r="J11887" s="417" t="s">
        <v>25793</v>
      </c>
      <c r="K11887" s="417" t="s">
        <v>26322</v>
      </c>
      <c r="L11887" s="417"/>
      <c r="M11887" s="417" t="s">
        <v>28840</v>
      </c>
    </row>
    <row r="11888" spans="1:13" x14ac:dyDescent="0.25">
      <c r="A11888" s="417" t="s">
        <v>3385</v>
      </c>
      <c r="B11888" s="417" t="s">
        <v>3405</v>
      </c>
      <c r="C11888" s="417" t="s">
        <v>26323</v>
      </c>
      <c r="D11888" s="417" t="s">
        <v>224</v>
      </c>
      <c r="E11888" s="423">
        <v>0.33851659870513578</v>
      </c>
      <c r="F11888" s="423">
        <v>4.3561766678792711E-2</v>
      </c>
      <c r="G11888" s="422">
        <v>494.69210500985628</v>
      </c>
      <c r="H11888" s="417" t="s">
        <v>2616</v>
      </c>
      <c r="I11888" s="417" t="s">
        <v>1392</v>
      </c>
      <c r="J11888" s="417" t="s">
        <v>25793</v>
      </c>
      <c r="K11888" s="417" t="s">
        <v>26324</v>
      </c>
      <c r="L11888" s="417"/>
      <c r="M11888" s="417" t="s">
        <v>28840</v>
      </c>
    </row>
    <row r="11889" spans="1:13" x14ac:dyDescent="0.25">
      <c r="A11889" s="417" t="s">
        <v>3385</v>
      </c>
      <c r="B11889" s="417" t="s">
        <v>3405</v>
      </c>
      <c r="C11889" s="417" t="s">
        <v>26325</v>
      </c>
      <c r="D11889" s="417" t="s">
        <v>224</v>
      </c>
      <c r="E11889" s="423">
        <v>0.49392728714443551</v>
      </c>
      <c r="F11889" s="423">
        <v>5.9433431628888806E-3</v>
      </c>
      <c r="G11889" s="422">
        <v>886.78309651453912</v>
      </c>
      <c r="H11889" s="417" t="s">
        <v>2616</v>
      </c>
      <c r="I11889" s="417" t="s">
        <v>1392</v>
      </c>
      <c r="J11889" s="417" t="s">
        <v>25793</v>
      </c>
      <c r="K11889" s="417" t="s">
        <v>26326</v>
      </c>
      <c r="L11889" s="417"/>
      <c r="M11889" s="417" t="s">
        <v>28840</v>
      </c>
    </row>
    <row r="11890" spans="1:13" x14ac:dyDescent="0.25">
      <c r="A11890" s="417" t="s">
        <v>3385</v>
      </c>
      <c r="B11890" s="417" t="s">
        <v>3405</v>
      </c>
      <c r="C11890" s="417" t="s">
        <v>26327</v>
      </c>
      <c r="D11890" s="417" t="s">
        <v>224</v>
      </c>
      <c r="E11890" s="423">
        <v>1.0806580635639329</v>
      </c>
      <c r="F11890" s="423">
        <v>2.3580441484330899E-2</v>
      </c>
      <c r="G11890" s="422">
        <v>1405.455418159208</v>
      </c>
      <c r="H11890" s="417" t="s">
        <v>2616</v>
      </c>
      <c r="I11890" s="417" t="s">
        <v>1392</v>
      </c>
      <c r="J11890" s="417" t="s">
        <v>25793</v>
      </c>
      <c r="K11890" s="417" t="s">
        <v>26328</v>
      </c>
      <c r="L11890" s="417"/>
      <c r="M11890" s="417" t="s">
        <v>28840</v>
      </c>
    </row>
    <row r="11891" spans="1:13" x14ac:dyDescent="0.25">
      <c r="A11891" s="417" t="s">
        <v>3385</v>
      </c>
      <c r="B11891" s="417" t="s">
        <v>3405</v>
      </c>
      <c r="C11891" s="417" t="s">
        <v>26329</v>
      </c>
      <c r="D11891" s="417" t="s">
        <v>224</v>
      </c>
      <c r="E11891" s="423">
        <v>0.43105651122576188</v>
      </c>
      <c r="F11891" s="423">
        <v>4.7486955130825112E-2</v>
      </c>
      <c r="G11891" s="422">
        <v>596.06562253062816</v>
      </c>
      <c r="H11891" s="417" t="s">
        <v>2616</v>
      </c>
      <c r="I11891" s="417" t="s">
        <v>1392</v>
      </c>
      <c r="J11891" s="417" t="s">
        <v>25793</v>
      </c>
      <c r="K11891" s="417" t="s">
        <v>26330</v>
      </c>
      <c r="L11891" s="417"/>
      <c r="M11891" s="417" t="s">
        <v>28840</v>
      </c>
    </row>
    <row r="11892" spans="1:13" x14ac:dyDescent="0.25">
      <c r="A11892" s="417" t="s">
        <v>3385</v>
      </c>
      <c r="B11892" s="417" t="s">
        <v>3405</v>
      </c>
      <c r="C11892" s="417" t="s">
        <v>26331</v>
      </c>
      <c r="D11892" s="417" t="s">
        <v>224</v>
      </c>
      <c r="E11892" s="423">
        <v>0.50871792587695586</v>
      </c>
      <c r="F11892" s="423">
        <v>6.0072109859813658E-3</v>
      </c>
      <c r="G11892" s="422">
        <v>837.56473071233768</v>
      </c>
      <c r="H11892" s="417" t="s">
        <v>2616</v>
      </c>
      <c r="I11892" s="417" t="s">
        <v>1392</v>
      </c>
      <c r="J11892" s="417" t="s">
        <v>25793</v>
      </c>
      <c r="K11892" s="417" t="s">
        <v>26332</v>
      </c>
      <c r="L11892" s="417"/>
      <c r="M11892" s="417" t="s">
        <v>28840</v>
      </c>
    </row>
    <row r="11893" spans="1:13" x14ac:dyDescent="0.25">
      <c r="A11893" s="417" t="s">
        <v>3385</v>
      </c>
      <c r="B11893" s="417" t="s">
        <v>3405</v>
      </c>
      <c r="C11893" s="417" t="s">
        <v>26333</v>
      </c>
      <c r="D11893" s="417" t="s">
        <v>224</v>
      </c>
      <c r="E11893" s="423">
        <v>3.7829453390762248E-2</v>
      </c>
      <c r="F11893" s="423">
        <v>6.1931150941000532E-2</v>
      </c>
      <c r="G11893" s="422">
        <v>371.75004132959089</v>
      </c>
      <c r="H11893" s="417" t="s">
        <v>2616</v>
      </c>
      <c r="I11893" s="417" t="s">
        <v>1392</v>
      </c>
      <c r="J11893" s="417" t="s">
        <v>25793</v>
      </c>
      <c r="K11893" s="417" t="s">
        <v>26334</v>
      </c>
      <c r="L11893" s="417"/>
      <c r="M11893" s="417" t="s">
        <v>28840</v>
      </c>
    </row>
    <row r="11894" spans="1:13" x14ac:dyDescent="0.25">
      <c r="A11894" s="417" t="s">
        <v>3385</v>
      </c>
      <c r="B11894" s="417" t="s">
        <v>3405</v>
      </c>
      <c r="C11894" s="417" t="s">
        <v>26335</v>
      </c>
      <c r="D11894" s="417" t="s">
        <v>224</v>
      </c>
      <c r="E11894" s="423">
        <v>0.51244356563794768</v>
      </c>
      <c r="F11894" s="423">
        <v>2.180277052504552E-2</v>
      </c>
      <c r="G11894" s="422">
        <v>1027.154233572197</v>
      </c>
      <c r="H11894" s="417" t="s">
        <v>2616</v>
      </c>
      <c r="I11894" s="417" t="s">
        <v>1392</v>
      </c>
      <c r="J11894" s="417" t="s">
        <v>25793</v>
      </c>
      <c r="K11894" s="417" t="s">
        <v>26336</v>
      </c>
      <c r="L11894" s="417"/>
      <c r="M11894" s="417" t="s">
        <v>28840</v>
      </c>
    </row>
    <row r="11895" spans="1:13" x14ac:dyDescent="0.25">
      <c r="A11895" s="417" t="s">
        <v>3385</v>
      </c>
      <c r="B11895" s="417" t="s">
        <v>3405</v>
      </c>
      <c r="C11895" s="417" t="s">
        <v>26337</v>
      </c>
      <c r="D11895" s="417" t="s">
        <v>224</v>
      </c>
      <c r="E11895" s="423">
        <v>0.22765795545736439</v>
      </c>
      <c r="F11895" s="423">
        <v>8.0190748596393913E-2</v>
      </c>
      <c r="G11895" s="422">
        <v>725.81151222027574</v>
      </c>
      <c r="H11895" s="417" t="s">
        <v>2616</v>
      </c>
      <c r="I11895" s="417" t="s">
        <v>1392</v>
      </c>
      <c r="J11895" s="417" t="s">
        <v>25793</v>
      </c>
      <c r="K11895" s="417" t="s">
        <v>26338</v>
      </c>
      <c r="L11895" s="417"/>
      <c r="M11895" s="417" t="s">
        <v>28840</v>
      </c>
    </row>
    <row r="11896" spans="1:13" x14ac:dyDescent="0.25">
      <c r="A11896" s="417" t="s">
        <v>3385</v>
      </c>
      <c r="B11896" s="417" t="s">
        <v>3405</v>
      </c>
      <c r="C11896" s="417" t="s">
        <v>26339</v>
      </c>
      <c r="D11896" s="417" t="s">
        <v>224</v>
      </c>
      <c r="E11896" s="423">
        <v>0.88810440928082224</v>
      </c>
      <c r="F11896" s="423">
        <v>2.2311694926221821E-2</v>
      </c>
      <c r="G11896" s="422">
        <v>1312.4722309861741</v>
      </c>
      <c r="H11896" s="417" t="s">
        <v>2616</v>
      </c>
      <c r="I11896" s="417" t="s">
        <v>1392</v>
      </c>
      <c r="J11896" s="417" t="s">
        <v>25793</v>
      </c>
      <c r="K11896" s="417" t="s">
        <v>26340</v>
      </c>
      <c r="L11896" s="417"/>
      <c r="M11896" s="417" t="s">
        <v>28840</v>
      </c>
    </row>
    <row r="11897" spans="1:13" x14ac:dyDescent="0.25">
      <c r="A11897" s="417" t="s">
        <v>3385</v>
      </c>
      <c r="B11897" s="417" t="s">
        <v>3405</v>
      </c>
      <c r="C11897" s="417" t="s">
        <v>26341</v>
      </c>
      <c r="D11897" s="417" t="s">
        <v>224</v>
      </c>
      <c r="E11897" s="423">
        <v>1.1404782565310749</v>
      </c>
      <c r="F11897" s="423">
        <v>1.428056401159557E-3</v>
      </c>
      <c r="G11897" s="422">
        <v>1481.7597968577909</v>
      </c>
      <c r="H11897" s="417" t="s">
        <v>2616</v>
      </c>
      <c r="I11897" s="417" t="s">
        <v>1392</v>
      </c>
      <c r="J11897" s="417" t="s">
        <v>25793</v>
      </c>
      <c r="K11897" s="417" t="s">
        <v>26342</v>
      </c>
      <c r="L11897" s="417"/>
      <c r="M11897" s="417" t="s">
        <v>28840</v>
      </c>
    </row>
    <row r="11898" spans="1:13" x14ac:dyDescent="0.25">
      <c r="A11898" s="417" t="s">
        <v>3385</v>
      </c>
      <c r="B11898" s="417" t="s">
        <v>3405</v>
      </c>
      <c r="C11898" s="417" t="s">
        <v>26343</v>
      </c>
      <c r="D11898" s="417" t="s">
        <v>224</v>
      </c>
      <c r="E11898" s="423">
        <v>0.47742380471066048</v>
      </c>
      <c r="F11898" s="423">
        <v>2.0837247152725211E-2</v>
      </c>
      <c r="G11898" s="422">
        <v>864.3444507426276</v>
      </c>
      <c r="H11898" s="417" t="s">
        <v>2616</v>
      </c>
      <c r="I11898" s="417" t="s">
        <v>1392</v>
      </c>
      <c r="J11898" s="417" t="s">
        <v>25793</v>
      </c>
      <c r="K11898" s="417" t="s">
        <v>26344</v>
      </c>
      <c r="L11898" s="417"/>
      <c r="M11898" s="417" t="s">
        <v>28840</v>
      </c>
    </row>
    <row r="11899" spans="1:13" x14ac:dyDescent="0.25">
      <c r="A11899" s="417" t="s">
        <v>3385</v>
      </c>
      <c r="B11899" s="417" t="s">
        <v>3405</v>
      </c>
      <c r="C11899" s="417" t="s">
        <v>26345</v>
      </c>
      <c r="D11899" s="417" t="s">
        <v>224</v>
      </c>
      <c r="E11899" s="423">
        <v>0.5038119003931093</v>
      </c>
      <c r="F11899" s="423">
        <v>1.7356026209638262E-2</v>
      </c>
      <c r="G11899" s="422">
        <v>924.53537386749883</v>
      </c>
      <c r="H11899" s="417" t="s">
        <v>2616</v>
      </c>
      <c r="I11899" s="417" t="s">
        <v>1392</v>
      </c>
      <c r="J11899" s="417" t="s">
        <v>26213</v>
      </c>
      <c r="K11899" s="417" t="s">
        <v>26346</v>
      </c>
      <c r="L11899" s="417"/>
      <c r="M11899" s="417" t="s">
        <v>28840</v>
      </c>
    </row>
    <row r="11900" spans="1:13" x14ac:dyDescent="0.25">
      <c r="A11900" s="417" t="s">
        <v>3385</v>
      </c>
      <c r="B11900" s="417" t="s">
        <v>3405</v>
      </c>
      <c r="C11900" s="417" t="s">
        <v>26347</v>
      </c>
      <c r="D11900" s="417" t="s">
        <v>224</v>
      </c>
      <c r="E11900" s="423">
        <v>8.3489149021455621E-3</v>
      </c>
      <c r="F11900" s="423">
        <v>2.5949565115048189E-4</v>
      </c>
      <c r="G11900" s="422">
        <v>56.067338603892203</v>
      </c>
      <c r="H11900" s="417" t="s">
        <v>2616</v>
      </c>
      <c r="I11900" s="417" t="s">
        <v>1392</v>
      </c>
      <c r="J11900" s="417" t="s">
        <v>25793</v>
      </c>
      <c r="K11900" s="417" t="s">
        <v>26348</v>
      </c>
      <c r="L11900" s="417"/>
      <c r="M11900" s="417" t="s">
        <v>28840</v>
      </c>
    </row>
    <row r="11901" spans="1:13" x14ac:dyDescent="0.25">
      <c r="A11901" s="417" t="s">
        <v>3385</v>
      </c>
      <c r="B11901" s="417" t="s">
        <v>3405</v>
      </c>
      <c r="C11901" s="417" t="s">
        <v>26349</v>
      </c>
      <c r="D11901" s="417" t="s">
        <v>224</v>
      </c>
      <c r="E11901" s="423">
        <v>0.26516213787778109</v>
      </c>
      <c r="F11901" s="423">
        <v>2.3758268272535951E-2</v>
      </c>
      <c r="G11901" s="422">
        <v>686.61817972150061</v>
      </c>
      <c r="H11901" s="417" t="s">
        <v>2616</v>
      </c>
      <c r="I11901" s="417" t="s">
        <v>1392</v>
      </c>
      <c r="J11901" s="417" t="s">
        <v>25793</v>
      </c>
      <c r="K11901" s="417" t="s">
        <v>26350</v>
      </c>
      <c r="L11901" s="417"/>
      <c r="M11901" s="417" t="s">
        <v>28840</v>
      </c>
    </row>
    <row r="11902" spans="1:13" x14ac:dyDescent="0.25">
      <c r="A11902" s="417" t="s">
        <v>3385</v>
      </c>
      <c r="B11902" s="417" t="s">
        <v>3405</v>
      </c>
      <c r="C11902" s="417" t="s">
        <v>26351</v>
      </c>
      <c r="D11902" s="417" t="s">
        <v>224</v>
      </c>
      <c r="E11902" s="423">
        <v>0.64199254409190787</v>
      </c>
      <c r="F11902" s="423">
        <v>7.7340545248021754E-3</v>
      </c>
      <c r="G11902" s="422">
        <v>1162.17144149099</v>
      </c>
      <c r="H11902" s="417" t="s">
        <v>2616</v>
      </c>
      <c r="I11902" s="417" t="s">
        <v>1392</v>
      </c>
      <c r="J11902" s="417" t="s">
        <v>25793</v>
      </c>
      <c r="K11902" s="417" t="s">
        <v>26352</v>
      </c>
      <c r="L11902" s="417"/>
      <c r="M11902" s="417" t="s">
        <v>28840</v>
      </c>
    </row>
    <row r="11903" spans="1:13" x14ac:dyDescent="0.25">
      <c r="A11903" s="417" t="s">
        <v>3385</v>
      </c>
      <c r="B11903" s="417" t="s">
        <v>3405</v>
      </c>
      <c r="C11903" s="417" t="s">
        <v>26353</v>
      </c>
      <c r="D11903" s="417" t="s">
        <v>224</v>
      </c>
      <c r="E11903" s="423">
        <v>0.97646213280951388</v>
      </c>
      <c r="F11903" s="423">
        <v>1.001030763130566E-2</v>
      </c>
      <c r="G11903" s="422">
        <v>1418.9291417676241</v>
      </c>
      <c r="H11903" s="417" t="s">
        <v>2616</v>
      </c>
      <c r="I11903" s="417" t="s">
        <v>1392</v>
      </c>
      <c r="J11903" s="417" t="s">
        <v>25793</v>
      </c>
      <c r="K11903" s="417" t="s">
        <v>26354</v>
      </c>
      <c r="L11903" s="417"/>
      <c r="M11903" s="417" t="s">
        <v>28840</v>
      </c>
    </row>
    <row r="11904" spans="1:13" x14ac:dyDescent="0.25">
      <c r="A11904" s="417" t="s">
        <v>3385</v>
      </c>
      <c r="B11904" s="417" t="s">
        <v>3405</v>
      </c>
      <c r="C11904" s="417" t="s">
        <v>26355</v>
      </c>
      <c r="D11904" s="417" t="s">
        <v>224</v>
      </c>
      <c r="E11904" s="423">
        <v>0.73228526530843663</v>
      </c>
      <c r="F11904" s="423">
        <v>2.7568032104006029E-2</v>
      </c>
      <c r="G11904" s="422">
        <v>1249.4256504242489</v>
      </c>
      <c r="H11904" s="417" t="s">
        <v>2616</v>
      </c>
      <c r="I11904" s="417" t="s">
        <v>1392</v>
      </c>
      <c r="J11904" s="417" t="s">
        <v>25793</v>
      </c>
      <c r="K11904" s="417" t="s">
        <v>26356</v>
      </c>
      <c r="L11904" s="417"/>
      <c r="M11904" s="417" t="s">
        <v>28840</v>
      </c>
    </row>
    <row r="11905" spans="1:13" x14ac:dyDescent="0.25">
      <c r="A11905" s="417" t="s">
        <v>3385</v>
      </c>
      <c r="B11905" s="417" t="s">
        <v>3405</v>
      </c>
      <c r="C11905" s="417" t="s">
        <v>26357</v>
      </c>
      <c r="D11905" s="417" t="s">
        <v>224</v>
      </c>
      <c r="E11905" s="423">
        <v>0.84802017236734706</v>
      </c>
      <c r="F11905" s="423">
        <v>2.0737143761281802E-3</v>
      </c>
      <c r="G11905" s="422">
        <v>1237.1849965312949</v>
      </c>
      <c r="H11905" s="417" t="s">
        <v>2616</v>
      </c>
      <c r="I11905" s="417" t="s">
        <v>1392</v>
      </c>
      <c r="J11905" s="417" t="s">
        <v>25793</v>
      </c>
      <c r="K11905" s="417" t="s">
        <v>26358</v>
      </c>
      <c r="L11905" s="417"/>
      <c r="M11905" s="417" t="s">
        <v>28840</v>
      </c>
    </row>
    <row r="11906" spans="1:13" x14ac:dyDescent="0.25">
      <c r="A11906" s="417" t="s">
        <v>3385</v>
      </c>
      <c r="B11906" s="417" t="s">
        <v>3405</v>
      </c>
      <c r="C11906" s="417" t="s">
        <v>26359</v>
      </c>
      <c r="D11906" s="417" t="s">
        <v>224</v>
      </c>
      <c r="E11906" s="423">
        <v>0.7172851526720101</v>
      </c>
      <c r="F11906" s="423">
        <v>4.1036138746075243E-3</v>
      </c>
      <c r="G11906" s="422">
        <v>1107.1599107238269</v>
      </c>
      <c r="H11906" s="417" t="s">
        <v>2616</v>
      </c>
      <c r="I11906" s="417" t="s">
        <v>1392</v>
      </c>
      <c r="J11906" s="417" t="s">
        <v>25793</v>
      </c>
      <c r="K11906" s="417" t="s">
        <v>26360</v>
      </c>
      <c r="L11906" s="417"/>
      <c r="M11906" s="417" t="s">
        <v>28840</v>
      </c>
    </row>
    <row r="11907" spans="1:13" x14ac:dyDescent="0.25">
      <c r="A11907" s="417" t="s">
        <v>3385</v>
      </c>
      <c r="B11907" s="417" t="s">
        <v>3405</v>
      </c>
      <c r="C11907" s="417" t="s">
        <v>26361</v>
      </c>
      <c r="D11907" s="417" t="s">
        <v>224</v>
      </c>
      <c r="E11907" s="423">
        <v>0.57583684438067162</v>
      </c>
      <c r="F11907" s="423">
        <v>5.7499351417619193E-2</v>
      </c>
      <c r="G11907" s="422">
        <v>774.6452967368059</v>
      </c>
      <c r="H11907" s="417" t="s">
        <v>2616</v>
      </c>
      <c r="I11907" s="417" t="s">
        <v>1392</v>
      </c>
      <c r="J11907" s="417" t="s">
        <v>25793</v>
      </c>
      <c r="K11907" s="417" t="s">
        <v>26362</v>
      </c>
      <c r="L11907" s="417"/>
      <c r="M11907" s="417" t="s">
        <v>28840</v>
      </c>
    </row>
    <row r="11908" spans="1:13" x14ac:dyDescent="0.25">
      <c r="A11908" s="417" t="s">
        <v>3385</v>
      </c>
      <c r="B11908" s="417" t="s">
        <v>3405</v>
      </c>
      <c r="C11908" s="417" t="s">
        <v>26363</v>
      </c>
      <c r="D11908" s="417" t="s">
        <v>224</v>
      </c>
      <c r="E11908" s="423">
        <v>0.55333637771781929</v>
      </c>
      <c r="F11908" s="423">
        <v>2.8728458084776132E-3</v>
      </c>
      <c r="G11908" s="422">
        <v>998.03664820898325</v>
      </c>
      <c r="H11908" s="417" t="s">
        <v>2616</v>
      </c>
      <c r="I11908" s="417" t="s">
        <v>1392</v>
      </c>
      <c r="J11908" s="417" t="s">
        <v>25793</v>
      </c>
      <c r="K11908" s="417" t="s">
        <v>26364</v>
      </c>
      <c r="L11908" s="417"/>
      <c r="M11908" s="417" t="s">
        <v>28840</v>
      </c>
    </row>
    <row r="11909" spans="1:13" x14ac:dyDescent="0.25">
      <c r="A11909" s="417" t="s">
        <v>3385</v>
      </c>
      <c r="B11909" s="417" t="s">
        <v>3405</v>
      </c>
      <c r="C11909" s="417" t="s">
        <v>26365</v>
      </c>
      <c r="D11909" s="417" t="s">
        <v>224</v>
      </c>
      <c r="E11909" s="423">
        <v>0.40951005278220193</v>
      </c>
      <c r="F11909" s="423">
        <v>5.0062484051479741E-2</v>
      </c>
      <c r="G11909" s="422">
        <v>896.3668226577264</v>
      </c>
      <c r="H11909" s="417" t="s">
        <v>2616</v>
      </c>
      <c r="I11909" s="417" t="s">
        <v>1392</v>
      </c>
      <c r="J11909" s="417" t="s">
        <v>25793</v>
      </c>
      <c r="K11909" s="417" t="s">
        <v>26366</v>
      </c>
      <c r="L11909" s="417"/>
      <c r="M11909" s="417" t="s">
        <v>28840</v>
      </c>
    </row>
    <row r="11910" spans="1:13" x14ac:dyDescent="0.25">
      <c r="A11910" s="417" t="s">
        <v>3385</v>
      </c>
      <c r="B11910" s="417" t="s">
        <v>3405</v>
      </c>
      <c r="C11910" s="417" t="s">
        <v>26367</v>
      </c>
      <c r="D11910" s="417" t="s">
        <v>224</v>
      </c>
      <c r="E11910" s="423">
        <v>7.9844754169835566E-2</v>
      </c>
      <c r="F11910" s="423">
        <v>1.256829672827952E-2</v>
      </c>
      <c r="G11910" s="422">
        <v>755.57511675622743</v>
      </c>
      <c r="H11910" s="417" t="s">
        <v>2616</v>
      </c>
      <c r="I11910" s="417" t="s">
        <v>1392</v>
      </c>
      <c r="J11910" s="417" t="s">
        <v>25793</v>
      </c>
      <c r="K11910" s="417" t="s">
        <v>26368</v>
      </c>
      <c r="L11910" s="417"/>
      <c r="M11910" s="417" t="s">
        <v>28840</v>
      </c>
    </row>
    <row r="11911" spans="1:13" x14ac:dyDescent="0.25">
      <c r="A11911" s="417" t="s">
        <v>3385</v>
      </c>
      <c r="B11911" s="417" t="s">
        <v>3405</v>
      </c>
      <c r="C11911" s="417" t="s">
        <v>26369</v>
      </c>
      <c r="D11911" s="417" t="s">
        <v>224</v>
      </c>
      <c r="E11911" s="423">
        <v>0.45328212943708901</v>
      </c>
      <c r="F11911" s="423">
        <v>1.8693527564084471E-3</v>
      </c>
      <c r="G11911" s="422">
        <v>840.20038957739735</v>
      </c>
      <c r="H11911" s="417" t="s">
        <v>2616</v>
      </c>
      <c r="I11911" s="417" t="s">
        <v>1392</v>
      </c>
      <c r="J11911" s="417" t="s">
        <v>25793</v>
      </c>
      <c r="K11911" s="417" t="s">
        <v>26370</v>
      </c>
      <c r="L11911" s="417"/>
      <c r="M11911" s="417" t="s">
        <v>28840</v>
      </c>
    </row>
    <row r="11912" spans="1:13" x14ac:dyDescent="0.25">
      <c r="A11912" s="417" t="s">
        <v>3385</v>
      </c>
      <c r="B11912" s="417" t="s">
        <v>3405</v>
      </c>
      <c r="C11912" s="417" t="s">
        <v>26371</v>
      </c>
      <c r="D11912" s="417" t="s">
        <v>224</v>
      </c>
      <c r="E11912" s="423">
        <v>0.65000389775228773</v>
      </c>
      <c r="F11912" s="423">
        <v>6.7649441792594703E-3</v>
      </c>
      <c r="G11912" s="422">
        <v>879.22377462736426</v>
      </c>
      <c r="H11912" s="417" t="s">
        <v>2616</v>
      </c>
      <c r="I11912" s="417" t="s">
        <v>1392</v>
      </c>
      <c r="J11912" s="417" t="s">
        <v>25793</v>
      </c>
      <c r="K11912" s="417" t="s">
        <v>26372</v>
      </c>
      <c r="L11912" s="417"/>
      <c r="M11912" s="417" t="s">
        <v>28840</v>
      </c>
    </row>
    <row r="11913" spans="1:13" x14ac:dyDescent="0.25">
      <c r="A11913" s="417" t="s">
        <v>3385</v>
      </c>
      <c r="B11913" s="417" t="s">
        <v>3405</v>
      </c>
      <c r="C11913" s="417" t="s">
        <v>26373</v>
      </c>
      <c r="D11913" s="417" t="s">
        <v>224</v>
      </c>
      <c r="E11913" s="423">
        <v>0.65060741033924518</v>
      </c>
      <c r="F11913" s="423">
        <v>1.542142511562767E-3</v>
      </c>
      <c r="G11913" s="422">
        <v>875.92863556878751</v>
      </c>
      <c r="H11913" s="417" t="s">
        <v>2616</v>
      </c>
      <c r="I11913" s="417" t="s">
        <v>1392</v>
      </c>
      <c r="J11913" s="417" t="s">
        <v>25793</v>
      </c>
      <c r="K11913" s="417" t="s">
        <v>26374</v>
      </c>
      <c r="L11913" s="417"/>
      <c r="M11913" s="417" t="s">
        <v>28840</v>
      </c>
    </row>
    <row r="11914" spans="1:13" x14ac:dyDescent="0.25">
      <c r="A11914" s="417" t="s">
        <v>3385</v>
      </c>
      <c r="B11914" s="417" t="s">
        <v>3405</v>
      </c>
      <c r="C11914" s="417" t="s">
        <v>26375</v>
      </c>
      <c r="D11914" s="417" t="s">
        <v>224</v>
      </c>
      <c r="E11914" s="423">
        <v>0.44017442487273828</v>
      </c>
      <c r="F11914" s="423">
        <v>4.5836773604912333E-2</v>
      </c>
      <c r="G11914" s="422">
        <v>988.28814800704686</v>
      </c>
      <c r="H11914" s="417" t="s">
        <v>2616</v>
      </c>
      <c r="I11914" s="417" t="s">
        <v>1392</v>
      </c>
      <c r="J11914" s="417" t="s">
        <v>25793</v>
      </c>
      <c r="K11914" s="417" t="s">
        <v>26376</v>
      </c>
      <c r="L11914" s="417"/>
      <c r="M11914" s="417" t="s">
        <v>28840</v>
      </c>
    </row>
    <row r="11915" spans="1:13" x14ac:dyDescent="0.25">
      <c r="A11915" s="417" t="s">
        <v>3385</v>
      </c>
      <c r="B11915" s="417" t="s">
        <v>3405</v>
      </c>
      <c r="C11915" s="417" t="s">
        <v>26377</v>
      </c>
      <c r="D11915" s="417" t="s">
        <v>224</v>
      </c>
      <c r="E11915" s="423">
        <v>0.70669087453380908</v>
      </c>
      <c r="F11915" s="423">
        <v>2.3689500936834369E-2</v>
      </c>
      <c r="G11915" s="422">
        <v>927.13796154191846</v>
      </c>
      <c r="H11915" s="417" t="s">
        <v>2616</v>
      </c>
      <c r="I11915" s="417" t="s">
        <v>1392</v>
      </c>
      <c r="J11915" s="417" t="s">
        <v>25793</v>
      </c>
      <c r="K11915" s="417" t="s">
        <v>26378</v>
      </c>
      <c r="L11915" s="417"/>
      <c r="M11915" s="417" t="s">
        <v>28840</v>
      </c>
    </row>
    <row r="11916" spans="1:13" x14ac:dyDescent="0.25">
      <c r="A11916" s="417" t="s">
        <v>3385</v>
      </c>
      <c r="B11916" s="417" t="s">
        <v>3405</v>
      </c>
      <c r="C11916" s="417" t="s">
        <v>26379</v>
      </c>
      <c r="D11916" s="417" t="s">
        <v>224</v>
      </c>
      <c r="E11916" s="423">
        <v>0.56609195749130314</v>
      </c>
      <c r="F11916" s="423">
        <v>4.1021300792753856E-3</v>
      </c>
      <c r="G11916" s="422">
        <v>1010.794755474507</v>
      </c>
      <c r="H11916" s="417" t="s">
        <v>2616</v>
      </c>
      <c r="I11916" s="417" t="s">
        <v>1392</v>
      </c>
      <c r="J11916" s="417" t="s">
        <v>25793</v>
      </c>
      <c r="K11916" s="417" t="s">
        <v>26380</v>
      </c>
      <c r="L11916" s="417"/>
      <c r="M11916" s="417" t="s">
        <v>28840</v>
      </c>
    </row>
    <row r="11917" spans="1:13" x14ac:dyDescent="0.25">
      <c r="A11917" s="417" t="s">
        <v>3385</v>
      </c>
      <c r="B11917" s="417" t="s">
        <v>3405</v>
      </c>
      <c r="C11917" s="417" t="s">
        <v>26381</v>
      </c>
      <c r="D11917" s="417" t="s">
        <v>224</v>
      </c>
      <c r="E11917" s="423">
        <v>0.60511505248216868</v>
      </c>
      <c r="F11917" s="423">
        <v>2.9681002843934862E-3</v>
      </c>
      <c r="G11917" s="422">
        <v>884.37349513597258</v>
      </c>
      <c r="H11917" s="417" t="s">
        <v>2616</v>
      </c>
      <c r="I11917" s="417" t="s">
        <v>1392</v>
      </c>
      <c r="J11917" s="417" t="s">
        <v>25793</v>
      </c>
      <c r="K11917" s="417" t="s">
        <v>26382</v>
      </c>
      <c r="L11917" s="417"/>
      <c r="M11917" s="417" t="s">
        <v>28840</v>
      </c>
    </row>
    <row r="11918" spans="1:13" x14ac:dyDescent="0.25">
      <c r="A11918" s="417" t="s">
        <v>3385</v>
      </c>
      <c r="B11918" s="417" t="s">
        <v>3405</v>
      </c>
      <c r="C11918" s="417" t="s">
        <v>26383</v>
      </c>
      <c r="D11918" s="417" t="s">
        <v>224</v>
      </c>
      <c r="E11918" s="423">
        <v>0.52616985271539107</v>
      </c>
      <c r="F11918" s="423">
        <v>3.1406241700948291E-3</v>
      </c>
      <c r="G11918" s="422">
        <v>784.62275815877638</v>
      </c>
      <c r="H11918" s="417" t="s">
        <v>2616</v>
      </c>
      <c r="I11918" s="417" t="s">
        <v>1392</v>
      </c>
      <c r="J11918" s="417" t="s">
        <v>25793</v>
      </c>
      <c r="K11918" s="417" t="s">
        <v>26384</v>
      </c>
      <c r="L11918" s="417"/>
      <c r="M11918" s="417" t="s">
        <v>28840</v>
      </c>
    </row>
    <row r="11919" spans="1:13" x14ac:dyDescent="0.25">
      <c r="A11919" s="417" t="s">
        <v>3385</v>
      </c>
      <c r="B11919" s="417" t="s">
        <v>3405</v>
      </c>
      <c r="C11919" s="417" t="s">
        <v>26385</v>
      </c>
      <c r="D11919" s="417" t="s">
        <v>224</v>
      </c>
      <c r="E11919" s="423">
        <v>0.57744022642707171</v>
      </c>
      <c r="F11919" s="423">
        <v>4.0128344247458599E-3</v>
      </c>
      <c r="G11919" s="422">
        <v>1005.195884581557</v>
      </c>
      <c r="H11919" s="417" t="s">
        <v>2616</v>
      </c>
      <c r="I11919" s="417" t="s">
        <v>1392</v>
      </c>
      <c r="J11919" s="417" t="s">
        <v>25793</v>
      </c>
      <c r="K11919" s="417" t="s">
        <v>26386</v>
      </c>
      <c r="L11919" s="417"/>
      <c r="M11919" s="417" t="s">
        <v>28840</v>
      </c>
    </row>
    <row r="11920" spans="1:13" x14ac:dyDescent="0.25">
      <c r="A11920" s="417" t="s">
        <v>3385</v>
      </c>
      <c r="B11920" s="417" t="s">
        <v>3405</v>
      </c>
      <c r="C11920" s="417" t="s">
        <v>26387</v>
      </c>
      <c r="D11920" s="417" t="s">
        <v>224</v>
      </c>
      <c r="E11920" s="423">
        <v>0.33231988159863451</v>
      </c>
      <c r="F11920" s="423">
        <v>0.10327548880871321</v>
      </c>
      <c r="G11920" s="422">
        <v>511.12500146532659</v>
      </c>
      <c r="H11920" s="417" t="s">
        <v>2616</v>
      </c>
      <c r="I11920" s="417" t="s">
        <v>1392</v>
      </c>
      <c r="J11920" s="417" t="s">
        <v>25793</v>
      </c>
      <c r="K11920" s="417" t="s">
        <v>26388</v>
      </c>
      <c r="L11920" s="417"/>
      <c r="M11920" s="417" t="s">
        <v>28840</v>
      </c>
    </row>
    <row r="11921" spans="1:13" x14ac:dyDescent="0.25">
      <c r="A11921" s="417" t="s">
        <v>3385</v>
      </c>
      <c r="B11921" s="417" t="s">
        <v>3405</v>
      </c>
      <c r="C11921" s="417" t="s">
        <v>26389</v>
      </c>
      <c r="D11921" s="417" t="s">
        <v>224</v>
      </c>
      <c r="E11921" s="423">
        <v>0.84349302708166374</v>
      </c>
      <c r="F11921" s="423">
        <v>3.9179031244006698E-3</v>
      </c>
      <c r="G11921" s="422">
        <v>1302.679735824765</v>
      </c>
      <c r="H11921" s="417" t="s">
        <v>2616</v>
      </c>
      <c r="I11921" s="417" t="s">
        <v>1392</v>
      </c>
      <c r="J11921" s="417" t="s">
        <v>25793</v>
      </c>
      <c r="K11921" s="417" t="s">
        <v>26390</v>
      </c>
      <c r="L11921" s="417"/>
      <c r="M11921" s="417" t="s">
        <v>28840</v>
      </c>
    </row>
    <row r="11922" spans="1:13" x14ac:dyDescent="0.25">
      <c r="A11922" s="417" t="s">
        <v>3385</v>
      </c>
      <c r="B11922" s="417" t="s">
        <v>3405</v>
      </c>
      <c r="C11922" s="417" t="s">
        <v>26391</v>
      </c>
      <c r="D11922" s="417" t="s">
        <v>224</v>
      </c>
      <c r="E11922" s="423">
        <v>0.61470541020684732</v>
      </c>
      <c r="F11922" s="423">
        <v>2.3454752855596541E-3</v>
      </c>
      <c r="G11922" s="422">
        <v>828.35277321756212</v>
      </c>
      <c r="H11922" s="417" t="s">
        <v>2616</v>
      </c>
      <c r="I11922" s="417" t="s">
        <v>1392</v>
      </c>
      <c r="J11922" s="417" t="s">
        <v>25793</v>
      </c>
      <c r="K11922" s="417" t="s">
        <v>26392</v>
      </c>
      <c r="L11922" s="417"/>
      <c r="M11922" s="417" t="s">
        <v>28840</v>
      </c>
    </row>
    <row r="11923" spans="1:13" x14ac:dyDescent="0.25">
      <c r="A11923" s="417" t="s">
        <v>3385</v>
      </c>
      <c r="B11923" s="417" t="s">
        <v>3405</v>
      </c>
      <c r="C11923" s="417" t="s">
        <v>26393</v>
      </c>
      <c r="D11923" s="417" t="s">
        <v>224</v>
      </c>
      <c r="E11923" s="423">
        <v>0.5763419177513297</v>
      </c>
      <c r="F11923" s="423">
        <v>4.3290695231093749E-3</v>
      </c>
      <c r="G11923" s="422">
        <v>1024.079313501893</v>
      </c>
      <c r="H11923" s="417" t="s">
        <v>2616</v>
      </c>
      <c r="I11923" s="417" t="s">
        <v>1392</v>
      </c>
      <c r="J11923" s="417" t="s">
        <v>25793</v>
      </c>
      <c r="K11923" s="417" t="s">
        <v>26394</v>
      </c>
      <c r="L11923" s="417"/>
      <c r="M11923" s="417" t="s">
        <v>28840</v>
      </c>
    </row>
    <row r="11924" spans="1:13" x14ac:dyDescent="0.25">
      <c r="A11924" s="417" t="s">
        <v>3385</v>
      </c>
      <c r="B11924" s="417" t="s">
        <v>3405</v>
      </c>
      <c r="C11924" s="417" t="s">
        <v>26395</v>
      </c>
      <c r="D11924" s="417" t="s">
        <v>224</v>
      </c>
      <c r="E11924" s="423">
        <v>1.107600342621055</v>
      </c>
      <c r="F11924" s="423">
        <v>1.8100133461039211E-2</v>
      </c>
      <c r="G11924" s="422">
        <v>1437.505654299229</v>
      </c>
      <c r="H11924" s="417" t="s">
        <v>2616</v>
      </c>
      <c r="I11924" s="417" t="s">
        <v>1392</v>
      </c>
      <c r="J11924" s="417" t="s">
        <v>25793</v>
      </c>
      <c r="K11924" s="417" t="s">
        <v>26396</v>
      </c>
      <c r="L11924" s="417"/>
      <c r="M11924" s="417" t="s">
        <v>28840</v>
      </c>
    </row>
    <row r="11925" spans="1:13" x14ac:dyDescent="0.25">
      <c r="A11925" s="417" t="s">
        <v>3385</v>
      </c>
      <c r="B11925" s="417" t="s">
        <v>3405</v>
      </c>
      <c r="C11925" s="417" t="s">
        <v>26397</v>
      </c>
      <c r="D11925" s="417" t="s">
        <v>224</v>
      </c>
      <c r="E11925" s="423">
        <v>0.42087552488605451</v>
      </c>
      <c r="F11925" s="423">
        <v>4.6351153832872777E-2</v>
      </c>
      <c r="G11925" s="422">
        <v>582.70384283718079</v>
      </c>
      <c r="H11925" s="417" t="s">
        <v>2616</v>
      </c>
      <c r="I11925" s="417" t="s">
        <v>1392</v>
      </c>
      <c r="J11925" s="417" t="s">
        <v>25793</v>
      </c>
      <c r="K11925" s="417" t="s">
        <v>26398</v>
      </c>
      <c r="L11925" s="417"/>
      <c r="M11925" s="417" t="s">
        <v>28840</v>
      </c>
    </row>
    <row r="11926" spans="1:13" x14ac:dyDescent="0.25">
      <c r="A11926" s="417" t="s">
        <v>3385</v>
      </c>
      <c r="B11926" s="417" t="s">
        <v>3405</v>
      </c>
      <c r="C11926" s="417" t="s">
        <v>26399</v>
      </c>
      <c r="D11926" s="417" t="s">
        <v>224</v>
      </c>
      <c r="E11926" s="423">
        <v>0.51022880609352383</v>
      </c>
      <c r="F11926" s="423">
        <v>5.8625692439123814E-3</v>
      </c>
      <c r="G11926" s="422">
        <v>839.83473127053958</v>
      </c>
      <c r="H11926" s="417" t="s">
        <v>2616</v>
      </c>
      <c r="I11926" s="417" t="s">
        <v>1392</v>
      </c>
      <c r="J11926" s="417" t="s">
        <v>25793</v>
      </c>
      <c r="K11926" s="417" t="s">
        <v>26400</v>
      </c>
      <c r="L11926" s="417"/>
      <c r="M11926" s="417" t="s">
        <v>28840</v>
      </c>
    </row>
    <row r="11927" spans="1:13" x14ac:dyDescent="0.25">
      <c r="A11927" s="417" t="s">
        <v>3385</v>
      </c>
      <c r="B11927" s="417" t="s">
        <v>3405</v>
      </c>
      <c r="C11927" s="417" t="s">
        <v>26401</v>
      </c>
      <c r="D11927" s="417" t="s">
        <v>224</v>
      </c>
      <c r="E11927" s="423">
        <v>8.729181371655266E-2</v>
      </c>
      <c r="F11927" s="423">
        <v>2.2503253581119889E-2</v>
      </c>
      <c r="G11927" s="422">
        <v>828.94132350859616</v>
      </c>
      <c r="H11927" s="417" t="s">
        <v>2616</v>
      </c>
      <c r="I11927" s="417" t="s">
        <v>1392</v>
      </c>
      <c r="J11927" s="417" t="s">
        <v>25793</v>
      </c>
      <c r="K11927" s="417" t="s">
        <v>26402</v>
      </c>
      <c r="L11927" s="417"/>
      <c r="M11927" s="417" t="s">
        <v>28840</v>
      </c>
    </row>
    <row r="11928" spans="1:13" x14ac:dyDescent="0.25">
      <c r="A11928" s="417" t="s">
        <v>3385</v>
      </c>
      <c r="B11928" s="417" t="s">
        <v>3405</v>
      </c>
      <c r="C11928" s="417" t="s">
        <v>26403</v>
      </c>
      <c r="D11928" s="417" t="s">
        <v>224</v>
      </c>
      <c r="E11928" s="423">
        <v>0.59144896428625093</v>
      </c>
      <c r="F11928" s="423">
        <v>1.720915178042209E-3</v>
      </c>
      <c r="G11928" s="422">
        <v>1173.4740898447019</v>
      </c>
      <c r="H11928" s="417" t="s">
        <v>2616</v>
      </c>
      <c r="I11928" s="417" t="s">
        <v>1392</v>
      </c>
      <c r="J11928" s="417" t="s">
        <v>25793</v>
      </c>
      <c r="K11928" s="417" t="s">
        <v>26404</v>
      </c>
      <c r="L11928" s="417"/>
      <c r="M11928" s="417" t="s">
        <v>28840</v>
      </c>
    </row>
    <row r="11929" spans="1:13" x14ac:dyDescent="0.25">
      <c r="A11929" s="417" t="s">
        <v>3385</v>
      </c>
      <c r="B11929" s="417" t="s">
        <v>3405</v>
      </c>
      <c r="C11929" s="417" t="s">
        <v>26405</v>
      </c>
      <c r="D11929" s="417" t="s">
        <v>224</v>
      </c>
      <c r="E11929" s="423">
        <v>0.23908123383484151</v>
      </c>
      <c r="F11929" s="423">
        <v>5.2088878211834312E-2</v>
      </c>
      <c r="G11929" s="422">
        <v>758.78507336408632</v>
      </c>
      <c r="H11929" s="417" t="s">
        <v>2616</v>
      </c>
      <c r="I11929" s="417" t="s">
        <v>1392</v>
      </c>
      <c r="J11929" s="417" t="s">
        <v>25793</v>
      </c>
      <c r="K11929" s="417" t="s">
        <v>26406</v>
      </c>
      <c r="L11929" s="417"/>
      <c r="M11929" s="417" t="s">
        <v>28840</v>
      </c>
    </row>
    <row r="11930" spans="1:13" x14ac:dyDescent="0.25">
      <c r="A11930" s="417" t="s">
        <v>3385</v>
      </c>
      <c r="B11930" s="417" t="s">
        <v>3405</v>
      </c>
      <c r="C11930" s="417" t="s">
        <v>26407</v>
      </c>
      <c r="D11930" s="417" t="s">
        <v>224</v>
      </c>
      <c r="E11930" s="423">
        <v>0.90240569500758205</v>
      </c>
      <c r="F11930" s="423">
        <v>3.446124281626212E-3</v>
      </c>
      <c r="G11930" s="422">
        <v>1219.537028125168</v>
      </c>
      <c r="H11930" s="417" t="s">
        <v>2616</v>
      </c>
      <c r="I11930" s="417" t="s">
        <v>1392</v>
      </c>
      <c r="J11930" s="417" t="s">
        <v>25793</v>
      </c>
      <c r="K11930" s="417" t="s">
        <v>26408</v>
      </c>
      <c r="L11930" s="417"/>
      <c r="M11930" s="417" t="s">
        <v>28840</v>
      </c>
    </row>
    <row r="11931" spans="1:13" x14ac:dyDescent="0.25">
      <c r="A11931" s="417" t="s">
        <v>3385</v>
      </c>
      <c r="B11931" s="417" t="s">
        <v>3405</v>
      </c>
      <c r="C11931" s="417" t="s">
        <v>26409</v>
      </c>
      <c r="D11931" s="417" t="s">
        <v>224</v>
      </c>
      <c r="E11931" s="423">
        <v>0.15727258808697039</v>
      </c>
      <c r="F11931" s="423">
        <v>1.582394763777371E-2</v>
      </c>
      <c r="G11931" s="422">
        <v>250.59926486141771</v>
      </c>
      <c r="H11931" s="417" t="s">
        <v>2616</v>
      </c>
      <c r="I11931" s="417" t="s">
        <v>1392</v>
      </c>
      <c r="J11931" s="417" t="s">
        <v>25793</v>
      </c>
      <c r="K11931" s="417" t="s">
        <v>26410</v>
      </c>
      <c r="L11931" s="417"/>
      <c r="M11931" s="417" t="s">
        <v>28840</v>
      </c>
    </row>
    <row r="11932" spans="1:13" x14ac:dyDescent="0.25">
      <c r="A11932" s="417" t="s">
        <v>3385</v>
      </c>
      <c r="B11932" s="417" t="s">
        <v>3405</v>
      </c>
      <c r="C11932" s="417" t="s">
        <v>26411</v>
      </c>
      <c r="D11932" s="417" t="s">
        <v>224</v>
      </c>
      <c r="E11932" s="423">
        <v>0.17401655670434921</v>
      </c>
      <c r="F11932" s="423">
        <v>5.5827434181477932E-2</v>
      </c>
      <c r="G11932" s="422">
        <v>561.005771979923</v>
      </c>
      <c r="H11932" s="417" t="s">
        <v>2616</v>
      </c>
      <c r="I11932" s="417" t="s">
        <v>1392</v>
      </c>
      <c r="J11932" s="417" t="s">
        <v>25793</v>
      </c>
      <c r="K11932" s="417" t="s">
        <v>26412</v>
      </c>
      <c r="L11932" s="417"/>
      <c r="M11932" s="417" t="s">
        <v>28840</v>
      </c>
    </row>
    <row r="11933" spans="1:13" x14ac:dyDescent="0.25">
      <c r="A11933" s="417" t="s">
        <v>3385</v>
      </c>
      <c r="B11933" s="417" t="s">
        <v>3405</v>
      </c>
      <c r="C11933" s="417" t="s">
        <v>26413</v>
      </c>
      <c r="D11933" s="417" t="s">
        <v>224</v>
      </c>
      <c r="E11933" s="423">
        <v>0.56896703193675735</v>
      </c>
      <c r="F11933" s="423">
        <v>6.7649777689499247E-3</v>
      </c>
      <c r="G11933" s="422">
        <v>1024.737105238441</v>
      </c>
      <c r="H11933" s="417" t="s">
        <v>2616</v>
      </c>
      <c r="I11933" s="417" t="s">
        <v>1392</v>
      </c>
      <c r="J11933" s="417" t="s">
        <v>25793</v>
      </c>
      <c r="K11933" s="417" t="s">
        <v>26414</v>
      </c>
      <c r="L11933" s="417"/>
      <c r="M11933" s="417" t="s">
        <v>28840</v>
      </c>
    </row>
    <row r="11934" spans="1:13" x14ac:dyDescent="0.25">
      <c r="A11934" s="417" t="s">
        <v>3385</v>
      </c>
      <c r="B11934" s="417" t="s">
        <v>3405</v>
      </c>
      <c r="C11934" s="417" t="s">
        <v>26415</v>
      </c>
      <c r="D11934" s="417" t="s">
        <v>224</v>
      </c>
      <c r="E11934" s="423">
        <v>6.0992217105792293E-2</v>
      </c>
      <c r="F11934" s="423">
        <v>4.815737648393245E-3</v>
      </c>
      <c r="G11934" s="422">
        <v>321.74692386641868</v>
      </c>
      <c r="H11934" s="417" t="s">
        <v>2616</v>
      </c>
      <c r="I11934" s="417" t="s">
        <v>1392</v>
      </c>
      <c r="J11934" s="417" t="s">
        <v>25793</v>
      </c>
      <c r="K11934" s="417" t="s">
        <v>26416</v>
      </c>
      <c r="L11934" s="417"/>
      <c r="M11934" s="417" t="s">
        <v>28840</v>
      </c>
    </row>
    <row r="11935" spans="1:13" x14ac:dyDescent="0.25">
      <c r="A11935" s="417" t="s">
        <v>3385</v>
      </c>
      <c r="B11935" s="417" t="s">
        <v>3405</v>
      </c>
      <c r="C11935" s="417" t="s">
        <v>26417</v>
      </c>
      <c r="D11935" s="417" t="s">
        <v>224</v>
      </c>
      <c r="E11935" s="423">
        <v>0.92285102125036689</v>
      </c>
      <c r="F11935" s="423">
        <v>9.3400215300260062E-3</v>
      </c>
      <c r="G11935" s="422">
        <v>1332.8341123139321</v>
      </c>
      <c r="H11935" s="417" t="s">
        <v>2616</v>
      </c>
      <c r="I11935" s="417" t="s">
        <v>1392</v>
      </c>
      <c r="J11935" s="417" t="s">
        <v>25793</v>
      </c>
      <c r="K11935" s="417" t="s">
        <v>26418</v>
      </c>
      <c r="L11935" s="417"/>
      <c r="M11935" s="417" t="s">
        <v>28840</v>
      </c>
    </row>
    <row r="11936" spans="1:13" x14ac:dyDescent="0.25">
      <c r="A11936" s="417" t="s">
        <v>3385</v>
      </c>
      <c r="B11936" s="417" t="s">
        <v>3405</v>
      </c>
      <c r="C11936" s="417" t="s">
        <v>26419</v>
      </c>
      <c r="D11936" s="417" t="s">
        <v>224</v>
      </c>
      <c r="E11936" s="423">
        <v>0.69414736124376319</v>
      </c>
      <c r="F11936" s="423">
        <v>3.0808796884005091E-2</v>
      </c>
      <c r="G11936" s="422">
        <v>1177.707952677845</v>
      </c>
      <c r="H11936" s="417" t="s">
        <v>2616</v>
      </c>
      <c r="I11936" s="417" t="s">
        <v>1392</v>
      </c>
      <c r="J11936" s="417" t="s">
        <v>25793</v>
      </c>
      <c r="K11936" s="417" t="s">
        <v>26420</v>
      </c>
      <c r="L11936" s="417"/>
      <c r="M11936" s="417" t="s">
        <v>28840</v>
      </c>
    </row>
    <row r="11937" spans="1:13" x14ac:dyDescent="0.25">
      <c r="A11937" s="417" t="s">
        <v>3385</v>
      </c>
      <c r="B11937" s="417" t="s">
        <v>3405</v>
      </c>
      <c r="C11937" s="417" t="s">
        <v>26421</v>
      </c>
      <c r="D11937" s="417" t="s">
        <v>224</v>
      </c>
      <c r="E11937" s="423">
        <v>0.38642366108374648</v>
      </c>
      <c r="F11937" s="423">
        <v>6.4383127746270696E-2</v>
      </c>
      <c r="G11937" s="422">
        <v>603.58424267448447</v>
      </c>
      <c r="H11937" s="417" t="s">
        <v>2616</v>
      </c>
      <c r="I11937" s="417" t="s">
        <v>1392</v>
      </c>
      <c r="J11937" s="417" t="s">
        <v>25793</v>
      </c>
      <c r="K11937" s="417" t="s">
        <v>26422</v>
      </c>
      <c r="L11937" s="417"/>
      <c r="M11937" s="417" t="s">
        <v>28840</v>
      </c>
    </row>
    <row r="11938" spans="1:13" x14ac:dyDescent="0.25">
      <c r="A11938" s="417" t="s">
        <v>3385</v>
      </c>
      <c r="B11938" s="417" t="s">
        <v>3405</v>
      </c>
      <c r="C11938" s="417" t="s">
        <v>26423</v>
      </c>
      <c r="D11938" s="417" t="s">
        <v>224</v>
      </c>
      <c r="E11938" s="423">
        <v>0.56196463343535097</v>
      </c>
      <c r="F11938" s="423">
        <v>8.064990252930386E-3</v>
      </c>
      <c r="G11938" s="422">
        <v>871.24692705483005</v>
      </c>
      <c r="H11938" s="417" t="s">
        <v>2616</v>
      </c>
      <c r="I11938" s="417" t="s">
        <v>1392</v>
      </c>
      <c r="J11938" s="417" t="s">
        <v>25793</v>
      </c>
      <c r="K11938" s="417" t="s">
        <v>26424</v>
      </c>
      <c r="L11938" s="417"/>
      <c r="M11938" s="417" t="s">
        <v>28840</v>
      </c>
    </row>
    <row r="11939" spans="1:13" x14ac:dyDescent="0.25">
      <c r="A11939" s="417" t="s">
        <v>3385</v>
      </c>
      <c r="B11939" s="417" t="s">
        <v>3405</v>
      </c>
      <c r="C11939" s="417" t="s">
        <v>26425</v>
      </c>
      <c r="D11939" s="417" t="s">
        <v>224</v>
      </c>
      <c r="E11939" s="423">
        <v>0.48632959266217057</v>
      </c>
      <c r="F11939" s="423">
        <v>6.6485512804253549E-2</v>
      </c>
      <c r="G11939" s="422">
        <v>653.52330733645772</v>
      </c>
      <c r="H11939" s="417" t="s">
        <v>2616</v>
      </c>
      <c r="I11939" s="417" t="s">
        <v>1392</v>
      </c>
      <c r="J11939" s="417" t="s">
        <v>25793</v>
      </c>
      <c r="K11939" s="417" t="s">
        <v>26426</v>
      </c>
      <c r="L11939" s="417"/>
      <c r="M11939" s="417" t="s">
        <v>28840</v>
      </c>
    </row>
    <row r="11940" spans="1:13" x14ac:dyDescent="0.25">
      <c r="A11940" s="417" t="s">
        <v>3385</v>
      </c>
      <c r="B11940" s="417" t="s">
        <v>3405</v>
      </c>
      <c r="C11940" s="417" t="s">
        <v>26427</v>
      </c>
      <c r="D11940" s="417" t="s">
        <v>224</v>
      </c>
      <c r="E11940" s="423">
        <v>0.39962666068533798</v>
      </c>
      <c r="F11940" s="423">
        <v>3.7220838809592538E-2</v>
      </c>
      <c r="G11940" s="422">
        <v>724.2756313341074</v>
      </c>
      <c r="H11940" s="417" t="s">
        <v>2616</v>
      </c>
      <c r="I11940" s="417" t="s">
        <v>1392</v>
      </c>
      <c r="J11940" s="417" t="s">
        <v>25793</v>
      </c>
      <c r="K11940" s="417" t="s">
        <v>26428</v>
      </c>
      <c r="L11940" s="417"/>
      <c r="M11940" s="417" t="s">
        <v>28840</v>
      </c>
    </row>
    <row r="11941" spans="1:13" x14ac:dyDescent="0.25">
      <c r="A11941" s="417" t="s">
        <v>3385</v>
      </c>
      <c r="B11941" s="417" t="s">
        <v>3405</v>
      </c>
      <c r="C11941" s="417" t="s">
        <v>26429</v>
      </c>
      <c r="D11941" s="417" t="s">
        <v>224</v>
      </c>
      <c r="E11941" s="423">
        <v>0.29987185577201603</v>
      </c>
      <c r="F11941" s="423">
        <v>9.0991350613040617E-2</v>
      </c>
      <c r="G11941" s="422">
        <v>670.6026089139425</v>
      </c>
      <c r="H11941" s="417" t="s">
        <v>2616</v>
      </c>
      <c r="I11941" s="417" t="s">
        <v>1392</v>
      </c>
      <c r="J11941" s="417" t="s">
        <v>25793</v>
      </c>
      <c r="K11941" s="417" t="s">
        <v>26430</v>
      </c>
      <c r="L11941" s="417"/>
      <c r="M11941" s="417" t="s">
        <v>28840</v>
      </c>
    </row>
    <row r="11942" spans="1:13" x14ac:dyDescent="0.25">
      <c r="A11942" s="417" t="s">
        <v>3385</v>
      </c>
      <c r="B11942" s="417" t="s">
        <v>3405</v>
      </c>
      <c r="C11942" s="417" t="s">
        <v>26431</v>
      </c>
      <c r="D11942" s="417" t="s">
        <v>224</v>
      </c>
      <c r="E11942" s="423">
        <v>6.8934511503070756E-2</v>
      </c>
      <c r="F11942" s="423">
        <v>1.296874827214245E-2</v>
      </c>
      <c r="G11942" s="422">
        <v>665.87047395240165</v>
      </c>
      <c r="H11942" s="417" t="s">
        <v>2616</v>
      </c>
      <c r="I11942" s="417" t="s">
        <v>1392</v>
      </c>
      <c r="J11942" s="417" t="s">
        <v>25793</v>
      </c>
      <c r="K11942" s="417" t="s">
        <v>26432</v>
      </c>
      <c r="L11942" s="417"/>
      <c r="M11942" s="417" t="s">
        <v>28840</v>
      </c>
    </row>
    <row r="11943" spans="1:13" x14ac:dyDescent="0.25">
      <c r="A11943" s="417" t="s">
        <v>3385</v>
      </c>
      <c r="B11943" s="417" t="s">
        <v>3405</v>
      </c>
      <c r="C11943" s="417" t="s">
        <v>26433</v>
      </c>
      <c r="D11943" s="417" t="s">
        <v>224</v>
      </c>
      <c r="E11943" s="423">
        <v>0.3373297263507718</v>
      </c>
      <c r="F11943" s="423">
        <v>5.1798417748407821E-2</v>
      </c>
      <c r="G11943" s="422">
        <v>638.91089731065279</v>
      </c>
      <c r="H11943" s="417" t="s">
        <v>2616</v>
      </c>
      <c r="I11943" s="417" t="s">
        <v>1392</v>
      </c>
      <c r="J11943" s="417" t="s">
        <v>25793</v>
      </c>
      <c r="K11943" s="417" t="s">
        <v>26434</v>
      </c>
      <c r="L11943" s="417"/>
      <c r="M11943" s="417" t="s">
        <v>28840</v>
      </c>
    </row>
    <row r="11944" spans="1:13" x14ac:dyDescent="0.25">
      <c r="A11944" s="417" t="s">
        <v>3385</v>
      </c>
      <c r="B11944" s="417" t="s">
        <v>3405</v>
      </c>
      <c r="C11944" s="417" t="s">
        <v>26435</v>
      </c>
      <c r="D11944" s="417" t="s">
        <v>224</v>
      </c>
      <c r="E11944" s="423">
        <v>0.58517203085394831</v>
      </c>
      <c r="F11944" s="423">
        <v>5.9972984110693043E-3</v>
      </c>
      <c r="G11944" s="422">
        <v>785.74370043466092</v>
      </c>
      <c r="H11944" s="417" t="s">
        <v>2616</v>
      </c>
      <c r="I11944" s="417" t="s">
        <v>1392</v>
      </c>
      <c r="J11944" s="417" t="s">
        <v>25793</v>
      </c>
      <c r="K11944" s="417" t="s">
        <v>26436</v>
      </c>
      <c r="L11944" s="417"/>
      <c r="M11944" s="417" t="s">
        <v>28840</v>
      </c>
    </row>
    <row r="11945" spans="1:13" x14ac:dyDescent="0.25">
      <c r="A11945" s="417" t="s">
        <v>3385</v>
      </c>
      <c r="B11945" s="417" t="s">
        <v>3405</v>
      </c>
      <c r="C11945" s="417" t="s">
        <v>26437</v>
      </c>
      <c r="D11945" s="417" t="s">
        <v>224</v>
      </c>
      <c r="E11945" s="423">
        <v>0.48251660154345488</v>
      </c>
      <c r="F11945" s="423">
        <v>2.842752435519667E-2</v>
      </c>
      <c r="G11945" s="422">
        <v>659.00359699783598</v>
      </c>
      <c r="H11945" s="417" t="s">
        <v>2616</v>
      </c>
      <c r="I11945" s="417" t="s">
        <v>1392</v>
      </c>
      <c r="J11945" s="417" t="s">
        <v>25793</v>
      </c>
      <c r="K11945" s="417" t="s">
        <v>26438</v>
      </c>
      <c r="L11945" s="417"/>
      <c r="M11945" s="417" t="s">
        <v>28840</v>
      </c>
    </row>
    <row r="11946" spans="1:13" x14ac:dyDescent="0.25">
      <c r="A11946" s="417" t="s">
        <v>3385</v>
      </c>
      <c r="B11946" s="417" t="s">
        <v>3405</v>
      </c>
      <c r="C11946" s="417" t="s">
        <v>26439</v>
      </c>
      <c r="D11946" s="417" t="s">
        <v>224</v>
      </c>
      <c r="E11946" s="423">
        <v>0.39148658767839661</v>
      </c>
      <c r="F11946" s="423">
        <v>4.3535340586757378E-2</v>
      </c>
      <c r="G11946" s="422">
        <v>877.26340946358903</v>
      </c>
      <c r="H11946" s="417" t="s">
        <v>2616</v>
      </c>
      <c r="I11946" s="417" t="s">
        <v>1392</v>
      </c>
      <c r="J11946" s="417" t="s">
        <v>25793</v>
      </c>
      <c r="K11946" s="417" t="s">
        <v>26440</v>
      </c>
      <c r="L11946" s="417"/>
      <c r="M11946" s="417" t="s">
        <v>28840</v>
      </c>
    </row>
    <row r="11947" spans="1:13" x14ac:dyDescent="0.25">
      <c r="A11947" s="417" t="s">
        <v>3385</v>
      </c>
      <c r="B11947" s="417" t="s">
        <v>3405</v>
      </c>
      <c r="C11947" s="417" t="s">
        <v>26441</v>
      </c>
      <c r="D11947" s="417" t="s">
        <v>224</v>
      </c>
      <c r="E11947" s="423">
        <v>0.27862572158227572</v>
      </c>
      <c r="F11947" s="423">
        <v>3.9747687281419308E-2</v>
      </c>
      <c r="G11947" s="422">
        <v>400.56439460228842</v>
      </c>
      <c r="H11947" s="417" t="s">
        <v>2616</v>
      </c>
      <c r="I11947" s="417" t="s">
        <v>1392</v>
      </c>
      <c r="J11947" s="417" t="s">
        <v>25793</v>
      </c>
      <c r="K11947" s="417" t="s">
        <v>26442</v>
      </c>
      <c r="L11947" s="417"/>
      <c r="M11947" s="417" t="s">
        <v>28840</v>
      </c>
    </row>
    <row r="11948" spans="1:13" x14ac:dyDescent="0.25">
      <c r="A11948" s="417" t="s">
        <v>3385</v>
      </c>
      <c r="B11948" s="417" t="s">
        <v>3405</v>
      </c>
      <c r="C11948" s="417" t="s">
        <v>26443</v>
      </c>
      <c r="D11948" s="417" t="s">
        <v>224</v>
      </c>
      <c r="E11948" s="423">
        <v>0.43875337486848831</v>
      </c>
      <c r="F11948" s="423">
        <v>3.1005626841243009E-3</v>
      </c>
      <c r="G11948" s="422">
        <v>788.14250996766441</v>
      </c>
      <c r="H11948" s="417" t="s">
        <v>2616</v>
      </c>
      <c r="I11948" s="417" t="s">
        <v>1392</v>
      </c>
      <c r="J11948" s="417" t="s">
        <v>25793</v>
      </c>
      <c r="K11948" s="417" t="s">
        <v>26444</v>
      </c>
      <c r="L11948" s="417"/>
      <c r="M11948" s="417" t="s">
        <v>28840</v>
      </c>
    </row>
    <row r="11949" spans="1:13" x14ac:dyDescent="0.25">
      <c r="A11949" s="417" t="s">
        <v>3385</v>
      </c>
      <c r="B11949" s="417" t="s">
        <v>3405</v>
      </c>
      <c r="C11949" s="417" t="s">
        <v>26445</v>
      </c>
      <c r="D11949" s="417" t="s">
        <v>224</v>
      </c>
      <c r="E11949" s="423">
        <v>0.49374083473036923</v>
      </c>
      <c r="F11949" s="423">
        <v>1.865460982372575E-2</v>
      </c>
      <c r="G11949" s="422">
        <v>725.92717274179802</v>
      </c>
      <c r="H11949" s="417" t="s">
        <v>2616</v>
      </c>
      <c r="I11949" s="417" t="s">
        <v>1392</v>
      </c>
      <c r="J11949" s="417" t="s">
        <v>25793</v>
      </c>
      <c r="K11949" s="417" t="s">
        <v>26446</v>
      </c>
      <c r="L11949" s="417"/>
      <c r="M11949" s="417" t="s">
        <v>28840</v>
      </c>
    </row>
    <row r="11950" spans="1:13" x14ac:dyDescent="0.25">
      <c r="A11950" s="417" t="s">
        <v>3385</v>
      </c>
      <c r="B11950" s="417" t="s">
        <v>3405</v>
      </c>
      <c r="C11950" s="417" t="s">
        <v>26447</v>
      </c>
      <c r="D11950" s="417" t="s">
        <v>224</v>
      </c>
      <c r="E11950" s="423">
        <v>0.2156760837821636</v>
      </c>
      <c r="F11950" s="423">
        <v>0.2466720911789336</v>
      </c>
      <c r="G11950" s="422">
        <v>393.8628093891873</v>
      </c>
      <c r="H11950" s="417" t="s">
        <v>2616</v>
      </c>
      <c r="I11950" s="417" t="s">
        <v>1392</v>
      </c>
      <c r="J11950" s="417" t="s">
        <v>25793</v>
      </c>
      <c r="K11950" s="417" t="s">
        <v>26448</v>
      </c>
      <c r="L11950" s="417"/>
      <c r="M11950" s="417" t="s">
        <v>28840</v>
      </c>
    </row>
    <row r="11951" spans="1:13" x14ac:dyDescent="0.25">
      <c r="A11951" s="417" t="s">
        <v>3385</v>
      </c>
      <c r="B11951" s="417" t="s">
        <v>3405</v>
      </c>
      <c r="C11951" s="417" t="s">
        <v>26449</v>
      </c>
      <c r="D11951" s="417" t="s">
        <v>224</v>
      </c>
      <c r="E11951" s="423">
        <v>0.36685246544047972</v>
      </c>
      <c r="F11951" s="423">
        <v>3.3882378202787243E-2</v>
      </c>
      <c r="G11951" s="422">
        <v>606.02840021777183</v>
      </c>
      <c r="H11951" s="417" t="s">
        <v>2616</v>
      </c>
      <c r="I11951" s="417" t="s">
        <v>1392</v>
      </c>
      <c r="J11951" s="417" t="s">
        <v>25793</v>
      </c>
      <c r="K11951" s="417" t="s">
        <v>26450</v>
      </c>
      <c r="L11951" s="417"/>
      <c r="M11951" s="417" t="s">
        <v>28840</v>
      </c>
    </row>
    <row r="11952" spans="1:13" x14ac:dyDescent="0.25">
      <c r="A11952" s="417" t="s">
        <v>3385</v>
      </c>
      <c r="B11952" s="417" t="s">
        <v>3405</v>
      </c>
      <c r="C11952" s="417" t="s">
        <v>26451</v>
      </c>
      <c r="D11952" s="417" t="s">
        <v>224</v>
      </c>
      <c r="E11952" s="423">
        <v>0.29757080103501188</v>
      </c>
      <c r="F11952" s="423">
        <v>9.5190692554140685E-2</v>
      </c>
      <c r="G11952" s="422">
        <v>451.70789649729272</v>
      </c>
      <c r="H11952" s="417" t="s">
        <v>2616</v>
      </c>
      <c r="I11952" s="417" t="s">
        <v>1392</v>
      </c>
      <c r="J11952" s="417" t="s">
        <v>25793</v>
      </c>
      <c r="K11952" s="417" t="s">
        <v>26452</v>
      </c>
      <c r="L11952" s="417"/>
      <c r="M11952" s="417" t="s">
        <v>28840</v>
      </c>
    </row>
    <row r="11953" spans="1:13" x14ac:dyDescent="0.25">
      <c r="A11953" s="417" t="s">
        <v>3385</v>
      </c>
      <c r="B11953" s="417" t="s">
        <v>3405</v>
      </c>
      <c r="C11953" s="417" t="s">
        <v>26453</v>
      </c>
      <c r="D11953" s="417" t="s">
        <v>224</v>
      </c>
      <c r="E11953" s="423">
        <v>0.79676111025826624</v>
      </c>
      <c r="F11953" s="423">
        <v>3.5600284139523731E-3</v>
      </c>
      <c r="G11953" s="422">
        <v>1222.639364955761</v>
      </c>
      <c r="H11953" s="417" t="s">
        <v>2616</v>
      </c>
      <c r="I11953" s="417" t="s">
        <v>1392</v>
      </c>
      <c r="J11953" s="417" t="s">
        <v>25793</v>
      </c>
      <c r="K11953" s="417" t="s">
        <v>26454</v>
      </c>
      <c r="L11953" s="417"/>
      <c r="M11953" s="417" t="s">
        <v>28840</v>
      </c>
    </row>
    <row r="11954" spans="1:13" x14ac:dyDescent="0.25">
      <c r="A11954" s="417" t="s">
        <v>3385</v>
      </c>
      <c r="B11954" s="417" t="s">
        <v>3405</v>
      </c>
      <c r="C11954" s="417" t="s">
        <v>26455</v>
      </c>
      <c r="D11954" s="417" t="s">
        <v>224</v>
      </c>
      <c r="E11954" s="423">
        <v>0.32324882454967302</v>
      </c>
      <c r="F11954" s="423">
        <v>4.2099090845288067E-2</v>
      </c>
      <c r="G11954" s="422">
        <v>464.7318133721929</v>
      </c>
      <c r="H11954" s="417" t="s">
        <v>2616</v>
      </c>
      <c r="I11954" s="417" t="s">
        <v>1392</v>
      </c>
      <c r="J11954" s="417" t="s">
        <v>25793</v>
      </c>
      <c r="K11954" s="417" t="s">
        <v>26456</v>
      </c>
      <c r="L11954" s="417"/>
      <c r="M11954" s="417" t="s">
        <v>28840</v>
      </c>
    </row>
    <row r="11955" spans="1:13" x14ac:dyDescent="0.25">
      <c r="A11955" s="417" t="s">
        <v>3385</v>
      </c>
      <c r="B11955" s="417" t="s">
        <v>3405</v>
      </c>
      <c r="C11955" s="417" t="s">
        <v>26457</v>
      </c>
      <c r="D11955" s="417" t="s">
        <v>224</v>
      </c>
      <c r="E11955" s="423">
        <v>0.45817437343511808</v>
      </c>
      <c r="F11955" s="423">
        <v>5.4180980220902954E-3</v>
      </c>
      <c r="G11955" s="422">
        <v>816.91182557618481</v>
      </c>
      <c r="H11955" s="417" t="s">
        <v>2616</v>
      </c>
      <c r="I11955" s="417" t="s">
        <v>1392</v>
      </c>
      <c r="J11955" s="417" t="s">
        <v>25793</v>
      </c>
      <c r="K11955" s="417" t="s">
        <v>26458</v>
      </c>
      <c r="L11955" s="417"/>
      <c r="M11955" s="417" t="s">
        <v>28840</v>
      </c>
    </row>
    <row r="11956" spans="1:13" x14ac:dyDescent="0.25">
      <c r="A11956" s="417" t="s">
        <v>3385</v>
      </c>
      <c r="B11956" s="417" t="s">
        <v>3405</v>
      </c>
      <c r="C11956" s="417" t="s">
        <v>26459</v>
      </c>
      <c r="D11956" s="417" t="s">
        <v>224</v>
      </c>
      <c r="E11956" s="423">
        <v>1.0006211192382219</v>
      </c>
      <c r="F11956" s="423">
        <v>2.178895953742311E-2</v>
      </c>
      <c r="G11956" s="422">
        <v>1293.2541620466741</v>
      </c>
      <c r="H11956" s="417" t="s">
        <v>2616</v>
      </c>
      <c r="I11956" s="417" t="s">
        <v>1392</v>
      </c>
      <c r="J11956" s="417" t="s">
        <v>25793</v>
      </c>
      <c r="K11956" s="417" t="s">
        <v>26460</v>
      </c>
      <c r="L11956" s="417"/>
      <c r="M11956" s="417" t="s">
        <v>28840</v>
      </c>
    </row>
    <row r="11957" spans="1:13" x14ac:dyDescent="0.25">
      <c r="A11957" s="417" t="s">
        <v>3385</v>
      </c>
      <c r="B11957" s="417" t="s">
        <v>3405</v>
      </c>
      <c r="C11957" s="417" t="s">
        <v>26461</v>
      </c>
      <c r="D11957" s="417" t="s">
        <v>224</v>
      </c>
      <c r="E11957" s="423">
        <v>0.40007961549449261</v>
      </c>
      <c r="F11957" s="423">
        <v>4.447455824347709E-2</v>
      </c>
      <c r="G11957" s="422">
        <v>545.4508530085759</v>
      </c>
      <c r="H11957" s="417" t="s">
        <v>2616</v>
      </c>
      <c r="I11957" s="417" t="s">
        <v>1392</v>
      </c>
      <c r="J11957" s="417" t="s">
        <v>25793</v>
      </c>
      <c r="K11957" s="417" t="s">
        <v>26462</v>
      </c>
      <c r="L11957" s="417"/>
      <c r="M11957" s="417" t="s">
        <v>28840</v>
      </c>
    </row>
    <row r="11958" spans="1:13" x14ac:dyDescent="0.25">
      <c r="A11958" s="417" t="s">
        <v>3385</v>
      </c>
      <c r="B11958" s="417" t="s">
        <v>3405</v>
      </c>
      <c r="C11958" s="417" t="s">
        <v>26463</v>
      </c>
      <c r="D11958" s="417" t="s">
        <v>224</v>
      </c>
      <c r="E11958" s="423">
        <v>0.45302481969345398</v>
      </c>
      <c r="F11958" s="423">
        <v>5.2580644607085189E-3</v>
      </c>
      <c r="G11958" s="422">
        <v>739.74159615250619</v>
      </c>
      <c r="H11958" s="417" t="s">
        <v>2616</v>
      </c>
      <c r="I11958" s="417" t="s">
        <v>1392</v>
      </c>
      <c r="J11958" s="417" t="s">
        <v>25793</v>
      </c>
      <c r="K11958" s="417" t="s">
        <v>26464</v>
      </c>
      <c r="L11958" s="417"/>
      <c r="M11958" s="417" t="s">
        <v>28840</v>
      </c>
    </row>
    <row r="11959" spans="1:13" x14ac:dyDescent="0.25">
      <c r="A11959" s="417" t="s">
        <v>3385</v>
      </c>
      <c r="B11959" s="417" t="s">
        <v>3405</v>
      </c>
      <c r="C11959" s="417" t="s">
        <v>26465</v>
      </c>
      <c r="D11959" s="417" t="s">
        <v>224</v>
      </c>
      <c r="E11959" s="423">
        <v>3.0544698509112862E-2</v>
      </c>
      <c r="F11959" s="423">
        <v>5.8120942591253062E-2</v>
      </c>
      <c r="G11959" s="422">
        <v>335.03933097654249</v>
      </c>
      <c r="H11959" s="417" t="s">
        <v>2616</v>
      </c>
      <c r="I11959" s="417" t="s">
        <v>1392</v>
      </c>
      <c r="J11959" s="417" t="s">
        <v>25793</v>
      </c>
      <c r="K11959" s="417" t="s">
        <v>26466</v>
      </c>
      <c r="L11959" s="417"/>
      <c r="M11959" s="417" t="s">
        <v>28840</v>
      </c>
    </row>
    <row r="11960" spans="1:13" x14ac:dyDescent="0.25">
      <c r="A11960" s="417" t="s">
        <v>3385</v>
      </c>
      <c r="B11960" s="417" t="s">
        <v>3405</v>
      </c>
      <c r="C11960" s="417" t="s">
        <v>26467</v>
      </c>
      <c r="D11960" s="417" t="s">
        <v>224</v>
      </c>
      <c r="E11960" s="423">
        <v>0.48471015543072848</v>
      </c>
      <c r="F11960" s="423">
        <v>2.0681271316102819E-2</v>
      </c>
      <c r="G11960" s="422">
        <v>966.8131627418461</v>
      </c>
      <c r="H11960" s="417" t="s">
        <v>2616</v>
      </c>
      <c r="I11960" s="417" t="s">
        <v>1392</v>
      </c>
      <c r="J11960" s="417" t="s">
        <v>25793</v>
      </c>
      <c r="K11960" s="417" t="s">
        <v>26468</v>
      </c>
      <c r="L11960" s="417"/>
      <c r="M11960" s="417" t="s">
        <v>28840</v>
      </c>
    </row>
    <row r="11961" spans="1:13" x14ac:dyDescent="0.25">
      <c r="A11961" s="417" t="s">
        <v>3385</v>
      </c>
      <c r="B11961" s="417" t="s">
        <v>3405</v>
      </c>
      <c r="C11961" s="417" t="s">
        <v>26469</v>
      </c>
      <c r="D11961" s="417" t="s">
        <v>224</v>
      </c>
      <c r="E11961" s="423">
        <v>0.2160832504446463</v>
      </c>
      <c r="F11961" s="423">
        <v>7.7769411683635284E-2</v>
      </c>
      <c r="G11961" s="422">
        <v>690.15387570047096</v>
      </c>
      <c r="H11961" s="417" t="s">
        <v>2616</v>
      </c>
      <c r="I11961" s="417" t="s">
        <v>1392</v>
      </c>
      <c r="J11961" s="417" t="s">
        <v>25793</v>
      </c>
      <c r="K11961" s="417" t="s">
        <v>26470</v>
      </c>
      <c r="L11961" s="417"/>
      <c r="M11961" s="417" t="s">
        <v>28840</v>
      </c>
    </row>
    <row r="11962" spans="1:13" x14ac:dyDescent="0.25">
      <c r="A11962" s="417" t="s">
        <v>3385</v>
      </c>
      <c r="B11962" s="417" t="s">
        <v>3405</v>
      </c>
      <c r="C11962" s="417" t="s">
        <v>26471</v>
      </c>
      <c r="D11962" s="417" t="s">
        <v>224</v>
      </c>
      <c r="E11962" s="423">
        <v>0.82727025542930988</v>
      </c>
      <c r="F11962" s="423">
        <v>2.068729160326525E-2</v>
      </c>
      <c r="G11962" s="422">
        <v>1214.0051664905729</v>
      </c>
      <c r="H11962" s="417" t="s">
        <v>2616</v>
      </c>
      <c r="I11962" s="417" t="s">
        <v>1392</v>
      </c>
      <c r="J11962" s="417" t="s">
        <v>25793</v>
      </c>
      <c r="K11962" s="417" t="s">
        <v>26472</v>
      </c>
      <c r="L11962" s="417"/>
      <c r="M11962" s="417" t="s">
        <v>28840</v>
      </c>
    </row>
    <row r="11963" spans="1:13" x14ac:dyDescent="0.25">
      <c r="A11963" s="417" t="s">
        <v>3385</v>
      </c>
      <c r="B11963" s="417" t="s">
        <v>3405</v>
      </c>
      <c r="C11963" s="417" t="s">
        <v>26473</v>
      </c>
      <c r="D11963" s="417" t="s">
        <v>224</v>
      </c>
      <c r="E11963" s="423">
        <v>0.97931061937007324</v>
      </c>
      <c r="F11963" s="423">
        <v>1.0861509795196281E-3</v>
      </c>
      <c r="G11963" s="422">
        <v>1264.089912068705</v>
      </c>
      <c r="H11963" s="417" t="s">
        <v>2616</v>
      </c>
      <c r="I11963" s="417" t="s">
        <v>1392</v>
      </c>
      <c r="J11963" s="417" t="s">
        <v>25793</v>
      </c>
      <c r="K11963" s="417" t="s">
        <v>26474</v>
      </c>
      <c r="L11963" s="417"/>
      <c r="M11963" s="417" t="s">
        <v>28840</v>
      </c>
    </row>
    <row r="11964" spans="1:13" x14ac:dyDescent="0.25">
      <c r="A11964" s="417" t="s">
        <v>3385</v>
      </c>
      <c r="B11964" s="417" t="s">
        <v>3405</v>
      </c>
      <c r="C11964" s="417" t="s">
        <v>26475</v>
      </c>
      <c r="D11964" s="417" t="s">
        <v>224</v>
      </c>
      <c r="E11964" s="423">
        <v>0.44891975064260681</v>
      </c>
      <c r="F11964" s="423">
        <v>1.9539935485173771E-2</v>
      </c>
      <c r="G11964" s="422">
        <v>804.86317250468232</v>
      </c>
      <c r="H11964" s="417" t="s">
        <v>2616</v>
      </c>
      <c r="I11964" s="417" t="s">
        <v>1392</v>
      </c>
      <c r="J11964" s="417" t="s">
        <v>25793</v>
      </c>
      <c r="K11964" s="417" t="s">
        <v>26476</v>
      </c>
      <c r="L11964" s="417"/>
      <c r="M11964" s="417" t="s">
        <v>28840</v>
      </c>
    </row>
    <row r="11965" spans="1:13" x14ac:dyDescent="0.25">
      <c r="A11965" s="417" t="s">
        <v>3385</v>
      </c>
      <c r="B11965" s="417" t="s">
        <v>3405</v>
      </c>
      <c r="C11965" s="417" t="s">
        <v>26477</v>
      </c>
      <c r="D11965" s="417" t="s">
        <v>224</v>
      </c>
      <c r="E11965" s="423">
        <v>0.47440172341397913</v>
      </c>
      <c r="F11965" s="423">
        <v>1.6267698528167899E-2</v>
      </c>
      <c r="G11965" s="422">
        <v>862.73840867198066</v>
      </c>
      <c r="H11965" s="417" t="s">
        <v>2616</v>
      </c>
      <c r="I11965" s="417" t="s">
        <v>1392</v>
      </c>
      <c r="J11965" s="417" t="s">
        <v>26213</v>
      </c>
      <c r="K11965" s="417" t="s">
        <v>26478</v>
      </c>
      <c r="L11965" s="417"/>
      <c r="M11965" s="417" t="s">
        <v>28840</v>
      </c>
    </row>
    <row r="11966" spans="1:13" x14ac:dyDescent="0.25">
      <c r="A11966" s="417" t="s">
        <v>3385</v>
      </c>
      <c r="B11966" s="417" t="s">
        <v>3405</v>
      </c>
      <c r="C11966" s="417" t="s">
        <v>26479</v>
      </c>
      <c r="D11966" s="417" t="s">
        <v>224</v>
      </c>
      <c r="E11966" s="423">
        <v>4.3907091000612748E-3</v>
      </c>
      <c r="F11966" s="423">
        <v>8.9755802251125459E-5</v>
      </c>
      <c r="G11966" s="422">
        <v>40.256518800757519</v>
      </c>
      <c r="H11966" s="417" t="s">
        <v>2616</v>
      </c>
      <c r="I11966" s="417" t="s">
        <v>1392</v>
      </c>
      <c r="J11966" s="417" t="s">
        <v>25793</v>
      </c>
      <c r="K11966" s="417" t="s">
        <v>26480</v>
      </c>
      <c r="L11966" s="417"/>
      <c r="M11966" s="417" t="s">
        <v>28840</v>
      </c>
    </row>
    <row r="11967" spans="1:13" x14ac:dyDescent="0.25">
      <c r="A11967" s="417" t="s">
        <v>3385</v>
      </c>
      <c r="B11967" s="417" t="s">
        <v>3405</v>
      </c>
      <c r="C11967" s="417" t="s">
        <v>26481</v>
      </c>
      <c r="D11967" s="417" t="s">
        <v>224</v>
      </c>
      <c r="E11967" s="423">
        <v>0.25044623607198552</v>
      </c>
      <c r="F11967" s="423">
        <v>2.2739512472197701E-2</v>
      </c>
      <c r="G11967" s="422">
        <v>646.70777967753031</v>
      </c>
      <c r="H11967" s="417" t="s">
        <v>2616</v>
      </c>
      <c r="I11967" s="417" t="s">
        <v>1392</v>
      </c>
      <c r="J11967" s="417" t="s">
        <v>25793</v>
      </c>
      <c r="K11967" s="417" t="s">
        <v>26482</v>
      </c>
      <c r="L11967" s="417"/>
      <c r="M11967" s="417" t="s">
        <v>28840</v>
      </c>
    </row>
    <row r="11968" spans="1:13" x14ac:dyDescent="0.25">
      <c r="A11968" s="417" t="s">
        <v>3385</v>
      </c>
      <c r="B11968" s="417" t="s">
        <v>3405</v>
      </c>
      <c r="C11968" s="417" t="s">
        <v>26483</v>
      </c>
      <c r="D11968" s="417" t="s">
        <v>224</v>
      </c>
      <c r="E11968" s="423">
        <v>0.56939633874880768</v>
      </c>
      <c r="F11968" s="423">
        <v>6.7698609918271993E-3</v>
      </c>
      <c r="G11968" s="422">
        <v>1025.471036377189</v>
      </c>
      <c r="H11968" s="417" t="s">
        <v>2616</v>
      </c>
      <c r="I11968" s="417" t="s">
        <v>1392</v>
      </c>
      <c r="J11968" s="417" t="s">
        <v>25793</v>
      </c>
      <c r="K11968" s="417" t="s">
        <v>26484</v>
      </c>
      <c r="L11968" s="417"/>
      <c r="M11968" s="417" t="s">
        <v>28840</v>
      </c>
    </row>
    <row r="11969" spans="1:13" x14ac:dyDescent="0.25">
      <c r="A11969" s="417" t="s">
        <v>3385</v>
      </c>
      <c r="B11969" s="417" t="s">
        <v>3405</v>
      </c>
      <c r="C11969" s="417" t="s">
        <v>26485</v>
      </c>
      <c r="D11969" s="417" t="s">
        <v>224</v>
      </c>
      <c r="E11969" s="423">
        <v>0.92293100987306675</v>
      </c>
      <c r="F11969" s="423">
        <v>9.3408511803162106E-3</v>
      </c>
      <c r="G11969" s="422">
        <v>1332.944989913</v>
      </c>
      <c r="H11969" s="417" t="s">
        <v>2616</v>
      </c>
      <c r="I11969" s="417" t="s">
        <v>1392</v>
      </c>
      <c r="J11969" s="417" t="s">
        <v>25793</v>
      </c>
      <c r="K11969" s="417" t="s">
        <v>26486</v>
      </c>
      <c r="L11969" s="417"/>
      <c r="M11969" s="417" t="s">
        <v>28840</v>
      </c>
    </row>
    <row r="11970" spans="1:13" x14ac:dyDescent="0.25">
      <c r="A11970" s="417" t="s">
        <v>3385</v>
      </c>
      <c r="B11970" s="417" t="s">
        <v>3405</v>
      </c>
      <c r="C11970" s="417" t="s">
        <v>26487</v>
      </c>
      <c r="D11970" s="417" t="s">
        <v>224</v>
      </c>
      <c r="E11970" s="423">
        <v>0.68836692632883434</v>
      </c>
      <c r="F11970" s="423">
        <v>2.5890065588475199E-2</v>
      </c>
      <c r="G11970" s="422">
        <v>1167.1899361771009</v>
      </c>
      <c r="H11970" s="417" t="s">
        <v>2616</v>
      </c>
      <c r="I11970" s="417" t="s">
        <v>1392</v>
      </c>
      <c r="J11970" s="417" t="s">
        <v>25793</v>
      </c>
      <c r="K11970" s="417" t="s">
        <v>26488</v>
      </c>
      <c r="L11970" s="417"/>
      <c r="M11970" s="417" t="s">
        <v>28840</v>
      </c>
    </row>
    <row r="11971" spans="1:13" x14ac:dyDescent="0.25">
      <c r="A11971" s="417" t="s">
        <v>3385</v>
      </c>
      <c r="B11971" s="417" t="s">
        <v>3405</v>
      </c>
      <c r="C11971" s="417" t="s">
        <v>26489</v>
      </c>
      <c r="D11971" s="417" t="s">
        <v>224</v>
      </c>
      <c r="E11971" s="423">
        <v>0.80895500848360857</v>
      </c>
      <c r="F11971" s="423">
        <v>1.8313239205273129E-3</v>
      </c>
      <c r="G11971" s="422">
        <v>1172.6203876846801</v>
      </c>
      <c r="H11971" s="417" t="s">
        <v>2616</v>
      </c>
      <c r="I11971" s="417" t="s">
        <v>1392</v>
      </c>
      <c r="J11971" s="417" t="s">
        <v>25793</v>
      </c>
      <c r="K11971" s="417" t="s">
        <v>26490</v>
      </c>
      <c r="L11971" s="417"/>
      <c r="M11971" s="417" t="s">
        <v>28840</v>
      </c>
    </row>
    <row r="11972" spans="1:13" x14ac:dyDescent="0.25">
      <c r="A11972" s="417" t="s">
        <v>3385</v>
      </c>
      <c r="B11972" s="417" t="s">
        <v>3405</v>
      </c>
      <c r="C11972" s="417" t="s">
        <v>26491</v>
      </c>
      <c r="D11972" s="417" t="s">
        <v>224</v>
      </c>
      <c r="E11972" s="423">
        <v>0.67642173021002938</v>
      </c>
      <c r="F11972" s="423">
        <v>3.7411773714438219E-3</v>
      </c>
      <c r="G11972" s="422">
        <v>1037.030181939484</v>
      </c>
      <c r="H11972" s="417" t="s">
        <v>2616</v>
      </c>
      <c r="I11972" s="417" t="s">
        <v>1392</v>
      </c>
      <c r="J11972" s="417" t="s">
        <v>25793</v>
      </c>
      <c r="K11972" s="417" t="s">
        <v>26492</v>
      </c>
      <c r="L11972" s="417"/>
      <c r="M11972" s="417" t="s">
        <v>28840</v>
      </c>
    </row>
    <row r="11973" spans="1:13" x14ac:dyDescent="0.25">
      <c r="A11973" s="417" t="s">
        <v>3385</v>
      </c>
      <c r="B11973" s="417" t="s">
        <v>3405</v>
      </c>
      <c r="C11973" s="417" t="s">
        <v>26493</v>
      </c>
      <c r="D11973" s="417" t="s">
        <v>224</v>
      </c>
      <c r="E11973" s="423">
        <v>0.51386095197906068</v>
      </c>
      <c r="F11973" s="423">
        <v>5.1651643615734467E-2</v>
      </c>
      <c r="G11973" s="422">
        <v>683.65851755629228</v>
      </c>
      <c r="H11973" s="417" t="s">
        <v>2616</v>
      </c>
      <c r="I11973" s="417" t="s">
        <v>1392</v>
      </c>
      <c r="J11973" s="417" t="s">
        <v>25793</v>
      </c>
      <c r="K11973" s="417" t="s">
        <v>26494</v>
      </c>
      <c r="L11973" s="417"/>
      <c r="M11973" s="417" t="s">
        <v>28840</v>
      </c>
    </row>
    <row r="11974" spans="1:13" x14ac:dyDescent="0.25">
      <c r="A11974" s="417" t="s">
        <v>3385</v>
      </c>
      <c r="B11974" s="417" t="s">
        <v>3405</v>
      </c>
      <c r="C11974" s="417" t="s">
        <v>26495</v>
      </c>
      <c r="D11974" s="417" t="s">
        <v>224</v>
      </c>
      <c r="E11974" s="423">
        <v>0.52621986810434507</v>
      </c>
      <c r="F11974" s="423">
        <v>2.5992142504772078E-3</v>
      </c>
      <c r="G11974" s="422">
        <v>943.31768206545473</v>
      </c>
      <c r="H11974" s="417" t="s">
        <v>2616</v>
      </c>
      <c r="I11974" s="417" t="s">
        <v>1392</v>
      </c>
      <c r="J11974" s="417" t="s">
        <v>25793</v>
      </c>
      <c r="K11974" s="417" t="s">
        <v>26496</v>
      </c>
      <c r="L11974" s="417"/>
      <c r="M11974" s="417" t="s">
        <v>28840</v>
      </c>
    </row>
    <row r="11975" spans="1:13" x14ac:dyDescent="0.25">
      <c r="A11975" s="417" t="s">
        <v>3385</v>
      </c>
      <c r="B11975" s="417" t="s">
        <v>3405</v>
      </c>
      <c r="C11975" s="417" t="s">
        <v>26497</v>
      </c>
      <c r="D11975" s="417" t="s">
        <v>224</v>
      </c>
      <c r="E11975" s="423">
        <v>0.39261853772346172</v>
      </c>
      <c r="F11975" s="423">
        <v>4.8466692698654251E-2</v>
      </c>
      <c r="G11975" s="422">
        <v>855.48584993641532</v>
      </c>
      <c r="H11975" s="417" t="s">
        <v>2616</v>
      </c>
      <c r="I11975" s="417" t="s">
        <v>1392</v>
      </c>
      <c r="J11975" s="417" t="s">
        <v>25793</v>
      </c>
      <c r="K11975" s="417" t="s">
        <v>26498</v>
      </c>
      <c r="L11975" s="417"/>
      <c r="M11975" s="417" t="s">
        <v>28840</v>
      </c>
    </row>
    <row r="11976" spans="1:13" x14ac:dyDescent="0.25">
      <c r="A11976" s="417" t="s">
        <v>3385</v>
      </c>
      <c r="B11976" s="417" t="s">
        <v>3405</v>
      </c>
      <c r="C11976" s="417" t="s">
        <v>26499</v>
      </c>
      <c r="D11976" s="417" t="s">
        <v>224</v>
      </c>
      <c r="E11976" s="423">
        <v>7.2393850214526795E-2</v>
      </c>
      <c r="F11976" s="423">
        <v>1.177360280986618E-2</v>
      </c>
      <c r="G11976" s="422">
        <v>704.03866487838025</v>
      </c>
      <c r="H11976" s="417" t="s">
        <v>2616</v>
      </c>
      <c r="I11976" s="417" t="s">
        <v>1392</v>
      </c>
      <c r="J11976" s="417" t="s">
        <v>25793</v>
      </c>
      <c r="K11976" s="417" t="s">
        <v>26500</v>
      </c>
      <c r="L11976" s="417"/>
      <c r="M11976" s="417" t="s">
        <v>28840</v>
      </c>
    </row>
    <row r="11977" spans="1:13" x14ac:dyDescent="0.25">
      <c r="A11977" s="417" t="s">
        <v>3385</v>
      </c>
      <c r="B11977" s="417" t="s">
        <v>3405</v>
      </c>
      <c r="C11977" s="417" t="s">
        <v>26501</v>
      </c>
      <c r="D11977" s="417" t="s">
        <v>224</v>
      </c>
      <c r="E11977" s="423">
        <v>0.42244334619141788</v>
      </c>
      <c r="F11977" s="423">
        <v>1.6064582814180081E-3</v>
      </c>
      <c r="G11977" s="422">
        <v>777.61081637517634</v>
      </c>
      <c r="H11977" s="417" t="s">
        <v>2616</v>
      </c>
      <c r="I11977" s="417" t="s">
        <v>1392</v>
      </c>
      <c r="J11977" s="417" t="s">
        <v>25793</v>
      </c>
      <c r="K11977" s="417" t="s">
        <v>26502</v>
      </c>
      <c r="L11977" s="417"/>
      <c r="M11977" s="417" t="s">
        <v>28840</v>
      </c>
    </row>
    <row r="11978" spans="1:13" x14ac:dyDescent="0.25">
      <c r="A11978" s="417" t="s">
        <v>3385</v>
      </c>
      <c r="B11978" s="417" t="s">
        <v>3405</v>
      </c>
      <c r="C11978" s="417" t="s">
        <v>26503</v>
      </c>
      <c r="D11978" s="417" t="s">
        <v>224</v>
      </c>
      <c r="E11978" s="423">
        <v>0.60517264303164287</v>
      </c>
      <c r="F11978" s="423">
        <v>6.1950046308375493E-3</v>
      </c>
      <c r="G11978" s="422">
        <v>810.66061598586953</v>
      </c>
      <c r="H11978" s="417" t="s">
        <v>2616</v>
      </c>
      <c r="I11978" s="417" t="s">
        <v>1392</v>
      </c>
      <c r="J11978" s="417" t="s">
        <v>25793</v>
      </c>
      <c r="K11978" s="417" t="s">
        <v>26504</v>
      </c>
      <c r="L11978" s="417"/>
      <c r="M11978" s="417" t="s">
        <v>28840</v>
      </c>
    </row>
    <row r="11979" spans="1:13" x14ac:dyDescent="0.25">
      <c r="A11979" s="417" t="s">
        <v>3385</v>
      </c>
      <c r="B11979" s="417" t="s">
        <v>3405</v>
      </c>
      <c r="C11979" s="417" t="s">
        <v>26505</v>
      </c>
      <c r="D11979" s="417" t="s">
        <v>224</v>
      </c>
      <c r="E11979" s="423">
        <v>0.59891595739716985</v>
      </c>
      <c r="F11979" s="423">
        <v>1.277375795816289E-3</v>
      </c>
      <c r="G11979" s="422">
        <v>798.47726366288896</v>
      </c>
      <c r="H11979" s="417" t="s">
        <v>2616</v>
      </c>
      <c r="I11979" s="417" t="s">
        <v>1392</v>
      </c>
      <c r="J11979" s="417" t="s">
        <v>25793</v>
      </c>
      <c r="K11979" s="417" t="s">
        <v>26506</v>
      </c>
      <c r="L11979" s="417"/>
      <c r="M11979" s="417" t="s">
        <v>28840</v>
      </c>
    </row>
    <row r="11980" spans="1:13" x14ac:dyDescent="0.25">
      <c r="A11980" s="417" t="s">
        <v>3385</v>
      </c>
      <c r="B11980" s="417" t="s">
        <v>3405</v>
      </c>
      <c r="C11980" s="417" t="s">
        <v>26507</v>
      </c>
      <c r="D11980" s="417" t="s">
        <v>224</v>
      </c>
      <c r="E11980" s="423">
        <v>0.40324380095482881</v>
      </c>
      <c r="F11980" s="423">
        <v>4.2358327026627937E-2</v>
      </c>
      <c r="G11980" s="422">
        <v>902.01945952856022</v>
      </c>
      <c r="H11980" s="417" t="s">
        <v>2616</v>
      </c>
      <c r="I11980" s="417" t="s">
        <v>1392</v>
      </c>
      <c r="J11980" s="417" t="s">
        <v>25793</v>
      </c>
      <c r="K11980" s="417" t="s">
        <v>26508</v>
      </c>
      <c r="L11980" s="417"/>
      <c r="M11980" s="417" t="s">
        <v>28840</v>
      </c>
    </row>
    <row r="11981" spans="1:13" x14ac:dyDescent="0.25">
      <c r="A11981" s="417" t="s">
        <v>3385</v>
      </c>
      <c r="B11981" s="417" t="s">
        <v>3405</v>
      </c>
      <c r="C11981" s="417" t="s">
        <v>26509</v>
      </c>
      <c r="D11981" s="417" t="s">
        <v>224</v>
      </c>
      <c r="E11981" s="423">
        <v>0.65963157979029241</v>
      </c>
      <c r="F11981" s="423">
        <v>2.2125165350900831E-2</v>
      </c>
      <c r="G11981" s="422">
        <v>857.25475311859452</v>
      </c>
      <c r="H11981" s="417" t="s">
        <v>2616</v>
      </c>
      <c r="I11981" s="417" t="s">
        <v>1392</v>
      </c>
      <c r="J11981" s="417" t="s">
        <v>25793</v>
      </c>
      <c r="K11981" s="417" t="s">
        <v>26510</v>
      </c>
      <c r="L11981" s="417"/>
      <c r="M11981" s="417" t="s">
        <v>28840</v>
      </c>
    </row>
    <row r="11982" spans="1:13" x14ac:dyDescent="0.25">
      <c r="A11982" s="417" t="s">
        <v>3385</v>
      </c>
      <c r="B11982" s="417" t="s">
        <v>3405</v>
      </c>
      <c r="C11982" s="417" t="s">
        <v>26511</v>
      </c>
      <c r="D11982" s="417" t="s">
        <v>224</v>
      </c>
      <c r="E11982" s="423">
        <v>0.54487288892237151</v>
      </c>
      <c r="F11982" s="423">
        <v>3.8244325744521252E-3</v>
      </c>
      <c r="G11982" s="422">
        <v>966.91711680497417</v>
      </c>
      <c r="H11982" s="417" t="s">
        <v>2616</v>
      </c>
      <c r="I11982" s="417" t="s">
        <v>1392</v>
      </c>
      <c r="J11982" s="417" t="s">
        <v>25793</v>
      </c>
      <c r="K11982" s="417" t="s">
        <v>26512</v>
      </c>
      <c r="L11982" s="417"/>
      <c r="M11982" s="417" t="s">
        <v>28840</v>
      </c>
    </row>
    <row r="11983" spans="1:13" x14ac:dyDescent="0.25">
      <c r="A11983" s="417" t="s">
        <v>3385</v>
      </c>
      <c r="B11983" s="417" t="s">
        <v>3405</v>
      </c>
      <c r="C11983" s="417" t="s">
        <v>26513</v>
      </c>
      <c r="D11983" s="417" t="s">
        <v>224</v>
      </c>
      <c r="E11983" s="423">
        <v>0.57235621293631234</v>
      </c>
      <c r="F11983" s="423">
        <v>2.6739915341377628E-3</v>
      </c>
      <c r="G11983" s="422">
        <v>828.98755099586731</v>
      </c>
      <c r="H11983" s="417" t="s">
        <v>2616</v>
      </c>
      <c r="I11983" s="417" t="s">
        <v>1392</v>
      </c>
      <c r="J11983" s="417" t="s">
        <v>25793</v>
      </c>
      <c r="K11983" s="417" t="s">
        <v>26514</v>
      </c>
      <c r="L11983" s="417"/>
      <c r="M11983" s="417" t="s">
        <v>28840</v>
      </c>
    </row>
    <row r="11984" spans="1:13" x14ac:dyDescent="0.25">
      <c r="A11984" s="417" t="s">
        <v>3385</v>
      </c>
      <c r="B11984" s="417" t="s">
        <v>3405</v>
      </c>
      <c r="C11984" s="417" t="s">
        <v>26515</v>
      </c>
      <c r="D11984" s="417" t="s">
        <v>224</v>
      </c>
      <c r="E11984" s="423">
        <v>0.48444512685312652</v>
      </c>
      <c r="F11984" s="423">
        <v>2.7670684841095859E-3</v>
      </c>
      <c r="G11984" s="422">
        <v>715.25352462192348</v>
      </c>
      <c r="H11984" s="417" t="s">
        <v>2616</v>
      </c>
      <c r="I11984" s="417" t="s">
        <v>1392</v>
      </c>
      <c r="J11984" s="417" t="s">
        <v>25793</v>
      </c>
      <c r="K11984" s="417" t="s">
        <v>26516</v>
      </c>
      <c r="L11984" s="417"/>
      <c r="M11984" s="417" t="s">
        <v>28840</v>
      </c>
    </row>
    <row r="11985" spans="1:13" x14ac:dyDescent="0.25">
      <c r="A11985" s="417" t="s">
        <v>3385</v>
      </c>
      <c r="B11985" s="417" t="s">
        <v>3405</v>
      </c>
      <c r="C11985" s="417" t="s">
        <v>26517</v>
      </c>
      <c r="D11985" s="417" t="s">
        <v>224</v>
      </c>
      <c r="E11985" s="423">
        <v>0.56571599380658788</v>
      </c>
      <c r="F11985" s="423">
        <v>3.8034520517227651E-3</v>
      </c>
      <c r="G11985" s="422">
        <v>978.43141156490083</v>
      </c>
      <c r="H11985" s="417" t="s">
        <v>2616</v>
      </c>
      <c r="I11985" s="417" t="s">
        <v>1392</v>
      </c>
      <c r="J11985" s="417" t="s">
        <v>25793</v>
      </c>
      <c r="K11985" s="417" t="s">
        <v>26518</v>
      </c>
      <c r="L11985" s="417"/>
      <c r="M11985" s="417" t="s">
        <v>28840</v>
      </c>
    </row>
    <row r="11986" spans="1:13" x14ac:dyDescent="0.25">
      <c r="A11986" s="417" t="s">
        <v>3385</v>
      </c>
      <c r="B11986" s="417" t="s">
        <v>3405</v>
      </c>
      <c r="C11986" s="417" t="s">
        <v>26519</v>
      </c>
      <c r="D11986" s="417" t="s">
        <v>224</v>
      </c>
      <c r="E11986" s="423">
        <v>0.30040946380288519</v>
      </c>
      <c r="F11986" s="423">
        <v>9.4752308961503787E-2</v>
      </c>
      <c r="G11986" s="422">
        <v>455.22615116276347</v>
      </c>
      <c r="H11986" s="417" t="s">
        <v>2616</v>
      </c>
      <c r="I11986" s="417" t="s">
        <v>1392</v>
      </c>
      <c r="J11986" s="417" t="s">
        <v>25793</v>
      </c>
      <c r="K11986" s="417" t="s">
        <v>26520</v>
      </c>
      <c r="L11986" s="417"/>
      <c r="M11986" s="417" t="s">
        <v>28840</v>
      </c>
    </row>
    <row r="11987" spans="1:13" x14ac:dyDescent="0.25">
      <c r="A11987" s="417" t="s">
        <v>3385</v>
      </c>
      <c r="B11987" s="417" t="s">
        <v>3405</v>
      </c>
      <c r="C11987" s="417" t="s">
        <v>26521</v>
      </c>
      <c r="D11987" s="417" t="s">
        <v>224</v>
      </c>
      <c r="E11987" s="423">
        <v>0.79676237805032224</v>
      </c>
      <c r="F11987" s="423">
        <v>3.560029007755019E-3</v>
      </c>
      <c r="G11987" s="422">
        <v>1222.640930381971</v>
      </c>
      <c r="H11987" s="417" t="s">
        <v>2616</v>
      </c>
      <c r="I11987" s="417" t="s">
        <v>1392</v>
      </c>
      <c r="J11987" s="417" t="s">
        <v>25793</v>
      </c>
      <c r="K11987" s="417" t="s">
        <v>26522</v>
      </c>
      <c r="L11987" s="417"/>
      <c r="M11987" s="417" t="s">
        <v>28840</v>
      </c>
    </row>
    <row r="11988" spans="1:13" x14ac:dyDescent="0.25">
      <c r="A11988" s="417" t="s">
        <v>3385</v>
      </c>
      <c r="B11988" s="417" t="s">
        <v>3405</v>
      </c>
      <c r="C11988" s="417" t="s">
        <v>26523</v>
      </c>
      <c r="D11988" s="417" t="s">
        <v>224</v>
      </c>
      <c r="E11988" s="423">
        <v>0.59118519604437147</v>
      </c>
      <c r="F11988" s="423">
        <v>2.1143301737462489E-3</v>
      </c>
      <c r="G11988" s="422">
        <v>788.42280003906774</v>
      </c>
      <c r="H11988" s="417" t="s">
        <v>2616</v>
      </c>
      <c r="I11988" s="417" t="s">
        <v>1392</v>
      </c>
      <c r="J11988" s="417" t="s">
        <v>25793</v>
      </c>
      <c r="K11988" s="417" t="s">
        <v>26524</v>
      </c>
      <c r="L11988" s="417"/>
      <c r="M11988" s="417" t="s">
        <v>28840</v>
      </c>
    </row>
    <row r="11989" spans="1:13" x14ac:dyDescent="0.25">
      <c r="A11989" s="417" t="s">
        <v>3385</v>
      </c>
      <c r="B11989" s="417" t="s">
        <v>3405</v>
      </c>
      <c r="C11989" s="417" t="s">
        <v>26525</v>
      </c>
      <c r="D11989" s="417" t="s">
        <v>224</v>
      </c>
      <c r="E11989" s="423">
        <v>0.53546465768500195</v>
      </c>
      <c r="F11989" s="423">
        <v>3.9041959530825708E-3</v>
      </c>
      <c r="G11989" s="422">
        <v>945.6712886687742</v>
      </c>
      <c r="H11989" s="417" t="s">
        <v>2616</v>
      </c>
      <c r="I11989" s="417" t="s">
        <v>1392</v>
      </c>
      <c r="J11989" s="417" t="s">
        <v>25793</v>
      </c>
      <c r="K11989" s="417" t="s">
        <v>26526</v>
      </c>
      <c r="L11989" s="417"/>
      <c r="M11989" s="417" t="s">
        <v>28840</v>
      </c>
    </row>
    <row r="11990" spans="1:13" x14ac:dyDescent="0.25">
      <c r="A11990" s="417" t="s">
        <v>3385</v>
      </c>
      <c r="B11990" s="417" t="s">
        <v>3405</v>
      </c>
      <c r="C11990" s="417" t="s">
        <v>26527</v>
      </c>
      <c r="D11990" s="417" t="s">
        <v>224</v>
      </c>
      <c r="E11990" s="423">
        <v>1.0256930328611951</v>
      </c>
      <c r="F11990" s="423">
        <v>1.668910076637533E-2</v>
      </c>
      <c r="G11990" s="422">
        <v>1323.079431216664</v>
      </c>
      <c r="H11990" s="417" t="s">
        <v>2616</v>
      </c>
      <c r="I11990" s="417" t="s">
        <v>1392</v>
      </c>
      <c r="J11990" s="417" t="s">
        <v>25793</v>
      </c>
      <c r="K11990" s="417" t="s">
        <v>26528</v>
      </c>
      <c r="L11990" s="417"/>
      <c r="M11990" s="417" t="s">
        <v>28840</v>
      </c>
    </row>
    <row r="11991" spans="1:13" x14ac:dyDescent="0.25">
      <c r="A11991" s="417" t="s">
        <v>3385</v>
      </c>
      <c r="B11991" s="417" t="s">
        <v>3405</v>
      </c>
      <c r="C11991" s="417" t="s">
        <v>26529</v>
      </c>
      <c r="D11991" s="417" t="s">
        <v>224</v>
      </c>
      <c r="E11991" s="423">
        <v>0.39051101948906808</v>
      </c>
      <c r="F11991" s="423">
        <v>4.3407075827686603E-2</v>
      </c>
      <c r="G11991" s="422">
        <v>532.8927898716862</v>
      </c>
      <c r="H11991" s="417" t="s">
        <v>2616</v>
      </c>
      <c r="I11991" s="417" t="s">
        <v>1392</v>
      </c>
      <c r="J11991" s="417" t="s">
        <v>25793</v>
      </c>
      <c r="K11991" s="417" t="s">
        <v>26530</v>
      </c>
      <c r="L11991" s="417"/>
      <c r="M11991" s="417" t="s">
        <v>28840</v>
      </c>
    </row>
    <row r="11992" spans="1:13" x14ac:dyDescent="0.25">
      <c r="A11992" s="417" t="s">
        <v>3385</v>
      </c>
      <c r="B11992" s="417" t="s">
        <v>3405</v>
      </c>
      <c r="C11992" s="417" t="s">
        <v>26531</v>
      </c>
      <c r="D11992" s="417" t="s">
        <v>224</v>
      </c>
      <c r="E11992" s="423">
        <v>0.45438487069318489</v>
      </c>
      <c r="F11992" s="423">
        <v>5.1278622737953358E-3</v>
      </c>
      <c r="G11992" s="422">
        <v>741.78498604232323</v>
      </c>
      <c r="H11992" s="417" t="s">
        <v>2616</v>
      </c>
      <c r="I11992" s="417" t="s">
        <v>1392</v>
      </c>
      <c r="J11992" s="417" t="s">
        <v>25793</v>
      </c>
      <c r="K11992" s="417" t="s">
        <v>26532</v>
      </c>
      <c r="L11992" s="417"/>
      <c r="M11992" s="417" t="s">
        <v>28840</v>
      </c>
    </row>
    <row r="11993" spans="1:13" x14ac:dyDescent="0.25">
      <c r="A11993" s="417" t="s">
        <v>3385</v>
      </c>
      <c r="B11993" s="417" t="s">
        <v>3405</v>
      </c>
      <c r="C11993" s="417" t="s">
        <v>26533</v>
      </c>
      <c r="D11993" s="417" t="s">
        <v>224</v>
      </c>
      <c r="E11993" s="423">
        <v>7.7088747811733208E-2</v>
      </c>
      <c r="F11993" s="423">
        <v>2.101931736130528E-2</v>
      </c>
      <c r="G11993" s="422">
        <v>765.25602873891057</v>
      </c>
      <c r="H11993" s="417" t="s">
        <v>2616</v>
      </c>
      <c r="I11993" s="417" t="s">
        <v>1392</v>
      </c>
      <c r="J11993" s="417" t="s">
        <v>25793</v>
      </c>
      <c r="K11993" s="417" t="s">
        <v>26534</v>
      </c>
      <c r="L11993" s="417"/>
      <c r="M11993" s="417" t="s">
        <v>28840</v>
      </c>
    </row>
    <row r="11994" spans="1:13" x14ac:dyDescent="0.25">
      <c r="A11994" s="417" t="s">
        <v>3385</v>
      </c>
      <c r="B11994" s="417" t="s">
        <v>3405</v>
      </c>
      <c r="C11994" s="417" t="s">
        <v>26535</v>
      </c>
      <c r="D11994" s="417" t="s">
        <v>224</v>
      </c>
      <c r="E11994" s="423">
        <v>0.56022669123432811</v>
      </c>
      <c r="F11994" s="423">
        <v>1.486227420869091E-3</v>
      </c>
      <c r="G11994" s="422">
        <v>1106.671564415803</v>
      </c>
      <c r="H11994" s="417" t="s">
        <v>2616</v>
      </c>
      <c r="I11994" s="417" t="s">
        <v>1392</v>
      </c>
      <c r="J11994" s="417" t="s">
        <v>25793</v>
      </c>
      <c r="K11994" s="417" t="s">
        <v>26536</v>
      </c>
      <c r="L11994" s="417"/>
      <c r="M11994" s="417" t="s">
        <v>28840</v>
      </c>
    </row>
    <row r="11995" spans="1:13" x14ac:dyDescent="0.25">
      <c r="A11995" s="417" t="s">
        <v>3385</v>
      </c>
      <c r="B11995" s="417" t="s">
        <v>3405</v>
      </c>
      <c r="C11995" s="417" t="s">
        <v>26537</v>
      </c>
      <c r="D11995" s="417" t="s">
        <v>224</v>
      </c>
      <c r="E11995" s="423">
        <v>0.22718458961434221</v>
      </c>
      <c r="F11995" s="423">
        <v>5.0459527987762383E-2</v>
      </c>
      <c r="G11995" s="422">
        <v>722.19815201373001</v>
      </c>
      <c r="H11995" s="417" t="s">
        <v>2616</v>
      </c>
      <c r="I11995" s="417" t="s">
        <v>1392</v>
      </c>
      <c r="J11995" s="417" t="s">
        <v>25793</v>
      </c>
      <c r="K11995" s="417" t="s">
        <v>26538</v>
      </c>
      <c r="L11995" s="417"/>
      <c r="M11995" s="417" t="s">
        <v>28840</v>
      </c>
    </row>
    <row r="11996" spans="1:13" x14ac:dyDescent="0.25">
      <c r="A11996" s="417" t="s">
        <v>3385</v>
      </c>
      <c r="B11996" s="417" t="s">
        <v>3405</v>
      </c>
      <c r="C11996" s="417" t="s">
        <v>26539</v>
      </c>
      <c r="D11996" s="417" t="s">
        <v>224</v>
      </c>
      <c r="E11996" s="423">
        <v>0</v>
      </c>
      <c r="F11996" s="423">
        <v>0</v>
      </c>
      <c r="G11996" s="422">
        <v>0</v>
      </c>
      <c r="H11996" s="417" t="s">
        <v>2616</v>
      </c>
      <c r="I11996" s="417" t="s">
        <v>1392</v>
      </c>
      <c r="J11996" s="417" t="s">
        <v>25732</v>
      </c>
      <c r="K11996" s="417" t="s">
        <v>26540</v>
      </c>
      <c r="L11996" s="417"/>
      <c r="M11996" s="417" t="s">
        <v>28840</v>
      </c>
    </row>
    <row r="11997" spans="1:13" x14ac:dyDescent="0.25">
      <c r="A11997" s="417" t="s">
        <v>3385</v>
      </c>
      <c r="B11997" s="417" t="s">
        <v>3405</v>
      </c>
      <c r="C11997" s="417" t="s">
        <v>26541</v>
      </c>
      <c r="D11997" s="417" t="s">
        <v>224</v>
      </c>
      <c r="E11997" s="423">
        <v>0</v>
      </c>
      <c r="F11997" s="423">
        <v>0</v>
      </c>
      <c r="G11997" s="422">
        <v>0</v>
      </c>
      <c r="H11997" s="417" t="s">
        <v>2616</v>
      </c>
      <c r="I11997" s="417" t="s">
        <v>1392</v>
      </c>
      <c r="J11997" s="417" t="s">
        <v>25732</v>
      </c>
      <c r="K11997" s="417" t="s">
        <v>26542</v>
      </c>
      <c r="L11997" s="417"/>
      <c r="M11997" s="417" t="s">
        <v>28840</v>
      </c>
    </row>
    <row r="11998" spans="1:13" x14ac:dyDescent="0.25">
      <c r="A11998" s="417" t="s">
        <v>3385</v>
      </c>
      <c r="B11998" s="417" t="s">
        <v>3405</v>
      </c>
      <c r="C11998" s="417" t="s">
        <v>26543</v>
      </c>
      <c r="D11998" s="417" t="s">
        <v>224</v>
      </c>
      <c r="E11998" s="423">
        <v>0.19198591185014471</v>
      </c>
      <c r="F11998" s="423">
        <v>4.9361261473567883E-2</v>
      </c>
      <c r="G11998" s="422">
        <v>330.69459152958029</v>
      </c>
      <c r="H11998" s="417" t="s">
        <v>2616</v>
      </c>
      <c r="I11998" s="417" t="s">
        <v>1392</v>
      </c>
      <c r="J11998" s="417" t="s">
        <v>25793</v>
      </c>
      <c r="K11998" s="417" t="s">
        <v>26544</v>
      </c>
      <c r="L11998" s="417"/>
      <c r="M11998" s="417" t="s">
        <v>28840</v>
      </c>
    </row>
    <row r="11999" spans="1:13" x14ac:dyDescent="0.25">
      <c r="A11999" s="417" t="s">
        <v>3385</v>
      </c>
      <c r="B11999" s="417" t="s">
        <v>3405</v>
      </c>
      <c r="C11999" s="417" t="s">
        <v>26545</v>
      </c>
      <c r="D11999" s="417" t="s">
        <v>224</v>
      </c>
      <c r="E11999" s="423">
        <v>0.93751081435454298</v>
      </c>
      <c r="F11999" s="423">
        <v>8.3788818752717608E-3</v>
      </c>
      <c r="G11999" s="422">
        <v>1158.274464410689</v>
      </c>
      <c r="H11999" s="417" t="s">
        <v>2616</v>
      </c>
      <c r="I11999" s="417" t="s">
        <v>1392</v>
      </c>
      <c r="J11999" s="417" t="s">
        <v>25793</v>
      </c>
      <c r="K11999" s="417" t="s">
        <v>26546</v>
      </c>
      <c r="L11999" s="417"/>
      <c r="M11999" s="417" t="s">
        <v>28840</v>
      </c>
    </row>
    <row r="12000" spans="1:13" x14ac:dyDescent="0.25">
      <c r="A12000" s="417" t="s">
        <v>3385</v>
      </c>
      <c r="B12000" s="417" t="s">
        <v>3405</v>
      </c>
      <c r="C12000" s="417" t="s">
        <v>26547</v>
      </c>
      <c r="D12000" s="417" t="s">
        <v>224</v>
      </c>
      <c r="E12000" s="423">
        <v>0.74752714928356589</v>
      </c>
      <c r="F12000" s="423">
        <v>1.577079705536474E-3</v>
      </c>
      <c r="G12000" s="422">
        <v>925.0741118489633</v>
      </c>
      <c r="H12000" s="417" t="s">
        <v>2616</v>
      </c>
      <c r="I12000" s="417" t="s">
        <v>1392</v>
      </c>
      <c r="J12000" s="417" t="s">
        <v>25793</v>
      </c>
      <c r="K12000" s="417" t="s">
        <v>26548</v>
      </c>
      <c r="L12000" s="417"/>
      <c r="M12000" s="417" t="s">
        <v>28840</v>
      </c>
    </row>
    <row r="12001" spans="1:13" x14ac:dyDescent="0.25">
      <c r="A12001" s="417" t="s">
        <v>3385</v>
      </c>
      <c r="B12001" s="417" t="s">
        <v>3405</v>
      </c>
      <c r="C12001" s="417" t="s">
        <v>26549</v>
      </c>
      <c r="D12001" s="417" t="s">
        <v>224</v>
      </c>
      <c r="E12001" s="423">
        <v>0.23518596750729609</v>
      </c>
      <c r="F12001" s="423">
        <v>2.8342394453601719E-2</v>
      </c>
      <c r="G12001" s="422">
        <v>768.77465076603232</v>
      </c>
      <c r="H12001" s="417" t="s">
        <v>2616</v>
      </c>
      <c r="I12001" s="417" t="s">
        <v>1392</v>
      </c>
      <c r="J12001" s="417" t="s">
        <v>25793</v>
      </c>
      <c r="K12001" s="417" t="s">
        <v>26550</v>
      </c>
      <c r="L12001" s="417"/>
      <c r="M12001" s="417" t="s">
        <v>28840</v>
      </c>
    </row>
    <row r="12002" spans="1:13" x14ac:dyDescent="0.25">
      <c r="A12002" s="417" t="s">
        <v>3385</v>
      </c>
      <c r="B12002" s="417" t="s">
        <v>3405</v>
      </c>
      <c r="C12002" s="417" t="s">
        <v>26551</v>
      </c>
      <c r="D12002" s="417" t="s">
        <v>224</v>
      </c>
      <c r="E12002" s="423">
        <v>0.62776683411610601</v>
      </c>
      <c r="F12002" s="423">
        <v>1.1070813992297339E-3</v>
      </c>
      <c r="G12002" s="422">
        <v>1046.24572103686</v>
      </c>
      <c r="H12002" s="417" t="s">
        <v>2616</v>
      </c>
      <c r="I12002" s="417" t="s">
        <v>1392</v>
      </c>
      <c r="J12002" s="417" t="s">
        <v>25793</v>
      </c>
      <c r="K12002" s="417" t="s">
        <v>26552</v>
      </c>
      <c r="L12002" s="417"/>
      <c r="M12002" s="417" t="s">
        <v>28840</v>
      </c>
    </row>
    <row r="12003" spans="1:13" x14ac:dyDescent="0.25">
      <c r="A12003" s="417" t="s">
        <v>3385</v>
      </c>
      <c r="B12003" s="417" t="s">
        <v>3405</v>
      </c>
      <c r="C12003" s="417" t="s">
        <v>26553</v>
      </c>
      <c r="D12003" s="417" t="s">
        <v>224</v>
      </c>
      <c r="E12003" s="423">
        <v>0.15158028250202391</v>
      </c>
      <c r="F12003" s="423">
        <v>1.786232134439681E-2</v>
      </c>
      <c r="G12003" s="422">
        <v>284.18822735788251</v>
      </c>
      <c r="H12003" s="417" t="s">
        <v>2616</v>
      </c>
      <c r="I12003" s="417" t="s">
        <v>1392</v>
      </c>
      <c r="J12003" s="417" t="s">
        <v>25793</v>
      </c>
      <c r="K12003" s="417" t="s">
        <v>26554</v>
      </c>
      <c r="L12003" s="417"/>
      <c r="M12003" s="417" t="s">
        <v>28840</v>
      </c>
    </row>
    <row r="12004" spans="1:13" x14ac:dyDescent="0.25">
      <c r="A12004" s="417" t="s">
        <v>3385</v>
      </c>
      <c r="B12004" s="417" t="s">
        <v>3405</v>
      </c>
      <c r="C12004" s="417" t="s">
        <v>26555</v>
      </c>
      <c r="D12004" s="417" t="s">
        <v>224</v>
      </c>
      <c r="E12004" s="423">
        <v>0.23072623109698481</v>
      </c>
      <c r="F12004" s="423">
        <v>1.012181400350641E-2</v>
      </c>
      <c r="G12004" s="422">
        <v>376.79591542730373</v>
      </c>
      <c r="H12004" s="417" t="s">
        <v>2616</v>
      </c>
      <c r="I12004" s="417" t="s">
        <v>1392</v>
      </c>
      <c r="J12004" s="417" t="s">
        <v>25793</v>
      </c>
      <c r="K12004" s="417" t="s">
        <v>26556</v>
      </c>
      <c r="L12004" s="417"/>
      <c r="M12004" s="417" t="s">
        <v>28840</v>
      </c>
    </row>
    <row r="12005" spans="1:13" x14ac:dyDescent="0.25">
      <c r="A12005" s="417" t="s">
        <v>3385</v>
      </c>
      <c r="B12005" s="417" t="s">
        <v>3405</v>
      </c>
      <c r="C12005" s="417" t="s">
        <v>26557</v>
      </c>
      <c r="D12005" s="417" t="s">
        <v>224</v>
      </c>
      <c r="E12005" s="423">
        <v>0.78254136795704554</v>
      </c>
      <c r="F12005" s="423">
        <v>1.962162899989358E-2</v>
      </c>
      <c r="G12005" s="422">
        <v>1116.847036183201</v>
      </c>
      <c r="H12005" s="417" t="s">
        <v>2616</v>
      </c>
      <c r="I12005" s="417" t="s">
        <v>1392</v>
      </c>
      <c r="J12005" s="417" t="s">
        <v>25793</v>
      </c>
      <c r="K12005" s="417" t="s">
        <v>26558</v>
      </c>
      <c r="L12005" s="417"/>
      <c r="M12005" s="417" t="s">
        <v>28840</v>
      </c>
    </row>
    <row r="12006" spans="1:13" x14ac:dyDescent="0.25">
      <c r="A12006" s="417" t="s">
        <v>3385</v>
      </c>
      <c r="B12006" s="417" t="s">
        <v>3405</v>
      </c>
      <c r="C12006" s="417" t="s">
        <v>26559</v>
      </c>
      <c r="D12006" s="417" t="s">
        <v>224</v>
      </c>
      <c r="E12006" s="423">
        <v>3.7166068557665452E-2</v>
      </c>
      <c r="F12006" s="423">
        <v>6.4952717435899587E-2</v>
      </c>
      <c r="G12006" s="422">
        <v>268.61754630682481</v>
      </c>
      <c r="H12006" s="417" t="s">
        <v>2616</v>
      </c>
      <c r="I12006" s="417" t="s">
        <v>1392</v>
      </c>
      <c r="J12006" s="417" t="s">
        <v>25793</v>
      </c>
      <c r="K12006" s="417" t="s">
        <v>26560</v>
      </c>
      <c r="L12006" s="417"/>
      <c r="M12006" s="417" t="s">
        <v>28840</v>
      </c>
    </row>
    <row r="12007" spans="1:13" x14ac:dyDescent="0.25">
      <c r="A12007" s="417" t="s">
        <v>3385</v>
      </c>
      <c r="B12007" s="417" t="s">
        <v>3405</v>
      </c>
      <c r="C12007" s="417" t="s">
        <v>26561</v>
      </c>
      <c r="D12007" s="417" t="s">
        <v>224</v>
      </c>
      <c r="E12007" s="423">
        <v>6.1248465377769807E-3</v>
      </c>
      <c r="F12007" s="423">
        <v>-4.6918883590200473E-2</v>
      </c>
      <c r="G12007" s="422">
        <v>229.95478855466581</v>
      </c>
      <c r="H12007" s="417" t="s">
        <v>2616</v>
      </c>
      <c r="I12007" s="417" t="s">
        <v>1392</v>
      </c>
      <c r="J12007" s="417" t="s">
        <v>25793</v>
      </c>
      <c r="K12007" s="417" t="s">
        <v>26562</v>
      </c>
      <c r="L12007" s="417"/>
      <c r="M12007" s="417" t="s">
        <v>28840</v>
      </c>
    </row>
    <row r="12008" spans="1:13" x14ac:dyDescent="0.25">
      <c r="A12008" s="417" t="s">
        <v>3385</v>
      </c>
      <c r="B12008" s="417" t="s">
        <v>3405</v>
      </c>
      <c r="C12008" s="417" t="s">
        <v>26563</v>
      </c>
      <c r="D12008" s="417" t="s">
        <v>224</v>
      </c>
      <c r="E12008" s="423">
        <v>0.53945237403214452</v>
      </c>
      <c r="F12008" s="423">
        <v>4.1749728037115741E-2</v>
      </c>
      <c r="G12008" s="422">
        <v>721.23933942080316</v>
      </c>
      <c r="H12008" s="417" t="s">
        <v>2616</v>
      </c>
      <c r="I12008" s="417" t="s">
        <v>1392</v>
      </c>
      <c r="J12008" s="417" t="s">
        <v>25793</v>
      </c>
      <c r="K12008" s="417" t="s">
        <v>26564</v>
      </c>
      <c r="L12008" s="417"/>
      <c r="M12008" s="417" t="s">
        <v>28840</v>
      </c>
    </row>
    <row r="12009" spans="1:13" x14ac:dyDescent="0.25">
      <c r="A12009" s="417" t="s">
        <v>3385</v>
      </c>
      <c r="B12009" s="417" t="s">
        <v>3405</v>
      </c>
      <c r="C12009" s="417" t="s">
        <v>26565</v>
      </c>
      <c r="D12009" s="417" t="s">
        <v>224</v>
      </c>
      <c r="E12009" s="423">
        <v>0.87168448837001555</v>
      </c>
      <c r="F12009" s="423">
        <v>2.1134146729495859E-3</v>
      </c>
      <c r="G12009" s="422">
        <v>1055.2116892726999</v>
      </c>
      <c r="H12009" s="417" t="s">
        <v>2616</v>
      </c>
      <c r="I12009" s="417" t="s">
        <v>1392</v>
      </c>
      <c r="J12009" s="417" t="s">
        <v>25793</v>
      </c>
      <c r="K12009" s="417" t="s">
        <v>26566</v>
      </c>
      <c r="L12009" s="417"/>
      <c r="M12009" s="417" t="s">
        <v>28840</v>
      </c>
    </row>
    <row r="12010" spans="1:13" x14ac:dyDescent="0.25">
      <c r="A12010" s="417" t="s">
        <v>3385</v>
      </c>
      <c r="B12010" s="417" t="s">
        <v>3405</v>
      </c>
      <c r="C12010" s="417" t="s">
        <v>26567</v>
      </c>
      <c r="D12010" s="417" t="s">
        <v>224</v>
      </c>
      <c r="E12010" s="423">
        <v>0.88038464024628871</v>
      </c>
      <c r="F12010" s="423">
        <v>9.0089030596919898E-4</v>
      </c>
      <c r="G12010" s="422">
        <v>1105.5626507737491</v>
      </c>
      <c r="H12010" s="417" t="s">
        <v>2616</v>
      </c>
      <c r="I12010" s="417" t="s">
        <v>1392</v>
      </c>
      <c r="J12010" s="417" t="s">
        <v>25793</v>
      </c>
      <c r="K12010" s="417" t="s">
        <v>26568</v>
      </c>
      <c r="L12010" s="417"/>
      <c r="M12010" s="417" t="s">
        <v>28840</v>
      </c>
    </row>
    <row r="12011" spans="1:13" x14ac:dyDescent="0.25">
      <c r="A12011" s="417" t="s">
        <v>3385</v>
      </c>
      <c r="B12011" s="417" t="s">
        <v>3405</v>
      </c>
      <c r="C12011" s="417" t="s">
        <v>26569</v>
      </c>
      <c r="D12011" s="417" t="s">
        <v>224</v>
      </c>
      <c r="E12011" s="423">
        <v>0.68023701414479854</v>
      </c>
      <c r="F12011" s="423">
        <v>1.430987906322511E-2</v>
      </c>
      <c r="G12011" s="422">
        <v>1057.3321258096209</v>
      </c>
      <c r="H12011" s="417" t="s">
        <v>2616</v>
      </c>
      <c r="I12011" s="417" t="s">
        <v>1392</v>
      </c>
      <c r="J12011" s="417" t="s">
        <v>25793</v>
      </c>
      <c r="K12011" s="417" t="s">
        <v>26570</v>
      </c>
      <c r="L12011" s="417"/>
      <c r="M12011" s="417" t="s">
        <v>28840</v>
      </c>
    </row>
    <row r="12012" spans="1:13" x14ac:dyDescent="0.25">
      <c r="A12012" s="417" t="s">
        <v>3385</v>
      </c>
      <c r="B12012" s="417" t="s">
        <v>3405</v>
      </c>
      <c r="C12012" s="417" t="s">
        <v>26571</v>
      </c>
      <c r="D12012" s="417" t="s">
        <v>224</v>
      </c>
      <c r="E12012" s="423">
        <v>0.56347660733890004</v>
      </c>
      <c r="F12012" s="423">
        <v>2.6484522301445081E-2</v>
      </c>
      <c r="G12012" s="422">
        <v>823.53582816585379</v>
      </c>
      <c r="H12012" s="417" t="s">
        <v>2616</v>
      </c>
      <c r="I12012" s="417" t="s">
        <v>1392</v>
      </c>
      <c r="J12012" s="417" t="s">
        <v>25793</v>
      </c>
      <c r="K12012" s="417" t="s">
        <v>26572</v>
      </c>
      <c r="L12012" s="417"/>
      <c r="M12012" s="417" t="s">
        <v>28840</v>
      </c>
    </row>
    <row r="12013" spans="1:13" x14ac:dyDescent="0.25">
      <c r="A12013" s="417" t="s">
        <v>3385</v>
      </c>
      <c r="B12013" s="417" t="s">
        <v>3405</v>
      </c>
      <c r="C12013" s="417" t="s">
        <v>26573</v>
      </c>
      <c r="D12013" s="417" t="s">
        <v>224</v>
      </c>
      <c r="E12013" s="423">
        <v>0.62210145519240723</v>
      </c>
      <c r="F12013" s="423">
        <v>4.5713317512050017E-2</v>
      </c>
      <c r="G12013" s="422">
        <v>773.53437248630598</v>
      </c>
      <c r="H12013" s="417" t="s">
        <v>2616</v>
      </c>
      <c r="I12013" s="417" t="s">
        <v>1392</v>
      </c>
      <c r="J12013" s="417" t="s">
        <v>25793</v>
      </c>
      <c r="K12013" s="417" t="s">
        <v>26574</v>
      </c>
      <c r="L12013" s="417"/>
      <c r="M12013" s="417" t="s">
        <v>28840</v>
      </c>
    </row>
    <row r="12014" spans="1:13" x14ac:dyDescent="0.25">
      <c r="A12014" s="417" t="s">
        <v>3385</v>
      </c>
      <c r="B12014" s="417" t="s">
        <v>3405</v>
      </c>
      <c r="C12014" s="417" t="s">
        <v>26575</v>
      </c>
      <c r="D12014" s="417" t="s">
        <v>224</v>
      </c>
      <c r="E12014" s="423">
        <v>1.15900561795682</v>
      </c>
      <c r="F12014" s="423">
        <v>3.806532117169924E-3</v>
      </c>
      <c r="G12014" s="422">
        <v>1448.1704584986639</v>
      </c>
      <c r="H12014" s="417" t="s">
        <v>2616</v>
      </c>
      <c r="I12014" s="417" t="s">
        <v>1392</v>
      </c>
      <c r="J12014" s="417" t="s">
        <v>25793</v>
      </c>
      <c r="K12014" s="417" t="s">
        <v>26576</v>
      </c>
      <c r="L12014" s="417"/>
      <c r="M12014" s="417" t="s">
        <v>28840</v>
      </c>
    </row>
    <row r="12015" spans="1:13" x14ac:dyDescent="0.25">
      <c r="A12015" s="417" t="s">
        <v>3385</v>
      </c>
      <c r="B12015" s="417" t="s">
        <v>3405</v>
      </c>
      <c r="C12015" s="417" t="s">
        <v>26577</v>
      </c>
      <c r="D12015" s="417" t="s">
        <v>224</v>
      </c>
      <c r="E12015" s="423">
        <v>0.42541814124539978</v>
      </c>
      <c r="F12015" s="423">
        <v>1.8673387654872781E-2</v>
      </c>
      <c r="G12015" s="422">
        <v>732.77574777625341</v>
      </c>
      <c r="H12015" s="417" t="s">
        <v>2616</v>
      </c>
      <c r="I12015" s="417" t="s">
        <v>1392</v>
      </c>
      <c r="J12015" s="417" t="s">
        <v>25793</v>
      </c>
      <c r="K12015" s="417" t="s">
        <v>26578</v>
      </c>
      <c r="L12015" s="417"/>
      <c r="M12015" s="417" t="s">
        <v>28840</v>
      </c>
    </row>
    <row r="12016" spans="1:13" x14ac:dyDescent="0.25">
      <c r="A12016" s="417" t="s">
        <v>3385</v>
      </c>
      <c r="B12016" s="417" t="s">
        <v>3405</v>
      </c>
      <c r="C12016" s="417" t="s">
        <v>26579</v>
      </c>
      <c r="D12016" s="417" t="s">
        <v>224</v>
      </c>
      <c r="E12016" s="423">
        <v>0.45689916886901921</v>
      </c>
      <c r="F12016" s="423">
        <v>8.5142044082249218E-3</v>
      </c>
      <c r="G12016" s="422">
        <v>716.83220952431611</v>
      </c>
      <c r="H12016" s="417" t="s">
        <v>2616</v>
      </c>
      <c r="I12016" s="417" t="s">
        <v>1392</v>
      </c>
      <c r="J12016" s="417" t="s">
        <v>25793</v>
      </c>
      <c r="K12016" s="417" t="s">
        <v>26580</v>
      </c>
      <c r="L12016" s="417"/>
      <c r="M12016" s="417" t="s">
        <v>28840</v>
      </c>
    </row>
    <row r="12017" spans="1:13" x14ac:dyDescent="0.25">
      <c r="A12017" s="417" t="s">
        <v>3385</v>
      </c>
      <c r="B12017" s="417" t="s">
        <v>3405</v>
      </c>
      <c r="C12017" s="417" t="s">
        <v>26581</v>
      </c>
      <c r="D12017" s="417" t="s">
        <v>224</v>
      </c>
      <c r="E12017" s="423">
        <v>0.29435074929306909</v>
      </c>
      <c r="F12017" s="423">
        <v>0.102409662746469</v>
      </c>
      <c r="G12017" s="422">
        <v>568.90389875964547</v>
      </c>
      <c r="H12017" s="417" t="s">
        <v>2616</v>
      </c>
      <c r="I12017" s="417" t="s">
        <v>1392</v>
      </c>
      <c r="J12017" s="417" t="s">
        <v>25793</v>
      </c>
      <c r="K12017" s="417" t="s">
        <v>26582</v>
      </c>
      <c r="L12017" s="417"/>
      <c r="M12017" s="417" t="s">
        <v>28840</v>
      </c>
    </row>
    <row r="12018" spans="1:13" x14ac:dyDescent="0.25">
      <c r="A12018" s="417" t="s">
        <v>3385</v>
      </c>
      <c r="B12018" s="417" t="s">
        <v>3405</v>
      </c>
      <c r="C12018" s="417" t="s">
        <v>26583</v>
      </c>
      <c r="D12018" s="417" t="s">
        <v>224</v>
      </c>
      <c r="E12018" s="423">
        <v>8.8734865172126948E-2</v>
      </c>
      <c r="F12018" s="423">
        <v>3.4673549710527401E-3</v>
      </c>
      <c r="G12018" s="422">
        <v>749.90077563013051</v>
      </c>
      <c r="H12018" s="417" t="s">
        <v>2616</v>
      </c>
      <c r="I12018" s="417" t="s">
        <v>1392</v>
      </c>
      <c r="J12018" s="417" t="s">
        <v>25793</v>
      </c>
      <c r="K12018" s="417" t="s">
        <v>26584</v>
      </c>
      <c r="L12018" s="417"/>
      <c r="M12018" s="417" t="s">
        <v>28840</v>
      </c>
    </row>
    <row r="12019" spans="1:13" x14ac:dyDescent="0.25">
      <c r="A12019" s="417" t="s">
        <v>3385</v>
      </c>
      <c r="B12019" s="417" t="s">
        <v>3405</v>
      </c>
      <c r="C12019" s="417" t="s">
        <v>26585</v>
      </c>
      <c r="D12019" s="417" t="s">
        <v>224</v>
      </c>
      <c r="E12019" s="423">
        <v>0.57848376556039638</v>
      </c>
      <c r="F12019" s="423">
        <v>1.9279791600410909E-2</v>
      </c>
      <c r="G12019" s="422">
        <v>826.88092977374674</v>
      </c>
      <c r="H12019" s="417" t="s">
        <v>2616</v>
      </c>
      <c r="I12019" s="417" t="s">
        <v>1392</v>
      </c>
      <c r="J12019" s="417" t="s">
        <v>25793</v>
      </c>
      <c r="K12019" s="417" t="s">
        <v>26586</v>
      </c>
      <c r="L12019" s="417"/>
      <c r="M12019" s="417" t="s">
        <v>28840</v>
      </c>
    </row>
    <row r="12020" spans="1:13" x14ac:dyDescent="0.25">
      <c r="A12020" s="417" t="s">
        <v>3385</v>
      </c>
      <c r="B12020" s="417" t="s">
        <v>3405</v>
      </c>
      <c r="C12020" s="417" t="s">
        <v>26587</v>
      </c>
      <c r="D12020" s="417" t="s">
        <v>224</v>
      </c>
      <c r="E12020" s="423">
        <v>0.63074051161402622</v>
      </c>
      <c r="F12020" s="423">
        <v>9.6466376703036316E-3</v>
      </c>
      <c r="G12020" s="422">
        <v>897.18404243398243</v>
      </c>
      <c r="H12020" s="417" t="s">
        <v>2616</v>
      </c>
      <c r="I12020" s="417" t="s">
        <v>1392</v>
      </c>
      <c r="J12020" s="417" t="s">
        <v>25793</v>
      </c>
      <c r="K12020" s="417" t="s">
        <v>26588</v>
      </c>
      <c r="L12020" s="417"/>
      <c r="M12020" s="417" t="s">
        <v>28840</v>
      </c>
    </row>
    <row r="12021" spans="1:13" x14ac:dyDescent="0.25">
      <c r="A12021" s="417" t="s">
        <v>3385</v>
      </c>
      <c r="B12021" s="417" t="s">
        <v>3405</v>
      </c>
      <c r="C12021" s="417" t="s">
        <v>26589</v>
      </c>
      <c r="D12021" s="417" t="s">
        <v>224</v>
      </c>
      <c r="E12021" s="423">
        <v>0.92474728451915233</v>
      </c>
      <c r="F12021" s="423">
        <v>4.8740321079362211E-3</v>
      </c>
      <c r="G12021" s="422">
        <v>1182.706150121124</v>
      </c>
      <c r="H12021" s="417" t="s">
        <v>2616</v>
      </c>
      <c r="I12021" s="417" t="s">
        <v>1392</v>
      </c>
      <c r="J12021" s="417" t="s">
        <v>25793</v>
      </c>
      <c r="K12021" s="417" t="s">
        <v>26590</v>
      </c>
      <c r="L12021" s="417"/>
      <c r="M12021" s="417" t="s">
        <v>28840</v>
      </c>
    </row>
    <row r="12022" spans="1:13" x14ac:dyDescent="0.25">
      <c r="A12022" s="417" t="s">
        <v>3385</v>
      </c>
      <c r="B12022" s="417" t="s">
        <v>3405</v>
      </c>
      <c r="C12022" s="417" t="s">
        <v>26591</v>
      </c>
      <c r="D12022" s="417" t="s">
        <v>224</v>
      </c>
      <c r="E12022" s="423">
        <v>0.5425772000541641</v>
      </c>
      <c r="F12022" s="423">
        <v>3.4230675133837202E-3</v>
      </c>
      <c r="G12022" s="422">
        <v>734.55745634756181</v>
      </c>
      <c r="H12022" s="417" t="s">
        <v>2616</v>
      </c>
      <c r="I12022" s="417" t="s">
        <v>1392</v>
      </c>
      <c r="J12022" s="417" t="s">
        <v>25793</v>
      </c>
      <c r="K12022" s="417" t="s">
        <v>26592</v>
      </c>
      <c r="L12022" s="417"/>
      <c r="M12022" s="417" t="s">
        <v>28840</v>
      </c>
    </row>
    <row r="12023" spans="1:13" x14ac:dyDescent="0.25">
      <c r="A12023" s="417" t="s">
        <v>3385</v>
      </c>
      <c r="B12023" s="417" t="s">
        <v>3405</v>
      </c>
      <c r="C12023" s="417" t="s">
        <v>26593</v>
      </c>
      <c r="D12023" s="417" t="s">
        <v>224</v>
      </c>
      <c r="E12023" s="423">
        <v>0.42287349413284692</v>
      </c>
      <c r="F12023" s="423">
        <v>3.507514055299206E-2</v>
      </c>
      <c r="G12023" s="422">
        <v>811.28361839619481</v>
      </c>
      <c r="H12023" s="417" t="s">
        <v>2616</v>
      </c>
      <c r="I12023" s="417" t="s">
        <v>1392</v>
      </c>
      <c r="J12023" s="417" t="s">
        <v>25793</v>
      </c>
      <c r="K12023" s="417" t="s">
        <v>26594</v>
      </c>
      <c r="L12023" s="417"/>
      <c r="M12023" s="417" t="s">
        <v>28840</v>
      </c>
    </row>
    <row r="12024" spans="1:13" x14ac:dyDescent="0.25">
      <c r="A12024" s="417" t="s">
        <v>3385</v>
      </c>
      <c r="B12024" s="417" t="s">
        <v>3405</v>
      </c>
      <c r="C12024" s="417" t="s">
        <v>26595</v>
      </c>
      <c r="D12024" s="417" t="s">
        <v>224</v>
      </c>
      <c r="E12024" s="423">
        <v>0.90854730606971101</v>
      </c>
      <c r="F12024" s="423">
        <v>2.0377384209935151E-3</v>
      </c>
      <c r="G12024" s="422">
        <v>1191.1865077764901</v>
      </c>
      <c r="H12024" s="417" t="s">
        <v>2616</v>
      </c>
      <c r="I12024" s="417" t="s">
        <v>1392</v>
      </c>
      <c r="J12024" s="417" t="s">
        <v>25793</v>
      </c>
      <c r="K12024" s="417" t="s">
        <v>26596</v>
      </c>
      <c r="L12024" s="417"/>
      <c r="M12024" s="417" t="s">
        <v>28840</v>
      </c>
    </row>
    <row r="12025" spans="1:13" x14ac:dyDescent="0.25">
      <c r="A12025" s="417" t="s">
        <v>3385</v>
      </c>
      <c r="B12025" s="417" t="s">
        <v>3405</v>
      </c>
      <c r="C12025" s="417" t="s">
        <v>26597</v>
      </c>
      <c r="D12025" s="417" t="s">
        <v>224</v>
      </c>
      <c r="E12025" s="423">
        <v>0.60500860278427759</v>
      </c>
      <c r="F12025" s="423">
        <v>6.3914200212205766E-3</v>
      </c>
      <c r="G12025" s="422">
        <v>745.27833388591841</v>
      </c>
      <c r="H12025" s="417" t="s">
        <v>2616</v>
      </c>
      <c r="I12025" s="417" t="s">
        <v>1392</v>
      </c>
      <c r="J12025" s="417" t="s">
        <v>25793</v>
      </c>
      <c r="K12025" s="417" t="s">
        <v>26598</v>
      </c>
      <c r="L12025" s="417"/>
      <c r="M12025" s="417" t="s">
        <v>28840</v>
      </c>
    </row>
    <row r="12026" spans="1:13" x14ac:dyDescent="0.25">
      <c r="A12026" s="417" t="s">
        <v>3385</v>
      </c>
      <c r="B12026" s="417" t="s">
        <v>3405</v>
      </c>
      <c r="C12026" s="417" t="s">
        <v>26599</v>
      </c>
      <c r="D12026" s="417" t="s">
        <v>224</v>
      </c>
      <c r="E12026" s="423">
        <v>0.97279851968643782</v>
      </c>
      <c r="F12026" s="423">
        <v>7.9955395657441367E-3</v>
      </c>
      <c r="G12026" s="422">
        <v>1447.0657655635939</v>
      </c>
      <c r="H12026" s="417" t="s">
        <v>2616</v>
      </c>
      <c r="I12026" s="417" t="s">
        <v>1392</v>
      </c>
      <c r="J12026" s="417" t="s">
        <v>25793</v>
      </c>
      <c r="K12026" s="417" t="s">
        <v>26600</v>
      </c>
      <c r="L12026" s="417"/>
      <c r="M12026" s="417" t="s">
        <v>28840</v>
      </c>
    </row>
    <row r="12027" spans="1:13" x14ac:dyDescent="0.25">
      <c r="A12027" s="417" t="s">
        <v>3385</v>
      </c>
      <c r="B12027" s="417" t="s">
        <v>3405</v>
      </c>
      <c r="C12027" s="417" t="s">
        <v>26601</v>
      </c>
      <c r="D12027" s="417" t="s">
        <v>224</v>
      </c>
      <c r="E12027" s="423">
        <v>0.65541493703447928</v>
      </c>
      <c r="F12027" s="423">
        <v>1.5015270144574839E-3</v>
      </c>
      <c r="G12027" s="422">
        <v>821.98048293702675</v>
      </c>
      <c r="H12027" s="417" t="s">
        <v>2616</v>
      </c>
      <c r="I12027" s="417" t="s">
        <v>1392</v>
      </c>
      <c r="J12027" s="417" t="s">
        <v>25793</v>
      </c>
      <c r="K12027" s="417" t="s">
        <v>26602</v>
      </c>
      <c r="L12027" s="417"/>
      <c r="M12027" s="417" t="s">
        <v>28840</v>
      </c>
    </row>
    <row r="12028" spans="1:13" x14ac:dyDescent="0.25">
      <c r="A12028" s="417" t="s">
        <v>3385</v>
      </c>
      <c r="B12028" s="417" t="s">
        <v>3405</v>
      </c>
      <c r="C12028" s="417" t="s">
        <v>26603</v>
      </c>
      <c r="D12028" s="417" t="s">
        <v>224</v>
      </c>
      <c r="E12028" s="423">
        <v>1.5868936171375289E-2</v>
      </c>
      <c r="F12028" s="423">
        <v>2.8591025243401662E-4</v>
      </c>
      <c r="G12028" s="422">
        <v>52.537033110543433</v>
      </c>
      <c r="H12028" s="417" t="s">
        <v>2616</v>
      </c>
      <c r="I12028" s="417" t="s">
        <v>1392</v>
      </c>
      <c r="J12028" s="417" t="s">
        <v>25793</v>
      </c>
      <c r="K12028" s="417" t="s">
        <v>26604</v>
      </c>
      <c r="L12028" s="417"/>
      <c r="M12028" s="417" t="s">
        <v>28840</v>
      </c>
    </row>
    <row r="12029" spans="1:13" x14ac:dyDescent="0.25">
      <c r="A12029" s="417" t="s">
        <v>3385</v>
      </c>
      <c r="B12029" s="417" t="s">
        <v>3405</v>
      </c>
      <c r="C12029" s="417" t="s">
        <v>26605</v>
      </c>
      <c r="D12029" s="417" t="s">
        <v>224</v>
      </c>
      <c r="E12029" s="423">
        <v>0.53862682895618963</v>
      </c>
      <c r="F12029" s="423">
        <v>1.306484219440812E-2</v>
      </c>
      <c r="G12029" s="422">
        <v>675.7573801241042</v>
      </c>
      <c r="H12029" s="417" t="s">
        <v>2616</v>
      </c>
      <c r="I12029" s="417" t="s">
        <v>1392</v>
      </c>
      <c r="J12029" s="417" t="s">
        <v>25793</v>
      </c>
      <c r="K12029" s="417" t="s">
        <v>26606</v>
      </c>
      <c r="L12029" s="417"/>
      <c r="M12029" s="417" t="s">
        <v>28840</v>
      </c>
    </row>
    <row r="12030" spans="1:13" x14ac:dyDescent="0.25">
      <c r="A12030" s="417" t="s">
        <v>3385</v>
      </c>
      <c r="B12030" s="417" t="s">
        <v>3405</v>
      </c>
      <c r="C12030" s="417" t="s">
        <v>26607</v>
      </c>
      <c r="D12030" s="417" t="s">
        <v>224</v>
      </c>
      <c r="E12030" s="423">
        <v>0.57465095644101039</v>
      </c>
      <c r="F12030" s="423">
        <v>1.409116197641478E-2</v>
      </c>
      <c r="G12030" s="422">
        <v>924.20175476155498</v>
      </c>
      <c r="H12030" s="417" t="s">
        <v>2616</v>
      </c>
      <c r="I12030" s="417" t="s">
        <v>1392</v>
      </c>
      <c r="J12030" s="417" t="s">
        <v>25793</v>
      </c>
      <c r="K12030" s="417" t="s">
        <v>26608</v>
      </c>
      <c r="L12030" s="417"/>
      <c r="M12030" s="417" t="s">
        <v>28840</v>
      </c>
    </row>
    <row r="12031" spans="1:13" x14ac:dyDescent="0.25">
      <c r="A12031" s="417" t="s">
        <v>3385</v>
      </c>
      <c r="B12031" s="417" t="s">
        <v>3405</v>
      </c>
      <c r="C12031" s="417" t="s">
        <v>26609</v>
      </c>
      <c r="D12031" s="417" t="s">
        <v>224</v>
      </c>
      <c r="E12031" s="423">
        <v>0.6146995354860364</v>
      </c>
      <c r="F12031" s="423">
        <v>4.1766798503955344E-3</v>
      </c>
      <c r="G12031" s="422">
        <v>1041.2612183045239</v>
      </c>
      <c r="H12031" s="417" t="s">
        <v>2616</v>
      </c>
      <c r="I12031" s="417" t="s">
        <v>1392</v>
      </c>
      <c r="J12031" s="417" t="s">
        <v>25793</v>
      </c>
      <c r="K12031" s="417" t="s">
        <v>26610</v>
      </c>
      <c r="L12031" s="417"/>
      <c r="M12031" s="417" t="s">
        <v>28840</v>
      </c>
    </row>
    <row r="12032" spans="1:13" x14ac:dyDescent="0.25">
      <c r="A12032" s="417" t="s">
        <v>3385</v>
      </c>
      <c r="B12032" s="417" t="s">
        <v>3405</v>
      </c>
      <c r="C12032" s="417" t="s">
        <v>26611</v>
      </c>
      <c r="D12032" s="417" t="s">
        <v>224</v>
      </c>
      <c r="E12032" s="423">
        <v>0.1004361753200506</v>
      </c>
      <c r="F12032" s="423">
        <v>3.8692892032093679E-3</v>
      </c>
      <c r="G12032" s="422">
        <v>672.75892565602123</v>
      </c>
      <c r="H12032" s="417" t="s">
        <v>2616</v>
      </c>
      <c r="I12032" s="417" t="s">
        <v>1392</v>
      </c>
      <c r="J12032" s="417" t="s">
        <v>25793</v>
      </c>
      <c r="K12032" s="417" t="s">
        <v>26612</v>
      </c>
      <c r="L12032" s="417"/>
      <c r="M12032" s="417" t="s">
        <v>28840</v>
      </c>
    </row>
    <row r="12033" spans="1:13" x14ac:dyDescent="0.25">
      <c r="A12033" s="417" t="s">
        <v>3385</v>
      </c>
      <c r="B12033" s="417" t="s">
        <v>3405</v>
      </c>
      <c r="C12033" s="417" t="s">
        <v>26613</v>
      </c>
      <c r="D12033" s="417" t="s">
        <v>224</v>
      </c>
      <c r="E12033" s="423">
        <v>0.49469748535847657</v>
      </c>
      <c r="F12033" s="423">
        <v>3.5151015970407699E-2</v>
      </c>
      <c r="G12033" s="422">
        <v>649.94009895793113</v>
      </c>
      <c r="H12033" s="417" t="s">
        <v>2616</v>
      </c>
      <c r="I12033" s="417" t="s">
        <v>1392</v>
      </c>
      <c r="J12033" s="417" t="s">
        <v>25793</v>
      </c>
      <c r="K12033" s="417" t="s">
        <v>26614</v>
      </c>
      <c r="L12033" s="417"/>
      <c r="M12033" s="417" t="s">
        <v>28840</v>
      </c>
    </row>
    <row r="12034" spans="1:13" x14ac:dyDescent="0.25">
      <c r="A12034" s="417" t="s">
        <v>3385</v>
      </c>
      <c r="B12034" s="417" t="s">
        <v>3405</v>
      </c>
      <c r="C12034" s="417" t="s">
        <v>26615</v>
      </c>
      <c r="D12034" s="417" t="s">
        <v>224</v>
      </c>
      <c r="E12034" s="423">
        <v>0.1877814132272351</v>
      </c>
      <c r="F12034" s="423">
        <v>7.0933584015427254E-3</v>
      </c>
      <c r="G12034" s="422">
        <v>242.90771500288591</v>
      </c>
      <c r="H12034" s="417" t="s">
        <v>2616</v>
      </c>
      <c r="I12034" s="417" t="s">
        <v>1392</v>
      </c>
      <c r="J12034" s="417" t="s">
        <v>25793</v>
      </c>
      <c r="K12034" s="417" t="s">
        <v>26616</v>
      </c>
      <c r="L12034" s="417"/>
      <c r="M12034" s="417" t="s">
        <v>28840</v>
      </c>
    </row>
    <row r="12035" spans="1:13" x14ac:dyDescent="0.25">
      <c r="A12035" s="417" t="s">
        <v>3385</v>
      </c>
      <c r="B12035" s="417" t="s">
        <v>3405</v>
      </c>
      <c r="C12035" s="417" t="s">
        <v>26617</v>
      </c>
      <c r="D12035" s="417" t="s">
        <v>224</v>
      </c>
      <c r="E12035" s="423">
        <v>1.014586208721485</v>
      </c>
      <c r="F12035" s="423">
        <v>1.14395448776441E-3</v>
      </c>
      <c r="G12035" s="422">
        <v>1618.491997119113</v>
      </c>
      <c r="H12035" s="417" t="s">
        <v>2616</v>
      </c>
      <c r="I12035" s="417" t="s">
        <v>1392</v>
      </c>
      <c r="J12035" s="417" t="s">
        <v>25793</v>
      </c>
      <c r="K12035" s="417" t="s">
        <v>26618</v>
      </c>
      <c r="L12035" s="417"/>
      <c r="M12035" s="417" t="s">
        <v>28840</v>
      </c>
    </row>
    <row r="12036" spans="1:13" x14ac:dyDescent="0.25">
      <c r="A12036" s="417" t="s">
        <v>3385</v>
      </c>
      <c r="B12036" s="417" t="s">
        <v>3405</v>
      </c>
      <c r="C12036" s="417" t="s">
        <v>26619</v>
      </c>
      <c r="D12036" s="417" t="s">
        <v>224</v>
      </c>
      <c r="E12036" s="423">
        <v>0.5410072138464207</v>
      </c>
      <c r="F12036" s="423">
        <v>3.7851554575268941E-3</v>
      </c>
      <c r="G12036" s="422">
        <v>728.62927964991036</v>
      </c>
      <c r="H12036" s="417" t="s">
        <v>2616</v>
      </c>
      <c r="I12036" s="417" t="s">
        <v>1392</v>
      </c>
      <c r="J12036" s="417" t="s">
        <v>25793</v>
      </c>
      <c r="K12036" s="417" t="s">
        <v>26620</v>
      </c>
      <c r="L12036" s="417"/>
      <c r="M12036" s="417" t="s">
        <v>28840</v>
      </c>
    </row>
    <row r="12037" spans="1:13" x14ac:dyDescent="0.25">
      <c r="A12037" s="417" t="s">
        <v>3385</v>
      </c>
      <c r="B12037" s="417" t="s">
        <v>3405</v>
      </c>
      <c r="C12037" s="417" t="s">
        <v>26621</v>
      </c>
      <c r="D12037" s="417" t="s">
        <v>224</v>
      </c>
      <c r="E12037" s="423">
        <v>0.66957341945391569</v>
      </c>
      <c r="F12037" s="423">
        <v>1.9951168110953679E-3</v>
      </c>
      <c r="G12037" s="422">
        <v>850.74492305711487</v>
      </c>
      <c r="H12037" s="417" t="s">
        <v>2616</v>
      </c>
      <c r="I12037" s="417" t="s">
        <v>1392</v>
      </c>
      <c r="J12037" s="417" t="s">
        <v>25793</v>
      </c>
      <c r="K12037" s="417" t="s">
        <v>26622</v>
      </c>
      <c r="L12037" s="417"/>
      <c r="M12037" s="417" t="s">
        <v>28840</v>
      </c>
    </row>
    <row r="12038" spans="1:13" x14ac:dyDescent="0.25">
      <c r="A12038" s="417" t="s">
        <v>3385</v>
      </c>
      <c r="B12038" s="417" t="s">
        <v>3405</v>
      </c>
      <c r="C12038" s="417" t="s">
        <v>26623</v>
      </c>
      <c r="D12038" s="417" t="s">
        <v>224</v>
      </c>
      <c r="E12038" s="423">
        <v>0.53109289848637387</v>
      </c>
      <c r="F12038" s="423">
        <v>2.9136681996940011E-2</v>
      </c>
      <c r="G12038" s="422">
        <v>676.28448896651776</v>
      </c>
      <c r="H12038" s="417" t="s">
        <v>2616</v>
      </c>
      <c r="I12038" s="417" t="s">
        <v>1392</v>
      </c>
      <c r="J12038" s="417" t="s">
        <v>25793</v>
      </c>
      <c r="K12038" s="417" t="s">
        <v>26624</v>
      </c>
      <c r="L12038" s="417"/>
      <c r="M12038" s="417" t="s">
        <v>28840</v>
      </c>
    </row>
    <row r="12039" spans="1:13" x14ac:dyDescent="0.25">
      <c r="A12039" s="417" t="s">
        <v>3385</v>
      </c>
      <c r="B12039" s="417" t="s">
        <v>3405</v>
      </c>
      <c r="C12039" s="417" t="s">
        <v>26625</v>
      </c>
      <c r="D12039" s="417" t="s">
        <v>224</v>
      </c>
      <c r="E12039" s="423">
        <v>8.5966620619539538E-3</v>
      </c>
      <c r="F12039" s="423">
        <v>2.0283004396360331E-3</v>
      </c>
      <c r="G12039" s="422">
        <v>26.593317388945518</v>
      </c>
      <c r="H12039" s="417" t="s">
        <v>2616</v>
      </c>
      <c r="I12039" s="417" t="s">
        <v>1392</v>
      </c>
      <c r="J12039" s="417" t="s">
        <v>25793</v>
      </c>
      <c r="K12039" s="417" t="s">
        <v>26626</v>
      </c>
      <c r="L12039" s="417"/>
      <c r="M12039" s="417" t="s">
        <v>28840</v>
      </c>
    </row>
    <row r="12040" spans="1:13" x14ac:dyDescent="0.25">
      <c r="A12040" s="417" t="s">
        <v>3385</v>
      </c>
      <c r="B12040" s="417" t="s">
        <v>3405</v>
      </c>
      <c r="C12040" s="417" t="s">
        <v>26627</v>
      </c>
      <c r="D12040" s="417" t="s">
        <v>224</v>
      </c>
      <c r="E12040" s="423">
        <v>0.34463695085211549</v>
      </c>
      <c r="F12040" s="423">
        <v>1.337622375227044E-2</v>
      </c>
      <c r="G12040" s="422">
        <v>467.85932831921173</v>
      </c>
      <c r="H12040" s="417" t="s">
        <v>2616</v>
      </c>
      <c r="I12040" s="417" t="s">
        <v>1392</v>
      </c>
      <c r="J12040" s="417" t="s">
        <v>25793</v>
      </c>
      <c r="K12040" s="417" t="s">
        <v>26628</v>
      </c>
      <c r="L12040" s="417"/>
      <c r="M12040" s="417" t="s">
        <v>28840</v>
      </c>
    </row>
    <row r="12041" spans="1:13" x14ac:dyDescent="0.25">
      <c r="A12041" s="417" t="s">
        <v>3385</v>
      </c>
      <c r="B12041" s="417" t="s">
        <v>3405</v>
      </c>
      <c r="C12041" s="417" t="s">
        <v>26629</v>
      </c>
      <c r="D12041" s="417" t="s">
        <v>224</v>
      </c>
      <c r="E12041" s="423">
        <v>1.042252641009616</v>
      </c>
      <c r="F12041" s="423">
        <v>1.969289389899246E-2</v>
      </c>
      <c r="G12041" s="422">
        <v>1301.5834820197369</v>
      </c>
      <c r="H12041" s="417" t="s">
        <v>2616</v>
      </c>
      <c r="I12041" s="417" t="s">
        <v>1392</v>
      </c>
      <c r="J12041" s="417" t="s">
        <v>25793</v>
      </c>
      <c r="K12041" s="417" t="s">
        <v>26630</v>
      </c>
      <c r="L12041" s="417"/>
      <c r="M12041" s="417" t="s">
        <v>28840</v>
      </c>
    </row>
    <row r="12042" spans="1:13" x14ac:dyDescent="0.25">
      <c r="A12042" s="417" t="s">
        <v>3385</v>
      </c>
      <c r="B12042" s="417" t="s">
        <v>3405</v>
      </c>
      <c r="C12042" s="417" t="s">
        <v>26631</v>
      </c>
      <c r="D12042" s="417" t="s">
        <v>224</v>
      </c>
      <c r="E12042" s="423">
        <v>0.52057307768494621</v>
      </c>
      <c r="F12042" s="423">
        <v>2.841406752487164E-2</v>
      </c>
      <c r="G12042" s="422">
        <v>662.2211885347798</v>
      </c>
      <c r="H12042" s="417" t="s">
        <v>2616</v>
      </c>
      <c r="I12042" s="417" t="s">
        <v>1392</v>
      </c>
      <c r="J12042" s="417" t="s">
        <v>25793</v>
      </c>
      <c r="K12042" s="417" t="s">
        <v>26632</v>
      </c>
      <c r="L12042" s="417"/>
      <c r="M12042" s="417" t="s">
        <v>28840</v>
      </c>
    </row>
    <row r="12043" spans="1:13" x14ac:dyDescent="0.25">
      <c r="A12043" s="417" t="s">
        <v>3385</v>
      </c>
      <c r="B12043" s="417" t="s">
        <v>3405</v>
      </c>
      <c r="C12043" s="417" t="s">
        <v>26633</v>
      </c>
      <c r="D12043" s="417" t="s">
        <v>224</v>
      </c>
      <c r="E12043" s="423">
        <v>0.55223255519170744</v>
      </c>
      <c r="F12043" s="423">
        <v>8.9772754944082277E-4</v>
      </c>
      <c r="G12043" s="422">
        <v>828.6545988609447</v>
      </c>
      <c r="H12043" s="417" t="s">
        <v>2616</v>
      </c>
      <c r="I12043" s="417" t="s">
        <v>1392</v>
      </c>
      <c r="J12043" s="417" t="s">
        <v>25793</v>
      </c>
      <c r="K12043" s="417" t="s">
        <v>26634</v>
      </c>
      <c r="L12043" s="417"/>
      <c r="M12043" s="417" t="s">
        <v>28840</v>
      </c>
    </row>
    <row r="12044" spans="1:13" x14ac:dyDescent="0.25">
      <c r="A12044" s="417" t="s">
        <v>3385</v>
      </c>
      <c r="B12044" s="417" t="s">
        <v>3405</v>
      </c>
      <c r="C12044" s="417" t="s">
        <v>26635</v>
      </c>
      <c r="D12044" s="417" t="s">
        <v>224</v>
      </c>
      <c r="E12044" s="423">
        <v>0.52844235839930864</v>
      </c>
      <c r="F12044" s="423">
        <v>1.0380609541616999E-3</v>
      </c>
      <c r="G12044" s="422">
        <v>791.44972348911369</v>
      </c>
      <c r="H12044" s="417" t="s">
        <v>2616</v>
      </c>
      <c r="I12044" s="417" t="s">
        <v>1392</v>
      </c>
      <c r="J12044" s="417" t="s">
        <v>25793</v>
      </c>
      <c r="K12044" s="417" t="s">
        <v>26636</v>
      </c>
      <c r="L12044" s="417"/>
      <c r="M12044" s="417" t="s">
        <v>28840</v>
      </c>
    </row>
    <row r="12045" spans="1:13" x14ac:dyDescent="0.25">
      <c r="A12045" s="417" t="s">
        <v>3385</v>
      </c>
      <c r="B12045" s="417" t="s">
        <v>3405</v>
      </c>
      <c r="C12045" s="417" t="s">
        <v>26637</v>
      </c>
      <c r="D12045" s="417" t="s">
        <v>224</v>
      </c>
      <c r="E12045" s="423">
        <v>0.8142554223833951</v>
      </c>
      <c r="F12045" s="423">
        <v>2.3473971851870278E-3</v>
      </c>
      <c r="G12045" s="422">
        <v>1089.7179017181179</v>
      </c>
      <c r="H12045" s="417" t="s">
        <v>2616</v>
      </c>
      <c r="I12045" s="417" t="s">
        <v>1392</v>
      </c>
      <c r="J12045" s="417" t="s">
        <v>25793</v>
      </c>
      <c r="K12045" s="417" t="s">
        <v>26638</v>
      </c>
      <c r="L12045" s="417"/>
      <c r="M12045" s="417" t="s">
        <v>28840</v>
      </c>
    </row>
    <row r="12046" spans="1:13" x14ac:dyDescent="0.25">
      <c r="A12046" s="417" t="s">
        <v>3385</v>
      </c>
      <c r="B12046" s="417" t="s">
        <v>3405</v>
      </c>
      <c r="C12046" s="417" t="s">
        <v>26639</v>
      </c>
      <c r="D12046" s="417" t="s">
        <v>224</v>
      </c>
      <c r="E12046" s="423">
        <v>3.037662766736645E-2</v>
      </c>
      <c r="F12046" s="423">
        <v>4.6951843536406267E-2</v>
      </c>
      <c r="G12046" s="422">
        <v>311.972767657622</v>
      </c>
      <c r="H12046" s="417" t="s">
        <v>2616</v>
      </c>
      <c r="I12046" s="417" t="s">
        <v>1392</v>
      </c>
      <c r="J12046" s="417" t="s">
        <v>25793</v>
      </c>
      <c r="K12046" s="417" t="s">
        <v>26640</v>
      </c>
      <c r="L12046" s="417"/>
      <c r="M12046" s="417" t="s">
        <v>28840</v>
      </c>
    </row>
    <row r="12047" spans="1:13" x14ac:dyDescent="0.25">
      <c r="A12047" s="417" t="s">
        <v>3385</v>
      </c>
      <c r="B12047" s="417" t="s">
        <v>3405</v>
      </c>
      <c r="C12047" s="417" t="s">
        <v>26641</v>
      </c>
      <c r="D12047" s="417" t="s">
        <v>224</v>
      </c>
      <c r="E12047" s="423">
        <v>0.40761437097653419</v>
      </c>
      <c r="F12047" s="423">
        <v>1.413645132682502E-2</v>
      </c>
      <c r="G12047" s="422">
        <v>783.94573816775448</v>
      </c>
      <c r="H12047" s="417" t="s">
        <v>2616</v>
      </c>
      <c r="I12047" s="417" t="s">
        <v>1392</v>
      </c>
      <c r="J12047" s="417" t="s">
        <v>25793</v>
      </c>
      <c r="K12047" s="417" t="s">
        <v>26642</v>
      </c>
      <c r="L12047" s="417"/>
      <c r="M12047" s="417" t="s">
        <v>28840</v>
      </c>
    </row>
    <row r="12048" spans="1:13" x14ac:dyDescent="0.25">
      <c r="A12048" s="417" t="s">
        <v>3385</v>
      </c>
      <c r="B12048" s="417" t="s">
        <v>3405</v>
      </c>
      <c r="C12048" s="417" t="s">
        <v>26643</v>
      </c>
      <c r="D12048" s="417" t="s">
        <v>224</v>
      </c>
      <c r="E12048" s="423">
        <v>0.26961484348196357</v>
      </c>
      <c r="F12048" s="423">
        <v>1.379350052182878E-2</v>
      </c>
      <c r="G12048" s="422">
        <v>780.50025496385922</v>
      </c>
      <c r="H12048" s="417" t="s">
        <v>2616</v>
      </c>
      <c r="I12048" s="417" t="s">
        <v>1392</v>
      </c>
      <c r="J12048" s="417" t="s">
        <v>25793</v>
      </c>
      <c r="K12048" s="417" t="s">
        <v>26644</v>
      </c>
      <c r="L12048" s="417"/>
      <c r="M12048" s="417" t="s">
        <v>28840</v>
      </c>
    </row>
    <row r="12049" spans="1:13" x14ac:dyDescent="0.25">
      <c r="A12049" s="417" t="s">
        <v>3385</v>
      </c>
      <c r="B12049" s="417" t="s">
        <v>3405</v>
      </c>
      <c r="C12049" s="417" t="s">
        <v>26645</v>
      </c>
      <c r="D12049" s="417" t="s">
        <v>224</v>
      </c>
      <c r="E12049" s="423">
        <v>0.76209971144854505</v>
      </c>
      <c r="F12049" s="423">
        <v>2.8643876005012048E-2</v>
      </c>
      <c r="G12049" s="422">
        <v>1009.915965852374</v>
      </c>
      <c r="H12049" s="417" t="s">
        <v>2616</v>
      </c>
      <c r="I12049" s="417" t="s">
        <v>1392</v>
      </c>
      <c r="J12049" s="417" t="s">
        <v>25793</v>
      </c>
      <c r="K12049" s="417" t="s">
        <v>26646</v>
      </c>
      <c r="L12049" s="417"/>
      <c r="M12049" s="417" t="s">
        <v>28840</v>
      </c>
    </row>
    <row r="12050" spans="1:13" x14ac:dyDescent="0.25">
      <c r="A12050" s="417" t="s">
        <v>3385</v>
      </c>
      <c r="B12050" s="417" t="s">
        <v>3405</v>
      </c>
      <c r="C12050" s="417" t="s">
        <v>26647</v>
      </c>
      <c r="D12050" s="417" t="s">
        <v>224</v>
      </c>
      <c r="E12050" s="423">
        <v>0.64568050188080817</v>
      </c>
      <c r="F12050" s="423">
        <v>1.4056500910542939E-3</v>
      </c>
      <c r="G12050" s="422">
        <v>797.56427835130035</v>
      </c>
      <c r="H12050" s="417" t="s">
        <v>2616</v>
      </c>
      <c r="I12050" s="417" t="s">
        <v>1392</v>
      </c>
      <c r="J12050" s="417" t="s">
        <v>25793</v>
      </c>
      <c r="K12050" s="417" t="s">
        <v>26648</v>
      </c>
      <c r="L12050" s="417"/>
      <c r="M12050" s="417" t="s">
        <v>28840</v>
      </c>
    </row>
    <row r="12051" spans="1:13" x14ac:dyDescent="0.25">
      <c r="A12051" s="417" t="s">
        <v>3385</v>
      </c>
      <c r="B12051" s="417" t="s">
        <v>3405</v>
      </c>
      <c r="C12051" s="417" t="s">
        <v>26649</v>
      </c>
      <c r="D12051" s="417" t="s">
        <v>224</v>
      </c>
      <c r="E12051" s="423">
        <v>0.75847735255359205</v>
      </c>
      <c r="F12051" s="423">
        <v>3.1875631254248459E-3</v>
      </c>
      <c r="G12051" s="422">
        <v>994.15482819131466</v>
      </c>
      <c r="H12051" s="417" t="s">
        <v>2616</v>
      </c>
      <c r="I12051" s="417" t="s">
        <v>1392</v>
      </c>
      <c r="J12051" s="417" t="s">
        <v>25793</v>
      </c>
      <c r="K12051" s="417" t="s">
        <v>26650</v>
      </c>
      <c r="L12051" s="417"/>
      <c r="M12051" s="417" t="s">
        <v>28840</v>
      </c>
    </row>
    <row r="12052" spans="1:13" x14ac:dyDescent="0.25">
      <c r="A12052" s="417" t="s">
        <v>3385</v>
      </c>
      <c r="B12052" s="417" t="s">
        <v>3405</v>
      </c>
      <c r="C12052" s="417" t="s">
        <v>26651</v>
      </c>
      <c r="D12052" s="417" t="s">
        <v>224</v>
      </c>
      <c r="E12052" s="423">
        <v>0.77188582084456114</v>
      </c>
      <c r="F12052" s="423">
        <v>3.8205462991299909E-3</v>
      </c>
      <c r="G12052" s="422">
        <v>1052.126196928428</v>
      </c>
      <c r="H12052" s="417" t="s">
        <v>2616</v>
      </c>
      <c r="I12052" s="417" t="s">
        <v>1392</v>
      </c>
      <c r="J12052" s="417" t="s">
        <v>25793</v>
      </c>
      <c r="K12052" s="417" t="s">
        <v>26652</v>
      </c>
      <c r="L12052" s="417"/>
      <c r="M12052" s="417" t="s">
        <v>28840</v>
      </c>
    </row>
    <row r="12053" spans="1:13" x14ac:dyDescent="0.25">
      <c r="A12053" s="417" t="s">
        <v>3385</v>
      </c>
      <c r="B12053" s="417" t="s">
        <v>3405</v>
      </c>
      <c r="C12053" s="417" t="s">
        <v>26653</v>
      </c>
      <c r="D12053" s="417" t="s">
        <v>224</v>
      </c>
      <c r="E12053" s="423">
        <v>0.32297619326630372</v>
      </c>
      <c r="F12053" s="423">
        <v>1.513550475488362E-3</v>
      </c>
      <c r="G12053" s="422">
        <v>432.53687659471711</v>
      </c>
      <c r="H12053" s="417" t="s">
        <v>2616</v>
      </c>
      <c r="I12053" s="417" t="s">
        <v>1392</v>
      </c>
      <c r="J12053" s="417" t="s">
        <v>25793</v>
      </c>
      <c r="K12053" s="417" t="s">
        <v>26654</v>
      </c>
      <c r="L12053" s="417"/>
      <c r="M12053" s="417" t="s">
        <v>28840</v>
      </c>
    </row>
    <row r="12054" spans="1:13" x14ac:dyDescent="0.25">
      <c r="A12054" s="417" t="s">
        <v>3385</v>
      </c>
      <c r="B12054" s="417" t="s">
        <v>3405</v>
      </c>
      <c r="C12054" s="417" t="s">
        <v>26655</v>
      </c>
      <c r="D12054" s="417" t="s">
        <v>224</v>
      </c>
      <c r="E12054" s="423">
        <v>0.42655572033289912</v>
      </c>
      <c r="F12054" s="423">
        <v>1.504063096620374E-3</v>
      </c>
      <c r="G12054" s="422">
        <v>886.05937049582792</v>
      </c>
      <c r="H12054" s="417" t="s">
        <v>2616</v>
      </c>
      <c r="I12054" s="417" t="s">
        <v>1392</v>
      </c>
      <c r="J12054" s="417" t="s">
        <v>25793</v>
      </c>
      <c r="K12054" s="417" t="s">
        <v>26656</v>
      </c>
      <c r="L12054" s="417"/>
      <c r="M12054" s="417" t="s">
        <v>28840</v>
      </c>
    </row>
    <row r="12055" spans="1:13" x14ac:dyDescent="0.25">
      <c r="A12055" s="417" t="s">
        <v>3385</v>
      </c>
      <c r="B12055" s="417" t="s">
        <v>3405</v>
      </c>
      <c r="C12055" s="417" t="s">
        <v>26657</v>
      </c>
      <c r="D12055" s="417" t="s">
        <v>224</v>
      </c>
      <c r="E12055" s="423">
        <v>0.45023381877377161</v>
      </c>
      <c r="F12055" s="423">
        <v>1.5543958965295359E-2</v>
      </c>
      <c r="G12055" s="422">
        <v>788.95523660511822</v>
      </c>
      <c r="H12055" s="417" t="s">
        <v>2616</v>
      </c>
      <c r="I12055" s="417" t="s">
        <v>1392</v>
      </c>
      <c r="J12055" s="417" t="s">
        <v>26213</v>
      </c>
      <c r="K12055" s="417" t="s">
        <v>26658</v>
      </c>
      <c r="L12055" s="417"/>
      <c r="M12055" s="417" t="s">
        <v>28840</v>
      </c>
    </row>
    <row r="12056" spans="1:13" x14ac:dyDescent="0.25">
      <c r="A12056" s="417" t="s">
        <v>3385</v>
      </c>
      <c r="B12056" s="417" t="s">
        <v>3405</v>
      </c>
      <c r="C12056" s="417" t="s">
        <v>26659</v>
      </c>
      <c r="D12056" s="417" t="s">
        <v>224</v>
      </c>
      <c r="E12056" s="423">
        <v>0.64656000059221852</v>
      </c>
      <c r="F12056" s="423">
        <v>1.0301469012146319E-2</v>
      </c>
      <c r="G12056" s="422">
        <v>909.19032635270707</v>
      </c>
      <c r="H12056" s="417" t="s">
        <v>2616</v>
      </c>
      <c r="I12056" s="417" t="s">
        <v>1392</v>
      </c>
      <c r="J12056" s="417" t="s">
        <v>25793</v>
      </c>
      <c r="K12056" s="417" t="s">
        <v>26660</v>
      </c>
      <c r="L12056" s="417"/>
      <c r="M12056" s="417" t="s">
        <v>28840</v>
      </c>
    </row>
    <row r="12057" spans="1:13" x14ac:dyDescent="0.25">
      <c r="A12057" s="417" t="s">
        <v>3385</v>
      </c>
      <c r="B12057" s="417" t="s">
        <v>3405</v>
      </c>
      <c r="C12057" s="417" t="s">
        <v>26661</v>
      </c>
      <c r="D12057" s="417" t="s">
        <v>224</v>
      </c>
      <c r="E12057" s="423">
        <v>0</v>
      </c>
      <c r="F12057" s="423">
        <v>0</v>
      </c>
      <c r="G12057" s="422">
        <v>0</v>
      </c>
      <c r="H12057" s="417" t="s">
        <v>2616</v>
      </c>
      <c r="I12057" s="417" t="s">
        <v>1392</v>
      </c>
      <c r="J12057" s="417" t="s">
        <v>25793</v>
      </c>
      <c r="K12057" s="417" t="s">
        <v>26662</v>
      </c>
      <c r="L12057" s="417"/>
      <c r="M12057" s="417" t="s">
        <v>28840</v>
      </c>
    </row>
    <row r="12058" spans="1:13" x14ac:dyDescent="0.25">
      <c r="A12058" s="417" t="s">
        <v>3385</v>
      </c>
      <c r="B12058" s="417" t="s">
        <v>3405</v>
      </c>
      <c r="C12058" s="417" t="s">
        <v>26663</v>
      </c>
      <c r="D12058" s="417" t="s">
        <v>224</v>
      </c>
      <c r="E12058" s="423">
        <v>0.2384662661338578</v>
      </c>
      <c r="F12058" s="423">
        <v>2.208384575136681E-2</v>
      </c>
      <c r="G12058" s="422">
        <v>589.87606665757176</v>
      </c>
      <c r="H12058" s="417" t="s">
        <v>2616</v>
      </c>
      <c r="I12058" s="417" t="s">
        <v>1392</v>
      </c>
      <c r="J12058" s="417" t="s">
        <v>25793</v>
      </c>
      <c r="K12058" s="417" t="s">
        <v>26664</v>
      </c>
      <c r="L12058" s="417"/>
      <c r="M12058" s="417" t="s">
        <v>28840</v>
      </c>
    </row>
    <row r="12059" spans="1:13" x14ac:dyDescent="0.25">
      <c r="A12059" s="417" t="s">
        <v>3385</v>
      </c>
      <c r="B12059" s="417" t="s">
        <v>3405</v>
      </c>
      <c r="C12059" s="417" t="s">
        <v>26665</v>
      </c>
      <c r="D12059" s="417" t="s">
        <v>224</v>
      </c>
      <c r="E12059" s="423">
        <v>0.52325755086638337</v>
      </c>
      <c r="F12059" s="423">
        <v>6.2039317675072298E-3</v>
      </c>
      <c r="G12059" s="422">
        <v>913.53399118249592</v>
      </c>
      <c r="H12059" s="417" t="s">
        <v>2616</v>
      </c>
      <c r="I12059" s="417" t="s">
        <v>1392</v>
      </c>
      <c r="J12059" s="417" t="s">
        <v>25793</v>
      </c>
      <c r="K12059" s="417" t="s">
        <v>26666</v>
      </c>
      <c r="L12059" s="417"/>
      <c r="M12059" s="417" t="s">
        <v>28840</v>
      </c>
    </row>
    <row r="12060" spans="1:13" x14ac:dyDescent="0.25">
      <c r="A12060" s="417" t="s">
        <v>3385</v>
      </c>
      <c r="B12060" s="417" t="s">
        <v>3405</v>
      </c>
      <c r="C12060" s="417" t="s">
        <v>26667</v>
      </c>
      <c r="D12060" s="417" t="s">
        <v>224</v>
      </c>
      <c r="E12060" s="423">
        <v>0.88613659208204665</v>
      </c>
      <c r="F12060" s="423">
        <v>8.9248207192829439E-3</v>
      </c>
      <c r="G12060" s="422">
        <v>1247.088196668298</v>
      </c>
      <c r="H12060" s="417" t="s">
        <v>2616</v>
      </c>
      <c r="I12060" s="417" t="s">
        <v>1392</v>
      </c>
      <c r="J12060" s="417" t="s">
        <v>25793</v>
      </c>
      <c r="K12060" s="417" t="s">
        <v>26668</v>
      </c>
      <c r="L12060" s="417"/>
      <c r="M12060" s="417" t="s">
        <v>28840</v>
      </c>
    </row>
    <row r="12061" spans="1:13" x14ac:dyDescent="0.25">
      <c r="A12061" s="417" t="s">
        <v>3385</v>
      </c>
      <c r="B12061" s="417" t="s">
        <v>3405</v>
      </c>
      <c r="C12061" s="417" t="s">
        <v>26669</v>
      </c>
      <c r="D12061" s="417" t="s">
        <v>224</v>
      </c>
      <c r="E12061" s="423">
        <v>0.65659594529270771</v>
      </c>
      <c r="F12061" s="423">
        <v>2.4822384121308629E-2</v>
      </c>
      <c r="G12061" s="422">
        <v>1082.7789755789461</v>
      </c>
      <c r="H12061" s="417" t="s">
        <v>2616</v>
      </c>
      <c r="I12061" s="417" t="s">
        <v>1392</v>
      </c>
      <c r="J12061" s="417" t="s">
        <v>25793</v>
      </c>
      <c r="K12061" s="417" t="s">
        <v>26670</v>
      </c>
      <c r="L12061" s="417"/>
      <c r="M12061" s="417" t="s">
        <v>28840</v>
      </c>
    </row>
    <row r="12062" spans="1:13" x14ac:dyDescent="0.25">
      <c r="A12062" s="417" t="s">
        <v>3385</v>
      </c>
      <c r="B12062" s="417" t="s">
        <v>3405</v>
      </c>
      <c r="C12062" s="417" t="s">
        <v>26671</v>
      </c>
      <c r="D12062" s="417" t="s">
        <v>224</v>
      </c>
      <c r="E12062" s="423">
        <v>0.78086028846141975</v>
      </c>
      <c r="F12062" s="423">
        <v>1.6933523454616671E-3</v>
      </c>
      <c r="G12062" s="422">
        <v>1099.608388546603</v>
      </c>
      <c r="H12062" s="417" t="s">
        <v>2616</v>
      </c>
      <c r="I12062" s="417" t="s">
        <v>1392</v>
      </c>
      <c r="J12062" s="417" t="s">
        <v>25793</v>
      </c>
      <c r="K12062" s="417" t="s">
        <v>26672</v>
      </c>
      <c r="L12062" s="417"/>
      <c r="M12062" s="417" t="s">
        <v>28840</v>
      </c>
    </row>
    <row r="12063" spans="1:13" x14ac:dyDescent="0.25">
      <c r="A12063" s="417" t="s">
        <v>3385</v>
      </c>
      <c r="B12063" s="417" t="s">
        <v>3405</v>
      </c>
      <c r="C12063" s="417" t="s">
        <v>26673</v>
      </c>
      <c r="D12063" s="417" t="s">
        <v>224</v>
      </c>
      <c r="E12063" s="423">
        <v>0.64745019327901621</v>
      </c>
      <c r="F12063" s="423">
        <v>3.5256836811744349E-3</v>
      </c>
      <c r="G12063" s="422">
        <v>961.03200260896654</v>
      </c>
      <c r="H12063" s="417" t="s">
        <v>2616</v>
      </c>
      <c r="I12063" s="417" t="s">
        <v>1392</v>
      </c>
      <c r="J12063" s="417" t="s">
        <v>25793</v>
      </c>
      <c r="K12063" s="417" t="s">
        <v>26674</v>
      </c>
      <c r="L12063" s="417"/>
      <c r="M12063" s="417" t="s">
        <v>28840</v>
      </c>
    </row>
    <row r="12064" spans="1:13" x14ac:dyDescent="0.25">
      <c r="A12064" s="417" t="s">
        <v>3385</v>
      </c>
      <c r="B12064" s="417" t="s">
        <v>3405</v>
      </c>
      <c r="C12064" s="417" t="s">
        <v>26675</v>
      </c>
      <c r="D12064" s="417" t="s">
        <v>224</v>
      </c>
      <c r="E12064" s="423">
        <v>0.47377122394923021</v>
      </c>
      <c r="F12064" s="423">
        <v>4.8099789798099729E-2</v>
      </c>
      <c r="G12064" s="422">
        <v>598.71441927920705</v>
      </c>
      <c r="H12064" s="417" t="s">
        <v>2616</v>
      </c>
      <c r="I12064" s="417" t="s">
        <v>1392</v>
      </c>
      <c r="J12064" s="417" t="s">
        <v>25793</v>
      </c>
      <c r="K12064" s="417" t="s">
        <v>26676</v>
      </c>
      <c r="L12064" s="417"/>
      <c r="M12064" s="417" t="s">
        <v>28840</v>
      </c>
    </row>
    <row r="12065" spans="1:13" x14ac:dyDescent="0.25">
      <c r="A12065" s="417" t="s">
        <v>3385</v>
      </c>
      <c r="B12065" s="417" t="s">
        <v>3405</v>
      </c>
      <c r="C12065" s="417" t="s">
        <v>26677</v>
      </c>
      <c r="D12065" s="417" t="s">
        <v>224</v>
      </c>
      <c r="E12065" s="423">
        <v>0.50604693003237211</v>
      </c>
      <c r="F12065" s="423">
        <v>2.4404756074456972E-3</v>
      </c>
      <c r="G12065" s="422">
        <v>876.82181792347251</v>
      </c>
      <c r="H12065" s="417" t="s">
        <v>2616</v>
      </c>
      <c r="I12065" s="417" t="s">
        <v>1392</v>
      </c>
      <c r="J12065" s="417" t="s">
        <v>25793</v>
      </c>
      <c r="K12065" s="417" t="s">
        <v>26678</v>
      </c>
      <c r="L12065" s="417"/>
      <c r="M12065" s="417" t="s">
        <v>28840</v>
      </c>
    </row>
    <row r="12066" spans="1:13" x14ac:dyDescent="0.25">
      <c r="A12066" s="417" t="s">
        <v>3385</v>
      </c>
      <c r="B12066" s="417" t="s">
        <v>3405</v>
      </c>
      <c r="C12066" s="417" t="s">
        <v>26679</v>
      </c>
      <c r="D12066" s="417" t="s">
        <v>224</v>
      </c>
      <c r="E12066" s="423">
        <v>0.37907671162486289</v>
      </c>
      <c r="F12066" s="423">
        <v>4.7415460959638382E-2</v>
      </c>
      <c r="G12066" s="422">
        <v>797.61178831739403</v>
      </c>
      <c r="H12066" s="417" t="s">
        <v>2616</v>
      </c>
      <c r="I12066" s="417" t="s">
        <v>1392</v>
      </c>
      <c r="J12066" s="417" t="s">
        <v>25793</v>
      </c>
      <c r="K12066" s="417" t="s">
        <v>26680</v>
      </c>
      <c r="L12066" s="417"/>
      <c r="M12066" s="417" t="s">
        <v>28840</v>
      </c>
    </row>
    <row r="12067" spans="1:13" x14ac:dyDescent="0.25">
      <c r="A12067" s="417" t="s">
        <v>3385</v>
      </c>
      <c r="B12067" s="417" t="s">
        <v>3405</v>
      </c>
      <c r="C12067" s="417" t="s">
        <v>26681</v>
      </c>
      <c r="D12067" s="417" t="s">
        <v>224</v>
      </c>
      <c r="E12067" s="423">
        <v>6.580243858837509E-2</v>
      </c>
      <c r="F12067" s="423">
        <v>1.127619996411632E-2</v>
      </c>
      <c r="G12067" s="422">
        <v>640.79213729793616</v>
      </c>
      <c r="H12067" s="417" t="s">
        <v>2616</v>
      </c>
      <c r="I12067" s="417" t="s">
        <v>1392</v>
      </c>
      <c r="J12067" s="417" t="s">
        <v>25793</v>
      </c>
      <c r="K12067" s="417" t="s">
        <v>26682</v>
      </c>
      <c r="L12067" s="417"/>
      <c r="M12067" s="417" t="s">
        <v>28840</v>
      </c>
    </row>
    <row r="12068" spans="1:13" x14ac:dyDescent="0.25">
      <c r="A12068" s="417" t="s">
        <v>3385</v>
      </c>
      <c r="B12068" s="417" t="s">
        <v>3405</v>
      </c>
      <c r="C12068" s="417" t="s">
        <v>26683</v>
      </c>
      <c r="D12068" s="417" t="s">
        <v>224</v>
      </c>
      <c r="E12068" s="423">
        <v>0.40023862123622461</v>
      </c>
      <c r="F12068" s="423">
        <v>1.4572622785371161E-3</v>
      </c>
      <c r="G12068" s="422">
        <v>707.06218608246104</v>
      </c>
      <c r="H12068" s="417" t="s">
        <v>2616</v>
      </c>
      <c r="I12068" s="417" t="s">
        <v>1392</v>
      </c>
      <c r="J12068" s="417" t="s">
        <v>25793</v>
      </c>
      <c r="K12068" s="417" t="s">
        <v>26684</v>
      </c>
      <c r="L12068" s="417"/>
      <c r="M12068" s="417" t="s">
        <v>28840</v>
      </c>
    </row>
    <row r="12069" spans="1:13" x14ac:dyDescent="0.25">
      <c r="A12069" s="417" t="s">
        <v>3385</v>
      </c>
      <c r="B12069" s="417" t="s">
        <v>3405</v>
      </c>
      <c r="C12069" s="417" t="s">
        <v>26685</v>
      </c>
      <c r="D12069" s="417" t="s">
        <v>224</v>
      </c>
      <c r="E12069" s="423">
        <v>0.57407404176972032</v>
      </c>
      <c r="F12069" s="423">
        <v>5.848579551426876E-3</v>
      </c>
      <c r="G12069" s="422">
        <v>736.58091300938088</v>
      </c>
      <c r="H12069" s="417" t="s">
        <v>2616</v>
      </c>
      <c r="I12069" s="417" t="s">
        <v>1392</v>
      </c>
      <c r="J12069" s="417" t="s">
        <v>25793</v>
      </c>
      <c r="K12069" s="417" t="s">
        <v>26686</v>
      </c>
      <c r="L12069" s="417"/>
      <c r="M12069" s="417" t="s">
        <v>28840</v>
      </c>
    </row>
    <row r="12070" spans="1:13" x14ac:dyDescent="0.25">
      <c r="A12070" s="417" t="s">
        <v>3385</v>
      </c>
      <c r="B12070" s="417" t="s">
        <v>3405</v>
      </c>
      <c r="C12070" s="417" t="s">
        <v>26687</v>
      </c>
      <c r="D12070" s="417" t="s">
        <v>224</v>
      </c>
      <c r="E12070" s="423">
        <v>0.56388016139537878</v>
      </c>
      <c r="F12070" s="423">
        <v>1.129176722387353E-3</v>
      </c>
      <c r="G12070" s="422">
        <v>719.5528690198945</v>
      </c>
      <c r="H12070" s="417" t="s">
        <v>2616</v>
      </c>
      <c r="I12070" s="417" t="s">
        <v>1392</v>
      </c>
      <c r="J12070" s="417" t="s">
        <v>25793</v>
      </c>
      <c r="K12070" s="417" t="s">
        <v>26688</v>
      </c>
      <c r="L12070" s="417"/>
      <c r="M12070" s="417" t="s">
        <v>28840</v>
      </c>
    </row>
    <row r="12071" spans="1:13" x14ac:dyDescent="0.25">
      <c r="A12071" s="417" t="s">
        <v>3385</v>
      </c>
      <c r="B12071" s="417" t="s">
        <v>3405</v>
      </c>
      <c r="C12071" s="417" t="s">
        <v>26689</v>
      </c>
      <c r="D12071" s="417" t="s">
        <v>224</v>
      </c>
      <c r="E12071" s="423">
        <v>0.37762552288896711</v>
      </c>
      <c r="F12071" s="423">
        <v>4.0174809213405549E-2</v>
      </c>
      <c r="G12071" s="422">
        <v>817.61682442632946</v>
      </c>
      <c r="H12071" s="417" t="s">
        <v>2616</v>
      </c>
      <c r="I12071" s="417" t="s">
        <v>1392</v>
      </c>
      <c r="J12071" s="417" t="s">
        <v>25793</v>
      </c>
      <c r="K12071" s="417" t="s">
        <v>26690</v>
      </c>
      <c r="L12071" s="417"/>
      <c r="M12071" s="417" t="s">
        <v>28840</v>
      </c>
    </row>
    <row r="12072" spans="1:13" x14ac:dyDescent="0.25">
      <c r="A12072" s="417" t="s">
        <v>3385</v>
      </c>
      <c r="B12072" s="417" t="s">
        <v>3405</v>
      </c>
      <c r="C12072" s="417" t="s">
        <v>26691</v>
      </c>
      <c r="D12072" s="417" t="s">
        <v>224</v>
      </c>
      <c r="E12072" s="423">
        <v>0.62698013144694686</v>
      </c>
      <c r="F12072" s="423">
        <v>2.1134042210841249E-2</v>
      </c>
      <c r="G12072" s="422">
        <v>782.1343196877599</v>
      </c>
      <c r="H12072" s="417" t="s">
        <v>2616</v>
      </c>
      <c r="I12072" s="417" t="s">
        <v>1392</v>
      </c>
      <c r="J12072" s="417" t="s">
        <v>25793</v>
      </c>
      <c r="K12072" s="417" t="s">
        <v>26692</v>
      </c>
      <c r="L12072" s="417"/>
      <c r="M12072" s="417" t="s">
        <v>28840</v>
      </c>
    </row>
    <row r="12073" spans="1:13" x14ac:dyDescent="0.25">
      <c r="A12073" s="417" t="s">
        <v>3385</v>
      </c>
      <c r="B12073" s="417" t="s">
        <v>3405</v>
      </c>
      <c r="C12073" s="417" t="s">
        <v>26693</v>
      </c>
      <c r="D12073" s="417" t="s">
        <v>224</v>
      </c>
      <c r="E12073" s="423">
        <v>0.52840960938031045</v>
      </c>
      <c r="F12073" s="423">
        <v>3.661185848854383E-3</v>
      </c>
      <c r="G12073" s="422">
        <v>907.00755271428329</v>
      </c>
      <c r="H12073" s="417" t="s">
        <v>2616</v>
      </c>
      <c r="I12073" s="417" t="s">
        <v>1392</v>
      </c>
      <c r="J12073" s="417" t="s">
        <v>25793</v>
      </c>
      <c r="K12073" s="417" t="s">
        <v>26694</v>
      </c>
      <c r="L12073" s="417"/>
      <c r="M12073" s="417" t="s">
        <v>28840</v>
      </c>
    </row>
    <row r="12074" spans="1:13" x14ac:dyDescent="0.25">
      <c r="A12074" s="417" t="s">
        <v>3385</v>
      </c>
      <c r="B12074" s="417" t="s">
        <v>3405</v>
      </c>
      <c r="C12074" s="417" t="s">
        <v>26695</v>
      </c>
      <c r="D12074" s="417" t="s">
        <v>224</v>
      </c>
      <c r="E12074" s="423">
        <v>0.54858383137087308</v>
      </c>
      <c r="F12074" s="423">
        <v>2.5025870854553899E-3</v>
      </c>
      <c r="G12074" s="422">
        <v>762.39532786946893</v>
      </c>
      <c r="H12074" s="417" t="s">
        <v>2616</v>
      </c>
      <c r="I12074" s="417" t="s">
        <v>1392</v>
      </c>
      <c r="J12074" s="417" t="s">
        <v>25793</v>
      </c>
      <c r="K12074" s="417" t="s">
        <v>26696</v>
      </c>
      <c r="L12074" s="417"/>
      <c r="M12074" s="417" t="s">
        <v>28840</v>
      </c>
    </row>
    <row r="12075" spans="1:13" x14ac:dyDescent="0.25">
      <c r="A12075" s="417" t="s">
        <v>3385</v>
      </c>
      <c r="B12075" s="417" t="s">
        <v>3405</v>
      </c>
      <c r="C12075" s="417" t="s">
        <v>26697</v>
      </c>
      <c r="D12075" s="417" t="s">
        <v>224</v>
      </c>
      <c r="E12075" s="423">
        <v>0.45564871337566692</v>
      </c>
      <c r="F12075" s="423">
        <v>2.5492400180752101E-3</v>
      </c>
      <c r="G12075" s="422">
        <v>641.28777598997226</v>
      </c>
      <c r="H12075" s="417" t="s">
        <v>2616</v>
      </c>
      <c r="I12075" s="417" t="s">
        <v>1392</v>
      </c>
      <c r="J12075" s="417" t="s">
        <v>25793</v>
      </c>
      <c r="K12075" s="417" t="s">
        <v>26698</v>
      </c>
      <c r="L12075" s="417"/>
      <c r="M12075" s="417" t="s">
        <v>28840</v>
      </c>
    </row>
    <row r="12076" spans="1:13" x14ac:dyDescent="0.25">
      <c r="A12076" s="417" t="s">
        <v>3385</v>
      </c>
      <c r="B12076" s="417" t="s">
        <v>3405</v>
      </c>
      <c r="C12076" s="417" t="s">
        <v>26699</v>
      </c>
      <c r="D12076" s="417" t="s">
        <v>224</v>
      </c>
      <c r="E12076" s="423">
        <v>0.5554993347518139</v>
      </c>
      <c r="F12076" s="423">
        <v>3.6846335003634149E-3</v>
      </c>
      <c r="G12076" s="422">
        <v>929.41527729846462</v>
      </c>
      <c r="H12076" s="417" t="s">
        <v>2616</v>
      </c>
      <c r="I12076" s="417" t="s">
        <v>1392</v>
      </c>
      <c r="J12076" s="417" t="s">
        <v>25793</v>
      </c>
      <c r="K12076" s="417" t="s">
        <v>26700</v>
      </c>
      <c r="L12076" s="417"/>
      <c r="M12076" s="417" t="s">
        <v>28840</v>
      </c>
    </row>
    <row r="12077" spans="1:13" x14ac:dyDescent="0.25">
      <c r="A12077" s="417" t="s">
        <v>3385</v>
      </c>
      <c r="B12077" s="417" t="s">
        <v>3405</v>
      </c>
      <c r="C12077" s="417" t="s">
        <v>26701</v>
      </c>
      <c r="D12077" s="417" t="s">
        <v>224</v>
      </c>
      <c r="E12077" s="423">
        <v>0.27819506220507811</v>
      </c>
      <c r="F12077" s="423">
        <v>8.943554664639794E-2</v>
      </c>
      <c r="G12077" s="422">
        <v>390.58580099148048</v>
      </c>
      <c r="H12077" s="417" t="s">
        <v>2616</v>
      </c>
      <c r="I12077" s="417" t="s">
        <v>1392</v>
      </c>
      <c r="J12077" s="417" t="s">
        <v>25793</v>
      </c>
      <c r="K12077" s="417" t="s">
        <v>26702</v>
      </c>
      <c r="L12077" s="417"/>
      <c r="M12077" s="417" t="s">
        <v>28840</v>
      </c>
    </row>
    <row r="12078" spans="1:13" x14ac:dyDescent="0.25">
      <c r="A12078" s="417" t="s">
        <v>3385</v>
      </c>
      <c r="B12078" s="417" t="s">
        <v>3405</v>
      </c>
      <c r="C12078" s="417" t="s">
        <v>26703</v>
      </c>
      <c r="D12078" s="417" t="s">
        <v>224</v>
      </c>
      <c r="E12078" s="423">
        <v>0.76441713463799699</v>
      </c>
      <c r="F12078" s="423">
        <v>3.347847323961285E-3</v>
      </c>
      <c r="G12078" s="422">
        <v>1140.673832791095</v>
      </c>
      <c r="H12078" s="417" t="s">
        <v>2616</v>
      </c>
      <c r="I12078" s="417" t="s">
        <v>1392</v>
      </c>
      <c r="J12078" s="417" t="s">
        <v>25793</v>
      </c>
      <c r="K12078" s="417" t="s">
        <v>26704</v>
      </c>
      <c r="L12078" s="417"/>
      <c r="M12078" s="417" t="s">
        <v>28840</v>
      </c>
    </row>
    <row r="12079" spans="1:13" x14ac:dyDescent="0.25">
      <c r="A12079" s="417" t="s">
        <v>3385</v>
      </c>
      <c r="B12079" s="417" t="s">
        <v>3405</v>
      </c>
      <c r="C12079" s="417" t="s">
        <v>26705</v>
      </c>
      <c r="D12079" s="417" t="s">
        <v>224</v>
      </c>
      <c r="E12079" s="423">
        <v>0.57324172015942754</v>
      </c>
      <c r="F12079" s="423">
        <v>1.9827788342029599E-3</v>
      </c>
      <c r="G12079" s="422">
        <v>731.30132264586177</v>
      </c>
      <c r="H12079" s="417" t="s">
        <v>2616</v>
      </c>
      <c r="I12079" s="417" t="s">
        <v>1392</v>
      </c>
      <c r="J12079" s="417" t="s">
        <v>25793</v>
      </c>
      <c r="K12079" s="417" t="s">
        <v>26706</v>
      </c>
      <c r="L12079" s="417"/>
      <c r="M12079" s="417" t="s">
        <v>28840</v>
      </c>
    </row>
    <row r="12080" spans="1:13" x14ac:dyDescent="0.25">
      <c r="A12080" s="417" t="s">
        <v>3385</v>
      </c>
      <c r="B12080" s="417" t="s">
        <v>3405</v>
      </c>
      <c r="C12080" s="417" t="s">
        <v>26707</v>
      </c>
      <c r="D12080" s="417" t="s">
        <v>224</v>
      </c>
      <c r="E12080" s="423">
        <v>0.5069474877336142</v>
      </c>
      <c r="F12080" s="423">
        <v>3.6515365847000461E-3</v>
      </c>
      <c r="G12080" s="422">
        <v>865.32585002360054</v>
      </c>
      <c r="H12080" s="417" t="s">
        <v>2616</v>
      </c>
      <c r="I12080" s="417" t="s">
        <v>1392</v>
      </c>
      <c r="J12080" s="417" t="s">
        <v>25793</v>
      </c>
      <c r="K12080" s="417" t="s">
        <v>26708</v>
      </c>
      <c r="L12080" s="417"/>
      <c r="M12080" s="417" t="s">
        <v>28840</v>
      </c>
    </row>
    <row r="12081" spans="1:13" x14ac:dyDescent="0.25">
      <c r="A12081" s="417" t="s">
        <v>3385</v>
      </c>
      <c r="B12081" s="417" t="s">
        <v>3405</v>
      </c>
      <c r="C12081" s="417" t="s">
        <v>26709</v>
      </c>
      <c r="D12081" s="417" t="s">
        <v>224</v>
      </c>
      <c r="E12081" s="423">
        <v>0.97132132650977743</v>
      </c>
      <c r="F12081" s="423">
        <v>1.58107253826574E-2</v>
      </c>
      <c r="G12081" s="422">
        <v>1220.430224209724</v>
      </c>
      <c r="H12081" s="417" t="s">
        <v>2616</v>
      </c>
      <c r="I12081" s="417" t="s">
        <v>1392</v>
      </c>
      <c r="J12081" s="417" t="s">
        <v>25793</v>
      </c>
      <c r="K12081" s="417" t="s">
        <v>26710</v>
      </c>
      <c r="L12081" s="417"/>
      <c r="M12081" s="417" t="s">
        <v>28840</v>
      </c>
    </row>
    <row r="12082" spans="1:13" x14ac:dyDescent="0.25">
      <c r="A12082" s="417" t="s">
        <v>3385</v>
      </c>
      <c r="B12082" s="417" t="s">
        <v>3405</v>
      </c>
      <c r="C12082" s="417" t="s">
        <v>26711</v>
      </c>
      <c r="D12082" s="417" t="s">
        <v>224</v>
      </c>
      <c r="E12082" s="423">
        <v>0.36872172690902061</v>
      </c>
      <c r="F12082" s="423">
        <v>4.1529327624891532E-2</v>
      </c>
      <c r="G12082" s="422">
        <v>470.85395903606491</v>
      </c>
      <c r="H12082" s="417" t="s">
        <v>2616</v>
      </c>
      <c r="I12082" s="417" t="s">
        <v>1392</v>
      </c>
      <c r="J12082" s="417" t="s">
        <v>25793</v>
      </c>
      <c r="K12082" s="417" t="s">
        <v>26712</v>
      </c>
      <c r="L12082" s="417"/>
      <c r="M12082" s="417" t="s">
        <v>28840</v>
      </c>
    </row>
    <row r="12083" spans="1:13" x14ac:dyDescent="0.25">
      <c r="A12083" s="417" t="s">
        <v>3385</v>
      </c>
      <c r="B12083" s="417" t="s">
        <v>3405</v>
      </c>
      <c r="C12083" s="417" t="s">
        <v>26713</v>
      </c>
      <c r="D12083" s="417" t="s">
        <v>224</v>
      </c>
      <c r="E12083" s="423">
        <v>0.41808721864727272</v>
      </c>
      <c r="F12083" s="423">
        <v>4.6973273051996306E-3</v>
      </c>
      <c r="G12083" s="422">
        <v>652.62493882464389</v>
      </c>
      <c r="H12083" s="417" t="s">
        <v>2616</v>
      </c>
      <c r="I12083" s="417" t="s">
        <v>1392</v>
      </c>
      <c r="J12083" s="417" t="s">
        <v>25793</v>
      </c>
      <c r="K12083" s="417" t="s">
        <v>26714</v>
      </c>
      <c r="L12083" s="417"/>
      <c r="M12083" s="417" t="s">
        <v>28840</v>
      </c>
    </row>
    <row r="12084" spans="1:13" x14ac:dyDescent="0.25">
      <c r="A12084" s="417" t="s">
        <v>3385</v>
      </c>
      <c r="B12084" s="417" t="s">
        <v>3405</v>
      </c>
      <c r="C12084" s="417" t="s">
        <v>26715</v>
      </c>
      <c r="D12084" s="417" t="s">
        <v>224</v>
      </c>
      <c r="E12084" s="423">
        <v>6.8290706357744202E-2</v>
      </c>
      <c r="F12084" s="423">
        <v>2.0081253139898871E-2</v>
      </c>
      <c r="G12084" s="422">
        <v>694.16975808153506</v>
      </c>
      <c r="H12084" s="417" t="s">
        <v>2616</v>
      </c>
      <c r="I12084" s="417" t="s">
        <v>1392</v>
      </c>
      <c r="J12084" s="417" t="s">
        <v>25793</v>
      </c>
      <c r="K12084" s="417" t="s">
        <v>26716</v>
      </c>
      <c r="L12084" s="417"/>
      <c r="M12084" s="417" t="s">
        <v>28840</v>
      </c>
    </row>
    <row r="12085" spans="1:13" x14ac:dyDescent="0.25">
      <c r="A12085" s="417" t="s">
        <v>3385</v>
      </c>
      <c r="B12085" s="417" t="s">
        <v>3405</v>
      </c>
      <c r="C12085" s="417" t="s">
        <v>26717</v>
      </c>
      <c r="D12085" s="417" t="s">
        <v>224</v>
      </c>
      <c r="E12085" s="423">
        <v>0.53747225335075632</v>
      </c>
      <c r="F12085" s="423">
        <v>1.35392246768215E-3</v>
      </c>
      <c r="G12085" s="422">
        <v>1032.5298369607201</v>
      </c>
      <c r="H12085" s="417" t="s">
        <v>2616</v>
      </c>
      <c r="I12085" s="417" t="s">
        <v>1392</v>
      </c>
      <c r="J12085" s="417" t="s">
        <v>25793</v>
      </c>
      <c r="K12085" s="417" t="s">
        <v>26718</v>
      </c>
      <c r="L12085" s="417"/>
      <c r="M12085" s="417" t="s">
        <v>28840</v>
      </c>
    </row>
    <row r="12086" spans="1:13" x14ac:dyDescent="0.25">
      <c r="A12086" s="417" t="s">
        <v>3385</v>
      </c>
      <c r="B12086" s="417" t="s">
        <v>3405</v>
      </c>
      <c r="C12086" s="417" t="s">
        <v>26719</v>
      </c>
      <c r="D12086" s="417" t="s">
        <v>224</v>
      </c>
      <c r="E12086" s="423">
        <v>0.21701744308567381</v>
      </c>
      <c r="F12086" s="423">
        <v>4.9388200131065887E-2</v>
      </c>
      <c r="G12086" s="422">
        <v>667.2378337813135</v>
      </c>
      <c r="H12086" s="417" t="s">
        <v>2616</v>
      </c>
      <c r="I12086" s="417" t="s">
        <v>1392</v>
      </c>
      <c r="J12086" s="417" t="s">
        <v>25793</v>
      </c>
      <c r="K12086" s="417" t="s">
        <v>26720</v>
      </c>
      <c r="L12086" s="417"/>
      <c r="M12086" s="417" t="s">
        <v>28840</v>
      </c>
    </row>
    <row r="12087" spans="1:13" x14ac:dyDescent="0.25">
      <c r="A12087" s="417" t="s">
        <v>3385</v>
      </c>
      <c r="B12087" s="417" t="s">
        <v>3405</v>
      </c>
      <c r="C12087" s="417" t="s">
        <v>26721</v>
      </c>
      <c r="D12087" s="417" t="s">
        <v>563</v>
      </c>
      <c r="E12087" s="423">
        <v>20.596028872927299</v>
      </c>
      <c r="F12087" s="423">
        <v>0.44086672839018393</v>
      </c>
      <c r="G12087" s="422">
        <v>41747.795577910358</v>
      </c>
      <c r="H12087" s="417" t="s">
        <v>2616</v>
      </c>
      <c r="I12087" s="417" t="s">
        <v>1392</v>
      </c>
      <c r="J12087" s="417" t="s">
        <v>25732</v>
      </c>
      <c r="K12087" s="417" t="s">
        <v>26722</v>
      </c>
      <c r="L12087" s="417"/>
      <c r="M12087" s="417" t="s">
        <v>28840</v>
      </c>
    </row>
    <row r="12088" spans="1:13" x14ac:dyDescent="0.25">
      <c r="A12088" s="417" t="s">
        <v>3385</v>
      </c>
      <c r="B12088" s="417" t="s">
        <v>3405</v>
      </c>
      <c r="C12088" s="417" t="s">
        <v>26723</v>
      </c>
      <c r="D12088" s="417" t="s">
        <v>989</v>
      </c>
      <c r="E12088" s="423">
        <v>414.86944008353532</v>
      </c>
      <c r="F12088" s="423">
        <v>6.6218455870670674</v>
      </c>
      <c r="G12088" s="422">
        <v>879110.64896885143</v>
      </c>
      <c r="H12088" s="417" t="s">
        <v>2616</v>
      </c>
      <c r="I12088" s="417" t="s">
        <v>1392</v>
      </c>
      <c r="J12088" s="417" t="s">
        <v>25732</v>
      </c>
      <c r="K12088" s="417" t="s">
        <v>26724</v>
      </c>
      <c r="L12088" s="417"/>
      <c r="M12088" s="417" t="s">
        <v>28840</v>
      </c>
    </row>
    <row r="12089" spans="1:13" x14ac:dyDescent="0.25">
      <c r="A12089" s="417" t="s">
        <v>3385</v>
      </c>
      <c r="B12089" s="417" t="s">
        <v>3405</v>
      </c>
      <c r="C12089" s="417" t="s">
        <v>26725</v>
      </c>
      <c r="D12089" s="417" t="s">
        <v>563</v>
      </c>
      <c r="E12089" s="423">
        <v>18.507897006975071</v>
      </c>
      <c r="F12089" s="423">
        <v>0.49060064897527722</v>
      </c>
      <c r="G12089" s="422">
        <v>37323.307200179872</v>
      </c>
      <c r="H12089" s="417" t="s">
        <v>2616</v>
      </c>
      <c r="I12089" s="417" t="s">
        <v>1392</v>
      </c>
      <c r="J12089" s="417" t="s">
        <v>25732</v>
      </c>
      <c r="K12089" s="417" t="s">
        <v>26726</v>
      </c>
      <c r="L12089" s="417"/>
      <c r="M12089" s="417" t="s">
        <v>28840</v>
      </c>
    </row>
    <row r="12090" spans="1:13" x14ac:dyDescent="0.25">
      <c r="A12090" s="417" t="s">
        <v>3385</v>
      </c>
      <c r="B12090" s="417" t="s">
        <v>3405</v>
      </c>
      <c r="C12090" s="417" t="s">
        <v>26727</v>
      </c>
      <c r="D12090" s="417" t="s">
        <v>989</v>
      </c>
      <c r="E12090" s="423">
        <v>524.84984030837779</v>
      </c>
      <c r="F12090" s="423">
        <v>11.85791553975305</v>
      </c>
      <c r="G12090" s="422">
        <v>1093412.7235737031</v>
      </c>
      <c r="H12090" s="417" t="s">
        <v>2616</v>
      </c>
      <c r="I12090" s="417" t="s">
        <v>1392</v>
      </c>
      <c r="J12090" s="417" t="s">
        <v>25732</v>
      </c>
      <c r="K12090" s="417" t="s">
        <v>26728</v>
      </c>
      <c r="L12090" s="417"/>
      <c r="M12090" s="417" t="s">
        <v>28840</v>
      </c>
    </row>
    <row r="12091" spans="1:13" x14ac:dyDescent="0.25">
      <c r="A12091" s="417" t="s">
        <v>3385</v>
      </c>
      <c r="B12091" s="417" t="s">
        <v>2627</v>
      </c>
      <c r="C12091" s="417" t="s">
        <v>26729</v>
      </c>
      <c r="D12091" s="417" t="s">
        <v>83</v>
      </c>
      <c r="E12091" s="423">
        <v>511.64652227559941</v>
      </c>
      <c r="F12091" s="423">
        <v>116.0232525661863</v>
      </c>
      <c r="G12091" s="422">
        <v>959287.49103082065</v>
      </c>
      <c r="H12091" s="417" t="s">
        <v>2616</v>
      </c>
      <c r="I12091" s="417" t="s">
        <v>1392</v>
      </c>
      <c r="J12091" s="417" t="s">
        <v>26730</v>
      </c>
      <c r="K12091" s="417" t="s">
        <v>26731</v>
      </c>
      <c r="L12091" s="417"/>
      <c r="M12091" s="417" t="s">
        <v>28840</v>
      </c>
    </row>
    <row r="12092" spans="1:13" x14ac:dyDescent="0.25">
      <c r="A12092" s="417" t="s">
        <v>3385</v>
      </c>
      <c r="B12092" s="417" t="s">
        <v>2627</v>
      </c>
      <c r="C12092" s="417" t="s">
        <v>26732</v>
      </c>
      <c r="D12092" s="417" t="s">
        <v>83</v>
      </c>
      <c r="E12092" s="423">
        <v>172.14243385099101</v>
      </c>
      <c r="F12092" s="423">
        <v>38.890575918911871</v>
      </c>
      <c r="G12092" s="422">
        <v>323467.86830222409</v>
      </c>
      <c r="H12092" s="417" t="s">
        <v>2616</v>
      </c>
      <c r="I12092" s="417" t="s">
        <v>1392</v>
      </c>
      <c r="J12092" s="417" t="s">
        <v>25737</v>
      </c>
      <c r="K12092" s="417" t="s">
        <v>26733</v>
      </c>
      <c r="L12092" s="417"/>
      <c r="M12092" s="417" t="s">
        <v>28840</v>
      </c>
    </row>
    <row r="12093" spans="1:13" x14ac:dyDescent="0.25">
      <c r="A12093" s="417" t="s">
        <v>3385</v>
      </c>
      <c r="B12093" s="417" t="s">
        <v>2627</v>
      </c>
      <c r="C12093" s="417" t="s">
        <v>26734</v>
      </c>
      <c r="D12093" s="417" t="s">
        <v>83</v>
      </c>
      <c r="E12093" s="423">
        <v>99.862888042270754</v>
      </c>
      <c r="F12093" s="423">
        <v>96.251884685820244</v>
      </c>
      <c r="G12093" s="422">
        <v>209611.44632931659</v>
      </c>
      <c r="H12093" s="417" t="s">
        <v>2616</v>
      </c>
      <c r="I12093" s="417" t="s">
        <v>1392</v>
      </c>
      <c r="J12093" s="417" t="s">
        <v>26730</v>
      </c>
      <c r="K12093" s="417" t="s">
        <v>26735</v>
      </c>
      <c r="L12093" s="417"/>
      <c r="M12093" s="417" t="s">
        <v>28840</v>
      </c>
    </row>
    <row r="12094" spans="1:13" x14ac:dyDescent="0.25">
      <c r="A12094" s="417" t="s">
        <v>3385</v>
      </c>
      <c r="B12094" s="417" t="s">
        <v>2627</v>
      </c>
      <c r="C12094" s="417" t="s">
        <v>26736</v>
      </c>
      <c r="D12094" s="417" t="s">
        <v>83</v>
      </c>
      <c r="E12094" s="423">
        <v>81.989723336366978</v>
      </c>
      <c r="F12094" s="423">
        <v>82.627187034291381</v>
      </c>
      <c r="G12094" s="422">
        <v>172742.99531307019</v>
      </c>
      <c r="H12094" s="417" t="s">
        <v>2616</v>
      </c>
      <c r="I12094" s="417" t="s">
        <v>1392</v>
      </c>
      <c r="J12094" s="417" t="s">
        <v>26730</v>
      </c>
      <c r="K12094" s="417" t="s">
        <v>26737</v>
      </c>
      <c r="L12094" s="417"/>
      <c r="M12094" s="417" t="s">
        <v>28840</v>
      </c>
    </row>
    <row r="12095" spans="1:13" x14ac:dyDescent="0.25">
      <c r="A12095" s="417" t="s">
        <v>3385</v>
      </c>
      <c r="B12095" s="417" t="s">
        <v>3405</v>
      </c>
      <c r="C12095" s="417" t="s">
        <v>26738</v>
      </c>
      <c r="D12095" s="417" t="s">
        <v>563</v>
      </c>
      <c r="E12095" s="423">
        <v>75.977372060121155</v>
      </c>
      <c r="F12095" s="423">
        <v>10.59375748910464</v>
      </c>
      <c r="G12095" s="422">
        <v>251725.1204662855</v>
      </c>
      <c r="H12095" s="417" t="s">
        <v>2616</v>
      </c>
      <c r="I12095" s="417" t="s">
        <v>1392</v>
      </c>
      <c r="J12095" s="417" t="s">
        <v>25732</v>
      </c>
      <c r="K12095" s="417" t="s">
        <v>26739</v>
      </c>
      <c r="L12095" s="417"/>
      <c r="M12095" s="417" t="s">
        <v>28840</v>
      </c>
    </row>
    <row r="12096" spans="1:13" x14ac:dyDescent="0.25">
      <c r="A12096" s="417" t="s">
        <v>3385</v>
      </c>
      <c r="B12096" s="417" t="s">
        <v>3405</v>
      </c>
      <c r="C12096" s="417" t="s">
        <v>26740</v>
      </c>
      <c r="D12096" s="417" t="s">
        <v>563</v>
      </c>
      <c r="E12096" s="423">
        <v>32.474475007455588</v>
      </c>
      <c r="F12096" s="423">
        <v>0.57060790399214545</v>
      </c>
      <c r="G12096" s="422">
        <v>55852.579071311047</v>
      </c>
      <c r="H12096" s="417" t="s">
        <v>2616</v>
      </c>
      <c r="I12096" s="417" t="s">
        <v>1392</v>
      </c>
      <c r="J12096" s="417" t="s">
        <v>25732</v>
      </c>
      <c r="K12096" s="417" t="s">
        <v>26741</v>
      </c>
      <c r="L12096" s="417"/>
      <c r="M12096" s="417" t="s">
        <v>28840</v>
      </c>
    </row>
    <row r="12097" spans="1:13" x14ac:dyDescent="0.25">
      <c r="A12097" s="417" t="s">
        <v>3385</v>
      </c>
      <c r="B12097" s="417" t="s">
        <v>3405</v>
      </c>
      <c r="C12097" s="417" t="s">
        <v>26742</v>
      </c>
      <c r="D12097" s="417" t="s">
        <v>989</v>
      </c>
      <c r="E12097" s="423">
        <v>1514.4438791414129</v>
      </c>
      <c r="F12097" s="423">
        <v>74.836931406233944</v>
      </c>
      <c r="G12097" s="422">
        <v>2966852.780749307</v>
      </c>
      <c r="H12097" s="417" t="s">
        <v>2616</v>
      </c>
      <c r="I12097" s="417" t="s">
        <v>1392</v>
      </c>
      <c r="J12097" s="417" t="s">
        <v>25732</v>
      </c>
      <c r="K12097" s="417" t="s">
        <v>26743</v>
      </c>
      <c r="L12097" s="417"/>
      <c r="M12097" s="417" t="s">
        <v>28840</v>
      </c>
    </row>
    <row r="12098" spans="1:13" x14ac:dyDescent="0.25">
      <c r="A12098" s="417" t="s">
        <v>3385</v>
      </c>
      <c r="B12098" s="417" t="s">
        <v>3405</v>
      </c>
      <c r="C12098" s="417" t="s">
        <v>26744</v>
      </c>
      <c r="D12098" s="417" t="s">
        <v>989</v>
      </c>
      <c r="E12098" s="423">
        <v>2963.5771197625618</v>
      </c>
      <c r="F12098" s="423">
        <v>79.663546411321974</v>
      </c>
      <c r="G12098" s="422">
        <v>6599836.8961296128</v>
      </c>
      <c r="H12098" s="417" t="s">
        <v>2616</v>
      </c>
      <c r="I12098" s="417" t="s">
        <v>1392</v>
      </c>
      <c r="J12098" s="417" t="s">
        <v>26745</v>
      </c>
      <c r="K12098" s="417" t="s">
        <v>26746</v>
      </c>
      <c r="L12098" s="417"/>
      <c r="M12098" s="417" t="s">
        <v>28840</v>
      </c>
    </row>
    <row r="12099" spans="1:13" x14ac:dyDescent="0.25">
      <c r="A12099" s="417" t="s">
        <v>3385</v>
      </c>
      <c r="B12099" s="417" t="s">
        <v>3405</v>
      </c>
      <c r="C12099" s="417" t="s">
        <v>26747</v>
      </c>
      <c r="D12099" s="417" t="s">
        <v>989</v>
      </c>
      <c r="E12099" s="423">
        <v>1473.26067651311</v>
      </c>
      <c r="F12099" s="423">
        <v>40.406459592544323</v>
      </c>
      <c r="G12099" s="422">
        <v>3290317.2523985631</v>
      </c>
      <c r="H12099" s="417" t="s">
        <v>2616</v>
      </c>
      <c r="I12099" s="417" t="s">
        <v>1392</v>
      </c>
      <c r="J12099" s="417" t="s">
        <v>26745</v>
      </c>
      <c r="K12099" s="417" t="s">
        <v>26748</v>
      </c>
      <c r="L12099" s="417"/>
      <c r="M12099" s="417" t="s">
        <v>28840</v>
      </c>
    </row>
    <row r="12100" spans="1:13" x14ac:dyDescent="0.25">
      <c r="A12100" s="417" t="s">
        <v>3385</v>
      </c>
      <c r="B12100" s="417" t="s">
        <v>3405</v>
      </c>
      <c r="C12100" s="417" t="s">
        <v>26749</v>
      </c>
      <c r="D12100" s="417" t="s">
        <v>989</v>
      </c>
      <c r="E12100" s="423">
        <v>2963.5771197625618</v>
      </c>
      <c r="F12100" s="423">
        <v>79.663546411321974</v>
      </c>
      <c r="G12100" s="422">
        <v>6665986.8961296128</v>
      </c>
      <c r="H12100" s="417" t="s">
        <v>2616</v>
      </c>
      <c r="I12100" s="417" t="s">
        <v>1392</v>
      </c>
      <c r="J12100" s="417" t="s">
        <v>26745</v>
      </c>
      <c r="K12100" s="417" t="s">
        <v>26750</v>
      </c>
      <c r="L12100" s="417"/>
      <c r="M12100" s="417" t="s">
        <v>28840</v>
      </c>
    </row>
    <row r="12101" spans="1:13" x14ac:dyDescent="0.25">
      <c r="A12101" s="417" t="s">
        <v>3385</v>
      </c>
      <c r="B12101" s="417" t="s">
        <v>3405</v>
      </c>
      <c r="C12101" s="417" t="s">
        <v>26751</v>
      </c>
      <c r="D12101" s="417" t="s">
        <v>989</v>
      </c>
      <c r="E12101" s="423">
        <v>1473.26067651311</v>
      </c>
      <c r="F12101" s="423">
        <v>40.406459592544323</v>
      </c>
      <c r="G12101" s="422">
        <v>3332527.2523985631</v>
      </c>
      <c r="H12101" s="417" t="s">
        <v>2616</v>
      </c>
      <c r="I12101" s="417" t="s">
        <v>1392</v>
      </c>
      <c r="J12101" s="417" t="s">
        <v>26745</v>
      </c>
      <c r="K12101" s="417" t="s">
        <v>26752</v>
      </c>
      <c r="L12101" s="417"/>
      <c r="M12101" s="417" t="s">
        <v>28840</v>
      </c>
    </row>
    <row r="12102" spans="1:13" x14ac:dyDescent="0.25">
      <c r="A12102" s="417" t="s">
        <v>3385</v>
      </c>
      <c r="B12102" s="417" t="s">
        <v>3405</v>
      </c>
      <c r="C12102" s="417" t="s">
        <v>26753</v>
      </c>
      <c r="D12102" s="417" t="s">
        <v>989</v>
      </c>
      <c r="E12102" s="423">
        <v>2963.5771197625618</v>
      </c>
      <c r="F12102" s="423">
        <v>79.663546411321974</v>
      </c>
      <c r="G12102" s="422">
        <v>6694336.8961296128</v>
      </c>
      <c r="H12102" s="417" t="s">
        <v>2616</v>
      </c>
      <c r="I12102" s="417" t="s">
        <v>1392</v>
      </c>
      <c r="J12102" s="417" t="s">
        <v>26745</v>
      </c>
      <c r="K12102" s="417" t="s">
        <v>26754</v>
      </c>
      <c r="L12102" s="417"/>
      <c r="M12102" s="417" t="s">
        <v>28840</v>
      </c>
    </row>
    <row r="12103" spans="1:13" x14ac:dyDescent="0.25">
      <c r="A12103" s="417" t="s">
        <v>3385</v>
      </c>
      <c r="B12103" s="417" t="s">
        <v>3405</v>
      </c>
      <c r="C12103" s="417" t="s">
        <v>26755</v>
      </c>
      <c r="D12103" s="417" t="s">
        <v>989</v>
      </c>
      <c r="E12103" s="423">
        <v>1473.260676499036</v>
      </c>
      <c r="F12103" s="423">
        <v>40.406459592606183</v>
      </c>
      <c r="G12103" s="422">
        <v>3347017.2521194238</v>
      </c>
      <c r="H12103" s="417" t="s">
        <v>2616</v>
      </c>
      <c r="I12103" s="417" t="s">
        <v>1392</v>
      </c>
      <c r="J12103" s="417" t="s">
        <v>26745</v>
      </c>
      <c r="K12103" s="417" t="s">
        <v>26756</v>
      </c>
      <c r="L12103" s="417"/>
      <c r="M12103" s="417" t="s">
        <v>28840</v>
      </c>
    </row>
    <row r="12104" spans="1:13" x14ac:dyDescent="0.25">
      <c r="A12104" s="417" t="s">
        <v>3385</v>
      </c>
      <c r="B12104" s="417" t="s">
        <v>3405</v>
      </c>
      <c r="C12104" s="417" t="s">
        <v>26757</v>
      </c>
      <c r="D12104" s="417" t="s">
        <v>989</v>
      </c>
      <c r="E12104" s="423">
        <v>447.74573691100761</v>
      </c>
      <c r="F12104" s="423">
        <v>22.266348592641918</v>
      </c>
      <c r="G12104" s="422">
        <v>1033173.405036305</v>
      </c>
      <c r="H12104" s="417" t="s">
        <v>2616</v>
      </c>
      <c r="I12104" s="417" t="s">
        <v>1392</v>
      </c>
      <c r="J12104" s="417" t="s">
        <v>26758</v>
      </c>
      <c r="K12104" s="417" t="s">
        <v>26759</v>
      </c>
      <c r="L12104" s="417"/>
      <c r="M12104" s="417" t="s">
        <v>28840</v>
      </c>
    </row>
    <row r="12105" spans="1:13" x14ac:dyDescent="0.25">
      <c r="A12105" s="417" t="s">
        <v>3385</v>
      </c>
      <c r="B12105" s="417" t="s">
        <v>2627</v>
      </c>
      <c r="C12105" s="417" t="s">
        <v>26760</v>
      </c>
      <c r="D12105" s="417" t="s">
        <v>88</v>
      </c>
      <c r="E12105" s="423">
        <v>0.21197265785474911</v>
      </c>
      <c r="F12105" s="423">
        <v>0.39671785993848618</v>
      </c>
      <c r="G12105" s="422">
        <v>620.69833104225268</v>
      </c>
      <c r="H12105" s="417" t="s">
        <v>2616</v>
      </c>
      <c r="I12105" s="417" t="s">
        <v>1392</v>
      </c>
      <c r="J12105" s="417" t="s">
        <v>26761</v>
      </c>
      <c r="K12105" s="417" t="s">
        <v>26762</v>
      </c>
      <c r="L12105" s="417"/>
      <c r="M12105" s="417" t="s">
        <v>28840</v>
      </c>
    </row>
    <row r="12106" spans="1:13" x14ac:dyDescent="0.25">
      <c r="A12106" s="417" t="s">
        <v>3385</v>
      </c>
      <c r="B12106" s="417" t="s">
        <v>2627</v>
      </c>
      <c r="C12106" s="417" t="s">
        <v>26763</v>
      </c>
      <c r="D12106" s="417" t="s">
        <v>88</v>
      </c>
      <c r="E12106" s="423">
        <v>0.34688844862448881</v>
      </c>
      <c r="F12106" s="423">
        <v>0.81348565670771023</v>
      </c>
      <c r="G12106" s="422">
        <v>1012.477068785032</v>
      </c>
      <c r="H12106" s="417" t="s">
        <v>2616</v>
      </c>
      <c r="I12106" s="417" t="s">
        <v>1392</v>
      </c>
      <c r="J12106" s="417" t="s">
        <v>26761</v>
      </c>
      <c r="K12106" s="417" t="s">
        <v>26764</v>
      </c>
      <c r="L12106" s="417"/>
      <c r="M12106" s="417" t="s">
        <v>28840</v>
      </c>
    </row>
    <row r="12107" spans="1:13" x14ac:dyDescent="0.25">
      <c r="A12107" s="417" t="s">
        <v>3385</v>
      </c>
      <c r="B12107" s="417" t="s">
        <v>2627</v>
      </c>
      <c r="C12107" s="417" t="s">
        <v>26765</v>
      </c>
      <c r="D12107" s="417" t="s">
        <v>83</v>
      </c>
      <c r="E12107" s="423">
        <v>147.95549103794559</v>
      </c>
      <c r="F12107" s="423">
        <v>380.4525097554673</v>
      </c>
      <c r="G12107" s="422">
        <v>459122.93636268779</v>
      </c>
      <c r="H12107" s="417" t="s">
        <v>2616</v>
      </c>
      <c r="I12107" s="417" t="s">
        <v>1392</v>
      </c>
      <c r="J12107" s="417" t="s">
        <v>26766</v>
      </c>
      <c r="K12107" s="417" t="s">
        <v>26767</v>
      </c>
      <c r="L12107" s="417"/>
      <c r="M12107" s="417" t="s">
        <v>28840</v>
      </c>
    </row>
    <row r="12108" spans="1:13" x14ac:dyDescent="0.25">
      <c r="A12108" s="417" t="s">
        <v>3385</v>
      </c>
      <c r="B12108" s="417" t="s">
        <v>2627</v>
      </c>
      <c r="C12108" s="417" t="s">
        <v>26768</v>
      </c>
      <c r="D12108" s="417" t="s">
        <v>83</v>
      </c>
      <c r="E12108" s="423">
        <v>180.4378951572325</v>
      </c>
      <c r="F12108" s="423">
        <v>382.28512024863397</v>
      </c>
      <c r="G12108" s="422">
        <v>472023.55179637019</v>
      </c>
      <c r="H12108" s="417" t="s">
        <v>2616</v>
      </c>
      <c r="I12108" s="417" t="s">
        <v>1392</v>
      </c>
      <c r="J12108" s="417" t="s">
        <v>26766</v>
      </c>
      <c r="K12108" s="417" t="s">
        <v>26769</v>
      </c>
      <c r="L12108" s="417"/>
      <c r="M12108" s="417" t="s">
        <v>28840</v>
      </c>
    </row>
    <row r="12109" spans="1:13" x14ac:dyDescent="0.25">
      <c r="A12109" s="417" t="s">
        <v>3385</v>
      </c>
      <c r="B12109" s="417" t="s">
        <v>2627</v>
      </c>
      <c r="C12109" s="417" t="s">
        <v>26770</v>
      </c>
      <c r="D12109" s="417" t="s">
        <v>83</v>
      </c>
      <c r="E12109" s="423">
        <v>0</v>
      </c>
      <c r="F12109" s="423">
        <v>0</v>
      </c>
      <c r="G12109" s="422">
        <v>40040</v>
      </c>
      <c r="H12109" s="417" t="s">
        <v>2616</v>
      </c>
      <c r="I12109" s="417" t="s">
        <v>1392</v>
      </c>
      <c r="J12109" s="417" t="s">
        <v>25206</v>
      </c>
      <c r="K12109" s="417" t="s">
        <v>26771</v>
      </c>
      <c r="L12109" s="417"/>
      <c r="M12109" s="417" t="s">
        <v>28840</v>
      </c>
    </row>
    <row r="12110" spans="1:13" x14ac:dyDescent="0.25">
      <c r="A12110" s="417" t="s">
        <v>3385</v>
      </c>
      <c r="B12110" s="417" t="s">
        <v>2627</v>
      </c>
      <c r="C12110" s="417" t="s">
        <v>26772</v>
      </c>
      <c r="D12110" s="417" t="s">
        <v>83</v>
      </c>
      <c r="E12110" s="423">
        <v>4.3647845832955374</v>
      </c>
      <c r="F12110" s="423">
        <v>0.41820258752813733</v>
      </c>
      <c r="G12110" s="422">
        <v>25540.895955679469</v>
      </c>
      <c r="H12110" s="417" t="s">
        <v>2616</v>
      </c>
      <c r="I12110" s="417" t="s">
        <v>1392</v>
      </c>
      <c r="J12110" s="417" t="s">
        <v>25206</v>
      </c>
      <c r="K12110" s="417" t="s">
        <v>26773</v>
      </c>
      <c r="L12110" s="417"/>
      <c r="M12110" s="417" t="s">
        <v>28840</v>
      </c>
    </row>
    <row r="12111" spans="1:13" x14ac:dyDescent="0.25">
      <c r="A12111" s="417" t="s">
        <v>3385</v>
      </c>
      <c r="B12111" s="417" t="s">
        <v>2627</v>
      </c>
      <c r="C12111" s="417" t="s">
        <v>26774</v>
      </c>
      <c r="D12111" s="417" t="s">
        <v>83</v>
      </c>
      <c r="E12111" s="423">
        <v>0</v>
      </c>
      <c r="F12111" s="423">
        <v>0</v>
      </c>
      <c r="G12111" s="422">
        <v>40040</v>
      </c>
      <c r="H12111" s="417" t="s">
        <v>2616</v>
      </c>
      <c r="I12111" s="417" t="s">
        <v>1392</v>
      </c>
      <c r="J12111" s="417" t="s">
        <v>25206</v>
      </c>
      <c r="K12111" s="417" t="s">
        <v>26775</v>
      </c>
      <c r="L12111" s="417"/>
      <c r="M12111" s="417" t="s">
        <v>28840</v>
      </c>
    </row>
    <row r="12112" spans="1:13" x14ac:dyDescent="0.25">
      <c r="A12112" s="417" t="s">
        <v>3385</v>
      </c>
      <c r="B12112" s="417" t="s">
        <v>3405</v>
      </c>
      <c r="C12112" s="417" t="s">
        <v>26776</v>
      </c>
      <c r="D12112" s="417" t="s">
        <v>73</v>
      </c>
      <c r="E12112" s="423">
        <v>9.8302277105023636E-2</v>
      </c>
      <c r="F12112" s="423">
        <v>4.1976136818652347E-4</v>
      </c>
      <c r="G12112" s="422">
        <v>124.18162447946359</v>
      </c>
      <c r="H12112" s="417" t="s">
        <v>2616</v>
      </c>
      <c r="I12112" s="417" t="s">
        <v>1392</v>
      </c>
      <c r="J12112" s="417" t="s">
        <v>24607</v>
      </c>
      <c r="K12112" s="417" t="s">
        <v>26777</v>
      </c>
      <c r="L12112" s="417"/>
      <c r="M12112" s="417" t="s">
        <v>28840</v>
      </c>
    </row>
    <row r="12113" spans="1:13" x14ac:dyDescent="0.25">
      <c r="A12113" s="417" t="s">
        <v>3385</v>
      </c>
      <c r="B12113" s="417" t="s">
        <v>3405</v>
      </c>
      <c r="C12113" s="417" t="s">
        <v>26778</v>
      </c>
      <c r="D12113" s="417" t="s">
        <v>73</v>
      </c>
      <c r="E12113" s="423">
        <v>0.18195832893764441</v>
      </c>
      <c r="F12113" s="423">
        <v>7.7466460645194497E-4</v>
      </c>
      <c r="G12113" s="422">
        <v>229.81118230074449</v>
      </c>
      <c r="H12113" s="417" t="s">
        <v>2616</v>
      </c>
      <c r="I12113" s="417" t="s">
        <v>1392</v>
      </c>
      <c r="J12113" s="417" t="s">
        <v>24607</v>
      </c>
      <c r="K12113" s="417" t="s">
        <v>26779</v>
      </c>
      <c r="L12113" s="417"/>
      <c r="M12113" s="417" t="s">
        <v>28840</v>
      </c>
    </row>
    <row r="12114" spans="1:13" x14ac:dyDescent="0.25">
      <c r="A12114" s="417" t="s">
        <v>3385</v>
      </c>
      <c r="B12114" s="417" t="s">
        <v>3405</v>
      </c>
      <c r="C12114" s="417" t="s">
        <v>26780</v>
      </c>
      <c r="D12114" s="417" t="s">
        <v>73</v>
      </c>
      <c r="E12114" s="423">
        <v>0.1188007034119289</v>
      </c>
      <c r="F12114" s="423">
        <v>2.7640902072779429E-3</v>
      </c>
      <c r="G12114" s="422">
        <v>149.96492647198031</v>
      </c>
      <c r="H12114" s="417" t="s">
        <v>2616</v>
      </c>
      <c r="I12114" s="417" t="s">
        <v>1392</v>
      </c>
      <c r="J12114" s="417" t="s">
        <v>26048</v>
      </c>
      <c r="K12114" s="417" t="s">
        <v>26781</v>
      </c>
      <c r="L12114" s="417"/>
      <c r="M12114" s="417" t="s">
        <v>28840</v>
      </c>
    </row>
    <row r="12115" spans="1:13" x14ac:dyDescent="0.25">
      <c r="A12115" s="417" t="s">
        <v>3385</v>
      </c>
      <c r="B12115" s="417" t="s">
        <v>3405</v>
      </c>
      <c r="C12115" s="417" t="s">
        <v>26782</v>
      </c>
      <c r="D12115" s="417" t="s">
        <v>73</v>
      </c>
      <c r="E12115" s="423">
        <v>0.2282909025616483</v>
      </c>
      <c r="F12115" s="423">
        <v>5.3097288735323572E-3</v>
      </c>
      <c r="G12115" s="422">
        <v>288.06572634751348</v>
      </c>
      <c r="H12115" s="417" t="s">
        <v>2616</v>
      </c>
      <c r="I12115" s="417" t="s">
        <v>1392</v>
      </c>
      <c r="J12115" s="417" t="s">
        <v>26048</v>
      </c>
      <c r="K12115" s="417" t="s">
        <v>26783</v>
      </c>
      <c r="L12115" s="417"/>
      <c r="M12115" s="417" t="s">
        <v>28840</v>
      </c>
    </row>
    <row r="12116" spans="1:13" x14ac:dyDescent="0.25">
      <c r="A12116" s="417" t="s">
        <v>3385</v>
      </c>
      <c r="B12116" s="417" t="s">
        <v>3405</v>
      </c>
      <c r="C12116" s="417" t="s">
        <v>26784</v>
      </c>
      <c r="D12116" s="417" t="s">
        <v>73</v>
      </c>
      <c r="E12116" s="423">
        <v>9.4132676710060911E-2</v>
      </c>
      <c r="F12116" s="423">
        <v>4.0629156566689779E-4</v>
      </c>
      <c r="G12116" s="422">
        <v>118.9729288860857</v>
      </c>
      <c r="H12116" s="417" t="s">
        <v>2616</v>
      </c>
      <c r="I12116" s="417" t="s">
        <v>1392</v>
      </c>
      <c r="J12116" s="417" t="s">
        <v>24607</v>
      </c>
      <c r="K12116" s="417" t="s">
        <v>26785</v>
      </c>
      <c r="L12116" s="417"/>
      <c r="M12116" s="417" t="s">
        <v>28840</v>
      </c>
    </row>
    <row r="12117" spans="1:13" x14ac:dyDescent="0.25">
      <c r="A12117" s="417" t="s">
        <v>3385</v>
      </c>
      <c r="B12117" s="417" t="s">
        <v>3405</v>
      </c>
      <c r="C12117" s="417" t="s">
        <v>26786</v>
      </c>
      <c r="D12117" s="417" t="s">
        <v>73</v>
      </c>
      <c r="E12117" s="423">
        <v>0.1542290929883601</v>
      </c>
      <c r="F12117" s="423">
        <v>6.6324029702388438E-4</v>
      </c>
      <c r="G12117" s="422">
        <v>194.87535459063849</v>
      </c>
      <c r="H12117" s="417" t="s">
        <v>2616</v>
      </c>
      <c r="I12117" s="417" t="s">
        <v>1392</v>
      </c>
      <c r="J12117" s="417" t="s">
        <v>24607</v>
      </c>
      <c r="K12117" s="417" t="s">
        <v>26787</v>
      </c>
      <c r="L12117" s="417"/>
      <c r="M12117" s="417" t="s">
        <v>28840</v>
      </c>
    </row>
    <row r="12118" spans="1:13" x14ac:dyDescent="0.25">
      <c r="A12118" s="417" t="s">
        <v>3385</v>
      </c>
      <c r="B12118" s="417" t="s">
        <v>3405</v>
      </c>
      <c r="C12118" s="417" t="s">
        <v>26788</v>
      </c>
      <c r="D12118" s="417" t="s">
        <v>73</v>
      </c>
      <c r="E12118" s="423">
        <v>9.7575588072432273E-2</v>
      </c>
      <c r="F12118" s="423">
        <v>4.1829716258126462E-4</v>
      </c>
      <c r="G12118" s="422">
        <v>123.2860252549581</v>
      </c>
      <c r="H12118" s="417" t="s">
        <v>2616</v>
      </c>
      <c r="I12118" s="417" t="s">
        <v>1392</v>
      </c>
      <c r="J12118" s="417" t="s">
        <v>24607</v>
      </c>
      <c r="K12118" s="417" t="s">
        <v>26789</v>
      </c>
      <c r="L12118" s="417"/>
      <c r="M12118" s="417" t="s">
        <v>28840</v>
      </c>
    </row>
    <row r="12119" spans="1:13" x14ac:dyDescent="0.25">
      <c r="A12119" s="417" t="s">
        <v>3385</v>
      </c>
      <c r="B12119" s="417" t="s">
        <v>3405</v>
      </c>
      <c r="C12119" s="417" t="s">
        <v>26790</v>
      </c>
      <c r="D12119" s="417" t="s">
        <v>73</v>
      </c>
      <c r="E12119" s="423">
        <v>3.1439346003505432E-2</v>
      </c>
      <c r="F12119" s="423">
        <v>1.369595077144083E-4</v>
      </c>
      <c r="G12119" s="422">
        <v>39.77085159235429</v>
      </c>
      <c r="H12119" s="417" t="s">
        <v>2616</v>
      </c>
      <c r="I12119" s="417" t="s">
        <v>1392</v>
      </c>
      <c r="J12119" s="417" t="s">
        <v>24607</v>
      </c>
      <c r="K12119" s="417" t="s">
        <v>26791</v>
      </c>
      <c r="L12119" s="417"/>
      <c r="M12119" s="417" t="s">
        <v>28840</v>
      </c>
    </row>
    <row r="12120" spans="1:13" x14ac:dyDescent="0.25">
      <c r="A12120" s="417" t="s">
        <v>3385</v>
      </c>
      <c r="B12120" s="417" t="s">
        <v>3405</v>
      </c>
      <c r="C12120" s="417" t="s">
        <v>26792</v>
      </c>
      <c r="D12120" s="417" t="s">
        <v>73</v>
      </c>
      <c r="E12120" s="423">
        <v>0.1741549166885033</v>
      </c>
      <c r="F12120" s="423">
        <v>7.4405433639418883E-4</v>
      </c>
      <c r="G12120" s="422">
        <v>219.98812717168229</v>
      </c>
      <c r="H12120" s="417" t="s">
        <v>2616</v>
      </c>
      <c r="I12120" s="417" t="s">
        <v>1392</v>
      </c>
      <c r="J12120" s="417" t="s">
        <v>24607</v>
      </c>
      <c r="K12120" s="417" t="s">
        <v>26793</v>
      </c>
      <c r="L12120" s="417"/>
      <c r="M12120" s="417" t="s">
        <v>28840</v>
      </c>
    </row>
    <row r="12121" spans="1:13" x14ac:dyDescent="0.25">
      <c r="A12121" s="417" t="s">
        <v>3385</v>
      </c>
      <c r="B12121" s="417" t="s">
        <v>3405</v>
      </c>
      <c r="C12121" s="417" t="s">
        <v>26794</v>
      </c>
      <c r="D12121" s="417" t="s">
        <v>73</v>
      </c>
      <c r="E12121" s="423">
        <v>9.5321532137680312E-2</v>
      </c>
      <c r="F12121" s="423">
        <v>4.1693794020954838E-4</v>
      </c>
      <c r="G12121" s="422">
        <v>120.5504344792428</v>
      </c>
      <c r="H12121" s="417" t="s">
        <v>2616</v>
      </c>
      <c r="I12121" s="417" t="s">
        <v>1392</v>
      </c>
      <c r="J12121" s="417" t="s">
        <v>24607</v>
      </c>
      <c r="K12121" s="417" t="s">
        <v>26795</v>
      </c>
      <c r="L12121" s="417"/>
      <c r="M12121" s="417" t="s">
        <v>28840</v>
      </c>
    </row>
    <row r="12122" spans="1:13" x14ac:dyDescent="0.25">
      <c r="A12122" s="417" t="s">
        <v>3385</v>
      </c>
      <c r="B12122" s="417" t="s">
        <v>3405</v>
      </c>
      <c r="C12122" s="417" t="s">
        <v>26796</v>
      </c>
      <c r="D12122" s="417" t="s">
        <v>73</v>
      </c>
      <c r="E12122" s="423">
        <v>0.1488279081071138</v>
      </c>
      <c r="F12122" s="423">
        <v>6.4786679536803856E-4</v>
      </c>
      <c r="G12122" s="422">
        <v>188.1512509371166</v>
      </c>
      <c r="H12122" s="417" t="s">
        <v>2616</v>
      </c>
      <c r="I12122" s="417" t="s">
        <v>1392</v>
      </c>
      <c r="J12122" s="417" t="s">
        <v>24607</v>
      </c>
      <c r="K12122" s="417" t="s">
        <v>26797</v>
      </c>
      <c r="L12122" s="417"/>
      <c r="M12122" s="417" t="s">
        <v>28840</v>
      </c>
    </row>
    <row r="12123" spans="1:13" x14ac:dyDescent="0.25">
      <c r="A12123" s="417" t="s">
        <v>3385</v>
      </c>
      <c r="B12123" s="417" t="s">
        <v>3405</v>
      </c>
      <c r="C12123" s="417" t="s">
        <v>26798</v>
      </c>
      <c r="D12123" s="417" t="s">
        <v>73</v>
      </c>
      <c r="E12123" s="423">
        <v>4.0202515635250902E-3</v>
      </c>
      <c r="F12123" s="423">
        <v>0.1160859361505211</v>
      </c>
      <c r="G12123" s="422">
        <v>27.761528501613839</v>
      </c>
      <c r="H12123" s="417" t="s">
        <v>2616</v>
      </c>
      <c r="I12123" s="417" t="s">
        <v>1392</v>
      </c>
      <c r="J12123" s="417" t="s">
        <v>24838</v>
      </c>
      <c r="K12123" s="417" t="s">
        <v>26799</v>
      </c>
      <c r="L12123" s="417"/>
      <c r="M12123" s="417" t="s">
        <v>28840</v>
      </c>
    </row>
    <row r="12124" spans="1:13" x14ac:dyDescent="0.25">
      <c r="A12124" s="417" t="s">
        <v>3385</v>
      </c>
      <c r="B12124" s="417" t="s">
        <v>3405</v>
      </c>
      <c r="C12124" s="417" t="s">
        <v>26800</v>
      </c>
      <c r="D12124" s="417" t="s">
        <v>73</v>
      </c>
      <c r="E12124" s="423">
        <v>3.575126100737935E-3</v>
      </c>
      <c r="F12124" s="423">
        <v>9.7364279715671229E-2</v>
      </c>
      <c r="G12124" s="422">
        <v>23.525711368979309</v>
      </c>
      <c r="H12124" s="417" t="s">
        <v>2616</v>
      </c>
      <c r="I12124" s="417" t="s">
        <v>1392</v>
      </c>
      <c r="J12124" s="417" t="s">
        <v>24838</v>
      </c>
      <c r="K12124" s="417" t="s">
        <v>26801</v>
      </c>
      <c r="L12124" s="417"/>
      <c r="M12124" s="417" t="s">
        <v>28840</v>
      </c>
    </row>
    <row r="12125" spans="1:13" x14ac:dyDescent="0.25">
      <c r="A12125" s="417" t="s">
        <v>3385</v>
      </c>
      <c r="B12125" s="417" t="s">
        <v>3405</v>
      </c>
      <c r="C12125" s="417" t="s">
        <v>26802</v>
      </c>
      <c r="D12125" s="417" t="s">
        <v>73</v>
      </c>
      <c r="E12125" s="423">
        <v>4.4521340893971893E-3</v>
      </c>
      <c r="F12125" s="423">
        <v>0.1285512818854638</v>
      </c>
      <c r="G12125" s="422">
        <v>30.74386840248539</v>
      </c>
      <c r="H12125" s="417" t="s">
        <v>2616</v>
      </c>
      <c r="I12125" s="417" t="s">
        <v>1392</v>
      </c>
      <c r="J12125" s="417" t="s">
        <v>24838</v>
      </c>
      <c r="K12125" s="417" t="s">
        <v>26803</v>
      </c>
      <c r="L12125" s="417"/>
      <c r="M12125" s="417" t="s">
        <v>28840</v>
      </c>
    </row>
    <row r="12126" spans="1:13" x14ac:dyDescent="0.25">
      <c r="A12126" s="417" t="s">
        <v>3385</v>
      </c>
      <c r="B12126" s="417" t="s">
        <v>3405</v>
      </c>
      <c r="C12126" s="417" t="s">
        <v>26804</v>
      </c>
      <c r="D12126" s="417" t="s">
        <v>73</v>
      </c>
      <c r="E12126" s="423">
        <v>1.0753259555082099E-2</v>
      </c>
      <c r="F12126" s="423">
        <v>0.1166579663600199</v>
      </c>
      <c r="G12126" s="422">
        <v>26.171977706161719</v>
      </c>
      <c r="H12126" s="417" t="s">
        <v>2616</v>
      </c>
      <c r="I12126" s="417" t="s">
        <v>1392</v>
      </c>
      <c r="J12126" s="417" t="s">
        <v>24838</v>
      </c>
      <c r="K12126" s="417" t="s">
        <v>26805</v>
      </c>
      <c r="L12126" s="417"/>
      <c r="M12126" s="417" t="s">
        <v>28840</v>
      </c>
    </row>
    <row r="12127" spans="1:13" x14ac:dyDescent="0.25">
      <c r="A12127" s="417" t="s">
        <v>3385</v>
      </c>
      <c r="B12127" s="417" t="s">
        <v>3405</v>
      </c>
      <c r="C12127" s="417" t="s">
        <v>26806</v>
      </c>
      <c r="D12127" s="417" t="s">
        <v>73</v>
      </c>
      <c r="E12127" s="423">
        <v>9.0697581744450129E-3</v>
      </c>
      <c r="F12127" s="423">
        <v>9.839431749586712E-2</v>
      </c>
      <c r="G12127" s="422">
        <v>22.07464442178318</v>
      </c>
      <c r="H12127" s="417" t="s">
        <v>2616</v>
      </c>
      <c r="I12127" s="417" t="s">
        <v>1392</v>
      </c>
      <c r="J12127" s="417" t="s">
        <v>24838</v>
      </c>
      <c r="K12127" s="417" t="s">
        <v>26807</v>
      </c>
      <c r="L12127" s="417"/>
      <c r="M12127" s="417" t="s">
        <v>28840</v>
      </c>
    </row>
    <row r="12128" spans="1:13" x14ac:dyDescent="0.25">
      <c r="A12128" s="417" t="s">
        <v>3385</v>
      </c>
      <c r="B12128" s="417" t="s">
        <v>3405</v>
      </c>
      <c r="C12128" s="417" t="s">
        <v>26808</v>
      </c>
      <c r="D12128" s="417" t="s">
        <v>73</v>
      </c>
      <c r="E12128" s="423">
        <v>1.158510461220087E-2</v>
      </c>
      <c r="F12128" s="423">
        <v>0.12855314608142371</v>
      </c>
      <c r="G12128" s="422">
        <v>28.522012739970069</v>
      </c>
      <c r="H12128" s="417" t="s">
        <v>2616</v>
      </c>
      <c r="I12128" s="417" t="s">
        <v>1392</v>
      </c>
      <c r="J12128" s="417" t="s">
        <v>24838</v>
      </c>
      <c r="K12128" s="417" t="s">
        <v>26809</v>
      </c>
      <c r="L12128" s="417"/>
      <c r="M12128" s="417" t="s">
        <v>28840</v>
      </c>
    </row>
    <row r="12129" spans="1:13" x14ac:dyDescent="0.25">
      <c r="A12129" s="417" t="s">
        <v>3385</v>
      </c>
      <c r="B12129" s="417" t="s">
        <v>3405</v>
      </c>
      <c r="C12129" s="417" t="s">
        <v>26810</v>
      </c>
      <c r="D12129" s="417" t="s">
        <v>73</v>
      </c>
      <c r="E12129" s="423">
        <v>2.2242181058554412E-3</v>
      </c>
      <c r="F12129" s="423">
        <v>2.4724984837068268E-4</v>
      </c>
      <c r="G12129" s="422">
        <v>9.856214872979697</v>
      </c>
      <c r="H12129" s="417" t="s">
        <v>2616</v>
      </c>
      <c r="I12129" s="417" t="s">
        <v>1392</v>
      </c>
      <c r="J12129" s="417" t="s">
        <v>25732</v>
      </c>
      <c r="K12129" s="417" t="s">
        <v>26811</v>
      </c>
      <c r="L12129" s="417"/>
      <c r="M12129" s="417" t="s">
        <v>28840</v>
      </c>
    </row>
    <row r="12130" spans="1:13" x14ac:dyDescent="0.25">
      <c r="A12130" s="417" t="s">
        <v>3385</v>
      </c>
      <c r="B12130" s="417" t="s">
        <v>3405</v>
      </c>
      <c r="C12130" s="417" t="s">
        <v>26812</v>
      </c>
      <c r="D12130" s="417" t="s">
        <v>73</v>
      </c>
      <c r="E12130" s="423">
        <v>6.2530444533281174E-3</v>
      </c>
      <c r="F12130" s="423">
        <v>6.7175520792559331E-4</v>
      </c>
      <c r="G12130" s="422">
        <v>21.81698240184679</v>
      </c>
      <c r="H12130" s="417" t="s">
        <v>2616</v>
      </c>
      <c r="I12130" s="417" t="s">
        <v>1392</v>
      </c>
      <c r="J12130" s="417" t="s">
        <v>25732</v>
      </c>
      <c r="K12130" s="417" t="s">
        <v>26813</v>
      </c>
      <c r="L12130" s="417"/>
      <c r="M12130" s="417" t="s">
        <v>28840</v>
      </c>
    </row>
    <row r="12131" spans="1:13" x14ac:dyDescent="0.25">
      <c r="A12131" s="417" t="s">
        <v>3385</v>
      </c>
      <c r="B12131" s="417" t="s">
        <v>3405</v>
      </c>
      <c r="C12131" s="417" t="s">
        <v>26814</v>
      </c>
      <c r="D12131" s="417" t="s">
        <v>73</v>
      </c>
      <c r="E12131" s="423">
        <v>8.6063007941980501E-3</v>
      </c>
      <c r="F12131" s="423">
        <v>8.8248033435962088E-4</v>
      </c>
      <c r="G12131" s="422">
        <v>28.521937460935021</v>
      </c>
      <c r="H12131" s="417" t="s">
        <v>2616</v>
      </c>
      <c r="I12131" s="417" t="s">
        <v>1392</v>
      </c>
      <c r="J12131" s="417" t="s">
        <v>25732</v>
      </c>
      <c r="K12131" s="417" t="s">
        <v>26815</v>
      </c>
      <c r="L12131" s="417"/>
      <c r="M12131" s="417" t="s">
        <v>28840</v>
      </c>
    </row>
    <row r="12132" spans="1:13" x14ac:dyDescent="0.25">
      <c r="A12132" s="417" t="s">
        <v>3385</v>
      </c>
      <c r="B12132" s="417" t="s">
        <v>3405</v>
      </c>
      <c r="C12132" s="417" t="s">
        <v>26816</v>
      </c>
      <c r="D12132" s="417" t="s">
        <v>73</v>
      </c>
      <c r="E12132" s="423">
        <v>2.3284522112527961E-2</v>
      </c>
      <c r="F12132" s="423">
        <v>5.4810212417605326E-3</v>
      </c>
      <c r="G12132" s="422">
        <v>113.9365054450917</v>
      </c>
      <c r="H12132" s="417" t="s">
        <v>2616</v>
      </c>
      <c r="I12132" s="417" t="s">
        <v>1392</v>
      </c>
      <c r="J12132" s="417" t="s">
        <v>25732</v>
      </c>
      <c r="K12132" s="417" t="s">
        <v>26817</v>
      </c>
      <c r="L12132" s="417"/>
      <c r="M12132" s="417" t="s">
        <v>28840</v>
      </c>
    </row>
    <row r="12133" spans="1:13" x14ac:dyDescent="0.25">
      <c r="A12133" s="417" t="s">
        <v>3385</v>
      </c>
      <c r="B12133" s="417" t="s">
        <v>3405</v>
      </c>
      <c r="C12133" s="417" t="s">
        <v>26818</v>
      </c>
      <c r="D12133" s="417" t="s">
        <v>73</v>
      </c>
      <c r="E12133" s="423">
        <v>5.9410710838492232E-2</v>
      </c>
      <c r="F12133" s="423">
        <v>3.265402274722278E-4</v>
      </c>
      <c r="G12133" s="422">
        <v>76.170112897137145</v>
      </c>
      <c r="H12133" s="417" t="s">
        <v>2616</v>
      </c>
      <c r="I12133" s="417" t="s">
        <v>1392</v>
      </c>
      <c r="J12133" s="417" t="s">
        <v>25732</v>
      </c>
      <c r="K12133" s="417" t="s">
        <v>26819</v>
      </c>
      <c r="L12133" s="417"/>
      <c r="M12133" s="417" t="s">
        <v>28840</v>
      </c>
    </row>
    <row r="12134" spans="1:13" x14ac:dyDescent="0.25">
      <c r="A12134" s="417" t="s">
        <v>3385</v>
      </c>
      <c r="B12134" s="417" t="s">
        <v>3405</v>
      </c>
      <c r="C12134" s="417" t="s">
        <v>26820</v>
      </c>
      <c r="D12134" s="417" t="s">
        <v>73</v>
      </c>
      <c r="E12134" s="423">
        <v>3.7302565368400722E-2</v>
      </c>
      <c r="F12134" s="423">
        <v>6.6426756443449661E-4</v>
      </c>
      <c r="G12134" s="422">
        <v>57.15057990640166</v>
      </c>
      <c r="H12134" s="417" t="s">
        <v>2616</v>
      </c>
      <c r="I12134" s="417" t="s">
        <v>1392</v>
      </c>
      <c r="J12134" s="417" t="s">
        <v>25732</v>
      </c>
      <c r="K12134" s="417" t="s">
        <v>26821</v>
      </c>
      <c r="L12134" s="417"/>
      <c r="M12134" s="417" t="s">
        <v>28840</v>
      </c>
    </row>
    <row r="12135" spans="1:13" x14ac:dyDescent="0.25">
      <c r="A12135" s="417" t="s">
        <v>3385</v>
      </c>
      <c r="B12135" s="417" t="s">
        <v>3405</v>
      </c>
      <c r="C12135" s="417" t="s">
        <v>26822</v>
      </c>
      <c r="D12135" s="417" t="s">
        <v>73</v>
      </c>
      <c r="E12135" s="423">
        <v>5.5303630327388387E-2</v>
      </c>
      <c r="F12135" s="423">
        <v>4.5491275790574248E-4</v>
      </c>
      <c r="G12135" s="422">
        <v>73.730114379258765</v>
      </c>
      <c r="H12135" s="417" t="s">
        <v>2616</v>
      </c>
      <c r="I12135" s="417" t="s">
        <v>1392</v>
      </c>
      <c r="J12135" s="417" t="s">
        <v>25732</v>
      </c>
      <c r="K12135" s="417" t="s">
        <v>26823</v>
      </c>
      <c r="L12135" s="417"/>
      <c r="M12135" s="417" t="s">
        <v>28840</v>
      </c>
    </row>
    <row r="12136" spans="1:13" x14ac:dyDescent="0.25">
      <c r="A12136" s="417" t="s">
        <v>3385</v>
      </c>
      <c r="B12136" s="417" t="s">
        <v>3405</v>
      </c>
      <c r="C12136" s="417" t="s">
        <v>26824</v>
      </c>
      <c r="D12136" s="417" t="s">
        <v>73</v>
      </c>
      <c r="E12136" s="423">
        <v>5.4833700838999543E-2</v>
      </c>
      <c r="F12136" s="423">
        <v>4.5571834413794121E-4</v>
      </c>
      <c r="G12136" s="422">
        <v>72.606392032532654</v>
      </c>
      <c r="H12136" s="417" t="s">
        <v>2616</v>
      </c>
      <c r="I12136" s="417" t="s">
        <v>1392</v>
      </c>
      <c r="J12136" s="417" t="s">
        <v>25732</v>
      </c>
      <c r="K12136" s="417" t="s">
        <v>26825</v>
      </c>
      <c r="L12136" s="417"/>
      <c r="M12136" s="417" t="s">
        <v>28840</v>
      </c>
    </row>
    <row r="12137" spans="1:13" x14ac:dyDescent="0.25">
      <c r="A12137" s="417" t="s">
        <v>3385</v>
      </c>
      <c r="B12137" s="417" t="s">
        <v>3405</v>
      </c>
      <c r="C12137" s="417" t="s">
        <v>26826</v>
      </c>
      <c r="D12137" s="417" t="s">
        <v>73</v>
      </c>
      <c r="E12137" s="423">
        <v>7.4811442466448611E-3</v>
      </c>
      <c r="F12137" s="423">
        <v>8.4147089042145004E-2</v>
      </c>
      <c r="G12137" s="422">
        <v>44.045876874839891</v>
      </c>
      <c r="H12137" s="417" t="s">
        <v>2616</v>
      </c>
      <c r="I12137" s="417" t="s">
        <v>1392</v>
      </c>
      <c r="J12137" s="417" t="s">
        <v>25732</v>
      </c>
      <c r="K12137" s="417" t="s">
        <v>26827</v>
      </c>
      <c r="L12137" s="417"/>
      <c r="M12137" s="417" t="s">
        <v>28840</v>
      </c>
    </row>
    <row r="12138" spans="1:13" x14ac:dyDescent="0.25">
      <c r="A12138" s="417" t="s">
        <v>3385</v>
      </c>
      <c r="B12138" s="417" t="s">
        <v>3405</v>
      </c>
      <c r="C12138" s="417" t="s">
        <v>26828</v>
      </c>
      <c r="D12138" s="417" t="s">
        <v>73</v>
      </c>
      <c r="E12138" s="423">
        <v>5.502200283706786E-3</v>
      </c>
      <c r="F12138" s="423">
        <v>6.6184174483895661E-4</v>
      </c>
      <c r="G12138" s="422">
        <v>18.919476934919579</v>
      </c>
      <c r="H12138" s="417" t="s">
        <v>2616</v>
      </c>
      <c r="I12138" s="417" t="s">
        <v>1392</v>
      </c>
      <c r="J12138" s="417" t="s">
        <v>25732</v>
      </c>
      <c r="K12138" s="417" t="s">
        <v>26829</v>
      </c>
      <c r="L12138" s="417"/>
      <c r="M12138" s="417" t="s">
        <v>28840</v>
      </c>
    </row>
    <row r="12139" spans="1:13" x14ac:dyDescent="0.25">
      <c r="A12139" s="417" t="s">
        <v>3385</v>
      </c>
      <c r="B12139" s="417" t="s">
        <v>3405</v>
      </c>
      <c r="C12139" s="417" t="s">
        <v>26830</v>
      </c>
      <c r="D12139" s="417" t="s">
        <v>73</v>
      </c>
      <c r="E12139" s="423">
        <v>8.4637369956871808E-2</v>
      </c>
      <c r="F12139" s="423">
        <v>3.722235849978327E-4</v>
      </c>
      <c r="G12139" s="422">
        <v>105.7974248583358</v>
      </c>
      <c r="H12139" s="417" t="s">
        <v>2616</v>
      </c>
      <c r="I12139" s="417" t="s">
        <v>1392</v>
      </c>
      <c r="J12139" s="417" t="s">
        <v>25150</v>
      </c>
      <c r="K12139" s="417" t="s">
        <v>26831</v>
      </c>
      <c r="L12139" s="417"/>
      <c r="M12139" s="417" t="s">
        <v>28840</v>
      </c>
    </row>
    <row r="12140" spans="1:13" x14ac:dyDescent="0.25">
      <c r="A12140" s="417" t="s">
        <v>3385</v>
      </c>
      <c r="B12140" s="417" t="s">
        <v>2627</v>
      </c>
      <c r="C12140" s="417" t="s">
        <v>26832</v>
      </c>
      <c r="D12140" s="417" t="s">
        <v>88</v>
      </c>
      <c r="E12140" s="423">
        <v>9.9496243105506537</v>
      </c>
      <c r="F12140" s="423">
        <v>5.0778293163161611E-2</v>
      </c>
      <c r="G12140" s="422">
        <v>13291.59913045439</v>
      </c>
      <c r="H12140" s="417" t="s">
        <v>2616</v>
      </c>
      <c r="I12140" s="417" t="s">
        <v>1392</v>
      </c>
      <c r="J12140" s="417" t="s">
        <v>25737</v>
      </c>
      <c r="K12140" s="417" t="s">
        <v>26833</v>
      </c>
      <c r="L12140" s="417"/>
      <c r="M12140" s="417" t="s">
        <v>28840</v>
      </c>
    </row>
    <row r="12141" spans="1:13" x14ac:dyDescent="0.25">
      <c r="A12141" s="417" t="s">
        <v>3385</v>
      </c>
      <c r="B12141" s="417" t="s">
        <v>2627</v>
      </c>
      <c r="C12141" s="417" t="s">
        <v>26834</v>
      </c>
      <c r="D12141" s="417" t="s">
        <v>83</v>
      </c>
      <c r="E12141" s="423">
        <v>5.4470293439710558</v>
      </c>
      <c r="F12141" s="423">
        <v>4.0876722041655187</v>
      </c>
      <c r="G12141" s="422">
        <v>38356.831136950597</v>
      </c>
      <c r="H12141" s="417" t="s">
        <v>2616</v>
      </c>
      <c r="I12141" s="417" t="s">
        <v>1392</v>
      </c>
      <c r="J12141" s="417" t="s">
        <v>25206</v>
      </c>
      <c r="K12141" s="417" t="s">
        <v>26835</v>
      </c>
      <c r="L12141" s="417"/>
      <c r="M12141" s="417" t="s">
        <v>28840</v>
      </c>
    </row>
    <row r="12142" spans="1:13" x14ac:dyDescent="0.25">
      <c r="A12142" s="417" t="s">
        <v>3385</v>
      </c>
      <c r="B12142" s="417" t="s">
        <v>2627</v>
      </c>
      <c r="C12142" s="417" t="s">
        <v>26836</v>
      </c>
      <c r="D12142" s="417" t="s">
        <v>83</v>
      </c>
      <c r="E12142" s="423">
        <v>5.6088185391280536</v>
      </c>
      <c r="F12142" s="423">
        <v>3.6129152285189048</v>
      </c>
      <c r="G12142" s="422">
        <v>51192.491078881118</v>
      </c>
      <c r="H12142" s="417" t="s">
        <v>2616</v>
      </c>
      <c r="I12142" s="417" t="s">
        <v>1392</v>
      </c>
      <c r="J12142" s="417" t="s">
        <v>25206</v>
      </c>
      <c r="K12142" s="417" t="s">
        <v>26837</v>
      </c>
      <c r="L12142" s="417"/>
      <c r="M12142" s="417" t="s">
        <v>28840</v>
      </c>
    </row>
    <row r="12143" spans="1:13" x14ac:dyDescent="0.25">
      <c r="A12143" s="417" t="s">
        <v>3385</v>
      </c>
      <c r="B12143" s="417" t="s">
        <v>2627</v>
      </c>
      <c r="C12143" s="417" t="s">
        <v>26838</v>
      </c>
      <c r="D12143" s="417" t="s">
        <v>83</v>
      </c>
      <c r="E12143" s="423">
        <v>6.3187859297814439</v>
      </c>
      <c r="F12143" s="423">
        <v>9.8060971230207237</v>
      </c>
      <c r="G12143" s="422">
        <v>54210.632569148882</v>
      </c>
      <c r="H12143" s="417" t="s">
        <v>2616</v>
      </c>
      <c r="I12143" s="417" t="s">
        <v>1392</v>
      </c>
      <c r="J12143" s="417" t="s">
        <v>25206</v>
      </c>
      <c r="K12143" s="417" t="s">
        <v>26839</v>
      </c>
      <c r="L12143" s="417"/>
      <c r="M12143" s="417" t="s">
        <v>28840</v>
      </c>
    </row>
    <row r="12144" spans="1:13" x14ac:dyDescent="0.25">
      <c r="A12144" s="417" t="s">
        <v>3385</v>
      </c>
      <c r="B12144" s="417" t="s">
        <v>2627</v>
      </c>
      <c r="C12144" s="417" t="s">
        <v>26840</v>
      </c>
      <c r="D12144" s="417" t="s">
        <v>83</v>
      </c>
      <c r="E12144" s="423">
        <v>5.1915923340531016</v>
      </c>
      <c r="F12144" s="423">
        <v>0.47550134046189663</v>
      </c>
      <c r="G12144" s="422">
        <v>37189.306665837692</v>
      </c>
      <c r="H12144" s="417" t="s">
        <v>2616</v>
      </c>
      <c r="I12144" s="417" t="s">
        <v>1392</v>
      </c>
      <c r="J12144" s="417" t="s">
        <v>25206</v>
      </c>
      <c r="K12144" s="417" t="s">
        <v>26841</v>
      </c>
      <c r="L12144" s="417"/>
      <c r="M12144" s="417" t="s">
        <v>28840</v>
      </c>
    </row>
    <row r="12145" spans="1:13" x14ac:dyDescent="0.25">
      <c r="A12145" s="417" t="s">
        <v>3385</v>
      </c>
      <c r="B12145" s="417" t="s">
        <v>2627</v>
      </c>
      <c r="C12145" s="417" t="s">
        <v>26842</v>
      </c>
      <c r="D12145" s="417" t="s">
        <v>83</v>
      </c>
      <c r="E12145" s="423">
        <v>6.0177033519712086</v>
      </c>
      <c r="F12145" s="423">
        <v>7.3161056925772723</v>
      </c>
      <c r="G12145" s="422">
        <v>40618.055568208001</v>
      </c>
      <c r="H12145" s="417" t="s">
        <v>2616</v>
      </c>
      <c r="I12145" s="417" t="s">
        <v>1392</v>
      </c>
      <c r="J12145" s="417" t="s">
        <v>25206</v>
      </c>
      <c r="K12145" s="417" t="s">
        <v>26843</v>
      </c>
      <c r="L12145" s="417"/>
      <c r="M12145" s="417" t="s">
        <v>28840</v>
      </c>
    </row>
    <row r="12146" spans="1:13" x14ac:dyDescent="0.25">
      <c r="A12146" s="417" t="s">
        <v>3385</v>
      </c>
      <c r="B12146" s="417" t="s">
        <v>2627</v>
      </c>
      <c r="C12146" s="417" t="s">
        <v>26844</v>
      </c>
      <c r="D12146" s="417" t="s">
        <v>83</v>
      </c>
      <c r="E12146" s="423">
        <v>0</v>
      </c>
      <c r="F12146" s="423">
        <v>0</v>
      </c>
      <c r="G12146" s="422">
        <v>25704</v>
      </c>
      <c r="H12146" s="417" t="s">
        <v>2616</v>
      </c>
      <c r="I12146" s="417" t="s">
        <v>1392</v>
      </c>
      <c r="J12146" s="417" t="s">
        <v>25206</v>
      </c>
      <c r="K12146" s="417" t="s">
        <v>26845</v>
      </c>
      <c r="L12146" s="417"/>
      <c r="M12146" s="417" t="s">
        <v>28840</v>
      </c>
    </row>
    <row r="12147" spans="1:13" x14ac:dyDescent="0.25">
      <c r="A12147" s="417" t="s">
        <v>3385</v>
      </c>
      <c r="B12147" s="417" t="s">
        <v>2627</v>
      </c>
      <c r="C12147" s="417" t="s">
        <v>26846</v>
      </c>
      <c r="D12147" s="417" t="s">
        <v>83</v>
      </c>
      <c r="E12147" s="423">
        <v>0</v>
      </c>
      <c r="F12147" s="423">
        <v>0</v>
      </c>
      <c r="G12147" s="422">
        <v>25704</v>
      </c>
      <c r="H12147" s="417" t="s">
        <v>2616</v>
      </c>
      <c r="I12147" s="417" t="s">
        <v>1392</v>
      </c>
      <c r="J12147" s="417" t="s">
        <v>25206</v>
      </c>
      <c r="K12147" s="417" t="s">
        <v>26847</v>
      </c>
      <c r="L12147" s="417"/>
      <c r="M12147" s="417" t="s">
        <v>28840</v>
      </c>
    </row>
    <row r="12148" spans="1:13" x14ac:dyDescent="0.25">
      <c r="A12148" s="417" t="s">
        <v>3385</v>
      </c>
      <c r="B12148" s="417" t="s">
        <v>2627</v>
      </c>
      <c r="C12148" s="417" t="s">
        <v>26848</v>
      </c>
      <c r="D12148" s="417" t="s">
        <v>83</v>
      </c>
      <c r="E12148" s="423">
        <v>2.271913186623252</v>
      </c>
      <c r="F12148" s="423">
        <v>0.20737067573220919</v>
      </c>
      <c r="G12148" s="422">
        <v>42526.015836995408</v>
      </c>
      <c r="H12148" s="417" t="s">
        <v>2616</v>
      </c>
      <c r="I12148" s="417" t="s">
        <v>1392</v>
      </c>
      <c r="J12148" s="417" t="s">
        <v>25206</v>
      </c>
      <c r="K12148" s="417" t="s">
        <v>26849</v>
      </c>
      <c r="L12148" s="417"/>
      <c r="M12148" s="417" t="s">
        <v>28840</v>
      </c>
    </row>
    <row r="12149" spans="1:13" x14ac:dyDescent="0.25">
      <c r="A12149" s="417" t="s">
        <v>3385</v>
      </c>
      <c r="B12149" s="417" t="s">
        <v>2627</v>
      </c>
      <c r="C12149" s="417" t="s">
        <v>26850</v>
      </c>
      <c r="D12149" s="417" t="s">
        <v>83</v>
      </c>
      <c r="E12149" s="423">
        <v>1.9929063032024319</v>
      </c>
      <c r="F12149" s="423">
        <v>0.18190410148951769</v>
      </c>
      <c r="G12149" s="422">
        <v>41128.224416661949</v>
      </c>
      <c r="H12149" s="417" t="s">
        <v>2616</v>
      </c>
      <c r="I12149" s="417" t="s">
        <v>1392</v>
      </c>
      <c r="J12149" s="417" t="s">
        <v>25206</v>
      </c>
      <c r="K12149" s="417" t="s">
        <v>26851</v>
      </c>
      <c r="L12149" s="417"/>
      <c r="M12149" s="417" t="s">
        <v>28840</v>
      </c>
    </row>
    <row r="12150" spans="1:13" x14ac:dyDescent="0.25">
      <c r="A12150" s="417" t="s">
        <v>3385</v>
      </c>
      <c r="B12150" s="417" t="s">
        <v>2627</v>
      </c>
      <c r="C12150" s="417" t="s">
        <v>26852</v>
      </c>
      <c r="D12150" s="417" t="s">
        <v>83</v>
      </c>
      <c r="E12150" s="423">
        <v>0</v>
      </c>
      <c r="F12150" s="423">
        <v>0</v>
      </c>
      <c r="G12150" s="422">
        <v>35560</v>
      </c>
      <c r="H12150" s="417" t="s">
        <v>2616</v>
      </c>
      <c r="I12150" s="417" t="s">
        <v>1392</v>
      </c>
      <c r="J12150" s="417" t="s">
        <v>25206</v>
      </c>
      <c r="K12150" s="417" t="s">
        <v>26853</v>
      </c>
      <c r="L12150" s="417"/>
      <c r="M12150" s="417" t="s">
        <v>28840</v>
      </c>
    </row>
    <row r="12151" spans="1:13" x14ac:dyDescent="0.25">
      <c r="A12151" s="417" t="s">
        <v>3385</v>
      </c>
      <c r="B12151" s="417" t="s">
        <v>2627</v>
      </c>
      <c r="C12151" s="417" t="s">
        <v>26854</v>
      </c>
      <c r="D12151" s="417" t="s">
        <v>83</v>
      </c>
      <c r="E12151" s="423">
        <v>7.2509171859424857</v>
      </c>
      <c r="F12151" s="423">
        <v>0.61833301588792877</v>
      </c>
      <c r="G12151" s="422">
        <v>41818.843276254331</v>
      </c>
      <c r="H12151" s="417" t="s">
        <v>2616</v>
      </c>
      <c r="I12151" s="417" t="s">
        <v>1392</v>
      </c>
      <c r="J12151" s="417" t="s">
        <v>25206</v>
      </c>
      <c r="K12151" s="417" t="s">
        <v>26855</v>
      </c>
      <c r="L12151" s="417"/>
      <c r="M12151" s="417" t="s">
        <v>28840</v>
      </c>
    </row>
    <row r="12152" spans="1:13" x14ac:dyDescent="0.25">
      <c r="A12152" s="417" t="s">
        <v>3385</v>
      </c>
      <c r="B12152" s="417" t="s">
        <v>2627</v>
      </c>
      <c r="C12152" s="417" t="s">
        <v>26856</v>
      </c>
      <c r="D12152" s="417" t="s">
        <v>83</v>
      </c>
      <c r="E12152" s="423">
        <v>2.002145100135662</v>
      </c>
      <c r="F12152" s="423">
        <v>0.30148827305148101</v>
      </c>
      <c r="G12152" s="422">
        <v>41179.612601820147</v>
      </c>
      <c r="H12152" s="417" t="s">
        <v>2616</v>
      </c>
      <c r="I12152" s="417" t="s">
        <v>1392</v>
      </c>
      <c r="J12152" s="417" t="s">
        <v>25206</v>
      </c>
      <c r="K12152" s="417" t="s">
        <v>26857</v>
      </c>
      <c r="L12152" s="417"/>
      <c r="M12152" s="417" t="s">
        <v>28840</v>
      </c>
    </row>
    <row r="12153" spans="1:13" x14ac:dyDescent="0.25">
      <c r="A12153" s="417" t="s">
        <v>3385</v>
      </c>
      <c r="B12153" s="417" t="s">
        <v>2627</v>
      </c>
      <c r="C12153" s="417" t="s">
        <v>26858</v>
      </c>
      <c r="D12153" s="417" t="s">
        <v>83</v>
      </c>
      <c r="E12153" s="423">
        <v>3.0639953524073582</v>
      </c>
      <c r="F12153" s="423">
        <v>0.30714640142216237</v>
      </c>
      <c r="G12153" s="422">
        <v>32590.077508587241</v>
      </c>
      <c r="H12153" s="417" t="s">
        <v>2616</v>
      </c>
      <c r="I12153" s="417" t="s">
        <v>1392</v>
      </c>
      <c r="J12153" s="417" t="s">
        <v>25206</v>
      </c>
      <c r="K12153" s="417" t="s">
        <v>26859</v>
      </c>
      <c r="L12153" s="417"/>
      <c r="M12153" s="417" t="s">
        <v>28840</v>
      </c>
    </row>
    <row r="12154" spans="1:13" x14ac:dyDescent="0.25">
      <c r="A12154" s="417" t="s">
        <v>3385</v>
      </c>
      <c r="B12154" s="417" t="s">
        <v>2627</v>
      </c>
      <c r="C12154" s="417" t="s">
        <v>26860</v>
      </c>
      <c r="D12154" s="417" t="s">
        <v>83</v>
      </c>
      <c r="E12154" s="423">
        <v>0</v>
      </c>
      <c r="F12154" s="423">
        <v>0</v>
      </c>
      <c r="G12154" s="422">
        <v>35560</v>
      </c>
      <c r="H12154" s="417" t="s">
        <v>2616</v>
      </c>
      <c r="I12154" s="417" t="s">
        <v>1392</v>
      </c>
      <c r="J12154" s="417" t="s">
        <v>25206</v>
      </c>
      <c r="K12154" s="417" t="s">
        <v>26861</v>
      </c>
      <c r="L12154" s="417"/>
      <c r="M12154" s="417" t="s">
        <v>28840</v>
      </c>
    </row>
    <row r="12155" spans="1:13" x14ac:dyDescent="0.25">
      <c r="A12155" s="417" t="s">
        <v>3385</v>
      </c>
      <c r="B12155" s="417" t="s">
        <v>2627</v>
      </c>
      <c r="C12155" s="417" t="s">
        <v>26862</v>
      </c>
      <c r="D12155" s="417" t="s">
        <v>83</v>
      </c>
      <c r="E12155" s="423">
        <v>0</v>
      </c>
      <c r="F12155" s="423">
        <v>0</v>
      </c>
      <c r="G12155" s="422">
        <v>35560</v>
      </c>
      <c r="H12155" s="417" t="s">
        <v>2616</v>
      </c>
      <c r="I12155" s="417" t="s">
        <v>1392</v>
      </c>
      <c r="J12155" s="417" t="s">
        <v>25206</v>
      </c>
      <c r="K12155" s="417" t="s">
        <v>26863</v>
      </c>
      <c r="L12155" s="417"/>
      <c r="M12155" s="417" t="s">
        <v>28840</v>
      </c>
    </row>
    <row r="12156" spans="1:13" x14ac:dyDescent="0.25">
      <c r="A12156" s="417" t="s">
        <v>3385</v>
      </c>
      <c r="B12156" s="417" t="s">
        <v>2627</v>
      </c>
      <c r="C12156" s="417" t="s">
        <v>26864</v>
      </c>
      <c r="D12156" s="417" t="s">
        <v>83</v>
      </c>
      <c r="E12156" s="423">
        <v>3.3187911848917571</v>
      </c>
      <c r="F12156" s="423">
        <v>0.26524135317231812</v>
      </c>
      <c r="G12156" s="422">
        <v>33593.913799370057</v>
      </c>
      <c r="H12156" s="417" t="s">
        <v>2616</v>
      </c>
      <c r="I12156" s="417" t="s">
        <v>1392</v>
      </c>
      <c r="J12156" s="417" t="s">
        <v>25206</v>
      </c>
      <c r="K12156" s="417" t="s">
        <v>26865</v>
      </c>
      <c r="L12156" s="417"/>
      <c r="M12156" s="417" t="s">
        <v>28840</v>
      </c>
    </row>
    <row r="12157" spans="1:13" x14ac:dyDescent="0.25">
      <c r="A12157" s="417" t="s">
        <v>3385</v>
      </c>
      <c r="B12157" s="417" t="s">
        <v>2627</v>
      </c>
      <c r="C12157" s="417" t="s">
        <v>26866</v>
      </c>
      <c r="D12157" s="417" t="s">
        <v>83</v>
      </c>
      <c r="E12157" s="423">
        <v>3.0170828972321271</v>
      </c>
      <c r="F12157" s="423">
        <v>0.24112850308399261</v>
      </c>
      <c r="G12157" s="422">
        <v>32471.972578442499</v>
      </c>
      <c r="H12157" s="417" t="s">
        <v>2616</v>
      </c>
      <c r="I12157" s="417" t="s">
        <v>1392</v>
      </c>
      <c r="J12157" s="417" t="s">
        <v>25206</v>
      </c>
      <c r="K12157" s="417" t="s">
        <v>26867</v>
      </c>
      <c r="L12157" s="417"/>
      <c r="M12157" s="417" t="s">
        <v>28840</v>
      </c>
    </row>
    <row r="12158" spans="1:13" x14ac:dyDescent="0.25">
      <c r="A12158" s="417" t="s">
        <v>3385</v>
      </c>
      <c r="B12158" s="417" t="s">
        <v>2627</v>
      </c>
      <c r="C12158" s="417" t="s">
        <v>26868</v>
      </c>
      <c r="D12158" s="417" t="s">
        <v>83</v>
      </c>
      <c r="E12158" s="423">
        <v>2.8270589693896779</v>
      </c>
      <c r="F12158" s="423">
        <v>0.24203434532212911</v>
      </c>
      <c r="G12158" s="422">
        <v>32211.624273511879</v>
      </c>
      <c r="H12158" s="417" t="s">
        <v>2616</v>
      </c>
      <c r="I12158" s="417" t="s">
        <v>1392</v>
      </c>
      <c r="J12158" s="417" t="s">
        <v>25206</v>
      </c>
      <c r="K12158" s="417" t="s">
        <v>26869</v>
      </c>
      <c r="L12158" s="417"/>
      <c r="M12158" s="417" t="s">
        <v>28840</v>
      </c>
    </row>
    <row r="12159" spans="1:13" x14ac:dyDescent="0.25">
      <c r="A12159" s="417" t="s">
        <v>3385</v>
      </c>
      <c r="B12159" s="417" t="s">
        <v>2627</v>
      </c>
      <c r="C12159" s="417" t="s">
        <v>26870</v>
      </c>
      <c r="D12159" s="417" t="s">
        <v>83</v>
      </c>
      <c r="E12159" s="423">
        <v>0</v>
      </c>
      <c r="F12159" s="423">
        <v>0</v>
      </c>
      <c r="G12159" s="422">
        <v>25704</v>
      </c>
      <c r="H12159" s="417" t="s">
        <v>2616</v>
      </c>
      <c r="I12159" s="417" t="s">
        <v>1392</v>
      </c>
      <c r="J12159" s="417" t="s">
        <v>25206</v>
      </c>
      <c r="K12159" s="417" t="s">
        <v>26871</v>
      </c>
      <c r="L12159" s="417"/>
      <c r="M12159" s="417" t="s">
        <v>28840</v>
      </c>
    </row>
    <row r="12160" spans="1:13" x14ac:dyDescent="0.25">
      <c r="A12160" s="417" t="s">
        <v>3385</v>
      </c>
      <c r="B12160" s="417" t="s">
        <v>2627</v>
      </c>
      <c r="C12160" s="417" t="s">
        <v>26872</v>
      </c>
      <c r="D12160" s="417" t="s">
        <v>83</v>
      </c>
      <c r="E12160" s="423">
        <v>7.2209305664423713</v>
      </c>
      <c r="F12160" s="423">
        <v>0.35124567813795099</v>
      </c>
      <c r="G12160" s="422">
        <v>60066.766195929587</v>
      </c>
      <c r="H12160" s="417" t="s">
        <v>2616</v>
      </c>
      <c r="I12160" s="417" t="s">
        <v>1392</v>
      </c>
      <c r="J12160" s="417" t="s">
        <v>25206</v>
      </c>
      <c r="K12160" s="417" t="s">
        <v>26873</v>
      </c>
      <c r="L12160" s="417"/>
      <c r="M12160" s="417" t="s">
        <v>28840</v>
      </c>
    </row>
    <row r="12161" spans="1:13" x14ac:dyDescent="0.25">
      <c r="A12161" s="417" t="s">
        <v>3385</v>
      </c>
      <c r="B12161" s="417" t="s">
        <v>2627</v>
      </c>
      <c r="C12161" s="417" t="s">
        <v>26874</v>
      </c>
      <c r="D12161" s="417" t="s">
        <v>83</v>
      </c>
      <c r="E12161" s="423">
        <v>30.9264161440971</v>
      </c>
      <c r="F12161" s="423">
        <v>1.806440049509201</v>
      </c>
      <c r="G12161" s="422">
        <v>150451.4883713813</v>
      </c>
      <c r="H12161" s="417" t="s">
        <v>2616</v>
      </c>
      <c r="I12161" s="417" t="s">
        <v>1392</v>
      </c>
      <c r="J12161" s="417" t="s">
        <v>25206</v>
      </c>
      <c r="K12161" s="417" t="s">
        <v>26875</v>
      </c>
      <c r="L12161" s="417"/>
      <c r="M12161" s="417" t="s">
        <v>28840</v>
      </c>
    </row>
    <row r="12162" spans="1:13" x14ac:dyDescent="0.25">
      <c r="A12162" s="417" t="s">
        <v>3385</v>
      </c>
      <c r="B12162" s="417" t="s">
        <v>2627</v>
      </c>
      <c r="C12162" s="417" t="s">
        <v>26876</v>
      </c>
      <c r="D12162" s="417" t="s">
        <v>83</v>
      </c>
      <c r="E12162" s="423">
        <v>24.373581387948999</v>
      </c>
      <c r="F12162" s="423">
        <v>1.379576292943298</v>
      </c>
      <c r="G12162" s="422">
        <v>123741.3797500845</v>
      </c>
      <c r="H12162" s="417" t="s">
        <v>2616</v>
      </c>
      <c r="I12162" s="417" t="s">
        <v>1392</v>
      </c>
      <c r="J12162" s="417" t="s">
        <v>25206</v>
      </c>
      <c r="K12162" s="417" t="s">
        <v>26877</v>
      </c>
      <c r="L12162" s="417"/>
      <c r="M12162" s="417" t="s">
        <v>28840</v>
      </c>
    </row>
    <row r="12163" spans="1:13" x14ac:dyDescent="0.25">
      <c r="A12163" s="417" t="s">
        <v>3385</v>
      </c>
      <c r="B12163" s="417" t="s">
        <v>2627</v>
      </c>
      <c r="C12163" s="417" t="s">
        <v>26878</v>
      </c>
      <c r="D12163" s="417" t="s">
        <v>83</v>
      </c>
      <c r="E12163" s="423">
        <v>9.3219784810671538</v>
      </c>
      <c r="F12163" s="423">
        <v>0.39870458894530508</v>
      </c>
      <c r="G12163" s="422">
        <v>49298.964156732298</v>
      </c>
      <c r="H12163" s="417" t="s">
        <v>2616</v>
      </c>
      <c r="I12163" s="417" t="s">
        <v>1392</v>
      </c>
      <c r="J12163" s="417" t="s">
        <v>25206</v>
      </c>
      <c r="K12163" s="417" t="s">
        <v>26879</v>
      </c>
      <c r="L12163" s="417"/>
      <c r="M12163" s="417" t="s">
        <v>28840</v>
      </c>
    </row>
    <row r="12164" spans="1:13" x14ac:dyDescent="0.25">
      <c r="A12164" s="417" t="s">
        <v>3385</v>
      </c>
      <c r="B12164" s="417" t="s">
        <v>2627</v>
      </c>
      <c r="C12164" s="417" t="s">
        <v>26880</v>
      </c>
      <c r="D12164" s="417" t="s">
        <v>83</v>
      </c>
      <c r="E12164" s="423">
        <v>14.895836643921051</v>
      </c>
      <c r="F12164" s="423">
        <v>0.55840180390087113</v>
      </c>
      <c r="G12164" s="422">
        <v>68614.538650137401</v>
      </c>
      <c r="H12164" s="417" t="s">
        <v>2616</v>
      </c>
      <c r="I12164" s="417" t="s">
        <v>1392</v>
      </c>
      <c r="J12164" s="417" t="s">
        <v>25206</v>
      </c>
      <c r="K12164" s="417" t="s">
        <v>26881</v>
      </c>
      <c r="L12164" s="417"/>
      <c r="M12164" s="417" t="s">
        <v>28840</v>
      </c>
    </row>
    <row r="12165" spans="1:13" x14ac:dyDescent="0.25">
      <c r="A12165" s="417" t="s">
        <v>3385</v>
      </c>
      <c r="B12165" s="417" t="s">
        <v>2627</v>
      </c>
      <c r="C12165" s="417" t="s">
        <v>26882</v>
      </c>
      <c r="D12165" s="417" t="s">
        <v>83</v>
      </c>
      <c r="E12165" s="423">
        <v>16.993089788918709</v>
      </c>
      <c r="F12165" s="423">
        <v>0.61319329883564322</v>
      </c>
      <c r="G12165" s="422">
        <v>62984.537578653457</v>
      </c>
      <c r="H12165" s="417" t="s">
        <v>2616</v>
      </c>
      <c r="I12165" s="417" t="s">
        <v>1392</v>
      </c>
      <c r="J12165" s="417" t="s">
        <v>25206</v>
      </c>
      <c r="K12165" s="417" t="s">
        <v>26883</v>
      </c>
      <c r="L12165" s="417"/>
      <c r="M12165" s="417" t="s">
        <v>28840</v>
      </c>
    </row>
    <row r="12166" spans="1:13" x14ac:dyDescent="0.25">
      <c r="A12166" s="417" t="s">
        <v>3385</v>
      </c>
      <c r="B12166" s="417" t="s">
        <v>2627</v>
      </c>
      <c r="C12166" s="417" t="s">
        <v>26884</v>
      </c>
      <c r="D12166" s="417" t="s">
        <v>83</v>
      </c>
      <c r="E12166" s="423">
        <v>17.808688234550409</v>
      </c>
      <c r="F12166" s="423">
        <v>0.63450110236867541</v>
      </c>
      <c r="G12166" s="422">
        <v>60795.092711817138</v>
      </c>
      <c r="H12166" s="417" t="s">
        <v>2616</v>
      </c>
      <c r="I12166" s="417" t="s">
        <v>1392</v>
      </c>
      <c r="J12166" s="417" t="s">
        <v>25206</v>
      </c>
      <c r="K12166" s="417" t="s">
        <v>26885</v>
      </c>
      <c r="L12166" s="417"/>
      <c r="M12166" s="417" t="s">
        <v>28840</v>
      </c>
    </row>
    <row r="12167" spans="1:13" x14ac:dyDescent="0.25">
      <c r="A12167" s="417" t="s">
        <v>3385</v>
      </c>
      <c r="B12167" s="417" t="s">
        <v>2627</v>
      </c>
      <c r="C12167" s="417" t="s">
        <v>26886</v>
      </c>
      <c r="D12167" s="417" t="s">
        <v>989</v>
      </c>
      <c r="E12167" s="423">
        <v>2.6661075571657209</v>
      </c>
      <c r="F12167" s="423">
        <v>0.15350259672867761</v>
      </c>
      <c r="G12167" s="422">
        <v>4935.9305633439226</v>
      </c>
      <c r="H12167" s="417" t="s">
        <v>2616</v>
      </c>
      <c r="I12167" s="417" t="s">
        <v>1392</v>
      </c>
      <c r="J12167" s="417" t="s">
        <v>25737</v>
      </c>
      <c r="K12167" s="417" t="s">
        <v>26887</v>
      </c>
      <c r="L12167" s="417"/>
      <c r="M12167" s="417" t="s">
        <v>28840</v>
      </c>
    </row>
    <row r="12168" spans="1:13" x14ac:dyDescent="0.25">
      <c r="A12168" s="417" t="s">
        <v>3385</v>
      </c>
      <c r="B12168" s="417" t="s">
        <v>2627</v>
      </c>
      <c r="C12168" s="417" t="s">
        <v>26888</v>
      </c>
      <c r="D12168" s="417" t="s">
        <v>989</v>
      </c>
      <c r="E12168" s="423">
        <v>0</v>
      </c>
      <c r="F12168" s="423">
        <v>0</v>
      </c>
      <c r="G12168" s="422">
        <v>0</v>
      </c>
      <c r="H12168" s="417" t="s">
        <v>2616</v>
      </c>
      <c r="I12168" s="417" t="s">
        <v>1392</v>
      </c>
      <c r="J12168" s="417" t="s">
        <v>25737</v>
      </c>
      <c r="K12168" s="417" t="s">
        <v>26889</v>
      </c>
      <c r="L12168" s="417"/>
      <c r="M12168" s="417" t="s">
        <v>28840</v>
      </c>
    </row>
    <row r="12169" spans="1:13" x14ac:dyDescent="0.25">
      <c r="A12169" s="417" t="s">
        <v>3385</v>
      </c>
      <c r="B12169" s="417" t="s">
        <v>2627</v>
      </c>
      <c r="C12169" s="417" t="s">
        <v>26890</v>
      </c>
      <c r="D12169" s="417" t="s">
        <v>83</v>
      </c>
      <c r="E12169" s="423">
        <v>381.17060251189918</v>
      </c>
      <c r="F12169" s="423">
        <v>273.15585726499341</v>
      </c>
      <c r="G12169" s="422">
        <v>745634.58262444695</v>
      </c>
      <c r="H12169" s="417" t="s">
        <v>2616</v>
      </c>
      <c r="I12169" s="417" t="s">
        <v>1392</v>
      </c>
      <c r="J12169" s="417" t="s">
        <v>26730</v>
      </c>
      <c r="K12169" s="417" t="s">
        <v>26891</v>
      </c>
      <c r="L12169" s="417"/>
      <c r="M12169" s="417" t="s">
        <v>28840</v>
      </c>
    </row>
    <row r="12170" spans="1:13" x14ac:dyDescent="0.25">
      <c r="A12170" s="417" t="s">
        <v>3385</v>
      </c>
      <c r="B12170" s="417" t="s">
        <v>3405</v>
      </c>
      <c r="C12170" s="417" t="s">
        <v>26892</v>
      </c>
      <c r="D12170" s="417" t="s">
        <v>83</v>
      </c>
      <c r="E12170" s="423">
        <v>0.64570203094626433</v>
      </c>
      <c r="F12170" s="423">
        <v>0.87673214186976722</v>
      </c>
      <c r="G12170" s="422">
        <v>849.01537575297755</v>
      </c>
      <c r="H12170" s="417" t="s">
        <v>2616</v>
      </c>
      <c r="I12170" s="417" t="s">
        <v>1392</v>
      </c>
      <c r="J12170" s="417" t="s">
        <v>25732</v>
      </c>
      <c r="K12170" s="417" t="s">
        <v>26893</v>
      </c>
      <c r="L12170" s="417"/>
      <c r="M12170" s="417" t="s">
        <v>28840</v>
      </c>
    </row>
    <row r="12171" spans="1:13" x14ac:dyDescent="0.25">
      <c r="A12171" s="417" t="s">
        <v>3385</v>
      </c>
      <c r="B12171" s="417" t="s">
        <v>3405</v>
      </c>
      <c r="C12171" s="417" t="s">
        <v>26894</v>
      </c>
      <c r="D12171" s="417" t="s">
        <v>73</v>
      </c>
      <c r="E12171" s="423">
        <v>1.9234472837911819E-2</v>
      </c>
      <c r="F12171" s="423">
        <v>2.546861515954562E-2</v>
      </c>
      <c r="G12171" s="422">
        <v>25.301069590849561</v>
      </c>
      <c r="H12171" s="417" t="s">
        <v>2616</v>
      </c>
      <c r="I12171" s="417" t="s">
        <v>1392</v>
      </c>
      <c r="J12171" s="417" t="s">
        <v>25732</v>
      </c>
      <c r="K12171" s="417" t="s">
        <v>26895</v>
      </c>
      <c r="L12171" s="417"/>
      <c r="M12171" s="417" t="s">
        <v>28840</v>
      </c>
    </row>
    <row r="12172" spans="1:13" x14ac:dyDescent="0.25">
      <c r="A12172" s="417" t="s">
        <v>3385</v>
      </c>
      <c r="B12172" s="417" t="s">
        <v>3405</v>
      </c>
      <c r="C12172" s="417" t="s">
        <v>26896</v>
      </c>
      <c r="D12172" s="417" t="s">
        <v>73</v>
      </c>
      <c r="E12172" s="423">
        <v>8.0154007268168598E-2</v>
      </c>
      <c r="F12172" s="423">
        <v>3.4369680483688707E-4</v>
      </c>
      <c r="G12172" s="422">
        <v>101.2977849718296</v>
      </c>
      <c r="H12172" s="417" t="s">
        <v>2616</v>
      </c>
      <c r="I12172" s="417" t="s">
        <v>1392</v>
      </c>
      <c r="J12172" s="417" t="s">
        <v>25390</v>
      </c>
      <c r="K12172" s="417" t="s">
        <v>26897</v>
      </c>
      <c r="L12172" s="417"/>
      <c r="M12172" s="417" t="s">
        <v>28840</v>
      </c>
    </row>
    <row r="12173" spans="1:13" x14ac:dyDescent="0.25">
      <c r="A12173" s="417" t="s">
        <v>3385</v>
      </c>
      <c r="B12173" s="417" t="s">
        <v>2437</v>
      </c>
      <c r="C12173" s="417" t="s">
        <v>26898</v>
      </c>
      <c r="D12173" s="417" t="s">
        <v>397</v>
      </c>
      <c r="E12173" s="423">
        <v>1.942313170671393</v>
      </c>
      <c r="F12173" s="423">
        <v>3.1226034941471961E-3</v>
      </c>
      <c r="G12173" s="422">
        <v>2391.9193072690869</v>
      </c>
      <c r="H12173" s="417" t="s">
        <v>2616</v>
      </c>
      <c r="I12173" s="417" t="s">
        <v>1392</v>
      </c>
      <c r="J12173" s="417" t="s">
        <v>26899</v>
      </c>
      <c r="K12173" s="417" t="s">
        <v>26900</v>
      </c>
      <c r="L12173" s="417"/>
      <c r="M12173" s="417" t="s">
        <v>28840</v>
      </c>
    </row>
    <row r="12174" spans="1:13" x14ac:dyDescent="0.25">
      <c r="A12174" s="417" t="s">
        <v>3385</v>
      </c>
      <c r="B12174" s="417" t="s">
        <v>2437</v>
      </c>
      <c r="C12174" s="417" t="s">
        <v>26901</v>
      </c>
      <c r="D12174" s="417" t="s">
        <v>397</v>
      </c>
      <c r="E12174" s="423">
        <v>2.5531261170489268</v>
      </c>
      <c r="F12174" s="423">
        <v>4.764202563504627E-3</v>
      </c>
      <c r="G12174" s="422">
        <v>3218.3464529484299</v>
      </c>
      <c r="H12174" s="417" t="s">
        <v>2616</v>
      </c>
      <c r="I12174" s="417" t="s">
        <v>1392</v>
      </c>
      <c r="J12174" s="417" t="s">
        <v>26899</v>
      </c>
      <c r="K12174" s="417" t="s">
        <v>26902</v>
      </c>
      <c r="L12174" s="417"/>
      <c r="M12174" s="417" t="s">
        <v>28840</v>
      </c>
    </row>
    <row r="12175" spans="1:13" x14ac:dyDescent="0.25">
      <c r="A12175" s="417" t="s">
        <v>3385</v>
      </c>
      <c r="B12175" s="417" t="s">
        <v>2437</v>
      </c>
      <c r="C12175" s="417" t="s">
        <v>26903</v>
      </c>
      <c r="D12175" s="417" t="s">
        <v>397</v>
      </c>
      <c r="E12175" s="423">
        <v>1.907441118522095</v>
      </c>
      <c r="F12175" s="423">
        <v>3.0288969937284048E-3</v>
      </c>
      <c r="G12175" s="422">
        <v>2344.7418002213522</v>
      </c>
      <c r="H12175" s="417" t="s">
        <v>2616</v>
      </c>
      <c r="I12175" s="417" t="s">
        <v>1392</v>
      </c>
      <c r="J12175" s="417" t="s">
        <v>26899</v>
      </c>
      <c r="K12175" s="417" t="s">
        <v>26904</v>
      </c>
      <c r="L12175" s="417"/>
      <c r="M12175" s="417" t="s">
        <v>28840</v>
      </c>
    </row>
    <row r="12176" spans="1:13" x14ac:dyDescent="0.25">
      <c r="A12176" s="417" t="s">
        <v>3385</v>
      </c>
      <c r="B12176" s="417" t="s">
        <v>2437</v>
      </c>
      <c r="C12176" s="417" t="s">
        <v>26905</v>
      </c>
      <c r="D12176" s="417" t="s">
        <v>17280</v>
      </c>
      <c r="E12176" s="423">
        <v>0.21185930300441089</v>
      </c>
      <c r="F12176" s="423">
        <v>3.5963944994344701E-4</v>
      </c>
      <c r="G12176" s="422">
        <v>263.04286871220501</v>
      </c>
      <c r="H12176" s="417" t="s">
        <v>2616</v>
      </c>
      <c r="I12176" s="417" t="s">
        <v>1392</v>
      </c>
      <c r="J12176" s="417" t="s">
        <v>26899</v>
      </c>
      <c r="K12176" s="417" t="s">
        <v>26906</v>
      </c>
      <c r="L12176" s="417"/>
      <c r="M12176" s="417" t="s">
        <v>28840</v>
      </c>
    </row>
    <row r="12177" spans="1:13" x14ac:dyDescent="0.25">
      <c r="A12177" s="417" t="s">
        <v>3385</v>
      </c>
      <c r="B12177" s="417" t="s">
        <v>2437</v>
      </c>
      <c r="C12177" s="417" t="s">
        <v>26907</v>
      </c>
      <c r="D12177" s="417" t="s">
        <v>17280</v>
      </c>
      <c r="E12177" s="423">
        <v>0.25531261170472858</v>
      </c>
      <c r="F12177" s="423">
        <v>4.7642025628963082E-4</v>
      </c>
      <c r="G12177" s="422">
        <v>321.83464529814739</v>
      </c>
      <c r="H12177" s="417" t="s">
        <v>2616</v>
      </c>
      <c r="I12177" s="417" t="s">
        <v>1392</v>
      </c>
      <c r="J12177" s="417" t="s">
        <v>26899</v>
      </c>
      <c r="K12177" s="417" t="s">
        <v>26908</v>
      </c>
      <c r="L12177" s="417"/>
      <c r="M12177" s="417" t="s">
        <v>28840</v>
      </c>
    </row>
    <row r="12178" spans="1:13" x14ac:dyDescent="0.25">
      <c r="A12178" s="417" t="s">
        <v>3385</v>
      </c>
      <c r="B12178" s="417" t="s">
        <v>2437</v>
      </c>
      <c r="C12178" s="417" t="s">
        <v>26909</v>
      </c>
      <c r="D12178" s="417" t="s">
        <v>17280</v>
      </c>
      <c r="E12178" s="423">
        <v>0.1907441118511409</v>
      </c>
      <c r="F12178" s="423">
        <v>3.0288969929512412E-4</v>
      </c>
      <c r="G12178" s="422">
        <v>234.47418002265559</v>
      </c>
      <c r="H12178" s="417" t="s">
        <v>2616</v>
      </c>
      <c r="I12178" s="417" t="s">
        <v>1392</v>
      </c>
      <c r="J12178" s="417" t="s">
        <v>26899</v>
      </c>
      <c r="K12178" s="417" t="s">
        <v>26910</v>
      </c>
      <c r="L12178" s="417"/>
      <c r="M12178" s="417" t="s">
        <v>28840</v>
      </c>
    </row>
    <row r="12179" spans="1:13" x14ac:dyDescent="0.25">
      <c r="A12179" s="417" t="s">
        <v>3385</v>
      </c>
      <c r="B12179" s="417" t="s">
        <v>2437</v>
      </c>
      <c r="C12179" s="417" t="s">
        <v>26911</v>
      </c>
      <c r="D12179" s="417" t="s">
        <v>397</v>
      </c>
      <c r="E12179" s="423">
        <v>3.8195241252370109E-2</v>
      </c>
      <c r="F12179" s="423">
        <v>2.327124923692627E-3</v>
      </c>
      <c r="G12179" s="422">
        <v>66.519432768529427</v>
      </c>
      <c r="H12179" s="417" t="s">
        <v>2616</v>
      </c>
      <c r="I12179" s="417" t="s">
        <v>1392</v>
      </c>
      <c r="J12179" s="417" t="s">
        <v>26912</v>
      </c>
      <c r="K12179" s="417" t="s">
        <v>26913</v>
      </c>
      <c r="L12179" s="417"/>
      <c r="M12179" s="417" t="s">
        <v>28840</v>
      </c>
    </row>
    <row r="12180" spans="1:13" x14ac:dyDescent="0.25">
      <c r="A12180" s="417" t="s">
        <v>3385</v>
      </c>
      <c r="B12180" s="417" t="s">
        <v>2437</v>
      </c>
      <c r="C12180" s="417" t="s">
        <v>26914</v>
      </c>
      <c r="D12180" s="417" t="s">
        <v>3936</v>
      </c>
      <c r="E12180" s="423">
        <v>1.008802816371926</v>
      </c>
      <c r="F12180" s="423">
        <v>2.3758714772293261E-2</v>
      </c>
      <c r="G12180" s="422">
        <v>1764.262025425646</v>
      </c>
      <c r="H12180" s="417" t="s">
        <v>2616</v>
      </c>
      <c r="I12180" s="417" t="s">
        <v>1392</v>
      </c>
      <c r="J12180" s="417" t="s">
        <v>26915</v>
      </c>
      <c r="K12180" s="417" t="s">
        <v>26916</v>
      </c>
      <c r="L12180" s="417"/>
      <c r="M12180" s="417" t="s">
        <v>28840</v>
      </c>
    </row>
    <row r="12181" spans="1:13" x14ac:dyDescent="0.25">
      <c r="A12181" s="417" t="s">
        <v>3385</v>
      </c>
      <c r="B12181" s="417" t="s">
        <v>2437</v>
      </c>
      <c r="C12181" s="417" t="s">
        <v>26917</v>
      </c>
      <c r="D12181" s="417" t="s">
        <v>397</v>
      </c>
      <c r="E12181" s="423">
        <v>3.479786348194965E-3</v>
      </c>
      <c r="F12181" s="423">
        <v>1.705739922676977E-4</v>
      </c>
      <c r="G12181" s="422">
        <v>14.85201106971639</v>
      </c>
      <c r="H12181" s="417" t="s">
        <v>2616</v>
      </c>
      <c r="I12181" s="417" t="s">
        <v>1392</v>
      </c>
      <c r="J12181" s="417" t="s">
        <v>26918</v>
      </c>
      <c r="K12181" s="417" t="s">
        <v>26919</v>
      </c>
      <c r="L12181" s="417"/>
      <c r="M12181" s="417" t="s">
        <v>28840</v>
      </c>
    </row>
    <row r="12182" spans="1:13" x14ac:dyDescent="0.25">
      <c r="A12182" s="417" t="s">
        <v>3385</v>
      </c>
      <c r="B12182" s="417" t="s">
        <v>2437</v>
      </c>
      <c r="C12182" s="417" t="s">
        <v>26920</v>
      </c>
      <c r="D12182" s="417" t="s">
        <v>17280</v>
      </c>
      <c r="E12182" s="423">
        <v>3.6109280640624672E-2</v>
      </c>
      <c r="F12182" s="423">
        <v>4.8605934279913002E-3</v>
      </c>
      <c r="G12182" s="422">
        <v>65.238361560996438</v>
      </c>
      <c r="H12182" s="417" t="s">
        <v>2616</v>
      </c>
      <c r="I12182" s="417" t="s">
        <v>1392</v>
      </c>
      <c r="J12182" s="417" t="s">
        <v>26918</v>
      </c>
      <c r="K12182" s="417" t="s">
        <v>26921</v>
      </c>
      <c r="L12182" s="417"/>
      <c r="M12182" s="417" t="s">
        <v>28840</v>
      </c>
    </row>
    <row r="12183" spans="1:13" x14ac:dyDescent="0.25">
      <c r="A12183" s="417" t="s">
        <v>3385</v>
      </c>
      <c r="B12183" s="417" t="s">
        <v>2437</v>
      </c>
      <c r="C12183" s="417" t="s">
        <v>26922</v>
      </c>
      <c r="D12183" s="417" t="s">
        <v>17280</v>
      </c>
      <c r="E12183" s="423">
        <v>6.6350084684382567E-4</v>
      </c>
      <c r="F12183" s="423">
        <v>9.257734216795092E-5</v>
      </c>
      <c r="G12183" s="422">
        <v>13.411466943769501</v>
      </c>
      <c r="H12183" s="417" t="s">
        <v>2616</v>
      </c>
      <c r="I12183" s="417" t="s">
        <v>1392</v>
      </c>
      <c r="J12183" s="417" t="s">
        <v>26918</v>
      </c>
      <c r="K12183" s="417" t="s">
        <v>26923</v>
      </c>
      <c r="L12183" s="417"/>
      <c r="M12183" s="417" t="s">
        <v>28840</v>
      </c>
    </row>
    <row r="12184" spans="1:13" x14ac:dyDescent="0.25">
      <c r="A12184" s="417" t="s">
        <v>3385</v>
      </c>
      <c r="B12184" s="417" t="s">
        <v>2437</v>
      </c>
      <c r="C12184" s="417" t="s">
        <v>26924</v>
      </c>
      <c r="D12184" s="417" t="s">
        <v>3936</v>
      </c>
      <c r="E12184" s="423">
        <v>1.1242448130003839</v>
      </c>
      <c r="F12184" s="423">
        <v>2.64384034854976E-2</v>
      </c>
      <c r="G12184" s="422">
        <v>1901.9159330752291</v>
      </c>
      <c r="H12184" s="417" t="s">
        <v>2616</v>
      </c>
      <c r="I12184" s="417" t="s">
        <v>1392</v>
      </c>
      <c r="J12184" s="417" t="s">
        <v>26915</v>
      </c>
      <c r="K12184" s="417" t="s">
        <v>26925</v>
      </c>
      <c r="L12184" s="417"/>
      <c r="M12184" s="417" t="s">
        <v>28840</v>
      </c>
    </row>
    <row r="12185" spans="1:13" x14ac:dyDescent="0.25">
      <c r="A12185" s="417" t="s">
        <v>3385</v>
      </c>
      <c r="B12185" s="417" t="s">
        <v>2437</v>
      </c>
      <c r="C12185" s="417" t="s">
        <v>26926</v>
      </c>
      <c r="D12185" s="417" t="s">
        <v>3936</v>
      </c>
      <c r="E12185" s="423">
        <v>0.98371442638968454</v>
      </c>
      <c r="F12185" s="423">
        <v>2.3115137848998778E-2</v>
      </c>
      <c r="G12185" s="422">
        <v>1712.7746497167659</v>
      </c>
      <c r="H12185" s="417" t="s">
        <v>2616</v>
      </c>
      <c r="I12185" s="417" t="s">
        <v>1392</v>
      </c>
      <c r="J12185" s="417" t="s">
        <v>26915</v>
      </c>
      <c r="K12185" s="417" t="s">
        <v>26927</v>
      </c>
      <c r="L12185" s="417"/>
      <c r="M12185" s="417" t="s">
        <v>28840</v>
      </c>
    </row>
    <row r="12186" spans="1:13" x14ac:dyDescent="0.25">
      <c r="A12186" s="417" t="s">
        <v>3385</v>
      </c>
      <c r="B12186" s="417" t="s">
        <v>2437</v>
      </c>
      <c r="C12186" s="417" t="s">
        <v>26928</v>
      </c>
      <c r="D12186" s="417" t="s">
        <v>3936</v>
      </c>
      <c r="E12186" s="423">
        <v>0.72302701345599529</v>
      </c>
      <c r="F12186" s="423">
        <v>1.6955993779221058E-2</v>
      </c>
      <c r="G12186" s="422">
        <v>1324.0348722539079</v>
      </c>
      <c r="H12186" s="417" t="s">
        <v>2616</v>
      </c>
      <c r="I12186" s="417" t="s">
        <v>1392</v>
      </c>
      <c r="J12186" s="417" t="s">
        <v>26915</v>
      </c>
      <c r="K12186" s="417" t="s">
        <v>26929</v>
      </c>
      <c r="L12186" s="417"/>
      <c r="M12186" s="417" t="s">
        <v>28840</v>
      </c>
    </row>
    <row r="12187" spans="1:13" x14ac:dyDescent="0.25">
      <c r="A12187" s="417" t="s">
        <v>3385</v>
      </c>
      <c r="B12187" s="417" t="s">
        <v>2437</v>
      </c>
      <c r="C12187" s="417" t="s">
        <v>26930</v>
      </c>
      <c r="D12187" s="417" t="s">
        <v>3936</v>
      </c>
      <c r="E12187" s="423">
        <v>0.27208217382076499</v>
      </c>
      <c r="F12187" s="423">
        <v>5.1679074503519131E-3</v>
      </c>
      <c r="G12187" s="422">
        <v>390.28536540717948</v>
      </c>
      <c r="H12187" s="417" t="s">
        <v>2616</v>
      </c>
      <c r="I12187" s="417" t="s">
        <v>1392</v>
      </c>
      <c r="J12187" s="417" t="s">
        <v>26915</v>
      </c>
      <c r="K12187" s="417" t="s">
        <v>26931</v>
      </c>
      <c r="L12187" s="417"/>
      <c r="M12187" s="417" t="s">
        <v>28840</v>
      </c>
    </row>
    <row r="12188" spans="1:13" x14ac:dyDescent="0.25">
      <c r="A12188" s="417" t="s">
        <v>3385</v>
      </c>
      <c r="B12188" s="417" t="s">
        <v>2437</v>
      </c>
      <c r="C12188" s="417" t="s">
        <v>26932</v>
      </c>
      <c r="D12188" s="417" t="s">
        <v>3936</v>
      </c>
      <c r="E12188" s="423">
        <v>0.24532163601786211</v>
      </c>
      <c r="F12188" s="423">
        <v>5.7636829862094847E-3</v>
      </c>
      <c r="G12188" s="422">
        <v>349.96969280049609</v>
      </c>
      <c r="H12188" s="417" t="s">
        <v>2616</v>
      </c>
      <c r="I12188" s="417" t="s">
        <v>1392</v>
      </c>
      <c r="J12188" s="417" t="s">
        <v>26915</v>
      </c>
      <c r="K12188" s="417" t="s">
        <v>26933</v>
      </c>
      <c r="L12188" s="417"/>
      <c r="M12188" s="417" t="s">
        <v>28840</v>
      </c>
    </row>
    <row r="12189" spans="1:13" x14ac:dyDescent="0.25">
      <c r="A12189" s="417" t="s">
        <v>3385</v>
      </c>
      <c r="B12189" s="417" t="s">
        <v>2437</v>
      </c>
      <c r="C12189" s="417" t="s">
        <v>26934</v>
      </c>
      <c r="D12189" s="417" t="s">
        <v>17280</v>
      </c>
      <c r="E12189" s="423">
        <v>1.4538474413322679E-3</v>
      </c>
      <c r="F12189" s="423">
        <v>2.0285329386538509E-4</v>
      </c>
      <c r="G12189" s="422">
        <v>18.596243797025359</v>
      </c>
      <c r="H12189" s="417" t="s">
        <v>2616</v>
      </c>
      <c r="I12189" s="417" t="s">
        <v>1392</v>
      </c>
      <c r="J12189" s="417" t="s">
        <v>26918</v>
      </c>
      <c r="K12189" s="417" t="s">
        <v>26935</v>
      </c>
      <c r="L12189" s="417"/>
      <c r="M12189" s="417" t="s">
        <v>28840</v>
      </c>
    </row>
    <row r="12190" spans="1:13" x14ac:dyDescent="0.25">
      <c r="A12190" s="417" t="s">
        <v>3385</v>
      </c>
      <c r="B12190" s="417" t="s">
        <v>2437</v>
      </c>
      <c r="C12190" s="417" t="s">
        <v>26936</v>
      </c>
      <c r="D12190" s="417" t="s">
        <v>3936</v>
      </c>
      <c r="E12190" s="423">
        <v>1.394409850460554</v>
      </c>
      <c r="F12190" s="423">
        <v>3.2913690605450477E-2</v>
      </c>
      <c r="G12190" s="422">
        <v>2406.4601338784191</v>
      </c>
      <c r="H12190" s="417" t="s">
        <v>2616</v>
      </c>
      <c r="I12190" s="417" t="s">
        <v>1392</v>
      </c>
      <c r="J12190" s="417" t="s">
        <v>26915</v>
      </c>
      <c r="K12190" s="417" t="s">
        <v>26937</v>
      </c>
      <c r="L12190" s="417"/>
      <c r="M12190" s="417" t="s">
        <v>28840</v>
      </c>
    </row>
    <row r="12191" spans="1:13" x14ac:dyDescent="0.25">
      <c r="A12191" s="417" t="s">
        <v>3385</v>
      </c>
      <c r="B12191" s="417" t="s">
        <v>2437</v>
      </c>
      <c r="C12191" s="417" t="s">
        <v>26938</v>
      </c>
      <c r="D12191" s="417" t="s">
        <v>3936</v>
      </c>
      <c r="E12191" s="423">
        <v>0.42524879159404488</v>
      </c>
      <c r="F12191" s="423">
        <v>0.1032853476560634</v>
      </c>
      <c r="G12191" s="422">
        <v>2211.953822395777</v>
      </c>
      <c r="H12191" s="417" t="s">
        <v>2616</v>
      </c>
      <c r="I12191" s="417" t="s">
        <v>1392</v>
      </c>
      <c r="J12191" s="417" t="s">
        <v>26915</v>
      </c>
      <c r="K12191" s="417" t="s">
        <v>26939</v>
      </c>
      <c r="L12191" s="417"/>
      <c r="M12191" s="417" t="s">
        <v>28840</v>
      </c>
    </row>
    <row r="12192" spans="1:13" x14ac:dyDescent="0.25">
      <c r="A12192" s="417" t="s">
        <v>3385</v>
      </c>
      <c r="B12192" s="417" t="s">
        <v>2437</v>
      </c>
      <c r="C12192" s="417" t="s">
        <v>26940</v>
      </c>
      <c r="D12192" s="417" t="s">
        <v>397</v>
      </c>
      <c r="E12192" s="423">
        <v>9.9157155675277091E-3</v>
      </c>
      <c r="F12192" s="423">
        <v>3.3055324031343032E-5</v>
      </c>
      <c r="G12192" s="422">
        <v>19.568787493575261</v>
      </c>
      <c r="H12192" s="417" t="s">
        <v>2616</v>
      </c>
      <c r="I12192" s="417" t="s">
        <v>1392</v>
      </c>
      <c r="J12192" s="417" t="s">
        <v>26912</v>
      </c>
      <c r="K12192" s="417" t="s">
        <v>26941</v>
      </c>
      <c r="L12192" s="417"/>
      <c r="M12192" s="417" t="s">
        <v>28840</v>
      </c>
    </row>
    <row r="12193" spans="1:13" x14ac:dyDescent="0.25">
      <c r="A12193" s="417" t="s">
        <v>3385</v>
      </c>
      <c r="B12193" s="417" t="s">
        <v>2437</v>
      </c>
      <c r="C12193" s="417" t="s">
        <v>26942</v>
      </c>
      <c r="D12193" s="417" t="s">
        <v>397</v>
      </c>
      <c r="E12193" s="423">
        <v>5.1040459953348464E-3</v>
      </c>
      <c r="F12193" s="423">
        <v>1.7188768492167999E-5</v>
      </c>
      <c r="G12193" s="422">
        <v>37.512378711610758</v>
      </c>
      <c r="H12193" s="417" t="s">
        <v>2616</v>
      </c>
      <c r="I12193" s="417" t="s">
        <v>1392</v>
      </c>
      <c r="J12193" s="417" t="s">
        <v>26912</v>
      </c>
      <c r="K12193" s="417" t="s">
        <v>26943</v>
      </c>
      <c r="L12193" s="417"/>
      <c r="M12193" s="417" t="s">
        <v>28840</v>
      </c>
    </row>
    <row r="12194" spans="1:13" x14ac:dyDescent="0.25">
      <c r="A12194" s="417" t="s">
        <v>3385</v>
      </c>
      <c r="B12194" s="417" t="s">
        <v>2437</v>
      </c>
      <c r="C12194" s="417" t="s">
        <v>26944</v>
      </c>
      <c r="D12194" s="417" t="s">
        <v>3936</v>
      </c>
      <c r="E12194" s="423">
        <v>0.29123422681973721</v>
      </c>
      <c r="F12194" s="423">
        <v>6.6102622492086177E-2</v>
      </c>
      <c r="G12194" s="422">
        <v>1381.611110251476</v>
      </c>
      <c r="H12194" s="417" t="s">
        <v>2616</v>
      </c>
      <c r="I12194" s="417" t="s">
        <v>1392</v>
      </c>
      <c r="J12194" s="417" t="s">
        <v>26915</v>
      </c>
      <c r="K12194" s="417" t="s">
        <v>26945</v>
      </c>
      <c r="L12194" s="417"/>
      <c r="M12194" s="417" t="s">
        <v>28840</v>
      </c>
    </row>
    <row r="12195" spans="1:13" x14ac:dyDescent="0.25">
      <c r="A12195" s="417" t="s">
        <v>3385</v>
      </c>
      <c r="B12195" s="417" t="s">
        <v>2437</v>
      </c>
      <c r="C12195" s="417" t="s">
        <v>26946</v>
      </c>
      <c r="D12195" s="417" t="s">
        <v>3936</v>
      </c>
      <c r="E12195" s="423">
        <v>0.34870338696909831</v>
      </c>
      <c r="F12195" s="423">
        <v>7.5960554123603386E-3</v>
      </c>
      <c r="G12195" s="422">
        <v>511.49132458930211</v>
      </c>
      <c r="H12195" s="417" t="s">
        <v>2616</v>
      </c>
      <c r="I12195" s="417" t="s">
        <v>1392</v>
      </c>
      <c r="J12195" s="417" t="s">
        <v>26915</v>
      </c>
      <c r="K12195" s="417" t="s">
        <v>26947</v>
      </c>
      <c r="L12195" s="417"/>
      <c r="M12195" s="417" t="s">
        <v>28840</v>
      </c>
    </row>
    <row r="12196" spans="1:13" x14ac:dyDescent="0.25">
      <c r="A12196" s="417" t="s">
        <v>3385</v>
      </c>
      <c r="B12196" s="417" t="s">
        <v>2627</v>
      </c>
      <c r="C12196" s="417" t="s">
        <v>26948</v>
      </c>
      <c r="D12196" s="417" t="s">
        <v>83</v>
      </c>
      <c r="E12196" s="423">
        <v>273.7165666017317</v>
      </c>
      <c r="F12196" s="423">
        <v>287.60612119517072</v>
      </c>
      <c r="G12196" s="422">
        <v>579765.76975482691</v>
      </c>
      <c r="H12196" s="417" t="s">
        <v>2616</v>
      </c>
      <c r="I12196" s="417" t="s">
        <v>1392</v>
      </c>
      <c r="J12196" s="417" t="s">
        <v>26730</v>
      </c>
      <c r="K12196" s="417" t="s">
        <v>26949</v>
      </c>
      <c r="L12196" s="417"/>
      <c r="M12196" s="417" t="s">
        <v>28840</v>
      </c>
    </row>
    <row r="12197" spans="1:13" x14ac:dyDescent="0.25">
      <c r="A12197" s="417" t="s">
        <v>3385</v>
      </c>
      <c r="B12197" s="417" t="s">
        <v>2627</v>
      </c>
      <c r="C12197" s="417" t="s">
        <v>26950</v>
      </c>
      <c r="D12197" s="417" t="s">
        <v>83</v>
      </c>
      <c r="E12197" s="423">
        <v>194.3237920516226</v>
      </c>
      <c r="F12197" s="423">
        <v>109.3981870682851</v>
      </c>
      <c r="G12197" s="422">
        <v>398366.91276566259</v>
      </c>
      <c r="H12197" s="417" t="s">
        <v>2616</v>
      </c>
      <c r="I12197" s="417" t="s">
        <v>1392</v>
      </c>
      <c r="J12197" s="417" t="s">
        <v>26730</v>
      </c>
      <c r="K12197" s="417" t="s">
        <v>26951</v>
      </c>
      <c r="L12197" s="417"/>
      <c r="M12197" s="417" t="s">
        <v>28840</v>
      </c>
    </row>
    <row r="12198" spans="1:13" x14ac:dyDescent="0.25">
      <c r="A12198" s="417" t="s">
        <v>3385</v>
      </c>
      <c r="B12198" s="417" t="s">
        <v>2627</v>
      </c>
      <c r="C12198" s="417" t="s">
        <v>26952</v>
      </c>
      <c r="D12198" s="417" t="s">
        <v>83</v>
      </c>
      <c r="E12198" s="423">
        <v>293.46607990959859</v>
      </c>
      <c r="F12198" s="423">
        <v>111.99267676202351</v>
      </c>
      <c r="G12198" s="422">
        <v>571372.69652114075</v>
      </c>
      <c r="H12198" s="417" t="s">
        <v>2616</v>
      </c>
      <c r="I12198" s="417" t="s">
        <v>1392</v>
      </c>
      <c r="J12198" s="417" t="s">
        <v>26730</v>
      </c>
      <c r="K12198" s="417" t="s">
        <v>26953</v>
      </c>
      <c r="L12198" s="417"/>
      <c r="M12198" s="417" t="s">
        <v>28840</v>
      </c>
    </row>
    <row r="12199" spans="1:13" x14ac:dyDescent="0.25">
      <c r="A12199" s="417" t="s">
        <v>3385</v>
      </c>
      <c r="B12199" s="417" t="s">
        <v>2627</v>
      </c>
      <c r="C12199" s="417" t="s">
        <v>26954</v>
      </c>
      <c r="D12199" s="417" t="s">
        <v>989</v>
      </c>
      <c r="E12199" s="423">
        <v>0.668645445659794</v>
      </c>
      <c r="F12199" s="423">
        <v>7.926592765193953E-2</v>
      </c>
      <c r="G12199" s="422">
        <v>1883.827313872576</v>
      </c>
      <c r="H12199" s="417" t="s">
        <v>2616</v>
      </c>
      <c r="I12199" s="417" t="s">
        <v>1392</v>
      </c>
      <c r="J12199" s="417" t="s">
        <v>25737</v>
      </c>
      <c r="K12199" s="417" t="s">
        <v>26955</v>
      </c>
      <c r="L12199" s="417"/>
      <c r="M12199" s="417" t="s">
        <v>28840</v>
      </c>
    </row>
    <row r="12200" spans="1:13" x14ac:dyDescent="0.25">
      <c r="A12200" s="417" t="s">
        <v>3385</v>
      </c>
      <c r="B12200" s="417" t="s">
        <v>2627</v>
      </c>
      <c r="C12200" s="417" t="s">
        <v>26956</v>
      </c>
      <c r="D12200" s="417" t="s">
        <v>989</v>
      </c>
      <c r="E12200" s="423">
        <v>0</v>
      </c>
      <c r="F12200" s="423">
        <v>0</v>
      </c>
      <c r="G12200" s="422">
        <v>0</v>
      </c>
      <c r="H12200" s="417" t="s">
        <v>2616</v>
      </c>
      <c r="I12200" s="417" t="s">
        <v>1392</v>
      </c>
      <c r="J12200" s="417" t="s">
        <v>25737</v>
      </c>
      <c r="K12200" s="417" t="s">
        <v>26957</v>
      </c>
      <c r="L12200" s="417"/>
      <c r="M12200" s="417" t="s">
        <v>28840</v>
      </c>
    </row>
    <row r="12201" spans="1:13" x14ac:dyDescent="0.25">
      <c r="A12201" s="417" t="s">
        <v>3385</v>
      </c>
      <c r="B12201" s="417" t="s">
        <v>2627</v>
      </c>
      <c r="C12201" s="417" t="s">
        <v>26958</v>
      </c>
      <c r="D12201" s="417" t="s">
        <v>88</v>
      </c>
      <c r="E12201" s="423">
        <v>1.0387582210116311</v>
      </c>
      <c r="F12201" s="423">
        <v>6.6284134397633964E-3</v>
      </c>
      <c r="G12201" s="422">
        <v>1928.235019503637</v>
      </c>
      <c r="H12201" s="417" t="s">
        <v>2616</v>
      </c>
      <c r="I12201" s="417" t="s">
        <v>1392</v>
      </c>
      <c r="J12201" s="417" t="s">
        <v>25757</v>
      </c>
      <c r="K12201" s="417" t="s">
        <v>26959</v>
      </c>
      <c r="L12201" s="417"/>
      <c r="M12201" s="417" t="s">
        <v>28840</v>
      </c>
    </row>
    <row r="12202" spans="1:13" x14ac:dyDescent="0.25">
      <c r="A12202" s="417" t="s">
        <v>3385</v>
      </c>
      <c r="B12202" s="417" t="s">
        <v>2627</v>
      </c>
      <c r="C12202" s="417" t="s">
        <v>26960</v>
      </c>
      <c r="D12202" s="417" t="s">
        <v>88</v>
      </c>
      <c r="E12202" s="423">
        <v>1.0885063331091001</v>
      </c>
      <c r="F12202" s="423">
        <v>8.456466071054658E-3</v>
      </c>
      <c r="G12202" s="422">
        <v>2002.388614996969</v>
      </c>
      <c r="H12202" s="417" t="s">
        <v>2616</v>
      </c>
      <c r="I12202" s="417" t="s">
        <v>1392</v>
      </c>
      <c r="J12202" s="417" t="s">
        <v>25757</v>
      </c>
      <c r="K12202" s="417" t="s">
        <v>26961</v>
      </c>
      <c r="L12202" s="417"/>
      <c r="M12202" s="417" t="s">
        <v>28840</v>
      </c>
    </row>
    <row r="12203" spans="1:13" x14ac:dyDescent="0.25">
      <c r="A12203" s="417" t="s">
        <v>3385</v>
      </c>
      <c r="B12203" s="417" t="s">
        <v>2627</v>
      </c>
      <c r="C12203" s="417" t="s">
        <v>26962</v>
      </c>
      <c r="D12203" s="417" t="s">
        <v>88</v>
      </c>
      <c r="E12203" s="423">
        <v>1.1203218039952609</v>
      </c>
      <c r="F12203" s="423">
        <v>1.1843049094476071E-2</v>
      </c>
      <c r="G12203" s="422">
        <v>2077.7838842766441</v>
      </c>
      <c r="H12203" s="417" t="s">
        <v>2616</v>
      </c>
      <c r="I12203" s="417" t="s">
        <v>1392</v>
      </c>
      <c r="J12203" s="417" t="s">
        <v>25757</v>
      </c>
      <c r="K12203" s="417" t="s">
        <v>26963</v>
      </c>
      <c r="L12203" s="417"/>
      <c r="M12203" s="417" t="s">
        <v>28840</v>
      </c>
    </row>
    <row r="12204" spans="1:13" x14ac:dyDescent="0.25">
      <c r="A12204" s="417" t="s">
        <v>3385</v>
      </c>
      <c r="B12204" s="417" t="s">
        <v>2627</v>
      </c>
      <c r="C12204" s="417" t="s">
        <v>26964</v>
      </c>
      <c r="D12204" s="417" t="s">
        <v>88</v>
      </c>
      <c r="E12204" s="423">
        <v>1.1111067149149241</v>
      </c>
      <c r="F12204" s="423">
        <v>1.038710920544134E-2</v>
      </c>
      <c r="G12204" s="422">
        <v>2058.45089701181</v>
      </c>
      <c r="H12204" s="417" t="s">
        <v>2616</v>
      </c>
      <c r="I12204" s="417" t="s">
        <v>1392</v>
      </c>
      <c r="J12204" s="417" t="s">
        <v>25476</v>
      </c>
      <c r="K12204" s="417" t="s">
        <v>26965</v>
      </c>
      <c r="L12204" s="417"/>
      <c r="M12204" s="417" t="s">
        <v>28840</v>
      </c>
    </row>
    <row r="12205" spans="1:13" x14ac:dyDescent="0.25">
      <c r="A12205" s="417" t="s">
        <v>3385</v>
      </c>
      <c r="B12205" s="417" t="s">
        <v>2627</v>
      </c>
      <c r="C12205" s="417" t="s">
        <v>26966</v>
      </c>
      <c r="D12205" s="417" t="s">
        <v>989</v>
      </c>
      <c r="E12205" s="423">
        <v>0</v>
      </c>
      <c r="F12205" s="423">
        <v>0</v>
      </c>
      <c r="G12205" s="422">
        <v>0</v>
      </c>
      <c r="H12205" s="417" t="s">
        <v>2616</v>
      </c>
      <c r="I12205" s="417" t="s">
        <v>1392</v>
      </c>
      <c r="J12205" s="417" t="s">
        <v>25737</v>
      </c>
      <c r="K12205" s="417" t="s">
        <v>26967</v>
      </c>
      <c r="L12205" s="417"/>
      <c r="M12205" s="417" t="s">
        <v>28840</v>
      </c>
    </row>
    <row r="12206" spans="1:13" x14ac:dyDescent="0.25">
      <c r="A12206" s="417" t="s">
        <v>3385</v>
      </c>
      <c r="B12206" s="417" t="s">
        <v>2627</v>
      </c>
      <c r="C12206" s="417" t="s">
        <v>26968</v>
      </c>
      <c r="D12206" s="417" t="s">
        <v>989</v>
      </c>
      <c r="E12206" s="423">
        <v>2.883739615392245</v>
      </c>
      <c r="F12206" s="423">
        <v>0.16973173544770831</v>
      </c>
      <c r="G12206" s="422">
        <v>6006.8652905048866</v>
      </c>
      <c r="H12206" s="417" t="s">
        <v>2616</v>
      </c>
      <c r="I12206" s="417" t="s">
        <v>1392</v>
      </c>
      <c r="J12206" s="417" t="s">
        <v>25737</v>
      </c>
      <c r="K12206" s="417" t="s">
        <v>26969</v>
      </c>
      <c r="L12206" s="417"/>
      <c r="M12206" s="417" t="s">
        <v>28840</v>
      </c>
    </row>
    <row r="12207" spans="1:13" x14ac:dyDescent="0.25">
      <c r="A12207" s="417" t="s">
        <v>3385</v>
      </c>
      <c r="B12207" s="417" t="s">
        <v>2627</v>
      </c>
      <c r="C12207" s="417" t="s">
        <v>26970</v>
      </c>
      <c r="D12207" s="417" t="s">
        <v>989</v>
      </c>
      <c r="E12207" s="423">
        <v>0.81469446603154017</v>
      </c>
      <c r="F12207" s="423">
        <v>9.5757717251445135E-2</v>
      </c>
      <c r="G12207" s="422">
        <v>2836.9817583845452</v>
      </c>
      <c r="H12207" s="417" t="s">
        <v>2616</v>
      </c>
      <c r="I12207" s="417" t="s">
        <v>1392</v>
      </c>
      <c r="J12207" s="417" t="s">
        <v>25737</v>
      </c>
      <c r="K12207" s="417" t="s">
        <v>26971</v>
      </c>
      <c r="L12207" s="417"/>
      <c r="M12207" s="417" t="s">
        <v>28840</v>
      </c>
    </row>
    <row r="12208" spans="1:13" x14ac:dyDescent="0.25">
      <c r="A12208" s="417" t="s">
        <v>3385</v>
      </c>
      <c r="B12208" s="417" t="s">
        <v>2627</v>
      </c>
      <c r="C12208" s="417" t="s">
        <v>26972</v>
      </c>
      <c r="D12208" s="417" t="s">
        <v>989</v>
      </c>
      <c r="E12208" s="423">
        <v>0</v>
      </c>
      <c r="F12208" s="423">
        <v>0</v>
      </c>
      <c r="G12208" s="422">
        <v>0</v>
      </c>
      <c r="H12208" s="417" t="s">
        <v>2616</v>
      </c>
      <c r="I12208" s="417" t="s">
        <v>1392</v>
      </c>
      <c r="J12208" s="417" t="s">
        <v>25737</v>
      </c>
      <c r="K12208" s="417" t="s">
        <v>26973</v>
      </c>
      <c r="L12208" s="417"/>
      <c r="M12208" s="417" t="s">
        <v>28840</v>
      </c>
    </row>
    <row r="12209" spans="1:13" x14ac:dyDescent="0.25">
      <c r="A12209" s="417" t="s">
        <v>3385</v>
      </c>
      <c r="B12209" s="417" t="s">
        <v>2627</v>
      </c>
      <c r="C12209" s="417" t="s">
        <v>26974</v>
      </c>
      <c r="D12209" s="417" t="s">
        <v>989</v>
      </c>
      <c r="E12209" s="423">
        <v>355.04271541031761</v>
      </c>
      <c r="F12209" s="423">
        <v>21.130293571622719</v>
      </c>
      <c r="G12209" s="422">
        <v>727268.57653820573</v>
      </c>
      <c r="H12209" s="417" t="s">
        <v>2616</v>
      </c>
      <c r="I12209" s="417" t="s">
        <v>1392</v>
      </c>
      <c r="J12209" s="417" t="s">
        <v>25737</v>
      </c>
      <c r="K12209" s="417" t="s">
        <v>26975</v>
      </c>
      <c r="L12209" s="417"/>
      <c r="M12209" s="417" t="s">
        <v>28840</v>
      </c>
    </row>
    <row r="12210" spans="1:13" x14ac:dyDescent="0.25">
      <c r="A12210" s="417" t="s">
        <v>3385</v>
      </c>
      <c r="B12210" s="417" t="s">
        <v>2627</v>
      </c>
      <c r="C12210" s="417" t="s">
        <v>26976</v>
      </c>
      <c r="D12210" s="417" t="s">
        <v>989</v>
      </c>
      <c r="E12210" s="423">
        <v>0</v>
      </c>
      <c r="F12210" s="423">
        <v>0</v>
      </c>
      <c r="G12210" s="422">
        <v>0</v>
      </c>
      <c r="H12210" s="417" t="s">
        <v>2616</v>
      </c>
      <c r="I12210" s="417" t="s">
        <v>1392</v>
      </c>
      <c r="J12210" s="417" t="s">
        <v>25737</v>
      </c>
      <c r="K12210" s="417" t="s">
        <v>26977</v>
      </c>
      <c r="L12210" s="417"/>
      <c r="M12210" s="417" t="s">
        <v>28840</v>
      </c>
    </row>
    <row r="12211" spans="1:13" x14ac:dyDescent="0.25">
      <c r="A12211" s="417" t="s">
        <v>3385</v>
      </c>
      <c r="B12211" s="417" t="s">
        <v>2627</v>
      </c>
      <c r="C12211" s="417" t="s">
        <v>26978</v>
      </c>
      <c r="D12211" s="417" t="s">
        <v>989</v>
      </c>
      <c r="E12211" s="423">
        <v>122.21835561463379</v>
      </c>
      <c r="F12211" s="423">
        <v>12.80819469005146</v>
      </c>
      <c r="G12211" s="422">
        <v>370597.09618475678</v>
      </c>
      <c r="H12211" s="417" t="s">
        <v>2616</v>
      </c>
      <c r="I12211" s="417" t="s">
        <v>1392</v>
      </c>
      <c r="J12211" s="417" t="s">
        <v>25737</v>
      </c>
      <c r="K12211" s="417" t="s">
        <v>26979</v>
      </c>
      <c r="L12211" s="417"/>
      <c r="M12211" s="417" t="s">
        <v>28840</v>
      </c>
    </row>
    <row r="12212" spans="1:13" x14ac:dyDescent="0.25">
      <c r="A12212" s="417" t="s">
        <v>3385</v>
      </c>
      <c r="B12212" s="417" t="s">
        <v>2627</v>
      </c>
      <c r="C12212" s="417" t="s">
        <v>26980</v>
      </c>
      <c r="D12212" s="417" t="s">
        <v>989</v>
      </c>
      <c r="E12212" s="423">
        <v>0</v>
      </c>
      <c r="F12212" s="423">
        <v>0</v>
      </c>
      <c r="G12212" s="422">
        <v>0</v>
      </c>
      <c r="H12212" s="417" t="s">
        <v>2616</v>
      </c>
      <c r="I12212" s="417" t="s">
        <v>1392</v>
      </c>
      <c r="J12212" s="417" t="s">
        <v>25737</v>
      </c>
      <c r="K12212" s="417" t="s">
        <v>26981</v>
      </c>
      <c r="L12212" s="417"/>
      <c r="M12212" s="417" t="s">
        <v>28840</v>
      </c>
    </row>
    <row r="12213" spans="1:13" x14ac:dyDescent="0.25">
      <c r="A12213" s="417" t="s">
        <v>3385</v>
      </c>
      <c r="B12213" s="417" t="s">
        <v>2627</v>
      </c>
      <c r="C12213" s="417" t="s">
        <v>26982</v>
      </c>
      <c r="D12213" s="417" t="s">
        <v>989</v>
      </c>
      <c r="E12213" s="423">
        <v>373.90853259509748</v>
      </c>
      <c r="F12213" s="423">
        <v>21.614077899893921</v>
      </c>
      <c r="G12213" s="422">
        <v>766654.36322060344</v>
      </c>
      <c r="H12213" s="417" t="s">
        <v>2616</v>
      </c>
      <c r="I12213" s="417" t="s">
        <v>1392</v>
      </c>
      <c r="J12213" s="417" t="s">
        <v>25737</v>
      </c>
      <c r="K12213" s="417" t="s">
        <v>26983</v>
      </c>
      <c r="L12213" s="417"/>
      <c r="M12213" s="417" t="s">
        <v>28840</v>
      </c>
    </row>
    <row r="12214" spans="1:13" x14ac:dyDescent="0.25">
      <c r="A12214" s="417" t="s">
        <v>3385</v>
      </c>
      <c r="B12214" s="417" t="s">
        <v>2627</v>
      </c>
      <c r="C12214" s="417" t="s">
        <v>26984</v>
      </c>
      <c r="D12214" s="417" t="s">
        <v>989</v>
      </c>
      <c r="E12214" s="423">
        <v>141.0841727938153</v>
      </c>
      <c r="F12214" s="423">
        <v>13.29197901835531</v>
      </c>
      <c r="G12214" s="422">
        <v>409982.88217078109</v>
      </c>
      <c r="H12214" s="417" t="s">
        <v>2616</v>
      </c>
      <c r="I12214" s="417" t="s">
        <v>1392</v>
      </c>
      <c r="J12214" s="417" t="s">
        <v>25737</v>
      </c>
      <c r="K12214" s="417" t="s">
        <v>26985</v>
      </c>
      <c r="L12214" s="417"/>
      <c r="M12214" s="417" t="s">
        <v>28840</v>
      </c>
    </row>
    <row r="12215" spans="1:13" x14ac:dyDescent="0.25">
      <c r="A12215" s="417" t="s">
        <v>3385</v>
      </c>
      <c r="B12215" s="417" t="s">
        <v>2627</v>
      </c>
      <c r="C12215" s="417" t="s">
        <v>26986</v>
      </c>
      <c r="D12215" s="417" t="s">
        <v>88</v>
      </c>
      <c r="E12215" s="423">
        <v>2.2137623210750541</v>
      </c>
      <c r="F12215" s="423">
        <v>6.1074489403436141E-2</v>
      </c>
      <c r="G12215" s="422">
        <v>7749.4159634203443</v>
      </c>
      <c r="H12215" s="417" t="s">
        <v>2616</v>
      </c>
      <c r="I12215" s="417" t="s">
        <v>1392</v>
      </c>
      <c r="J12215" s="417" t="s">
        <v>25737</v>
      </c>
      <c r="K12215" s="417" t="s">
        <v>26987</v>
      </c>
      <c r="L12215" s="417"/>
      <c r="M12215" s="417" t="s">
        <v>28840</v>
      </c>
    </row>
    <row r="12216" spans="1:13" x14ac:dyDescent="0.25">
      <c r="A12216" s="417" t="s">
        <v>3385</v>
      </c>
      <c r="B12216" s="417" t="s">
        <v>2627</v>
      </c>
      <c r="C12216" s="417" t="s">
        <v>26988</v>
      </c>
      <c r="D12216" s="417" t="s">
        <v>88</v>
      </c>
      <c r="E12216" s="423">
        <v>2.3161064770910841E-2</v>
      </c>
      <c r="F12216" s="423">
        <v>1.749689250697718E-3</v>
      </c>
      <c r="G12216" s="422">
        <v>134.79431301898109</v>
      </c>
      <c r="H12216" s="417" t="s">
        <v>2616</v>
      </c>
      <c r="I12216" s="417" t="s">
        <v>1392</v>
      </c>
      <c r="J12216" s="417" t="s">
        <v>26730</v>
      </c>
      <c r="K12216" s="417" t="s">
        <v>26989</v>
      </c>
      <c r="L12216" s="417"/>
      <c r="M12216" s="417" t="s">
        <v>28840</v>
      </c>
    </row>
    <row r="12217" spans="1:13" x14ac:dyDescent="0.25">
      <c r="A12217" s="417" t="s">
        <v>3385</v>
      </c>
      <c r="B12217" s="417" t="s">
        <v>2627</v>
      </c>
      <c r="C12217" s="417" t="s">
        <v>26990</v>
      </c>
      <c r="D12217" s="417" t="s">
        <v>83</v>
      </c>
      <c r="E12217" s="423">
        <v>8.6651776260094042</v>
      </c>
      <c r="F12217" s="423">
        <v>0.42326044953409953</v>
      </c>
      <c r="G12217" s="422">
        <v>64374.085786065087</v>
      </c>
      <c r="H12217" s="417" t="s">
        <v>2616</v>
      </c>
      <c r="I12217" s="417" t="s">
        <v>1392</v>
      </c>
      <c r="J12217" s="417" t="s">
        <v>25206</v>
      </c>
      <c r="K12217" s="417" t="s">
        <v>26991</v>
      </c>
      <c r="L12217" s="417"/>
      <c r="M12217" s="417" t="s">
        <v>28840</v>
      </c>
    </row>
    <row r="12218" spans="1:13" x14ac:dyDescent="0.25">
      <c r="A12218" s="417" t="s">
        <v>3385</v>
      </c>
      <c r="B12218" s="417" t="s">
        <v>2627</v>
      </c>
      <c r="C12218" s="417" t="s">
        <v>26992</v>
      </c>
      <c r="D12218" s="417" t="s">
        <v>83</v>
      </c>
      <c r="E12218" s="423">
        <v>7.6010330032485847</v>
      </c>
      <c r="F12218" s="423">
        <v>0.37128109599811482</v>
      </c>
      <c r="G12218" s="422">
        <v>61209.829626264618</v>
      </c>
      <c r="H12218" s="417" t="s">
        <v>2616</v>
      </c>
      <c r="I12218" s="417" t="s">
        <v>1392</v>
      </c>
      <c r="J12218" s="417" t="s">
        <v>25206</v>
      </c>
      <c r="K12218" s="417" t="s">
        <v>26993</v>
      </c>
      <c r="L12218" s="417"/>
      <c r="M12218" s="417" t="s">
        <v>28840</v>
      </c>
    </row>
    <row r="12219" spans="1:13" x14ac:dyDescent="0.25">
      <c r="A12219" s="417" t="s">
        <v>3385</v>
      </c>
      <c r="B12219" s="417" t="s">
        <v>2627</v>
      </c>
      <c r="C12219" s="417" t="s">
        <v>26994</v>
      </c>
      <c r="D12219" s="417" t="s">
        <v>83</v>
      </c>
      <c r="E12219" s="423">
        <v>11.71711244278452</v>
      </c>
      <c r="F12219" s="423">
        <v>0.49952792068651752</v>
      </c>
      <c r="G12219" s="422">
        <v>54638.7378106217</v>
      </c>
      <c r="H12219" s="417" t="s">
        <v>2616</v>
      </c>
      <c r="I12219" s="417" t="s">
        <v>1392</v>
      </c>
      <c r="J12219" s="417" t="s">
        <v>25206</v>
      </c>
      <c r="K12219" s="417" t="s">
        <v>26995</v>
      </c>
      <c r="L12219" s="417"/>
      <c r="M12219" s="417" t="s">
        <v>28840</v>
      </c>
    </row>
    <row r="12220" spans="1:13" x14ac:dyDescent="0.25">
      <c r="A12220" s="417" t="s">
        <v>3385</v>
      </c>
      <c r="B12220" s="417" t="s">
        <v>2627</v>
      </c>
      <c r="C12220" s="417" t="s">
        <v>26996</v>
      </c>
      <c r="D12220" s="417" t="s">
        <v>83</v>
      </c>
      <c r="E12220" s="423">
        <v>10.651920402839711</v>
      </c>
      <c r="F12220" s="423">
        <v>0.45411629158986472</v>
      </c>
      <c r="G12220" s="422">
        <v>52218.612565115764</v>
      </c>
      <c r="H12220" s="417" t="s">
        <v>2616</v>
      </c>
      <c r="I12220" s="417" t="s">
        <v>1392</v>
      </c>
      <c r="J12220" s="417" t="s">
        <v>25206</v>
      </c>
      <c r="K12220" s="417" t="s">
        <v>26997</v>
      </c>
      <c r="L12220" s="417"/>
      <c r="M12220" s="417" t="s">
        <v>28840</v>
      </c>
    </row>
    <row r="12221" spans="1:13" x14ac:dyDescent="0.25">
      <c r="A12221" s="417" t="s">
        <v>3385</v>
      </c>
      <c r="B12221" s="417" t="s">
        <v>2627</v>
      </c>
      <c r="C12221" s="417" t="s">
        <v>26998</v>
      </c>
      <c r="D12221" s="417" t="s">
        <v>83</v>
      </c>
      <c r="E12221" s="423">
        <v>16.18797226525632</v>
      </c>
      <c r="F12221" s="423">
        <v>1.22278408716586</v>
      </c>
      <c r="G12221" s="422">
        <v>97890.072214658852</v>
      </c>
      <c r="H12221" s="417" t="s">
        <v>2616</v>
      </c>
      <c r="I12221" s="417" t="s">
        <v>1392</v>
      </c>
      <c r="J12221" s="417" t="s">
        <v>25206</v>
      </c>
      <c r="K12221" s="417" t="s">
        <v>26999</v>
      </c>
      <c r="L12221" s="417"/>
      <c r="M12221" s="417" t="s">
        <v>28840</v>
      </c>
    </row>
    <row r="12222" spans="1:13" x14ac:dyDescent="0.25">
      <c r="A12222" s="417" t="s">
        <v>3385</v>
      </c>
      <c r="B12222" s="417" t="s">
        <v>2627</v>
      </c>
      <c r="C12222" s="417" t="s">
        <v>27000</v>
      </c>
      <c r="D12222" s="417" t="s">
        <v>83</v>
      </c>
      <c r="E12222" s="423">
        <v>20.578148912985519</v>
      </c>
      <c r="F12222" s="423">
        <v>1.17722506572651</v>
      </c>
      <c r="G12222" s="422">
        <v>117077.950963246</v>
      </c>
      <c r="H12222" s="417" t="s">
        <v>2616</v>
      </c>
      <c r="I12222" s="417" t="s">
        <v>1392</v>
      </c>
      <c r="J12222" s="417" t="s">
        <v>25206</v>
      </c>
      <c r="K12222" s="417" t="s">
        <v>27001</v>
      </c>
      <c r="L12222" s="417"/>
      <c r="M12222" s="417" t="s">
        <v>28840</v>
      </c>
    </row>
    <row r="12223" spans="1:13" x14ac:dyDescent="0.25">
      <c r="A12223" s="417" t="s">
        <v>3385</v>
      </c>
      <c r="B12223" s="417" t="s">
        <v>2627</v>
      </c>
      <c r="C12223" s="417" t="s">
        <v>27002</v>
      </c>
      <c r="D12223" s="417" t="s">
        <v>83</v>
      </c>
      <c r="E12223" s="423">
        <v>18.194013807519649</v>
      </c>
      <c r="F12223" s="423">
        <v>1.0870220230959271</v>
      </c>
      <c r="G12223" s="422">
        <v>68749.523389934024</v>
      </c>
      <c r="H12223" s="417" t="s">
        <v>2616</v>
      </c>
      <c r="I12223" s="417" t="s">
        <v>1392</v>
      </c>
      <c r="J12223" s="417" t="s">
        <v>25206</v>
      </c>
      <c r="K12223" s="417" t="s">
        <v>27003</v>
      </c>
      <c r="L12223" s="417"/>
      <c r="M12223" s="417" t="s">
        <v>28840</v>
      </c>
    </row>
    <row r="12224" spans="1:13" x14ac:dyDescent="0.25">
      <c r="A12224" s="417" t="s">
        <v>3385</v>
      </c>
      <c r="B12224" s="417" t="s">
        <v>2627</v>
      </c>
      <c r="C12224" s="417" t="s">
        <v>27004</v>
      </c>
      <c r="D12224" s="417" t="s">
        <v>83</v>
      </c>
      <c r="E12224" s="423">
        <v>15.404127235217191</v>
      </c>
      <c r="F12224" s="423">
        <v>1.01645537645211</v>
      </c>
      <c r="G12224" s="422">
        <v>67133.562628219806</v>
      </c>
      <c r="H12224" s="417" t="s">
        <v>2616</v>
      </c>
      <c r="I12224" s="417" t="s">
        <v>1392</v>
      </c>
      <c r="J12224" s="417" t="s">
        <v>25206</v>
      </c>
      <c r="K12224" s="417" t="s">
        <v>27005</v>
      </c>
      <c r="L12224" s="417"/>
      <c r="M12224" s="417" t="s">
        <v>28840</v>
      </c>
    </row>
    <row r="12225" spans="1:13" x14ac:dyDescent="0.25">
      <c r="A12225" s="417" t="s">
        <v>3385</v>
      </c>
      <c r="B12225" s="417" t="s">
        <v>2627</v>
      </c>
      <c r="C12225" s="417" t="s">
        <v>27006</v>
      </c>
      <c r="D12225" s="417" t="s">
        <v>83</v>
      </c>
      <c r="E12225" s="423">
        <v>2.675680318440568</v>
      </c>
      <c r="F12225" s="423">
        <v>3.3998446426536222</v>
      </c>
      <c r="G12225" s="422">
        <v>35433.355321524868</v>
      </c>
      <c r="H12225" s="417" t="s">
        <v>2616</v>
      </c>
      <c r="I12225" s="417" t="s">
        <v>1392</v>
      </c>
      <c r="J12225" s="417" t="s">
        <v>25740</v>
      </c>
      <c r="K12225" s="417" t="s">
        <v>27007</v>
      </c>
      <c r="L12225" s="417"/>
      <c r="M12225" s="417" t="s">
        <v>28840</v>
      </c>
    </row>
    <row r="12226" spans="1:13" x14ac:dyDescent="0.25">
      <c r="A12226" s="417" t="s">
        <v>3385</v>
      </c>
      <c r="B12226" s="417" t="s">
        <v>2627</v>
      </c>
      <c r="C12226" s="417" t="s">
        <v>27008</v>
      </c>
      <c r="D12226" s="417" t="s">
        <v>83</v>
      </c>
      <c r="E12226" s="423">
        <v>83.290675150310776</v>
      </c>
      <c r="F12226" s="423">
        <v>53.651571621004152</v>
      </c>
      <c r="G12226" s="422">
        <v>269479.4775861188</v>
      </c>
      <c r="H12226" s="417" t="s">
        <v>2616</v>
      </c>
      <c r="I12226" s="417" t="s">
        <v>1392</v>
      </c>
      <c r="J12226" s="417" t="s">
        <v>26730</v>
      </c>
      <c r="K12226" s="417" t="s">
        <v>27009</v>
      </c>
      <c r="L12226" s="417"/>
      <c r="M12226" s="417" t="s">
        <v>28840</v>
      </c>
    </row>
    <row r="12227" spans="1:13" x14ac:dyDescent="0.25">
      <c r="A12227" s="417" t="s">
        <v>3385</v>
      </c>
      <c r="B12227" s="417" t="s">
        <v>2627</v>
      </c>
      <c r="C12227" s="417" t="s">
        <v>27010</v>
      </c>
      <c r="D12227" s="417" t="s">
        <v>83</v>
      </c>
      <c r="E12227" s="423">
        <v>93.83364506050502</v>
      </c>
      <c r="F12227" s="423">
        <v>145.61992289160671</v>
      </c>
      <c r="G12227" s="422">
        <v>314298.68395317072</v>
      </c>
      <c r="H12227" s="417" t="s">
        <v>2616</v>
      </c>
      <c r="I12227" s="417" t="s">
        <v>1392</v>
      </c>
      <c r="J12227" s="417" t="s">
        <v>26730</v>
      </c>
      <c r="K12227" s="417" t="s">
        <v>27011</v>
      </c>
      <c r="L12227" s="417"/>
      <c r="M12227" s="417" t="s">
        <v>28840</v>
      </c>
    </row>
    <row r="12228" spans="1:13" x14ac:dyDescent="0.25">
      <c r="A12228" s="417" t="s">
        <v>3385</v>
      </c>
      <c r="B12228" s="417" t="s">
        <v>2627</v>
      </c>
      <c r="C12228" s="417" t="s">
        <v>27012</v>
      </c>
      <c r="D12228" s="417" t="s">
        <v>83</v>
      </c>
      <c r="E12228" s="423">
        <v>61.994303850451487</v>
      </c>
      <c r="F12228" s="423">
        <v>45.442328480390572</v>
      </c>
      <c r="G12228" s="422">
        <v>217101.11225703571</v>
      </c>
      <c r="H12228" s="417" t="s">
        <v>2616</v>
      </c>
      <c r="I12228" s="417" t="s">
        <v>1392</v>
      </c>
      <c r="J12228" s="417" t="s">
        <v>26730</v>
      </c>
      <c r="K12228" s="417" t="s">
        <v>27013</v>
      </c>
      <c r="L12228" s="417"/>
      <c r="M12228" s="417" t="s">
        <v>28840</v>
      </c>
    </row>
    <row r="12229" spans="1:13" x14ac:dyDescent="0.25">
      <c r="A12229" s="417" t="s">
        <v>3385</v>
      </c>
      <c r="B12229" s="417" t="s">
        <v>2627</v>
      </c>
      <c r="C12229" s="417" t="s">
        <v>27014</v>
      </c>
      <c r="D12229" s="417" t="s">
        <v>83</v>
      </c>
      <c r="E12229" s="423">
        <v>57.3708757339366</v>
      </c>
      <c r="F12229" s="423">
        <v>5.2365754043504742</v>
      </c>
      <c r="G12229" s="422">
        <v>197241.10885322321</v>
      </c>
      <c r="H12229" s="417" t="s">
        <v>2616</v>
      </c>
      <c r="I12229" s="417" t="s">
        <v>1392</v>
      </c>
      <c r="J12229" s="417" t="s">
        <v>26730</v>
      </c>
      <c r="K12229" s="417" t="s">
        <v>27015</v>
      </c>
      <c r="L12229" s="417"/>
      <c r="M12229" s="417" t="s">
        <v>28840</v>
      </c>
    </row>
    <row r="12230" spans="1:13" x14ac:dyDescent="0.25">
      <c r="A12230" s="417" t="s">
        <v>3385</v>
      </c>
      <c r="B12230" s="417" t="s">
        <v>2627</v>
      </c>
      <c r="C12230" s="417" t="s">
        <v>27016</v>
      </c>
      <c r="D12230" s="417" t="s">
        <v>83</v>
      </c>
      <c r="E12230" s="423">
        <v>71.254707821630717</v>
      </c>
      <c r="F12230" s="423">
        <v>126.2226106684369</v>
      </c>
      <c r="G12230" s="422">
        <v>256468.0040841595</v>
      </c>
      <c r="H12230" s="417" t="s">
        <v>2616</v>
      </c>
      <c r="I12230" s="417" t="s">
        <v>1392</v>
      </c>
      <c r="J12230" s="417" t="s">
        <v>26730</v>
      </c>
      <c r="K12230" s="417" t="s">
        <v>27017</v>
      </c>
      <c r="L12230" s="417"/>
      <c r="M12230" s="417" t="s">
        <v>28840</v>
      </c>
    </row>
    <row r="12231" spans="1:13" x14ac:dyDescent="0.25">
      <c r="A12231" s="417" t="s">
        <v>3385</v>
      </c>
      <c r="B12231" s="417" t="s">
        <v>2627</v>
      </c>
      <c r="C12231" s="417" t="s">
        <v>27018</v>
      </c>
      <c r="D12231" s="417" t="s">
        <v>83</v>
      </c>
      <c r="E12231" s="423">
        <v>50.325329590317452</v>
      </c>
      <c r="F12231" s="423">
        <v>4.5934871967877751</v>
      </c>
      <c r="G12231" s="422">
        <v>176843.21824954581</v>
      </c>
      <c r="H12231" s="417" t="s">
        <v>2616</v>
      </c>
      <c r="I12231" s="417" t="s">
        <v>1392</v>
      </c>
      <c r="J12231" s="417" t="s">
        <v>26730</v>
      </c>
      <c r="K12231" s="417" t="s">
        <v>27019</v>
      </c>
      <c r="L12231" s="417"/>
      <c r="M12231" s="417" t="s">
        <v>28840</v>
      </c>
    </row>
    <row r="12232" spans="1:13" x14ac:dyDescent="0.25">
      <c r="A12232" s="417" t="s">
        <v>3385</v>
      </c>
      <c r="B12232" s="417" t="s">
        <v>2627</v>
      </c>
      <c r="C12232" s="417" t="s">
        <v>27020</v>
      </c>
      <c r="D12232" s="417" t="s">
        <v>83</v>
      </c>
      <c r="E12232" s="423">
        <v>77.059890873471673</v>
      </c>
      <c r="F12232" s="423">
        <v>97.915546975924386</v>
      </c>
      <c r="G12232" s="422">
        <v>305882.68129647092</v>
      </c>
      <c r="H12232" s="417" t="s">
        <v>2616</v>
      </c>
      <c r="I12232" s="417" t="s">
        <v>1392</v>
      </c>
      <c r="J12232" s="417" t="s">
        <v>26730</v>
      </c>
      <c r="K12232" s="417" t="s">
        <v>27021</v>
      </c>
      <c r="L12232" s="417"/>
      <c r="M12232" s="417" t="s">
        <v>28840</v>
      </c>
    </row>
    <row r="12233" spans="1:13" x14ac:dyDescent="0.25">
      <c r="A12233" s="417" t="s">
        <v>3385</v>
      </c>
      <c r="B12233" s="417" t="s">
        <v>2627</v>
      </c>
      <c r="C12233" s="417" t="s">
        <v>27022</v>
      </c>
      <c r="D12233" s="417" t="s">
        <v>83</v>
      </c>
      <c r="E12233" s="423">
        <v>77.09489294538082</v>
      </c>
      <c r="F12233" s="423">
        <v>7.0611779503955692</v>
      </c>
      <c r="G12233" s="422">
        <v>197545.30770421209</v>
      </c>
      <c r="H12233" s="417" t="s">
        <v>2616</v>
      </c>
      <c r="I12233" s="417" t="s">
        <v>1392</v>
      </c>
      <c r="J12233" s="417" t="s">
        <v>26730</v>
      </c>
      <c r="K12233" s="417" t="s">
        <v>27023</v>
      </c>
      <c r="L12233" s="417"/>
      <c r="M12233" s="417" t="s">
        <v>28840</v>
      </c>
    </row>
    <row r="12234" spans="1:13" x14ac:dyDescent="0.25">
      <c r="A12234" s="417" t="s">
        <v>3385</v>
      </c>
      <c r="B12234" s="417" t="s">
        <v>2627</v>
      </c>
      <c r="C12234" s="417" t="s">
        <v>27024</v>
      </c>
      <c r="D12234" s="417" t="s">
        <v>83</v>
      </c>
      <c r="E12234" s="423">
        <v>89.362588166290053</v>
      </c>
      <c r="F12234" s="423">
        <v>108.6437109159148</v>
      </c>
      <c r="G12234" s="422">
        <v>248462.00730574559</v>
      </c>
      <c r="H12234" s="417" t="s">
        <v>2616</v>
      </c>
      <c r="I12234" s="417" t="s">
        <v>1392</v>
      </c>
      <c r="J12234" s="417" t="s">
        <v>26730</v>
      </c>
      <c r="K12234" s="417" t="s">
        <v>27025</v>
      </c>
      <c r="L12234" s="417"/>
      <c r="M12234" s="417" t="s">
        <v>28840</v>
      </c>
    </row>
    <row r="12235" spans="1:13" x14ac:dyDescent="0.25">
      <c r="A12235" s="417" t="s">
        <v>3385</v>
      </c>
      <c r="B12235" s="417" t="s">
        <v>2627</v>
      </c>
      <c r="C12235" s="417" t="s">
        <v>27026</v>
      </c>
      <c r="D12235" s="417" t="s">
        <v>83</v>
      </c>
      <c r="E12235" s="423">
        <v>56.552246577578359</v>
      </c>
      <c r="F12235" s="423">
        <v>4.5197165602171889</v>
      </c>
      <c r="G12235" s="422">
        <v>152723.16060392201</v>
      </c>
      <c r="H12235" s="417" t="s">
        <v>2616</v>
      </c>
      <c r="I12235" s="417" t="s">
        <v>1392</v>
      </c>
      <c r="J12235" s="417" t="s">
        <v>26730</v>
      </c>
      <c r="K12235" s="417" t="s">
        <v>27027</v>
      </c>
      <c r="L12235" s="417"/>
      <c r="M12235" s="417" t="s">
        <v>28840</v>
      </c>
    </row>
    <row r="12236" spans="1:13" x14ac:dyDescent="0.25">
      <c r="A12236" s="417" t="s">
        <v>3385</v>
      </c>
      <c r="B12236" s="417" t="s">
        <v>2627</v>
      </c>
      <c r="C12236" s="417" t="s">
        <v>27028</v>
      </c>
      <c r="D12236" s="417" t="s">
        <v>83</v>
      </c>
      <c r="E12236" s="423">
        <v>51.411133281342487</v>
      </c>
      <c r="F12236" s="423">
        <v>4.1088332387912416</v>
      </c>
      <c r="G12236" s="422">
        <v>140771.2878322693</v>
      </c>
      <c r="H12236" s="417" t="s">
        <v>2616</v>
      </c>
      <c r="I12236" s="417" t="s">
        <v>1392</v>
      </c>
      <c r="J12236" s="417" t="s">
        <v>26730</v>
      </c>
      <c r="K12236" s="417" t="s">
        <v>27029</v>
      </c>
      <c r="L12236" s="417"/>
      <c r="M12236" s="417" t="s">
        <v>28840</v>
      </c>
    </row>
    <row r="12237" spans="1:13" x14ac:dyDescent="0.25">
      <c r="A12237" s="417" t="s">
        <v>3385</v>
      </c>
      <c r="B12237" s="417" t="s">
        <v>2627</v>
      </c>
      <c r="C12237" s="417" t="s">
        <v>27030</v>
      </c>
      <c r="D12237" s="417" t="s">
        <v>83</v>
      </c>
      <c r="E12237" s="423">
        <v>67.32756076613849</v>
      </c>
      <c r="F12237" s="423">
        <v>93.744602784660216</v>
      </c>
      <c r="G12237" s="422">
        <v>197445.7776505652</v>
      </c>
      <c r="H12237" s="417" t="s">
        <v>2616</v>
      </c>
      <c r="I12237" s="417" t="s">
        <v>1392</v>
      </c>
      <c r="J12237" s="417" t="s">
        <v>26730</v>
      </c>
      <c r="K12237" s="417" t="s">
        <v>27031</v>
      </c>
      <c r="L12237" s="417"/>
      <c r="M12237" s="417" t="s">
        <v>28840</v>
      </c>
    </row>
    <row r="12238" spans="1:13" x14ac:dyDescent="0.25">
      <c r="A12238" s="417" t="s">
        <v>3385</v>
      </c>
      <c r="B12238" s="417" t="s">
        <v>2627</v>
      </c>
      <c r="C12238" s="417" t="s">
        <v>27032</v>
      </c>
      <c r="D12238" s="417" t="s">
        <v>83</v>
      </c>
      <c r="E12238" s="423">
        <v>63.670851189504532</v>
      </c>
      <c r="F12238" s="423">
        <v>63.938232409550629</v>
      </c>
      <c r="G12238" s="422">
        <v>182255.43452716499</v>
      </c>
      <c r="H12238" s="417" t="s">
        <v>2616</v>
      </c>
      <c r="I12238" s="417" t="s">
        <v>1392</v>
      </c>
      <c r="J12238" s="417" t="s">
        <v>26730</v>
      </c>
      <c r="K12238" s="417" t="s">
        <v>27033</v>
      </c>
      <c r="L12238" s="417"/>
      <c r="M12238" s="417" t="s">
        <v>28840</v>
      </c>
    </row>
    <row r="12239" spans="1:13" x14ac:dyDescent="0.25">
      <c r="A12239" s="417" t="s">
        <v>3385</v>
      </c>
      <c r="B12239" s="417" t="s">
        <v>2627</v>
      </c>
      <c r="C12239" s="417" t="s">
        <v>27034</v>
      </c>
      <c r="D12239" s="417" t="s">
        <v>83</v>
      </c>
      <c r="E12239" s="423">
        <v>48.173125545763519</v>
      </c>
      <c r="F12239" s="423">
        <v>4.124268888779433</v>
      </c>
      <c r="G12239" s="422">
        <v>136438.14143956351</v>
      </c>
      <c r="H12239" s="417" t="s">
        <v>2616</v>
      </c>
      <c r="I12239" s="417" t="s">
        <v>1392</v>
      </c>
      <c r="J12239" s="417" t="s">
        <v>26730</v>
      </c>
      <c r="K12239" s="417" t="s">
        <v>27035</v>
      </c>
      <c r="L12239" s="417"/>
      <c r="M12239" s="417" t="s">
        <v>28840</v>
      </c>
    </row>
    <row r="12240" spans="1:13" x14ac:dyDescent="0.25">
      <c r="A12240" s="417" t="s">
        <v>3385</v>
      </c>
      <c r="B12240" s="417" t="s">
        <v>2627</v>
      </c>
      <c r="C12240" s="417" t="s">
        <v>27036</v>
      </c>
      <c r="D12240" s="417" t="s">
        <v>88</v>
      </c>
      <c r="E12240" s="423">
        <v>0</v>
      </c>
      <c r="F12240" s="423">
        <v>0</v>
      </c>
      <c r="G12240" s="422">
        <v>0</v>
      </c>
      <c r="H12240" s="417" t="s">
        <v>2616</v>
      </c>
      <c r="I12240" s="417" t="s">
        <v>1392</v>
      </c>
      <c r="J12240" s="417" t="s">
        <v>25737</v>
      </c>
      <c r="K12240" s="417" t="s">
        <v>27037</v>
      </c>
      <c r="L12240" s="417"/>
      <c r="M12240" s="417" t="s">
        <v>28840</v>
      </c>
    </row>
    <row r="12241" spans="1:13" x14ac:dyDescent="0.25">
      <c r="A12241" s="417" t="s">
        <v>3385</v>
      </c>
      <c r="B12241" s="417" t="s">
        <v>3405</v>
      </c>
      <c r="C12241" s="417" t="s">
        <v>27038</v>
      </c>
      <c r="D12241" s="417" t="s">
        <v>563</v>
      </c>
      <c r="E12241" s="423">
        <v>20.38529112811991</v>
      </c>
      <c r="F12241" s="423">
        <v>0.70293663614865576</v>
      </c>
      <c r="G12241" s="422">
        <v>36754.553603083077</v>
      </c>
      <c r="H12241" s="417" t="s">
        <v>2616</v>
      </c>
      <c r="I12241" s="417" t="s">
        <v>1392</v>
      </c>
      <c r="J12241" s="417" t="s">
        <v>25732</v>
      </c>
      <c r="K12241" s="417" t="s">
        <v>27039</v>
      </c>
      <c r="L12241" s="417"/>
      <c r="M12241" s="417" t="s">
        <v>28840</v>
      </c>
    </row>
    <row r="12242" spans="1:13" x14ac:dyDescent="0.25">
      <c r="A12242" s="417" t="s">
        <v>3385</v>
      </c>
      <c r="B12242" s="417" t="s">
        <v>3405</v>
      </c>
      <c r="C12242" s="417" t="s">
        <v>27040</v>
      </c>
      <c r="D12242" s="417" t="s">
        <v>989</v>
      </c>
      <c r="E12242" s="423">
        <v>833.88025075888754</v>
      </c>
      <c r="F12242" s="423">
        <v>20.746448170320399</v>
      </c>
      <c r="G12242" s="422">
        <v>1723539.286761784</v>
      </c>
      <c r="H12242" s="417" t="s">
        <v>2616</v>
      </c>
      <c r="I12242" s="417" t="s">
        <v>1392</v>
      </c>
      <c r="J12242" s="417" t="s">
        <v>25732</v>
      </c>
      <c r="K12242" s="417" t="s">
        <v>27041</v>
      </c>
      <c r="L12242" s="417"/>
      <c r="M12242" s="417" t="s">
        <v>28840</v>
      </c>
    </row>
    <row r="12243" spans="1:13" x14ac:dyDescent="0.25">
      <c r="A12243" s="417" t="s">
        <v>3385</v>
      </c>
      <c r="B12243" s="417" t="s">
        <v>3405</v>
      </c>
      <c r="C12243" s="417" t="s">
        <v>27042</v>
      </c>
      <c r="D12243" s="417" t="s">
        <v>563</v>
      </c>
      <c r="E12243" s="423">
        <v>18.71662061067833</v>
      </c>
      <c r="F12243" s="423">
        <v>0.68582974535351848</v>
      </c>
      <c r="G12243" s="422">
        <v>37784.702671281208</v>
      </c>
      <c r="H12243" s="417" t="s">
        <v>2616</v>
      </c>
      <c r="I12243" s="417" t="s">
        <v>1392</v>
      </c>
      <c r="J12243" s="417" t="s">
        <v>25732</v>
      </c>
      <c r="K12243" s="417" t="s">
        <v>27043</v>
      </c>
      <c r="L12243" s="417"/>
      <c r="M12243" s="417" t="s">
        <v>28840</v>
      </c>
    </row>
    <row r="12244" spans="1:13" x14ac:dyDescent="0.25">
      <c r="A12244" s="417" t="s">
        <v>3385</v>
      </c>
      <c r="B12244" s="417" t="s">
        <v>2627</v>
      </c>
      <c r="C12244" s="417" t="s">
        <v>27044</v>
      </c>
      <c r="D12244" s="417" t="s">
        <v>83</v>
      </c>
      <c r="E12244" s="423">
        <v>0</v>
      </c>
      <c r="F12244" s="423">
        <v>0</v>
      </c>
      <c r="G12244" s="422">
        <v>28280</v>
      </c>
      <c r="H12244" s="417" t="s">
        <v>2616</v>
      </c>
      <c r="I12244" s="417" t="s">
        <v>1392</v>
      </c>
      <c r="J12244" s="417" t="s">
        <v>25206</v>
      </c>
      <c r="K12244" s="417" t="s">
        <v>27045</v>
      </c>
      <c r="L12244" s="417"/>
      <c r="M12244" s="417" t="s">
        <v>28840</v>
      </c>
    </row>
    <row r="12245" spans="1:13" x14ac:dyDescent="0.25">
      <c r="A12245" s="417" t="s">
        <v>3385</v>
      </c>
      <c r="B12245" s="417" t="s">
        <v>2627</v>
      </c>
      <c r="C12245" s="417" t="s">
        <v>27046</v>
      </c>
      <c r="D12245" s="417" t="s">
        <v>83</v>
      </c>
      <c r="E12245" s="423">
        <v>1.9487113246727841</v>
      </c>
      <c r="F12245" s="423">
        <v>0.1871751262519851</v>
      </c>
      <c r="G12245" s="422">
        <v>11778.57974922728</v>
      </c>
      <c r="H12245" s="417" t="s">
        <v>2616</v>
      </c>
      <c r="I12245" s="417" t="s">
        <v>1392</v>
      </c>
      <c r="J12245" s="417" t="s">
        <v>25206</v>
      </c>
      <c r="K12245" s="417" t="s">
        <v>27047</v>
      </c>
      <c r="L12245" s="417"/>
      <c r="M12245" s="417" t="s">
        <v>28840</v>
      </c>
    </row>
    <row r="12246" spans="1:13" x14ac:dyDescent="0.25">
      <c r="A12246" s="417" t="s">
        <v>3385</v>
      </c>
      <c r="B12246" s="417" t="s">
        <v>2627</v>
      </c>
      <c r="C12246" s="417" t="s">
        <v>27048</v>
      </c>
      <c r="D12246" s="417" t="s">
        <v>83</v>
      </c>
      <c r="E12246" s="423">
        <v>0</v>
      </c>
      <c r="F12246" s="423">
        <v>0</v>
      </c>
      <c r="G12246" s="422">
        <v>28280</v>
      </c>
      <c r="H12246" s="417" t="s">
        <v>2616</v>
      </c>
      <c r="I12246" s="417" t="s">
        <v>1392</v>
      </c>
      <c r="J12246" s="417" t="s">
        <v>25206</v>
      </c>
      <c r="K12246" s="417" t="s">
        <v>27049</v>
      </c>
      <c r="L12246" s="417"/>
      <c r="M12246" s="417" t="s">
        <v>28840</v>
      </c>
    </row>
    <row r="12247" spans="1:13" x14ac:dyDescent="0.25">
      <c r="A12247" s="417" t="s">
        <v>3385</v>
      </c>
      <c r="B12247" s="417" t="s">
        <v>3405</v>
      </c>
      <c r="C12247" s="417" t="s">
        <v>27050</v>
      </c>
      <c r="D12247" s="417" t="s">
        <v>989</v>
      </c>
      <c r="E12247" s="423">
        <v>2024.188754629751</v>
      </c>
      <c r="F12247" s="423">
        <v>197.9307006333689</v>
      </c>
      <c r="G12247" s="422">
        <v>5140221.0805546381</v>
      </c>
      <c r="H12247" s="417" t="s">
        <v>2616</v>
      </c>
      <c r="I12247" s="417" t="s">
        <v>1392</v>
      </c>
      <c r="J12247" s="417" t="s">
        <v>25732</v>
      </c>
      <c r="K12247" s="417" t="s">
        <v>27051</v>
      </c>
      <c r="L12247" s="417"/>
      <c r="M12247" s="417" t="s">
        <v>28840</v>
      </c>
    </row>
    <row r="12248" spans="1:13" x14ac:dyDescent="0.25">
      <c r="A12248" s="417" t="s">
        <v>3385</v>
      </c>
      <c r="B12248" s="417" t="s">
        <v>3405</v>
      </c>
      <c r="C12248" s="417" t="s">
        <v>27052</v>
      </c>
      <c r="D12248" s="417" t="s">
        <v>989</v>
      </c>
      <c r="E12248" s="423">
        <v>7945.4648507361999</v>
      </c>
      <c r="F12248" s="423">
        <v>813.20345397264418</v>
      </c>
      <c r="G12248" s="422">
        <v>24190768.219364781</v>
      </c>
      <c r="H12248" s="417" t="s">
        <v>2616</v>
      </c>
      <c r="I12248" s="417" t="s">
        <v>1392</v>
      </c>
      <c r="J12248" s="417" t="s">
        <v>25732</v>
      </c>
      <c r="K12248" s="417" t="s">
        <v>27053</v>
      </c>
      <c r="L12248" s="417"/>
      <c r="M12248" s="417" t="s">
        <v>28840</v>
      </c>
    </row>
    <row r="12249" spans="1:13" x14ac:dyDescent="0.25">
      <c r="A12249" s="417" t="s">
        <v>3385</v>
      </c>
      <c r="B12249" s="417" t="s">
        <v>3405</v>
      </c>
      <c r="C12249" s="417" t="s">
        <v>27054</v>
      </c>
      <c r="D12249" s="417" t="s">
        <v>989</v>
      </c>
      <c r="E12249" s="423">
        <v>2332.4116422959651</v>
      </c>
      <c r="F12249" s="423">
        <v>202.65769603817961</v>
      </c>
      <c r="G12249" s="422">
        <v>6441982.3070951086</v>
      </c>
      <c r="H12249" s="417" t="s">
        <v>2616</v>
      </c>
      <c r="I12249" s="417" t="s">
        <v>1392</v>
      </c>
      <c r="J12249" s="417" t="s">
        <v>25732</v>
      </c>
      <c r="K12249" s="417" t="s">
        <v>27055</v>
      </c>
      <c r="L12249" s="417"/>
      <c r="M12249" s="417" t="s">
        <v>28840</v>
      </c>
    </row>
    <row r="12250" spans="1:13" x14ac:dyDescent="0.25">
      <c r="A12250" s="417" t="s">
        <v>3385</v>
      </c>
      <c r="B12250" s="417" t="s">
        <v>3405</v>
      </c>
      <c r="C12250" s="417" t="s">
        <v>27056</v>
      </c>
      <c r="D12250" s="417" t="s">
        <v>989</v>
      </c>
      <c r="E12250" s="423">
        <v>1237.428826941494</v>
      </c>
      <c r="F12250" s="423">
        <v>87.884379303121648</v>
      </c>
      <c r="G12250" s="422">
        <v>3185867.1726636868</v>
      </c>
      <c r="H12250" s="417" t="s">
        <v>2616</v>
      </c>
      <c r="I12250" s="417" t="s">
        <v>1392</v>
      </c>
      <c r="J12250" s="417" t="s">
        <v>25732</v>
      </c>
      <c r="K12250" s="417" t="s">
        <v>27057</v>
      </c>
      <c r="L12250" s="417"/>
      <c r="M12250" s="417" t="s">
        <v>28840</v>
      </c>
    </row>
    <row r="12251" spans="1:13" x14ac:dyDescent="0.25">
      <c r="A12251" s="417" t="s">
        <v>3385</v>
      </c>
      <c r="B12251" s="417" t="s">
        <v>2627</v>
      </c>
      <c r="C12251" s="417" t="s">
        <v>27058</v>
      </c>
      <c r="D12251" s="417" t="s">
        <v>83</v>
      </c>
      <c r="E12251" s="423">
        <v>156.51784916319721</v>
      </c>
      <c r="F12251" s="423">
        <v>389.02420051522478</v>
      </c>
      <c r="G12251" s="422">
        <v>547963.8950745879</v>
      </c>
      <c r="H12251" s="417" t="s">
        <v>2616</v>
      </c>
      <c r="I12251" s="417" t="s">
        <v>1392</v>
      </c>
      <c r="J12251" s="417" t="s">
        <v>26766</v>
      </c>
      <c r="K12251" s="417" t="s">
        <v>27059</v>
      </c>
      <c r="L12251" s="417"/>
      <c r="M12251" s="417" t="s">
        <v>28840</v>
      </c>
    </row>
    <row r="12252" spans="1:13" x14ac:dyDescent="0.25">
      <c r="A12252" s="417" t="s">
        <v>3385</v>
      </c>
      <c r="B12252" s="417" t="s">
        <v>2627</v>
      </c>
      <c r="C12252" s="417" t="s">
        <v>27060</v>
      </c>
      <c r="D12252" s="417" t="s">
        <v>88</v>
      </c>
      <c r="E12252" s="423">
        <v>0.34878313400368532</v>
      </c>
      <c r="F12252" s="423">
        <v>0.71247136155650304</v>
      </c>
      <c r="G12252" s="422">
        <v>1115.40070843117</v>
      </c>
      <c r="H12252" s="417" t="s">
        <v>2616</v>
      </c>
      <c r="I12252" s="417" t="s">
        <v>1392</v>
      </c>
      <c r="J12252" s="417" t="s">
        <v>26761</v>
      </c>
      <c r="K12252" s="417" t="s">
        <v>27061</v>
      </c>
      <c r="L12252" s="417"/>
      <c r="M12252" s="417" t="s">
        <v>28840</v>
      </c>
    </row>
    <row r="12253" spans="1:13" x14ac:dyDescent="0.25">
      <c r="A12253" s="417" t="s">
        <v>3385</v>
      </c>
      <c r="B12253" s="417" t="s">
        <v>2627</v>
      </c>
      <c r="C12253" s="417" t="s">
        <v>27062</v>
      </c>
      <c r="D12253" s="417" t="s">
        <v>88</v>
      </c>
      <c r="E12253" s="423">
        <v>1.661300078155371E-2</v>
      </c>
      <c r="F12253" s="423">
        <v>1.143237596511924E-2</v>
      </c>
      <c r="G12253" s="422">
        <v>53.54319141533076</v>
      </c>
      <c r="H12253" s="417" t="s">
        <v>2616</v>
      </c>
      <c r="I12253" s="417" t="s">
        <v>1392</v>
      </c>
      <c r="J12253" s="417" t="s">
        <v>25737</v>
      </c>
      <c r="K12253" s="417" t="s">
        <v>27063</v>
      </c>
      <c r="L12253" s="417"/>
      <c r="M12253" s="417" t="s">
        <v>28840</v>
      </c>
    </row>
    <row r="12254" spans="1:13" x14ac:dyDescent="0.25">
      <c r="A12254" s="417" t="s">
        <v>3385</v>
      </c>
      <c r="B12254" s="417" t="s">
        <v>2627</v>
      </c>
      <c r="C12254" s="417" t="s">
        <v>27064</v>
      </c>
      <c r="D12254" s="417" t="s">
        <v>563</v>
      </c>
      <c r="E12254" s="423">
        <v>170.73879231855821</v>
      </c>
      <c r="F12254" s="423">
        <v>34.194723622782853</v>
      </c>
      <c r="G12254" s="422">
        <v>373451.45019302651</v>
      </c>
      <c r="H12254" s="417" t="s">
        <v>2616</v>
      </c>
      <c r="I12254" s="417" t="s">
        <v>1392</v>
      </c>
      <c r="J12254" s="417" t="s">
        <v>25720</v>
      </c>
      <c r="K12254" s="417" t="s">
        <v>27065</v>
      </c>
      <c r="L12254" s="417"/>
      <c r="M12254" s="417" t="s">
        <v>28840</v>
      </c>
    </row>
    <row r="12255" spans="1:13" x14ac:dyDescent="0.25">
      <c r="A12255" s="417" t="s">
        <v>3385</v>
      </c>
      <c r="B12255" s="417" t="s">
        <v>2627</v>
      </c>
      <c r="C12255" s="417" t="s">
        <v>27066</v>
      </c>
      <c r="D12255" s="417" t="s">
        <v>563</v>
      </c>
      <c r="E12255" s="423">
        <v>96.856864371149371</v>
      </c>
      <c r="F12255" s="423">
        <v>33.764229104149017</v>
      </c>
      <c r="G12255" s="422">
        <v>229772.41816105909</v>
      </c>
      <c r="H12255" s="417" t="s">
        <v>2616</v>
      </c>
      <c r="I12255" s="417" t="s">
        <v>1392</v>
      </c>
      <c r="J12255" s="417" t="s">
        <v>25720</v>
      </c>
      <c r="K12255" s="417" t="s">
        <v>27067</v>
      </c>
      <c r="L12255" s="417"/>
      <c r="M12255" s="417" t="s">
        <v>28840</v>
      </c>
    </row>
    <row r="12256" spans="1:13" x14ac:dyDescent="0.25">
      <c r="A12256" s="417" t="s">
        <v>3385</v>
      </c>
      <c r="B12256" s="417" t="s">
        <v>3405</v>
      </c>
      <c r="C12256" s="417" t="s">
        <v>27068</v>
      </c>
      <c r="D12256" s="417" t="s">
        <v>73</v>
      </c>
      <c r="E12256" s="423">
        <v>4.0867463329664873E-3</v>
      </c>
      <c r="F12256" s="423">
        <v>9.8634741723774219E-2</v>
      </c>
      <c r="G12256" s="422">
        <v>17.029341339503699</v>
      </c>
      <c r="H12256" s="417" t="s">
        <v>2616</v>
      </c>
      <c r="I12256" s="417" t="s">
        <v>1392</v>
      </c>
      <c r="J12256" s="417" t="s">
        <v>25725</v>
      </c>
      <c r="K12256" s="417" t="s">
        <v>27069</v>
      </c>
      <c r="L12256" s="417"/>
      <c r="M12256" s="417" t="s">
        <v>28840</v>
      </c>
    </row>
    <row r="12257" spans="1:13" x14ac:dyDescent="0.25">
      <c r="A12257" s="417" t="s">
        <v>3385</v>
      </c>
      <c r="B12257" s="417" t="s">
        <v>2627</v>
      </c>
      <c r="C12257" s="417" t="s">
        <v>27070</v>
      </c>
      <c r="D12257" s="417" t="s">
        <v>83</v>
      </c>
      <c r="E12257" s="423">
        <v>2.1209349277631229</v>
      </c>
      <c r="F12257" s="423">
        <v>0.27661222596672841</v>
      </c>
      <c r="G12257" s="422">
        <v>18049.71473816672</v>
      </c>
      <c r="H12257" s="417" t="s">
        <v>2616</v>
      </c>
      <c r="I12257" s="417" t="s">
        <v>1392</v>
      </c>
      <c r="J12257" s="417" t="s">
        <v>25740</v>
      </c>
      <c r="K12257" s="417" t="s">
        <v>27071</v>
      </c>
      <c r="L12257" s="417"/>
      <c r="M12257" s="417" t="s">
        <v>28840</v>
      </c>
    </row>
    <row r="12258" spans="1:13" x14ac:dyDescent="0.25">
      <c r="A12258" s="417" t="s">
        <v>3385</v>
      </c>
      <c r="B12258" s="417" t="s">
        <v>2627</v>
      </c>
      <c r="C12258" s="417" t="s">
        <v>27072</v>
      </c>
      <c r="D12258" s="417" t="s">
        <v>83</v>
      </c>
      <c r="E12258" s="423">
        <v>6.1645440339878173</v>
      </c>
      <c r="F12258" s="423">
        <v>0.21575175386056381</v>
      </c>
      <c r="G12258" s="422">
        <v>25742.83419625448</v>
      </c>
      <c r="H12258" s="417" t="s">
        <v>2616</v>
      </c>
      <c r="I12258" s="417" t="s">
        <v>1392</v>
      </c>
      <c r="J12258" s="417" t="s">
        <v>25740</v>
      </c>
      <c r="K12258" s="417" t="s">
        <v>27073</v>
      </c>
      <c r="L12258" s="417"/>
      <c r="M12258" s="417" t="s">
        <v>28840</v>
      </c>
    </row>
    <row r="12259" spans="1:13" x14ac:dyDescent="0.25">
      <c r="A12259" s="417" t="s">
        <v>3385</v>
      </c>
      <c r="B12259" s="417" t="s">
        <v>2627</v>
      </c>
      <c r="C12259" s="417" t="s">
        <v>27074</v>
      </c>
      <c r="D12259" s="417" t="s">
        <v>83</v>
      </c>
      <c r="E12259" s="423">
        <v>2.1258385490953442</v>
      </c>
      <c r="F12259" s="423">
        <v>0.24472430482102159</v>
      </c>
      <c r="G12259" s="422">
        <v>15327.461615569249</v>
      </c>
      <c r="H12259" s="417" t="s">
        <v>2616</v>
      </c>
      <c r="I12259" s="417" t="s">
        <v>1392</v>
      </c>
      <c r="J12259" s="417" t="s">
        <v>25740</v>
      </c>
      <c r="K12259" s="417" t="s">
        <v>27075</v>
      </c>
      <c r="L12259" s="417"/>
      <c r="M12259" s="417" t="s">
        <v>28840</v>
      </c>
    </row>
    <row r="12260" spans="1:13" x14ac:dyDescent="0.25">
      <c r="A12260" s="417" t="s">
        <v>3385</v>
      </c>
      <c r="B12260" s="417" t="s">
        <v>2627</v>
      </c>
      <c r="C12260" s="417" t="s">
        <v>27076</v>
      </c>
      <c r="D12260" s="417" t="s">
        <v>83</v>
      </c>
      <c r="E12260" s="423">
        <v>5.9437928854343376</v>
      </c>
      <c r="F12260" s="423">
        <v>0.20931028876924371</v>
      </c>
      <c r="G12260" s="422">
        <v>22356.86281241287</v>
      </c>
      <c r="H12260" s="417" t="s">
        <v>2616</v>
      </c>
      <c r="I12260" s="417" t="s">
        <v>1392</v>
      </c>
      <c r="J12260" s="417" t="s">
        <v>25740</v>
      </c>
      <c r="K12260" s="417" t="s">
        <v>27077</v>
      </c>
      <c r="L12260" s="417"/>
      <c r="M12260" s="417" t="s">
        <v>28840</v>
      </c>
    </row>
    <row r="12261" spans="1:13" x14ac:dyDescent="0.25">
      <c r="A12261" s="417" t="s">
        <v>3385</v>
      </c>
      <c r="B12261" s="417" t="s">
        <v>2627</v>
      </c>
      <c r="C12261" s="417" t="s">
        <v>27078</v>
      </c>
      <c r="D12261" s="417" t="s">
        <v>83</v>
      </c>
      <c r="E12261" s="423">
        <v>2.127745517383798</v>
      </c>
      <c r="F12261" s="423">
        <v>0.2323234466228789</v>
      </c>
      <c r="G12261" s="422">
        <v>14268.807621887339</v>
      </c>
      <c r="H12261" s="417" t="s">
        <v>2616</v>
      </c>
      <c r="I12261" s="417" t="s">
        <v>1392</v>
      </c>
      <c r="J12261" s="417" t="s">
        <v>25740</v>
      </c>
      <c r="K12261" s="417" t="s">
        <v>27079</v>
      </c>
      <c r="L12261" s="417"/>
      <c r="M12261" s="417" t="s">
        <v>28840</v>
      </c>
    </row>
    <row r="12262" spans="1:13" x14ac:dyDescent="0.25">
      <c r="A12262" s="417" t="s">
        <v>3385</v>
      </c>
      <c r="B12262" s="417" t="s">
        <v>2627</v>
      </c>
      <c r="C12262" s="417" t="s">
        <v>27080</v>
      </c>
      <c r="D12262" s="417" t="s">
        <v>83</v>
      </c>
      <c r="E12262" s="423">
        <v>5.8579452425919376</v>
      </c>
      <c r="F12262" s="423">
        <v>0.20680527633477749</v>
      </c>
      <c r="G12262" s="422">
        <v>21040.09626038991</v>
      </c>
      <c r="H12262" s="417" t="s">
        <v>2616</v>
      </c>
      <c r="I12262" s="417" t="s">
        <v>1392</v>
      </c>
      <c r="J12262" s="417" t="s">
        <v>25740</v>
      </c>
      <c r="K12262" s="417" t="s">
        <v>27081</v>
      </c>
      <c r="L12262" s="417"/>
      <c r="M12262" s="417" t="s">
        <v>28840</v>
      </c>
    </row>
    <row r="12263" spans="1:13" x14ac:dyDescent="0.25">
      <c r="A12263" s="417" t="s">
        <v>3385</v>
      </c>
      <c r="B12263" s="417" t="s">
        <v>2627</v>
      </c>
      <c r="C12263" s="417" t="s">
        <v>27082</v>
      </c>
      <c r="D12263" s="417" t="s">
        <v>83</v>
      </c>
      <c r="E12263" s="423">
        <v>60.48003010661931</v>
      </c>
      <c r="F12263" s="423">
        <v>14.432721069869901</v>
      </c>
      <c r="G12263" s="422">
        <v>165824.25660810081</v>
      </c>
      <c r="H12263" s="417" t="s">
        <v>2616</v>
      </c>
      <c r="I12263" s="417" t="s">
        <v>1392</v>
      </c>
      <c r="J12263" s="417" t="s">
        <v>26730</v>
      </c>
      <c r="K12263" s="417" t="s">
        <v>27083</v>
      </c>
      <c r="L12263" s="417"/>
      <c r="M12263" s="417" t="s">
        <v>28840</v>
      </c>
    </row>
    <row r="12264" spans="1:13" x14ac:dyDescent="0.25">
      <c r="A12264" s="417" t="s">
        <v>3385</v>
      </c>
      <c r="B12264" s="417" t="s">
        <v>2627</v>
      </c>
      <c r="C12264" s="417" t="s">
        <v>27084</v>
      </c>
      <c r="D12264" s="417" t="s">
        <v>83</v>
      </c>
      <c r="E12264" s="423">
        <v>203.6428767354459</v>
      </c>
      <c r="F12264" s="423">
        <v>3.6830400000000001</v>
      </c>
      <c r="G12264" s="422">
        <v>277252.39225366799</v>
      </c>
      <c r="H12264" s="417" t="s">
        <v>2616</v>
      </c>
      <c r="I12264" s="417" t="s">
        <v>1392</v>
      </c>
      <c r="J12264" s="417" t="s">
        <v>26730</v>
      </c>
      <c r="K12264" s="417" t="s">
        <v>27085</v>
      </c>
      <c r="L12264" s="417"/>
      <c r="M12264" s="417" t="s">
        <v>28840</v>
      </c>
    </row>
    <row r="12265" spans="1:13" x14ac:dyDescent="0.25">
      <c r="A12265" s="417" t="s">
        <v>3385</v>
      </c>
      <c r="B12265" s="417" t="s">
        <v>2627</v>
      </c>
      <c r="C12265" s="417" t="s">
        <v>27086</v>
      </c>
      <c r="D12265" s="417" t="s">
        <v>88</v>
      </c>
      <c r="E12265" s="423">
        <v>4.8283432274327263E-2</v>
      </c>
      <c r="F12265" s="423">
        <v>5.0128856351445896E-3</v>
      </c>
      <c r="G12265" s="422">
        <v>154.8010484289014</v>
      </c>
      <c r="H12265" s="417" t="s">
        <v>2616</v>
      </c>
      <c r="I12265" s="417" t="s">
        <v>1392</v>
      </c>
      <c r="J12265" s="417" t="s">
        <v>26730</v>
      </c>
      <c r="K12265" s="417" t="s">
        <v>27087</v>
      </c>
      <c r="L12265" s="417"/>
      <c r="M12265" s="417" t="s">
        <v>28840</v>
      </c>
    </row>
    <row r="12266" spans="1:13" x14ac:dyDescent="0.25">
      <c r="A12266" s="417" t="s">
        <v>3385</v>
      </c>
      <c r="B12266" s="417" t="s">
        <v>2627</v>
      </c>
      <c r="C12266" s="417" t="s">
        <v>27088</v>
      </c>
      <c r="D12266" s="417" t="s">
        <v>83</v>
      </c>
      <c r="E12266" s="423">
        <v>0.30204396620091861</v>
      </c>
      <c r="F12266" s="423">
        <v>2.281538361468919E-2</v>
      </c>
      <c r="G12266" s="422">
        <v>36628.882891366957</v>
      </c>
      <c r="H12266" s="417" t="s">
        <v>2616</v>
      </c>
      <c r="I12266" s="417" t="s">
        <v>1392</v>
      </c>
      <c r="J12266" s="417" t="s">
        <v>25206</v>
      </c>
      <c r="K12266" s="417" t="s">
        <v>27089</v>
      </c>
      <c r="L12266" s="417"/>
      <c r="M12266" s="417" t="s">
        <v>28840</v>
      </c>
    </row>
    <row r="12267" spans="1:13" x14ac:dyDescent="0.25">
      <c r="A12267" s="417" t="s">
        <v>3385</v>
      </c>
      <c r="B12267" s="417" t="s">
        <v>2627</v>
      </c>
      <c r="C12267" s="417" t="s">
        <v>27090</v>
      </c>
      <c r="D12267" s="417" t="s">
        <v>88</v>
      </c>
      <c r="E12267" s="423">
        <v>2.4426079532291691</v>
      </c>
      <c r="F12267" s="423">
        <v>0.10403693848325039</v>
      </c>
      <c r="G12267" s="422">
        <v>58368.659778683759</v>
      </c>
      <c r="H12267" s="417" t="s">
        <v>2616</v>
      </c>
      <c r="I12267" s="417" t="s">
        <v>1392</v>
      </c>
      <c r="J12267" s="417" t="s">
        <v>25737</v>
      </c>
      <c r="K12267" s="417" t="s">
        <v>27091</v>
      </c>
      <c r="L12267" s="417"/>
      <c r="M12267" s="417" t="s">
        <v>28840</v>
      </c>
    </row>
    <row r="12268" spans="1:13" x14ac:dyDescent="0.25">
      <c r="A12268" s="417" t="s">
        <v>3385</v>
      </c>
      <c r="B12268" s="417" t="s">
        <v>2627</v>
      </c>
      <c r="C12268" s="417" t="s">
        <v>971</v>
      </c>
      <c r="D12268" s="417" t="s">
        <v>88</v>
      </c>
      <c r="E12268" s="423">
        <v>1.183089765842944</v>
      </c>
      <c r="F12268" s="423">
        <v>9.5802493104852962E-3</v>
      </c>
      <c r="G12268" s="422">
        <v>2441.2995163438432</v>
      </c>
      <c r="H12268" s="417" t="s">
        <v>2616</v>
      </c>
      <c r="I12268" s="417" t="s">
        <v>28841</v>
      </c>
      <c r="J12268" s="417" t="s">
        <v>3396</v>
      </c>
      <c r="K12268" s="417" t="s">
        <v>27092</v>
      </c>
      <c r="L12268" s="417"/>
      <c r="M12268" s="417" t="s">
        <v>28840</v>
      </c>
    </row>
    <row r="12269" spans="1:13" x14ac:dyDescent="0.25">
      <c r="A12269" s="417" t="s">
        <v>3385</v>
      </c>
      <c r="B12269" s="417" t="s">
        <v>3655</v>
      </c>
      <c r="C12269" s="417" t="s">
        <v>27093</v>
      </c>
      <c r="D12269" s="417" t="s">
        <v>88</v>
      </c>
      <c r="E12269" s="423">
        <v>0.79367940941642301</v>
      </c>
      <c r="F12269" s="423">
        <v>9.8979558060650993E-2</v>
      </c>
      <c r="G12269" s="422">
        <v>1688.318875838336</v>
      </c>
      <c r="H12269" s="417" t="s">
        <v>2616</v>
      </c>
      <c r="I12269" s="417" t="s">
        <v>1392</v>
      </c>
      <c r="J12269" s="417" t="s">
        <v>20588</v>
      </c>
      <c r="K12269" s="417" t="s">
        <v>27094</v>
      </c>
      <c r="L12269" s="417"/>
      <c r="M12269" s="417" t="s">
        <v>28840</v>
      </c>
    </row>
    <row r="12270" spans="1:13" x14ac:dyDescent="0.25">
      <c r="A12270" s="417" t="s">
        <v>3385</v>
      </c>
      <c r="B12270" s="417" t="s">
        <v>3655</v>
      </c>
      <c r="C12270" s="417" t="s">
        <v>27095</v>
      </c>
      <c r="D12270" s="417" t="s">
        <v>88</v>
      </c>
      <c r="E12270" s="423">
        <v>5.3748424911010142</v>
      </c>
      <c r="F12270" s="423">
        <v>0.12714881833220379</v>
      </c>
      <c r="G12270" s="422">
        <v>7812.3587227861108</v>
      </c>
      <c r="H12270" s="417" t="s">
        <v>2616</v>
      </c>
      <c r="I12270" s="417" t="s">
        <v>1392</v>
      </c>
      <c r="J12270" s="417" t="s">
        <v>20588</v>
      </c>
      <c r="K12270" s="417" t="s">
        <v>27096</v>
      </c>
      <c r="L12270" s="417"/>
      <c r="M12270" s="417" t="s">
        <v>28840</v>
      </c>
    </row>
    <row r="12271" spans="1:13" x14ac:dyDescent="0.25">
      <c r="A12271" s="417" t="s">
        <v>3385</v>
      </c>
      <c r="B12271" s="417" t="s">
        <v>2627</v>
      </c>
      <c r="C12271" s="417" t="s">
        <v>27097</v>
      </c>
      <c r="D12271" s="417" t="s">
        <v>88</v>
      </c>
      <c r="E12271" s="423">
        <v>8.9306584694870654</v>
      </c>
      <c r="F12271" s="423">
        <v>0.2382920675064977</v>
      </c>
      <c r="G12271" s="422">
        <v>43928.528174201281</v>
      </c>
      <c r="H12271" s="417" t="s">
        <v>2616</v>
      </c>
      <c r="I12271" s="417" t="s">
        <v>1392</v>
      </c>
      <c r="J12271" s="417" t="s">
        <v>20588</v>
      </c>
      <c r="K12271" s="417" t="s">
        <v>27098</v>
      </c>
      <c r="L12271" s="417"/>
      <c r="M12271" s="417" t="s">
        <v>28840</v>
      </c>
    </row>
    <row r="12272" spans="1:13" x14ac:dyDescent="0.25">
      <c r="A12272" s="417" t="s">
        <v>3385</v>
      </c>
      <c r="B12272" s="417" t="s">
        <v>2627</v>
      </c>
      <c r="C12272" s="417" t="s">
        <v>27099</v>
      </c>
      <c r="D12272" s="417" t="s">
        <v>88</v>
      </c>
      <c r="E12272" s="423">
        <v>1.778064202848354</v>
      </c>
      <c r="F12272" s="423">
        <v>0.1658234170237875</v>
      </c>
      <c r="G12272" s="422">
        <v>7851.2839776741439</v>
      </c>
      <c r="H12272" s="417" t="s">
        <v>2616</v>
      </c>
      <c r="I12272" s="417" t="s">
        <v>1392</v>
      </c>
      <c r="J12272" s="417" t="s">
        <v>20588</v>
      </c>
      <c r="K12272" s="417" t="s">
        <v>27100</v>
      </c>
      <c r="L12272" s="417"/>
      <c r="M12272" s="417" t="s">
        <v>28840</v>
      </c>
    </row>
    <row r="12273" spans="1:13" x14ac:dyDescent="0.25">
      <c r="A12273" s="417" t="s">
        <v>3385</v>
      </c>
      <c r="B12273" s="417" t="s">
        <v>2627</v>
      </c>
      <c r="C12273" s="417" t="s">
        <v>27101</v>
      </c>
      <c r="D12273" s="417" t="s">
        <v>88</v>
      </c>
      <c r="E12273" s="423">
        <v>1.7650514797765999</v>
      </c>
      <c r="F12273" s="423">
        <v>0.16700801751159131</v>
      </c>
      <c r="G12273" s="422">
        <v>7298.6972846192011</v>
      </c>
      <c r="H12273" s="417" t="s">
        <v>2616</v>
      </c>
      <c r="I12273" s="417" t="s">
        <v>1392</v>
      </c>
      <c r="J12273" s="417" t="s">
        <v>20588</v>
      </c>
      <c r="K12273" s="417" t="s">
        <v>27102</v>
      </c>
      <c r="L12273" s="417"/>
      <c r="M12273" s="417" t="s">
        <v>28840</v>
      </c>
    </row>
    <row r="12274" spans="1:13" x14ac:dyDescent="0.25">
      <c r="A12274" s="417" t="s">
        <v>3385</v>
      </c>
      <c r="B12274" s="417" t="s">
        <v>2627</v>
      </c>
      <c r="C12274" s="417" t="s">
        <v>27103</v>
      </c>
      <c r="D12274" s="417" t="s">
        <v>88</v>
      </c>
      <c r="E12274" s="423">
        <v>1.0811911128434071</v>
      </c>
      <c r="F12274" s="423">
        <v>2.10018359964831</v>
      </c>
      <c r="G12274" s="422">
        <v>1991.7940695470911</v>
      </c>
      <c r="H12274" s="417" t="s">
        <v>2616</v>
      </c>
      <c r="I12274" s="417" t="s">
        <v>1392</v>
      </c>
      <c r="J12274" s="417" t="s">
        <v>3945</v>
      </c>
      <c r="K12274" s="417" t="s">
        <v>27104</v>
      </c>
      <c r="L12274" s="417"/>
      <c r="M12274" s="417" t="s">
        <v>28840</v>
      </c>
    </row>
    <row r="12275" spans="1:13" x14ac:dyDescent="0.25">
      <c r="A12275" s="417" t="s">
        <v>3385</v>
      </c>
      <c r="B12275" s="417" t="s">
        <v>2627</v>
      </c>
      <c r="C12275" s="417" t="s">
        <v>27105</v>
      </c>
      <c r="D12275" s="417" t="s">
        <v>88</v>
      </c>
      <c r="E12275" s="423">
        <v>4.2223924706728644</v>
      </c>
      <c r="F12275" s="423">
        <v>7.9408699999999999E-2</v>
      </c>
      <c r="G12275" s="422">
        <v>8634.6848720270136</v>
      </c>
      <c r="H12275" s="417" t="s">
        <v>2616</v>
      </c>
      <c r="I12275" s="417" t="s">
        <v>1392</v>
      </c>
      <c r="J12275" s="417" t="s">
        <v>18448</v>
      </c>
      <c r="K12275" s="417" t="s">
        <v>27106</v>
      </c>
      <c r="L12275" s="417"/>
      <c r="M12275" s="417" t="s">
        <v>28840</v>
      </c>
    </row>
    <row r="12276" spans="1:13" x14ac:dyDescent="0.25">
      <c r="A12276" s="417" t="s">
        <v>3385</v>
      </c>
      <c r="B12276" s="417" t="s">
        <v>2627</v>
      </c>
      <c r="C12276" s="417" t="s">
        <v>27107</v>
      </c>
      <c r="D12276" s="417" t="s">
        <v>88</v>
      </c>
      <c r="E12276" s="423">
        <v>1.9133480848794431</v>
      </c>
      <c r="F12276" s="423">
        <v>3.6232100000000003E-2</v>
      </c>
      <c r="G12276" s="422">
        <v>3994.1560076303922</v>
      </c>
      <c r="H12276" s="417" t="s">
        <v>2616</v>
      </c>
      <c r="I12276" s="417" t="s">
        <v>1392</v>
      </c>
      <c r="J12276" s="417" t="s">
        <v>18448</v>
      </c>
      <c r="K12276" s="417" t="s">
        <v>27108</v>
      </c>
      <c r="L12276" s="417"/>
      <c r="M12276" s="417" t="s">
        <v>28840</v>
      </c>
    </row>
    <row r="12277" spans="1:13" x14ac:dyDescent="0.25">
      <c r="A12277" s="417" t="s">
        <v>3385</v>
      </c>
      <c r="B12277" s="417" t="s">
        <v>2437</v>
      </c>
      <c r="C12277" s="417" t="s">
        <v>27109</v>
      </c>
      <c r="D12277" s="417" t="s">
        <v>88</v>
      </c>
      <c r="E12277" s="423">
        <v>1.2548269955103959</v>
      </c>
      <c r="F12277" s="423">
        <v>5.1226278895240833E-2</v>
      </c>
      <c r="G12277" s="422">
        <v>3490.3605918442272</v>
      </c>
      <c r="H12277" s="417" t="s">
        <v>2616</v>
      </c>
      <c r="I12277" s="417" t="s">
        <v>1392</v>
      </c>
      <c r="J12277" s="417" t="s">
        <v>4944</v>
      </c>
      <c r="K12277" s="417" t="s">
        <v>27110</v>
      </c>
      <c r="L12277" s="417"/>
      <c r="M12277" s="417" t="s">
        <v>28840</v>
      </c>
    </row>
    <row r="12278" spans="1:13" x14ac:dyDescent="0.25">
      <c r="A12278" s="417" t="s">
        <v>3385</v>
      </c>
      <c r="B12278" s="417" t="s">
        <v>3655</v>
      </c>
      <c r="C12278" s="417" t="s">
        <v>27111</v>
      </c>
      <c r="D12278" s="417" t="s">
        <v>563</v>
      </c>
      <c r="E12278" s="423">
        <v>4.0537502146735873</v>
      </c>
      <c r="F12278" s="423">
        <v>0.1223297658921239</v>
      </c>
      <c r="G12278" s="422">
        <v>25281.882926746941</v>
      </c>
      <c r="H12278" s="417" t="s">
        <v>2616</v>
      </c>
      <c r="I12278" s="417" t="s">
        <v>1392</v>
      </c>
      <c r="J12278" s="417" t="s">
        <v>3902</v>
      </c>
      <c r="K12278" s="417" t="s">
        <v>27112</v>
      </c>
      <c r="L12278" s="417"/>
      <c r="M12278" s="417" t="s">
        <v>28840</v>
      </c>
    </row>
    <row r="12279" spans="1:13" x14ac:dyDescent="0.25">
      <c r="A12279" s="417" t="s">
        <v>3385</v>
      </c>
      <c r="B12279" s="417" t="s">
        <v>3655</v>
      </c>
      <c r="C12279" s="417" t="s">
        <v>27113</v>
      </c>
      <c r="D12279" s="417" t="s">
        <v>563</v>
      </c>
      <c r="E12279" s="423">
        <v>5.8470931065699654</v>
      </c>
      <c r="F12279" s="423">
        <v>0.1165467058880867</v>
      </c>
      <c r="G12279" s="422">
        <v>29176.27398821729</v>
      </c>
      <c r="H12279" s="417" t="s">
        <v>2616</v>
      </c>
      <c r="I12279" s="417" t="s">
        <v>1392</v>
      </c>
      <c r="J12279" s="417" t="s">
        <v>3902</v>
      </c>
      <c r="K12279" s="417" t="s">
        <v>27114</v>
      </c>
      <c r="L12279" s="417"/>
      <c r="M12279" s="417" t="s">
        <v>28840</v>
      </c>
    </row>
    <row r="12280" spans="1:13" x14ac:dyDescent="0.25">
      <c r="A12280" s="417" t="s">
        <v>3385</v>
      </c>
      <c r="B12280" s="417" t="s">
        <v>3655</v>
      </c>
      <c r="C12280" s="417" t="s">
        <v>27115</v>
      </c>
      <c r="D12280" s="417" t="s">
        <v>563</v>
      </c>
      <c r="E12280" s="423">
        <v>4.6721582588556312E-2</v>
      </c>
      <c r="F12280" s="423">
        <v>1.068317488831113E-3</v>
      </c>
      <c r="G12280" s="422">
        <v>325.39661646639439</v>
      </c>
      <c r="H12280" s="417" t="s">
        <v>2616</v>
      </c>
      <c r="I12280" s="417" t="s">
        <v>1392</v>
      </c>
      <c r="J12280" s="417" t="s">
        <v>3902</v>
      </c>
      <c r="K12280" s="417" t="s">
        <v>27116</v>
      </c>
      <c r="L12280" s="417"/>
      <c r="M12280" s="417" t="s">
        <v>28840</v>
      </c>
    </row>
    <row r="12281" spans="1:13" x14ac:dyDescent="0.25">
      <c r="A12281" s="417" t="s">
        <v>3385</v>
      </c>
      <c r="B12281" s="417" t="s">
        <v>2627</v>
      </c>
      <c r="C12281" s="417" t="s">
        <v>27117</v>
      </c>
      <c r="D12281" s="417" t="s">
        <v>88</v>
      </c>
      <c r="E12281" s="423">
        <v>0.42427159038192142</v>
      </c>
      <c r="F12281" s="423">
        <v>2.0180348206732701E-2</v>
      </c>
      <c r="G12281" s="422">
        <v>12923.538505705899</v>
      </c>
      <c r="H12281" s="417" t="s">
        <v>2616</v>
      </c>
      <c r="I12281" s="417" t="s">
        <v>1392</v>
      </c>
      <c r="J12281" s="417" t="s">
        <v>3915</v>
      </c>
      <c r="K12281" s="417" t="s">
        <v>27118</v>
      </c>
      <c r="L12281" s="417"/>
      <c r="M12281" s="417" t="s">
        <v>28840</v>
      </c>
    </row>
    <row r="12282" spans="1:13" x14ac:dyDescent="0.25">
      <c r="A12282" s="417" t="s">
        <v>3385</v>
      </c>
      <c r="B12282" s="417" t="s">
        <v>2627</v>
      </c>
      <c r="C12282" s="417" t="s">
        <v>27119</v>
      </c>
      <c r="D12282" s="417" t="s">
        <v>88</v>
      </c>
      <c r="E12282" s="423">
        <v>1.942570992328029</v>
      </c>
      <c r="F12282" s="423">
        <v>3.02551056234046E-2</v>
      </c>
      <c r="G12282" s="422">
        <v>26146.063382571439</v>
      </c>
      <c r="H12282" s="417" t="s">
        <v>2616</v>
      </c>
      <c r="I12282" s="417" t="s">
        <v>1392</v>
      </c>
      <c r="J12282" s="417" t="s">
        <v>3742</v>
      </c>
      <c r="K12282" s="417" t="s">
        <v>27120</v>
      </c>
      <c r="L12282" s="417"/>
      <c r="M12282" s="417" t="s">
        <v>28840</v>
      </c>
    </row>
    <row r="12283" spans="1:13" x14ac:dyDescent="0.25">
      <c r="A12283" s="417" t="s">
        <v>3385</v>
      </c>
      <c r="B12283" s="417" t="s">
        <v>2627</v>
      </c>
      <c r="C12283" s="417" t="s">
        <v>27121</v>
      </c>
      <c r="D12283" s="417" t="s">
        <v>88</v>
      </c>
      <c r="E12283" s="423">
        <v>3.1069221173978199</v>
      </c>
      <c r="F12283" s="423">
        <v>3.5127590712504271E-2</v>
      </c>
      <c r="G12283" s="422">
        <v>6026.537071442287</v>
      </c>
      <c r="H12283" s="417" t="s">
        <v>2616</v>
      </c>
      <c r="I12283" s="417" t="s">
        <v>1392</v>
      </c>
      <c r="J12283" s="417" t="s">
        <v>3742</v>
      </c>
      <c r="K12283" s="417" t="s">
        <v>27122</v>
      </c>
      <c r="L12283" s="417"/>
      <c r="M12283" s="417" t="s">
        <v>28840</v>
      </c>
    </row>
    <row r="12284" spans="1:13" x14ac:dyDescent="0.25">
      <c r="A12284" s="417" t="s">
        <v>3385</v>
      </c>
      <c r="B12284" s="417" t="s">
        <v>2627</v>
      </c>
      <c r="C12284" s="417" t="s">
        <v>27123</v>
      </c>
      <c r="D12284" s="417" t="s">
        <v>88</v>
      </c>
      <c r="E12284" s="423">
        <v>4.2117407553029951</v>
      </c>
      <c r="F12284" s="423">
        <v>8.9443674652526839E-2</v>
      </c>
      <c r="G12284" s="422">
        <v>51858.418119426577</v>
      </c>
      <c r="H12284" s="417" t="s">
        <v>2616</v>
      </c>
      <c r="I12284" s="417" t="s">
        <v>1392</v>
      </c>
      <c r="J12284" s="417" t="s">
        <v>3742</v>
      </c>
      <c r="K12284" s="417" t="s">
        <v>27124</v>
      </c>
      <c r="L12284" s="417"/>
      <c r="M12284" s="417" t="s">
        <v>28840</v>
      </c>
    </row>
    <row r="12285" spans="1:13" x14ac:dyDescent="0.25">
      <c r="A12285" s="417" t="s">
        <v>3385</v>
      </c>
      <c r="B12285" s="417" t="s">
        <v>2627</v>
      </c>
      <c r="C12285" s="417" t="s">
        <v>27125</v>
      </c>
      <c r="D12285" s="417" t="s">
        <v>88</v>
      </c>
      <c r="E12285" s="423">
        <v>0.33612893681294642</v>
      </c>
      <c r="F12285" s="423">
        <v>6.0709346749805972E-2</v>
      </c>
      <c r="G12285" s="422">
        <v>2024.844480169676</v>
      </c>
      <c r="H12285" s="417" t="s">
        <v>2616</v>
      </c>
      <c r="I12285" s="417" t="s">
        <v>1392</v>
      </c>
      <c r="J12285" s="417" t="s">
        <v>3915</v>
      </c>
      <c r="K12285" s="417" t="s">
        <v>27126</v>
      </c>
      <c r="L12285" s="417"/>
      <c r="M12285" s="417" t="s">
        <v>28840</v>
      </c>
    </row>
    <row r="12286" spans="1:13" x14ac:dyDescent="0.25">
      <c r="A12286" s="417" t="s">
        <v>3385</v>
      </c>
      <c r="B12286" s="417" t="s">
        <v>2627</v>
      </c>
      <c r="C12286" s="417" t="s">
        <v>27127</v>
      </c>
      <c r="D12286" s="417" t="s">
        <v>88</v>
      </c>
      <c r="E12286" s="423">
        <v>0.64912884747088417</v>
      </c>
      <c r="F12286" s="423">
        <v>0.37287450415640377</v>
      </c>
      <c r="G12286" s="422">
        <v>3420.4850414355628</v>
      </c>
      <c r="H12286" s="417" t="s">
        <v>2616</v>
      </c>
      <c r="I12286" s="417" t="s">
        <v>1392</v>
      </c>
      <c r="J12286" s="417" t="s">
        <v>3915</v>
      </c>
      <c r="K12286" s="417" t="s">
        <v>27128</v>
      </c>
      <c r="L12286" s="417"/>
      <c r="M12286" s="417" t="s">
        <v>28840</v>
      </c>
    </row>
    <row r="12287" spans="1:13" x14ac:dyDescent="0.25">
      <c r="A12287" s="417" t="s">
        <v>3385</v>
      </c>
      <c r="B12287" s="417" t="s">
        <v>2627</v>
      </c>
      <c r="C12287" s="417" t="s">
        <v>1112</v>
      </c>
      <c r="D12287" s="417" t="s">
        <v>88</v>
      </c>
      <c r="E12287" s="423">
        <v>3.0154706839307188</v>
      </c>
      <c r="F12287" s="423">
        <v>6.7571321172466933E-2</v>
      </c>
      <c r="G12287" s="422">
        <v>21040.622616371071</v>
      </c>
      <c r="H12287" s="417" t="s">
        <v>2616</v>
      </c>
      <c r="I12287" s="417" t="s">
        <v>28841</v>
      </c>
      <c r="J12287" s="417" t="s">
        <v>3915</v>
      </c>
      <c r="K12287" s="417" t="s">
        <v>27129</v>
      </c>
      <c r="L12287" s="417"/>
      <c r="M12287" s="417" t="s">
        <v>28840</v>
      </c>
    </row>
    <row r="12288" spans="1:13" x14ac:dyDescent="0.25">
      <c r="A12288" s="417" t="s">
        <v>3385</v>
      </c>
      <c r="B12288" s="417" t="s">
        <v>2627</v>
      </c>
      <c r="C12288" s="417" t="s">
        <v>27130</v>
      </c>
      <c r="D12288" s="417" t="s">
        <v>88</v>
      </c>
      <c r="E12288" s="423">
        <v>0.95077918684699603</v>
      </c>
      <c r="F12288" s="423">
        <v>3.8269005635046448E-2</v>
      </c>
      <c r="G12288" s="422">
        <v>1605.941896789813</v>
      </c>
      <c r="H12288" s="417" t="s">
        <v>2616</v>
      </c>
      <c r="I12288" s="417" t="s">
        <v>1392</v>
      </c>
      <c r="J12288" s="417" t="s">
        <v>3742</v>
      </c>
      <c r="K12288" s="417" t="s">
        <v>27131</v>
      </c>
      <c r="L12288" s="417"/>
      <c r="M12288" s="417" t="s">
        <v>28840</v>
      </c>
    </row>
    <row r="12289" spans="1:13" x14ac:dyDescent="0.25">
      <c r="A12289" s="417" t="s">
        <v>3385</v>
      </c>
      <c r="B12289" s="417" t="s">
        <v>2627</v>
      </c>
      <c r="C12289" s="417" t="s">
        <v>27132</v>
      </c>
      <c r="D12289" s="417" t="s">
        <v>88</v>
      </c>
      <c r="E12289" s="423">
        <v>2.9880295080872372</v>
      </c>
      <c r="F12289" s="423">
        <v>0.19116343877365921</v>
      </c>
      <c r="G12289" s="422">
        <v>5991.5242052992353</v>
      </c>
      <c r="H12289" s="417" t="s">
        <v>2616</v>
      </c>
      <c r="I12289" s="417" t="s">
        <v>1392</v>
      </c>
      <c r="J12289" s="417" t="s">
        <v>3742</v>
      </c>
      <c r="K12289" s="417" t="s">
        <v>27133</v>
      </c>
      <c r="L12289" s="417"/>
      <c r="M12289" s="417" t="s">
        <v>28840</v>
      </c>
    </row>
    <row r="12290" spans="1:13" x14ac:dyDescent="0.25">
      <c r="A12290" s="305"/>
      <c r="B12290" s="305"/>
      <c r="C12290" s="305"/>
      <c r="D12290" s="305"/>
      <c r="E12290" s="424"/>
      <c r="F12290" s="424"/>
      <c r="G12290" s="425"/>
      <c r="H12290" s="305"/>
      <c r="I12290" s="305"/>
      <c r="J12290" s="305"/>
      <c r="K12290" s="305"/>
      <c r="L12290" s="305"/>
      <c r="M12290" s="305"/>
    </row>
    <row r="12291" spans="1:13" x14ac:dyDescent="0.25">
      <c r="A12291" s="305"/>
      <c r="B12291" s="305"/>
      <c r="C12291" s="305"/>
      <c r="D12291" s="305"/>
      <c r="E12291" s="424"/>
      <c r="F12291" s="424"/>
      <c r="G12291" s="425"/>
      <c r="H12291" s="305"/>
      <c r="I12291" s="305"/>
      <c r="J12291" s="305"/>
      <c r="K12291" s="305"/>
      <c r="L12291" s="305"/>
      <c r="M12291" s="305"/>
    </row>
    <row r="12292" spans="1:13" x14ac:dyDescent="0.25">
      <c r="A12292" s="305"/>
      <c r="B12292" s="305"/>
      <c r="C12292" s="305"/>
      <c r="D12292" s="305"/>
      <c r="E12292" s="424"/>
      <c r="F12292" s="424"/>
      <c r="G12292" s="425"/>
      <c r="H12292" s="305"/>
      <c r="I12292" s="305"/>
      <c r="J12292" s="305"/>
      <c r="K12292" s="305"/>
      <c r="L12292" s="305"/>
      <c r="M12292" s="305"/>
    </row>
    <row r="12293" spans="1:13" x14ac:dyDescent="0.25">
      <c r="A12293" s="305"/>
      <c r="B12293" s="305"/>
      <c r="C12293" s="305"/>
      <c r="D12293" s="305"/>
      <c r="E12293" s="424"/>
      <c r="F12293" s="424"/>
      <c r="G12293" s="425"/>
      <c r="H12293" s="305"/>
      <c r="I12293" s="305"/>
      <c r="J12293" s="305"/>
      <c r="K12293" s="305"/>
      <c r="L12293" s="305"/>
      <c r="M12293" s="305"/>
    </row>
    <row r="12294" spans="1:13" x14ac:dyDescent="0.25">
      <c r="A12294" s="305"/>
      <c r="B12294" s="305"/>
      <c r="C12294" s="305"/>
      <c r="D12294" s="305"/>
      <c r="E12294" s="424"/>
      <c r="F12294" s="424"/>
      <c r="G12294" s="425"/>
      <c r="H12294" s="305"/>
      <c r="I12294" s="305"/>
      <c r="J12294" s="305"/>
      <c r="K12294" s="305"/>
      <c r="L12294" s="305"/>
      <c r="M12294" s="305"/>
    </row>
    <row r="12295" spans="1:13" x14ac:dyDescent="0.25">
      <c r="A12295" s="305"/>
      <c r="B12295" s="305"/>
      <c r="C12295" s="305"/>
      <c r="D12295" s="305"/>
      <c r="E12295" s="424"/>
      <c r="F12295" s="424"/>
      <c r="G12295" s="425"/>
      <c r="H12295" s="305"/>
      <c r="I12295" s="305"/>
      <c r="J12295" s="305"/>
      <c r="K12295" s="305"/>
      <c r="L12295" s="305"/>
      <c r="M12295" s="305"/>
    </row>
    <row r="12296" spans="1:13" x14ac:dyDescent="0.25">
      <c r="A12296" s="305"/>
      <c r="B12296" s="305"/>
      <c r="C12296" s="305"/>
      <c r="D12296" s="305"/>
      <c r="E12296" s="424"/>
      <c r="F12296" s="424"/>
      <c r="G12296" s="425"/>
      <c r="H12296" s="305"/>
      <c r="I12296" s="305"/>
      <c r="J12296" s="305"/>
      <c r="K12296" s="305"/>
      <c r="L12296" s="305"/>
      <c r="M12296" s="305"/>
    </row>
    <row r="12297" spans="1:13" x14ac:dyDescent="0.25">
      <c r="A12297" s="305"/>
      <c r="B12297" s="305"/>
      <c r="C12297" s="305"/>
      <c r="D12297" s="305"/>
      <c r="E12297" s="424"/>
      <c r="F12297" s="424"/>
      <c r="G12297" s="425"/>
      <c r="H12297" s="305"/>
      <c r="I12297" s="305"/>
      <c r="J12297" s="305"/>
      <c r="K12297" s="305"/>
      <c r="L12297" s="305"/>
      <c r="M12297" s="305"/>
    </row>
    <row r="12298" spans="1:13" x14ac:dyDescent="0.25">
      <c r="A12298" s="305"/>
      <c r="B12298" s="305"/>
      <c r="C12298" s="305"/>
      <c r="D12298" s="305"/>
      <c r="E12298" s="424"/>
      <c r="F12298" s="424"/>
      <c r="G12298" s="425"/>
      <c r="H12298" s="305"/>
      <c r="I12298" s="305"/>
      <c r="J12298" s="305"/>
      <c r="K12298" s="305"/>
      <c r="L12298" s="305"/>
      <c r="M12298" s="305"/>
    </row>
    <row r="12299" spans="1:13" x14ac:dyDescent="0.25">
      <c r="A12299" s="305"/>
      <c r="B12299" s="305"/>
      <c r="C12299" s="305"/>
      <c r="D12299" s="305"/>
      <c r="E12299" s="424"/>
      <c r="F12299" s="424"/>
      <c r="G12299" s="425"/>
      <c r="H12299" s="305"/>
      <c r="I12299" s="305"/>
      <c r="J12299" s="305"/>
      <c r="K12299" s="305"/>
      <c r="L12299" s="305"/>
      <c r="M12299" s="305"/>
    </row>
    <row r="12300" spans="1:13" x14ac:dyDescent="0.25">
      <c r="A12300" s="305"/>
      <c r="B12300" s="305"/>
      <c r="C12300" s="305"/>
      <c r="D12300" s="305"/>
      <c r="E12300" s="424"/>
      <c r="F12300" s="424"/>
      <c r="G12300" s="425"/>
      <c r="H12300" s="305"/>
      <c r="I12300" s="305"/>
      <c r="J12300" s="305"/>
      <c r="K12300" s="305"/>
      <c r="L12300" s="305"/>
      <c r="M12300" s="305"/>
    </row>
    <row r="12301" spans="1:13" x14ac:dyDescent="0.25">
      <c r="A12301" s="305"/>
      <c r="B12301" s="305"/>
      <c r="C12301" s="305"/>
      <c r="D12301" s="305"/>
      <c r="E12301" s="424"/>
      <c r="F12301" s="424"/>
      <c r="G12301" s="425"/>
      <c r="H12301" s="305"/>
      <c r="I12301" s="305"/>
      <c r="J12301" s="305"/>
      <c r="K12301" s="305"/>
      <c r="L12301" s="305"/>
      <c r="M12301" s="305"/>
    </row>
    <row r="12302" spans="1:13" x14ac:dyDescent="0.25">
      <c r="A12302" s="305"/>
      <c r="B12302" s="305"/>
      <c r="C12302" s="305"/>
      <c r="D12302" s="305"/>
      <c r="E12302" s="424"/>
      <c r="F12302" s="424"/>
      <c r="G12302" s="425"/>
      <c r="H12302" s="305"/>
      <c r="I12302" s="305"/>
      <c r="J12302" s="305"/>
      <c r="K12302" s="305"/>
      <c r="L12302" s="305"/>
      <c r="M12302" s="305"/>
    </row>
    <row r="12303" spans="1:13" x14ac:dyDescent="0.25">
      <c r="A12303" s="305"/>
      <c r="B12303" s="305"/>
      <c r="C12303" s="305"/>
      <c r="D12303" s="305"/>
      <c r="E12303" s="424"/>
      <c r="F12303" s="424"/>
      <c r="G12303" s="425"/>
      <c r="H12303" s="305"/>
      <c r="I12303" s="305"/>
      <c r="J12303" s="305"/>
      <c r="K12303" s="305"/>
      <c r="L12303" s="305"/>
      <c r="M12303" s="305"/>
    </row>
    <row r="12304" spans="1:13" x14ac:dyDescent="0.25">
      <c r="A12304" s="305"/>
      <c r="B12304" s="305"/>
      <c r="C12304" s="305"/>
      <c r="D12304" s="305"/>
      <c r="E12304" s="424"/>
      <c r="F12304" s="424"/>
      <c r="G12304" s="425"/>
      <c r="H12304" s="305"/>
      <c r="I12304" s="305"/>
      <c r="J12304" s="305"/>
      <c r="K12304" s="305"/>
      <c r="L12304" s="305"/>
      <c r="M12304" s="305"/>
    </row>
    <row r="12305" spans="1:13" x14ac:dyDescent="0.25">
      <c r="A12305" s="305"/>
      <c r="B12305" s="305"/>
      <c r="C12305" s="305"/>
      <c r="D12305" s="305"/>
      <c r="E12305" s="424"/>
      <c r="F12305" s="424"/>
      <c r="G12305" s="425"/>
      <c r="H12305" s="305"/>
      <c r="I12305" s="305"/>
      <c r="J12305" s="305"/>
      <c r="K12305" s="305"/>
      <c r="L12305" s="305"/>
      <c r="M12305" s="305"/>
    </row>
    <row r="12306" spans="1:13" x14ac:dyDescent="0.25">
      <c r="A12306" s="305"/>
      <c r="B12306" s="305"/>
      <c r="C12306" s="305"/>
      <c r="D12306" s="305"/>
      <c r="E12306" s="424"/>
      <c r="F12306" s="424"/>
      <c r="G12306" s="425"/>
      <c r="H12306" s="305"/>
      <c r="I12306" s="305"/>
      <c r="J12306" s="305"/>
      <c r="K12306" s="305"/>
      <c r="L12306" s="305"/>
      <c r="M12306" s="305"/>
    </row>
    <row r="12307" spans="1:13" x14ac:dyDescent="0.25">
      <c r="A12307" s="305"/>
      <c r="B12307" s="305"/>
      <c r="C12307" s="305"/>
      <c r="D12307" s="305"/>
      <c r="E12307" s="424"/>
      <c r="F12307" s="424"/>
      <c r="G12307" s="425"/>
      <c r="H12307" s="305"/>
      <c r="I12307" s="305"/>
      <c r="J12307" s="305"/>
      <c r="K12307" s="305"/>
      <c r="L12307" s="305"/>
      <c r="M12307" s="305"/>
    </row>
    <row r="12308" spans="1:13" x14ac:dyDescent="0.25">
      <c r="A12308" s="305"/>
      <c r="B12308" s="305"/>
      <c r="C12308" s="305"/>
      <c r="D12308" s="305"/>
      <c r="E12308" s="424"/>
      <c r="F12308" s="424"/>
      <c r="G12308" s="425"/>
      <c r="H12308" s="305"/>
      <c r="I12308" s="305"/>
      <c r="J12308" s="305"/>
      <c r="K12308" s="305"/>
      <c r="L12308" s="305"/>
      <c r="M12308" s="305"/>
    </row>
    <row r="12309" spans="1:13" x14ac:dyDescent="0.25">
      <c r="A12309" s="305"/>
      <c r="B12309" s="305"/>
      <c r="C12309" s="305"/>
      <c r="D12309" s="305"/>
      <c r="E12309" s="424"/>
      <c r="F12309" s="424"/>
      <c r="G12309" s="425"/>
      <c r="H12309" s="305"/>
      <c r="I12309" s="305"/>
      <c r="J12309" s="305"/>
      <c r="K12309" s="305"/>
      <c r="L12309" s="305"/>
      <c r="M12309" s="305"/>
    </row>
    <row r="12310" spans="1:13" x14ac:dyDescent="0.25">
      <c r="A12310" s="305"/>
      <c r="B12310" s="305"/>
      <c r="C12310" s="305"/>
      <c r="D12310" s="305"/>
      <c r="E12310" s="424"/>
      <c r="F12310" s="424"/>
      <c r="G12310" s="425"/>
      <c r="H12310" s="305"/>
      <c r="I12310" s="305"/>
      <c r="J12310" s="305"/>
      <c r="K12310" s="305"/>
      <c r="L12310" s="305"/>
      <c r="M12310" s="305"/>
    </row>
    <row r="12311" spans="1:13" x14ac:dyDescent="0.25">
      <c r="A12311" s="305"/>
      <c r="B12311" s="305"/>
      <c r="C12311" s="305"/>
      <c r="D12311" s="305"/>
      <c r="E12311" s="424"/>
      <c r="F12311" s="424"/>
      <c r="G12311" s="425"/>
      <c r="H12311" s="305"/>
      <c r="I12311" s="305"/>
      <c r="J12311" s="305"/>
      <c r="K12311" s="305"/>
      <c r="L12311" s="305"/>
      <c r="M12311" s="305"/>
    </row>
    <row r="12312" spans="1:13" x14ac:dyDescent="0.25">
      <c r="A12312" s="305"/>
      <c r="B12312" s="305"/>
      <c r="C12312" s="305"/>
      <c r="D12312" s="305"/>
      <c r="E12312" s="424"/>
      <c r="F12312" s="424"/>
      <c r="G12312" s="425"/>
      <c r="H12312" s="305"/>
      <c r="I12312" s="305"/>
      <c r="J12312" s="305"/>
      <c r="K12312" s="305"/>
      <c r="L12312" s="305"/>
      <c r="M12312" s="305"/>
    </row>
    <row r="12313" spans="1:13" x14ac:dyDescent="0.25">
      <c r="A12313" s="305"/>
      <c r="B12313" s="305"/>
      <c r="C12313" s="305"/>
      <c r="D12313" s="305"/>
      <c r="E12313" s="424"/>
      <c r="F12313" s="424"/>
      <c r="G12313" s="425"/>
      <c r="H12313" s="305"/>
      <c r="I12313" s="305"/>
      <c r="J12313" s="305"/>
      <c r="K12313" s="305"/>
      <c r="L12313" s="305"/>
      <c r="M12313" s="305"/>
    </row>
    <row r="12314" spans="1:13" x14ac:dyDescent="0.25">
      <c r="A12314" s="305"/>
      <c r="B12314" s="305"/>
      <c r="C12314" s="305"/>
      <c r="D12314" s="305"/>
      <c r="E12314" s="424"/>
      <c r="F12314" s="424"/>
      <c r="G12314" s="425"/>
      <c r="H12314" s="305"/>
      <c r="I12314" s="305"/>
      <c r="J12314" s="305"/>
      <c r="K12314" s="305"/>
      <c r="L12314" s="305"/>
      <c r="M12314" s="305"/>
    </row>
    <row r="12315" spans="1:13" x14ac:dyDescent="0.25">
      <c r="A12315" s="305"/>
      <c r="B12315" s="305"/>
      <c r="C12315" s="305"/>
      <c r="D12315" s="305"/>
      <c r="E12315" s="424"/>
      <c r="F12315" s="424"/>
      <c r="G12315" s="425"/>
      <c r="H12315" s="305"/>
      <c r="I12315" s="305"/>
      <c r="J12315" s="305"/>
      <c r="K12315" s="305"/>
      <c r="L12315" s="305"/>
      <c r="M12315" s="305"/>
    </row>
    <row r="12316" spans="1:13" x14ac:dyDescent="0.25">
      <c r="A12316" s="305"/>
      <c r="B12316" s="305"/>
      <c r="C12316" s="305"/>
      <c r="D12316" s="305"/>
      <c r="E12316" s="424"/>
      <c r="F12316" s="424"/>
      <c r="G12316" s="425"/>
      <c r="H12316" s="305"/>
      <c r="I12316" s="305"/>
      <c r="J12316" s="305"/>
      <c r="K12316" s="305"/>
      <c r="L12316" s="305"/>
      <c r="M12316" s="305"/>
    </row>
    <row r="12317" spans="1:13" x14ac:dyDescent="0.25">
      <c r="A12317" s="305"/>
      <c r="B12317" s="305"/>
      <c r="C12317" s="305"/>
      <c r="D12317" s="305"/>
      <c r="E12317" s="424"/>
      <c r="F12317" s="424"/>
      <c r="G12317" s="425"/>
      <c r="H12317" s="305"/>
      <c r="I12317" s="305"/>
      <c r="J12317" s="305"/>
      <c r="K12317" s="305"/>
      <c r="L12317" s="305"/>
      <c r="M12317" s="305"/>
    </row>
    <row r="12318" spans="1:13" x14ac:dyDescent="0.25">
      <c r="A12318" s="305"/>
      <c r="B12318" s="305"/>
      <c r="C12318" s="305"/>
      <c r="D12318" s="305"/>
      <c r="E12318" s="424"/>
      <c r="F12318" s="424"/>
      <c r="G12318" s="425"/>
      <c r="H12318" s="305"/>
      <c r="I12318" s="305"/>
      <c r="J12318" s="305"/>
      <c r="K12318" s="305"/>
      <c r="L12318" s="305"/>
      <c r="M12318" s="305"/>
    </row>
    <row r="12319" spans="1:13" x14ac:dyDescent="0.25">
      <c r="A12319" s="305"/>
      <c r="B12319" s="305"/>
      <c r="C12319" s="305"/>
      <c r="D12319" s="305"/>
      <c r="E12319" s="424"/>
      <c r="F12319" s="424"/>
      <c r="G12319" s="425"/>
      <c r="H12319" s="305"/>
      <c r="I12319" s="305"/>
      <c r="J12319" s="305"/>
      <c r="K12319" s="305"/>
      <c r="L12319" s="305"/>
      <c r="M12319" s="305"/>
    </row>
    <row r="12320" spans="1:13" x14ac:dyDescent="0.25">
      <c r="A12320" s="305"/>
      <c r="B12320" s="305"/>
      <c r="C12320" s="305"/>
      <c r="D12320" s="305"/>
      <c r="E12320" s="424"/>
      <c r="F12320" s="424"/>
      <c r="G12320" s="425"/>
      <c r="H12320" s="305"/>
      <c r="I12320" s="305"/>
      <c r="J12320" s="305"/>
      <c r="K12320" s="305"/>
      <c r="L12320" s="305"/>
      <c r="M12320" s="305"/>
    </row>
    <row r="12321" spans="1:13" x14ac:dyDescent="0.25">
      <c r="A12321" s="305"/>
      <c r="B12321" s="305"/>
      <c r="C12321" s="305"/>
      <c r="D12321" s="305"/>
      <c r="E12321" s="424"/>
      <c r="F12321" s="424"/>
      <c r="G12321" s="425"/>
      <c r="H12321" s="305"/>
      <c r="I12321" s="305"/>
      <c r="J12321" s="305"/>
      <c r="K12321" s="305"/>
      <c r="L12321" s="305"/>
      <c r="M12321" s="305"/>
    </row>
    <row r="12322" spans="1:13" x14ac:dyDescent="0.25">
      <c r="A12322" s="305"/>
      <c r="B12322" s="305"/>
      <c r="C12322" s="305"/>
      <c r="D12322" s="305"/>
      <c r="E12322" s="424"/>
      <c r="F12322" s="424"/>
      <c r="G12322" s="425"/>
      <c r="H12322" s="305"/>
      <c r="I12322" s="305"/>
      <c r="J12322" s="305"/>
      <c r="K12322" s="305"/>
      <c r="L12322" s="305"/>
      <c r="M12322" s="305"/>
    </row>
    <row r="12323" spans="1:13" x14ac:dyDescent="0.25">
      <c r="A12323" s="305"/>
      <c r="B12323" s="305"/>
      <c r="C12323" s="305"/>
      <c r="D12323" s="305"/>
      <c r="E12323" s="424"/>
      <c r="F12323" s="424"/>
      <c r="G12323" s="425"/>
      <c r="H12323" s="305"/>
      <c r="I12323" s="305"/>
      <c r="J12323" s="305"/>
      <c r="K12323" s="305"/>
      <c r="L12323" s="305"/>
      <c r="M12323" s="305"/>
    </row>
    <row r="12324" spans="1:13" x14ac:dyDescent="0.25">
      <c r="A12324" s="305"/>
      <c r="B12324" s="305"/>
      <c r="C12324" s="305"/>
      <c r="D12324" s="305"/>
      <c r="E12324" s="424"/>
      <c r="F12324" s="424"/>
      <c r="G12324" s="425"/>
      <c r="H12324" s="305"/>
      <c r="I12324" s="305"/>
      <c r="J12324" s="305"/>
      <c r="K12324" s="305"/>
      <c r="L12324" s="305"/>
      <c r="M12324" s="305"/>
    </row>
    <row r="12325" spans="1:13" x14ac:dyDescent="0.25">
      <c r="A12325" s="305"/>
      <c r="B12325" s="305"/>
      <c r="C12325" s="305"/>
      <c r="D12325" s="305"/>
      <c r="E12325" s="424"/>
      <c r="F12325" s="424"/>
      <c r="G12325" s="425"/>
      <c r="H12325" s="305"/>
      <c r="I12325" s="305"/>
      <c r="J12325" s="305"/>
      <c r="K12325" s="305"/>
      <c r="L12325" s="305"/>
      <c r="M12325" s="305"/>
    </row>
    <row r="12326" spans="1:13" x14ac:dyDescent="0.25">
      <c r="A12326" s="305"/>
      <c r="B12326" s="305"/>
      <c r="C12326" s="305"/>
      <c r="D12326" s="305"/>
      <c r="E12326" s="424"/>
      <c r="F12326" s="424"/>
      <c r="G12326" s="425"/>
      <c r="H12326" s="305"/>
      <c r="I12326" s="305"/>
      <c r="J12326" s="305"/>
      <c r="K12326" s="305"/>
      <c r="L12326" s="305"/>
      <c r="M12326" s="305"/>
    </row>
    <row r="12327" spans="1:13" x14ac:dyDescent="0.25">
      <c r="A12327" s="305"/>
      <c r="B12327" s="305"/>
      <c r="C12327" s="305"/>
      <c r="D12327" s="305"/>
      <c r="E12327" s="424"/>
      <c r="F12327" s="424"/>
      <c r="G12327" s="425"/>
      <c r="H12327" s="305"/>
      <c r="I12327" s="305"/>
      <c r="J12327" s="305"/>
      <c r="K12327" s="305"/>
      <c r="L12327" s="305"/>
      <c r="M12327" s="305"/>
    </row>
    <row r="12328" spans="1:13" x14ac:dyDescent="0.25">
      <c r="A12328" s="305"/>
      <c r="B12328" s="305"/>
      <c r="C12328" s="305"/>
      <c r="D12328" s="305"/>
      <c r="E12328" s="424"/>
      <c r="F12328" s="424"/>
      <c r="G12328" s="425"/>
      <c r="H12328" s="305"/>
      <c r="I12328" s="305"/>
      <c r="J12328" s="305"/>
      <c r="K12328" s="305"/>
      <c r="L12328" s="305"/>
      <c r="M12328" s="305"/>
    </row>
    <row r="12329" spans="1:13" x14ac:dyDescent="0.25">
      <c r="A12329" s="305"/>
      <c r="B12329" s="305"/>
      <c r="C12329" s="305"/>
      <c r="D12329" s="305"/>
      <c r="E12329" s="424"/>
      <c r="F12329" s="424"/>
      <c r="G12329" s="425"/>
      <c r="H12329" s="305"/>
      <c r="I12329" s="305"/>
      <c r="J12329" s="305"/>
      <c r="K12329" s="305"/>
      <c r="L12329" s="305"/>
      <c r="M12329" s="305"/>
    </row>
    <row r="12330" spans="1:13" x14ac:dyDescent="0.25">
      <c r="A12330" s="305"/>
      <c r="B12330" s="305"/>
      <c r="C12330" s="305"/>
      <c r="D12330" s="305"/>
      <c r="E12330" s="424"/>
      <c r="F12330" s="424"/>
      <c r="G12330" s="425"/>
      <c r="H12330" s="305"/>
      <c r="I12330" s="305"/>
      <c r="J12330" s="305"/>
      <c r="K12330" s="305"/>
      <c r="L12330" s="305"/>
      <c r="M12330" s="305"/>
    </row>
    <row r="12331" spans="1:13" x14ac:dyDescent="0.25">
      <c r="A12331" s="305"/>
      <c r="B12331" s="305"/>
      <c r="C12331" s="305"/>
      <c r="D12331" s="305"/>
      <c r="E12331" s="424"/>
      <c r="F12331" s="424"/>
      <c r="G12331" s="425"/>
      <c r="H12331" s="305"/>
      <c r="I12331" s="305"/>
      <c r="J12331" s="305"/>
      <c r="K12331" s="305"/>
      <c r="L12331" s="305"/>
      <c r="M12331" s="305"/>
    </row>
    <row r="12332" spans="1:13" x14ac:dyDescent="0.25">
      <c r="A12332" s="305"/>
      <c r="B12332" s="305"/>
      <c r="C12332" s="305"/>
      <c r="D12332" s="305"/>
      <c r="E12332" s="424"/>
      <c r="F12332" s="424"/>
      <c r="G12332" s="425"/>
      <c r="H12332" s="305"/>
      <c r="I12332" s="305"/>
      <c r="J12332" s="305"/>
      <c r="K12332" s="305"/>
      <c r="L12332" s="305"/>
      <c r="M12332" s="305"/>
    </row>
    <row r="12333" spans="1:13" x14ac:dyDescent="0.25">
      <c r="A12333" s="305"/>
      <c r="B12333" s="305"/>
      <c r="C12333" s="305"/>
      <c r="D12333" s="305"/>
      <c r="E12333" s="424"/>
      <c r="F12333" s="424"/>
      <c r="G12333" s="425"/>
      <c r="H12333" s="305"/>
      <c r="I12333" s="305"/>
      <c r="J12333" s="305"/>
      <c r="K12333" s="305"/>
      <c r="L12333" s="305"/>
      <c r="M12333" s="305"/>
    </row>
    <row r="12334" spans="1:13" x14ac:dyDescent="0.25">
      <c r="A12334" s="305"/>
      <c r="B12334" s="305"/>
      <c r="C12334" s="305"/>
      <c r="D12334" s="305"/>
      <c r="E12334" s="424"/>
      <c r="F12334" s="424"/>
      <c r="G12334" s="425"/>
      <c r="H12334" s="305"/>
      <c r="I12334" s="305"/>
      <c r="J12334" s="305"/>
      <c r="K12334" s="305"/>
      <c r="L12334" s="305"/>
      <c r="M12334" s="305"/>
    </row>
    <row r="12335" spans="1:13" x14ac:dyDescent="0.25">
      <c r="A12335" s="305"/>
      <c r="B12335" s="305"/>
      <c r="C12335" s="305"/>
      <c r="D12335" s="305"/>
      <c r="E12335" s="424"/>
      <c r="F12335" s="424"/>
      <c r="G12335" s="425"/>
      <c r="H12335" s="305"/>
      <c r="I12335" s="305"/>
      <c r="J12335" s="305"/>
      <c r="K12335" s="305"/>
      <c r="L12335" s="305"/>
      <c r="M12335" s="305"/>
    </row>
    <row r="12336" spans="1:13" x14ac:dyDescent="0.25">
      <c r="A12336" s="305"/>
      <c r="B12336" s="305"/>
      <c r="C12336" s="305"/>
      <c r="D12336" s="305"/>
      <c r="E12336" s="424"/>
      <c r="F12336" s="424"/>
      <c r="G12336" s="425"/>
      <c r="H12336" s="305"/>
      <c r="I12336" s="305"/>
      <c r="J12336" s="305"/>
      <c r="K12336" s="305"/>
      <c r="L12336" s="305"/>
      <c r="M12336" s="305"/>
    </row>
    <row r="12337" spans="1:13" x14ac:dyDescent="0.25">
      <c r="A12337" s="305"/>
      <c r="B12337" s="305"/>
      <c r="C12337" s="305"/>
      <c r="D12337" s="305"/>
      <c r="E12337" s="424"/>
      <c r="F12337" s="424"/>
      <c r="G12337" s="425"/>
      <c r="H12337" s="305"/>
      <c r="I12337" s="305"/>
      <c r="J12337" s="305"/>
      <c r="K12337" s="305"/>
      <c r="L12337" s="305"/>
      <c r="M12337" s="305"/>
    </row>
    <row r="12338" spans="1:13" x14ac:dyDescent="0.25">
      <c r="A12338" s="305"/>
      <c r="B12338" s="305"/>
      <c r="C12338" s="305"/>
      <c r="D12338" s="305"/>
      <c r="E12338" s="424"/>
      <c r="F12338" s="424"/>
      <c r="G12338" s="425"/>
      <c r="H12338" s="305"/>
      <c r="I12338" s="305"/>
      <c r="J12338" s="305"/>
      <c r="K12338" s="305"/>
      <c r="L12338" s="305"/>
      <c r="M12338" s="305"/>
    </row>
    <row r="12339" spans="1:13" x14ac:dyDescent="0.25">
      <c r="A12339" s="305"/>
      <c r="B12339" s="305"/>
      <c r="C12339" s="305"/>
      <c r="D12339" s="305"/>
      <c r="E12339" s="424"/>
      <c r="F12339" s="424"/>
      <c r="G12339" s="425"/>
      <c r="H12339" s="305"/>
      <c r="I12339" s="305"/>
      <c r="J12339" s="305"/>
      <c r="K12339" s="305"/>
      <c r="L12339" s="305"/>
      <c r="M12339" s="305"/>
    </row>
    <row r="12340" spans="1:13" x14ac:dyDescent="0.25">
      <c r="A12340" s="305"/>
      <c r="B12340" s="305"/>
      <c r="C12340" s="305"/>
      <c r="D12340" s="305"/>
      <c r="E12340" s="424"/>
      <c r="F12340" s="424"/>
      <c r="G12340" s="425"/>
      <c r="H12340" s="305"/>
      <c r="I12340" s="305"/>
      <c r="J12340" s="305"/>
      <c r="K12340" s="305"/>
      <c r="L12340" s="305"/>
      <c r="M12340" s="305"/>
    </row>
    <row r="12341" spans="1:13" x14ac:dyDescent="0.25">
      <c r="A12341" s="305"/>
      <c r="B12341" s="305"/>
      <c r="C12341" s="305"/>
      <c r="D12341" s="305"/>
      <c r="E12341" s="424"/>
      <c r="F12341" s="424"/>
      <c r="G12341" s="425"/>
      <c r="H12341" s="305"/>
      <c r="I12341" s="305"/>
      <c r="J12341" s="305"/>
      <c r="K12341" s="305"/>
      <c r="L12341" s="305"/>
      <c r="M12341" s="305"/>
    </row>
    <row r="12342" spans="1:13" x14ac:dyDescent="0.25">
      <c r="A12342" s="305"/>
      <c r="B12342" s="305"/>
      <c r="C12342" s="305"/>
      <c r="D12342" s="305"/>
      <c r="E12342" s="424"/>
      <c r="F12342" s="424"/>
      <c r="G12342" s="425"/>
      <c r="H12342" s="305"/>
      <c r="I12342" s="305"/>
      <c r="J12342" s="305"/>
      <c r="K12342" s="305"/>
      <c r="L12342" s="305"/>
      <c r="M12342" s="305"/>
    </row>
    <row r="12343" spans="1:13" x14ac:dyDescent="0.25">
      <c r="A12343" s="305"/>
      <c r="B12343" s="305"/>
      <c r="C12343" s="305"/>
      <c r="D12343" s="305"/>
      <c r="E12343" s="424"/>
      <c r="F12343" s="424"/>
      <c r="G12343" s="425"/>
      <c r="H12343" s="305"/>
      <c r="I12343" s="305"/>
      <c r="J12343" s="305"/>
      <c r="K12343" s="305"/>
      <c r="L12343" s="305"/>
      <c r="M12343" s="305"/>
    </row>
    <row r="12344" spans="1:13" x14ac:dyDescent="0.25">
      <c r="A12344" s="305"/>
      <c r="B12344" s="305"/>
      <c r="C12344" s="305"/>
      <c r="D12344" s="305"/>
      <c r="E12344" s="424"/>
      <c r="F12344" s="424"/>
      <c r="G12344" s="425"/>
      <c r="H12344" s="305"/>
      <c r="I12344" s="305"/>
      <c r="J12344" s="305"/>
      <c r="K12344" s="305"/>
      <c r="L12344" s="305"/>
      <c r="M12344" s="305"/>
    </row>
    <row r="12345" spans="1:13" x14ac:dyDescent="0.25">
      <c r="A12345" s="305"/>
      <c r="B12345" s="305"/>
      <c r="C12345" s="305"/>
      <c r="D12345" s="305"/>
      <c r="E12345" s="424"/>
      <c r="F12345" s="424"/>
      <c r="G12345" s="425"/>
      <c r="H12345" s="305"/>
      <c r="I12345" s="305"/>
      <c r="J12345" s="305"/>
      <c r="K12345" s="305"/>
      <c r="L12345" s="305"/>
      <c r="M12345" s="305"/>
    </row>
    <row r="12346" spans="1:13" x14ac:dyDescent="0.25">
      <c r="A12346" s="305"/>
      <c r="B12346" s="305"/>
      <c r="C12346" s="305"/>
      <c r="D12346" s="305"/>
      <c r="E12346" s="424"/>
      <c r="F12346" s="424"/>
      <c r="G12346" s="425"/>
      <c r="H12346" s="305"/>
      <c r="I12346" s="305"/>
      <c r="J12346" s="305"/>
      <c r="K12346" s="305"/>
      <c r="L12346" s="305"/>
      <c r="M12346" s="305"/>
    </row>
    <row r="12347" spans="1:13" x14ac:dyDescent="0.25">
      <c r="A12347" s="305"/>
      <c r="B12347" s="305"/>
      <c r="C12347" s="305"/>
      <c r="D12347" s="305"/>
      <c r="E12347" s="424"/>
      <c r="F12347" s="424"/>
      <c r="G12347" s="425"/>
      <c r="H12347" s="305"/>
      <c r="I12347" s="305"/>
      <c r="J12347" s="305"/>
      <c r="K12347" s="305"/>
      <c r="L12347" s="305"/>
      <c r="M12347" s="305"/>
    </row>
    <row r="12348" spans="1:13" x14ac:dyDescent="0.25">
      <c r="A12348" s="305"/>
      <c r="B12348" s="305"/>
      <c r="C12348" s="305"/>
      <c r="D12348" s="305"/>
      <c r="E12348" s="424"/>
      <c r="F12348" s="424"/>
      <c r="G12348" s="425"/>
      <c r="H12348" s="305"/>
      <c r="I12348" s="305"/>
      <c r="J12348" s="305"/>
      <c r="K12348" s="305"/>
      <c r="L12348" s="305"/>
      <c r="M12348" s="305"/>
    </row>
    <row r="12349" spans="1:13" x14ac:dyDescent="0.25">
      <c r="A12349" s="305"/>
      <c r="B12349" s="305"/>
      <c r="C12349" s="305"/>
      <c r="D12349" s="305"/>
      <c r="E12349" s="424"/>
      <c r="F12349" s="424"/>
      <c r="G12349" s="425"/>
      <c r="H12349" s="305"/>
      <c r="I12349" s="305"/>
      <c r="J12349" s="305"/>
      <c r="K12349" s="305"/>
      <c r="L12349" s="305"/>
      <c r="M12349" s="305"/>
    </row>
    <row r="12350" spans="1:13" x14ac:dyDescent="0.25">
      <c r="A12350" s="305"/>
      <c r="B12350" s="305"/>
      <c r="C12350" s="305"/>
      <c r="D12350" s="305"/>
      <c r="E12350" s="424"/>
      <c r="F12350" s="424"/>
      <c r="G12350" s="425"/>
      <c r="H12350" s="305"/>
      <c r="I12350" s="305"/>
      <c r="J12350" s="305"/>
      <c r="K12350" s="305"/>
      <c r="L12350" s="305"/>
      <c r="M12350" s="305"/>
    </row>
    <row r="12351" spans="1:13" x14ac:dyDescent="0.25">
      <c r="A12351" s="305"/>
      <c r="B12351" s="305"/>
      <c r="C12351" s="305"/>
      <c r="D12351" s="305"/>
      <c r="E12351" s="424"/>
      <c r="F12351" s="424"/>
      <c r="G12351" s="425"/>
      <c r="H12351" s="305"/>
      <c r="I12351" s="305"/>
      <c r="J12351" s="305"/>
      <c r="K12351" s="305"/>
      <c r="L12351" s="305"/>
      <c r="M12351" s="305"/>
    </row>
    <row r="12352" spans="1:13" x14ac:dyDescent="0.25">
      <c r="A12352" s="305"/>
      <c r="B12352" s="305"/>
      <c r="C12352" s="305"/>
      <c r="D12352" s="305"/>
      <c r="E12352" s="424"/>
      <c r="F12352" s="424"/>
      <c r="G12352" s="425"/>
      <c r="H12352" s="305"/>
      <c r="I12352" s="305"/>
      <c r="J12352" s="305"/>
      <c r="K12352" s="305"/>
      <c r="L12352" s="305"/>
      <c r="M12352" s="305"/>
    </row>
    <row r="12353" spans="1:13" x14ac:dyDescent="0.25">
      <c r="A12353" s="305"/>
      <c r="B12353" s="305"/>
      <c r="C12353" s="305"/>
      <c r="D12353" s="305"/>
      <c r="E12353" s="424"/>
      <c r="F12353" s="424"/>
      <c r="G12353" s="425"/>
      <c r="H12353" s="305"/>
      <c r="I12353" s="305"/>
      <c r="J12353" s="305"/>
      <c r="K12353" s="305"/>
      <c r="L12353" s="305"/>
      <c r="M12353" s="305"/>
    </row>
    <row r="12354" spans="1:13" x14ac:dyDescent="0.25">
      <c r="A12354" s="305"/>
      <c r="B12354" s="305"/>
      <c r="C12354" s="305"/>
      <c r="D12354" s="305"/>
      <c r="E12354" s="424"/>
      <c r="F12354" s="424"/>
      <c r="G12354" s="425"/>
      <c r="H12354" s="305"/>
      <c r="I12354" s="305"/>
      <c r="J12354" s="305"/>
      <c r="K12354" s="305"/>
      <c r="L12354" s="305"/>
      <c r="M12354" s="305"/>
    </row>
    <row r="12355" spans="1:13" x14ac:dyDescent="0.25">
      <c r="A12355" s="305"/>
      <c r="B12355" s="305"/>
      <c r="C12355" s="305"/>
      <c r="D12355" s="305"/>
      <c r="E12355" s="424"/>
      <c r="F12355" s="424"/>
      <c r="G12355" s="425"/>
      <c r="H12355" s="305"/>
      <c r="I12355" s="305"/>
      <c r="J12355" s="305"/>
      <c r="K12355" s="305"/>
      <c r="L12355" s="305"/>
      <c r="M12355" s="305"/>
    </row>
    <row r="12356" spans="1:13" x14ac:dyDescent="0.25">
      <c r="A12356" s="305"/>
      <c r="B12356" s="305"/>
      <c r="C12356" s="305"/>
      <c r="D12356" s="305"/>
      <c r="E12356" s="424"/>
      <c r="F12356" s="424"/>
      <c r="G12356" s="425"/>
      <c r="H12356" s="305"/>
      <c r="I12356" s="305"/>
      <c r="J12356" s="305"/>
      <c r="K12356" s="305"/>
      <c r="L12356" s="305"/>
      <c r="M12356" s="305"/>
    </row>
    <row r="12357" spans="1:13" x14ac:dyDescent="0.25">
      <c r="A12357" s="305"/>
      <c r="B12357" s="305"/>
      <c r="C12357" s="305"/>
      <c r="D12357" s="305"/>
      <c r="E12357" s="424"/>
      <c r="F12357" s="424"/>
      <c r="G12357" s="425"/>
      <c r="H12357" s="305"/>
      <c r="I12357" s="305"/>
      <c r="J12357" s="305"/>
      <c r="K12357" s="305"/>
      <c r="L12357" s="305"/>
      <c r="M12357" s="305"/>
    </row>
    <row r="12358" spans="1:13" x14ac:dyDescent="0.25">
      <c r="A12358" s="305"/>
      <c r="B12358" s="305"/>
      <c r="C12358" s="305"/>
      <c r="D12358" s="305"/>
      <c r="E12358" s="424"/>
      <c r="F12358" s="424"/>
      <c r="G12358" s="425"/>
      <c r="H12358" s="305"/>
      <c r="I12358" s="305"/>
      <c r="J12358" s="305"/>
      <c r="K12358" s="305"/>
      <c r="L12358" s="305"/>
      <c r="M12358" s="305"/>
    </row>
    <row r="12359" spans="1:13" x14ac:dyDescent="0.25">
      <c r="A12359" s="305"/>
      <c r="B12359" s="305"/>
      <c r="C12359" s="305"/>
      <c r="D12359" s="305"/>
      <c r="E12359" s="424"/>
      <c r="F12359" s="424"/>
      <c r="G12359" s="425"/>
      <c r="H12359" s="305"/>
      <c r="I12359" s="305"/>
      <c r="J12359" s="305"/>
      <c r="K12359" s="305"/>
      <c r="L12359" s="305"/>
      <c r="M12359" s="305"/>
    </row>
    <row r="12360" spans="1:13" x14ac:dyDescent="0.25">
      <c r="A12360" s="305"/>
      <c r="B12360" s="305"/>
      <c r="C12360" s="305"/>
      <c r="D12360" s="305"/>
      <c r="E12360" s="424"/>
      <c r="F12360" s="424"/>
      <c r="G12360" s="425"/>
      <c r="H12360" s="305"/>
      <c r="I12360" s="305"/>
      <c r="J12360" s="305"/>
      <c r="K12360" s="305"/>
      <c r="L12360" s="305"/>
      <c r="M12360" s="305"/>
    </row>
    <row r="12361" spans="1:13" x14ac:dyDescent="0.25">
      <c r="A12361" s="305"/>
      <c r="B12361" s="305"/>
      <c r="C12361" s="305"/>
      <c r="D12361" s="305"/>
      <c r="E12361" s="424"/>
      <c r="F12361" s="424"/>
      <c r="G12361" s="425"/>
      <c r="H12361" s="305"/>
      <c r="I12361" s="305"/>
      <c r="J12361" s="305"/>
      <c r="K12361" s="305"/>
      <c r="L12361" s="305"/>
      <c r="M12361" s="305"/>
    </row>
    <row r="12362" spans="1:13" x14ac:dyDescent="0.25">
      <c r="A12362" s="305"/>
      <c r="B12362" s="305"/>
      <c r="C12362" s="305"/>
      <c r="D12362" s="305"/>
      <c r="E12362" s="424"/>
      <c r="F12362" s="424"/>
      <c r="G12362" s="425"/>
      <c r="H12362" s="305"/>
      <c r="I12362" s="305"/>
      <c r="J12362" s="305"/>
      <c r="K12362" s="305"/>
      <c r="L12362" s="305"/>
      <c r="M12362" s="305"/>
    </row>
    <row r="12363" spans="1:13" x14ac:dyDescent="0.25">
      <c r="A12363" s="305"/>
      <c r="B12363" s="305"/>
      <c r="C12363" s="305"/>
      <c r="D12363" s="305"/>
      <c r="E12363" s="424"/>
      <c r="F12363" s="424"/>
      <c r="G12363" s="425"/>
      <c r="H12363" s="305"/>
      <c r="I12363" s="305"/>
      <c r="J12363" s="305"/>
      <c r="K12363" s="305"/>
      <c r="L12363" s="305"/>
      <c r="M12363" s="305"/>
    </row>
    <row r="12364" spans="1:13" x14ac:dyDescent="0.25">
      <c r="A12364" s="305"/>
      <c r="B12364" s="305"/>
      <c r="C12364" s="305"/>
      <c r="D12364" s="305"/>
      <c r="E12364" s="424"/>
      <c r="F12364" s="424"/>
      <c r="G12364" s="425"/>
      <c r="H12364" s="305"/>
      <c r="I12364" s="305"/>
      <c r="J12364" s="305"/>
      <c r="K12364" s="305"/>
      <c r="L12364" s="305"/>
      <c r="M12364" s="305"/>
    </row>
    <row r="12365" spans="1:13" x14ac:dyDescent="0.25">
      <c r="A12365" s="305"/>
      <c r="B12365" s="305"/>
      <c r="C12365" s="305"/>
      <c r="D12365" s="305"/>
      <c r="E12365" s="424"/>
      <c r="F12365" s="424"/>
      <c r="G12365" s="425"/>
      <c r="H12365" s="305"/>
      <c r="I12365" s="305"/>
      <c r="J12365" s="305"/>
      <c r="K12365" s="305"/>
      <c r="L12365" s="305"/>
      <c r="M12365" s="305"/>
    </row>
    <row r="12366" spans="1:13" x14ac:dyDescent="0.25">
      <c r="A12366" s="305"/>
      <c r="B12366" s="305"/>
      <c r="C12366" s="305"/>
      <c r="D12366" s="305"/>
      <c r="E12366" s="424"/>
      <c r="F12366" s="424"/>
      <c r="G12366" s="425"/>
      <c r="H12366" s="305"/>
      <c r="I12366" s="305"/>
      <c r="J12366" s="305"/>
      <c r="K12366" s="305"/>
      <c r="L12366" s="305"/>
      <c r="M12366" s="305"/>
    </row>
    <row r="12367" spans="1:13" x14ac:dyDescent="0.25">
      <c r="A12367" s="305"/>
      <c r="B12367" s="305"/>
      <c r="C12367" s="305"/>
      <c r="D12367" s="305"/>
      <c r="E12367" s="424"/>
      <c r="F12367" s="424"/>
      <c r="G12367" s="425"/>
      <c r="H12367" s="305"/>
      <c r="I12367" s="305"/>
      <c r="J12367" s="305"/>
      <c r="K12367" s="305"/>
      <c r="L12367" s="305"/>
      <c r="M12367" s="305"/>
    </row>
    <row r="12368" spans="1:13" x14ac:dyDescent="0.25">
      <c r="A12368" s="305"/>
      <c r="B12368" s="305"/>
      <c r="C12368" s="305"/>
      <c r="D12368" s="305"/>
      <c r="E12368" s="424"/>
      <c r="F12368" s="424"/>
      <c r="G12368" s="425"/>
      <c r="H12368" s="305"/>
      <c r="I12368" s="305"/>
      <c r="J12368" s="305"/>
      <c r="K12368" s="305"/>
      <c r="L12368" s="305"/>
      <c r="M12368" s="305"/>
    </row>
    <row r="12369" spans="1:13" x14ac:dyDescent="0.25">
      <c r="A12369" s="305"/>
      <c r="B12369" s="305"/>
      <c r="C12369" s="305"/>
      <c r="D12369" s="305"/>
      <c r="E12369" s="424"/>
      <c r="F12369" s="424"/>
      <c r="G12369" s="425"/>
      <c r="H12369" s="305"/>
      <c r="I12369" s="305"/>
      <c r="J12369" s="305"/>
      <c r="K12369" s="305"/>
      <c r="L12369" s="305"/>
      <c r="M12369" s="305"/>
    </row>
    <row r="12370" spans="1:13" x14ac:dyDescent="0.25">
      <c r="A12370" s="305"/>
      <c r="B12370" s="305"/>
      <c r="C12370" s="305"/>
      <c r="D12370" s="305"/>
      <c r="E12370" s="424"/>
      <c r="F12370" s="424"/>
      <c r="G12370" s="425"/>
      <c r="H12370" s="305"/>
      <c r="I12370" s="305"/>
      <c r="J12370" s="305"/>
      <c r="K12370" s="305"/>
      <c r="L12370" s="305"/>
      <c r="M12370" s="305"/>
    </row>
    <row r="12371" spans="1:13" x14ac:dyDescent="0.25">
      <c r="A12371" s="305"/>
      <c r="B12371" s="305"/>
      <c r="C12371" s="305"/>
      <c r="D12371" s="305"/>
      <c r="E12371" s="424"/>
      <c r="F12371" s="424"/>
      <c r="G12371" s="425"/>
      <c r="H12371" s="305"/>
      <c r="I12371" s="305"/>
      <c r="J12371" s="305"/>
      <c r="K12371" s="305"/>
      <c r="L12371" s="305"/>
      <c r="M12371" s="305"/>
    </row>
    <row r="12372" spans="1:13" x14ac:dyDescent="0.25">
      <c r="A12372" s="305"/>
      <c r="B12372" s="305"/>
      <c r="C12372" s="305"/>
      <c r="D12372" s="305"/>
      <c r="E12372" s="424"/>
      <c r="F12372" s="424"/>
      <c r="G12372" s="425"/>
      <c r="H12372" s="305"/>
      <c r="I12372" s="305"/>
      <c r="J12372" s="305"/>
      <c r="K12372" s="305"/>
      <c r="L12372" s="305"/>
      <c r="M12372" s="305"/>
    </row>
    <row r="12373" spans="1:13" x14ac:dyDescent="0.25">
      <c r="A12373" s="305"/>
      <c r="B12373" s="305"/>
      <c r="C12373" s="305"/>
      <c r="D12373" s="305"/>
      <c r="E12373" s="424"/>
      <c r="F12373" s="424"/>
      <c r="G12373" s="425"/>
      <c r="H12373" s="305"/>
      <c r="I12373" s="305"/>
      <c r="J12373" s="305"/>
      <c r="K12373" s="305"/>
      <c r="L12373" s="305"/>
      <c r="M12373" s="305"/>
    </row>
    <row r="12374" spans="1:13" x14ac:dyDescent="0.25">
      <c r="A12374" s="305"/>
      <c r="B12374" s="305"/>
      <c r="C12374" s="305"/>
      <c r="D12374" s="305"/>
      <c r="E12374" s="424"/>
      <c r="F12374" s="424"/>
      <c r="G12374" s="425"/>
      <c r="H12374" s="305"/>
      <c r="I12374" s="305"/>
      <c r="J12374" s="305"/>
      <c r="K12374" s="305"/>
      <c r="L12374" s="305"/>
      <c r="M12374" s="305"/>
    </row>
    <row r="12375" spans="1:13" x14ac:dyDescent="0.25">
      <c r="A12375" s="305"/>
      <c r="B12375" s="305"/>
      <c r="C12375" s="305"/>
      <c r="D12375" s="305"/>
      <c r="E12375" s="424"/>
      <c r="F12375" s="424"/>
      <c r="G12375" s="425"/>
      <c r="H12375" s="305"/>
      <c r="I12375" s="305"/>
      <c r="J12375" s="305"/>
      <c r="K12375" s="305"/>
      <c r="L12375" s="305"/>
      <c r="M12375" s="305"/>
    </row>
    <row r="12376" spans="1:13" x14ac:dyDescent="0.25">
      <c r="A12376" s="305"/>
      <c r="B12376" s="305"/>
      <c r="C12376" s="305"/>
      <c r="D12376" s="305"/>
      <c r="E12376" s="424"/>
      <c r="F12376" s="424"/>
      <c r="G12376" s="425"/>
      <c r="H12376" s="305"/>
      <c r="I12376" s="305"/>
      <c r="J12376" s="305"/>
      <c r="K12376" s="305"/>
      <c r="L12376" s="305"/>
      <c r="M12376" s="305"/>
    </row>
    <row r="12377" spans="1:13" x14ac:dyDescent="0.25">
      <c r="A12377" s="305"/>
      <c r="B12377" s="305"/>
      <c r="C12377" s="305"/>
      <c r="D12377" s="305"/>
      <c r="E12377" s="424"/>
      <c r="F12377" s="424"/>
      <c r="G12377" s="425"/>
      <c r="H12377" s="305"/>
      <c r="I12377" s="305"/>
      <c r="J12377" s="305"/>
      <c r="K12377" s="305"/>
      <c r="L12377" s="305"/>
      <c r="M12377" s="305"/>
    </row>
    <row r="12378" spans="1:13" x14ac:dyDescent="0.25">
      <c r="A12378" s="305"/>
      <c r="B12378" s="305"/>
      <c r="C12378" s="305"/>
      <c r="D12378" s="305"/>
      <c r="E12378" s="424"/>
      <c r="F12378" s="424"/>
      <c r="G12378" s="425"/>
      <c r="H12378" s="305"/>
      <c r="I12378" s="305"/>
      <c r="J12378" s="305"/>
      <c r="K12378" s="305"/>
      <c r="L12378" s="305"/>
      <c r="M12378" s="305"/>
    </row>
    <row r="12379" spans="1:13" x14ac:dyDescent="0.25">
      <c r="A12379" s="305"/>
      <c r="B12379" s="305"/>
      <c r="C12379" s="305"/>
      <c r="D12379" s="305"/>
      <c r="E12379" s="424"/>
      <c r="F12379" s="424"/>
      <c r="G12379" s="425"/>
      <c r="H12379" s="305"/>
      <c r="I12379" s="305"/>
      <c r="J12379" s="305"/>
      <c r="K12379" s="305"/>
      <c r="L12379" s="305"/>
      <c r="M12379" s="305"/>
    </row>
    <row r="12380" spans="1:13" x14ac:dyDescent="0.25">
      <c r="A12380" s="305"/>
      <c r="B12380" s="305"/>
      <c r="C12380" s="305"/>
      <c r="D12380" s="305"/>
      <c r="E12380" s="424"/>
      <c r="F12380" s="424"/>
      <c r="G12380" s="425"/>
      <c r="H12380" s="305"/>
      <c r="I12380" s="305"/>
      <c r="J12380" s="305"/>
      <c r="K12380" s="305"/>
      <c r="L12380" s="305"/>
      <c r="M12380" s="305"/>
    </row>
    <row r="12381" spans="1:13" x14ac:dyDescent="0.25">
      <c r="A12381" s="305"/>
      <c r="B12381" s="305"/>
      <c r="C12381" s="305"/>
      <c r="D12381" s="305"/>
      <c r="E12381" s="424"/>
      <c r="F12381" s="424"/>
      <c r="G12381" s="425"/>
      <c r="H12381" s="305"/>
      <c r="I12381" s="305"/>
      <c r="J12381" s="305"/>
      <c r="K12381" s="305"/>
      <c r="L12381" s="305"/>
      <c r="M12381" s="305"/>
    </row>
    <row r="12382" spans="1:13" x14ac:dyDescent="0.25">
      <c r="A12382" s="305"/>
      <c r="B12382" s="305"/>
      <c r="C12382" s="305"/>
      <c r="D12382" s="305"/>
      <c r="E12382" s="424"/>
      <c r="F12382" s="424"/>
      <c r="G12382" s="425"/>
      <c r="H12382" s="305"/>
      <c r="I12382" s="305"/>
      <c r="J12382" s="305"/>
      <c r="K12382" s="305"/>
      <c r="L12382" s="305"/>
      <c r="M12382" s="305"/>
    </row>
    <row r="12383" spans="1:13" x14ac:dyDescent="0.25">
      <c r="A12383" s="305"/>
      <c r="B12383" s="305"/>
      <c r="C12383" s="305"/>
      <c r="D12383" s="305"/>
      <c r="E12383" s="424"/>
      <c r="F12383" s="424"/>
      <c r="G12383" s="425"/>
      <c r="H12383" s="305"/>
      <c r="I12383" s="305"/>
      <c r="J12383" s="305"/>
      <c r="K12383" s="305"/>
      <c r="L12383" s="305"/>
      <c r="M12383" s="305"/>
    </row>
    <row r="12384" spans="1:13" x14ac:dyDescent="0.25">
      <c r="A12384" s="305"/>
      <c r="B12384" s="305"/>
      <c r="C12384" s="305"/>
      <c r="D12384" s="305"/>
      <c r="E12384" s="424"/>
      <c r="F12384" s="424"/>
      <c r="G12384" s="425"/>
      <c r="H12384" s="305"/>
      <c r="I12384" s="305"/>
      <c r="J12384" s="305"/>
      <c r="K12384" s="305"/>
      <c r="L12384" s="305"/>
      <c r="M12384" s="305"/>
    </row>
    <row r="12385" spans="1:13" x14ac:dyDescent="0.25">
      <c r="A12385" s="305"/>
      <c r="B12385" s="305"/>
      <c r="C12385" s="305"/>
      <c r="D12385" s="305"/>
      <c r="E12385" s="424"/>
      <c r="F12385" s="424"/>
      <c r="G12385" s="425"/>
      <c r="H12385" s="305"/>
      <c r="I12385" s="305"/>
      <c r="J12385" s="305"/>
      <c r="K12385" s="305"/>
      <c r="L12385" s="305"/>
      <c r="M12385" s="305"/>
    </row>
    <row r="12386" spans="1:13" x14ac:dyDescent="0.25">
      <c r="A12386" s="305"/>
      <c r="B12386" s="305"/>
      <c r="C12386" s="305"/>
      <c r="D12386" s="305"/>
      <c r="E12386" s="424"/>
      <c r="F12386" s="424"/>
      <c r="G12386" s="425"/>
      <c r="H12386" s="305"/>
      <c r="I12386" s="305"/>
      <c r="J12386" s="305"/>
      <c r="K12386" s="305"/>
      <c r="L12386" s="305"/>
      <c r="M12386" s="305"/>
    </row>
    <row r="12387" spans="1:13" x14ac:dyDescent="0.25">
      <c r="A12387" s="305"/>
      <c r="B12387" s="305"/>
      <c r="C12387" s="305"/>
      <c r="D12387" s="305"/>
      <c r="E12387" s="424"/>
      <c r="F12387" s="424"/>
      <c r="G12387" s="425"/>
      <c r="H12387" s="305"/>
      <c r="I12387" s="305"/>
      <c r="J12387" s="305"/>
      <c r="K12387" s="305"/>
      <c r="L12387" s="305"/>
      <c r="M12387" s="305"/>
    </row>
    <row r="12388" spans="1:13" x14ac:dyDescent="0.25">
      <c r="A12388" s="305"/>
      <c r="B12388" s="305"/>
      <c r="C12388" s="305"/>
      <c r="D12388" s="305"/>
      <c r="E12388" s="424"/>
      <c r="F12388" s="424"/>
      <c r="G12388" s="425"/>
      <c r="H12388" s="305"/>
      <c r="I12388" s="305"/>
      <c r="J12388" s="305"/>
      <c r="K12388" s="305"/>
      <c r="L12388" s="305"/>
      <c r="M12388" s="305"/>
    </row>
    <row r="12389" spans="1:13" x14ac:dyDescent="0.25">
      <c r="A12389" s="305"/>
      <c r="B12389" s="305"/>
      <c r="C12389" s="305"/>
      <c r="D12389" s="305"/>
      <c r="E12389" s="424"/>
      <c r="F12389" s="424"/>
      <c r="G12389" s="425"/>
      <c r="H12389" s="305"/>
      <c r="I12389" s="305"/>
      <c r="J12389" s="305"/>
      <c r="K12389" s="305"/>
      <c r="L12389" s="305"/>
      <c r="M12389" s="305"/>
    </row>
    <row r="12390" spans="1:13" x14ac:dyDescent="0.25">
      <c r="A12390" s="305"/>
      <c r="B12390" s="305"/>
      <c r="C12390" s="305"/>
      <c r="D12390" s="305"/>
      <c r="E12390" s="424"/>
      <c r="F12390" s="424"/>
      <c r="G12390" s="425"/>
      <c r="H12390" s="305"/>
      <c r="I12390" s="305"/>
      <c r="J12390" s="305"/>
      <c r="K12390" s="305"/>
      <c r="L12390" s="305"/>
      <c r="M12390" s="305"/>
    </row>
    <row r="12391" spans="1:13" x14ac:dyDescent="0.25">
      <c r="A12391" s="305"/>
      <c r="B12391" s="305"/>
      <c r="C12391" s="305"/>
      <c r="D12391" s="305"/>
      <c r="E12391" s="424"/>
      <c r="F12391" s="424"/>
      <c r="G12391" s="425"/>
      <c r="H12391" s="305"/>
      <c r="I12391" s="305"/>
      <c r="J12391" s="305"/>
      <c r="K12391" s="305"/>
      <c r="L12391" s="305"/>
      <c r="M12391" s="305"/>
    </row>
    <row r="12392" spans="1:13" x14ac:dyDescent="0.25">
      <c r="A12392" s="305"/>
      <c r="B12392" s="305"/>
      <c r="C12392" s="305"/>
      <c r="D12392" s="305"/>
      <c r="E12392" s="424"/>
      <c r="F12392" s="424"/>
      <c r="G12392" s="425"/>
      <c r="H12392" s="305"/>
      <c r="I12392" s="305"/>
      <c r="J12392" s="305"/>
      <c r="K12392" s="305"/>
      <c r="L12392" s="305"/>
      <c r="M12392" s="305"/>
    </row>
    <row r="12393" spans="1:13" x14ac:dyDescent="0.25">
      <c r="A12393" s="305"/>
      <c r="B12393" s="305"/>
      <c r="C12393" s="305"/>
      <c r="D12393" s="305"/>
      <c r="E12393" s="424"/>
      <c r="F12393" s="424"/>
      <c r="G12393" s="425"/>
      <c r="H12393" s="305"/>
      <c r="I12393" s="305"/>
      <c r="J12393" s="305"/>
      <c r="K12393" s="305"/>
      <c r="L12393" s="305"/>
      <c r="M12393" s="305"/>
    </row>
    <row r="12394" spans="1:13" x14ac:dyDescent="0.25">
      <c r="A12394" s="305"/>
      <c r="B12394" s="305"/>
      <c r="C12394" s="305"/>
      <c r="D12394" s="305"/>
      <c r="E12394" s="424"/>
      <c r="F12394" s="424"/>
      <c r="G12394" s="425"/>
      <c r="H12394" s="305"/>
      <c r="I12394" s="305"/>
      <c r="J12394" s="305"/>
      <c r="K12394" s="305"/>
      <c r="L12394" s="305"/>
      <c r="M12394" s="305"/>
    </row>
    <row r="12395" spans="1:13" x14ac:dyDescent="0.25">
      <c r="A12395" s="305"/>
      <c r="B12395" s="305"/>
      <c r="C12395" s="305"/>
      <c r="D12395" s="305"/>
      <c r="E12395" s="424"/>
      <c r="F12395" s="424"/>
      <c r="G12395" s="425"/>
      <c r="H12395" s="305"/>
      <c r="I12395" s="305"/>
      <c r="J12395" s="305"/>
      <c r="K12395" s="305"/>
      <c r="L12395" s="305"/>
      <c r="M12395" s="305"/>
    </row>
    <row r="12396" spans="1:13" x14ac:dyDescent="0.25">
      <c r="A12396" s="305"/>
      <c r="B12396" s="305"/>
      <c r="C12396" s="305"/>
      <c r="D12396" s="305"/>
      <c r="E12396" s="424"/>
      <c r="F12396" s="424"/>
      <c r="G12396" s="425"/>
      <c r="H12396" s="305"/>
      <c r="I12396" s="305"/>
      <c r="J12396" s="305"/>
      <c r="K12396" s="305"/>
      <c r="L12396" s="305"/>
      <c r="M12396" s="305"/>
    </row>
    <row r="12397" spans="1:13" x14ac:dyDescent="0.25">
      <c r="A12397" s="305"/>
      <c r="B12397" s="305"/>
      <c r="C12397" s="305"/>
      <c r="D12397" s="305"/>
      <c r="E12397" s="424"/>
      <c r="F12397" s="424"/>
      <c r="G12397" s="425"/>
      <c r="H12397" s="305"/>
      <c r="I12397" s="305"/>
      <c r="J12397" s="305"/>
      <c r="K12397" s="305"/>
      <c r="L12397" s="305"/>
      <c r="M12397" s="305"/>
    </row>
    <row r="12398" spans="1:13" x14ac:dyDescent="0.25">
      <c r="A12398" s="305"/>
      <c r="B12398" s="305"/>
      <c r="C12398" s="305"/>
      <c r="D12398" s="305"/>
      <c r="E12398" s="424"/>
      <c r="F12398" s="424"/>
      <c r="G12398" s="425"/>
      <c r="H12398" s="305"/>
      <c r="I12398" s="305"/>
      <c r="J12398" s="305"/>
      <c r="K12398" s="305"/>
      <c r="L12398" s="305"/>
      <c r="M12398" s="305"/>
    </row>
    <row r="12399" spans="1:13" x14ac:dyDescent="0.25">
      <c r="A12399" s="305"/>
      <c r="B12399" s="305"/>
      <c r="C12399" s="305"/>
      <c r="D12399" s="305"/>
      <c r="E12399" s="424"/>
      <c r="F12399" s="424"/>
      <c r="G12399" s="425"/>
      <c r="H12399" s="305"/>
      <c r="I12399" s="305"/>
      <c r="J12399" s="305"/>
      <c r="K12399" s="305"/>
      <c r="L12399" s="305"/>
      <c r="M12399" s="305"/>
    </row>
    <row r="12400" spans="1:13" x14ac:dyDescent="0.25">
      <c r="A12400" s="305"/>
      <c r="B12400" s="305"/>
      <c r="C12400" s="305"/>
      <c r="D12400" s="305"/>
      <c r="E12400" s="424"/>
      <c r="F12400" s="424"/>
      <c r="G12400" s="425"/>
      <c r="H12400" s="305"/>
      <c r="I12400" s="305"/>
      <c r="J12400" s="305"/>
      <c r="K12400" s="305"/>
      <c r="L12400" s="305"/>
      <c r="M12400" s="305"/>
    </row>
    <row r="12401" spans="1:13" x14ac:dyDescent="0.25">
      <c r="A12401" s="305"/>
      <c r="B12401" s="305"/>
      <c r="C12401" s="305"/>
      <c r="D12401" s="305"/>
      <c r="E12401" s="424"/>
      <c r="F12401" s="424"/>
      <c r="G12401" s="425"/>
      <c r="H12401" s="305"/>
      <c r="I12401" s="305"/>
      <c r="J12401" s="305"/>
      <c r="K12401" s="305"/>
      <c r="L12401" s="305"/>
      <c r="M12401" s="305"/>
    </row>
    <row r="12402" spans="1:13" x14ac:dyDescent="0.25">
      <c r="A12402" s="305"/>
      <c r="B12402" s="305"/>
      <c r="C12402" s="305"/>
      <c r="D12402" s="305"/>
      <c r="E12402" s="424"/>
      <c r="F12402" s="424"/>
      <c r="G12402" s="425"/>
      <c r="H12402" s="305"/>
      <c r="I12402" s="305"/>
      <c r="J12402" s="305"/>
      <c r="K12402" s="305"/>
      <c r="L12402" s="305"/>
      <c r="M12402" s="305"/>
    </row>
    <row r="12403" spans="1:13" x14ac:dyDescent="0.25">
      <c r="A12403" s="305"/>
      <c r="B12403" s="305"/>
      <c r="C12403" s="305"/>
      <c r="D12403" s="305"/>
      <c r="E12403" s="424"/>
      <c r="F12403" s="424"/>
      <c r="G12403" s="425"/>
      <c r="H12403" s="305"/>
      <c r="I12403" s="305"/>
      <c r="J12403" s="305"/>
      <c r="K12403" s="305"/>
      <c r="L12403" s="305"/>
      <c r="M12403" s="305"/>
    </row>
    <row r="12404" spans="1:13" x14ac:dyDescent="0.25">
      <c r="A12404" s="305"/>
      <c r="B12404" s="305"/>
      <c r="C12404" s="305"/>
      <c r="D12404" s="305"/>
      <c r="E12404" s="424"/>
      <c r="F12404" s="424"/>
      <c r="G12404" s="425"/>
      <c r="H12404" s="305"/>
      <c r="I12404" s="305"/>
      <c r="J12404" s="305"/>
      <c r="K12404" s="305"/>
      <c r="L12404" s="305"/>
      <c r="M12404" s="305"/>
    </row>
    <row r="12405" spans="1:13" x14ac:dyDescent="0.25">
      <c r="A12405" s="305"/>
      <c r="B12405" s="305"/>
      <c r="C12405" s="305"/>
      <c r="D12405" s="305"/>
      <c r="E12405" s="424"/>
      <c r="F12405" s="424"/>
      <c r="G12405" s="425"/>
      <c r="H12405" s="305"/>
      <c r="I12405" s="305"/>
      <c r="J12405" s="305"/>
      <c r="K12405" s="305"/>
      <c r="L12405" s="305"/>
      <c r="M12405" s="305"/>
    </row>
    <row r="12406" spans="1:13" x14ac:dyDescent="0.25">
      <c r="A12406" s="305"/>
      <c r="B12406" s="305"/>
      <c r="C12406" s="305"/>
      <c r="D12406" s="305"/>
      <c r="E12406" s="424"/>
      <c r="F12406" s="424"/>
      <c r="G12406" s="425"/>
      <c r="H12406" s="305"/>
      <c r="I12406" s="305"/>
      <c r="J12406" s="305"/>
      <c r="K12406" s="305"/>
      <c r="L12406" s="305"/>
      <c r="M12406" s="305"/>
    </row>
    <row r="12407" spans="1:13" x14ac:dyDescent="0.25">
      <c r="A12407" s="305"/>
      <c r="B12407" s="305"/>
      <c r="C12407" s="305"/>
      <c r="D12407" s="305"/>
      <c r="E12407" s="424"/>
      <c r="F12407" s="424"/>
      <c r="G12407" s="425"/>
      <c r="H12407" s="305"/>
      <c r="I12407" s="305"/>
      <c r="J12407" s="305"/>
      <c r="K12407" s="305"/>
      <c r="L12407" s="305"/>
      <c r="M12407" s="305"/>
    </row>
    <row r="12408" spans="1:13" x14ac:dyDescent="0.25">
      <c r="A12408" s="305"/>
      <c r="B12408" s="305"/>
      <c r="C12408" s="305"/>
      <c r="D12408" s="305"/>
      <c r="E12408" s="424"/>
      <c r="F12408" s="424"/>
      <c r="G12408" s="425"/>
      <c r="H12408" s="305"/>
      <c r="I12408" s="305"/>
      <c r="J12408" s="305"/>
      <c r="K12408" s="305"/>
      <c r="L12408" s="305"/>
      <c r="M12408" s="305"/>
    </row>
    <row r="12409" spans="1:13" x14ac:dyDescent="0.25">
      <c r="A12409" s="305"/>
      <c r="B12409" s="305"/>
      <c r="C12409" s="305"/>
      <c r="D12409" s="305"/>
      <c r="E12409" s="424"/>
      <c r="F12409" s="424"/>
      <c r="G12409" s="425"/>
      <c r="H12409" s="305"/>
      <c r="I12409" s="305"/>
      <c r="J12409" s="305"/>
      <c r="K12409" s="305"/>
      <c r="L12409" s="305"/>
      <c r="M12409" s="305"/>
    </row>
    <row r="12410" spans="1:13" x14ac:dyDescent="0.25">
      <c r="A12410" s="305"/>
      <c r="B12410" s="305"/>
      <c r="C12410" s="305"/>
      <c r="D12410" s="305"/>
      <c r="E12410" s="424"/>
      <c r="F12410" s="424"/>
      <c r="G12410" s="425"/>
      <c r="H12410" s="305"/>
      <c r="I12410" s="305"/>
      <c r="J12410" s="305"/>
      <c r="K12410" s="305"/>
      <c r="L12410" s="305"/>
      <c r="M12410" s="305"/>
    </row>
    <row r="12411" spans="1:13" x14ac:dyDescent="0.25">
      <c r="A12411" s="305"/>
      <c r="B12411" s="305"/>
      <c r="C12411" s="305"/>
      <c r="D12411" s="305"/>
      <c r="E12411" s="424"/>
      <c r="F12411" s="424"/>
      <c r="G12411" s="425"/>
      <c r="H12411" s="305"/>
      <c r="I12411" s="305"/>
      <c r="J12411" s="305"/>
      <c r="K12411" s="305"/>
      <c r="L12411" s="305"/>
      <c r="M12411" s="305"/>
    </row>
    <row r="12412" spans="1:13" x14ac:dyDescent="0.25">
      <c r="A12412" s="305"/>
      <c r="B12412" s="305"/>
      <c r="C12412" s="305"/>
      <c r="D12412" s="305"/>
      <c r="E12412" s="424"/>
      <c r="F12412" s="424"/>
      <c r="G12412" s="425"/>
      <c r="H12412" s="305"/>
      <c r="I12412" s="305"/>
      <c r="J12412" s="305"/>
      <c r="K12412" s="305"/>
      <c r="L12412" s="305"/>
      <c r="M12412" s="305"/>
    </row>
    <row r="12413" spans="1:13" x14ac:dyDescent="0.25">
      <c r="A12413" s="305"/>
      <c r="B12413" s="305"/>
      <c r="C12413" s="305"/>
      <c r="D12413" s="305"/>
      <c r="E12413" s="424"/>
      <c r="F12413" s="424"/>
      <c r="G12413" s="425"/>
      <c r="H12413" s="305"/>
      <c r="I12413" s="305"/>
      <c r="J12413" s="305"/>
      <c r="K12413" s="305"/>
      <c r="L12413" s="305"/>
      <c r="M12413" s="305"/>
    </row>
    <row r="12414" spans="1:13" x14ac:dyDescent="0.25">
      <c r="A12414" s="305"/>
      <c r="B12414" s="305"/>
      <c r="C12414" s="305"/>
      <c r="D12414" s="305"/>
      <c r="E12414" s="424"/>
      <c r="F12414" s="424"/>
      <c r="G12414" s="425"/>
      <c r="H12414" s="305"/>
      <c r="I12414" s="305"/>
      <c r="J12414" s="305"/>
      <c r="K12414" s="305"/>
      <c r="L12414" s="305"/>
      <c r="M12414" s="305"/>
    </row>
    <row r="12415" spans="1:13" x14ac:dyDescent="0.25">
      <c r="A12415" s="305"/>
      <c r="B12415" s="305"/>
      <c r="C12415" s="305"/>
      <c r="D12415" s="305"/>
      <c r="E12415" s="424"/>
      <c r="F12415" s="424"/>
      <c r="G12415" s="425"/>
      <c r="H12415" s="305"/>
      <c r="I12415" s="305"/>
      <c r="J12415" s="305"/>
      <c r="K12415" s="305"/>
      <c r="L12415" s="305"/>
      <c r="M12415" s="305"/>
    </row>
    <row r="12416" spans="1:13" x14ac:dyDescent="0.25">
      <c r="A12416" s="305"/>
      <c r="B12416" s="305"/>
      <c r="C12416" s="305"/>
      <c r="D12416" s="305"/>
      <c r="E12416" s="424"/>
      <c r="F12416" s="424"/>
      <c r="G12416" s="425"/>
      <c r="H12416" s="305"/>
      <c r="I12416" s="305"/>
      <c r="J12416" s="305"/>
      <c r="K12416" s="305"/>
      <c r="L12416" s="305"/>
      <c r="M12416" s="305"/>
    </row>
    <row r="12417" spans="1:13" x14ac:dyDescent="0.25">
      <c r="A12417" s="305"/>
      <c r="B12417" s="305"/>
      <c r="C12417" s="305"/>
      <c r="D12417" s="305"/>
      <c r="E12417" s="424"/>
      <c r="F12417" s="424"/>
      <c r="G12417" s="425"/>
      <c r="H12417" s="305"/>
      <c r="I12417" s="305"/>
      <c r="J12417" s="305"/>
      <c r="K12417" s="305"/>
      <c r="L12417" s="305"/>
      <c r="M12417" s="305"/>
    </row>
    <row r="12418" spans="1:13" x14ac:dyDescent="0.25">
      <c r="A12418" s="305"/>
      <c r="B12418" s="305"/>
      <c r="C12418" s="305"/>
      <c r="D12418" s="305"/>
      <c r="E12418" s="424"/>
      <c r="F12418" s="424"/>
      <c r="G12418" s="425"/>
      <c r="H12418" s="305"/>
      <c r="I12418" s="305"/>
      <c r="J12418" s="305"/>
      <c r="K12418" s="305"/>
      <c r="L12418" s="305"/>
      <c r="M12418" s="305"/>
    </row>
    <row r="12419" spans="1:13" x14ac:dyDescent="0.25">
      <c r="A12419" s="305"/>
      <c r="B12419" s="305"/>
      <c r="C12419" s="305"/>
      <c r="D12419" s="305"/>
      <c r="E12419" s="424"/>
      <c r="F12419" s="424"/>
      <c r="G12419" s="425"/>
      <c r="H12419" s="305"/>
      <c r="I12419" s="305"/>
      <c r="J12419" s="305"/>
      <c r="K12419" s="305"/>
      <c r="L12419" s="305"/>
      <c r="M12419" s="305"/>
    </row>
    <row r="12420" spans="1:13" x14ac:dyDescent="0.25">
      <c r="A12420" s="305"/>
      <c r="B12420" s="305"/>
      <c r="C12420" s="305"/>
      <c r="D12420" s="305"/>
      <c r="E12420" s="424"/>
      <c r="F12420" s="424"/>
      <c r="G12420" s="425"/>
      <c r="H12420" s="305"/>
      <c r="I12420" s="305"/>
      <c r="J12420" s="305"/>
      <c r="K12420" s="305"/>
      <c r="L12420" s="305"/>
      <c r="M12420" s="305"/>
    </row>
    <row r="12421" spans="1:13" x14ac:dyDescent="0.25">
      <c r="A12421" s="305"/>
      <c r="B12421" s="305"/>
      <c r="C12421" s="305"/>
      <c r="D12421" s="305"/>
      <c r="E12421" s="424"/>
      <c r="F12421" s="424"/>
      <c r="G12421" s="425"/>
      <c r="H12421" s="305"/>
      <c r="I12421" s="305"/>
      <c r="J12421" s="305"/>
      <c r="K12421" s="305"/>
      <c r="L12421" s="305"/>
      <c r="M12421" s="305"/>
    </row>
    <row r="12422" spans="1:13" x14ac:dyDescent="0.25">
      <c r="A12422" s="305"/>
      <c r="B12422" s="305"/>
      <c r="C12422" s="305"/>
      <c r="D12422" s="305"/>
      <c r="E12422" s="424"/>
      <c r="F12422" s="424"/>
      <c r="G12422" s="425"/>
      <c r="H12422" s="305"/>
      <c r="I12422" s="305"/>
      <c r="J12422" s="305"/>
      <c r="K12422" s="305"/>
      <c r="L12422" s="305"/>
      <c r="M12422" s="305"/>
    </row>
    <row r="12423" spans="1:13" x14ac:dyDescent="0.25">
      <c r="A12423" s="305"/>
      <c r="B12423" s="305"/>
      <c r="C12423" s="305"/>
      <c r="D12423" s="305"/>
      <c r="E12423" s="424"/>
      <c r="F12423" s="424"/>
      <c r="G12423" s="425"/>
      <c r="H12423" s="305"/>
      <c r="I12423" s="305"/>
      <c r="J12423" s="305"/>
      <c r="K12423" s="305"/>
      <c r="L12423" s="305"/>
      <c r="M12423" s="305"/>
    </row>
    <row r="12424" spans="1:13" x14ac:dyDescent="0.25">
      <c r="A12424" s="305"/>
      <c r="B12424" s="305"/>
      <c r="C12424" s="305"/>
      <c r="D12424" s="305"/>
      <c r="E12424" s="424"/>
      <c r="F12424" s="424"/>
      <c r="G12424" s="425"/>
      <c r="H12424" s="305"/>
      <c r="I12424" s="305"/>
      <c r="J12424" s="305"/>
      <c r="K12424" s="305"/>
      <c r="L12424" s="305"/>
      <c r="M12424" s="305"/>
    </row>
    <row r="12425" spans="1:13" x14ac:dyDescent="0.25">
      <c r="A12425" s="305"/>
      <c r="B12425" s="305"/>
      <c r="C12425" s="305"/>
      <c r="D12425" s="305"/>
      <c r="E12425" s="424"/>
      <c r="F12425" s="424"/>
      <c r="G12425" s="425"/>
      <c r="H12425" s="305"/>
      <c r="I12425" s="305"/>
      <c r="J12425" s="305"/>
      <c r="K12425" s="305"/>
      <c r="L12425" s="305"/>
      <c r="M12425" s="305"/>
    </row>
    <row r="12426" spans="1:13" x14ac:dyDescent="0.25">
      <c r="A12426" s="305"/>
      <c r="B12426" s="305"/>
      <c r="C12426" s="305"/>
      <c r="D12426" s="305"/>
      <c r="E12426" s="424"/>
      <c r="F12426" s="424"/>
      <c r="G12426" s="425"/>
      <c r="H12426" s="305"/>
      <c r="I12426" s="305"/>
      <c r="J12426" s="305"/>
      <c r="K12426" s="305"/>
      <c r="L12426" s="305"/>
      <c r="M12426" s="305"/>
    </row>
    <row r="12427" spans="1:13" x14ac:dyDescent="0.25">
      <c r="A12427" s="305"/>
      <c r="B12427" s="305"/>
      <c r="C12427" s="305"/>
      <c r="D12427" s="305"/>
      <c r="E12427" s="424"/>
      <c r="F12427" s="424"/>
      <c r="G12427" s="425"/>
      <c r="H12427" s="305"/>
      <c r="I12427" s="305"/>
      <c r="J12427" s="305"/>
      <c r="K12427" s="305"/>
      <c r="L12427" s="305"/>
      <c r="M12427" s="305"/>
    </row>
    <row r="12428" spans="1:13" x14ac:dyDescent="0.25">
      <c r="A12428" s="305"/>
      <c r="B12428" s="305"/>
      <c r="C12428" s="305"/>
      <c r="D12428" s="305"/>
      <c r="E12428" s="424"/>
      <c r="F12428" s="424"/>
      <c r="G12428" s="425"/>
      <c r="H12428" s="305"/>
      <c r="I12428" s="305"/>
      <c r="J12428" s="305"/>
      <c r="K12428" s="305"/>
      <c r="L12428" s="305"/>
      <c r="M12428" s="305"/>
    </row>
    <row r="12429" spans="1:13" x14ac:dyDescent="0.25">
      <c r="A12429" s="305"/>
      <c r="B12429" s="305"/>
      <c r="C12429" s="305"/>
      <c r="D12429" s="305"/>
      <c r="E12429" s="424"/>
      <c r="F12429" s="424"/>
      <c r="G12429" s="425"/>
      <c r="H12429" s="305"/>
      <c r="I12429" s="305"/>
      <c r="J12429" s="305"/>
      <c r="K12429" s="305"/>
      <c r="L12429" s="305"/>
      <c r="M12429" s="305"/>
    </row>
    <row r="12430" spans="1:13" x14ac:dyDescent="0.25">
      <c r="A12430" s="305"/>
      <c r="B12430" s="305"/>
      <c r="C12430" s="305"/>
      <c r="D12430" s="305"/>
      <c r="E12430" s="424"/>
      <c r="F12430" s="424"/>
      <c r="G12430" s="425"/>
      <c r="H12430" s="305"/>
      <c r="I12430" s="305"/>
      <c r="J12430" s="305"/>
      <c r="K12430" s="305"/>
      <c r="L12430" s="305"/>
      <c r="M12430" s="305"/>
    </row>
    <row r="12431" spans="1:13" x14ac:dyDescent="0.25">
      <c r="A12431" s="305"/>
      <c r="B12431" s="305"/>
      <c r="C12431" s="305"/>
      <c r="D12431" s="305"/>
      <c r="E12431" s="424"/>
      <c r="F12431" s="424"/>
      <c r="G12431" s="425"/>
      <c r="H12431" s="305"/>
      <c r="I12431" s="305"/>
      <c r="J12431" s="305"/>
      <c r="K12431" s="305"/>
      <c r="L12431" s="305"/>
      <c r="M12431" s="305"/>
    </row>
    <row r="12432" spans="1:13" x14ac:dyDescent="0.25">
      <c r="A12432" s="305"/>
      <c r="B12432" s="305"/>
      <c r="C12432" s="305"/>
      <c r="D12432" s="305"/>
      <c r="E12432" s="424"/>
      <c r="F12432" s="424"/>
      <c r="G12432" s="425"/>
      <c r="H12432" s="305"/>
      <c r="I12432" s="305"/>
      <c r="J12432" s="305"/>
      <c r="K12432" s="305"/>
      <c r="L12432" s="305"/>
      <c r="M12432" s="305"/>
    </row>
    <row r="12433" spans="1:13" x14ac:dyDescent="0.25">
      <c r="A12433" s="305"/>
      <c r="B12433" s="305"/>
      <c r="C12433" s="305"/>
      <c r="D12433" s="305"/>
      <c r="E12433" s="424"/>
      <c r="F12433" s="424"/>
      <c r="G12433" s="425"/>
      <c r="H12433" s="305"/>
      <c r="I12433" s="305"/>
      <c r="J12433" s="305"/>
      <c r="K12433" s="305"/>
      <c r="L12433" s="305"/>
      <c r="M12433" s="305"/>
    </row>
    <row r="12434" spans="1:13" x14ac:dyDescent="0.25">
      <c r="A12434" s="305"/>
      <c r="B12434" s="305"/>
      <c r="C12434" s="305"/>
      <c r="D12434" s="305"/>
      <c r="E12434" s="424"/>
      <c r="F12434" s="424"/>
      <c r="G12434" s="425"/>
      <c r="H12434" s="305"/>
      <c r="I12434" s="305"/>
      <c r="J12434" s="305"/>
      <c r="K12434" s="305"/>
      <c r="L12434" s="305"/>
      <c r="M12434" s="305"/>
    </row>
    <row r="12435" spans="1:13" x14ac:dyDescent="0.25">
      <c r="A12435" s="305"/>
      <c r="B12435" s="305"/>
      <c r="C12435" s="305"/>
      <c r="D12435" s="305"/>
      <c r="E12435" s="424"/>
      <c r="F12435" s="424"/>
      <c r="G12435" s="425"/>
      <c r="H12435" s="305"/>
      <c r="I12435" s="305"/>
      <c r="J12435" s="305"/>
      <c r="K12435" s="305"/>
      <c r="L12435" s="305"/>
      <c r="M12435" s="305"/>
    </row>
    <row r="12436" spans="1:13" x14ac:dyDescent="0.25">
      <c r="A12436" s="305"/>
      <c r="B12436" s="305"/>
      <c r="C12436" s="305"/>
      <c r="D12436" s="305"/>
      <c r="E12436" s="424"/>
      <c r="F12436" s="424"/>
      <c r="G12436" s="425"/>
      <c r="H12436" s="305"/>
      <c r="I12436" s="305"/>
      <c r="J12436" s="305"/>
      <c r="K12436" s="305"/>
      <c r="L12436" s="305"/>
      <c r="M12436" s="305"/>
    </row>
    <row r="12437" spans="1:13" x14ac:dyDescent="0.25">
      <c r="A12437" s="305"/>
      <c r="B12437" s="305"/>
      <c r="C12437" s="305"/>
      <c r="D12437" s="305"/>
      <c r="E12437" s="424"/>
      <c r="F12437" s="424"/>
      <c r="G12437" s="425"/>
      <c r="H12437" s="305"/>
      <c r="I12437" s="305"/>
      <c r="J12437" s="305"/>
      <c r="K12437" s="305"/>
      <c r="L12437" s="305"/>
      <c r="M12437" s="305"/>
    </row>
    <row r="12438" spans="1:13" x14ac:dyDescent="0.25">
      <c r="A12438" s="305"/>
      <c r="B12438" s="305"/>
      <c r="C12438" s="305"/>
      <c r="D12438" s="305"/>
      <c r="E12438" s="424"/>
      <c r="F12438" s="424"/>
      <c r="G12438" s="425"/>
      <c r="H12438" s="305"/>
      <c r="I12438" s="305"/>
      <c r="J12438" s="305"/>
      <c r="K12438" s="305"/>
      <c r="L12438" s="305"/>
      <c r="M12438" s="305"/>
    </row>
    <row r="12439" spans="1:13" x14ac:dyDescent="0.25">
      <c r="A12439" s="305"/>
      <c r="B12439" s="305"/>
      <c r="C12439" s="305"/>
      <c r="D12439" s="305"/>
      <c r="E12439" s="424"/>
      <c r="F12439" s="424"/>
      <c r="G12439" s="425"/>
      <c r="H12439" s="305"/>
      <c r="I12439" s="305"/>
      <c r="J12439" s="305"/>
      <c r="K12439" s="305"/>
      <c r="L12439" s="305"/>
      <c r="M12439" s="305"/>
    </row>
    <row r="12440" spans="1:13" x14ac:dyDescent="0.25">
      <c r="A12440" s="305"/>
      <c r="B12440" s="305"/>
      <c r="C12440" s="305"/>
      <c r="D12440" s="305"/>
      <c r="E12440" s="424"/>
      <c r="F12440" s="424"/>
      <c r="G12440" s="425"/>
      <c r="H12440" s="305"/>
      <c r="I12440" s="305"/>
      <c r="J12440" s="305"/>
      <c r="K12440" s="305"/>
      <c r="L12440" s="305"/>
      <c r="M12440" s="305"/>
    </row>
    <row r="12441" spans="1:13" x14ac:dyDescent="0.25">
      <c r="A12441" s="305"/>
      <c r="B12441" s="305"/>
      <c r="C12441" s="305"/>
      <c r="D12441" s="305"/>
      <c r="E12441" s="424"/>
      <c r="F12441" s="424"/>
      <c r="G12441" s="425"/>
      <c r="H12441" s="305"/>
      <c r="I12441" s="305"/>
      <c r="J12441" s="305"/>
      <c r="K12441" s="305"/>
      <c r="L12441" s="305"/>
      <c r="M12441" s="305"/>
    </row>
    <row r="12442" spans="1:13" x14ac:dyDescent="0.25">
      <c r="A12442" s="305"/>
      <c r="B12442" s="305"/>
      <c r="C12442" s="305"/>
      <c r="D12442" s="305"/>
      <c r="E12442" s="424"/>
      <c r="F12442" s="424"/>
      <c r="G12442" s="425"/>
      <c r="H12442" s="305"/>
      <c r="I12442" s="305"/>
      <c r="J12442" s="305"/>
      <c r="K12442" s="305"/>
      <c r="L12442" s="305"/>
      <c r="M12442" s="305"/>
    </row>
    <row r="12443" spans="1:13" x14ac:dyDescent="0.25">
      <c r="A12443" s="305"/>
      <c r="B12443" s="305"/>
      <c r="C12443" s="305"/>
      <c r="D12443" s="305"/>
      <c r="E12443" s="424"/>
      <c r="F12443" s="424"/>
      <c r="G12443" s="425"/>
      <c r="H12443" s="305"/>
      <c r="I12443" s="305"/>
      <c r="J12443" s="305"/>
      <c r="K12443" s="305"/>
      <c r="L12443" s="305"/>
      <c r="M12443" s="305"/>
    </row>
    <row r="12444" spans="1:13" x14ac:dyDescent="0.25">
      <c r="A12444" s="305"/>
      <c r="B12444" s="305"/>
      <c r="C12444" s="305"/>
      <c r="D12444" s="305"/>
      <c r="E12444" s="424"/>
      <c r="F12444" s="424"/>
      <c r="G12444" s="425"/>
      <c r="H12444" s="305"/>
      <c r="I12444" s="305"/>
      <c r="J12444" s="305"/>
      <c r="K12444" s="305"/>
      <c r="L12444" s="305"/>
      <c r="M12444" s="305"/>
    </row>
    <row r="12445" spans="1:13" x14ac:dyDescent="0.25">
      <c r="A12445" s="305"/>
      <c r="B12445" s="305"/>
      <c r="C12445" s="305"/>
      <c r="D12445" s="305"/>
      <c r="E12445" s="424"/>
      <c r="F12445" s="424"/>
      <c r="G12445" s="425"/>
      <c r="H12445" s="305"/>
      <c r="I12445" s="305"/>
      <c r="J12445" s="305"/>
      <c r="K12445" s="305"/>
      <c r="L12445" s="305"/>
      <c r="M12445" s="305"/>
    </row>
    <row r="12446" spans="1:13" x14ac:dyDescent="0.25">
      <c r="A12446" s="305"/>
      <c r="B12446" s="305"/>
      <c r="C12446" s="305"/>
      <c r="D12446" s="305"/>
      <c r="E12446" s="424"/>
      <c r="F12446" s="424"/>
      <c r="G12446" s="425"/>
      <c r="H12446" s="305"/>
      <c r="I12446" s="305"/>
      <c r="J12446" s="305"/>
      <c r="K12446" s="305"/>
      <c r="L12446" s="305"/>
      <c r="M12446" s="305"/>
    </row>
    <row r="12447" spans="1:13" x14ac:dyDescent="0.25">
      <c r="A12447" s="305"/>
      <c r="B12447" s="305"/>
      <c r="C12447" s="305"/>
      <c r="D12447" s="305"/>
      <c r="E12447" s="424"/>
      <c r="F12447" s="424"/>
      <c r="G12447" s="425"/>
      <c r="H12447" s="305"/>
      <c r="I12447" s="305"/>
      <c r="J12447" s="305"/>
      <c r="K12447" s="305"/>
      <c r="L12447" s="305"/>
      <c r="M12447" s="305"/>
    </row>
    <row r="12448" spans="1:13" x14ac:dyDescent="0.25">
      <c r="A12448" s="305"/>
      <c r="B12448" s="305"/>
      <c r="C12448" s="305"/>
      <c r="D12448" s="305"/>
      <c r="E12448" s="424"/>
      <c r="F12448" s="424"/>
      <c r="G12448" s="425"/>
      <c r="H12448" s="305"/>
      <c r="I12448" s="305"/>
      <c r="J12448" s="305"/>
      <c r="K12448" s="305"/>
      <c r="L12448" s="305"/>
      <c r="M12448" s="305"/>
    </row>
    <row r="12449" spans="1:13" x14ac:dyDescent="0.25">
      <c r="A12449" s="305"/>
      <c r="B12449" s="305"/>
      <c r="C12449" s="305"/>
      <c r="D12449" s="305"/>
      <c r="E12449" s="424"/>
      <c r="F12449" s="424"/>
      <c r="G12449" s="425"/>
      <c r="H12449" s="305"/>
      <c r="I12449" s="305"/>
      <c r="J12449" s="305"/>
      <c r="K12449" s="305"/>
      <c r="L12449" s="305"/>
      <c r="M12449" s="305"/>
    </row>
    <row r="12450" spans="1:13" x14ac:dyDescent="0.25">
      <c r="A12450" s="305"/>
      <c r="B12450" s="305"/>
      <c r="C12450" s="305"/>
      <c r="D12450" s="305"/>
      <c r="E12450" s="424"/>
      <c r="F12450" s="424"/>
      <c r="G12450" s="425"/>
      <c r="H12450" s="305"/>
      <c r="I12450" s="305"/>
      <c r="J12450" s="305"/>
      <c r="K12450" s="305"/>
      <c r="L12450" s="305"/>
      <c r="M12450" s="305"/>
    </row>
    <row r="12451" spans="1:13" x14ac:dyDescent="0.25">
      <c r="A12451" s="305"/>
      <c r="B12451" s="305"/>
      <c r="C12451" s="305"/>
      <c r="D12451" s="305"/>
      <c r="E12451" s="424"/>
      <c r="F12451" s="424"/>
      <c r="G12451" s="425"/>
      <c r="H12451" s="305"/>
      <c r="I12451" s="305"/>
      <c r="J12451" s="305"/>
      <c r="K12451" s="305"/>
      <c r="L12451" s="305"/>
      <c r="M12451" s="305"/>
    </row>
    <row r="12452" spans="1:13" x14ac:dyDescent="0.25">
      <c r="A12452" s="305"/>
      <c r="B12452" s="305"/>
      <c r="C12452" s="305"/>
      <c r="D12452" s="305"/>
      <c r="E12452" s="424"/>
      <c r="F12452" s="424"/>
      <c r="G12452" s="425"/>
      <c r="H12452" s="305"/>
      <c r="I12452" s="305"/>
      <c r="J12452" s="305"/>
      <c r="K12452" s="305"/>
      <c r="L12452" s="305"/>
      <c r="M12452" s="305"/>
    </row>
    <row r="12453" spans="1:13" x14ac:dyDescent="0.25">
      <c r="A12453" s="305"/>
      <c r="B12453" s="305"/>
      <c r="C12453" s="305"/>
      <c r="D12453" s="305"/>
      <c r="E12453" s="424"/>
      <c r="F12453" s="424"/>
      <c r="G12453" s="425"/>
      <c r="H12453" s="305"/>
      <c r="I12453" s="305"/>
      <c r="J12453" s="305"/>
      <c r="K12453" s="305"/>
      <c r="L12453" s="305"/>
      <c r="M12453" s="305"/>
    </row>
    <row r="12454" spans="1:13" x14ac:dyDescent="0.25">
      <c r="A12454" s="305"/>
      <c r="B12454" s="305"/>
      <c r="C12454" s="305"/>
      <c r="D12454" s="305"/>
      <c r="E12454" s="424"/>
      <c r="F12454" s="424"/>
      <c r="G12454" s="425"/>
      <c r="H12454" s="305"/>
      <c r="I12454" s="305"/>
      <c r="J12454" s="305"/>
      <c r="K12454" s="305"/>
      <c r="L12454" s="305"/>
      <c r="M12454" s="305"/>
    </row>
    <row r="12455" spans="1:13" x14ac:dyDescent="0.25">
      <c r="A12455" s="305"/>
      <c r="B12455" s="305"/>
      <c r="C12455" s="305"/>
      <c r="D12455" s="305"/>
      <c r="E12455" s="424"/>
      <c r="F12455" s="424"/>
      <c r="G12455" s="425"/>
      <c r="H12455" s="305"/>
      <c r="I12455" s="305"/>
      <c r="J12455" s="305"/>
      <c r="K12455" s="305"/>
      <c r="L12455" s="305"/>
      <c r="M12455" s="305"/>
    </row>
    <row r="12456" spans="1:13" x14ac:dyDescent="0.25">
      <c r="A12456" s="305"/>
      <c r="B12456" s="305"/>
      <c r="C12456" s="305"/>
      <c r="D12456" s="305"/>
      <c r="E12456" s="424"/>
      <c r="F12456" s="424"/>
      <c r="G12456" s="425"/>
      <c r="H12456" s="305"/>
      <c r="I12456" s="305"/>
      <c r="J12456" s="305"/>
      <c r="K12456" s="305"/>
      <c r="L12456" s="305"/>
      <c r="M12456" s="305"/>
    </row>
    <row r="12457" spans="1:13" x14ac:dyDescent="0.25">
      <c r="A12457" s="305"/>
      <c r="B12457" s="305"/>
      <c r="C12457" s="305"/>
      <c r="D12457" s="305"/>
      <c r="E12457" s="424"/>
      <c r="F12457" s="424"/>
      <c r="G12457" s="425"/>
      <c r="H12457" s="305"/>
      <c r="I12457" s="305"/>
      <c r="J12457" s="305"/>
      <c r="K12457" s="305"/>
      <c r="L12457" s="305"/>
      <c r="M12457" s="305"/>
    </row>
    <row r="12458" spans="1:13" x14ac:dyDescent="0.25">
      <c r="A12458" s="305"/>
      <c r="B12458" s="305"/>
      <c r="C12458" s="305"/>
      <c r="D12458" s="305"/>
      <c r="E12458" s="424"/>
      <c r="F12458" s="424"/>
      <c r="G12458" s="425"/>
      <c r="H12458" s="305"/>
      <c r="I12458" s="305"/>
      <c r="J12458" s="305"/>
      <c r="K12458" s="305"/>
      <c r="L12458" s="305"/>
      <c r="M12458" s="305"/>
    </row>
    <row r="12459" spans="1:13" x14ac:dyDescent="0.25">
      <c r="A12459" s="305"/>
      <c r="B12459" s="305"/>
      <c r="C12459" s="305"/>
      <c r="D12459" s="305"/>
      <c r="E12459" s="424"/>
      <c r="F12459" s="424"/>
      <c r="G12459" s="425"/>
      <c r="H12459" s="305"/>
      <c r="I12459" s="305"/>
      <c r="J12459" s="305"/>
      <c r="K12459" s="305"/>
      <c r="L12459" s="305"/>
      <c r="M12459" s="305"/>
    </row>
  </sheetData>
  <sheetProtection sheet="1" sort="0" autoFilter="0"/>
  <phoneticPr fontId="64" type="noConversion"/>
  <conditionalFormatting sqref="C6:C12289">
    <cfRule type="duplicateValues" dxfId="3" priority="431"/>
  </conditionalFormatting>
  <hyperlinks>
    <hyperlink ref="F2" location="'5 BG Data'!A6" display="▲ Back to Top" xr:uid="{5C116389-B1B3-4E7E-9DE1-C693042F5E81}"/>
  </hyperlinks>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2540-E462-42FB-8A2F-71CC5D6ADC2E}">
  <sheetPr codeName="Sheet8"/>
  <dimension ref="C1:L87"/>
  <sheetViews>
    <sheetView workbookViewId="0">
      <selection activeCell="I16" sqref="I16"/>
    </sheetView>
  </sheetViews>
  <sheetFormatPr defaultColWidth="10.7109375" defaultRowHeight="15" x14ac:dyDescent="0.25"/>
  <cols>
    <col min="1" max="1" width="7.7109375" style="30" customWidth="1"/>
    <col min="2" max="2" width="2.42578125" style="30" customWidth="1"/>
    <col min="3" max="3" width="9.7109375" style="30" customWidth="1"/>
    <col min="4" max="4" width="78" style="30" customWidth="1"/>
    <col min="5" max="5" width="31.28515625" style="30" customWidth="1"/>
    <col min="6" max="12" width="20.7109375" style="30" customWidth="1"/>
    <col min="13" max="16384" width="10.7109375" style="30"/>
  </cols>
  <sheetData>
    <row r="1" spans="3:12" s="1" customFormat="1" ht="7.15" customHeight="1" x14ac:dyDescent="0.2"/>
    <row r="2" spans="3:12" s="1" customFormat="1" ht="28.5" customHeight="1" x14ac:dyDescent="0.2">
      <c r="C2" s="62"/>
      <c r="D2" s="63"/>
      <c r="E2" s="183"/>
      <c r="G2" s="184"/>
      <c r="H2" s="184"/>
      <c r="I2" s="184"/>
      <c r="J2" s="283"/>
    </row>
    <row r="3" spans="3:12" s="1" customFormat="1" ht="7.15" customHeight="1" x14ac:dyDescent="0.2"/>
    <row r="4" spans="3:12" s="9" customFormat="1" ht="5.0999999999999996" customHeight="1" x14ac:dyDescent="0.2"/>
    <row r="7" spans="3:12" x14ac:dyDescent="0.25">
      <c r="G7" s="264" t="s">
        <v>27514</v>
      </c>
      <c r="H7" s="265" t="s">
        <v>27515</v>
      </c>
    </row>
    <row r="9" spans="3:12" ht="18.75" x14ac:dyDescent="0.3">
      <c r="C9" s="266" t="s">
        <v>27492</v>
      </c>
      <c r="D9" s="266"/>
      <c r="E9" s="267"/>
      <c r="F9" s="760" t="s">
        <v>27923</v>
      </c>
      <c r="G9" s="760"/>
      <c r="H9" s="760"/>
      <c r="I9" s="288"/>
      <c r="J9" s="760" t="s">
        <v>27924</v>
      </c>
      <c r="K9" s="760"/>
      <c r="L9" s="760"/>
    </row>
    <row r="10" spans="3:12" ht="38.65" customHeight="1" x14ac:dyDescent="0.25">
      <c r="C10" s="268"/>
      <c r="D10" s="292"/>
      <c r="E10" s="298" t="s">
        <v>27383</v>
      </c>
      <c r="F10" s="762" t="s">
        <v>27381</v>
      </c>
      <c r="G10" s="762"/>
      <c r="H10" s="763"/>
      <c r="I10" s="291" t="s">
        <v>27925</v>
      </c>
      <c r="J10" s="761" t="s">
        <v>27381</v>
      </c>
      <c r="K10" s="762"/>
      <c r="L10" s="763"/>
    </row>
    <row r="11" spans="3:12" ht="45" x14ac:dyDescent="0.25">
      <c r="C11" s="289"/>
      <c r="D11" s="290" t="s">
        <v>27382</v>
      </c>
      <c r="F11" s="269" t="s">
        <v>27384</v>
      </c>
      <c r="G11" s="764" t="s">
        <v>27516</v>
      </c>
      <c r="H11" s="765"/>
      <c r="I11" s="296"/>
      <c r="J11" s="269" t="s">
        <v>27384</v>
      </c>
      <c r="K11" s="764" t="s">
        <v>27516</v>
      </c>
      <c r="L11" s="765"/>
    </row>
    <row r="12" spans="3:12" ht="21" customHeight="1" x14ac:dyDescent="0.25">
      <c r="C12" s="270"/>
      <c r="D12" s="271"/>
      <c r="E12" s="272" t="s">
        <v>27923</v>
      </c>
      <c r="F12" s="273"/>
      <c r="G12" s="293" t="s">
        <v>858</v>
      </c>
      <c r="H12" s="294" t="s">
        <v>861</v>
      </c>
      <c r="I12" s="297" t="s">
        <v>27924</v>
      </c>
      <c r="J12" s="273"/>
      <c r="K12" s="293" t="s">
        <v>858</v>
      </c>
      <c r="L12" s="294" t="s">
        <v>861</v>
      </c>
    </row>
    <row r="13" spans="3:12" x14ac:dyDescent="0.25">
      <c r="C13" s="333" t="s">
        <v>27158</v>
      </c>
      <c r="D13" s="334" t="s">
        <v>27266</v>
      </c>
      <c r="E13" s="335">
        <f>'3 Calculation'!$F$37</f>
        <v>0</v>
      </c>
      <c r="F13" s="310">
        <f>SUM(Calc_Gem_StatVerb,$E$13)</f>
        <v>0</v>
      </c>
      <c r="G13" s="311">
        <f>SUM(Calc_Ver_StatVerb,$E$13)</f>
        <v>0</v>
      </c>
      <c r="H13" s="312">
        <f>SUM(Calc_Gem_StatVerb,$E$13)</f>
        <v>0</v>
      </c>
      <c r="I13" s="313">
        <f>'3 Calculation'!F37</f>
        <v>0</v>
      </c>
      <c r="J13" s="310">
        <f>SUM(Calc_Gem_StatVerb,$E$13)</f>
        <v>0</v>
      </c>
      <c r="K13" s="311">
        <f>SUM(Calc_Ver_StatVerb,$E$13)</f>
        <v>0</v>
      </c>
      <c r="L13" s="312">
        <f>SUM(Calc_Gem_StatVerb,$E$13)</f>
        <v>0</v>
      </c>
    </row>
    <row r="14" spans="3:12" x14ac:dyDescent="0.25">
      <c r="C14" s="336"/>
      <c r="D14" s="337" t="s">
        <v>27270</v>
      </c>
      <c r="E14" s="338">
        <f>'3 Calculation'!$F$54</f>
        <v>0</v>
      </c>
      <c r="F14" s="314"/>
      <c r="G14" s="315"/>
      <c r="H14" s="316"/>
      <c r="I14" s="317">
        <f>'3 Calculation'!F54</f>
        <v>0</v>
      </c>
      <c r="J14" s="314"/>
      <c r="K14" s="315"/>
      <c r="L14" s="316"/>
    </row>
    <row r="15" spans="3:12" x14ac:dyDescent="0.25">
      <c r="C15" s="336"/>
      <c r="D15" s="337" t="s">
        <v>27268</v>
      </c>
      <c r="E15" s="338">
        <f>SUM('3 Calculation'!$F$76,'3 Calculation'!$F$63)</f>
        <v>0</v>
      </c>
      <c r="F15" s="318">
        <f>SUM(Calc_Gem_Flotte2,Calc_Gem_Flotte1,$E$15)</f>
        <v>0</v>
      </c>
      <c r="G15" s="319">
        <f>SUM(Calc_Ver_Flotte1,Calc_Ver_Flotte2,$E$15)</f>
        <v>0</v>
      </c>
      <c r="H15" s="320">
        <f>SUM(Calc_Gem_Flotte2,Calc_Gem_Flotte1,$E$15)</f>
        <v>0</v>
      </c>
      <c r="I15" s="317">
        <f>SUM('3 Calculation'!F76,'3 Calculation'!F63)</f>
        <v>0</v>
      </c>
      <c r="J15" s="318">
        <f>SUM(Calc_Gem_Flotte2,Calc_Gem_Flotte1,$E$15)</f>
        <v>0</v>
      </c>
      <c r="K15" s="319">
        <f>SUM(Calc_Ver_Flotte1,Calc_Ver_Flotte2,$E$15)</f>
        <v>0</v>
      </c>
      <c r="L15" s="320">
        <f>SUM(Calc_Gem_Flotte2,Calc_Gem_Flotte1,$E$15)</f>
        <v>0</v>
      </c>
    </row>
    <row r="16" spans="3:12" x14ac:dyDescent="0.25">
      <c r="C16" s="336"/>
      <c r="D16" s="337" t="s">
        <v>2070</v>
      </c>
      <c r="E16" s="338">
        <f>SUM('3 Calculation'!$F$92,'3 Calculation'!$F$83,'3 Calculation'!$F$100)</f>
        <v>0</v>
      </c>
      <c r="F16" s="314"/>
      <c r="G16" s="315"/>
      <c r="H16" s="316"/>
      <c r="I16" s="317">
        <f>SUM('3 Calculation'!F92,'3 Calculation'!F83)</f>
        <v>0</v>
      </c>
      <c r="J16" s="314"/>
      <c r="K16" s="315"/>
      <c r="L16" s="316"/>
    </row>
    <row r="17" spans="3:12" x14ac:dyDescent="0.25">
      <c r="C17" s="339" t="s">
        <v>27159</v>
      </c>
      <c r="D17" s="340" t="s">
        <v>27476</v>
      </c>
      <c r="E17" s="341">
        <f>SUM(Calc_S2_Electricity1[Result kg CO2eq],Calc_2_Electricity_Market,Calc_2_elFleet_Market)</f>
        <v>0</v>
      </c>
      <c r="F17" s="321">
        <f>SUM(Calc_Gem_Strom1,Calc_Gem_Strom2,Calc_Gem_elFlotte,$E$17)</f>
        <v>0</v>
      </c>
      <c r="G17" s="319">
        <f>SUM(Calc_Ver_Strom1,Calc_Ver_Strom2,Calc_Ver_elFlotte,$E$17)</f>
        <v>0</v>
      </c>
      <c r="H17" s="320">
        <f>SUM(Calc_Gem_Strom1,Calc_Gem_Strom2,Calc_Gem_elFlotte,$E$17)</f>
        <v>0</v>
      </c>
      <c r="I17" s="315">
        <f>SUM(Calc_2_Electricity_Location,Calc_2_elFleet_Location)</f>
        <v>0</v>
      </c>
      <c r="J17" s="321">
        <f>SUM(Calc_Lessee_Electricity_Direct_Location,Calc_Lessee_elFleet_Direct_Location,$I$17)</f>
        <v>0</v>
      </c>
      <c r="K17" s="319">
        <f>SUM(Calc_Lessor_Electricity_Direct_Location,Calc_Lessor_Electricity_Direct_Location,$I$17)</f>
        <v>0</v>
      </c>
      <c r="L17" s="320">
        <f>SUM(Calc_Lessee_Electricity_Direct_Location,Calc_Lessee_elFleet_Direct_Location,$I$17)</f>
        <v>0</v>
      </c>
    </row>
    <row r="18" spans="3:12" x14ac:dyDescent="0.25">
      <c r="C18" s="339"/>
      <c r="D18" s="340" t="s">
        <v>27267</v>
      </c>
      <c r="E18" s="341">
        <f>'3 Calculation'!$F$146</f>
        <v>0</v>
      </c>
      <c r="F18" s="318">
        <f>SUM(Calc_Gem_FernDampf,$E$18)</f>
        <v>0</v>
      </c>
      <c r="G18" s="319">
        <f>SUM(Calc_Ver_FernDampf,$E$18)</f>
        <v>0</v>
      </c>
      <c r="H18" s="320">
        <f>SUM(Calc_Gem_FernDampf,$E$18)</f>
        <v>0</v>
      </c>
      <c r="I18" s="317">
        <f>'3 Calculation'!F146</f>
        <v>0</v>
      </c>
      <c r="J18" s="318">
        <f>SUM(Calc_Gem_FernDampf,$E$18)</f>
        <v>0</v>
      </c>
      <c r="K18" s="319">
        <f>SUM(Calc_Ver_FernDampf,$E$18)</f>
        <v>0</v>
      </c>
      <c r="L18" s="320">
        <f>SUM(Calc_Gem_FernDampf,$E$18)</f>
        <v>0</v>
      </c>
    </row>
    <row r="19" spans="3:12" x14ac:dyDescent="0.25">
      <c r="C19" s="342" t="s">
        <v>2059</v>
      </c>
      <c r="D19" s="343" t="s">
        <v>27477</v>
      </c>
      <c r="E19" s="344">
        <f>SUM('3 Calculation'!$F$199,'3 Calculation'!$F$226)</f>
        <v>0</v>
      </c>
      <c r="F19" s="314"/>
      <c r="G19" s="315"/>
      <c r="H19" s="316"/>
      <c r="I19" s="317">
        <f>SUM('3 Calculation'!F199,'3 Calculation'!F226)</f>
        <v>0</v>
      </c>
      <c r="J19" s="314"/>
      <c r="K19" s="315"/>
      <c r="L19" s="316"/>
    </row>
    <row r="20" spans="3:12" x14ac:dyDescent="0.25">
      <c r="C20" s="342"/>
      <c r="D20" s="343" t="s">
        <v>27478</v>
      </c>
      <c r="E20" s="344">
        <f>'3 Calculation'!$F$245</f>
        <v>0</v>
      </c>
      <c r="F20" s="314"/>
      <c r="G20" s="315"/>
      <c r="H20" s="316"/>
      <c r="I20" s="317">
        <f>'3 Calculation'!F245</f>
        <v>0</v>
      </c>
      <c r="J20" s="314"/>
      <c r="K20" s="315"/>
      <c r="L20" s="316"/>
    </row>
    <row r="21" spans="3:12" x14ac:dyDescent="0.25">
      <c r="C21" s="342"/>
      <c r="D21" s="343" t="s">
        <v>27479</v>
      </c>
      <c r="E21" s="344">
        <f>SUM('3 Calculation'!$F$264,'3 Calculation'!$F$279,Calc_S3.3_Electricity1[Result kg CO2eq],Calc_3.3_Electricity_Market,'3 Calculation'!F311,'3 Calculation'!F327,Calc_3.3_elFleet_Market)</f>
        <v>0</v>
      </c>
      <c r="F21" s="318">
        <f>SUM(Calc_Gem_StatVerb_indr,Calc_Gem_FernDampf_indr,Calc_Gem_Strom1_indr,Calc_Gem_Strom2_indr,Calc_Gem_Flotte1_indr,Calc_Gem_Flotte2_indr,Calc_Gem_elFlotte_indr,$E$21)</f>
        <v>0</v>
      </c>
      <c r="G21" s="319">
        <f>SUM(Calc_Ver_StatVerb_indr,Calc_Ver_FernDampf_indr,Calc_Ver_Strom1_indr,Calc_Ver_Strom2_indr,Calc_Ver_Flotte1_indr,Calc_Ver_Flotte2_indr,Calc_Ver_elFlotte_indr,$E$21)</f>
        <v>0</v>
      </c>
      <c r="H21" s="320">
        <f>SUM(Calc_Gem_StatVerb_indr,Calc_Gem_FernDampf_indr,Calc_Gem_Strom1_indr,Calc_Gem_Strom2_indr,Calc_Gem_Flotte1_indr,Calc_Gem_Flotte2_indr,Calc_Gem_elFlotte_indr,$E$21)</f>
        <v>0</v>
      </c>
      <c r="I21" s="317">
        <f>SUM('3 Calculation'!F264,'3 Calculation'!F279,Calc_3.3_Electricity_Location,'3 Calculation'!F311,'3 Calculation'!F327,Calc_3.3_elFleet_Location)</f>
        <v>0</v>
      </c>
      <c r="J21" s="318">
        <f>SUM(Calc_Gem_StatVerb_indr,Calc_Gem_FernDampf_indr,Calc_Lessee_Electricity_Indirect_Location,Calc_Gem_Flotte1_indr,Calc_Gem_Flotte2_indr,Calc_Lessee_elFleet_Indirect_Location,$I$21)</f>
        <v>0</v>
      </c>
      <c r="K21" s="319">
        <f>SUM(Calc_Ver_StatVerb_indr,Calc_Ver_FernDampf_indr,Calc_Lessor_Electricity_Indirect_Location,Calc_Ver_Flotte1_indr,Calc_Ver_Flotte2_indr,Calc_Lessor_elFleet_Indirect_Location,$I$21)</f>
        <v>0</v>
      </c>
      <c r="L21" s="320">
        <f>SUM(Calc_Gem_StatVerb_indr,Calc_Gem_FernDampf_indr,Calc_Lessee_Electricity_Indirect_Location,Calc_Gem_Flotte1_indr,Calc_Gem_Flotte2_indr,Calc_Lessee_elFleet_Indirect_Location,$I$21)</f>
        <v>0</v>
      </c>
    </row>
    <row r="22" spans="3:12" x14ac:dyDescent="0.25">
      <c r="C22" s="342"/>
      <c r="D22" s="343" t="s">
        <v>27480</v>
      </c>
      <c r="E22" s="344">
        <f>'3 Calculation'!$F$360</f>
        <v>0</v>
      </c>
      <c r="F22" s="314"/>
      <c r="G22" s="315"/>
      <c r="H22" s="316"/>
      <c r="I22" s="317">
        <f>'3 Calculation'!F360</f>
        <v>0</v>
      </c>
      <c r="J22" s="314"/>
      <c r="K22" s="315"/>
      <c r="L22" s="316"/>
    </row>
    <row r="23" spans="3:12" x14ac:dyDescent="0.25">
      <c r="C23" s="342"/>
      <c r="D23" s="343" t="s">
        <v>27481</v>
      </c>
      <c r="E23" s="344">
        <f>'3 Calculation'!$F$380</f>
        <v>0</v>
      </c>
      <c r="F23" s="314"/>
      <c r="G23" s="315"/>
      <c r="H23" s="316"/>
      <c r="I23" s="317">
        <f>'3 Calculation'!F380</f>
        <v>0</v>
      </c>
      <c r="J23" s="314"/>
      <c r="K23" s="315"/>
      <c r="L23" s="316"/>
    </row>
    <row r="24" spans="3:12" x14ac:dyDescent="0.25">
      <c r="C24" s="342"/>
      <c r="D24" s="343" t="s">
        <v>27482</v>
      </c>
      <c r="E24" s="344">
        <f>'3 Calculation'!$F$397</f>
        <v>0</v>
      </c>
      <c r="F24" s="314"/>
      <c r="G24" s="315"/>
      <c r="H24" s="316"/>
      <c r="I24" s="317">
        <f>'3 Calculation'!F397</f>
        <v>0</v>
      </c>
      <c r="J24" s="314"/>
      <c r="K24" s="315"/>
      <c r="L24" s="316"/>
    </row>
    <row r="25" spans="3:12" x14ac:dyDescent="0.25">
      <c r="C25" s="342"/>
      <c r="D25" s="343" t="s">
        <v>27483</v>
      </c>
      <c r="E25" s="344">
        <f>SUM('3 Calculation'!$F$414,'3 Calculation'!$F$405)</f>
        <v>0</v>
      </c>
      <c r="F25" s="314"/>
      <c r="G25" s="315"/>
      <c r="H25" s="316"/>
      <c r="I25" s="317">
        <f>SUM('3 Calculation'!F414,'3 Calculation'!F405)</f>
        <v>0</v>
      </c>
      <c r="J25" s="314"/>
      <c r="K25" s="315"/>
      <c r="L25" s="316"/>
    </row>
    <row r="26" spans="3:12" x14ac:dyDescent="0.25">
      <c r="C26" s="342"/>
      <c r="D26" s="345" t="s">
        <v>27490</v>
      </c>
      <c r="E26" s="344"/>
      <c r="F26" s="314"/>
      <c r="G26" s="322">
        <f>SUM(
Calc_Gem_StatVerb,
Calc_Gem_StatVerb_indr,
Calc_Gem_Strom1,
Calc_Gem_Strom1_indr,
Calc_Gem_Strom2,
Calc_Gem_Strom2_indr,
Calc_Gem_FernDampf,
Calc_Gem_FernDampf_indr)</f>
        <v>0</v>
      </c>
      <c r="H26" s="316"/>
      <c r="I26" s="317"/>
      <c r="J26" s="314"/>
      <c r="K26" s="322">
        <f>SUM(Calc_Gem_StatVerb,Calc_Gem_StatVerb_indr,Calc_Lessee_Electricity_Direct_Location,Calc_Lessee_Electricity_Indirect_Location,Calc_Gem_FernDampf,Calc_Gem_FernDampf_indr)</f>
        <v>0</v>
      </c>
      <c r="L26" s="316"/>
    </row>
    <row r="27" spans="3:12" x14ac:dyDescent="0.25">
      <c r="C27" s="342"/>
      <c r="D27" s="345" t="s">
        <v>27484</v>
      </c>
      <c r="E27" s="344">
        <f>'3 Calculation'!$F$426</f>
        <v>0</v>
      </c>
      <c r="F27" s="314"/>
      <c r="G27" s="315"/>
      <c r="H27" s="316"/>
      <c r="I27" s="317">
        <f>'3 Calculation'!F426</f>
        <v>0</v>
      </c>
      <c r="J27" s="314"/>
      <c r="K27" s="315"/>
      <c r="L27" s="316"/>
    </row>
    <row r="28" spans="3:12" x14ac:dyDescent="0.25">
      <c r="C28" s="346"/>
      <c r="D28" s="345" t="s">
        <v>27485</v>
      </c>
      <c r="E28" s="347">
        <f>SUM('3 Calculation'!$F$436,'3 Calculation'!$F$450)</f>
        <v>0</v>
      </c>
      <c r="F28" s="323"/>
      <c r="G28" s="324"/>
      <c r="H28" s="325"/>
      <c r="I28" s="326">
        <f>SUM('3 Calculation'!F436,'3 Calculation'!F450)</f>
        <v>0</v>
      </c>
      <c r="J28" s="323"/>
      <c r="K28" s="324"/>
      <c r="L28" s="325"/>
    </row>
    <row r="29" spans="3:12" x14ac:dyDescent="0.25">
      <c r="C29" s="346"/>
      <c r="D29" s="345" t="s">
        <v>27486</v>
      </c>
      <c r="E29" s="347">
        <f>SUM('3 Calculation'!$F$460,'3 Calculation'!$F$474)</f>
        <v>0</v>
      </c>
      <c r="F29" s="323"/>
      <c r="G29" s="324"/>
      <c r="H29" s="325"/>
      <c r="I29" s="326">
        <f>SUM('3 Calculation'!F460,'3 Calculation'!F474)</f>
        <v>0</v>
      </c>
      <c r="J29" s="323"/>
      <c r="K29" s="324"/>
      <c r="L29" s="325"/>
    </row>
    <row r="30" spans="3:12" x14ac:dyDescent="0.25">
      <c r="C30" s="346"/>
      <c r="D30" s="345" t="s">
        <v>27487</v>
      </c>
      <c r="E30" s="347">
        <f>'3 Calculation'!$F$494</f>
        <v>0</v>
      </c>
      <c r="F30" s="323"/>
      <c r="G30" s="324"/>
      <c r="H30" s="325"/>
      <c r="I30" s="326">
        <f>'3 Calculation'!F494</f>
        <v>0</v>
      </c>
      <c r="J30" s="323"/>
      <c r="K30" s="324"/>
      <c r="L30" s="325"/>
    </row>
    <row r="31" spans="3:12" x14ac:dyDescent="0.25">
      <c r="C31" s="346"/>
      <c r="D31" s="345" t="s">
        <v>27491</v>
      </c>
      <c r="E31" s="347"/>
      <c r="F31" s="327">
        <f>SUM(
Calc_Ver_StatVerb,
Calc_Ver_StatVerb_indr,
Calc_Ver_FernDampf,
Calc_Ver_FernDampf_indr,
Calc_Ver_Strom1,
Calc_Ver_Strom1_indr,
Calc_Ver_Strom2,
Calc_Ver_Strom2_indr,
Calc_Ver_Flotte1,
Calc_Ver_Flotte1_indr,
Calc_Ver_Flotte2,
Calc_Ver_Flotte2_indr,
Calc_Ver_elFlotte,
Calc_Ver_elFlotte_indr)</f>
        <v>0</v>
      </c>
      <c r="G31" s="324"/>
      <c r="H31" s="328">
        <f>SUM(
Calc_Ver_StatVerb,
Calc_Ver_StatVerb_indr,
Calc_Ver_FernDampf,
Calc_Ver_FernDampf_indr,
Calc_Ver_Strom1,
Calc_Ver_Strom1_indr,
Calc_Ver_Strom2,
Calc_Ver_Strom2_indr,
Calc_Ver_Flotte1,
Calc_Ver_Flotte1_indr,
Calc_Ver_Flotte2,
Calc_Ver_Flotte2_indr,
Calc_Ver_elFlotte,
Calc_Ver_elFlotte_indr)</f>
        <v>0</v>
      </c>
      <c r="I31" s="326"/>
      <c r="J31" s="327">
        <f>SUM(Calc_Ver_StatVerb,Calc_Ver_StatVerb_indr,Calc_Ver_FernDampf,Calc_Ver_FernDampf_indr,Calc_Lessor_Electricity_Direct_Location,Calc_Lessor_Electricity_Indirect_Location,Calc_Ver_Flotte1,Calc_Ver_Flotte1_indr,Calc_Ver_Flotte2,Calc_Ver_Flotte2_indr,Calc_Lessor_Electricity_Direct_Location,Calc_Lessor_elFleet_Indirect_Location)</f>
        <v>0</v>
      </c>
      <c r="K31" s="324"/>
      <c r="L31" s="328">
        <f>SUM(Calc_Ver_StatVerb,Calc_Ver_StatVerb_indr,Calc_Ver_FernDampf,Calc_Ver_FernDampf_indr,Calc_Lessor_Electricity_Direct_Location,Calc_Lessor_Electricity_Indirect_Location,Calc_Ver_Flotte1,Calc_Ver_Flotte1_indr,Calc_Ver_Flotte2,Calc_Ver_Flotte2_indr,Calc_Lessor_Electricity_Direct_Location,Calc_Lessor_elFleet_Indirect_Location)</f>
        <v>0</v>
      </c>
    </row>
    <row r="32" spans="3:12" x14ac:dyDescent="0.25">
      <c r="C32" s="346"/>
      <c r="D32" s="345" t="s">
        <v>27488</v>
      </c>
      <c r="E32" s="347">
        <f>'3 Calculation'!$F$504</f>
        <v>0</v>
      </c>
      <c r="F32" s="323"/>
      <c r="G32" s="324"/>
      <c r="H32" s="325"/>
      <c r="I32" s="326">
        <f>'3 Calculation'!F504</f>
        <v>0</v>
      </c>
      <c r="J32" s="323"/>
      <c r="K32" s="324"/>
      <c r="L32" s="325"/>
    </row>
    <row r="33" spans="3:12" x14ac:dyDescent="0.25">
      <c r="C33" s="348"/>
      <c r="D33" s="349" t="s">
        <v>27489</v>
      </c>
      <c r="E33" s="350">
        <f>SUM('3 Calculation'!$F$535,'3 Calculation'!$F$512)</f>
        <v>0</v>
      </c>
      <c r="F33" s="329"/>
      <c r="G33" s="330"/>
      <c r="H33" s="331"/>
      <c r="I33" s="332">
        <f>SUM('3 Calculation'!F535,'3 Calculation'!F512)</f>
        <v>0</v>
      </c>
      <c r="J33" s="329"/>
      <c r="K33" s="330"/>
      <c r="L33" s="331"/>
    </row>
    <row r="36" spans="3:12" ht="18.75" x14ac:dyDescent="0.3">
      <c r="C36" s="266" t="s">
        <v>27493</v>
      </c>
      <c r="E36" s="760" t="s">
        <v>27923</v>
      </c>
      <c r="F36" s="760"/>
      <c r="G36" s="760"/>
      <c r="H36" s="760"/>
      <c r="I36" s="760" t="s">
        <v>27924</v>
      </c>
      <c r="J36" s="760"/>
      <c r="K36" s="760"/>
      <c r="L36" s="760"/>
    </row>
    <row r="37" spans="3:12" ht="32.65" customHeight="1" x14ac:dyDescent="0.25">
      <c r="C37" s="268"/>
      <c r="D37" s="292"/>
      <c r="E37" s="298" t="s">
        <v>27383</v>
      </c>
      <c r="F37" s="762" t="s">
        <v>27381</v>
      </c>
      <c r="G37" s="762"/>
      <c r="H37" s="763"/>
      <c r="I37" s="291" t="s">
        <v>27383</v>
      </c>
      <c r="J37" s="761" t="s">
        <v>27381</v>
      </c>
      <c r="K37" s="762"/>
      <c r="L37" s="763"/>
    </row>
    <row r="38" spans="3:12" ht="14.65" customHeight="1" x14ac:dyDescent="0.25">
      <c r="C38" s="289"/>
      <c r="D38" s="290" t="s">
        <v>27382</v>
      </c>
      <c r="F38" s="269" t="s">
        <v>27397</v>
      </c>
      <c r="G38" s="764" t="s">
        <v>27385</v>
      </c>
      <c r="H38" s="765"/>
      <c r="I38" s="296"/>
      <c r="J38" s="269" t="s">
        <v>27397</v>
      </c>
      <c r="K38" s="764" t="s">
        <v>27385</v>
      </c>
      <c r="L38" s="765"/>
    </row>
    <row r="39" spans="3:12" ht="30" customHeight="1" x14ac:dyDescent="0.25">
      <c r="C39" s="270"/>
      <c r="D39" s="271"/>
      <c r="E39" s="272" t="s">
        <v>27923</v>
      </c>
      <c r="F39" s="273"/>
      <c r="G39" s="293" t="s">
        <v>858</v>
      </c>
      <c r="H39" s="294" t="s">
        <v>861</v>
      </c>
      <c r="I39" s="297" t="s">
        <v>27888</v>
      </c>
      <c r="J39" s="273"/>
      <c r="K39" s="293" t="s">
        <v>858</v>
      </c>
      <c r="L39" s="294" t="s">
        <v>861</v>
      </c>
    </row>
    <row r="40" spans="3:12" x14ac:dyDescent="0.25">
      <c r="C40" s="333" t="s">
        <v>27158</v>
      </c>
      <c r="D40" s="334" t="s">
        <v>27266</v>
      </c>
      <c r="E40" s="335">
        <f>'3 Calculation'!$G$37</f>
        <v>0</v>
      </c>
      <c r="F40" s="310">
        <f>SUM(Calc_Gem_StatVerb_biog,E40)</f>
        <v>0</v>
      </c>
      <c r="G40" s="311">
        <f>SUM(Calc_Ver_StatVerb_biog,E40)</f>
        <v>0</v>
      </c>
      <c r="H40" s="312">
        <f>SUM(Calc_Gem_StatVerb_biog,E40)</f>
        <v>0</v>
      </c>
      <c r="I40" s="313">
        <f>'3 Calculation'!$G$37</f>
        <v>0</v>
      </c>
      <c r="J40" s="310">
        <f>SUM(Calc_Gem_StatVerb_biog,I40)</f>
        <v>0</v>
      </c>
      <c r="K40" s="311">
        <f>SUM(Calc_Ver_StatVerb_biog,E40)</f>
        <v>0</v>
      </c>
      <c r="L40" s="312">
        <f>SUM(Calc_Gem_StatVerb_biog,E40)</f>
        <v>0</v>
      </c>
    </row>
    <row r="41" spans="3:12" x14ac:dyDescent="0.25">
      <c r="C41" s="336"/>
      <c r="D41" s="337" t="s">
        <v>27270</v>
      </c>
      <c r="E41" s="338">
        <f>'3 Calculation'!$G$54</f>
        <v>0</v>
      </c>
      <c r="F41" s="314"/>
      <c r="G41" s="315"/>
      <c r="H41" s="316"/>
      <c r="I41" s="317">
        <f>'3 Calculation'!$G$54</f>
        <v>0</v>
      </c>
      <c r="J41" s="314"/>
      <c r="K41" s="315"/>
      <c r="L41" s="316"/>
    </row>
    <row r="42" spans="3:12" x14ac:dyDescent="0.25">
      <c r="C42" s="336"/>
      <c r="D42" s="337" t="s">
        <v>27268</v>
      </c>
      <c r="E42" s="338">
        <f>SUM('3 Calculation'!G76,'3 Calculation'!$G$63)</f>
        <v>0</v>
      </c>
      <c r="F42" s="318">
        <f>SUM(Calc_Gem_Flotte2_biog,Calc_Gem_Flotte1_biog,$E$42)</f>
        <v>0</v>
      </c>
      <c r="G42" s="319">
        <f>SUM(Calc_Ver_Flotte1_biog,Calc_Ver_Flotte2_biog,E42)</f>
        <v>0</v>
      </c>
      <c r="H42" s="320">
        <f>SUM(Calc_Gem_Flotte2_biog,Calc_Gem_Flotte1_biog,$E$42)</f>
        <v>0</v>
      </c>
      <c r="I42" s="317">
        <f>SUM('3 Calculation'!$G$76,'3 Calculation'!$G$63)</f>
        <v>0</v>
      </c>
      <c r="J42" s="318">
        <f>SUM(Calc_Gem_Flotte2_biog,Calc_Gem_Flotte1_biog,$E$42)</f>
        <v>0</v>
      </c>
      <c r="K42" s="319">
        <f>SUM(Calc_Ver_Flotte1_biog,Calc_Ver_Flotte2_biog,E42)</f>
        <v>0</v>
      </c>
      <c r="L42" s="320">
        <f>SUM(Calc_Gem_Flotte2_biog,Calc_Gem_Flotte1_biog,$E$42)</f>
        <v>0</v>
      </c>
    </row>
    <row r="43" spans="3:12" x14ac:dyDescent="0.25">
      <c r="C43" s="336"/>
      <c r="D43" s="337" t="s">
        <v>2070</v>
      </c>
      <c r="E43" s="338">
        <f>SUM('3 Calculation'!G92,'3 Calculation'!$G$83)</f>
        <v>0</v>
      </c>
      <c r="F43" s="314"/>
      <c r="G43" s="315"/>
      <c r="H43" s="316"/>
      <c r="I43" s="317">
        <f>SUM('3 Calculation'!$G$92,'3 Calculation'!$G$83)</f>
        <v>0</v>
      </c>
      <c r="J43" s="314"/>
      <c r="K43" s="315"/>
      <c r="L43" s="316"/>
    </row>
    <row r="44" spans="3:12" x14ac:dyDescent="0.25">
      <c r="C44" s="339" t="s">
        <v>27159</v>
      </c>
      <c r="D44" s="340" t="s">
        <v>27476</v>
      </c>
      <c r="E44" s="341">
        <f>SUM(Calc_S2_Electricity1[Result kg CO2 biogenic],Calc_2_Electricity_Market_biog,Calc_2_elFleet_Market_biog)</f>
        <v>0</v>
      </c>
      <c r="F44" s="321">
        <f>SUM(Calc_Gem_Strom2_biog,Calc_Gem_Strom1_biog,Calc_Gem_elFlotte_biog,$E$44)</f>
        <v>0</v>
      </c>
      <c r="G44" s="319">
        <f>SUM(Calc_Ver_Strom1_biog,Calc_Ver_Strom2_biog,Calc_Ver_elFlotte_biog,E44)</f>
        <v>0</v>
      </c>
      <c r="H44" s="320">
        <f>SUM(Calc_Gem_Strom1_biog,Calc_Gem_Strom2_biog,Calc_Gem_elFlotte_biog,$E$44)</f>
        <v>0</v>
      </c>
      <c r="I44" s="315">
        <f>SUM(Calc_2_Electricity_Location_biog,Calc_2_elFleet_Location_biog)</f>
        <v>0</v>
      </c>
      <c r="J44" s="321">
        <f>SUM(Calc_Lessee_Electricity_Direct_Location_biog,Calc_Lessee_elFleet_Direct_Location_biog,I44)</f>
        <v>0</v>
      </c>
      <c r="K44" s="319">
        <f>SUM(Calc_Lessor_Electricity_Direct_Location_biog,Calc_Lessor_elFleet_Direct_Location_biog,I44)</f>
        <v>0</v>
      </c>
      <c r="L44" s="320">
        <f>SUM(Calc_Lessee_Electricity_Direct_Location_biog,Calc_Lessee_elFleet_Direct_Location_biog,I44)</f>
        <v>0</v>
      </c>
    </row>
    <row r="45" spans="3:12" x14ac:dyDescent="0.25">
      <c r="C45" s="339"/>
      <c r="D45" s="340" t="s">
        <v>27267</v>
      </c>
      <c r="E45" s="341">
        <f>'3 Calculation'!$G$146</f>
        <v>0</v>
      </c>
      <c r="F45" s="318">
        <f>SUM(Calc_Gem_FernDampf_biog,$E$45)</f>
        <v>0</v>
      </c>
      <c r="G45" s="319">
        <f>SUM(Calc_Ver_FernDampf_biog,E45)</f>
        <v>0</v>
      </c>
      <c r="H45" s="320">
        <f>SUM(Calc_Gem_FernDampf_biog,$E$45)</f>
        <v>0</v>
      </c>
      <c r="I45" s="317">
        <f>'3 Calculation'!$G$146</f>
        <v>0</v>
      </c>
      <c r="J45" s="318">
        <f>SUM(Calc_Gem_FernDampf_biog,$E$45)</f>
        <v>0</v>
      </c>
      <c r="K45" s="319">
        <f>SUM(Calc_Ver_FernDampf_biog,E45)</f>
        <v>0</v>
      </c>
      <c r="L45" s="320">
        <f>SUM(Calc_Gem_FernDampf_biog,$E$45)</f>
        <v>0</v>
      </c>
    </row>
    <row r="46" spans="3:12" x14ac:dyDescent="0.25">
      <c r="C46" s="342" t="s">
        <v>2059</v>
      </c>
      <c r="D46" s="343" t="s">
        <v>27477</v>
      </c>
      <c r="E46" s="344">
        <f>SUM('3 Calculation'!$G$199,'3 Calculation'!$G$226)</f>
        <v>0</v>
      </c>
      <c r="F46" s="314"/>
      <c r="G46" s="315"/>
      <c r="H46" s="316"/>
      <c r="I46" s="317">
        <f>SUM('3 Calculation'!$G$199,'3 Calculation'!$G$226)</f>
        <v>0</v>
      </c>
      <c r="J46" s="314"/>
      <c r="K46" s="315"/>
      <c r="L46" s="316"/>
    </row>
    <row r="47" spans="3:12" x14ac:dyDescent="0.25">
      <c r="C47" s="342"/>
      <c r="D47" s="343" t="s">
        <v>27478</v>
      </c>
      <c r="E47" s="344">
        <f>'3 Calculation'!$G$245</f>
        <v>0</v>
      </c>
      <c r="F47" s="314"/>
      <c r="G47" s="315"/>
      <c r="H47" s="316"/>
      <c r="I47" s="317">
        <f>'3 Calculation'!$G$245</f>
        <v>0</v>
      </c>
      <c r="J47" s="314"/>
      <c r="K47" s="315"/>
      <c r="L47" s="316"/>
    </row>
    <row r="48" spans="3:12" x14ac:dyDescent="0.25">
      <c r="C48" s="342"/>
      <c r="D48" s="343" t="s">
        <v>27479</v>
      </c>
      <c r="E48" s="344">
        <f>SUM('3 Calculation'!G264,'3 Calculation'!G279,Calc_S3.3_Electricity1[Result kg CO2 biogenic],Calc_3.3_Electricity_Market_biog,'3 Calculation'!G311,'3 Calculation'!G327,Calc_3.3_elFleet_Market_biog)</f>
        <v>0</v>
      </c>
      <c r="F48" s="318">
        <f>SUM(Calc_Gem_StatVerb_indr_biog,Calc_Gem_FernDampf_indr_biog,Calc_Gem_Strom1_indr_biog,Calc_Gem_Strom2_indr_biog,Calc_Gem_Flotte1_indr_biog,Calc_Gem_Flotte2_indr_biog,Calc_Gem_elFlotte_indr_biog,E48)</f>
        <v>0</v>
      </c>
      <c r="G48" s="319">
        <f>SUM(Calc_Ver_StatVerb_indr_biog,Calc_Ver_FernDampf_indr_biog,Calc_Ver_Strom1_indr_biog,Calc_Ver_Strom2_indr_biog,Calc_Ver_Flotte1_indr_biog,Calc_Ver_Flotte2_indr_biog,Calc_Ver_elFlotte_indr_biog,E48)</f>
        <v>0</v>
      </c>
      <c r="H48" s="320">
        <f>SUM(Calc_Gem_StatVerb_indr_biog,Calc_Gem_FernDampf_indr_biog,Calc_Gem_Strom1_indr_biog,Calc_Gem_Strom2_indr_biog,Calc_Gem_Flotte1_indr_biog,Calc_Gem_Flotte2_indr_biog,Calc_Gem_elFlotte_indr_biog,$E$48)</f>
        <v>0</v>
      </c>
      <c r="I48" s="317">
        <f>SUM('3 Calculation'!G264,'3 Calculation'!G279,Calc_3.3_Electricity_Location_biog,'3 Calculation'!G311,'3 Calculation'!G327,Calc_3.3_elFleet_Location_biog)</f>
        <v>0</v>
      </c>
      <c r="J48" s="318">
        <f>SUM(Calc_Gem_StatVerb_indr_biog,Calc_Gem_FernDampf_indr_biog,Calc_Lessee_Electricity_Indirect_Location_biog,Calc_Gem_Flotte1_indr_biog,Calc_Gem_Flotte2_indr_biog,Calc_Lessee_elFleet_Indirect_Location_biog,$I$48)</f>
        <v>0</v>
      </c>
      <c r="K48" s="319">
        <f>SUM(Calc_Ver_StatVerb_indr_biog,Calc_Ver_FernDampf_indr_biog,Calc_Lessor_Electricity_Indirect_Location_biog,Calc_Ver_Flotte1_indr_biog,Calc_Ver_Flotte2_indr_biog,Calc_Lessor_elFleet_Indirect_Location_biog,I48)</f>
        <v>0</v>
      </c>
      <c r="L48" s="320">
        <f>SUM(Calc_Gem_StatVerb_indr_biog,Calc_Gem_FernDampf_indr_biog,Calc_Lessee_Electricity_Indirect_Location_biog,Calc_Gem_Flotte1_indr_biog,Calc_Gem_Flotte2_indr_biog,Calc_Lessee_elFleet_Indirect_Location_biog,$I$48)</f>
        <v>0</v>
      </c>
    </row>
    <row r="49" spans="3:12" x14ac:dyDescent="0.25">
      <c r="C49" s="342"/>
      <c r="D49" s="343" t="s">
        <v>27480</v>
      </c>
      <c r="E49" s="344">
        <f>'3 Calculation'!$G$360</f>
        <v>0</v>
      </c>
      <c r="F49" s="314"/>
      <c r="G49" s="315"/>
      <c r="H49" s="316"/>
      <c r="I49" s="317">
        <f>'3 Calculation'!$G$360</f>
        <v>0</v>
      </c>
      <c r="J49" s="314"/>
      <c r="K49" s="315"/>
      <c r="L49" s="316"/>
    </row>
    <row r="50" spans="3:12" x14ac:dyDescent="0.25">
      <c r="C50" s="342"/>
      <c r="D50" s="343" t="s">
        <v>27481</v>
      </c>
      <c r="E50" s="344">
        <f>'3 Calculation'!$G$380</f>
        <v>0</v>
      </c>
      <c r="F50" s="314"/>
      <c r="G50" s="315"/>
      <c r="H50" s="316"/>
      <c r="I50" s="317">
        <f>'3 Calculation'!$G$380</f>
        <v>0</v>
      </c>
      <c r="J50" s="314"/>
      <c r="K50" s="315"/>
      <c r="L50" s="316"/>
    </row>
    <row r="51" spans="3:12" x14ac:dyDescent="0.25">
      <c r="C51" s="342"/>
      <c r="D51" s="343" t="s">
        <v>27482</v>
      </c>
      <c r="E51" s="344">
        <f>'3 Calculation'!$G$397</f>
        <v>0</v>
      </c>
      <c r="F51" s="314"/>
      <c r="G51" s="315"/>
      <c r="H51" s="316"/>
      <c r="I51" s="317">
        <f>'3 Calculation'!$G$397</f>
        <v>0</v>
      </c>
      <c r="J51" s="314"/>
      <c r="K51" s="315"/>
      <c r="L51" s="316"/>
    </row>
    <row r="52" spans="3:12" x14ac:dyDescent="0.25">
      <c r="C52" s="342"/>
      <c r="D52" s="343" t="s">
        <v>27483</v>
      </c>
      <c r="E52" s="344">
        <f>SUM('3 Calculation'!$G$414,'3 Calculation'!$G$405)</f>
        <v>0</v>
      </c>
      <c r="F52" s="314"/>
      <c r="G52" s="315"/>
      <c r="H52" s="316"/>
      <c r="I52" s="317">
        <f>SUM('3 Calculation'!$G$414,'3 Calculation'!$G$405)</f>
        <v>0</v>
      </c>
      <c r="J52" s="314"/>
      <c r="K52" s="315"/>
      <c r="L52" s="316"/>
    </row>
    <row r="53" spans="3:12" x14ac:dyDescent="0.25">
      <c r="C53" s="342"/>
      <c r="D53" s="345" t="s">
        <v>27490</v>
      </c>
      <c r="E53" s="344"/>
      <c r="F53" s="314"/>
      <c r="G53" s="322">
        <f>SUM(Calc_Gem_StatVerb_biog,Calc_Gem_StatVerb_indr_biog,Calc_Gem_Strom1_biog,Calc_Gem_Strom1_indr_biog,Calc_Gem_Strom2_biog,Calc_Gem_Strom2_indr_biog,Calc_Gem_FernDampf_biog,Calc_Gem_FernDampf_indr)</f>
        <v>0</v>
      </c>
      <c r="H53" s="316"/>
      <c r="I53" s="317"/>
      <c r="J53" s="314"/>
      <c r="K53" s="322">
        <f>SUM(Calc_Gem_StatVerb_biog,Calc_Gem_StatVerb_indr_biog,Calc_Lessee_Electricity_Direct_Location_biog,Calc_Lessee_Electricity_Indirect_Location_biog,Calc_Gem_FernDampf_biog,Calc_Gem_FernDampf_indr_biog)</f>
        <v>0</v>
      </c>
      <c r="L53" s="316"/>
    </row>
    <row r="54" spans="3:12" x14ac:dyDescent="0.25">
      <c r="C54" s="342"/>
      <c r="D54" s="345" t="s">
        <v>27484</v>
      </c>
      <c r="E54" s="344">
        <f>'3 Calculation'!$G$426</f>
        <v>0</v>
      </c>
      <c r="F54" s="314"/>
      <c r="G54" s="315"/>
      <c r="H54" s="316"/>
      <c r="I54" s="317">
        <f>'3 Calculation'!$G$426</f>
        <v>0</v>
      </c>
      <c r="J54" s="314"/>
      <c r="K54" s="315"/>
      <c r="L54" s="316"/>
    </row>
    <row r="55" spans="3:12" x14ac:dyDescent="0.25">
      <c r="C55" s="346"/>
      <c r="D55" s="345" t="s">
        <v>27485</v>
      </c>
      <c r="E55" s="347">
        <f>SUM('3 Calculation'!$G$436,'3 Calculation'!$G$450)</f>
        <v>0</v>
      </c>
      <c r="F55" s="323"/>
      <c r="G55" s="324"/>
      <c r="H55" s="325"/>
      <c r="I55" s="326">
        <f>SUM('3 Calculation'!$G$436,'3 Calculation'!$G$450)</f>
        <v>0</v>
      </c>
      <c r="J55" s="323"/>
      <c r="K55" s="324"/>
      <c r="L55" s="325"/>
    </row>
    <row r="56" spans="3:12" x14ac:dyDescent="0.25">
      <c r="C56" s="346"/>
      <c r="D56" s="345" t="s">
        <v>27486</v>
      </c>
      <c r="E56" s="347">
        <f>SUM('3 Calculation'!$G$460,'3 Calculation'!$G$474)</f>
        <v>0</v>
      </c>
      <c r="F56" s="323"/>
      <c r="G56" s="324"/>
      <c r="H56" s="325"/>
      <c r="I56" s="326">
        <f>SUM('3 Calculation'!$G$460,'3 Calculation'!$G$474)</f>
        <v>0</v>
      </c>
      <c r="J56" s="323"/>
      <c r="K56" s="324"/>
      <c r="L56" s="325"/>
    </row>
    <row r="57" spans="3:12" x14ac:dyDescent="0.25">
      <c r="C57" s="346"/>
      <c r="D57" s="345" t="s">
        <v>27487</v>
      </c>
      <c r="E57" s="347">
        <f>'3 Calculation'!$G$494</f>
        <v>0</v>
      </c>
      <c r="F57" s="323"/>
      <c r="G57" s="324"/>
      <c r="H57" s="325"/>
      <c r="I57" s="326">
        <f>'3 Calculation'!$G$494</f>
        <v>0</v>
      </c>
      <c r="J57" s="323"/>
      <c r="K57" s="324"/>
      <c r="L57" s="325"/>
    </row>
    <row r="58" spans="3:12" x14ac:dyDescent="0.25">
      <c r="C58" s="346"/>
      <c r="D58" s="345" t="s">
        <v>27491</v>
      </c>
      <c r="E58" s="347"/>
      <c r="F58" s="327">
        <f>SUM(Calc_Ver_StatVerb_biog,Calc_Ver_StatVerb_indr_biog,Calc_Ver_FernDampf_biog,Calc_Ver_FernDampf_indr_biog,Calc_Ver_Strom1_biog,Calc_Ver_Strom1_indr_biog,Calc_Ver_Strom2_biog,Calc_Ver_Strom2_indr_biog,Calc_Ver_Flotte1_biog,Calc_Ver_Flotte1_indr_biog,Calc_Ver_Flotte2_biog,Calc_Ver_Flotte2_indr_biog,Calc_Ver_elFlotte_biog,Calc_Ver_elFlotte_indr_biog)</f>
        <v>0</v>
      </c>
      <c r="G58" s="324"/>
      <c r="H58" s="328">
        <f>SUM(Calc_Ver_StatVerb_biog,Calc_Ver_StatVerb_indr_biog,Calc_Ver_FernDampf_biog,Calc_Ver_FernDampf_indr_biog,Calc_Ver_Strom1_biog,Calc_Ver_Strom1_indr_biog,Calc_Ver_Strom2_biog,Calc_Ver_Strom2_indr_biog,Calc_Ver_Flotte1_biog,Calc_Ver_Flotte1_indr_biog,Calc_Ver_Flotte2_biog,Calc_Ver_Flotte2_indr_biog,Calc_Ver_elFlotte_biog,Calc_Ver_elFlotte_indr_biog)</f>
        <v>0</v>
      </c>
      <c r="I58" s="326"/>
      <c r="J58" s="327">
        <f>SUM(Calc_Ver_StatVerb_biog,
Calc_Ver_StatVerb_indr_biog,
Calc_Ver_FernDampf_biog,
Calc_Ver_FernDampf_indr_biog,
Calc_Lessor_Electricity_Direct_Location_biog,
Calc_Lessor_Electricity_Indirect_Location_biog,
Calc_Ver_Flotte1_biog,
Calc_Ver_Flotte1_indr_biog,
Calc_Ver_Flotte2_biog,
Calc_Ver_Flotte2_indr_biog,
Calc_Lessor_Electricity_Direct_Location_biog,
Calc_Lessor_elFleet_Indirect_Location_biog)</f>
        <v>0</v>
      </c>
      <c r="K58" s="324"/>
      <c r="L58" s="328">
        <f>SUM(Calc_Ver_StatVerb_biog,
Calc_Ver_StatVerb_indr_biog,
Calc_Ver_FernDampf_biog,
Calc_Ver_FernDampf_indr_biog,
Calc_Lessor_Electricity_Direct_Location_biog,
Calc_Lessor_Electricity_Indirect_Location_biog,
Calc_Ver_Flotte1_biog,
Calc_Ver_Flotte1_indr_biog,
Calc_Ver_Flotte2_biog,
Calc_Ver_Flotte2_indr_biog,
Calc_Lessor_Electricity_Direct_Location_biog,
Calc_Lessor_elFleet_Indirect_Location_biog)</f>
        <v>0</v>
      </c>
    </row>
    <row r="59" spans="3:12" x14ac:dyDescent="0.25">
      <c r="C59" s="346"/>
      <c r="D59" s="345" t="s">
        <v>27488</v>
      </c>
      <c r="E59" s="347">
        <f>'3 Calculation'!$G$504</f>
        <v>0</v>
      </c>
      <c r="F59" s="323"/>
      <c r="G59" s="324"/>
      <c r="H59" s="325"/>
      <c r="I59" s="326">
        <f>'3 Calculation'!$G$504</f>
        <v>0</v>
      </c>
      <c r="J59" s="323"/>
      <c r="K59" s="324"/>
      <c r="L59" s="325"/>
    </row>
    <row r="60" spans="3:12" x14ac:dyDescent="0.25">
      <c r="C60" s="348"/>
      <c r="D60" s="349" t="s">
        <v>27489</v>
      </c>
      <c r="E60" s="350">
        <f>SUM('3 Calculation'!$G$512,'3 Calculation'!$G$535)</f>
        <v>0</v>
      </c>
      <c r="F60" s="329"/>
      <c r="G60" s="330"/>
      <c r="H60" s="331"/>
      <c r="I60" s="332">
        <f>SUM('3 Calculation'!$G$512,'3 Calculation'!$G$535)</f>
        <v>0</v>
      </c>
      <c r="J60" s="329"/>
      <c r="K60" s="330"/>
      <c r="L60" s="331"/>
    </row>
    <row r="63" spans="3:12" ht="18.75" x14ac:dyDescent="0.3">
      <c r="C63" s="266" t="s">
        <v>27494</v>
      </c>
      <c r="F63" s="760" t="s">
        <v>27923</v>
      </c>
      <c r="G63" s="760"/>
      <c r="H63" s="760"/>
      <c r="I63" s="288"/>
      <c r="J63" s="760" t="s">
        <v>27924</v>
      </c>
      <c r="K63" s="760"/>
      <c r="L63" s="760"/>
    </row>
    <row r="64" spans="3:12" ht="41.1" customHeight="1" x14ac:dyDescent="0.25">
      <c r="C64" s="268"/>
      <c r="D64" s="292"/>
      <c r="E64" s="298" t="s">
        <v>27383</v>
      </c>
      <c r="F64" s="762" t="s">
        <v>27381</v>
      </c>
      <c r="G64" s="762"/>
      <c r="H64" s="763"/>
      <c r="I64" s="291" t="s">
        <v>27383</v>
      </c>
      <c r="J64" s="761" t="s">
        <v>27381</v>
      </c>
      <c r="K64" s="762"/>
      <c r="L64" s="763"/>
    </row>
    <row r="65" spans="3:12" ht="30" customHeight="1" x14ac:dyDescent="0.25">
      <c r="C65" s="289"/>
      <c r="D65" s="290" t="s">
        <v>27382</v>
      </c>
      <c r="F65" s="269" t="s">
        <v>27397</v>
      </c>
      <c r="G65" s="764" t="s">
        <v>27385</v>
      </c>
      <c r="H65" s="765"/>
      <c r="I65" s="296"/>
      <c r="J65" s="269" t="s">
        <v>27397</v>
      </c>
      <c r="K65" s="764" t="s">
        <v>27385</v>
      </c>
      <c r="L65" s="765"/>
    </row>
    <row r="66" spans="3:12" x14ac:dyDescent="0.25">
      <c r="C66" s="270"/>
      <c r="D66" s="271"/>
      <c r="E66" s="272" t="s">
        <v>27923</v>
      </c>
      <c r="F66" s="273"/>
      <c r="G66" s="293" t="s">
        <v>858</v>
      </c>
      <c r="H66" s="294" t="s">
        <v>861</v>
      </c>
      <c r="I66" s="297" t="s">
        <v>27888</v>
      </c>
      <c r="J66" s="273"/>
      <c r="K66" s="293" t="s">
        <v>858</v>
      </c>
      <c r="L66" s="294" t="s">
        <v>861</v>
      </c>
    </row>
    <row r="67" spans="3:12" x14ac:dyDescent="0.25">
      <c r="C67" s="333" t="s">
        <v>27158</v>
      </c>
      <c r="D67" s="334" t="s">
        <v>27266</v>
      </c>
      <c r="E67" s="335">
        <f>'3 Calculation'!H37</f>
        <v>0</v>
      </c>
      <c r="F67" s="310">
        <f>SUM(Calc_Gem_StatVerb_UBP,$E$67)</f>
        <v>0</v>
      </c>
      <c r="G67" s="311">
        <f>SUM(Calc_Ver_StatVerb_UBP,E67)</f>
        <v>0</v>
      </c>
      <c r="H67" s="312">
        <f>SUM(Calc_Gem_StatVerb_UBP,$E$67)</f>
        <v>0</v>
      </c>
      <c r="I67" s="313">
        <f>'3 Calculation'!$H$37</f>
        <v>0</v>
      </c>
      <c r="J67" s="310">
        <f>SUM(Calc_Gem_StatVerb_UBP,$E$67)</f>
        <v>0</v>
      </c>
      <c r="K67" s="311">
        <f>SUM(Calc_Ver_StatVerb_UBP,E67)</f>
        <v>0</v>
      </c>
      <c r="L67" s="312">
        <f>SUM(Calc_Gem_StatVerb_UBP,$E$67)</f>
        <v>0</v>
      </c>
    </row>
    <row r="68" spans="3:12" x14ac:dyDescent="0.25">
      <c r="C68" s="336"/>
      <c r="D68" s="337" t="s">
        <v>27270</v>
      </c>
      <c r="E68" s="338">
        <f>'3 Calculation'!H54</f>
        <v>0</v>
      </c>
      <c r="F68" s="314"/>
      <c r="G68" s="315"/>
      <c r="H68" s="316"/>
      <c r="I68" s="317">
        <f>'3 Calculation'!$H$54</f>
        <v>0</v>
      </c>
      <c r="J68" s="314"/>
      <c r="K68" s="315"/>
      <c r="L68" s="316"/>
    </row>
    <row r="69" spans="3:12" x14ac:dyDescent="0.25">
      <c r="C69" s="336"/>
      <c r="D69" s="337" t="s">
        <v>27268</v>
      </c>
      <c r="E69" s="338">
        <f>SUM('3 Calculation'!H76,'3 Calculation'!H63)</f>
        <v>0</v>
      </c>
      <c r="F69" s="318">
        <f>SUM(Calc_Gem_Flotte2_UBP,Calc_Gem_Flotte1_UBP,$E$69)</f>
        <v>0</v>
      </c>
      <c r="G69" s="319">
        <f>SUM(Calc_Ver_Flotte1_UBP,Calc_Ver_Flotte2_UBP,E69)</f>
        <v>0</v>
      </c>
      <c r="H69" s="320">
        <f>SUM(Calc_Gem_Flotte2_UBP,Calc_Gem_Flotte1_UBP,$E$69)</f>
        <v>0</v>
      </c>
      <c r="I69" s="317">
        <f>SUM('3 Calculation'!$H$76,'3 Calculation'!$H$63)</f>
        <v>0</v>
      </c>
      <c r="J69" s="318">
        <f>SUM(Calc_Gem_Flotte2_UBP,Calc_Gem_Flotte1_UBP,$E$69)</f>
        <v>0</v>
      </c>
      <c r="K69" s="319">
        <f>SUM(Calc_Ver_Flotte1_UBP,Calc_Ver_Flotte2_UBP,E69)</f>
        <v>0</v>
      </c>
      <c r="L69" s="320">
        <f>SUM(Calc_Gem_Flotte2_UBP,Calc_Gem_Flotte1_UBP,$E$69)</f>
        <v>0</v>
      </c>
    </row>
    <row r="70" spans="3:12" x14ac:dyDescent="0.25">
      <c r="C70" s="336"/>
      <c r="D70" s="337" t="s">
        <v>2070</v>
      </c>
      <c r="E70" s="338">
        <f>SUM('3 Calculation'!H92,'3 Calculation'!H83,'3 Calculation'!H102)</f>
        <v>0</v>
      </c>
      <c r="F70" s="314"/>
      <c r="G70" s="315"/>
      <c r="H70" s="316"/>
      <c r="I70" s="317">
        <f>SUM('3 Calculation'!$H$92,'3 Calculation'!$H$83,'3 Calculation'!L102)</f>
        <v>0</v>
      </c>
      <c r="J70" s="314"/>
      <c r="K70" s="315"/>
      <c r="L70" s="316"/>
    </row>
    <row r="71" spans="3:12" x14ac:dyDescent="0.25">
      <c r="C71" s="339" t="s">
        <v>27159</v>
      </c>
      <c r="D71" s="340" t="s">
        <v>27476</v>
      </c>
      <c r="E71" s="341">
        <f>SUM(Calc_S2_Electricity1[Result UBP],Calc_2_Electricity_Market_UBP,Calc_2_elFleet_Market_UBP)</f>
        <v>0</v>
      </c>
      <c r="F71" s="321">
        <f>SUM(Calc_Gem_Strom2_UBP,Calc_Gem_Strom1_UBP,Calc_Gem_elFlotte_UBP,$E$71)</f>
        <v>0</v>
      </c>
      <c r="G71" s="319">
        <f>SUM(Calc_Ver_Strom1_UBP,Calc_Ver_Strom2_UBP,Calc_Ver_elFlotte_UBP,E71)</f>
        <v>0</v>
      </c>
      <c r="H71" s="320">
        <f>SUM(Calc_Gem_Strom2_UBP,Calc_Gem_Strom1_UBP,Calc_Gem_elFlotte_UBP,$E$71)</f>
        <v>0</v>
      </c>
      <c r="I71" s="315">
        <f>SUM(Calc_2_Electricity_Location_UBP,Calc_2_elFleet_Location_UBP)</f>
        <v>0</v>
      </c>
      <c r="J71" s="321">
        <f>SUM(Calc_Lessee_Electricity_Direct_Location_UBP,Calc_Lessee_elFleet_Direct_Location_UBP,I71)</f>
        <v>0</v>
      </c>
      <c r="K71" s="319">
        <f>SUM(Calc_Lessor_Electricity_Direct_Location_UBP,Calc_Lessor_elFleet_Direct_Location_UBP,I71)</f>
        <v>0</v>
      </c>
      <c r="L71" s="320">
        <f>SUM(Calc_Lessee_Electricity_Direct_Location_UBP,Calc_Lessee_elFleet_Direct_Location_UBP,I71)</f>
        <v>0</v>
      </c>
    </row>
    <row r="72" spans="3:12" x14ac:dyDescent="0.25">
      <c r="C72" s="339"/>
      <c r="D72" s="340" t="s">
        <v>27267</v>
      </c>
      <c r="E72" s="341">
        <f>'3 Calculation'!H146</f>
        <v>0</v>
      </c>
      <c r="F72" s="318">
        <f>SUM(Calc_Gem_FernDampf_UBP,$E$72)</f>
        <v>0</v>
      </c>
      <c r="G72" s="319">
        <f>SUM(Calc_Ver_FernDampf_UBP,E72)</f>
        <v>0</v>
      </c>
      <c r="H72" s="320">
        <f>SUM(Calc_Gem_FernDampf_UBP,$E$72)</f>
        <v>0</v>
      </c>
      <c r="I72" s="317">
        <f>'3 Calculation'!$H$146</f>
        <v>0</v>
      </c>
      <c r="J72" s="318">
        <f>SUM(Calc_Gem_FernDampf_UBP,$E$72)</f>
        <v>0</v>
      </c>
      <c r="K72" s="319">
        <f>SUM(Calc_Ver_FernDampf_UBP,E72)</f>
        <v>0</v>
      </c>
      <c r="L72" s="320">
        <f>SUM(Calc_Gem_FernDampf_UBP,$E$72)</f>
        <v>0</v>
      </c>
    </row>
    <row r="73" spans="3:12" x14ac:dyDescent="0.25">
      <c r="C73" s="342" t="s">
        <v>2059</v>
      </c>
      <c r="D73" s="343" t="s">
        <v>27477</v>
      </c>
      <c r="E73" s="344">
        <f>SUM('3 Calculation'!H199,'3 Calculation'!H226)</f>
        <v>0</v>
      </c>
      <c r="F73" s="314"/>
      <c r="G73" s="315"/>
      <c r="H73" s="316"/>
      <c r="I73" s="317">
        <f>SUM('3 Calculation'!$H$199,'3 Calculation'!$H$226)</f>
        <v>0</v>
      </c>
      <c r="J73" s="314"/>
      <c r="K73" s="315"/>
      <c r="L73" s="316"/>
    </row>
    <row r="74" spans="3:12" x14ac:dyDescent="0.25">
      <c r="C74" s="342"/>
      <c r="D74" s="343" t="s">
        <v>27478</v>
      </c>
      <c r="E74" s="344">
        <f>'3 Calculation'!H245</f>
        <v>0</v>
      </c>
      <c r="F74" s="314"/>
      <c r="G74" s="315"/>
      <c r="H74" s="316"/>
      <c r="I74" s="317">
        <f>'3 Calculation'!$H$245</f>
        <v>0</v>
      </c>
      <c r="J74" s="314"/>
      <c r="K74" s="315"/>
      <c r="L74" s="316"/>
    </row>
    <row r="75" spans="3:12" x14ac:dyDescent="0.25">
      <c r="C75" s="342"/>
      <c r="D75" s="343" t="s">
        <v>27479</v>
      </c>
      <c r="E75" s="344">
        <f>SUM('3 Calculation'!H264,'3 Calculation'!H279,Calc_S3.3_Electricity1[Result UBP],Calc_3.3_Electricity_Market_UBP,'3 Calculation'!H311,'3 Calculation'!H327,Calc_3.3_elFleet_Market_UBP)</f>
        <v>0</v>
      </c>
      <c r="F75" s="318">
        <f>SUM(Calc_Gem_StatVerb_indr_UBP,Calc_Gem_FernDampf_indr_UBP,Calc_Gem_Strom1_indr_UBP,Calc_Gem_Strom2_indr_UBP,Calc_Gem_Flotte1_indr_UBP,Calc_Gem_Flotte2_indr_UBP,Calc_Gem_elFlotte_indr_UBP,$E$75)</f>
        <v>0</v>
      </c>
      <c r="G75" s="319">
        <f>SUM(Calc_Ver_StatVerb_indr_UBP,Calc_Ver_FernDampf_indr_UBP,Calc_Ver_Strom1_indr_UBP,Calc_Ver_Strom2_indr_UBP,Calc_Ver_Flotte1_indr_UBP,Calc_Ver_Flotte2_indr_UBP,Calc_Ver_elFlotte_indr_UBP,E75)</f>
        <v>0</v>
      </c>
      <c r="H75" s="320">
        <f>SUM(Calc_Gem_StatVerb_indr_UBP,Calc_Gem_FernDampf_indr_UBP,Calc_Gem_Strom1_indr_UBP,Calc_Gem_Strom2_indr_UBP,Calc_Gem_Flotte1_indr_UBP,Calc_Gem_Flotte2_indr_UBP,Calc_Gem_elFlotte_indr_UBP,$E$75)</f>
        <v>0</v>
      </c>
      <c r="I75" s="317">
        <f>SUM('3 Calculation'!H264,'3 Calculation'!H279,Calc_3.3_Electricity_Location_UBP,'3 Calculation'!H311,'3 Calculation'!H327,Calc_3.3_elFleet_Location_UBP)</f>
        <v>0</v>
      </c>
      <c r="J75" s="318">
        <f>SUM(Calc_Gem_StatVerb_indr_UBP,Calc_Gem_FernDampf_indr_UBP,Calc_Lessee_Electricity_Indirect_Location_UBP,Calc_Gem_Flotte1_indr_UBP,Calc_Gem_Flotte2_indr_UBP,Calc_Lessee_elFleet_Indirect_Location_UBP,I75)</f>
        <v>0</v>
      </c>
      <c r="K75" s="319">
        <f>SUM(Calc_Ver_StatVerb_indr_UBP,Calc_Ver_FernDampf_indr_UBP,Calc_Lessor_Electricity_Indirect_Location_UBP,Calc_Ver_Flotte1_indr_UBP,Calc_Ver_Flotte2_indr_UBP,Calc_Lessor_elFleet_Indirect_Location_UBP,I75)</f>
        <v>0</v>
      </c>
      <c r="L75" s="320">
        <f>SUM(Calc_Gem_StatVerb_indr_UBP,Calc_Gem_FernDampf_indr_UBP,Calc_Lessee_Electricity_Indirect_Location_UBP,Calc_Gem_Flotte1_indr_UBP,Calc_Gem_Flotte2_indr_UBP,Calc_Lessee_elFleet_Indirect_Location_UBP,I75)</f>
        <v>0</v>
      </c>
    </row>
    <row r="76" spans="3:12" x14ac:dyDescent="0.25">
      <c r="C76" s="342"/>
      <c r="D76" s="343" t="s">
        <v>27480</v>
      </c>
      <c r="E76" s="344">
        <f>'3 Calculation'!H360</f>
        <v>0</v>
      </c>
      <c r="F76" s="314"/>
      <c r="G76" s="315"/>
      <c r="H76" s="316"/>
      <c r="I76" s="317">
        <f>'3 Calculation'!$H$360</f>
        <v>0</v>
      </c>
      <c r="J76" s="314"/>
      <c r="K76" s="315"/>
      <c r="L76" s="316"/>
    </row>
    <row r="77" spans="3:12" x14ac:dyDescent="0.25">
      <c r="C77" s="342"/>
      <c r="D77" s="343" t="s">
        <v>27481</v>
      </c>
      <c r="E77" s="344">
        <f>'3 Calculation'!H380</f>
        <v>0</v>
      </c>
      <c r="F77" s="314"/>
      <c r="G77" s="315"/>
      <c r="H77" s="316"/>
      <c r="I77" s="317">
        <f>'3 Calculation'!$H$380</f>
        <v>0</v>
      </c>
      <c r="J77" s="314"/>
      <c r="K77" s="315"/>
      <c r="L77" s="316"/>
    </row>
    <row r="78" spans="3:12" x14ac:dyDescent="0.25">
      <c r="C78" s="342"/>
      <c r="D78" s="343" t="s">
        <v>27482</v>
      </c>
      <c r="E78" s="344">
        <f>'3 Calculation'!H397</f>
        <v>0</v>
      </c>
      <c r="F78" s="314"/>
      <c r="G78" s="315"/>
      <c r="H78" s="316"/>
      <c r="I78" s="317">
        <f>'3 Calculation'!$H$397</f>
        <v>0</v>
      </c>
      <c r="J78" s="314"/>
      <c r="K78" s="315"/>
      <c r="L78" s="316"/>
    </row>
    <row r="79" spans="3:12" x14ac:dyDescent="0.25">
      <c r="C79" s="342"/>
      <c r="D79" s="343" t="s">
        <v>27483</v>
      </c>
      <c r="E79" s="344">
        <f>SUM('3 Calculation'!H414,'3 Calculation'!H405)</f>
        <v>0</v>
      </c>
      <c r="F79" s="314"/>
      <c r="G79" s="315"/>
      <c r="H79" s="316"/>
      <c r="I79" s="317">
        <f>SUM('3 Calculation'!$H$414,'3 Calculation'!$H$405)</f>
        <v>0</v>
      </c>
      <c r="J79" s="314"/>
      <c r="K79" s="315"/>
      <c r="L79" s="316"/>
    </row>
    <row r="80" spans="3:12" x14ac:dyDescent="0.25">
      <c r="C80" s="342"/>
      <c r="D80" s="345" t="s">
        <v>27490</v>
      </c>
      <c r="E80" s="344"/>
      <c r="F80" s="314"/>
      <c r="G80" s="322">
        <f>SUM(Calc_Gem_StatVerb_UBP,Calc_Gem_StatVerb_indr_UBP,Calc_Gem_Strom1_UBP,Calc_Gem_Strom1_indr_UBP,Calc_Gem_Strom2_UBP,Calc_Gem_Strom2_indr_UBP,Calc_Gem_FernDampf_UBP,Calc_Gem_FernDampf_indr_UBP)</f>
        <v>0</v>
      </c>
      <c r="H80" s="316"/>
      <c r="I80" s="317"/>
      <c r="J80" s="314"/>
      <c r="K80" s="322">
        <f>SUM(Calc_Gem_StatVerb_UBP,Calc_Gem_StatVerb_indr_UBP,Calc_Lessee_Electricity_Direct_Location_UBP,Calc_Lessee_Electricity_Indirect_Location_UBP,Calc_Gem_FernDampf_UBP,Calc_Gem_FernDampf_indr_UBP)</f>
        <v>0</v>
      </c>
      <c r="L80" s="316"/>
    </row>
    <row r="81" spans="3:12" x14ac:dyDescent="0.25">
      <c r="C81" s="342"/>
      <c r="D81" s="345" t="s">
        <v>27484</v>
      </c>
      <c r="E81" s="344">
        <f>'3 Calculation'!H426</f>
        <v>0</v>
      </c>
      <c r="F81" s="314"/>
      <c r="G81" s="315"/>
      <c r="H81" s="316"/>
      <c r="I81" s="317">
        <f>'3 Calculation'!$H$426</f>
        <v>0</v>
      </c>
      <c r="J81" s="314"/>
      <c r="K81" s="315"/>
      <c r="L81" s="316"/>
    </row>
    <row r="82" spans="3:12" x14ac:dyDescent="0.25">
      <c r="C82" s="346"/>
      <c r="D82" s="345" t="s">
        <v>27485</v>
      </c>
      <c r="E82" s="347">
        <f>SUM('3 Calculation'!H436,'3 Calculation'!H450)</f>
        <v>0</v>
      </c>
      <c r="F82" s="323"/>
      <c r="G82" s="324"/>
      <c r="H82" s="325"/>
      <c r="I82" s="326">
        <f>SUM('3 Calculation'!$H$436,'3 Calculation'!$H$450)</f>
        <v>0</v>
      </c>
      <c r="J82" s="323"/>
      <c r="K82" s="324"/>
      <c r="L82" s="325"/>
    </row>
    <row r="83" spans="3:12" x14ac:dyDescent="0.25">
      <c r="C83" s="346"/>
      <c r="D83" s="345" t="s">
        <v>27486</v>
      </c>
      <c r="E83" s="347">
        <f>SUM('3 Calculation'!H460,'3 Calculation'!H474)</f>
        <v>0</v>
      </c>
      <c r="F83" s="323"/>
      <c r="G83" s="324"/>
      <c r="H83" s="325"/>
      <c r="I83" s="326">
        <f>SUM('3 Calculation'!$H$460,'3 Calculation'!$H$474)</f>
        <v>0</v>
      </c>
      <c r="J83" s="323"/>
      <c r="K83" s="324"/>
      <c r="L83" s="325"/>
    </row>
    <row r="84" spans="3:12" x14ac:dyDescent="0.25">
      <c r="C84" s="346"/>
      <c r="D84" s="345" t="s">
        <v>27487</v>
      </c>
      <c r="E84" s="347">
        <f>'3 Calculation'!H494</f>
        <v>0</v>
      </c>
      <c r="F84" s="323"/>
      <c r="G84" s="324"/>
      <c r="H84" s="325"/>
      <c r="I84" s="326">
        <f>'3 Calculation'!$H$494</f>
        <v>0</v>
      </c>
      <c r="J84" s="323"/>
      <c r="K84" s="324"/>
      <c r="L84" s="325"/>
    </row>
    <row r="85" spans="3:12" x14ac:dyDescent="0.25">
      <c r="C85" s="346"/>
      <c r="D85" s="345" t="s">
        <v>27491</v>
      </c>
      <c r="E85" s="347"/>
      <c r="F85" s="327">
        <f>SUM(
Calc_Ver_StatVerb_UBP,
Calc_Ver_StatVerb_indr_UBP,
Calc_Ver_FernDampf_UBP,
Calc_Ver_FernDampf_indr_UBP,
Calc_Ver_Strom1_UBP,
Calc_Ver_Strom1_indr_UBP,
Calc_Ver_Strom2_UBP,
Calc_Ver_Strom2_indr_UBP,
Calc_Ver_Flotte1_UBP,
Calc_Ver_Flotte1_indr_UBP,
Calc_Ver_Flotte2_UBP,
Calc_Ver_Flotte2_indr_UBP,
Calc_Ver_elFlotte_UBP,
Calc_Ver_elFlotte_indr_UBP)</f>
        <v>0</v>
      </c>
      <c r="G85" s="324"/>
      <c r="H85" s="328">
        <f>SUM(
Calc_Ver_StatVerb_UBP,
Calc_Ver_StatVerb_indr_UBP,
Calc_Ver_FernDampf_UBP,
Calc_Ver_FernDampf_indr_UBP,
Calc_Ver_Strom1_UBP,
Calc_Ver_Strom1_indr_UBP,
Calc_Ver_Strom2_UBP,
Calc_Ver_Strom2_indr_UBP,
Calc_Ver_Flotte1_UBP,
Calc_Ver_Flotte1_indr_UBP,
Calc_Ver_Flotte2_UBP,
Calc_Ver_Flotte2_indr_UBP,
Calc_Ver_elFlotte_UBP,
Calc_Ver_elFlotte_indr_UBP)</f>
        <v>0</v>
      </c>
      <c r="I85" s="326"/>
      <c r="J85" s="327">
        <f>SUM(Calc_Ver_StatVerb_UBP,
Calc_Ver_StatVerb_indr_UBP,
Calc_Ver_FernDampf_UBP,
Calc_Ver_FernDampf_indr_UBP,
Calc_Lessor_Electricity_Direct_Location_UBP,
Calc_Lessor_Electricity_Indirect_Location_UBP,
Calc_Ver_Flotte1_UBP,
Calc_Ver_Flotte1_indr_UBP,
Calc_Ver_Flotte2_UBP,
Calc_Ver_Flotte2_indr_UBP,
Calc_Lessor_Electricity_Direct_Location_UBP,
Calc_Lessor_elFleet_Indirect_Location_UBP)</f>
        <v>0</v>
      </c>
      <c r="K85" s="324"/>
      <c r="L85" s="328">
        <f>SUM(Calc_Ver_StatVerb_UBP,
Calc_Ver_StatVerb_indr_UBP,
Calc_Ver_FernDampf_UBP,
Calc_Ver_FernDampf_indr_UBP,
Calc_Lessor_Electricity_Direct_Location_UBP,
Calc_Lessor_Electricity_Indirect_Location_UBP,
Calc_Ver_Flotte1_UBP,
Calc_Ver_Flotte1_indr_UBP,
Calc_Ver_Flotte2_UBP,
Calc_Ver_Flotte2_indr_UBP,
Calc_Lessor_Electricity_Direct_Location_UBP,
Calc_Lessor_elFleet_Indirect_Location_UBP)</f>
        <v>0</v>
      </c>
    </row>
    <row r="86" spans="3:12" x14ac:dyDescent="0.25">
      <c r="C86" s="346"/>
      <c r="D86" s="345" t="s">
        <v>27488</v>
      </c>
      <c r="E86" s="347">
        <f>'3 Calculation'!H504</f>
        <v>0</v>
      </c>
      <c r="F86" s="323"/>
      <c r="G86" s="324"/>
      <c r="H86" s="325"/>
      <c r="I86" s="326">
        <f>'3 Calculation'!$H$504</f>
        <v>0</v>
      </c>
      <c r="J86" s="323"/>
      <c r="K86" s="324"/>
      <c r="L86" s="325"/>
    </row>
    <row r="87" spans="3:12" x14ac:dyDescent="0.25">
      <c r="C87" s="348"/>
      <c r="D87" s="349" t="s">
        <v>27489</v>
      </c>
      <c r="E87" s="350">
        <f>SUM('3 Calculation'!H535,'3 Calculation'!H512)</f>
        <v>0</v>
      </c>
      <c r="F87" s="329"/>
      <c r="G87" s="330"/>
      <c r="H87" s="331"/>
      <c r="I87" s="332">
        <f>SUM('3 Calculation'!$H$535,'3 Calculation'!$H$512)</f>
        <v>0</v>
      </c>
      <c r="J87" s="329"/>
      <c r="K87" s="330"/>
      <c r="L87" s="331"/>
    </row>
  </sheetData>
  <mergeCells count="18">
    <mergeCell ref="J64:L64"/>
    <mergeCell ref="K65:L65"/>
    <mergeCell ref="F63:H63"/>
    <mergeCell ref="J63:L63"/>
    <mergeCell ref="G38:H38"/>
    <mergeCell ref="F64:H64"/>
    <mergeCell ref="G65:H65"/>
    <mergeCell ref="F9:H9"/>
    <mergeCell ref="J9:L9"/>
    <mergeCell ref="J37:L37"/>
    <mergeCell ref="K38:L38"/>
    <mergeCell ref="J10:L10"/>
    <mergeCell ref="K11:L11"/>
    <mergeCell ref="F10:H10"/>
    <mergeCell ref="G11:H11"/>
    <mergeCell ref="F37:H37"/>
    <mergeCell ref="I36:L36"/>
    <mergeCell ref="E36:H36"/>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4977-A18C-4E15-94F0-B4770633B5F6}">
  <sheetPr codeName="Sheet9"/>
  <dimension ref="A2:AD1504"/>
  <sheetViews>
    <sheetView topLeftCell="D1" zoomScale="85" zoomScaleNormal="85" workbookViewId="0">
      <selection activeCell="I3" sqref="I3"/>
    </sheetView>
  </sheetViews>
  <sheetFormatPr defaultColWidth="10.7109375" defaultRowHeight="15" x14ac:dyDescent="0.25"/>
  <cols>
    <col min="1" max="1" width="32.28515625" style="30" customWidth="1"/>
    <col min="2" max="2" width="82.7109375" style="30" customWidth="1"/>
    <col min="3" max="3" width="56.5703125" style="30" customWidth="1"/>
    <col min="4" max="4" width="65.5703125" style="30" customWidth="1"/>
    <col min="5" max="5" width="65.7109375" style="29" customWidth="1"/>
    <col min="6" max="6" width="75.7109375" style="30" customWidth="1"/>
    <col min="7" max="7" width="20.7109375" style="30" customWidth="1"/>
    <col min="8" max="8" width="21.42578125" style="30" customWidth="1"/>
    <col min="9" max="9" width="30.28515625" style="30" customWidth="1"/>
    <col min="10" max="10" width="31.28515625" style="30" customWidth="1"/>
    <col min="11" max="13" width="33.7109375" style="30" customWidth="1"/>
    <col min="14" max="14" width="31" style="30" bestFit="1" customWidth="1"/>
    <col min="15" max="15" width="29.42578125" style="30" customWidth="1"/>
    <col min="16" max="16" width="35.42578125" style="30" customWidth="1"/>
    <col min="17" max="17" width="16.7109375" style="30" customWidth="1"/>
    <col min="18" max="16384" width="10.7109375" style="30"/>
  </cols>
  <sheetData>
    <row r="2" spans="1:9" x14ac:dyDescent="0.25">
      <c r="A2" s="28" t="s">
        <v>61</v>
      </c>
      <c r="B2" s="29" t="s">
        <v>62</v>
      </c>
      <c r="C2" s="29" t="s">
        <v>63</v>
      </c>
      <c r="D2" s="29" t="s">
        <v>64</v>
      </c>
      <c r="E2" s="29" t="s">
        <v>65</v>
      </c>
      <c r="F2" s="29" t="s">
        <v>66</v>
      </c>
      <c r="G2" s="29" t="s">
        <v>67</v>
      </c>
      <c r="H2" s="29" t="s">
        <v>68</v>
      </c>
      <c r="I2" s="29" t="s">
        <v>29013</v>
      </c>
    </row>
    <row r="3" spans="1:9" x14ac:dyDescent="0.25">
      <c r="B3" s="29" t="str" cm="1">
        <f t="array" ref="B3">_xlfn.IFS(
     Lists_S1_StationaryComb[[#This Row],[DE Name]]="","",
     Language=German,Lists_S1_StationaryComb[[#This Row],[DE Name]],
     Language=French,Lists_S1_StationaryComb[[#This Row],[FR Name]],
     Language=Italian,Lists_S1_StationaryComb[[#This Row],[IT Name]]
)</f>
        <v>Mazout extra-léger, chaudière à condensation 100 kW, non modulante</v>
      </c>
      <c r="C3" s="363" t="s">
        <v>69</v>
      </c>
      <c r="D3" s="363" t="s">
        <v>70</v>
      </c>
      <c r="E3" s="363" t="s">
        <v>71</v>
      </c>
      <c r="F3" s="29" t="s">
        <v>72</v>
      </c>
      <c r="G3" s="29" t="s">
        <v>73</v>
      </c>
      <c r="H3" s="29" t="s">
        <v>74</v>
      </c>
      <c r="I3" s="364">
        <v>35.993099999999998</v>
      </c>
    </row>
    <row r="4" spans="1:9" x14ac:dyDescent="0.25">
      <c r="B4" s="29" t="str" cm="1">
        <f t="array" ref="B4">_xlfn.IFS(
     Lists_S1_StationaryComb[[#This Row],[DE Name]]="","",
     Language=German,Lists_S1_StationaryComb[[#This Row],[DE Name]],
     Language=French,Lists_S1_StationaryComb[[#This Row],[FR Name]],
     Language=Italian,Lists_S1_StationaryComb[[#This Row],[IT Name]]
)</f>
        <v>Mazout lourd, four industriel 1 MW, non modulant</v>
      </c>
      <c r="C4" s="363" t="s">
        <v>75</v>
      </c>
      <c r="D4" s="363" t="s">
        <v>76</v>
      </c>
      <c r="E4" s="363" t="s">
        <v>77</v>
      </c>
      <c r="F4" s="29" t="s">
        <v>78</v>
      </c>
      <c r="G4" s="29" t="s">
        <v>73</v>
      </c>
      <c r="H4" s="29" t="s">
        <v>74</v>
      </c>
      <c r="I4" s="364">
        <v>39.552</v>
      </c>
    </row>
    <row r="5" spans="1:9" x14ac:dyDescent="0.25">
      <c r="B5" s="29" t="str" cm="1">
        <f t="array" ref="B5">_xlfn.IFS(
     Lists_S1_StationaryComb[[#This Row],[DE Name]]="","",
     Language=German,Lists_S1_StationaryComb[[#This Row],[DE Name]],
     Language=French,Lists_S1_StationaryComb[[#This Row],[FR Name]],
     Language=Italian,Lists_S1_StationaryComb[[#This Row],[IT Name]]
)</f>
        <v>Propane/butane liquéfié, chaudière à condensation 50 kW, modulante</v>
      </c>
      <c r="C5" s="363" t="s">
        <v>79</v>
      </c>
      <c r="D5" s="363" t="s">
        <v>80</v>
      </c>
      <c r="E5" s="363" t="s">
        <v>81</v>
      </c>
      <c r="F5" s="29" t="s">
        <v>82</v>
      </c>
      <c r="G5" s="29" t="s">
        <v>73</v>
      </c>
      <c r="H5" s="29" t="s">
        <v>74</v>
      </c>
      <c r="I5" s="364">
        <v>24.84</v>
      </c>
    </row>
    <row r="6" spans="1:9" x14ac:dyDescent="0.25">
      <c r="B6" s="29" t="str" cm="1">
        <f t="array" ref="B6">_xlfn.IFS(
     Lists_S1_StationaryComb[[#This Row],[DE Name]]="","",
     Language=German,Lists_S1_StationaryComb[[#This Row],[DE Name]],
     Language=French,Lists_S1_StationaryComb[[#This Row],[FR Name]],
     Language=Italian,Lists_S1_StationaryComb[[#This Row],[IT Name]]
)</f>
        <v>Coke de pétrole, four de raffinerie</v>
      </c>
      <c r="C6" s="363" t="s">
        <v>84</v>
      </c>
      <c r="D6" s="363" t="s">
        <v>85</v>
      </c>
      <c r="E6" s="363" t="s">
        <v>86</v>
      </c>
      <c r="F6" s="29" t="s">
        <v>87</v>
      </c>
      <c r="G6" s="29" t="s">
        <v>73</v>
      </c>
      <c r="H6" s="29" t="s">
        <v>88</v>
      </c>
      <c r="I6" s="364">
        <v>31.8</v>
      </c>
    </row>
    <row r="7" spans="1:9" x14ac:dyDescent="0.25">
      <c r="B7" s="29" t="str" cm="1">
        <f t="array" ref="B7">_xlfn.IFS(
     Lists_S1_StationaryComb[[#This Row],[DE Name]]="","",
     Language=German,Lists_S1_StationaryComb[[#This Row],[DE Name]],
     Language=French,Lists_S1_StationaryComb[[#This Row],[FR Name]],
     Language=Italian,Lists_S1_StationaryComb[[#This Row],[IT Name]]
)</f>
        <v>Coke de houille, poêle 5-15 kW</v>
      </c>
      <c r="C7" s="363" t="s">
        <v>89</v>
      </c>
      <c r="D7" s="363" t="s">
        <v>90</v>
      </c>
      <c r="E7" s="363" t="s">
        <v>91</v>
      </c>
      <c r="F7" s="29" t="s">
        <v>92</v>
      </c>
      <c r="G7" s="29" t="s">
        <v>73</v>
      </c>
      <c r="H7" s="29" t="s">
        <v>88</v>
      </c>
      <c r="I7" s="364">
        <v>25.5</v>
      </c>
    </row>
    <row r="8" spans="1:9" x14ac:dyDescent="0.25">
      <c r="B8" s="29" t="str" cm="1">
        <f t="array" ref="B8">_xlfn.IFS(
     Lists_S1_StationaryComb[[#This Row],[DE Name]]="","",
     Language=German,Lists_S1_StationaryComb[[#This Row],[DE Name]],
     Language=French,Lists_S1_StationaryComb[[#This Row],[FR Name]],
     Language=Italian,Lists_S1_StationaryComb[[#This Row],[IT Name]]
)</f>
        <v>Briquettes de houille, poêle 5-15 kW</v>
      </c>
      <c r="C8" s="363" t="s">
        <v>93</v>
      </c>
      <c r="D8" s="363" t="s">
        <v>94</v>
      </c>
      <c r="E8" s="363" t="s">
        <v>95</v>
      </c>
      <c r="F8" s="29" t="s">
        <v>96</v>
      </c>
      <c r="G8" s="29" t="s">
        <v>73</v>
      </c>
      <c r="H8" s="29" t="s">
        <v>88</v>
      </c>
      <c r="I8" s="364">
        <v>25.5</v>
      </c>
    </row>
    <row r="9" spans="1:9" x14ac:dyDescent="0.25">
      <c r="B9" s="29" t="str" cm="1">
        <f t="array" ref="B9">_xlfn.IFS(
     Lists_S1_StationaryComb[[#This Row],[DE Name]]="","",
     Language=German,Lists_S1_StationaryComb[[#This Row],[DE Name]],
     Language=French,Lists_S1_StationaryComb[[#This Row],[FR Name]],
     Language=Italian,Lists_S1_StationaryComb[[#This Row],[IT Name]]
)</f>
        <v>Briquettes de lignite, poêle 5-15 kW</v>
      </c>
      <c r="C9" s="363" t="s">
        <v>97</v>
      </c>
      <c r="D9" s="363" t="s">
        <v>98</v>
      </c>
      <c r="E9" s="363" t="s">
        <v>99</v>
      </c>
      <c r="F9" s="29" t="s">
        <v>100</v>
      </c>
      <c r="G9" s="29" t="s">
        <v>73</v>
      </c>
      <c r="H9" s="29" t="s">
        <v>88</v>
      </c>
      <c r="I9" s="364">
        <v>23.599999999999998</v>
      </c>
    </row>
    <row r="10" spans="1:9" x14ac:dyDescent="0.25">
      <c r="B10" s="29" t="str" cm="1">
        <f t="array" ref="B10">_xlfn.IFS(
     Lists_S1_StationaryComb[[#This Row],[DE Name]]="","",
     Language=German,Lists_S1_StationaryComb[[#This Row],[DE Name]],
     Language=French,Lists_S1_StationaryComb[[#This Row],[FR Name]],
     Language=Italian,Lists_S1_StationaryComb[[#This Row],[IT Name]]
)</f>
        <v>Gaz naturel, chaudière à condensation 50 kW, modulante</v>
      </c>
      <c r="C10" s="363" t="s">
        <v>101</v>
      </c>
      <c r="D10" s="363" t="s">
        <v>102</v>
      </c>
      <c r="E10" s="363" t="s">
        <v>103</v>
      </c>
      <c r="F10" s="29" t="s">
        <v>104</v>
      </c>
      <c r="G10" s="29" t="s">
        <v>73</v>
      </c>
      <c r="H10" s="29" t="s">
        <v>83</v>
      </c>
      <c r="I10" s="364">
        <v>37.287600000000005</v>
      </c>
    </row>
    <row r="11" spans="1:9" x14ac:dyDescent="0.25">
      <c r="B11" s="29" t="str" cm="1">
        <f t="array" ref="B11">_xlfn.IFS(
     Lists_S1_StationaryComb[[#This Row],[DE Name]]="","",
     Language=German,Lists_S1_StationaryComb[[#This Row],[DE Name]],
     Language=French,Lists_S1_StationaryComb[[#This Row],[FR Name]],
     Language=Italian,Lists_S1_StationaryComb[[#This Row],[IT Name]]
)</f>
        <v>Biométhane, chaudière à condensation 50 kW, modulante</v>
      </c>
      <c r="C11" s="363" t="s">
        <v>105</v>
      </c>
      <c r="D11" s="363" t="s">
        <v>106</v>
      </c>
      <c r="E11" s="363" t="s">
        <v>107</v>
      </c>
      <c r="F11" s="29" t="s">
        <v>108</v>
      </c>
      <c r="G11" s="29" t="s">
        <v>73</v>
      </c>
      <c r="H11" s="29" t="s">
        <v>83</v>
      </c>
      <c r="I11" s="364">
        <v>33.600000000000009</v>
      </c>
    </row>
    <row r="12" spans="1:9" x14ac:dyDescent="0.25">
      <c r="B12" s="29" t="str" cm="1">
        <f t="array" ref="B12">_xlfn.IFS(
     Lists_S1_StationaryComb[[#This Row],[DE Name]]="","",
     Language=German,Lists_S1_StationaryComb[[#This Row],[DE Name]],
     Language=French,Lists_S1_StationaryComb[[#This Row],[FR Name]],
     Language=Italian,Lists_S1_StationaryComb[[#This Row],[IT Name]]
)</f>
        <v>Bois bûches, mélange, poêle 50 kW</v>
      </c>
      <c r="C12" s="363" t="s">
        <v>109</v>
      </c>
      <c r="D12" s="363" t="s">
        <v>110</v>
      </c>
      <c r="E12" s="363" t="s">
        <v>111</v>
      </c>
      <c r="F12" s="29" t="s">
        <v>112</v>
      </c>
      <c r="G12" s="29" t="s">
        <v>73</v>
      </c>
      <c r="H12" s="29" t="s">
        <v>88</v>
      </c>
      <c r="I12" s="364">
        <v>14.616</v>
      </c>
    </row>
    <row r="13" spans="1:9" x14ac:dyDescent="0.25">
      <c r="B13" s="29" t="str" cm="1">
        <f t="array" ref="B13">_xlfn.IFS(
     Lists_S1_StationaryComb[[#This Row],[DE Name]]="","",
     Language=German,Lists_S1_StationaryComb[[#This Row],[DE Name]],
     Language=French,Lists_S1_StationaryComb[[#This Row],[FR Name]],
     Language=Italian,Lists_S1_StationaryComb[[#This Row],[IT Name]]
)</f>
        <v>Plaquettes de bois, bois dur forestier, poêle 50 kW</v>
      </c>
      <c r="C13" s="363" t="s">
        <v>113</v>
      </c>
      <c r="D13" s="363" t="s">
        <v>114</v>
      </c>
      <c r="E13" s="363" t="s">
        <v>115</v>
      </c>
      <c r="F13" s="29" t="s">
        <v>116</v>
      </c>
      <c r="G13" s="29" t="s">
        <v>73</v>
      </c>
      <c r="H13" s="29" t="s">
        <v>88</v>
      </c>
      <c r="I13" s="364">
        <v>14.616</v>
      </c>
    </row>
    <row r="14" spans="1:9" x14ac:dyDescent="0.25">
      <c r="B14" s="29" t="str" cm="1">
        <f t="array" ref="B14">_xlfn.IFS(
     Lists_S1_StationaryComb[[#This Row],[DE Name]]="","",
     Language=German,Lists_S1_StationaryComb[[#This Row],[DE Name]],
     Language=French,Lists_S1_StationaryComb[[#This Row],[FR Name]],
     Language=Italian,Lists_S1_StationaryComb[[#This Row],[IT Name]]
)</f>
        <v>Pellets de bois, mélange, poêle 50 kW</v>
      </c>
      <c r="C14" s="363" t="s">
        <v>117</v>
      </c>
      <c r="D14" s="363" t="s">
        <v>118</v>
      </c>
      <c r="E14" s="363" t="s">
        <v>119</v>
      </c>
      <c r="F14" s="29" t="s">
        <v>120</v>
      </c>
      <c r="G14" s="29" t="s">
        <v>73</v>
      </c>
      <c r="H14" s="29" t="s">
        <v>88</v>
      </c>
      <c r="I14" s="364">
        <v>13.8</v>
      </c>
    </row>
    <row r="15" spans="1:9" x14ac:dyDescent="0.25">
      <c r="B15" s="29" t="str" cm="1">
        <f t="array" ref="B15">_xlfn.IFS(
     Lists_S1_StationaryComb[[#This Row],[DE Name]]="","",
     Language=German,Lists_S1_StationaryComb[[#This Row],[DE Name]],
     Language=French,Lists_S1_StationaryComb[[#This Row],[FR Name]],
     Language=Italian,Lists_S1_StationaryComb[[#This Row],[IT Name]]
)</f>
        <v>Diesel, groupe électrogène diesel-électrique</v>
      </c>
      <c r="C15" s="363" t="s">
        <v>121</v>
      </c>
      <c r="D15" s="363" t="s">
        <v>122</v>
      </c>
      <c r="E15" s="363" t="s">
        <v>123</v>
      </c>
      <c r="F15" s="29" t="s">
        <v>124</v>
      </c>
      <c r="G15" s="29" t="s">
        <v>73</v>
      </c>
      <c r="H15" s="29" t="s">
        <v>74</v>
      </c>
      <c r="I15" s="364">
        <v>35.689999999999991</v>
      </c>
    </row>
    <row r="16" spans="1:9" x14ac:dyDescent="0.25">
      <c r="B16" s="29" t="str" cm="1">
        <f t="array" ref="B16">_xlfn.IFS(
     Lists_S1_StationaryComb[[#This Row],[DE Name]]="","",
     Language=German,Lists_S1_StationaryComb[[#This Row],[DE Name]],
     Language=French,Lists_S1_StationaryComb[[#This Row],[FR Name]],
     Language=Italian,Lists_S1_StationaryComb[[#This Row],[IT Name]]
)</f>
        <v>Déchets en UIOM, incinérés</v>
      </c>
      <c r="C16" s="363" t="s">
        <v>128</v>
      </c>
      <c r="D16" s="363" t="s">
        <v>129</v>
      </c>
      <c r="E16" s="363" t="s">
        <v>28553</v>
      </c>
      <c r="F16" s="29" t="s">
        <v>27502</v>
      </c>
      <c r="G16" s="29" t="s">
        <v>73</v>
      </c>
      <c r="H16" s="29" t="s">
        <v>88</v>
      </c>
      <c r="I16" s="364">
        <v>11.9</v>
      </c>
    </row>
    <row r="17" spans="1:9" x14ac:dyDescent="0.25">
      <c r="B17" s="29" t="str" cm="1">
        <f t="array" ref="B17">_xlfn.IFS(
     Lists_S1_StationaryComb[[#This Row],[DE Name]]="","",
     Language=German,Lists_S1_StationaryComb[[#This Row],[DE Name]],
     Language=French,Lists_S1_StationaryComb[[#This Row],[FR Name]],
     Language=Italian,Lists_S1_StationaryComb[[#This Row],[IT Name]]
)</f>
        <v>Huiles usagées, incinérées</v>
      </c>
      <c r="C17" s="363" t="s">
        <v>130</v>
      </c>
      <c r="D17" s="363" t="s">
        <v>131</v>
      </c>
      <c r="E17" s="363" t="s">
        <v>132</v>
      </c>
      <c r="F17" s="29" t="s">
        <v>27503</v>
      </c>
      <c r="G17" s="29" t="s">
        <v>73</v>
      </c>
      <c r="H17" s="29" t="s">
        <v>88</v>
      </c>
      <c r="I17" s="364">
        <v>31</v>
      </c>
    </row>
    <row r="18" spans="1:9" x14ac:dyDescent="0.25">
      <c r="B18" s="29" t="str" cm="1">
        <f t="array" ref="B18">_xlfn.IFS(
     Lists_S1_StationaryComb[[#This Row],[DE Name]]="","",
     Language=German,Lists_S1_StationaryComb[[#This Row],[DE Name]],
     Language=French,Lists_S1_StationaryComb[[#This Row],[FR Name]],
     Language=Italian,Lists_S1_StationaryComb[[#This Row],[IT Name]]
)</f>
        <v>Matières plastiques, incinérées</v>
      </c>
      <c r="C18" s="363" t="s">
        <v>133</v>
      </c>
      <c r="D18" s="363" t="s">
        <v>134</v>
      </c>
      <c r="E18" s="363" t="s">
        <v>135</v>
      </c>
      <c r="F18" s="29" t="s">
        <v>27504</v>
      </c>
      <c r="G18" s="29" t="s">
        <v>73</v>
      </c>
      <c r="H18" s="29" t="s">
        <v>88</v>
      </c>
      <c r="I18" s="364">
        <v>23.599999999999998</v>
      </c>
    </row>
    <row r="19" spans="1:9" x14ac:dyDescent="0.25">
      <c r="B19" s="29" t="str" cm="1">
        <f t="array" ref="B19">_xlfn.IFS(
     Lists_S1_StationaryComb[[#This Row],[DE Name]]="","",
     Language=German,Lists_S1_StationaryComb[[#This Row],[DE Name]],
     Language=French,Lists_S1_StationaryComb[[#This Row],[FR Name]],
     Language=Italian,Lists_S1_StationaryComb[[#This Row],[IT Name]]
)</f>
        <v>Pneus usagés, incinérés</v>
      </c>
      <c r="C19" s="363" t="s">
        <v>136</v>
      </c>
      <c r="D19" s="363" t="s">
        <v>137</v>
      </c>
      <c r="E19" s="363" t="s">
        <v>138</v>
      </c>
      <c r="F19" s="29" t="s">
        <v>27505</v>
      </c>
      <c r="G19" s="29" t="s">
        <v>73</v>
      </c>
      <c r="H19" s="29" t="s">
        <v>88</v>
      </c>
      <c r="I19" s="364">
        <v>26.4</v>
      </c>
    </row>
    <row r="20" spans="1:9" x14ac:dyDescent="0.25">
      <c r="B20" s="29" t="str" cm="1">
        <f t="array" ref="B20">_xlfn.IFS(
     Lists_S1_StationaryComb[[#This Row],[DE Name]]="","",
     Language=German,Lists_S1_StationaryComb[[#This Row],[DE Name]],
     Language=French,Lists_S1_StationaryComb[[#This Row],[FR Name]],
     Language=Italian,Lists_S1_StationaryComb[[#This Row],[IT Name]]
)</f>
        <v>Sciure, incinérée</v>
      </c>
      <c r="C20" s="363" t="s">
        <v>139</v>
      </c>
      <c r="D20" s="363" t="s">
        <v>140</v>
      </c>
      <c r="E20" s="363" t="s">
        <v>141</v>
      </c>
      <c r="F20" s="29" t="s">
        <v>27506</v>
      </c>
      <c r="G20" s="29" t="s">
        <v>73</v>
      </c>
      <c r="H20" s="29" t="s">
        <v>88</v>
      </c>
      <c r="I20" s="364">
        <v>16.299999999999997</v>
      </c>
    </row>
    <row r="21" spans="1:9" x14ac:dyDescent="0.25">
      <c r="B21" s="29" t="str" cm="1">
        <f t="array" ref="B21">_xlfn.IFS(
     Lists_S1_StationaryComb[[#This Row],[DE Name]]="","",
     Language=German,Lists_S1_StationaryComb[[#This Row],[DE Name]],
     Language=French,Lists_S1_StationaryComb[[#This Row],[FR Name]],
     Language=Italian,Lists_S1_StationaryComb[[#This Row],[IT Name]]
)</f>
        <v>Farine animale, incinérée</v>
      </c>
      <c r="C21" s="363" t="s">
        <v>142</v>
      </c>
      <c r="D21" s="363" t="s">
        <v>143</v>
      </c>
      <c r="E21" s="363" t="s">
        <v>144</v>
      </c>
      <c r="F21" s="29" t="s">
        <v>27507</v>
      </c>
      <c r="G21" s="29" t="s">
        <v>73</v>
      </c>
      <c r="H21" s="29" t="s">
        <v>88</v>
      </c>
      <c r="I21" s="364">
        <v>16.8</v>
      </c>
    </row>
    <row r="22" spans="1:9" x14ac:dyDescent="0.25">
      <c r="B22" s="29" t="str" cm="1">
        <f t="array" ref="B22">_xlfn.IFS(
     Lists_S1_StationaryComb[[#This Row],[DE Name]]="","",
     Language=German,Lists_S1_StationaryComb[[#This Row],[DE Name]],
     Language=French,Lists_S1_StationaryComb[[#This Row],[FR Name]],
     Language=Italian,Lists_S1_StationaryComb[[#This Row],[IT Name]]
)</f>
        <v>Méthane, brûlé</v>
      </c>
      <c r="C22" s="363" t="s">
        <v>145</v>
      </c>
      <c r="D22" s="363" t="s">
        <v>146</v>
      </c>
      <c r="E22" s="363" t="s">
        <v>147</v>
      </c>
      <c r="F22" s="29" t="s">
        <v>27508</v>
      </c>
      <c r="G22" s="29" t="s">
        <v>73</v>
      </c>
      <c r="H22" s="29" t="s">
        <v>83</v>
      </c>
      <c r="I22" s="364">
        <v>35.000000000000007</v>
      </c>
    </row>
    <row r="23" spans="1:9" x14ac:dyDescent="0.25">
      <c r="B23" s="29" t="str" cm="1">
        <f t="array" ref="B23">_xlfn.IFS(
     Lists_S1_StationaryComb[[#This Row],[DE Name]]="","",
     Language=German,Lists_S1_StationaryComb[[#This Row],[DE Name]],
     Language=French,Lists_S1_StationaryComb[[#This Row],[FR Name]],
     Language=Italian,Lists_S1_StationaryComb[[#This Row],[IT Name]]
)</f>
        <v>Éthane, brûlé</v>
      </c>
      <c r="C23" s="363" t="s">
        <v>148</v>
      </c>
      <c r="D23" s="363" t="s">
        <v>149</v>
      </c>
      <c r="E23" s="363" t="s">
        <v>150</v>
      </c>
      <c r="F23" s="29" t="s">
        <v>27509</v>
      </c>
      <c r="G23" s="29" t="s">
        <v>73</v>
      </c>
      <c r="H23" s="29" t="s">
        <v>83</v>
      </c>
      <c r="I23" s="364">
        <v>66.5</v>
      </c>
    </row>
    <row r="24" spans="1:9" x14ac:dyDescent="0.25">
      <c r="B24" s="29" t="str" cm="1">
        <f t="array" ref="B24">_xlfn.IFS(
     Lists_S1_StationaryComb[[#This Row],[DE Name]]="","",
     Language=German,Lists_S1_StationaryComb[[#This Row],[DE Name]],
     Language=French,Lists_S1_StationaryComb[[#This Row],[FR Name]],
     Language=Italian,Lists_S1_StationaryComb[[#This Row],[IT Name]]
)</f>
        <v>Propane liquéfié, brûlé</v>
      </c>
      <c r="C24" s="363" t="s">
        <v>151</v>
      </c>
      <c r="D24" s="363" t="s">
        <v>152</v>
      </c>
      <c r="E24" s="363" t="s">
        <v>153</v>
      </c>
      <c r="F24" s="29" t="s">
        <v>27510</v>
      </c>
      <c r="G24" s="29" t="s">
        <v>73</v>
      </c>
      <c r="H24" s="29" t="s">
        <v>74</v>
      </c>
      <c r="I24" s="364">
        <v>23.613000000000003</v>
      </c>
    </row>
    <row r="25" spans="1:9" x14ac:dyDescent="0.25">
      <c r="B25" s="29" t="str" cm="1">
        <f t="array" ref="B25">_xlfn.IFS(
     Lists_S1_StationaryComb[[#This Row],[DE Name]]="","",
     Language=German,Lists_S1_StationaryComb[[#This Row],[DE Name]],
     Language=French,Lists_S1_StationaryComb[[#This Row],[FR Name]],
     Language=Italian,Lists_S1_StationaryComb[[#This Row],[IT Name]]
)</f>
        <v>Butane liquéfié, brûlé</v>
      </c>
      <c r="C25" s="363" t="s">
        <v>154</v>
      </c>
      <c r="D25" s="363" t="s">
        <v>155</v>
      </c>
      <c r="E25" s="363" t="s">
        <v>156</v>
      </c>
      <c r="F25" s="29" t="s">
        <v>27511</v>
      </c>
      <c r="G25" s="29" t="s">
        <v>73</v>
      </c>
      <c r="H25" s="29" t="s">
        <v>74</v>
      </c>
      <c r="I25" s="364">
        <v>26.505999999999997</v>
      </c>
    </row>
    <row r="26" spans="1:9" x14ac:dyDescent="0.25">
      <c r="B26" s="29" t="str" cm="1">
        <f t="array" ref="B26">_xlfn.IFS(
     Lists_S1_StationaryComb[[#This Row],[DE Name]]="","",
     Language=German,Lists_S1_StationaryComb[[#This Row],[DE Name]],
     Language=French,Lists_S1_StationaryComb[[#This Row],[FR Name]],
     Language=Italian,Lists_S1_StationaryComb[[#This Row],[IT Name]]
)</f>
        <v>Éthanol, brûlé</v>
      </c>
      <c r="C26" s="363" t="s">
        <v>157</v>
      </c>
      <c r="D26" s="363" t="s">
        <v>158</v>
      </c>
      <c r="E26" s="363" t="s">
        <v>159</v>
      </c>
      <c r="F26" s="29" t="s">
        <v>27512</v>
      </c>
      <c r="G26" s="29" t="s">
        <v>73</v>
      </c>
      <c r="H26" s="29" t="s">
        <v>74</v>
      </c>
      <c r="I26" s="364">
        <v>21.172000000000004</v>
      </c>
    </row>
    <row r="27" spans="1:9" x14ac:dyDescent="0.25">
      <c r="B27" s="29" t="str" cm="1">
        <f t="array" ref="B27">_xlfn.IFS(
     Lists_S1_StationaryComb[[#This Row],[DE Name]]="","",
     Language=German,Lists_S1_StationaryComb[[#This Row],[DE Name]],
     Language=French,Lists_S1_StationaryComb[[#This Row],[FR Name]],
     Language=Italian,Lists_S1_StationaryComb[[#This Row],[IT Name]]
)</f>
        <v>Méthanol, brûlé</v>
      </c>
      <c r="C27" s="363" t="s">
        <v>160</v>
      </c>
      <c r="D27" s="363" t="s">
        <v>161</v>
      </c>
      <c r="E27" s="363" t="s">
        <v>162</v>
      </c>
      <c r="F27" s="29" t="s">
        <v>27513</v>
      </c>
      <c r="G27" s="29" t="s">
        <v>73</v>
      </c>
      <c r="H27" s="29" t="s">
        <v>74</v>
      </c>
      <c r="I27" s="364">
        <v>15.780700000000001</v>
      </c>
    </row>
    <row r="29" spans="1:9" x14ac:dyDescent="0.25">
      <c r="A29" s="31" t="s">
        <v>163</v>
      </c>
      <c r="B29" s="29" t="s">
        <v>62</v>
      </c>
      <c r="C29" s="29" t="s">
        <v>63</v>
      </c>
      <c r="D29" s="29" t="s">
        <v>64</v>
      </c>
      <c r="E29" s="29" t="s">
        <v>65</v>
      </c>
      <c r="F29" s="29" t="s">
        <v>66</v>
      </c>
      <c r="G29" s="29" t="s">
        <v>67</v>
      </c>
    </row>
    <row r="30" spans="1:9" x14ac:dyDescent="0.25">
      <c r="B30" s="29" t="str" cm="1">
        <f t="array" ref="B30">_xlfn.IFS(
     Lists_S2_DistrictHeat[[#This Row],[DE Name]]="","",
     Language=German,Lists_S2_DistrictHeat[[#This Row],[DE Name]],
     Language=French,Lists_S2_DistrictHeat[[#This Row],[FR Name]],
     Language=Italian,Lists_S2_DistrictHeat[[#This Row],[IT Name]]
)</f>
        <v>Chauffage à distance, chez le consommateur, moyenne suisse</v>
      </c>
      <c r="C30" s="29" t="s">
        <v>164</v>
      </c>
      <c r="D30" s="29" t="s">
        <v>165</v>
      </c>
      <c r="E30" s="29" t="s">
        <v>166</v>
      </c>
      <c r="F30" s="29" t="s">
        <v>167</v>
      </c>
      <c r="G30" s="29" t="s">
        <v>73</v>
      </c>
    </row>
    <row r="31" spans="1:9" x14ac:dyDescent="0.25">
      <c r="B31" s="29" t="str" cm="1">
        <f t="array" ref="B31">_xlfn.IFS(
     Lists_S2_DistrictHeat[[#This Row],[DE Name]]="","",
     Language=German,Lists_S2_DistrictHeat[[#This Row],[DE Name]],
     Language=French,Lists_S2_DistrictHeat[[#This Row],[FR Name]],
     Language=Italian,Lists_S2_DistrictHeat[[#This Row],[IT Name]]
)</f>
        <v>Chauffage à distance, chez le consommateur, chaleur résiduelle de centrale nucléaire</v>
      </c>
      <c r="C31" s="29" t="s">
        <v>168</v>
      </c>
      <c r="D31" s="29" t="s">
        <v>169</v>
      </c>
      <c r="E31" s="29" t="s">
        <v>170</v>
      </c>
      <c r="F31" s="29" t="s">
        <v>171</v>
      </c>
      <c r="G31" s="29" t="s">
        <v>73</v>
      </c>
    </row>
    <row r="32" spans="1:9" x14ac:dyDescent="0.25">
      <c r="B32" s="29" t="str" cm="1">
        <f t="array" ref="B32">_xlfn.IFS(
     Lists_S2_DistrictHeat[[#This Row],[DE Name]]="","",
     Language=German,Lists_S2_DistrictHeat[[#This Row],[DE Name]],
     Language=French,Lists_S2_DistrictHeat[[#This Row],[FR Name]],
     Language=Italian,Lists_S2_DistrictHeat[[#This Row],[IT Name]]
)</f>
        <v>Chauffage à distance, chez le consommateur, mazout extra-léger, four industriel 1 MW</v>
      </c>
      <c r="C32" s="29" t="s">
        <v>172</v>
      </c>
      <c r="D32" s="29" t="s">
        <v>173</v>
      </c>
      <c r="E32" s="29" t="s">
        <v>174</v>
      </c>
      <c r="F32" s="29" t="s">
        <v>175</v>
      </c>
      <c r="G32" s="29" t="s">
        <v>73</v>
      </c>
    </row>
    <row r="33" spans="1:12" x14ac:dyDescent="0.25">
      <c r="B33" s="29" t="str" cm="1">
        <f t="array" ref="B33">_xlfn.IFS(
     Lists_S2_DistrictHeat[[#This Row],[DE Name]]="","",
     Language=German,Lists_S2_DistrictHeat[[#This Row],[DE Name]],
     Language=French,Lists_S2_DistrictHeat[[#This Row],[FR Name]],
     Language=Italian,Lists_S2_DistrictHeat[[#This Row],[IT Name]]
)</f>
        <v>Chauffage à distance, chez le consommateur, gaz naturel, four industriel 1 MW</v>
      </c>
      <c r="C33" s="29" t="s">
        <v>176</v>
      </c>
      <c r="D33" s="29" t="s">
        <v>177</v>
      </c>
      <c r="E33" s="29" t="s">
        <v>178</v>
      </c>
      <c r="F33" s="29" t="s">
        <v>179</v>
      </c>
      <c r="G33" s="29" t="s">
        <v>73</v>
      </c>
    </row>
    <row r="34" spans="1:12" x14ac:dyDescent="0.25">
      <c r="B34" s="29" t="str" cm="1">
        <f t="array" ref="B34">_xlfn.IFS(
     Lists_S2_DistrictHeat[[#This Row],[DE Name]]="","",
     Language=German,Lists_S2_DistrictHeat[[#This Row],[DE Name]],
     Language=French,Lists_S2_DistrictHeat[[#This Row],[FR Name]],
     Language=Italian,Lists_S2_DistrictHeat[[#This Row],[IT Name]]
)</f>
        <v>Chauffage à distance, chez le consommateur, plaquettes de bois, four industriel 1 MW</v>
      </c>
      <c r="C34" s="29" t="s">
        <v>180</v>
      </c>
      <c r="D34" s="29" t="s">
        <v>181</v>
      </c>
      <c r="E34" s="29" t="s">
        <v>182</v>
      </c>
      <c r="F34" s="29" t="s">
        <v>183</v>
      </c>
      <c r="G34" s="29" t="s">
        <v>73</v>
      </c>
    </row>
    <row r="35" spans="1:12" x14ac:dyDescent="0.25">
      <c r="B35" s="29" t="str" cm="1">
        <f t="array" ref="B35">_xlfn.IFS(
     Lists_S2_DistrictHeat[[#This Row],[DE Name]]="","",
     Language=German,Lists_S2_DistrictHeat[[#This Row],[DE Name]],
     Language=French,Lists_S2_DistrictHeat[[#This Row],[FR Name]],
     Language=Italian,Lists_S2_DistrictHeat[[#This Row],[IT Name]]
)</f>
        <v>Chauffage à distance, chez le consommateur, plaquettes de bois, centrale de cogénération 1 MW thermique</v>
      </c>
      <c r="C35" s="29" t="s">
        <v>184</v>
      </c>
      <c r="D35" s="29" t="s">
        <v>185</v>
      </c>
      <c r="E35" s="29" t="s">
        <v>186</v>
      </c>
      <c r="F35" s="29" t="s">
        <v>187</v>
      </c>
      <c r="G35" s="29" t="s">
        <v>73</v>
      </c>
    </row>
    <row r="36" spans="1:12" x14ac:dyDescent="0.25">
      <c r="B36" s="29" t="str" cm="1">
        <f t="array" ref="B36">_xlfn.IFS(
     Lists_S2_DistrictHeat[[#This Row],[DE Name]]="","",
     Language=German,Lists_S2_DistrictHeat[[#This Row],[DE Name]],
     Language=French,Lists_S2_DistrictHeat[[#This Row],[FR Name]],
     Language=Italian,Lists_S2_DistrictHeat[[#This Row],[IT Name]]
)</f>
        <v>Chauffage à distance, échangeur thermique des eaux usées</v>
      </c>
      <c r="C36" s="29" t="s">
        <v>188</v>
      </c>
      <c r="D36" s="29" t="s">
        <v>27590</v>
      </c>
      <c r="E36" s="29" t="s">
        <v>27591</v>
      </c>
      <c r="F36" s="29" t="s">
        <v>189</v>
      </c>
      <c r="G36" s="29" t="s">
        <v>73</v>
      </c>
    </row>
    <row r="37" spans="1:12" x14ac:dyDescent="0.25">
      <c r="B37" s="29" t="str" cm="1">
        <f t="array" ref="B37">_xlfn.IFS(
     Lists_S2_DistrictHeat[[#This Row],[DE Name]]="","",
     Language=German,Lists_S2_DistrictHeat[[#This Row],[DE Name]],
     Language=French,Lists_S2_DistrictHeat[[#This Row],[FR Name]],
     Language=Italian,Lists_S2_DistrictHeat[[#This Row],[IT Name]]
)</f>
        <v>Chauffage à distance, pompe à chaleur, eaux souterraines, 50 kW</v>
      </c>
      <c r="C37" s="29" t="s">
        <v>190</v>
      </c>
      <c r="D37" s="29" t="s">
        <v>27592</v>
      </c>
      <c r="E37" s="29" t="s">
        <v>191</v>
      </c>
      <c r="F37" s="29" t="s">
        <v>192</v>
      </c>
      <c r="G37" s="29" t="s">
        <v>73</v>
      </c>
    </row>
    <row r="38" spans="1:12" x14ac:dyDescent="0.25">
      <c r="B38" s="29" t="str" cm="1">
        <f t="array" ref="B38">_xlfn.IFS(
     Lists_S2_DistrictHeat[[#This Row],[DE Name]]="","",
     Language=German,Lists_S2_DistrictHeat[[#This Row],[DE Name]],
     Language=French,Lists_S2_DistrictHeat[[#This Row],[FR Name]],
     Language=Italian,Lists_S2_DistrictHeat[[#This Row],[IT Name]]
)</f>
        <v>Chauffage à distance, pompe à chaleur, sonde géothermique, 50 kW</v>
      </c>
      <c r="C38" s="29" t="s">
        <v>193</v>
      </c>
      <c r="D38" s="29" t="s">
        <v>194</v>
      </c>
      <c r="E38" s="29" t="s">
        <v>195</v>
      </c>
      <c r="F38" s="29" t="s">
        <v>196</v>
      </c>
      <c r="G38" s="29" t="s">
        <v>73</v>
      </c>
    </row>
    <row r="39" spans="1:12" x14ac:dyDescent="0.25">
      <c r="B39" s="29" t="str" cm="1">
        <f t="array" ref="B39">_xlfn.IFS(
     Lists_S2_DistrictHeat[[#This Row],[DE Name]]="","",
     Language=German,Lists_S2_DistrictHeat[[#This Row],[DE Name]],
     Language=French,Lists_S2_DistrictHeat[[#This Row],[FR Name]],
     Language=Italian,Lists_S2_DistrictHeat[[#This Row],[IT Name]]
)</f>
        <v>Chauffage urbain, chez le consommateur, usine d'incinération des ordures ménagères UIOM</v>
      </c>
      <c r="C39" s="29" t="s">
        <v>197</v>
      </c>
      <c r="D39" s="365" t="s">
        <v>28274</v>
      </c>
      <c r="E39" s="29" t="s">
        <v>28554</v>
      </c>
      <c r="F39" s="29" t="s">
        <v>198</v>
      </c>
      <c r="G39" s="29" t="s">
        <v>73</v>
      </c>
    </row>
    <row r="40" spans="1:12" x14ac:dyDescent="0.25">
      <c r="B40" s="29" t="str" cm="1">
        <f t="array" ref="B40">_xlfn.IFS(
     Lists_S2_DistrictHeat[[#This Row],[DE Name]]="","",
     Language=German,Lists_S2_DistrictHeat[[#This Row],[DE Name]],
     Language=French,Lists_S2_DistrictHeat[[#This Row],[FR Name]],
     Language=Italian,Lists_S2_DistrictHeat[[#This Row],[IT Name]]
)</f>
        <v>Chauffage à distance, chez le consommateur, diesel, centrale de cogénération 1 MW thermique</v>
      </c>
      <c r="C40" s="29" t="s">
        <v>199</v>
      </c>
      <c r="D40" s="29" t="s">
        <v>200</v>
      </c>
      <c r="E40" s="29" t="s">
        <v>201</v>
      </c>
      <c r="F40" s="29" t="s">
        <v>202</v>
      </c>
      <c r="G40" s="29" t="s">
        <v>73</v>
      </c>
    </row>
    <row r="41" spans="1:12" x14ac:dyDescent="0.25">
      <c r="B41" s="29" t="str" cm="1">
        <f t="array" ref="B41">_xlfn.IFS(
     Lists_S2_DistrictHeat[[#This Row],[DE Name]]="","",
     Language=German,Lists_S2_DistrictHeat[[#This Row],[DE Name]],
     Language=French,Lists_S2_DistrictHeat[[#This Row],[FR Name]],
     Language=Italian,Lists_S2_DistrictHeat[[#This Row],[IT Name]]
)</f>
        <v>Chauffage à distance, chez le consommateur, gaz naturel, centrale de cogénération 1 MW thermique</v>
      </c>
      <c r="C41" s="29" t="s">
        <v>203</v>
      </c>
      <c r="D41" s="29" t="s">
        <v>204</v>
      </c>
      <c r="E41" s="29" t="s">
        <v>205</v>
      </c>
      <c r="F41" s="29" t="s">
        <v>206</v>
      </c>
      <c r="G41" s="29" t="s">
        <v>73</v>
      </c>
    </row>
    <row r="42" spans="1:12" x14ac:dyDescent="0.25">
      <c r="B42" s="29" t="str" cm="1">
        <f t="array" ref="B42">_xlfn.IFS(
     Lists_S2_DistrictHeat[[#This Row],[DE Name]]="","",
     Language=German,Lists_S2_DistrictHeat[[#This Row],[DE Name]],
     Language=French,Lists_S2_DistrictHeat[[#This Row],[FR Name]],
     Language=Italian,Lists_S2_DistrictHeat[[#This Row],[IT Name]]
)</f>
        <v>Chauffage à distance, chez le consommateur, biométhane, centrale de cogénération 1 MW thermique</v>
      </c>
      <c r="C42" s="29" t="s">
        <v>207</v>
      </c>
      <c r="D42" s="29" t="s">
        <v>208</v>
      </c>
      <c r="E42" s="29" t="s">
        <v>209</v>
      </c>
      <c r="F42" s="29" t="s">
        <v>210</v>
      </c>
      <c r="G42" s="29" t="s">
        <v>73</v>
      </c>
    </row>
    <row r="43" spans="1:12" x14ac:dyDescent="0.25">
      <c r="B43" s="29" t="str" cm="1">
        <f t="array" ref="B43">_xlfn.IFS(
     Lists_S2_DistrictHeat[[#This Row],[DE Name]]="","",
     Language=German,Lists_S2_DistrictHeat[[#This Row],[DE Name]],
     Language=French,Lists_S2_DistrictHeat[[#This Row],[FR Name]],
     Language=Italian,Lists_S2_DistrictHeat[[#This Row],[IT Name]]
)</f>
        <v>Hydrogène, distribution par pipeline (électrolyse, mix suisse)</v>
      </c>
      <c r="C43" s="363" t="s">
        <v>125</v>
      </c>
      <c r="D43" s="363" t="s">
        <v>126</v>
      </c>
      <c r="E43" s="363" t="s">
        <v>28555</v>
      </c>
      <c r="F43" s="29" t="s">
        <v>127</v>
      </c>
      <c r="G43" s="29" t="s">
        <v>73</v>
      </c>
    </row>
    <row r="44" spans="1:12" x14ac:dyDescent="0.25">
      <c r="B44" s="29" t="str" cm="1">
        <f t="array" ref="B44">_xlfn.IFS(
     Lists_S2_DistrictHeat[[#This Row],[DE Name]]="","",
     Language=German,Lists_S2_DistrictHeat[[#This Row],[DE Name]],
     Language=French,Lists_S2_DistrictHeat[[#This Row],[FR Name]],
     Language=Italian,Lists_S2_DistrictHeat[[#This Row],[IT Name]]
)</f>
        <v>Vapeur, dans l’installation, procédés chimiques</v>
      </c>
      <c r="C44" s="29" t="s">
        <v>211</v>
      </c>
      <c r="D44" s="29" t="s">
        <v>212</v>
      </c>
      <c r="E44" s="29" t="s">
        <v>213</v>
      </c>
      <c r="F44" s="29" t="s">
        <v>214</v>
      </c>
      <c r="G44" s="29" t="s">
        <v>73</v>
      </c>
    </row>
    <row r="45" spans="1:12" x14ac:dyDescent="0.25">
      <c r="B45" s="29"/>
      <c r="C45" s="29"/>
      <c r="D45" s="29"/>
      <c r="F45" s="366"/>
      <c r="G45" s="29"/>
    </row>
    <row r="46" spans="1:12" x14ac:dyDescent="0.25">
      <c r="A46" s="28" t="s">
        <v>215</v>
      </c>
      <c r="B46" s="29" t="s">
        <v>62</v>
      </c>
      <c r="C46" s="29" t="s">
        <v>63</v>
      </c>
      <c r="D46" s="29" t="s">
        <v>64</v>
      </c>
      <c r="E46" s="29" t="s">
        <v>65</v>
      </c>
      <c r="F46" s="29" t="s">
        <v>66</v>
      </c>
      <c r="G46" s="29" t="s">
        <v>216</v>
      </c>
      <c r="H46" s="29" t="s">
        <v>217</v>
      </c>
      <c r="I46" s="29" t="s">
        <v>218</v>
      </c>
      <c r="J46" s="29" t="s">
        <v>219</v>
      </c>
      <c r="K46" s="29" t="s">
        <v>220</v>
      </c>
      <c r="L46" s="29" t="s">
        <v>221</v>
      </c>
    </row>
    <row r="47" spans="1:12" ht="15" customHeight="1" x14ac:dyDescent="0.25">
      <c r="B47" s="29" t="str" cm="1">
        <f t="array" ref="B47">_xlfn.IFS(
     Lists_S2_Electricity[[#This Row],[DE Name]]="","",
     Language=German,Lists_S2_Electricity[[#This Row],[DE Name]],
     Language=French,Lists_S2_Electricity[[#This Row],[FR Name]],
     Language=Italian,Lists_S2_Electricity[[#This Row],[IT Name]]
)</f>
        <v>Énergie hydraulique</v>
      </c>
      <c r="C47" s="29" t="s">
        <v>28528</v>
      </c>
      <c r="D47" s="29" t="s">
        <v>27593</v>
      </c>
      <c r="E47" s="29" t="s">
        <v>222</v>
      </c>
      <c r="F47" s="29" t="s">
        <v>223</v>
      </c>
      <c r="G47" s="29" t="s">
        <v>224</v>
      </c>
      <c r="H47" s="367" t="str" cm="1">
        <f t="array" ref="H47">_xlfn.IFS(
     Language=German,"Niederspannung",
     Language=French,"Basse tension",
     Language=Italian,"Bassa tensione"
)</f>
        <v>Basse tension</v>
      </c>
      <c r="I47" s="29" t="str" cm="1">
        <f t="array" ref="I47">_xlfn.IFS(
     Language=German,"Ja",
     Language=French,"Oui",
     Language=Italian,"Si"
)</f>
        <v>Oui</v>
      </c>
      <c r="J47" s="29" t="s">
        <v>28865</v>
      </c>
      <c r="K47" s="29" t="s">
        <v>28897</v>
      </c>
      <c r="L47" s="29" t="s">
        <v>27553</v>
      </c>
    </row>
    <row r="48" spans="1:12" x14ac:dyDescent="0.25">
      <c r="B48" s="29" t="str" cm="1">
        <f t="array" ref="B48">_xlfn.IFS(
     Lists_S2_Electricity[[#This Row],[DE Name]]="","",
     Language=German,Lists_S2_Electricity[[#This Row],[DE Name]],
     Language=French,Lists_S2_Electricity[[#This Row],[FR Name]],
     Language=Italian,Lists_S2_Electricity[[#This Row],[IT Name]]
)</f>
        <v>Énergie solaire</v>
      </c>
      <c r="C48" s="29" t="s">
        <v>28529</v>
      </c>
      <c r="D48" s="29" t="s">
        <v>225</v>
      </c>
      <c r="E48" s="29" t="s">
        <v>226</v>
      </c>
      <c r="F48" s="29" t="s">
        <v>227</v>
      </c>
      <c r="G48" s="29" t="s">
        <v>224</v>
      </c>
      <c r="H48" s="367" t="str" cm="1">
        <f t="array" ref="H48">_xlfn.IFS(
     Language=German,"Niederspannung",
     Language=French,"Basse tension",
     Language=Italian,"Bassa tensione"
)</f>
        <v>Basse tension</v>
      </c>
      <c r="I48" s="29" t="str" cm="1">
        <f t="array" ref="I48">_xlfn.IFS(
     Language=German,"Ja",
     Language=French,"Oui",
     Language=Italian,"Si"
)</f>
        <v>Oui</v>
      </c>
      <c r="J48" s="29" t="s">
        <v>28866</v>
      </c>
      <c r="K48" s="29" t="s">
        <v>27521</v>
      </c>
      <c r="L48" s="29" t="s">
        <v>27554</v>
      </c>
    </row>
    <row r="49" spans="2:12" x14ac:dyDescent="0.25">
      <c r="B49" s="29" t="str" cm="1">
        <f t="array" ref="B49">_xlfn.IFS(
     Lists_S2_Electricity[[#This Row],[DE Name]]="","",
     Language=German,Lists_S2_Electricity[[#This Row],[DE Name]],
     Language=French,Lists_S2_Electricity[[#This Row],[FR Name]],
     Language=Italian,Lists_S2_Electricity[[#This Row],[IT Name]]
)</f>
        <v>Énergie éolienne</v>
      </c>
      <c r="C49" s="29" t="s">
        <v>28530</v>
      </c>
      <c r="D49" s="29" t="s">
        <v>228</v>
      </c>
      <c r="E49" s="29" t="s">
        <v>229</v>
      </c>
      <c r="F49" s="29" t="s">
        <v>230</v>
      </c>
      <c r="G49" s="29" t="s">
        <v>224</v>
      </c>
      <c r="H49" s="367" t="str" cm="1">
        <f t="array" ref="H49">_xlfn.IFS(
     Language=German,"Niederspannung",
     Language=French,"Basse tension",
     Language=Italian,"Bassa tensione"
)</f>
        <v>Basse tension</v>
      </c>
      <c r="I49" s="29" t="str" cm="1">
        <f t="array" ref="I49">_xlfn.IFS(
     Language=German,"Ja",
     Language=French,"Oui",
     Language=Italian,"Si"
)</f>
        <v>Oui</v>
      </c>
      <c r="J49" s="29" t="s">
        <v>28867</v>
      </c>
      <c r="K49" s="29" t="s">
        <v>27522</v>
      </c>
      <c r="L49" s="29" t="s">
        <v>27555</v>
      </c>
    </row>
    <row r="50" spans="2:12" x14ac:dyDescent="0.25">
      <c r="B50" s="29" t="str" cm="1">
        <f t="array" ref="B50">_xlfn.IFS(
     Lists_S2_Electricity[[#This Row],[DE Name]]="","",
     Language=German,Lists_S2_Electricity[[#This Row],[DE Name]],
     Language=French,Lists_S2_Electricity[[#This Row],[FR Name]],
     Language=Italian,Lists_S2_Electricity[[#This Row],[IT Name]]
)</f>
        <v>Biomasse</v>
      </c>
      <c r="C50" s="29" t="s">
        <v>231</v>
      </c>
      <c r="D50" s="29" t="s">
        <v>231</v>
      </c>
      <c r="E50" s="29" t="s">
        <v>232</v>
      </c>
      <c r="F50" s="29" t="s">
        <v>233</v>
      </c>
      <c r="G50" s="29" t="s">
        <v>224</v>
      </c>
      <c r="H50" s="367" t="str" cm="1">
        <f t="array" ref="H50">_xlfn.IFS(
     Language=German,"Niederspannung",
     Language=French,"Basse tension",
     Language=Italian,"Bassa tensione"
)</f>
        <v>Basse tension</v>
      </c>
      <c r="I50" s="29" t="str" cm="1">
        <f t="array" ref="I50">_xlfn.IFS(
     Language=German,"Ja",
     Language=French,"Oui",
     Language=Italian,"Si"
)</f>
        <v>Oui</v>
      </c>
      <c r="J50" s="29" t="s">
        <v>27523</v>
      </c>
      <c r="K50" s="29" t="s">
        <v>27523</v>
      </c>
      <c r="L50" s="29" t="s">
        <v>27556</v>
      </c>
    </row>
    <row r="51" spans="2:12" x14ac:dyDescent="0.25">
      <c r="B51" s="29" t="str" cm="1">
        <f t="array" ref="B51">_xlfn.IFS(
     Lists_S2_Electricity[[#This Row],[DE Name]]="","",
     Language=German,Lists_S2_Electricity[[#This Row],[DE Name]],
     Language=French,Lists_S2_Electricity[[#This Row],[FR Name]],
     Language=Italian,Lists_S2_Electricity[[#This Row],[IT Name]]
)</f>
        <v>Énergie géothermique</v>
      </c>
      <c r="C51" s="29" t="s">
        <v>28531</v>
      </c>
      <c r="D51" s="29" t="s">
        <v>234</v>
      </c>
      <c r="E51" s="29" t="s">
        <v>235</v>
      </c>
      <c r="F51" s="29" t="s">
        <v>236</v>
      </c>
      <c r="G51" s="29" t="s">
        <v>224</v>
      </c>
      <c r="H51" s="367" t="str" cm="1">
        <f t="array" ref="H51">_xlfn.IFS(
     Language=German,"Niederspannung",
     Language=French,"Basse tension",
     Language=Italian,"Bassa tensione"
)</f>
        <v>Basse tension</v>
      </c>
      <c r="I51" s="29" t="str" cm="1">
        <f t="array" ref="I51">_xlfn.IFS(
     Language=German,"Ja",
     Language=French,"Oui",
     Language=Italian,"Si"
)</f>
        <v>Oui</v>
      </c>
      <c r="J51" s="29" t="s">
        <v>28868</v>
      </c>
      <c r="K51" s="29" t="s">
        <v>27524</v>
      </c>
      <c r="L51" s="29" t="s">
        <v>27557</v>
      </c>
    </row>
    <row r="52" spans="2:12" x14ac:dyDescent="0.25">
      <c r="B52" s="29" t="str" cm="1">
        <f t="array" ref="B52">_xlfn.IFS(
     Lists_S2_Electricity[[#This Row],[DE Name]]="","",
     Language=German,Lists_S2_Electricity[[#This Row],[DE Name]],
     Language=French,Lists_S2_Electricity[[#This Row],[FR Name]],
     Language=Italian,Lists_S2_Electricity[[#This Row],[IT Name]]
)</f>
        <v>Nucléaire</v>
      </c>
      <c r="C52" s="29" t="s">
        <v>28515</v>
      </c>
      <c r="D52" s="29" t="s">
        <v>237</v>
      </c>
      <c r="E52" s="29" t="s">
        <v>238</v>
      </c>
      <c r="F52" s="29" t="s">
        <v>239</v>
      </c>
      <c r="G52" s="29" t="s">
        <v>224</v>
      </c>
      <c r="H52" s="367" t="str" cm="1">
        <f t="array" ref="H52">_xlfn.IFS(
     Language=German,"Niederspannung",
     Language=French,"Basse tension",
     Language=Italian,"Bassa tensione"
)</f>
        <v>Basse tension</v>
      </c>
      <c r="I52" s="29" t="str" cm="1">
        <f t="array" ref="I52">_xlfn.IFS(
     Language=German,"Ja",
     Language=French,"Oui",
     Language=Italian,"Si"
)</f>
        <v>Oui</v>
      </c>
      <c r="J52" s="29" t="s">
        <v>28869</v>
      </c>
      <c r="K52" s="29" t="s">
        <v>27525</v>
      </c>
      <c r="L52" s="29" t="s">
        <v>27558</v>
      </c>
    </row>
    <row r="53" spans="2:12" x14ac:dyDescent="0.25">
      <c r="B53" s="29" t="str" cm="1">
        <f t="array" ref="B53">_xlfn.IFS(
     Lists_S2_Electricity[[#This Row],[DE Name]]="","",
     Language=German,Lists_S2_Electricity[[#This Row],[DE Name]],
     Language=French,Lists_S2_Electricity[[#This Row],[FR Name]],
     Language=Italian,Lists_S2_Electricity[[#This Row],[IT Name]]
)</f>
        <v>Pétrole</v>
      </c>
      <c r="C53" s="29" t="s">
        <v>28532</v>
      </c>
      <c r="D53" s="29" t="s">
        <v>240</v>
      </c>
      <c r="E53" s="29" t="s">
        <v>241</v>
      </c>
      <c r="F53" s="29" t="s">
        <v>242</v>
      </c>
      <c r="G53" s="29" t="s">
        <v>224</v>
      </c>
      <c r="H53" s="367" t="str" cm="1">
        <f t="array" ref="H53">_xlfn.IFS(
     Language=German,"Niederspannung",
     Language=French,"Basse tension",
     Language=Italian,"Bassa tensione"
)</f>
        <v>Basse tension</v>
      </c>
      <c r="I53" s="29" t="str" cm="1">
        <f t="array" ref="I53">_xlfn.IFS(
     Language=German,"Ja",
     Language=French,"Oui",
     Language=Italian,"Si"
)</f>
        <v>Oui</v>
      </c>
      <c r="J53" s="29" t="s">
        <v>28870</v>
      </c>
      <c r="K53" s="29" t="s">
        <v>27526</v>
      </c>
      <c r="L53" s="29" t="s">
        <v>27559</v>
      </c>
    </row>
    <row r="54" spans="2:12" x14ac:dyDescent="0.25">
      <c r="B54" s="29" t="str" cm="1">
        <f t="array" ref="B54">_xlfn.IFS(
     Lists_S2_Electricity[[#This Row],[DE Name]]="","",
     Language=German,Lists_S2_Electricity[[#This Row],[DE Name]],
     Language=French,Lists_S2_Electricity[[#This Row],[FR Name]],
     Language=Italian,Lists_S2_Electricity[[#This Row],[IT Name]]
)</f>
        <v>Gaz naturel</v>
      </c>
      <c r="C54" s="29" t="s">
        <v>28533</v>
      </c>
      <c r="D54" s="29" t="s">
        <v>243</v>
      </c>
      <c r="E54" s="29" t="s">
        <v>244</v>
      </c>
      <c r="F54" s="29" t="s">
        <v>245</v>
      </c>
      <c r="G54" s="29" t="s">
        <v>224</v>
      </c>
      <c r="H54" s="367" t="str" cm="1">
        <f t="array" ref="H54">_xlfn.IFS(
     Language=German,"Niederspannung",
     Language=French,"Basse tension",
     Language=Italian,"Bassa tensione"
)</f>
        <v>Basse tension</v>
      </c>
      <c r="I54" s="29" t="str" cm="1">
        <f t="array" ref="I54">_xlfn.IFS(
     Language=German,"Ja",
     Language=French,"Oui",
     Language=Italian,"Si"
)</f>
        <v>Oui</v>
      </c>
      <c r="J54" s="29" t="s">
        <v>28871</v>
      </c>
      <c r="K54" s="29" t="s">
        <v>27527</v>
      </c>
      <c r="L54" s="29" t="s">
        <v>27560</v>
      </c>
    </row>
    <row r="55" spans="2:12" x14ac:dyDescent="0.25">
      <c r="B55" s="29" t="str" cm="1">
        <f t="array" ref="B55">_xlfn.IFS(
     Lists_S2_Electricity[[#This Row],[DE Name]]="","",
     Language=German,Lists_S2_Electricity[[#This Row],[DE Name]],
     Language=French,Lists_S2_Electricity[[#This Row],[FR Name]],
     Language=Italian,Lists_S2_Electricity[[#This Row],[IT Name]]
)</f>
        <v>Déchets</v>
      </c>
      <c r="C55" s="29" t="s">
        <v>28339</v>
      </c>
      <c r="D55" s="29" t="s">
        <v>246</v>
      </c>
      <c r="E55" s="29" t="s">
        <v>28501</v>
      </c>
      <c r="F55" s="29" t="s">
        <v>247</v>
      </c>
      <c r="G55" s="29" t="s">
        <v>224</v>
      </c>
      <c r="H55" s="367" t="str" cm="1">
        <f t="array" ref="H55">_xlfn.IFS(
     Language=German,"Niederspannung",
     Language=French,"Basse tension",
     Language=Italian,"Bassa tensione"
)</f>
        <v>Basse tension</v>
      </c>
      <c r="I55" s="29" t="str" cm="1">
        <f t="array" ref="I55">_xlfn.IFS(
     Language=German,"Ja",
     Language=French,"Oui",
     Language=Italian,"Si"
)</f>
        <v>Oui</v>
      </c>
      <c r="J55" s="29" t="s">
        <v>28872</v>
      </c>
      <c r="K55" s="29" t="s">
        <v>27528</v>
      </c>
      <c r="L55" s="29" t="s">
        <v>27561</v>
      </c>
    </row>
    <row r="56" spans="2:12" x14ac:dyDescent="0.25">
      <c r="B56" s="29" t="str" cm="1">
        <f t="array" ref="B56">_xlfn.IFS(
     Lists_S2_Electricity[[#This Row],[DE Name]]="","",
     Language=German,Lists_S2_Electricity[[#This Row],[DE Name]],
     Language=French,Lists_S2_Electricity[[#This Row],[FR Name]],
     Language=Italian,Lists_S2_Electricity[[#This Row],[IT Name]]
)</f>
        <v>Énergie hydraulique</v>
      </c>
      <c r="C56" s="29" t="s">
        <v>28528</v>
      </c>
      <c r="D56" s="29" t="s">
        <v>27593</v>
      </c>
      <c r="E56" s="29" t="s">
        <v>222</v>
      </c>
      <c r="F56" s="29" t="s">
        <v>248</v>
      </c>
      <c r="G56" s="29" t="s">
        <v>224</v>
      </c>
      <c r="H56" s="367" t="str" cm="1">
        <f t="array" ref="H56">_xlfn.IFS(
     Language=German,"Niederspannung",
     Language=French,"Basse tension",
     Language=Italian,"Bassa tensione"
)</f>
        <v>Basse tension</v>
      </c>
      <c r="I56" s="29" t="str" cm="1">
        <f t="array" ref="I56">_xlfn.IFS(
     Language=German,"Nein",
     Language=French,"Non",
     Language=Italian,"No"
)</f>
        <v>Non</v>
      </c>
      <c r="J56" s="29" t="s">
        <v>28873</v>
      </c>
      <c r="K56" s="29" t="s">
        <v>28900</v>
      </c>
      <c r="L56" s="29" t="s">
        <v>28901</v>
      </c>
    </row>
    <row r="57" spans="2:12" x14ac:dyDescent="0.25">
      <c r="B57" s="29" t="str" cm="1">
        <f t="array" ref="B57">_xlfn.IFS(
     Lists_S2_Electricity[[#This Row],[DE Name]]="","",
     Language=German,Lists_S2_Electricity[[#This Row],[DE Name]],
     Language=French,Lists_S2_Electricity[[#This Row],[FR Name]],
     Language=Italian,Lists_S2_Electricity[[#This Row],[IT Name]]
)</f>
        <v>Énergie solaire</v>
      </c>
      <c r="C57" s="29" t="s">
        <v>28529</v>
      </c>
      <c r="D57" s="29" t="s">
        <v>225</v>
      </c>
      <c r="E57" s="29" t="s">
        <v>226</v>
      </c>
      <c r="F57" s="29" t="s">
        <v>249</v>
      </c>
      <c r="G57" s="29" t="s">
        <v>224</v>
      </c>
      <c r="H57" s="367" t="str" cm="1">
        <f t="array" ref="H57">_xlfn.IFS(
     Language=German,"Niederspannung",
     Language=French,"Basse tension",
     Language=Italian,"Bassa tensione"
)</f>
        <v>Basse tension</v>
      </c>
      <c r="I57" s="29" t="str" cm="1">
        <f t="array" ref="I57">_xlfn.IFS(
     Language=German,"Nein",
     Language=French,"Non",
     Language=Italian,"No"
)</f>
        <v>Non</v>
      </c>
      <c r="J57" s="29" t="s">
        <v>28874</v>
      </c>
      <c r="K57" s="29" t="s">
        <v>27529</v>
      </c>
      <c r="L57" s="29" t="s">
        <v>27562</v>
      </c>
    </row>
    <row r="58" spans="2:12" x14ac:dyDescent="0.25">
      <c r="B58" s="29" t="str" cm="1">
        <f t="array" ref="B58">_xlfn.IFS(
     Lists_S2_Electricity[[#This Row],[DE Name]]="","",
     Language=German,Lists_S2_Electricity[[#This Row],[DE Name]],
     Language=French,Lists_S2_Electricity[[#This Row],[FR Name]],
     Language=Italian,Lists_S2_Electricity[[#This Row],[IT Name]]
)</f>
        <v>Énergie éolienne</v>
      </c>
      <c r="C58" s="29" t="s">
        <v>28530</v>
      </c>
      <c r="D58" s="29" t="s">
        <v>228</v>
      </c>
      <c r="E58" s="29" t="s">
        <v>229</v>
      </c>
      <c r="F58" s="29" t="s">
        <v>250</v>
      </c>
      <c r="G58" s="29" t="s">
        <v>224</v>
      </c>
      <c r="H58" s="367" t="str" cm="1">
        <f t="array" ref="H58">_xlfn.IFS(
     Language=German,"Niederspannung",
     Language=French,"Basse tension",
     Language=Italian,"Bassa tensione"
)</f>
        <v>Basse tension</v>
      </c>
      <c r="I58" s="29" t="str" cm="1">
        <f t="array" ref="I58">_xlfn.IFS(
     Language=German,"Nein",
     Language=French,"Non",
     Language=Italian,"No"
)</f>
        <v>Non</v>
      </c>
      <c r="J58" s="29" t="s">
        <v>28875</v>
      </c>
      <c r="K58" s="29" t="s">
        <v>27530</v>
      </c>
      <c r="L58" s="29" t="s">
        <v>27563</v>
      </c>
    </row>
    <row r="59" spans="2:12" x14ac:dyDescent="0.25">
      <c r="B59" s="29" t="str" cm="1">
        <f t="array" ref="B59">_xlfn.IFS(
     Lists_S2_Electricity[[#This Row],[DE Name]]="","",
     Language=German,Lists_S2_Electricity[[#This Row],[DE Name]],
     Language=French,Lists_S2_Electricity[[#This Row],[FR Name]],
     Language=Italian,Lists_S2_Electricity[[#This Row],[IT Name]]
)</f>
        <v>Biomasse</v>
      </c>
      <c r="C59" s="29" t="s">
        <v>231</v>
      </c>
      <c r="D59" s="29" t="s">
        <v>231</v>
      </c>
      <c r="E59" s="29" t="s">
        <v>232</v>
      </c>
      <c r="F59" s="29" t="s">
        <v>251</v>
      </c>
      <c r="G59" s="29" t="s">
        <v>224</v>
      </c>
      <c r="H59" s="367" t="str" cm="1">
        <f t="array" ref="H59">_xlfn.IFS(
     Language=German,"Niederspannung",
     Language=French,"Basse tension",
     Language=Italian,"Bassa tensione"
)</f>
        <v>Basse tension</v>
      </c>
      <c r="I59" s="29" t="str" cm="1">
        <f t="array" ref="I59">_xlfn.IFS(
     Language=German,"Nein",
     Language=French,"Non",
     Language=Italian,"No"
)</f>
        <v>Non</v>
      </c>
      <c r="J59" s="29" t="s">
        <v>27531</v>
      </c>
      <c r="K59" s="29" t="s">
        <v>27531</v>
      </c>
      <c r="L59" s="29" t="s">
        <v>27564</v>
      </c>
    </row>
    <row r="60" spans="2:12" x14ac:dyDescent="0.25">
      <c r="B60" s="29" t="str" cm="1">
        <f t="array" ref="B60">_xlfn.IFS(
     Lists_S2_Electricity[[#This Row],[DE Name]]="","",
     Language=German,Lists_S2_Electricity[[#This Row],[DE Name]],
     Language=French,Lists_S2_Electricity[[#This Row],[FR Name]],
     Language=Italian,Lists_S2_Electricity[[#This Row],[IT Name]]
)</f>
        <v>Énergie géothermique</v>
      </c>
      <c r="C60" s="29" t="s">
        <v>28531</v>
      </c>
      <c r="D60" s="29" t="s">
        <v>234</v>
      </c>
      <c r="E60" s="29" t="s">
        <v>235</v>
      </c>
      <c r="F60" s="29" t="s">
        <v>252</v>
      </c>
      <c r="G60" s="29" t="s">
        <v>224</v>
      </c>
      <c r="H60" s="367" t="str" cm="1">
        <f t="array" ref="H60">_xlfn.IFS(
     Language=German,"Niederspannung",
     Language=French,"Basse tension",
     Language=Italian,"Bassa tensione"
)</f>
        <v>Basse tension</v>
      </c>
      <c r="I60" s="29" t="str" cm="1">
        <f t="array" ref="I60">_xlfn.IFS(
     Language=German,"Nein",
     Language=French,"Non",
     Language=Italian,"No"
)</f>
        <v>Non</v>
      </c>
      <c r="J60" s="29" t="s">
        <v>28876</v>
      </c>
      <c r="K60" s="29" t="s">
        <v>27532</v>
      </c>
      <c r="L60" s="29" t="s">
        <v>27565</v>
      </c>
    </row>
    <row r="61" spans="2:12" x14ac:dyDescent="0.25">
      <c r="B61" s="29" t="str" cm="1">
        <f t="array" ref="B61">_xlfn.IFS(
     Lists_S2_Electricity[[#This Row],[DE Name]]="","",
     Language=German,Lists_S2_Electricity[[#This Row],[DE Name]],
     Language=French,Lists_S2_Electricity[[#This Row],[FR Name]],
     Language=Italian,Lists_S2_Electricity[[#This Row],[IT Name]]
)</f>
        <v>Nucléaire</v>
      </c>
      <c r="C61" s="29" t="s">
        <v>28515</v>
      </c>
      <c r="D61" s="29" t="s">
        <v>237</v>
      </c>
      <c r="E61" s="29" t="s">
        <v>238</v>
      </c>
      <c r="F61" s="29" t="s">
        <v>253</v>
      </c>
      <c r="G61" s="29" t="s">
        <v>224</v>
      </c>
      <c r="H61" s="367" t="str" cm="1">
        <f t="array" ref="H61">_xlfn.IFS(
     Language=German,"Niederspannung",
     Language=French,"Basse tension",
     Language=Italian,"Bassa tensione"
)</f>
        <v>Basse tension</v>
      </c>
      <c r="I61" s="29" t="str" cm="1">
        <f t="array" ref="I61">_xlfn.IFS(
     Language=German,"Nein",
     Language=French,"Non",
     Language=Italian,"No"
)</f>
        <v>Non</v>
      </c>
      <c r="J61" s="29" t="s">
        <v>28877</v>
      </c>
      <c r="K61" s="29" t="s">
        <v>27533</v>
      </c>
      <c r="L61" s="29" t="s">
        <v>27566</v>
      </c>
    </row>
    <row r="62" spans="2:12" x14ac:dyDescent="0.25">
      <c r="B62" s="29" t="str" cm="1">
        <f t="array" ref="B62">_xlfn.IFS(
     Lists_S2_Electricity[[#This Row],[DE Name]]="","",
     Language=German,Lists_S2_Electricity[[#This Row],[DE Name]],
     Language=French,Lists_S2_Electricity[[#This Row],[FR Name]],
     Language=Italian,Lists_S2_Electricity[[#This Row],[IT Name]]
)</f>
        <v>Pétrole</v>
      </c>
      <c r="C62" s="29" t="s">
        <v>28532</v>
      </c>
      <c r="D62" s="29" t="s">
        <v>240</v>
      </c>
      <c r="E62" s="29" t="s">
        <v>241</v>
      </c>
      <c r="F62" s="29" t="s">
        <v>254</v>
      </c>
      <c r="G62" s="29" t="s">
        <v>224</v>
      </c>
      <c r="H62" s="367" t="str" cm="1">
        <f t="array" ref="H62">_xlfn.IFS(
     Language=German,"Niederspannung",
     Language=French,"Basse tension",
     Language=Italian,"Bassa tensione"
)</f>
        <v>Basse tension</v>
      </c>
      <c r="I62" s="29" t="str" cm="1">
        <f t="array" ref="I62">_xlfn.IFS(
     Language=German,"Nein",
     Language=French,"Non",
     Language=Italian,"No"
)</f>
        <v>Non</v>
      </c>
      <c r="J62" s="29" t="s">
        <v>28878</v>
      </c>
      <c r="K62" s="29" t="s">
        <v>27534</v>
      </c>
      <c r="L62" s="29" t="s">
        <v>27567</v>
      </c>
    </row>
    <row r="63" spans="2:12" x14ac:dyDescent="0.25">
      <c r="B63" s="29" t="str" cm="1">
        <f t="array" ref="B63">_xlfn.IFS(
     Lists_S2_Electricity[[#This Row],[DE Name]]="","",
     Language=German,Lists_S2_Electricity[[#This Row],[DE Name]],
     Language=French,Lists_S2_Electricity[[#This Row],[FR Name]],
     Language=Italian,Lists_S2_Electricity[[#This Row],[IT Name]]
)</f>
        <v>Gaz naturel</v>
      </c>
      <c r="C63" s="29" t="s">
        <v>28533</v>
      </c>
      <c r="D63" s="29" t="s">
        <v>243</v>
      </c>
      <c r="E63" s="29" t="s">
        <v>244</v>
      </c>
      <c r="F63" s="29" t="s">
        <v>255</v>
      </c>
      <c r="G63" s="29" t="s">
        <v>224</v>
      </c>
      <c r="H63" s="367" t="str" cm="1">
        <f t="array" ref="H63">_xlfn.IFS(
     Language=German,"Niederspannung",
     Language=French,"Basse tension",
     Language=Italian,"Bassa tensione"
)</f>
        <v>Basse tension</v>
      </c>
      <c r="I63" s="29" t="str" cm="1">
        <f t="array" ref="I63">_xlfn.IFS(
     Language=German,"Nein",
     Language=French,"Non",
     Language=Italian,"No"
)</f>
        <v>Non</v>
      </c>
      <c r="J63" s="29" t="s">
        <v>28879</v>
      </c>
      <c r="K63" s="29" t="s">
        <v>27535</v>
      </c>
      <c r="L63" s="29" t="s">
        <v>27568</v>
      </c>
    </row>
    <row r="64" spans="2:12" x14ac:dyDescent="0.25">
      <c r="B64" s="29" t="str" cm="1">
        <f t="array" ref="B64">_xlfn.IFS(
     Lists_S2_Electricity[[#This Row],[DE Name]]="","",
     Language=German,Lists_S2_Electricity[[#This Row],[DE Name]],
     Language=French,Lists_S2_Electricity[[#This Row],[FR Name]],
     Language=Italian,Lists_S2_Electricity[[#This Row],[IT Name]]
)</f>
        <v>Déchets</v>
      </c>
      <c r="C64" s="29" t="s">
        <v>28339</v>
      </c>
      <c r="D64" s="29" t="s">
        <v>246</v>
      </c>
      <c r="E64" s="29" t="s">
        <v>28501</v>
      </c>
      <c r="F64" s="29" t="s">
        <v>256</v>
      </c>
      <c r="G64" s="29" t="s">
        <v>224</v>
      </c>
      <c r="H64" s="367" t="str" cm="1">
        <f t="array" ref="H64">_xlfn.IFS(
     Language=German,"Niederspannung",
     Language=French,"Basse tension",
     Language=Italian,"Bassa tensione"
)</f>
        <v>Basse tension</v>
      </c>
      <c r="I64" s="29" t="str" cm="1">
        <f t="array" ref="I64">_xlfn.IFS(
     Language=German,"Nein",
     Language=French,"Non",
     Language=Italian,"No"
)</f>
        <v>Non</v>
      </c>
      <c r="J64" s="29" t="s">
        <v>28880</v>
      </c>
      <c r="K64" s="29" t="s">
        <v>27536</v>
      </c>
      <c r="L64" s="29" t="s">
        <v>27569</v>
      </c>
    </row>
    <row r="65" spans="2:12" x14ac:dyDescent="0.25">
      <c r="B65" s="29" t="str" cm="1">
        <f t="array" ref="B65">_xlfn.IFS(
     Lists_S2_Electricity[[#This Row],[DE Name]]="","",
     Language=German,Lists_S2_Electricity[[#This Row],[DE Name]],
     Language=French,Lists_S2_Electricity[[#This Row],[FR Name]],
     Language=Italian,Lists_S2_Electricity[[#This Row],[IT Name]]
)</f>
        <v>Énergie hydraulique</v>
      </c>
      <c r="C65" s="29" t="s">
        <v>28528</v>
      </c>
      <c r="D65" s="29" t="s">
        <v>27593</v>
      </c>
      <c r="E65" s="29" t="s">
        <v>222</v>
      </c>
      <c r="F65" s="29" t="s">
        <v>257</v>
      </c>
      <c r="G65" s="29" t="s">
        <v>224</v>
      </c>
      <c r="H65" s="367" t="str" cm="1">
        <f t="array" ref="H65">_xlfn.IFS(
     Language=German,"Mittelspannung",
     Language=French,"Moyenne tension",
     Language=Italian,"Media tensione"
)</f>
        <v>Moyenne tension</v>
      </c>
      <c r="I65" s="29" t="str" cm="1">
        <f t="array" ref="I65">_xlfn.IFS(
     Language=German,"Ja",
     Language=French,"Oui",
     Language=Italian,"Si"
)</f>
        <v>Oui</v>
      </c>
      <c r="J65" s="29" t="s">
        <v>28881</v>
      </c>
      <c r="K65" s="29" t="s">
        <v>28898</v>
      </c>
      <c r="L65" s="29" t="s">
        <v>27570</v>
      </c>
    </row>
    <row r="66" spans="2:12" x14ac:dyDescent="0.25">
      <c r="B66" s="29" t="str" cm="1">
        <f t="array" ref="B66">_xlfn.IFS(
     Lists_S2_Electricity[[#This Row],[DE Name]]="","",
     Language=German,Lists_S2_Electricity[[#This Row],[DE Name]],
     Language=French,Lists_S2_Electricity[[#This Row],[FR Name]],
     Language=Italian,Lists_S2_Electricity[[#This Row],[IT Name]]
)</f>
        <v>Énergie solaire</v>
      </c>
      <c r="C66" s="29" t="s">
        <v>28529</v>
      </c>
      <c r="D66" s="29" t="s">
        <v>225</v>
      </c>
      <c r="E66" s="29" t="s">
        <v>226</v>
      </c>
      <c r="F66" s="29" t="s">
        <v>258</v>
      </c>
      <c r="G66" s="29" t="s">
        <v>224</v>
      </c>
      <c r="H66" s="367" t="str" cm="1">
        <f t="array" ref="H66">_xlfn.IFS(
     Language=German,"Mittelspannung",
     Language=French,"Moyenne tension",
     Language=Italian,"Media tensione"
)</f>
        <v>Moyenne tension</v>
      </c>
      <c r="I66" s="29" t="str" cm="1">
        <f t="array" ref="I66">_xlfn.IFS(
     Language=German,"Ja",
     Language=French,"Oui",
     Language=Italian,"Si"
)</f>
        <v>Oui</v>
      </c>
      <c r="J66" s="29" t="s">
        <v>28882</v>
      </c>
      <c r="K66" s="29" t="s">
        <v>27537</v>
      </c>
      <c r="L66" s="29" t="s">
        <v>27571</v>
      </c>
    </row>
    <row r="67" spans="2:12" x14ac:dyDescent="0.25">
      <c r="B67" s="29" t="str" cm="1">
        <f t="array" ref="B67">_xlfn.IFS(
     Lists_S2_Electricity[[#This Row],[DE Name]]="","",
     Language=German,Lists_S2_Electricity[[#This Row],[DE Name]],
     Language=French,Lists_S2_Electricity[[#This Row],[FR Name]],
     Language=Italian,Lists_S2_Electricity[[#This Row],[IT Name]]
)</f>
        <v>Énergie éolienne</v>
      </c>
      <c r="C67" s="29" t="s">
        <v>28530</v>
      </c>
      <c r="D67" s="29" t="s">
        <v>228</v>
      </c>
      <c r="E67" s="29" t="s">
        <v>229</v>
      </c>
      <c r="F67" s="29" t="s">
        <v>259</v>
      </c>
      <c r="G67" s="29" t="s">
        <v>224</v>
      </c>
      <c r="H67" s="367" t="str" cm="1">
        <f t="array" ref="H67">_xlfn.IFS(
     Language=German,"Mittelspannung",
     Language=French,"Moyenne tension",
     Language=Italian,"Media tensione"
)</f>
        <v>Moyenne tension</v>
      </c>
      <c r="I67" s="29" t="str" cm="1">
        <f t="array" ref="I67">_xlfn.IFS(
     Language=German,"Ja",
     Language=French,"Oui",
     Language=Italian,"Si"
)</f>
        <v>Oui</v>
      </c>
      <c r="J67" s="29" t="s">
        <v>28883</v>
      </c>
      <c r="K67" s="29" t="s">
        <v>27538</v>
      </c>
      <c r="L67" s="29" t="s">
        <v>27572</v>
      </c>
    </row>
    <row r="68" spans="2:12" x14ac:dyDescent="0.25">
      <c r="B68" s="29" t="str" cm="1">
        <f t="array" ref="B68">_xlfn.IFS(
     Lists_S2_Electricity[[#This Row],[DE Name]]="","",
     Language=German,Lists_S2_Electricity[[#This Row],[DE Name]],
     Language=French,Lists_S2_Electricity[[#This Row],[FR Name]],
     Language=Italian,Lists_S2_Electricity[[#This Row],[IT Name]]
)</f>
        <v>Biomasse</v>
      </c>
      <c r="C68" s="29" t="s">
        <v>231</v>
      </c>
      <c r="D68" s="29" t="s">
        <v>231</v>
      </c>
      <c r="E68" s="29" t="s">
        <v>232</v>
      </c>
      <c r="F68" s="29" t="s">
        <v>260</v>
      </c>
      <c r="G68" s="29" t="s">
        <v>224</v>
      </c>
      <c r="H68" s="367" t="str" cm="1">
        <f t="array" ref="H68">_xlfn.IFS(
     Language=German,"Mittelspannung",
     Language=French,"Moyenne tension",
     Language=Italian,"Media tensione"
)</f>
        <v>Moyenne tension</v>
      </c>
      <c r="I68" s="29" t="str" cm="1">
        <f t="array" ref="I68">_xlfn.IFS(
     Language=German,"Ja",
     Language=French,"Oui",
     Language=Italian,"Si"
)</f>
        <v>Oui</v>
      </c>
      <c r="J68" s="29" t="s">
        <v>27539</v>
      </c>
      <c r="K68" s="29" t="s">
        <v>27539</v>
      </c>
      <c r="L68" s="29" t="s">
        <v>27573</v>
      </c>
    </row>
    <row r="69" spans="2:12" x14ac:dyDescent="0.25">
      <c r="B69" s="29" t="str" cm="1">
        <f t="array" ref="B69">_xlfn.IFS(
     Lists_S2_Electricity[[#This Row],[DE Name]]="","",
     Language=German,Lists_S2_Electricity[[#This Row],[DE Name]],
     Language=French,Lists_S2_Electricity[[#This Row],[FR Name]],
     Language=Italian,Lists_S2_Electricity[[#This Row],[IT Name]]
)</f>
        <v>Énergie géothermique</v>
      </c>
      <c r="C69" s="29" t="s">
        <v>28531</v>
      </c>
      <c r="D69" s="29" t="s">
        <v>234</v>
      </c>
      <c r="E69" s="29" t="s">
        <v>235</v>
      </c>
      <c r="F69" s="29" t="s">
        <v>261</v>
      </c>
      <c r="G69" s="29" t="s">
        <v>224</v>
      </c>
      <c r="H69" s="367" t="str" cm="1">
        <f t="array" ref="H69">_xlfn.IFS(
     Language=German,"Mittelspannung",
     Language=French,"Moyenne tension",
     Language=Italian,"Media tensione"
)</f>
        <v>Moyenne tension</v>
      </c>
      <c r="I69" s="29" t="str" cm="1">
        <f t="array" ref="I69">_xlfn.IFS(
     Language=German,"Ja",
     Language=French,"Oui",
     Language=Italian,"Si"
)</f>
        <v>Oui</v>
      </c>
      <c r="J69" s="29" t="s">
        <v>28884</v>
      </c>
      <c r="K69" s="29" t="s">
        <v>27540</v>
      </c>
      <c r="L69" s="29" t="s">
        <v>27574</v>
      </c>
    </row>
    <row r="70" spans="2:12" x14ac:dyDescent="0.25">
      <c r="B70" s="29" t="str" cm="1">
        <f t="array" ref="B70">_xlfn.IFS(
     Lists_S2_Electricity[[#This Row],[DE Name]]="","",
     Language=German,Lists_S2_Electricity[[#This Row],[DE Name]],
     Language=French,Lists_S2_Electricity[[#This Row],[FR Name]],
     Language=Italian,Lists_S2_Electricity[[#This Row],[IT Name]]
)</f>
        <v>Nucléaire</v>
      </c>
      <c r="C70" s="29" t="s">
        <v>28515</v>
      </c>
      <c r="D70" s="29" t="s">
        <v>237</v>
      </c>
      <c r="E70" s="29" t="s">
        <v>238</v>
      </c>
      <c r="F70" s="29" t="s">
        <v>262</v>
      </c>
      <c r="G70" s="29" t="s">
        <v>224</v>
      </c>
      <c r="H70" s="367" t="str" cm="1">
        <f t="array" ref="H70">_xlfn.IFS(
     Language=German,"Mittelspannung",
     Language=French,"Moyenne tension",
     Language=Italian,"Media tensione"
)</f>
        <v>Moyenne tension</v>
      </c>
      <c r="I70" s="29" t="str" cm="1">
        <f t="array" ref="I70">_xlfn.IFS(
     Language=German,"Ja",
     Language=French,"Oui",
     Language=Italian,"Si"
)</f>
        <v>Oui</v>
      </c>
      <c r="J70" s="29" t="s">
        <v>28885</v>
      </c>
      <c r="K70" s="29" t="s">
        <v>27541</v>
      </c>
      <c r="L70" s="29" t="s">
        <v>27575</v>
      </c>
    </row>
    <row r="71" spans="2:12" x14ac:dyDescent="0.25">
      <c r="B71" s="29" t="str" cm="1">
        <f t="array" ref="B71">_xlfn.IFS(
     Lists_S2_Electricity[[#This Row],[DE Name]]="","",
     Language=German,Lists_S2_Electricity[[#This Row],[DE Name]],
     Language=French,Lists_S2_Electricity[[#This Row],[FR Name]],
     Language=Italian,Lists_S2_Electricity[[#This Row],[IT Name]]
)</f>
        <v>Pétrole</v>
      </c>
      <c r="C71" s="29" t="s">
        <v>28532</v>
      </c>
      <c r="D71" s="29" t="s">
        <v>240</v>
      </c>
      <c r="E71" s="29" t="s">
        <v>241</v>
      </c>
      <c r="F71" s="29" t="s">
        <v>263</v>
      </c>
      <c r="G71" s="29" t="s">
        <v>224</v>
      </c>
      <c r="H71" s="367" t="str" cm="1">
        <f t="array" ref="H71">_xlfn.IFS(
     Language=German,"Mittelspannung",
     Language=French,"Moyenne tension",
     Language=Italian,"Media tensione"
)</f>
        <v>Moyenne tension</v>
      </c>
      <c r="I71" s="29" t="str" cm="1">
        <f t="array" ref="I71">_xlfn.IFS(
     Language=German,"Ja",
     Language=French,"Oui",
     Language=Italian,"Si"
)</f>
        <v>Oui</v>
      </c>
      <c r="J71" s="29" t="s">
        <v>28886</v>
      </c>
      <c r="K71" s="29" t="s">
        <v>27542</v>
      </c>
      <c r="L71" s="29" t="s">
        <v>27576</v>
      </c>
    </row>
    <row r="72" spans="2:12" x14ac:dyDescent="0.25">
      <c r="B72" s="29" t="str" cm="1">
        <f t="array" ref="B72">_xlfn.IFS(
     Lists_S2_Electricity[[#This Row],[DE Name]]="","",
     Language=German,Lists_S2_Electricity[[#This Row],[DE Name]],
     Language=French,Lists_S2_Electricity[[#This Row],[FR Name]],
     Language=Italian,Lists_S2_Electricity[[#This Row],[IT Name]]
)</f>
        <v>Gaz naturel</v>
      </c>
      <c r="C72" s="29" t="s">
        <v>28533</v>
      </c>
      <c r="D72" s="29" t="s">
        <v>243</v>
      </c>
      <c r="E72" s="29" t="s">
        <v>244</v>
      </c>
      <c r="F72" s="29" t="s">
        <v>264</v>
      </c>
      <c r="G72" s="29" t="s">
        <v>224</v>
      </c>
      <c r="H72" s="367" t="str" cm="1">
        <f t="array" ref="H72">_xlfn.IFS(
     Language=German,"Mittelspannung",
     Language=French,"Moyenne tension",
     Language=Italian,"Media tensione"
)</f>
        <v>Moyenne tension</v>
      </c>
      <c r="I72" s="29" t="str" cm="1">
        <f t="array" ref="I72">_xlfn.IFS(
     Language=German,"Ja",
     Language=French,"Oui",
     Language=Italian,"Si"
)</f>
        <v>Oui</v>
      </c>
      <c r="J72" s="29" t="s">
        <v>28887</v>
      </c>
      <c r="K72" s="29" t="s">
        <v>27543</v>
      </c>
      <c r="L72" s="29" t="s">
        <v>27577</v>
      </c>
    </row>
    <row r="73" spans="2:12" x14ac:dyDescent="0.25">
      <c r="B73" s="29" t="str" cm="1">
        <f t="array" ref="B73">_xlfn.IFS(
     Lists_S2_Electricity[[#This Row],[DE Name]]="","",
     Language=German,Lists_S2_Electricity[[#This Row],[DE Name]],
     Language=French,Lists_S2_Electricity[[#This Row],[FR Name]],
     Language=Italian,Lists_S2_Electricity[[#This Row],[IT Name]]
)</f>
        <v>Déchets</v>
      </c>
      <c r="C73" s="29" t="s">
        <v>28339</v>
      </c>
      <c r="D73" s="29" t="s">
        <v>246</v>
      </c>
      <c r="E73" s="29" t="s">
        <v>28501</v>
      </c>
      <c r="F73" s="29" t="s">
        <v>265</v>
      </c>
      <c r="G73" s="29" t="s">
        <v>224</v>
      </c>
      <c r="H73" s="367" t="str" cm="1">
        <f t="array" ref="H73">_xlfn.IFS(
     Language=German,"Mittelspannung",
     Language=French,"Moyenne tension",
     Language=Italian,"Media tensione"
)</f>
        <v>Moyenne tension</v>
      </c>
      <c r="I73" s="29" t="str" cm="1">
        <f t="array" ref="I73">_xlfn.IFS(
     Language=German,"Ja",
     Language=French,"Oui",
     Language=Italian,"Si"
)</f>
        <v>Oui</v>
      </c>
      <c r="J73" s="29" t="s">
        <v>28888</v>
      </c>
      <c r="K73" s="29" t="s">
        <v>27544</v>
      </c>
      <c r="L73" s="29" t="s">
        <v>27578</v>
      </c>
    </row>
    <row r="74" spans="2:12" x14ac:dyDescent="0.25">
      <c r="B74" s="29" t="str" cm="1">
        <f t="array" ref="B74">_xlfn.IFS(
     Lists_S2_Electricity[[#This Row],[DE Name]]="","",
     Language=German,Lists_S2_Electricity[[#This Row],[DE Name]],
     Language=French,Lists_S2_Electricity[[#This Row],[FR Name]],
     Language=Italian,Lists_S2_Electricity[[#This Row],[IT Name]]
)</f>
        <v>Énergie hydraulique</v>
      </c>
      <c r="C74" s="29" t="s">
        <v>28528</v>
      </c>
      <c r="D74" s="29" t="s">
        <v>27593</v>
      </c>
      <c r="E74" s="29" t="s">
        <v>222</v>
      </c>
      <c r="F74" s="29" t="s">
        <v>266</v>
      </c>
      <c r="G74" s="29" t="s">
        <v>224</v>
      </c>
      <c r="H74" s="367" t="str" cm="1">
        <f t="array" ref="H74">_xlfn.IFS(
     Language=German,"Mittelspannung",
     Language=French,"Moyenne tension",
     Language=Italian,"Media tensione"
)</f>
        <v>Moyenne tension</v>
      </c>
      <c r="I74" s="29" t="str" cm="1">
        <f t="array" ref="I74">_xlfn.IFS(
     Language=German,"Nein",
     Language=French,"Non",
     Language=Italian,"No"
)</f>
        <v>Non</v>
      </c>
      <c r="J74" s="29" t="s">
        <v>28889</v>
      </c>
      <c r="K74" s="29" t="s">
        <v>28899</v>
      </c>
      <c r="L74" s="29" t="s">
        <v>27579</v>
      </c>
    </row>
    <row r="75" spans="2:12" x14ac:dyDescent="0.25">
      <c r="B75" s="29" t="str" cm="1">
        <f t="array" ref="B75">_xlfn.IFS(
     Lists_S2_Electricity[[#This Row],[DE Name]]="","",
     Language=German,Lists_S2_Electricity[[#This Row],[DE Name]],
     Language=French,Lists_S2_Electricity[[#This Row],[FR Name]],
     Language=Italian,Lists_S2_Electricity[[#This Row],[IT Name]]
)</f>
        <v>Énergie solaire</v>
      </c>
      <c r="C75" s="29" t="s">
        <v>28529</v>
      </c>
      <c r="D75" s="29" t="s">
        <v>225</v>
      </c>
      <c r="E75" s="29" t="s">
        <v>226</v>
      </c>
      <c r="F75" s="29" t="s">
        <v>267</v>
      </c>
      <c r="G75" s="29" t="s">
        <v>224</v>
      </c>
      <c r="H75" s="367" t="str" cm="1">
        <f t="array" ref="H75">_xlfn.IFS(
     Language=German,"Mittelspannung",
     Language=French,"Moyenne tension",
     Language=Italian,"Media tensione"
)</f>
        <v>Moyenne tension</v>
      </c>
      <c r="I75" s="29" t="str" cm="1">
        <f t="array" ref="I75">_xlfn.IFS(
     Language=German,"Nein",
     Language=French,"Non",
     Language=Italian,"No"
)</f>
        <v>Non</v>
      </c>
      <c r="J75" s="29" t="s">
        <v>28890</v>
      </c>
      <c r="K75" s="29" t="s">
        <v>27545</v>
      </c>
      <c r="L75" s="29" t="s">
        <v>27580</v>
      </c>
    </row>
    <row r="76" spans="2:12" x14ac:dyDescent="0.25">
      <c r="B76" s="29" t="str" cm="1">
        <f t="array" ref="B76">_xlfn.IFS(
     Lists_S2_Electricity[[#This Row],[DE Name]]="","",
     Language=German,Lists_S2_Electricity[[#This Row],[DE Name]],
     Language=French,Lists_S2_Electricity[[#This Row],[FR Name]],
     Language=Italian,Lists_S2_Electricity[[#This Row],[IT Name]]
)</f>
        <v>Énergie éolienne</v>
      </c>
      <c r="C76" s="29" t="s">
        <v>28530</v>
      </c>
      <c r="D76" s="29" t="s">
        <v>228</v>
      </c>
      <c r="E76" s="29" t="s">
        <v>229</v>
      </c>
      <c r="F76" s="29" t="s">
        <v>268</v>
      </c>
      <c r="G76" s="29" t="s">
        <v>224</v>
      </c>
      <c r="H76" s="367" t="str" cm="1">
        <f t="array" ref="H76">_xlfn.IFS(
     Language=German,"Mittelspannung",
     Language=French,"Moyenne tension",
     Language=Italian,"Media tensione"
)</f>
        <v>Moyenne tension</v>
      </c>
      <c r="I76" s="29" t="str" cm="1">
        <f t="array" ref="I76">_xlfn.IFS(
     Language=German,"Nein",
     Language=French,"Non",
     Language=Italian,"No"
)</f>
        <v>Non</v>
      </c>
      <c r="J76" s="29" t="s">
        <v>28891</v>
      </c>
      <c r="K76" s="29" t="s">
        <v>27546</v>
      </c>
      <c r="L76" s="29" t="s">
        <v>27581</v>
      </c>
    </row>
    <row r="77" spans="2:12" x14ac:dyDescent="0.25">
      <c r="B77" s="29" t="str" cm="1">
        <f t="array" ref="B77">_xlfn.IFS(
     Lists_S2_Electricity[[#This Row],[DE Name]]="","",
     Language=German,Lists_S2_Electricity[[#This Row],[DE Name]],
     Language=French,Lists_S2_Electricity[[#This Row],[FR Name]],
     Language=Italian,Lists_S2_Electricity[[#This Row],[IT Name]]
)</f>
        <v>Biomasse</v>
      </c>
      <c r="C77" s="29" t="s">
        <v>231</v>
      </c>
      <c r="D77" s="29" t="s">
        <v>231</v>
      </c>
      <c r="E77" s="29" t="s">
        <v>232</v>
      </c>
      <c r="F77" s="29" t="s">
        <v>269</v>
      </c>
      <c r="G77" s="29" t="s">
        <v>224</v>
      </c>
      <c r="H77" s="367" t="str" cm="1">
        <f t="array" ref="H77">_xlfn.IFS(
     Language=German,"Mittelspannung",
     Language=French,"Moyenne tension",
     Language=Italian,"Media tensione"
)</f>
        <v>Moyenne tension</v>
      </c>
      <c r="I77" s="29" t="str" cm="1">
        <f t="array" ref="I77">_xlfn.IFS(
     Language=German,"Nein",
     Language=French,"Non",
     Language=Italian,"No"
)</f>
        <v>Non</v>
      </c>
      <c r="J77" s="29" t="s">
        <v>27547</v>
      </c>
      <c r="K77" s="29" t="s">
        <v>27547</v>
      </c>
      <c r="L77" s="29" t="s">
        <v>27582</v>
      </c>
    </row>
    <row r="78" spans="2:12" x14ac:dyDescent="0.25">
      <c r="B78" s="29" t="str" cm="1">
        <f t="array" ref="B78">_xlfn.IFS(
     Lists_S2_Electricity[[#This Row],[DE Name]]="","",
     Language=German,Lists_S2_Electricity[[#This Row],[DE Name]],
     Language=French,Lists_S2_Electricity[[#This Row],[FR Name]],
     Language=Italian,Lists_S2_Electricity[[#This Row],[IT Name]]
)</f>
        <v>Énergie géothermique</v>
      </c>
      <c r="C78" s="29" t="s">
        <v>28531</v>
      </c>
      <c r="D78" s="29" t="s">
        <v>234</v>
      </c>
      <c r="E78" s="29" t="s">
        <v>235</v>
      </c>
      <c r="F78" s="29" t="s">
        <v>270</v>
      </c>
      <c r="G78" s="29" t="s">
        <v>224</v>
      </c>
      <c r="H78" s="367" t="str" cm="1">
        <f t="array" ref="H78">_xlfn.IFS(
     Language=German,"Mittelspannung",
     Language=French,"Moyenne tension",
     Language=Italian,"Media tensione"
)</f>
        <v>Moyenne tension</v>
      </c>
      <c r="I78" s="29" t="str" cm="1">
        <f t="array" ref="I78">_xlfn.IFS(
     Language=German,"Nein",
     Language=French,"Non",
     Language=Italian,"No"
)</f>
        <v>Non</v>
      </c>
      <c r="J78" s="29" t="s">
        <v>28892</v>
      </c>
      <c r="K78" s="29" t="s">
        <v>27548</v>
      </c>
      <c r="L78" s="29" t="s">
        <v>27583</v>
      </c>
    </row>
    <row r="79" spans="2:12" x14ac:dyDescent="0.25">
      <c r="B79" s="29" t="str" cm="1">
        <f t="array" ref="B79">_xlfn.IFS(
     Lists_S2_Electricity[[#This Row],[DE Name]]="","",
     Language=German,Lists_S2_Electricity[[#This Row],[DE Name]],
     Language=French,Lists_S2_Electricity[[#This Row],[FR Name]],
     Language=Italian,Lists_S2_Electricity[[#This Row],[IT Name]]
)</f>
        <v>Nucléaire</v>
      </c>
      <c r="C79" s="29" t="s">
        <v>28515</v>
      </c>
      <c r="D79" s="29" t="s">
        <v>237</v>
      </c>
      <c r="E79" s="29" t="s">
        <v>238</v>
      </c>
      <c r="F79" s="29" t="s">
        <v>271</v>
      </c>
      <c r="G79" s="29" t="s">
        <v>224</v>
      </c>
      <c r="H79" s="367" t="str" cm="1">
        <f t="array" ref="H79">_xlfn.IFS(
     Language=German,"Mittelspannung",
     Language=French,"Moyenne tension",
     Language=Italian,"Media tensione"
)</f>
        <v>Moyenne tension</v>
      </c>
      <c r="I79" s="29" t="str" cm="1">
        <f t="array" ref="I79">_xlfn.IFS(
     Language=German,"Nein",
     Language=French,"Non",
     Language=Italian,"No"
)</f>
        <v>Non</v>
      </c>
      <c r="J79" s="29" t="s">
        <v>28893</v>
      </c>
      <c r="K79" s="29" t="s">
        <v>27549</v>
      </c>
      <c r="L79" s="29" t="s">
        <v>27584</v>
      </c>
    </row>
    <row r="80" spans="2:12" x14ac:dyDescent="0.25">
      <c r="B80" s="29" t="str" cm="1">
        <f t="array" ref="B80">_xlfn.IFS(
     Lists_S2_Electricity[[#This Row],[DE Name]]="","",
     Language=German,Lists_S2_Electricity[[#This Row],[DE Name]],
     Language=French,Lists_S2_Electricity[[#This Row],[FR Name]],
     Language=Italian,Lists_S2_Electricity[[#This Row],[IT Name]]
)</f>
        <v>Pétrole</v>
      </c>
      <c r="C80" s="29" t="s">
        <v>28532</v>
      </c>
      <c r="D80" s="29" t="s">
        <v>240</v>
      </c>
      <c r="E80" s="29" t="s">
        <v>241</v>
      </c>
      <c r="F80" s="29" t="s">
        <v>272</v>
      </c>
      <c r="G80" s="29" t="s">
        <v>224</v>
      </c>
      <c r="H80" s="367" t="str" cm="1">
        <f t="array" ref="H80">_xlfn.IFS(
     Language=German,"Mittelspannung",
     Language=French,"Moyenne tension",
     Language=Italian,"Media tensione"
)</f>
        <v>Moyenne tension</v>
      </c>
      <c r="I80" s="29" t="str" cm="1">
        <f t="array" ref="I80">_xlfn.IFS(
     Language=German,"Nein",
     Language=French,"Non",
     Language=Italian,"No"
)</f>
        <v>Non</v>
      </c>
      <c r="J80" s="29" t="s">
        <v>28894</v>
      </c>
      <c r="K80" s="29" t="s">
        <v>27550</v>
      </c>
      <c r="L80" s="29" t="s">
        <v>27585</v>
      </c>
    </row>
    <row r="81" spans="1:12" x14ac:dyDescent="0.25">
      <c r="B81" s="29" t="str" cm="1">
        <f t="array" ref="B81">_xlfn.IFS(
     Lists_S2_Electricity[[#This Row],[DE Name]]="","",
     Language=German,Lists_S2_Electricity[[#This Row],[DE Name]],
     Language=French,Lists_S2_Electricity[[#This Row],[FR Name]],
     Language=Italian,Lists_S2_Electricity[[#This Row],[IT Name]]
)</f>
        <v>Gaz naturel</v>
      </c>
      <c r="C81" s="29" t="s">
        <v>28533</v>
      </c>
      <c r="D81" s="29" t="s">
        <v>243</v>
      </c>
      <c r="E81" s="29" t="s">
        <v>244</v>
      </c>
      <c r="F81" s="29" t="s">
        <v>273</v>
      </c>
      <c r="G81" s="29" t="s">
        <v>224</v>
      </c>
      <c r="H81" s="367" t="str" cm="1">
        <f t="array" ref="H81">_xlfn.IFS(
     Language=German,"Mittelspannung",
     Language=French,"Moyenne tension",
     Language=Italian,"Media tensione"
)</f>
        <v>Moyenne tension</v>
      </c>
      <c r="I81" s="29" t="str" cm="1">
        <f t="array" ref="I81">_xlfn.IFS(
     Language=German,"Nein",
     Language=French,"Non",
     Language=Italian,"No"
)</f>
        <v>Non</v>
      </c>
      <c r="J81" s="29" t="s">
        <v>28895</v>
      </c>
      <c r="K81" s="29" t="s">
        <v>27551</v>
      </c>
      <c r="L81" s="29" t="s">
        <v>27586</v>
      </c>
    </row>
    <row r="82" spans="1:12" x14ac:dyDescent="0.25">
      <c r="B82" s="29" t="str" cm="1">
        <f t="array" ref="B82">_xlfn.IFS(
     Lists_S2_Electricity[[#This Row],[DE Name]]="","",
     Language=German,Lists_S2_Electricity[[#This Row],[DE Name]],
     Language=French,Lists_S2_Electricity[[#This Row],[FR Name]],
     Language=Italian,Lists_S2_Electricity[[#This Row],[IT Name]]
)</f>
        <v>Déchets</v>
      </c>
      <c r="C82" s="29" t="s">
        <v>28339</v>
      </c>
      <c r="D82" s="29" t="s">
        <v>246</v>
      </c>
      <c r="E82" s="29" t="s">
        <v>28501</v>
      </c>
      <c r="F82" s="29" t="s">
        <v>274</v>
      </c>
      <c r="G82" s="29" t="s">
        <v>224</v>
      </c>
      <c r="H82" s="367" t="str" cm="1">
        <f t="array" ref="H82">_xlfn.IFS(
     Language=German,"Mittelspannung",
     Language=French,"Moyenne tension",
     Language=Italian,"Media tensione"
)</f>
        <v>Moyenne tension</v>
      </c>
      <c r="I82" s="29" t="str" cm="1">
        <f t="array" ref="I82">_xlfn.IFS(
     Language=German,"Nein",
     Language=French,"Non",
     Language=Italian,"No"
)</f>
        <v>Non</v>
      </c>
      <c r="J82" s="29" t="s">
        <v>28896</v>
      </c>
      <c r="K82" s="29" t="s">
        <v>27552</v>
      </c>
      <c r="L82" s="29" t="s">
        <v>27587</v>
      </c>
    </row>
    <row r="83" spans="1:12" ht="15.6" customHeight="1" x14ac:dyDescent="0.25">
      <c r="E83" s="366"/>
    </row>
    <row r="84" spans="1:12" x14ac:dyDescent="0.25">
      <c r="A84" s="28" t="s">
        <v>275</v>
      </c>
      <c r="B84" s="29" t="s">
        <v>62</v>
      </c>
      <c r="C84" s="29" t="s">
        <v>63</v>
      </c>
      <c r="D84" s="29" t="s">
        <v>64</v>
      </c>
      <c r="E84" s="29" t="s">
        <v>65</v>
      </c>
      <c r="F84" s="29" t="s">
        <v>66</v>
      </c>
      <c r="G84" s="29" t="s">
        <v>276</v>
      </c>
    </row>
    <row r="85" spans="1:12" ht="18" x14ac:dyDescent="0.35">
      <c r="B85" s="29" t="str" cm="1">
        <f t="array" ref="B85">_xlfn.IFS(
     Lists_S1_Fugitive[[#This Row],[DE Name]]="","",
     Language=German,Lists_S1_Fugitive[[#This Row],[DE Name]],
     Language=French,Lists_S1_Fugitive[[#This Row],[FR Name]],
     Language=Italian,Lists_S1_Fugitive[[#This Row],[IT Name]]
)</f>
        <v>Dioxyde de carbone (CO2)</v>
      </c>
      <c r="C85" s="32" t="s">
        <v>28523</v>
      </c>
      <c r="D85" s="29" t="s">
        <v>28516</v>
      </c>
      <c r="E85" s="29" t="s">
        <v>28556</v>
      </c>
      <c r="F85" s="29" t="s">
        <v>278</v>
      </c>
      <c r="G85" s="29" t="s">
        <v>88</v>
      </c>
    </row>
    <row r="86" spans="1:12" ht="18" x14ac:dyDescent="0.35">
      <c r="B86" s="29" t="str" cm="1">
        <f t="array" ref="B86">_xlfn.IFS(
     Lists_S1_Fugitive[[#This Row],[DE Name]]="","",
     Language=German,Lists_S1_Fugitive[[#This Row],[DE Name]],
     Language=French,Lists_S1_Fugitive[[#This Row],[FR Name]],
     Language=Italian,Lists_S1_Fugitive[[#This Row],[IT Name]]
)</f>
        <v>Méthane, non fossile (CH4)</v>
      </c>
      <c r="C86" s="32" t="s">
        <v>28524</v>
      </c>
      <c r="D86" s="29" t="s">
        <v>28517</v>
      </c>
      <c r="E86" s="29" t="s">
        <v>28557</v>
      </c>
      <c r="F86" s="29" t="s">
        <v>280</v>
      </c>
      <c r="G86" s="29" t="s">
        <v>88</v>
      </c>
    </row>
    <row r="87" spans="1:12" ht="18" x14ac:dyDescent="0.35">
      <c r="B87" s="29" t="str" cm="1">
        <f t="array" ref="B87">_xlfn.IFS(
     Lists_S1_Fugitive[[#This Row],[DE Name]]="","",
     Language=German,Lists_S1_Fugitive[[#This Row],[DE Name]],
     Language=French,Lists_S1_Fugitive[[#This Row],[FR Name]],
     Language=Italian,Lists_S1_Fugitive[[#This Row],[IT Name]]
)</f>
        <v>Méthane, fossile  (CH4)</v>
      </c>
      <c r="C87" s="32" t="s">
        <v>28525</v>
      </c>
      <c r="D87" s="29" t="s">
        <v>28518</v>
      </c>
      <c r="E87" s="29" t="s">
        <v>28558</v>
      </c>
      <c r="F87" s="29" t="s">
        <v>282</v>
      </c>
      <c r="G87" s="29" t="s">
        <v>88</v>
      </c>
    </row>
    <row r="88" spans="1:12" ht="18" x14ac:dyDescent="0.35">
      <c r="B88" s="29" t="str" cm="1">
        <f t="array" ref="B88">_xlfn.IFS(
     Lists_S1_Fugitive[[#This Row],[DE Name]]="","",
     Language=German,Lists_S1_Fugitive[[#This Row],[DE Name]],
     Language=French,Lists_S1_Fugitive[[#This Row],[FR Name]],
     Language=Italian,Lists_S1_Fugitive[[#This Row],[IT Name]]
)</f>
        <v>Protoxyde d’azote (N2O)</v>
      </c>
      <c r="C88" s="32" t="s">
        <v>28527</v>
      </c>
      <c r="D88" s="29" t="s">
        <v>28519</v>
      </c>
      <c r="E88" s="29" t="s">
        <v>28559</v>
      </c>
      <c r="F88" s="29" t="s">
        <v>284</v>
      </c>
      <c r="G88" s="29" t="s">
        <v>88</v>
      </c>
    </row>
    <row r="89" spans="1:12" ht="18" x14ac:dyDescent="0.35">
      <c r="B89" s="29" t="str" cm="1">
        <f t="array" ref="B89">_xlfn.IFS(
     Lists_S1_Fugitive[[#This Row],[DE Name]]="","",
     Language=German,Lists_S1_Fugitive[[#This Row],[DE Name]],
     Language=French,Lists_S1_Fugitive[[#This Row],[FR Name]],
     Language=Italian,Lists_S1_Fugitive[[#This Row],[IT Name]]
)</f>
        <v>Trifluorure d’azote (NF3)</v>
      </c>
      <c r="C89" s="32" t="s">
        <v>28526</v>
      </c>
      <c r="D89" s="29" t="s">
        <v>28520</v>
      </c>
      <c r="E89" s="29" t="s">
        <v>28560</v>
      </c>
      <c r="F89" s="29" t="s">
        <v>286</v>
      </c>
      <c r="G89" s="29" t="s">
        <v>88</v>
      </c>
    </row>
    <row r="90" spans="1:12" ht="18" x14ac:dyDescent="0.35">
      <c r="B90" s="29" t="str" cm="1">
        <f t="array" ref="B90">_xlfn.IFS(
     Lists_S1_Fugitive[[#This Row],[DE Name]]="","",
     Language=German,Lists_S1_Fugitive[[#This Row],[DE Name]],
     Language=French,Lists_S1_Fugitive[[#This Row],[FR Name]],
     Language=Italian,Lists_S1_Fugitive[[#This Row],[IT Name]]
)</f>
        <v>Hexafluorure de soufre (SF6)</v>
      </c>
      <c r="C90" s="32" t="s">
        <v>28521</v>
      </c>
      <c r="D90" s="29" t="s">
        <v>28522</v>
      </c>
      <c r="E90" s="29" t="s">
        <v>28561</v>
      </c>
      <c r="F90" s="29" t="s">
        <v>288</v>
      </c>
      <c r="G90" s="29" t="s">
        <v>88</v>
      </c>
    </row>
    <row r="91" spans="1:12" x14ac:dyDescent="0.25">
      <c r="B91" s="29" t="str" cm="1">
        <f t="array" ref="B91">_xlfn.IFS(
     Lists_S1_Fugitive[[#This Row],[DE Name]]="","",
     Language=German,Lists_S1_Fugitive[[#This Row],[DE Name]],
     Language=French,Lists_S1_Fugitive[[#This Row],[FR Name]],
     Language=Italian,Lists_S1_Fugitive[[#This Row],[IT Name]]
)</f>
        <v>HFC-23</v>
      </c>
      <c r="C91" s="32" t="s">
        <v>289</v>
      </c>
      <c r="D91" s="29" t="s">
        <v>290</v>
      </c>
      <c r="E91" s="29" t="s">
        <v>290</v>
      </c>
      <c r="F91" s="29" t="s">
        <v>291</v>
      </c>
      <c r="G91" s="29" t="s">
        <v>88</v>
      </c>
    </row>
    <row r="92" spans="1:12" x14ac:dyDescent="0.25">
      <c r="B92" s="29" t="str" cm="1">
        <f t="array" ref="B92">_xlfn.IFS(
     Lists_S1_Fugitive[[#This Row],[DE Name]]="","",
     Language=German,Lists_S1_Fugitive[[#This Row],[DE Name]],
     Language=French,Lists_S1_Fugitive[[#This Row],[FR Name]],
     Language=Italian,Lists_S1_Fugitive[[#This Row],[IT Name]]
)</f>
        <v>HFC-32</v>
      </c>
      <c r="C92" s="32" t="s">
        <v>292</v>
      </c>
      <c r="D92" s="29" t="s">
        <v>293</v>
      </c>
      <c r="E92" s="29" t="s">
        <v>293</v>
      </c>
      <c r="F92" s="29" t="s">
        <v>294</v>
      </c>
      <c r="G92" s="29" t="s">
        <v>88</v>
      </c>
    </row>
    <row r="93" spans="1:12" x14ac:dyDescent="0.25">
      <c r="B93" s="29" t="str" cm="1">
        <f t="array" ref="B93">_xlfn.IFS(
     Lists_S1_Fugitive[[#This Row],[DE Name]]="","",
     Language=German,Lists_S1_Fugitive[[#This Row],[DE Name]],
     Language=French,Lists_S1_Fugitive[[#This Row],[FR Name]],
     Language=Italian,Lists_S1_Fugitive[[#This Row],[IT Name]]
)</f>
        <v>HFC-41</v>
      </c>
      <c r="C93" s="32" t="s">
        <v>295</v>
      </c>
      <c r="D93" s="29" t="s">
        <v>296</v>
      </c>
      <c r="E93" s="29" t="s">
        <v>296</v>
      </c>
      <c r="F93" s="29" t="s">
        <v>297</v>
      </c>
      <c r="G93" s="29" t="s">
        <v>88</v>
      </c>
    </row>
    <row r="94" spans="1:12" x14ac:dyDescent="0.25">
      <c r="B94" s="29" t="str" cm="1">
        <f t="array" ref="B94">_xlfn.IFS(
     Lists_S1_Fugitive[[#This Row],[DE Name]]="","",
     Language=German,Lists_S1_Fugitive[[#This Row],[DE Name]],
     Language=French,Lists_S1_Fugitive[[#This Row],[FR Name]],
     Language=Italian,Lists_S1_Fugitive[[#This Row],[IT Name]]
)</f>
        <v>HFC-43-10MEE</v>
      </c>
      <c r="C94" s="32" t="s">
        <v>298</v>
      </c>
      <c r="D94" s="29" t="s">
        <v>299</v>
      </c>
      <c r="E94" s="29" t="s">
        <v>300</v>
      </c>
      <c r="F94" s="29" t="s">
        <v>301</v>
      </c>
      <c r="G94" s="29" t="s">
        <v>88</v>
      </c>
    </row>
    <row r="95" spans="1:12" x14ac:dyDescent="0.25">
      <c r="B95" s="29" t="str" cm="1">
        <f t="array" ref="B95">_xlfn.IFS(
     Lists_S1_Fugitive[[#This Row],[DE Name]]="","",
     Language=German,Lists_S1_Fugitive[[#This Row],[DE Name]],
     Language=French,Lists_S1_Fugitive[[#This Row],[FR Name]],
     Language=Italian,Lists_S1_Fugitive[[#This Row],[IT Name]]
)</f>
        <v>HFC-125</v>
      </c>
      <c r="C95" s="32" t="s">
        <v>302</v>
      </c>
      <c r="D95" s="29" t="s">
        <v>303</v>
      </c>
      <c r="E95" s="29" t="s">
        <v>303</v>
      </c>
      <c r="F95" s="29" t="s">
        <v>304</v>
      </c>
      <c r="G95" s="29" t="s">
        <v>88</v>
      </c>
    </row>
    <row r="96" spans="1:12" x14ac:dyDescent="0.25">
      <c r="B96" s="29" t="str" cm="1">
        <f t="array" ref="B96">_xlfn.IFS(
     Lists_S1_Fugitive[[#This Row],[DE Name]]="","",
     Language=German,Lists_S1_Fugitive[[#This Row],[DE Name]],
     Language=French,Lists_S1_Fugitive[[#This Row],[FR Name]],
     Language=Italian,Lists_S1_Fugitive[[#This Row],[IT Name]]
)</f>
        <v>HFC-134</v>
      </c>
      <c r="C96" s="32" t="s">
        <v>305</v>
      </c>
      <c r="D96" s="29" t="s">
        <v>306</v>
      </c>
      <c r="E96" s="29" t="s">
        <v>306</v>
      </c>
      <c r="F96" s="29" t="s">
        <v>307</v>
      </c>
      <c r="G96" s="29" t="s">
        <v>88</v>
      </c>
    </row>
    <row r="97" spans="2:7" x14ac:dyDescent="0.25">
      <c r="B97" s="29" t="str" cm="1">
        <f t="array" ref="B97">_xlfn.IFS(
     Lists_S1_Fugitive[[#This Row],[DE Name]]="","",
     Language=German,Lists_S1_Fugitive[[#This Row],[DE Name]],
     Language=French,Lists_S1_Fugitive[[#This Row],[FR Name]],
     Language=Italian,Lists_S1_Fugitive[[#This Row],[IT Name]]
)</f>
        <v>HFC-134A</v>
      </c>
      <c r="C97" s="32" t="s">
        <v>308</v>
      </c>
      <c r="D97" s="29" t="s">
        <v>309</v>
      </c>
      <c r="E97" s="29" t="s">
        <v>309</v>
      </c>
      <c r="F97" s="29" t="s">
        <v>310</v>
      </c>
      <c r="G97" s="29" t="s">
        <v>88</v>
      </c>
    </row>
    <row r="98" spans="2:7" x14ac:dyDescent="0.25">
      <c r="B98" s="29" t="str" cm="1">
        <f t="array" ref="B98">_xlfn.IFS(
     Lists_S1_Fugitive[[#This Row],[DE Name]]="","",
     Language=German,Lists_S1_Fugitive[[#This Row],[DE Name]],
     Language=French,Lists_S1_Fugitive[[#This Row],[FR Name]],
     Language=Italian,Lists_S1_Fugitive[[#This Row],[IT Name]]
)</f>
        <v>HFC-143</v>
      </c>
      <c r="C98" s="32" t="s">
        <v>311</v>
      </c>
      <c r="D98" s="29" t="s">
        <v>312</v>
      </c>
      <c r="E98" s="29" t="s">
        <v>312</v>
      </c>
      <c r="F98" s="29" t="s">
        <v>313</v>
      </c>
      <c r="G98" s="29" t="s">
        <v>88</v>
      </c>
    </row>
    <row r="99" spans="2:7" x14ac:dyDescent="0.25">
      <c r="B99" s="29" t="str" cm="1">
        <f t="array" ref="B99">_xlfn.IFS(
     Lists_S1_Fugitive[[#This Row],[DE Name]]="","",
     Language=German,Lists_S1_Fugitive[[#This Row],[DE Name]],
     Language=French,Lists_S1_Fugitive[[#This Row],[FR Name]],
     Language=Italian,Lists_S1_Fugitive[[#This Row],[IT Name]]
)</f>
        <v>HFC-143a</v>
      </c>
      <c r="C99" s="32" t="s">
        <v>314</v>
      </c>
      <c r="D99" s="29" t="s">
        <v>315</v>
      </c>
      <c r="E99" s="29" t="s">
        <v>316</v>
      </c>
      <c r="F99" s="29" t="s">
        <v>317</v>
      </c>
      <c r="G99" s="29" t="s">
        <v>88</v>
      </c>
    </row>
    <row r="100" spans="2:7" x14ac:dyDescent="0.25">
      <c r="B100" s="29" t="str" cm="1">
        <f t="array" ref="B100">_xlfn.IFS(
     Lists_S1_Fugitive[[#This Row],[DE Name]]="","",
     Language=German,Lists_S1_Fugitive[[#This Row],[DE Name]],
     Language=French,Lists_S1_Fugitive[[#This Row],[FR Name]],
     Language=Italian,Lists_S1_Fugitive[[#This Row],[IT Name]]
)</f>
        <v>HFC-152</v>
      </c>
      <c r="C100" s="32" t="s">
        <v>318</v>
      </c>
      <c r="D100" s="29" t="s">
        <v>319</v>
      </c>
      <c r="E100" s="29" t="s">
        <v>319</v>
      </c>
      <c r="F100" s="29" t="s">
        <v>320</v>
      </c>
      <c r="G100" s="29" t="s">
        <v>88</v>
      </c>
    </row>
    <row r="101" spans="2:7" x14ac:dyDescent="0.25">
      <c r="B101" s="29" t="str" cm="1">
        <f t="array" ref="B101">_xlfn.IFS(
     Lists_S1_Fugitive[[#This Row],[DE Name]]="","",
     Language=German,Lists_S1_Fugitive[[#This Row],[DE Name]],
     Language=French,Lists_S1_Fugitive[[#This Row],[FR Name]],
     Language=Italian,Lists_S1_Fugitive[[#This Row],[IT Name]]
)</f>
        <v>HFC-152a</v>
      </c>
      <c r="C101" s="32" t="s">
        <v>321</v>
      </c>
      <c r="D101" s="29" t="s">
        <v>322</v>
      </c>
      <c r="E101" s="29" t="s">
        <v>322</v>
      </c>
      <c r="F101" s="29" t="s">
        <v>323</v>
      </c>
      <c r="G101" s="29" t="s">
        <v>88</v>
      </c>
    </row>
    <row r="102" spans="2:7" x14ac:dyDescent="0.25">
      <c r="B102" s="29" t="str" cm="1">
        <f t="array" ref="B102">_xlfn.IFS(
     Lists_S1_Fugitive[[#This Row],[DE Name]]="","",
     Language=German,Lists_S1_Fugitive[[#This Row],[DE Name]],
     Language=French,Lists_S1_Fugitive[[#This Row],[FR Name]],
     Language=Italian,Lists_S1_Fugitive[[#This Row],[IT Name]]
)</f>
        <v>HFC-161</v>
      </c>
      <c r="C102" s="32" t="s">
        <v>324</v>
      </c>
      <c r="D102" s="29" t="s">
        <v>324</v>
      </c>
      <c r="E102" s="29" t="s">
        <v>324</v>
      </c>
      <c r="F102" s="29" t="s">
        <v>325</v>
      </c>
      <c r="G102" s="29" t="s">
        <v>88</v>
      </c>
    </row>
    <row r="103" spans="2:7" x14ac:dyDescent="0.25">
      <c r="B103" s="29" t="str" cm="1">
        <f t="array" ref="B103">_xlfn.IFS(
     Lists_S1_Fugitive[[#This Row],[DE Name]]="","",
     Language=German,Lists_S1_Fugitive[[#This Row],[DE Name]],
     Language=French,Lists_S1_Fugitive[[#This Row],[FR Name]],
     Language=Italian,Lists_S1_Fugitive[[#This Row],[IT Name]]
)</f>
        <v>HFC-227CA</v>
      </c>
      <c r="C103" s="32" t="s">
        <v>326</v>
      </c>
      <c r="D103" s="29" t="s">
        <v>327</v>
      </c>
      <c r="E103" s="29" t="s">
        <v>327</v>
      </c>
      <c r="F103" s="29" t="s">
        <v>328</v>
      </c>
      <c r="G103" s="29" t="s">
        <v>88</v>
      </c>
    </row>
    <row r="104" spans="2:7" x14ac:dyDescent="0.25">
      <c r="B104" s="29" t="str" cm="1">
        <f t="array" ref="B104">_xlfn.IFS(
     Lists_S1_Fugitive[[#This Row],[DE Name]]="","",
     Language=German,Lists_S1_Fugitive[[#This Row],[DE Name]],
     Language=French,Lists_S1_Fugitive[[#This Row],[FR Name]],
     Language=Italian,Lists_S1_Fugitive[[#This Row],[IT Name]]
)</f>
        <v>HFC-227ea</v>
      </c>
      <c r="C104" s="32" t="s">
        <v>329</v>
      </c>
      <c r="D104" s="29" t="s">
        <v>330</v>
      </c>
      <c r="E104" s="29" t="s">
        <v>331</v>
      </c>
      <c r="F104" s="29" t="s">
        <v>332</v>
      </c>
      <c r="G104" s="29" t="s">
        <v>88</v>
      </c>
    </row>
    <row r="105" spans="2:7" x14ac:dyDescent="0.25">
      <c r="B105" s="29" t="str" cm="1">
        <f t="array" ref="B105">_xlfn.IFS(
     Lists_S1_Fugitive[[#This Row],[DE Name]]="","",
     Language=German,Lists_S1_Fugitive[[#This Row],[DE Name]],
     Language=French,Lists_S1_Fugitive[[#This Row],[FR Name]],
     Language=Italian,Lists_S1_Fugitive[[#This Row],[IT Name]]
)</f>
        <v>HFC-236cb</v>
      </c>
      <c r="C105" s="32" t="s">
        <v>333</v>
      </c>
      <c r="D105" s="29" t="s">
        <v>334</v>
      </c>
      <c r="E105" s="29" t="s">
        <v>334</v>
      </c>
      <c r="F105" s="29" t="s">
        <v>335</v>
      </c>
      <c r="G105" s="29" t="s">
        <v>88</v>
      </c>
    </row>
    <row r="106" spans="2:7" x14ac:dyDescent="0.25">
      <c r="B106" s="29" t="str" cm="1">
        <f t="array" ref="B106">_xlfn.IFS(
     Lists_S1_Fugitive[[#This Row],[DE Name]]="","",
     Language=German,Lists_S1_Fugitive[[#This Row],[DE Name]],
     Language=French,Lists_S1_Fugitive[[#This Row],[FR Name]],
     Language=Italian,Lists_S1_Fugitive[[#This Row],[IT Name]]
)</f>
        <v>HFC-236ea</v>
      </c>
      <c r="C106" s="32" t="s">
        <v>336</v>
      </c>
      <c r="D106" s="29" t="s">
        <v>337</v>
      </c>
      <c r="E106" s="29" t="s">
        <v>337</v>
      </c>
      <c r="F106" s="29" t="s">
        <v>338</v>
      </c>
      <c r="G106" s="29" t="s">
        <v>88</v>
      </c>
    </row>
    <row r="107" spans="2:7" x14ac:dyDescent="0.25">
      <c r="B107" s="29" t="str" cm="1">
        <f t="array" ref="B107">_xlfn.IFS(
     Lists_S1_Fugitive[[#This Row],[DE Name]]="","",
     Language=German,Lists_S1_Fugitive[[#This Row],[DE Name]],
     Language=French,Lists_S1_Fugitive[[#This Row],[FR Name]],
     Language=Italian,Lists_S1_Fugitive[[#This Row],[IT Name]]
)</f>
        <v>HFC-236FA</v>
      </c>
      <c r="C107" s="32" t="s">
        <v>339</v>
      </c>
      <c r="D107" s="29" t="s">
        <v>340</v>
      </c>
      <c r="E107" s="29" t="s">
        <v>340</v>
      </c>
      <c r="F107" s="29" t="s">
        <v>341</v>
      </c>
      <c r="G107" s="29" t="s">
        <v>88</v>
      </c>
    </row>
    <row r="108" spans="2:7" x14ac:dyDescent="0.25">
      <c r="B108" s="29" t="str" cm="1">
        <f t="array" ref="B108">_xlfn.IFS(
     Lists_S1_Fugitive[[#This Row],[DE Name]]="","",
     Language=German,Lists_S1_Fugitive[[#This Row],[DE Name]],
     Language=French,Lists_S1_Fugitive[[#This Row],[FR Name]],
     Language=Italian,Lists_S1_Fugitive[[#This Row],[IT Name]]
)</f>
        <v>HFC-245ca</v>
      </c>
      <c r="C108" s="32" t="s">
        <v>342</v>
      </c>
      <c r="D108" s="29" t="s">
        <v>343</v>
      </c>
      <c r="E108" s="29" t="s">
        <v>343</v>
      </c>
      <c r="F108" s="29" t="s">
        <v>344</v>
      </c>
      <c r="G108" s="29" t="s">
        <v>88</v>
      </c>
    </row>
    <row r="109" spans="2:7" x14ac:dyDescent="0.25">
      <c r="B109" s="29" t="str" cm="1">
        <f t="array" ref="B109">_xlfn.IFS(
     Lists_S1_Fugitive[[#This Row],[DE Name]]="","",
     Language=German,Lists_S1_Fugitive[[#This Row],[DE Name]],
     Language=French,Lists_S1_Fugitive[[#This Row],[FR Name]],
     Language=Italian,Lists_S1_Fugitive[[#This Row],[IT Name]]
)</f>
        <v>HFC-245cb</v>
      </c>
      <c r="C109" s="32" t="s">
        <v>345</v>
      </c>
      <c r="D109" s="29" t="s">
        <v>346</v>
      </c>
      <c r="E109" s="29" t="s">
        <v>346</v>
      </c>
      <c r="F109" s="29" t="s">
        <v>347</v>
      </c>
      <c r="G109" s="29" t="s">
        <v>88</v>
      </c>
    </row>
    <row r="110" spans="2:7" x14ac:dyDescent="0.25">
      <c r="B110" s="29" t="str" cm="1">
        <f t="array" ref="B110">_xlfn.IFS(
     Lists_S1_Fugitive[[#This Row],[DE Name]]="","",
     Language=German,Lists_S1_Fugitive[[#This Row],[DE Name]],
     Language=French,Lists_S1_Fugitive[[#This Row],[FR Name]],
     Language=Italian,Lists_S1_Fugitive[[#This Row],[IT Name]]
)</f>
        <v>HFC-245ea</v>
      </c>
      <c r="C110" s="32" t="s">
        <v>348</v>
      </c>
      <c r="D110" s="29" t="s">
        <v>349</v>
      </c>
      <c r="E110" s="29" t="s">
        <v>350</v>
      </c>
      <c r="F110" s="29" t="s">
        <v>351</v>
      </c>
      <c r="G110" s="29" t="s">
        <v>88</v>
      </c>
    </row>
    <row r="111" spans="2:7" x14ac:dyDescent="0.25">
      <c r="B111" s="29" t="str" cm="1">
        <f t="array" ref="B111">_xlfn.IFS(
     Lists_S1_Fugitive[[#This Row],[DE Name]]="","",
     Language=German,Lists_S1_Fugitive[[#This Row],[DE Name]],
     Language=French,Lists_S1_Fugitive[[#This Row],[FR Name]],
     Language=Italian,Lists_S1_Fugitive[[#This Row],[IT Name]]
)</f>
        <v>HFC-245eb</v>
      </c>
      <c r="C111" s="32" t="s">
        <v>352</v>
      </c>
      <c r="D111" s="29" t="s">
        <v>353</v>
      </c>
      <c r="E111" s="29" t="s">
        <v>353</v>
      </c>
      <c r="F111" s="29" t="s">
        <v>354</v>
      </c>
      <c r="G111" s="29" t="s">
        <v>88</v>
      </c>
    </row>
    <row r="112" spans="2:7" x14ac:dyDescent="0.25">
      <c r="B112" s="29" t="str" cm="1">
        <f t="array" ref="B112">_xlfn.IFS(
     Lists_S1_Fugitive[[#This Row],[DE Name]]="","",
     Language=German,Lists_S1_Fugitive[[#This Row],[DE Name]],
     Language=French,Lists_S1_Fugitive[[#This Row],[FR Name]],
     Language=Italian,Lists_S1_Fugitive[[#This Row],[IT Name]]
)</f>
        <v>HFC-245FA</v>
      </c>
      <c r="C112" s="32" t="s">
        <v>355</v>
      </c>
      <c r="D112" s="29" t="s">
        <v>356</v>
      </c>
      <c r="E112" s="29" t="s">
        <v>356</v>
      </c>
      <c r="F112" s="29" t="s">
        <v>357</v>
      </c>
      <c r="G112" s="29" t="s">
        <v>88</v>
      </c>
    </row>
    <row r="113" spans="1:11" x14ac:dyDescent="0.25">
      <c r="B113" s="29" t="str" cm="1">
        <f t="array" ref="B113">_xlfn.IFS(
     Lists_S1_Fugitive[[#This Row],[DE Name]]="","",
     Language=German,Lists_S1_Fugitive[[#This Row],[DE Name]],
     Language=French,Lists_S1_Fugitive[[#This Row],[FR Name]],
     Language=Italian,Lists_S1_Fugitive[[#This Row],[IT Name]]
)</f>
        <v>HFC-263fb</v>
      </c>
      <c r="C113" s="32" t="s">
        <v>358</v>
      </c>
      <c r="D113" s="29" t="s">
        <v>359</v>
      </c>
      <c r="E113" s="29" t="s">
        <v>359</v>
      </c>
      <c r="F113" s="29" t="s">
        <v>360</v>
      </c>
      <c r="G113" s="29" t="s">
        <v>88</v>
      </c>
    </row>
    <row r="114" spans="1:11" x14ac:dyDescent="0.25">
      <c r="B114" s="29" t="str" cm="1">
        <f t="array" ref="B114">_xlfn.IFS(
     Lists_S1_Fugitive[[#This Row],[DE Name]]="","",
     Language=German,Lists_S1_Fugitive[[#This Row],[DE Name]],
     Language=French,Lists_S1_Fugitive[[#This Row],[FR Name]],
     Language=Italian,Lists_S1_Fugitive[[#This Row],[IT Name]]
)</f>
        <v>HFC-272ca</v>
      </c>
      <c r="C114" s="32" t="s">
        <v>361</v>
      </c>
      <c r="D114" s="29" t="s">
        <v>362</v>
      </c>
      <c r="E114" s="29" t="s">
        <v>363</v>
      </c>
      <c r="F114" s="29" t="s">
        <v>364</v>
      </c>
      <c r="G114" s="29" t="s">
        <v>88</v>
      </c>
    </row>
    <row r="115" spans="1:11" x14ac:dyDescent="0.25">
      <c r="B115" s="29" t="str" cm="1">
        <f t="array" ref="B115">_xlfn.IFS(
     Lists_S1_Fugitive[[#This Row],[DE Name]]="","",
     Language=German,Lists_S1_Fugitive[[#This Row],[DE Name]],
     Language=French,Lists_S1_Fugitive[[#This Row],[FR Name]],
     Language=Italian,Lists_S1_Fugitive[[#This Row],[IT Name]]
)</f>
        <v>HFC-329p</v>
      </c>
      <c r="C115" s="32" t="s">
        <v>365</v>
      </c>
      <c r="D115" s="29" t="s">
        <v>366</v>
      </c>
      <c r="E115" s="29" t="s">
        <v>366</v>
      </c>
      <c r="F115" s="29" t="s">
        <v>367</v>
      </c>
      <c r="G115" s="29" t="s">
        <v>88</v>
      </c>
    </row>
    <row r="116" spans="1:11" x14ac:dyDescent="0.25">
      <c r="B116" s="29" t="str" cm="1">
        <f t="array" ref="B116">_xlfn.IFS(
     Lists_S1_Fugitive[[#This Row],[DE Name]]="","",
     Language=German,Lists_S1_Fugitive[[#This Row],[DE Name]],
     Language=French,Lists_S1_Fugitive[[#This Row],[FR Name]],
     Language=Italian,Lists_S1_Fugitive[[#This Row],[IT Name]]
)</f>
        <v>HFC-365mfc</v>
      </c>
      <c r="C116" s="32" t="s">
        <v>368</v>
      </c>
      <c r="D116" s="29" t="s">
        <v>368</v>
      </c>
      <c r="E116" s="29" t="s">
        <v>368</v>
      </c>
      <c r="F116" s="29" t="s">
        <v>369</v>
      </c>
      <c r="G116" s="29" t="s">
        <v>88</v>
      </c>
    </row>
    <row r="117" spans="1:11" x14ac:dyDescent="0.25">
      <c r="B117" s="29" t="str" cm="1">
        <f t="array" ref="B117">_xlfn.IFS(
     Lists_S1_Fugitive[[#This Row],[DE Name]]="","",
     Language=German,Lists_S1_Fugitive[[#This Row],[DE Name]],
     Language=French,Lists_S1_Fugitive[[#This Row],[FR Name]],
     Language=Italian,Lists_S1_Fugitive[[#This Row],[IT Name]]
)</f>
        <v>PFC-14</v>
      </c>
      <c r="C117" s="32" t="s">
        <v>370</v>
      </c>
      <c r="D117" s="29" t="s">
        <v>370</v>
      </c>
      <c r="E117" s="29" t="s">
        <v>370</v>
      </c>
      <c r="F117" s="29" t="s">
        <v>371</v>
      </c>
      <c r="G117" s="29" t="s">
        <v>88</v>
      </c>
    </row>
    <row r="118" spans="1:11" x14ac:dyDescent="0.25">
      <c r="B118" s="29" t="str" cm="1">
        <f t="array" ref="B118">_xlfn.IFS(
     Lists_S1_Fugitive[[#This Row],[DE Name]]="","",
     Language=German,Lists_S1_Fugitive[[#This Row],[DE Name]],
     Language=French,Lists_S1_Fugitive[[#This Row],[FR Name]],
     Language=Italian,Lists_S1_Fugitive[[#This Row],[IT Name]]
)</f>
        <v>PFC-116</v>
      </c>
      <c r="C118" s="32" t="s">
        <v>372</v>
      </c>
      <c r="D118" s="29" t="s">
        <v>372</v>
      </c>
      <c r="E118" s="29" t="s">
        <v>372</v>
      </c>
      <c r="F118" s="29" t="s">
        <v>373</v>
      </c>
      <c r="G118" s="29" t="s">
        <v>88</v>
      </c>
    </row>
    <row r="119" spans="1:11" x14ac:dyDescent="0.25">
      <c r="B119" s="29" t="str" cm="1">
        <f t="array" ref="B119">_xlfn.IFS(
     Lists_S1_Fugitive[[#This Row],[DE Name]]="","",
     Language=German,Lists_S1_Fugitive[[#This Row],[DE Name]],
     Language=French,Lists_S1_Fugitive[[#This Row],[FR Name]],
     Language=Italian,Lists_S1_Fugitive[[#This Row],[IT Name]]
)</f>
        <v>PFC-218</v>
      </c>
      <c r="C119" s="32" t="s">
        <v>374</v>
      </c>
      <c r="D119" s="29" t="s">
        <v>374</v>
      </c>
      <c r="E119" s="29" t="s">
        <v>374</v>
      </c>
      <c r="F119" s="29" t="s">
        <v>375</v>
      </c>
      <c r="G119" s="29" t="s">
        <v>88</v>
      </c>
    </row>
    <row r="120" spans="1:11" x14ac:dyDescent="0.25">
      <c r="B120" s="29" t="str" cm="1">
        <f t="array" ref="B120">_xlfn.IFS(
     Lists_S1_Fugitive[[#This Row],[DE Name]]="","",
     Language=German,Lists_S1_Fugitive[[#This Row],[DE Name]],
     Language=French,Lists_S1_Fugitive[[#This Row],[FR Name]],
     Language=Italian,Lists_S1_Fugitive[[#This Row],[IT Name]]
)</f>
        <v>PFC-318</v>
      </c>
      <c r="C120" s="32" t="s">
        <v>376</v>
      </c>
      <c r="D120" s="29" t="s">
        <v>376</v>
      </c>
      <c r="E120" s="29" t="s">
        <v>376</v>
      </c>
      <c r="F120" s="29" t="s">
        <v>377</v>
      </c>
      <c r="G120" s="29" t="s">
        <v>88</v>
      </c>
    </row>
    <row r="121" spans="1:11" x14ac:dyDescent="0.25">
      <c r="B121" s="29" t="str" cm="1">
        <f t="array" ref="B121">_xlfn.IFS(
     Lists_S1_Fugitive[[#This Row],[DE Name]]="","",
     Language=German,Lists_S1_Fugitive[[#This Row],[DE Name]],
     Language=French,Lists_S1_Fugitive[[#This Row],[FR Name]],
     Language=Italian,Lists_S1_Fugitive[[#This Row],[IT Name]]
)</f>
        <v>PFC-31-10</v>
      </c>
      <c r="C121" s="32" t="s">
        <v>378</v>
      </c>
      <c r="D121" s="29" t="s">
        <v>378</v>
      </c>
      <c r="E121" s="29" t="s">
        <v>378</v>
      </c>
      <c r="F121" s="29" t="s">
        <v>379</v>
      </c>
      <c r="G121" s="29" t="s">
        <v>88</v>
      </c>
    </row>
    <row r="122" spans="1:11" x14ac:dyDescent="0.25">
      <c r="B122" s="29" t="str" cm="1">
        <f t="array" ref="B122">_xlfn.IFS(
     Lists_S1_Fugitive[[#This Row],[DE Name]]="","",
     Language=German,Lists_S1_Fugitive[[#This Row],[DE Name]],
     Language=French,Lists_S1_Fugitive[[#This Row],[FR Name]],
     Language=Italian,Lists_S1_Fugitive[[#This Row],[IT Name]]
)</f>
        <v>PFC-41-12</v>
      </c>
      <c r="C122" s="32" t="s">
        <v>380</v>
      </c>
      <c r="D122" s="29" t="s">
        <v>380</v>
      </c>
      <c r="E122" s="29" t="s">
        <v>380</v>
      </c>
      <c r="F122" s="29" t="s">
        <v>381</v>
      </c>
      <c r="G122" s="29" t="s">
        <v>88</v>
      </c>
    </row>
    <row r="123" spans="1:11" x14ac:dyDescent="0.25">
      <c r="B123" s="29" t="str" cm="1">
        <f t="array" ref="B123">_xlfn.IFS(
     Lists_S1_Fugitive[[#This Row],[DE Name]]="","",
     Language=German,Lists_S1_Fugitive[[#This Row],[DE Name]],
     Language=French,Lists_S1_Fugitive[[#This Row],[FR Name]],
     Language=Italian,Lists_S1_Fugitive[[#This Row],[IT Name]]
)</f>
        <v>PFC-51-14</v>
      </c>
      <c r="C123" s="32" t="s">
        <v>382</v>
      </c>
      <c r="D123" s="29" t="s">
        <v>382</v>
      </c>
      <c r="E123" s="29" t="s">
        <v>382</v>
      </c>
      <c r="F123" s="29" t="s">
        <v>383</v>
      </c>
      <c r="G123" s="29" t="s">
        <v>88</v>
      </c>
    </row>
    <row r="124" spans="1:11" x14ac:dyDescent="0.25">
      <c r="B124" s="29" t="str" cm="1">
        <f t="array" ref="B124">_xlfn.IFS(
     Lists_S1_Fugitive[[#This Row],[DE Name]]="","",
     Language=German,Lists_S1_Fugitive[[#This Row],[DE Name]],
     Language=French,Lists_S1_Fugitive[[#This Row],[FR Name]],
     Language=Italian,Lists_S1_Fugitive[[#This Row],[IT Name]]
)</f>
        <v>PFC-91-18</v>
      </c>
      <c r="C124" s="32" t="s">
        <v>384</v>
      </c>
      <c r="D124" s="29" t="s">
        <v>384</v>
      </c>
      <c r="E124" s="29" t="s">
        <v>384</v>
      </c>
      <c r="F124" s="29" t="s">
        <v>385</v>
      </c>
      <c r="G124" s="29" t="s">
        <v>88</v>
      </c>
    </row>
    <row r="125" spans="1:11" x14ac:dyDescent="0.25">
      <c r="B125" s="29"/>
      <c r="C125" s="29"/>
      <c r="D125" s="29"/>
      <c r="E125" s="366"/>
      <c r="F125" s="29"/>
      <c r="G125" s="29"/>
    </row>
    <row r="126" spans="1:11" x14ac:dyDescent="0.25">
      <c r="A126" s="28" t="s">
        <v>386</v>
      </c>
      <c r="B126" s="29" t="s">
        <v>62</v>
      </c>
      <c r="C126" s="29" t="s">
        <v>63</v>
      </c>
      <c r="D126" s="29" t="s">
        <v>64</v>
      </c>
      <c r="E126" s="29" t="s">
        <v>65</v>
      </c>
      <c r="F126" s="29" t="s">
        <v>66</v>
      </c>
      <c r="G126" s="29" t="s">
        <v>387</v>
      </c>
      <c r="H126" s="29" t="s">
        <v>388</v>
      </c>
      <c r="I126" s="29" t="s">
        <v>389</v>
      </c>
    </row>
    <row r="127" spans="1:11" x14ac:dyDescent="0.25">
      <c r="B127" s="29" t="str" cm="1">
        <f t="array" ref="B127">_xlfn.IFS(
     Lists_S1_Fleet_direct[[#This Row],[DE Name]]="","",
     Language=German,Lists_S1_Fleet_direct[[#This Row],[DE Name]],
     Language=French,Lists_S1_Fleet_direct[[#This Row],[FR Name]],
     Language=Italian,Lists_S1_Fleet_direct[[#This Row],[IT Name]]
)</f>
        <v>Transport, voiture particulière, diesel, moyenne de la flotte</v>
      </c>
      <c r="C127" s="29" t="s">
        <v>390</v>
      </c>
      <c r="D127" s="29" t="s">
        <v>391</v>
      </c>
      <c r="E127" s="29" t="s">
        <v>28562</v>
      </c>
      <c r="F127" s="29" t="s">
        <v>27292</v>
      </c>
      <c r="G127" s="29" t="s">
        <v>392</v>
      </c>
      <c r="H127" s="29" t="s">
        <v>74</v>
      </c>
      <c r="I127" s="368">
        <v>7.2536189012530117E-2</v>
      </c>
      <c r="K127" s="185"/>
    </row>
    <row r="128" spans="1:11" x14ac:dyDescent="0.25">
      <c r="B128" s="29" t="str" cm="1">
        <f t="array" ref="B128">_xlfn.IFS(
     Lists_S1_Fleet_direct[[#This Row],[DE Name]]="","",
     Language=German,Lists_S1_Fleet_direct[[#This Row],[DE Name]],
     Language=French,Lists_S1_Fleet_direct[[#This Row],[FR Name]],
     Language=Italian,Lists_S1_Fleet_direct[[#This Row],[IT Name]]
)</f>
        <v>Transport, voiture particulière, essence, moyenne de la flotte</v>
      </c>
      <c r="C128" s="29" t="s">
        <v>393</v>
      </c>
      <c r="D128" s="29" t="s">
        <v>27594</v>
      </c>
      <c r="E128" s="29" t="s">
        <v>28563</v>
      </c>
      <c r="F128" s="29" t="s">
        <v>27293</v>
      </c>
      <c r="G128" s="29" t="s">
        <v>392</v>
      </c>
      <c r="H128" s="29" t="s">
        <v>74</v>
      </c>
      <c r="I128" s="368">
        <v>7.8803619674355507E-2</v>
      </c>
    </row>
    <row r="129" spans="2:9" x14ac:dyDescent="0.25">
      <c r="B129" s="29" t="str" cm="1">
        <f t="array" ref="B129">_xlfn.IFS(
     Lists_S1_Fleet_direct[[#This Row],[DE Name]]="","",
     Language=German,Lists_S1_Fleet_direct[[#This Row],[DE Name]],
     Language=French,Lists_S1_Fleet_direct[[#This Row],[FR Name]],
     Language=Italian,Lists_S1_Fleet_direct[[#This Row],[IT Name]]
)</f>
        <v>Transport, voiture particulière, batterie électrique, moyenne de la flotte</v>
      </c>
      <c r="C129" s="29" t="s">
        <v>394</v>
      </c>
      <c r="D129" s="29" t="s">
        <v>27595</v>
      </c>
      <c r="E129" s="29" t="s">
        <v>28564</v>
      </c>
      <c r="F129" s="29" t="s">
        <v>395</v>
      </c>
      <c r="G129" s="29" t="s">
        <v>392</v>
      </c>
      <c r="H129" s="29" t="s">
        <v>224</v>
      </c>
      <c r="I129" s="368">
        <v>0.24526453199999998</v>
      </c>
    </row>
    <row r="130" spans="2:9" x14ac:dyDescent="0.25">
      <c r="B130" s="29" t="str" cm="1">
        <f t="array" ref="B130">_xlfn.IFS(
     Lists_S1_Fleet_direct[[#This Row],[DE Name]]="","",
     Language=German,Lists_S1_Fleet_direct[[#This Row],[DE Name]],
     Language=French,Lists_S1_Fleet_direct[[#This Row],[FR Name]],
     Language=Italian,Lists_S1_Fleet_direct[[#This Row],[IT Name]]
)</f>
        <v>Transport, voiture particulière, diesel, grand SUV</v>
      </c>
      <c r="C130" s="29" t="s">
        <v>27313</v>
      </c>
      <c r="D130" s="29" t="s">
        <v>27325</v>
      </c>
      <c r="E130" s="29" t="s">
        <v>28565</v>
      </c>
      <c r="F130" s="29" t="s">
        <v>27301</v>
      </c>
      <c r="G130" s="29" t="s">
        <v>392</v>
      </c>
      <c r="H130" s="29" t="s">
        <v>74</v>
      </c>
      <c r="I130" s="368">
        <v>8.4096385542168681E-2</v>
      </c>
    </row>
    <row r="131" spans="2:9" x14ac:dyDescent="0.25">
      <c r="B131" s="29" t="str" cm="1">
        <f t="array" ref="B131">_xlfn.IFS(
     Lists_S1_Fleet_direct[[#This Row],[DE Name]]="","",
     Language=German,Lists_S1_Fleet_direct[[#This Row],[DE Name]],
     Language=French,Lists_S1_Fleet_direct[[#This Row],[FR Name]],
     Language=Italian,Lists_S1_Fleet_direct[[#This Row],[IT Name]]
)</f>
        <v>Transport, voiture particulière, diesel, grande</v>
      </c>
      <c r="C131" s="29" t="s">
        <v>27314</v>
      </c>
      <c r="D131" s="29" t="s">
        <v>27596</v>
      </c>
      <c r="E131" s="29" t="s">
        <v>28566</v>
      </c>
      <c r="F131" s="29" t="s">
        <v>27302</v>
      </c>
      <c r="G131" s="29" t="s">
        <v>392</v>
      </c>
      <c r="H131" s="29" t="s">
        <v>74</v>
      </c>
      <c r="I131" s="368">
        <v>7.1686746987951813E-2</v>
      </c>
    </row>
    <row r="132" spans="2:9" x14ac:dyDescent="0.25">
      <c r="B132" s="29" t="str" cm="1">
        <f t="array" ref="B132">_xlfn.IFS(
     Lists_S1_Fleet_direct[[#This Row],[DE Name]]="","",
     Language=German,Lists_S1_Fleet_direct[[#This Row],[DE Name]],
     Language=French,Lists_S1_Fleet_direct[[#This Row],[FR Name]],
     Language=Italian,Lists_S1_Fleet_direct[[#This Row],[IT Name]]
)</f>
        <v>Transport, voiture particulière, diesel, moyenne</v>
      </c>
      <c r="C132" s="29" t="s">
        <v>27315</v>
      </c>
      <c r="D132" s="29" t="s">
        <v>27597</v>
      </c>
      <c r="E132" s="29" t="s">
        <v>28567</v>
      </c>
      <c r="F132" s="29" t="s">
        <v>27303</v>
      </c>
      <c r="G132" s="29" t="s">
        <v>392</v>
      </c>
      <c r="H132" s="29" t="s">
        <v>74</v>
      </c>
      <c r="I132" s="368">
        <v>5.0843373493975906E-2</v>
      </c>
    </row>
    <row r="133" spans="2:9" x14ac:dyDescent="0.25">
      <c r="B133" s="29" t="str" cm="1">
        <f t="array" ref="B133">_xlfn.IFS(
     Lists_S1_Fleet_direct[[#This Row],[DE Name]]="","",
     Language=German,Lists_S1_Fleet_direct[[#This Row],[DE Name]],
     Language=French,Lists_S1_Fleet_direct[[#This Row],[FR Name]],
     Language=Italian,Lists_S1_Fleet_direct[[#This Row],[IT Name]]
)</f>
        <v>Transport, voiture particulière, diesel, petite</v>
      </c>
      <c r="C133" s="29" t="s">
        <v>27316</v>
      </c>
      <c r="D133" s="29" t="s">
        <v>27326</v>
      </c>
      <c r="E133" s="29" t="s">
        <v>28568</v>
      </c>
      <c r="F133" s="29" t="s">
        <v>27304</v>
      </c>
      <c r="G133" s="29" t="s">
        <v>392</v>
      </c>
      <c r="H133" s="29" t="s">
        <v>74</v>
      </c>
      <c r="I133" s="368">
        <v>4.2530120481927711E-2</v>
      </c>
    </row>
    <row r="134" spans="2:9" x14ac:dyDescent="0.25">
      <c r="B134" s="29" t="str" cm="1">
        <f t="array" ref="B134">_xlfn.IFS(
     Lists_S1_Fleet_direct[[#This Row],[DE Name]]="","",
     Language=German,Lists_S1_Fleet_direct[[#This Row],[DE Name]],
     Language=French,Lists_S1_Fleet_direct[[#This Row],[FR Name]],
     Language=Italian,Lists_S1_Fleet_direct[[#This Row],[IT Name]]
)</f>
        <v>Transport, voiture particulière, essence, grand SUV</v>
      </c>
      <c r="C134" s="29" t="s">
        <v>27317</v>
      </c>
      <c r="D134" s="29" t="s">
        <v>27327</v>
      </c>
      <c r="E134" s="29" t="s">
        <v>28569</v>
      </c>
      <c r="F134" s="29" t="s">
        <v>27305</v>
      </c>
      <c r="G134" s="29" t="s">
        <v>392</v>
      </c>
      <c r="H134" s="29" t="s">
        <v>74</v>
      </c>
      <c r="I134" s="368">
        <v>0.10529172320217096</v>
      </c>
    </row>
    <row r="135" spans="2:9" x14ac:dyDescent="0.25">
      <c r="B135" s="29" t="str" cm="1">
        <f t="array" ref="B135">_xlfn.IFS(
     Lists_S1_Fleet_direct[[#This Row],[DE Name]]="","",
     Language=German,Lists_S1_Fleet_direct[[#This Row],[DE Name]],
     Language=French,Lists_S1_Fleet_direct[[#This Row],[FR Name]],
     Language=Italian,Lists_S1_Fleet_direct[[#This Row],[IT Name]]
)</f>
        <v>Transport, voiture particulière, essence, grande</v>
      </c>
      <c r="C135" s="29" t="s">
        <v>27318</v>
      </c>
      <c r="D135" s="29" t="s">
        <v>27598</v>
      </c>
      <c r="E135" s="29" t="s">
        <v>28570</v>
      </c>
      <c r="F135" s="29" t="s">
        <v>27306</v>
      </c>
      <c r="G135" s="29" t="s">
        <v>392</v>
      </c>
      <c r="H135" s="29" t="s">
        <v>74</v>
      </c>
      <c r="I135" s="368">
        <v>9.1994572591587512E-2</v>
      </c>
    </row>
    <row r="136" spans="2:9" x14ac:dyDescent="0.25">
      <c r="B136" s="29" t="str" cm="1">
        <f t="array" ref="B136">_xlfn.IFS(
     Lists_S1_Fleet_direct[[#This Row],[DE Name]]="","",
     Language=German,Lists_S1_Fleet_direct[[#This Row],[DE Name]],
     Language=French,Lists_S1_Fleet_direct[[#This Row],[FR Name]],
     Language=Italian,Lists_S1_Fleet_direct[[#This Row],[IT Name]]
)</f>
        <v>Transport, voiture particulière, essence, moyenne</v>
      </c>
      <c r="C136" s="29" t="s">
        <v>27319</v>
      </c>
      <c r="D136" s="29" t="s">
        <v>27599</v>
      </c>
      <c r="E136" s="29" t="s">
        <v>28571</v>
      </c>
      <c r="F136" s="29" t="s">
        <v>27307</v>
      </c>
      <c r="G136" s="29" t="s">
        <v>392</v>
      </c>
      <c r="H136" s="29" t="s">
        <v>74</v>
      </c>
      <c r="I136" s="368">
        <v>6.6892808683853458E-2</v>
      </c>
    </row>
    <row r="137" spans="2:9" x14ac:dyDescent="0.25">
      <c r="B137" s="29" t="str" cm="1">
        <f t="array" ref="B137">_xlfn.IFS(
     Lists_S1_Fleet_direct[[#This Row],[DE Name]]="","",
     Language=German,Lists_S1_Fleet_direct[[#This Row],[DE Name]],
     Language=French,Lists_S1_Fleet_direct[[#This Row],[FR Name]],
     Language=Italian,Lists_S1_Fleet_direct[[#This Row],[IT Name]]
)</f>
        <v>Transport, voiture particulière, essence, petite</v>
      </c>
      <c r="C137" s="29" t="s">
        <v>27320</v>
      </c>
      <c r="D137" s="29" t="s">
        <v>27328</v>
      </c>
      <c r="E137" s="29" t="s">
        <v>28572</v>
      </c>
      <c r="F137" s="29" t="s">
        <v>27308</v>
      </c>
      <c r="G137" s="29" t="s">
        <v>392</v>
      </c>
      <c r="H137" s="29" t="s">
        <v>74</v>
      </c>
      <c r="I137" s="368">
        <v>5.6852103120759841E-2</v>
      </c>
    </row>
    <row r="138" spans="2:9" x14ac:dyDescent="0.25">
      <c r="B138" s="29" t="str" cm="1">
        <f t="array" ref="B138">_xlfn.IFS(
     Lists_S1_Fleet_direct[[#This Row],[DE Name]]="","",
     Language=German,Lists_S1_Fleet_direct[[#This Row],[DE Name]],
     Language=French,Lists_S1_Fleet_direct[[#This Row],[FR Name]],
     Language=Italian,Lists_S1_Fleet_direct[[#This Row],[IT Name]]
)</f>
        <v>Transport, voiture particulière, batterie électrique, grand SUV</v>
      </c>
      <c r="C138" s="29" t="s">
        <v>27321</v>
      </c>
      <c r="D138" s="29" t="s">
        <v>27329</v>
      </c>
      <c r="E138" s="29" t="s">
        <v>28573</v>
      </c>
      <c r="F138" s="29" t="s">
        <v>27309</v>
      </c>
      <c r="G138" s="29" t="s">
        <v>392</v>
      </c>
      <c r="H138" s="29" t="s">
        <v>224</v>
      </c>
      <c r="I138" s="368">
        <v>0.28199999999999997</v>
      </c>
    </row>
    <row r="139" spans="2:9" x14ac:dyDescent="0.25">
      <c r="B139" s="29" t="str" cm="1">
        <f t="array" ref="B139">_xlfn.IFS(
     Lists_S1_Fleet_direct[[#This Row],[DE Name]]="","",
     Language=German,Lists_S1_Fleet_direct[[#This Row],[DE Name]],
     Language=French,Lists_S1_Fleet_direct[[#This Row],[FR Name]],
     Language=Italian,Lists_S1_Fleet_direct[[#This Row],[IT Name]]
)</f>
        <v>Transport, voiture particulière, batterie électrique, grande</v>
      </c>
      <c r="C139" s="29" t="s">
        <v>27322</v>
      </c>
      <c r="D139" s="29" t="s">
        <v>27600</v>
      </c>
      <c r="E139" s="29" t="s">
        <v>28574</v>
      </c>
      <c r="F139" s="29" t="s">
        <v>27310</v>
      </c>
      <c r="G139" s="29" t="s">
        <v>392</v>
      </c>
      <c r="H139" s="29" t="s">
        <v>224</v>
      </c>
      <c r="I139" s="368">
        <v>0.24299999999999999</v>
      </c>
    </row>
    <row r="140" spans="2:9" x14ac:dyDescent="0.25">
      <c r="B140" s="29" t="str" cm="1">
        <f t="array" ref="B140">_xlfn.IFS(
     Lists_S1_Fleet_direct[[#This Row],[DE Name]]="","",
     Language=German,Lists_S1_Fleet_direct[[#This Row],[DE Name]],
     Language=French,Lists_S1_Fleet_direct[[#This Row],[FR Name]],
     Language=Italian,Lists_S1_Fleet_direct[[#This Row],[IT Name]]
)</f>
        <v>Transport, voiture particulière, batterie électrique, moyenne</v>
      </c>
      <c r="C140" s="29" t="s">
        <v>27324</v>
      </c>
      <c r="D140" s="29" t="s">
        <v>27601</v>
      </c>
      <c r="E140" s="29" t="s">
        <v>28575</v>
      </c>
      <c r="F140" s="29" t="s">
        <v>27311</v>
      </c>
      <c r="G140" s="29" t="s">
        <v>392</v>
      </c>
      <c r="H140" s="29" t="s">
        <v>224</v>
      </c>
      <c r="I140" s="368">
        <v>0.21099999999999999</v>
      </c>
    </row>
    <row r="141" spans="2:9" x14ac:dyDescent="0.25">
      <c r="B141" s="29" t="str" cm="1">
        <f t="array" ref="B141">_xlfn.IFS(
     Lists_S1_Fleet_direct[[#This Row],[DE Name]]="","",
     Language=German,Lists_S1_Fleet_direct[[#This Row],[DE Name]],
     Language=French,Lists_S1_Fleet_direct[[#This Row],[FR Name]],
     Language=Italian,Lists_S1_Fleet_direct[[#This Row],[IT Name]]
)</f>
        <v>Transport, voiture particulière, batterie électrique, petite</v>
      </c>
      <c r="C141" s="29" t="s">
        <v>27323</v>
      </c>
      <c r="D141" s="29" t="s">
        <v>27602</v>
      </c>
      <c r="E141" s="29" t="s">
        <v>28576</v>
      </c>
      <c r="F141" s="29" t="s">
        <v>27312</v>
      </c>
      <c r="G141" s="29" t="s">
        <v>392</v>
      </c>
      <c r="H141" s="29" t="s">
        <v>224</v>
      </c>
      <c r="I141" s="368">
        <v>0.189</v>
      </c>
    </row>
    <row r="142" spans="2:9" x14ac:dyDescent="0.25">
      <c r="B142" s="29" t="str" cm="1">
        <f t="array" ref="B142">_xlfn.IFS(
     Lists_S1_Fleet_direct[[#This Row],[DE Name]]="","",
     Language=German,Lists_S1_Fleet_direct[[#This Row],[DE Name]],
     Language=French,Lists_S1_Fleet_direct[[#This Row],[FR Name]],
     Language=Italian,Lists_S1_Fleet_direct[[#This Row],[IT Name]]
)</f>
        <v>Transport, camion 7.5 t, fret, diesel, moyenne de la flotte, livraison régionale</v>
      </c>
      <c r="C142" s="29" t="s">
        <v>396</v>
      </c>
      <c r="D142" s="29" t="s">
        <v>27603</v>
      </c>
      <c r="E142" s="29" t="s">
        <v>28577</v>
      </c>
      <c r="F142" s="29" t="s">
        <v>27294</v>
      </c>
      <c r="G142" s="29" t="s">
        <v>397</v>
      </c>
      <c r="H142" s="29" t="s">
        <v>74</v>
      </c>
      <c r="I142" s="368">
        <v>0.1795421686746988</v>
      </c>
    </row>
    <row r="143" spans="2:9" x14ac:dyDescent="0.25">
      <c r="B143" s="29" t="str" cm="1">
        <f t="array" ref="B143">_xlfn.IFS(
     Lists_S1_Fleet_direct[[#This Row],[DE Name]]="","",
     Language=German,Lists_S1_Fleet_direct[[#This Row],[DE Name]],
     Language=French,Lists_S1_Fleet_direct[[#This Row],[FR Name]],
     Language=Italian,Lists_S1_Fleet_direct[[#This Row],[IT Name]]
)</f>
        <v>Transport, camion 18t, fret, diesel, moyenne de la flotte, livraison régionale</v>
      </c>
      <c r="C143" s="29" t="s">
        <v>398</v>
      </c>
      <c r="D143" s="29" t="s">
        <v>27330</v>
      </c>
      <c r="E143" s="29" t="s">
        <v>28578</v>
      </c>
      <c r="F143" s="29" t="s">
        <v>27295</v>
      </c>
      <c r="G143" s="29" t="s">
        <v>397</v>
      </c>
      <c r="H143" s="29" t="s">
        <v>74</v>
      </c>
      <c r="I143" s="368">
        <v>7.2267469879518084E-2</v>
      </c>
    </row>
    <row r="144" spans="2:9" x14ac:dyDescent="0.25">
      <c r="B144" s="29" t="str" cm="1">
        <f t="array" ref="B144">_xlfn.IFS(
     Lists_S1_Fleet_direct[[#This Row],[DE Name]]="","",
     Language=German,Lists_S1_Fleet_direct[[#This Row],[DE Name]],
     Language=French,Lists_S1_Fleet_direct[[#This Row],[FR Name]],
     Language=Italian,Lists_S1_Fleet_direct[[#This Row],[IT Name]]
)</f>
        <v>Transport, camion 26t, fret, diesel, moyenne de la flotte, livraison régionale</v>
      </c>
      <c r="C144" s="29" t="s">
        <v>399</v>
      </c>
      <c r="D144" s="29" t="s">
        <v>27604</v>
      </c>
      <c r="E144" s="29" t="s">
        <v>28579</v>
      </c>
      <c r="F144" s="29" t="s">
        <v>27296</v>
      </c>
      <c r="G144" s="29" t="s">
        <v>397</v>
      </c>
      <c r="H144" s="29" t="s">
        <v>74</v>
      </c>
      <c r="I144" s="368">
        <v>3.6630120481927715E-2</v>
      </c>
    </row>
    <row r="145" spans="1:30" x14ac:dyDescent="0.25">
      <c r="B145" s="29" t="str" cm="1">
        <f t="array" ref="B145">_xlfn.IFS(
     Lists_S1_Fleet_direct[[#This Row],[DE Name]]="","",
     Language=German,Lists_S1_Fleet_direct[[#This Row],[DE Name]],
     Language=French,Lists_S1_Fleet_direct[[#This Row],[FR Name]],
     Language=Italian,Lists_S1_Fleet_direct[[#This Row],[IT Name]]
)</f>
        <v>Transport, camion 32t, fret, diesel, moyenne de la flotte, livraison régionale</v>
      </c>
      <c r="C145" s="29" t="s">
        <v>400</v>
      </c>
      <c r="D145" s="29" t="s">
        <v>27605</v>
      </c>
      <c r="E145" s="29" t="s">
        <v>28580</v>
      </c>
      <c r="F145" s="29" t="s">
        <v>27297</v>
      </c>
      <c r="G145" s="29" t="s">
        <v>397</v>
      </c>
      <c r="H145" s="29" t="s">
        <v>74</v>
      </c>
      <c r="I145" s="368">
        <v>3.5038554216867475E-2</v>
      </c>
    </row>
    <row r="146" spans="1:30" x14ac:dyDescent="0.25">
      <c r="B146" s="29" t="str" cm="1">
        <f t="array" ref="B146">_xlfn.IFS(
     Lists_S1_Fleet_direct[[#This Row],[DE Name]]="","",
     Language=German,Lists_S1_Fleet_direct[[#This Row],[DE Name]],
     Language=French,Lists_S1_Fleet_direct[[#This Row],[FR Name]],
     Language=Italian,Lists_S1_Fleet_direct[[#This Row],[IT Name]]
)</f>
        <v>Transport, camion 40t, fret, diesel, moyenne de la flotte, livraison régionale</v>
      </c>
      <c r="C146" s="29" t="s">
        <v>401</v>
      </c>
      <c r="D146" s="29" t="s">
        <v>27606</v>
      </c>
      <c r="E146" s="29" t="s">
        <v>28581</v>
      </c>
      <c r="F146" s="29" t="s">
        <v>27298</v>
      </c>
      <c r="G146" s="29" t="s">
        <v>397</v>
      </c>
      <c r="H146" s="29" t="s">
        <v>74</v>
      </c>
      <c r="I146" s="368">
        <v>3.8163855421686751E-2</v>
      </c>
    </row>
    <row r="147" spans="1:30" x14ac:dyDescent="0.25">
      <c r="B147" s="29" t="str" cm="1">
        <f t="array" ref="B147">_xlfn.IFS(
     Lists_S1_Fleet_direct[[#This Row],[DE Name]]="","",
     Language=German,Lists_S1_Fleet_direct[[#This Row],[DE Name]],
     Language=French,Lists_S1_Fleet_direct[[#This Row],[FR Name]],
     Language=Italian,Lists_S1_Fleet_direct[[#This Row],[IT Name]]
)</f>
        <v>Transport, camion 7.5t, fret, batterie électrique, livraison régionale</v>
      </c>
      <c r="C147" s="29" t="s">
        <v>27926</v>
      </c>
      <c r="D147" s="29" t="s">
        <v>27931</v>
      </c>
      <c r="E147" s="29" t="s">
        <v>28582</v>
      </c>
      <c r="F147" s="29" t="s">
        <v>402</v>
      </c>
      <c r="G147" s="29" t="s">
        <v>397</v>
      </c>
      <c r="H147" s="29" t="s">
        <v>224</v>
      </c>
      <c r="I147" s="368">
        <v>0.38900000000000001</v>
      </c>
      <c r="L147" s="29"/>
    </row>
    <row r="148" spans="1:30" x14ac:dyDescent="0.25">
      <c r="B148" s="29" t="str" cm="1">
        <f t="array" ref="B148">_xlfn.IFS(
     Lists_S1_Fleet_direct[[#This Row],[DE Name]]="","",
     Language=German,Lists_S1_Fleet_direct[[#This Row],[DE Name]],
     Language=French,Lists_S1_Fleet_direct[[#This Row],[FR Name]],
     Language=Italian,Lists_S1_Fleet_direct[[#This Row],[IT Name]]
)</f>
        <v>Transport, camion 18t, fret, batterie électrique, livraison régionale</v>
      </c>
      <c r="C148" s="29" t="s">
        <v>27927</v>
      </c>
      <c r="D148" s="29" t="s">
        <v>27932</v>
      </c>
      <c r="E148" s="29" t="s">
        <v>28583</v>
      </c>
      <c r="F148" s="29" t="s">
        <v>403</v>
      </c>
      <c r="G148" s="29" t="s">
        <v>397</v>
      </c>
      <c r="H148" s="29" t="s">
        <v>224</v>
      </c>
      <c r="I148" s="368">
        <v>0.19500000000000001</v>
      </c>
    </row>
    <row r="149" spans="1:30" x14ac:dyDescent="0.25">
      <c r="B149" s="29" t="str" cm="1">
        <f t="array" ref="B149">_xlfn.IFS(
     Lists_S1_Fleet_direct[[#This Row],[DE Name]]="","",
     Language=German,Lists_S1_Fleet_direct[[#This Row],[DE Name]],
     Language=French,Lists_S1_Fleet_direct[[#This Row],[FR Name]],
     Language=Italian,Lists_S1_Fleet_direct[[#This Row],[IT Name]]
)</f>
        <v>Transport, camion 26t, fret, batterie électrique, livraison régionale</v>
      </c>
      <c r="C149" s="29" t="s">
        <v>27928</v>
      </c>
      <c r="D149" s="29" t="s">
        <v>27933</v>
      </c>
      <c r="E149" s="29" t="s">
        <v>28584</v>
      </c>
      <c r="F149" s="29" t="s">
        <v>404</v>
      </c>
      <c r="G149" s="29" t="s">
        <v>397</v>
      </c>
      <c r="H149" s="29" t="s">
        <v>224</v>
      </c>
      <c r="I149" s="368">
        <v>0.20100000000000001</v>
      </c>
    </row>
    <row r="150" spans="1:30" x14ac:dyDescent="0.25">
      <c r="B150" s="29" t="str" cm="1">
        <f t="array" ref="B150">_xlfn.IFS(
     Lists_S1_Fleet_direct[[#This Row],[DE Name]]="","",
     Language=German,Lists_S1_Fleet_direct[[#This Row],[DE Name]],
     Language=French,Lists_S1_Fleet_direct[[#This Row],[FR Name]],
     Language=Italian,Lists_S1_Fleet_direct[[#This Row],[IT Name]]
)</f>
        <v>Transport, camion 32t, fret, batterie électrique, livraison régionale</v>
      </c>
      <c r="C150" s="29" t="s">
        <v>27929</v>
      </c>
      <c r="D150" s="29" t="s">
        <v>27934</v>
      </c>
      <c r="E150" s="29" t="s">
        <v>28585</v>
      </c>
      <c r="F150" s="29" t="s">
        <v>405</v>
      </c>
      <c r="G150" s="29" t="s">
        <v>397</v>
      </c>
      <c r="H150" s="29" t="s">
        <v>224</v>
      </c>
      <c r="I150" s="368">
        <v>0.214</v>
      </c>
    </row>
    <row r="151" spans="1:30" x14ac:dyDescent="0.25">
      <c r="B151" s="29" t="str" cm="1">
        <f t="array" ref="B151">_xlfn.IFS(
     Lists_S1_Fleet_direct[[#This Row],[DE Name]]="","",
     Language=German,Lists_S1_Fleet_direct[[#This Row],[DE Name]],
     Language=French,Lists_S1_Fleet_direct[[#This Row],[FR Name]],
     Language=Italian,Lists_S1_Fleet_direct[[#This Row],[IT Name]]
)</f>
        <v>Transport, camion 40t, fret, batterie électrique, livraison régionale</v>
      </c>
      <c r="C151" s="29" t="s">
        <v>27930</v>
      </c>
      <c r="D151" s="29" t="s">
        <v>27935</v>
      </c>
      <c r="E151" s="29" t="s">
        <v>28586</v>
      </c>
      <c r="F151" s="29" t="s">
        <v>406</v>
      </c>
      <c r="G151" s="29" t="s">
        <v>397</v>
      </c>
      <c r="H151" s="29" t="s">
        <v>224</v>
      </c>
      <c r="I151" s="368">
        <v>1.02</v>
      </c>
    </row>
    <row r="152" spans="1:30" x14ac:dyDescent="0.25">
      <c r="B152" s="29" t="str" cm="1">
        <f t="array" ref="B152">_xlfn.IFS(
     Lists_S1_Fleet_direct[[#This Row],[DE Name]]="","",
     Language=German,Lists_S1_Fleet_direct[[#This Row],[DE Name]],
     Language=French,Lists_S1_Fleet_direct[[#This Row],[FR Name]],
     Language=Italian,Lists_S1_Fleet_direct[[#This Row],[IT Name]]
)</f>
        <v>Transport, cargo, transocéanique</v>
      </c>
      <c r="C152" s="29" t="s">
        <v>27936</v>
      </c>
      <c r="D152" s="29" t="s">
        <v>27937</v>
      </c>
      <c r="E152" s="29" t="s">
        <v>28587</v>
      </c>
      <c r="F152" s="29" t="s">
        <v>27299</v>
      </c>
      <c r="G152" s="29" t="s">
        <v>397</v>
      </c>
      <c r="H152" s="29" t="s">
        <v>74</v>
      </c>
      <c r="I152" s="368">
        <v>1.6061458333333333E-3</v>
      </c>
    </row>
    <row r="153" spans="1:30" x14ac:dyDescent="0.25">
      <c r="B153" s="29" t="str" cm="1">
        <f t="array" ref="B153">_xlfn.IFS(
     Lists_S1_Fleet_direct[[#This Row],[DE Name]]="","",
     Language=German,Lists_S1_Fleet_direct[[#This Row],[DE Name]],
     Language=French,Lists_S1_Fleet_direct[[#This Row],[FR Name]],
     Language=Italian,Lists_S1_Fleet_direct[[#This Row],[IT Name]]
)</f>
        <v>Transport, avion cargo</v>
      </c>
      <c r="C153" s="29" t="s">
        <v>407</v>
      </c>
      <c r="D153" s="29" t="s">
        <v>408</v>
      </c>
      <c r="E153" s="29" t="s">
        <v>28588</v>
      </c>
      <c r="F153" s="29" t="s">
        <v>27300</v>
      </c>
      <c r="G153" s="29" t="s">
        <v>397</v>
      </c>
      <c r="H153" s="29" t="s">
        <v>74</v>
      </c>
      <c r="I153" s="368">
        <v>0.22801001251564457</v>
      </c>
    </row>
    <row r="154" spans="1:30" x14ac:dyDescent="0.25">
      <c r="J154" s="33"/>
    </row>
    <row r="155" spans="1:30" s="28" customFormat="1" x14ac:dyDescent="0.25">
      <c r="A155" s="28" t="s">
        <v>409</v>
      </c>
      <c r="B155" s="29" t="s">
        <v>62</v>
      </c>
      <c r="C155" s="29" t="s">
        <v>63</v>
      </c>
      <c r="D155" s="29" t="s">
        <v>64</v>
      </c>
      <c r="E155" s="29" t="s">
        <v>65</v>
      </c>
      <c r="F155" s="29" t="s">
        <v>66</v>
      </c>
      <c r="G155" s="29" t="s">
        <v>67</v>
      </c>
      <c r="H155" s="29" t="s">
        <v>410</v>
      </c>
      <c r="I155" s="29" t="s">
        <v>27229</v>
      </c>
      <c r="J155" s="29" t="s">
        <v>27230</v>
      </c>
      <c r="K155" s="30" t="s">
        <v>27231</v>
      </c>
      <c r="L155" s="30"/>
      <c r="M155" s="30"/>
      <c r="N155" s="30"/>
      <c r="O155" s="30"/>
      <c r="P155" s="30"/>
      <c r="Q155" s="30"/>
      <c r="R155" s="30"/>
      <c r="S155" s="30"/>
      <c r="T155" s="30"/>
      <c r="U155" s="30"/>
      <c r="V155" s="30"/>
      <c r="W155" s="30"/>
      <c r="X155" s="30"/>
      <c r="Y155" s="30"/>
      <c r="Z155" s="30"/>
      <c r="AA155" s="30"/>
      <c r="AB155" s="30"/>
      <c r="AC155" s="30"/>
      <c r="AD155" s="30"/>
    </row>
    <row r="156" spans="1:30" x14ac:dyDescent="0.25">
      <c r="B156" s="29" t="str" cm="1">
        <f t="array" ref="B156">_xlfn.IFS(
     Lists_S3.1_SpendB[[#This Row],[DE Name]]="","",
     Language=German,Lists_S3.1_SpendB[[#This Row],[DE Name]],
     Language=French,Lists_S3.1_SpendB[[#This Row],[FR Name]],
     Language=Italian,Lists_S3.1_SpendB[[#This Row],[IT Name]]
)</f>
        <v>Produits agricoles</v>
      </c>
      <c r="C156" s="29" t="s">
        <v>411</v>
      </c>
      <c r="D156" s="29" t="s">
        <v>412</v>
      </c>
      <c r="E156" s="29" t="s">
        <v>413</v>
      </c>
      <c r="F156" s="29" t="s">
        <v>411</v>
      </c>
      <c r="G156" s="29" t="s">
        <v>414</v>
      </c>
      <c r="H156" s="29" t="str" cm="1">
        <f t="array" ref="H156">_xlfn.IFS(
     Lists_S3.1_SpendB[[#This Row],[DE Category]]="","",
     Language=German,Lists_S3.1_SpendB[[#This Row],[DE Category]],
     Language=French,Lists_S3.1_SpendB[[#This Row],[FR Category]],
     Language=Italian,Lists_S3.1_SpendB[[#This Row],[IT Category]]
)</f>
        <v>Nourriture</v>
      </c>
      <c r="I156" s="29" t="s">
        <v>415</v>
      </c>
      <c r="J156" s="29" t="s">
        <v>1656</v>
      </c>
      <c r="K156" s="29" t="s">
        <v>1953</v>
      </c>
    </row>
    <row r="157" spans="1:30" x14ac:dyDescent="0.25">
      <c r="B157" s="29" t="str" cm="1">
        <f t="array" ref="B157">_xlfn.IFS(
     Lists_S3.1_SpendB[[#This Row],[DE Name]]="","",
     Language=German,Lists_S3.1_SpendB[[#This Row],[DE Name]],
     Language=French,Lists_S3.1_SpendB[[#This Row],[FR Name]],
     Language=Italian,Lists_S3.1_SpendB[[#This Row],[IT Name]]
)</f>
        <v>Produits forestiers</v>
      </c>
      <c r="C157" s="29" t="s">
        <v>416</v>
      </c>
      <c r="D157" s="29" t="s">
        <v>417</v>
      </c>
      <c r="E157" s="29" t="s">
        <v>418</v>
      </c>
      <c r="F157" s="29" t="s">
        <v>416</v>
      </c>
      <c r="G157" s="29" t="s">
        <v>414</v>
      </c>
      <c r="H157" s="29" t="str" cm="1">
        <f t="array" ref="H157">_xlfn.IFS(
     Lists_S3.1_SpendB[[#This Row],[DE Category]]="","",
     Language=German,Lists_S3.1_SpendB[[#This Row],[DE Category]],
     Language=French,Lists_S3.1_SpendB[[#This Row],[FR Category]],
     Language=Italian,Lists_S3.1_SpendB[[#This Row],[IT Category]]
)</f>
        <v>Biens de consommation</v>
      </c>
      <c r="I157" s="29" t="s">
        <v>419</v>
      </c>
      <c r="J157" s="29" t="s">
        <v>27232</v>
      </c>
      <c r="K157" s="29" t="s">
        <v>27233</v>
      </c>
    </row>
    <row r="158" spans="1:30" x14ac:dyDescent="0.25">
      <c r="B158" s="29" t="str" cm="1">
        <f t="array" ref="B158">_xlfn.IFS(
     Lists_S3.1_SpendB[[#This Row],[DE Name]]="","",
     Language=German,Lists_S3.1_SpendB[[#This Row],[DE Name]],
     Language=French,Lists_S3.1_SpendB[[#This Row],[FR Name]],
     Language=Italian,Lists_S3.1_SpendB[[#This Row],[IT Name]]
)</f>
        <v>Produits de la pêche</v>
      </c>
      <c r="C158" s="29" t="s">
        <v>420</v>
      </c>
      <c r="D158" s="29" t="s">
        <v>421</v>
      </c>
      <c r="E158" s="29" t="s">
        <v>422</v>
      </c>
      <c r="F158" s="29" t="s">
        <v>420</v>
      </c>
      <c r="G158" s="29" t="s">
        <v>414</v>
      </c>
      <c r="H158" s="29" t="str" cm="1">
        <f t="array" ref="H158">_xlfn.IFS(
     Lists_S3.1_SpendB[[#This Row],[DE Category]]="","",
     Language=German,Lists_S3.1_SpendB[[#This Row],[DE Category]],
     Language=French,Lists_S3.1_SpendB[[#This Row],[FR Category]],
     Language=Italian,Lists_S3.1_SpendB[[#This Row],[IT Category]]
)</f>
        <v>Nourriture</v>
      </c>
      <c r="I158" s="29" t="s">
        <v>415</v>
      </c>
      <c r="J158" s="29" t="s">
        <v>1656</v>
      </c>
      <c r="K158" s="29" t="s">
        <v>1953</v>
      </c>
    </row>
    <row r="159" spans="1:30" x14ac:dyDescent="0.25">
      <c r="B159" s="29" t="str" cm="1">
        <f t="array" ref="B159">_xlfn.IFS(
     Lists_S3.1_SpendB[[#This Row],[DE Name]]="","",
     Language=German,Lists_S3.1_SpendB[[#This Row],[DE Name]],
     Language=French,Lists_S3.1_SpendB[[#This Row],[FR Name]],
     Language=Italian,Lists_S3.1_SpendB[[#This Row],[IT Name]]
)</f>
        <v>Produits miniers</v>
      </c>
      <c r="C159" s="29" t="s">
        <v>423</v>
      </c>
      <c r="D159" s="29" t="s">
        <v>424</v>
      </c>
      <c r="E159" s="29" t="s">
        <v>425</v>
      </c>
      <c r="F159" s="29" t="s">
        <v>423</v>
      </c>
      <c r="G159" s="29" t="s">
        <v>414</v>
      </c>
      <c r="H159" s="29" t="str" cm="1">
        <f t="array" ref="H159">_xlfn.IFS(
     Lists_S3.1_SpendB[[#This Row],[DE Category]]="","",
     Language=German,Lists_S3.1_SpendB[[#This Row],[DE Category]],
     Language=French,Lists_S3.1_SpendB[[#This Row],[FR Category]],
     Language=Italian,Lists_S3.1_SpendB[[#This Row],[IT Category]]
)</f>
        <v>Biens de consommation</v>
      </c>
      <c r="I159" s="29" t="s">
        <v>419</v>
      </c>
      <c r="J159" s="29" t="s">
        <v>27232</v>
      </c>
      <c r="K159" s="29" t="s">
        <v>27233</v>
      </c>
    </row>
    <row r="160" spans="1:30" x14ac:dyDescent="0.25">
      <c r="B160" s="29" t="str" cm="1">
        <f t="array" ref="B160">_xlfn.IFS(
     Lists_S3.1_SpendB[[#This Row],[DE Name]]="","",
     Language=German,Lists_S3.1_SpendB[[#This Row],[DE Name]],
     Language=French,Lists_S3.1_SpendB[[#This Row],[FR Name]],
     Language=Italian,Lists_S3.1_SpendB[[#This Row],[IT Name]]
)</f>
        <v>Alimentation et boissons</v>
      </c>
      <c r="C160" s="29" t="s">
        <v>426</v>
      </c>
      <c r="D160" s="29" t="s">
        <v>427</v>
      </c>
      <c r="E160" s="29" t="s">
        <v>428</v>
      </c>
      <c r="F160" s="29" t="s">
        <v>426</v>
      </c>
      <c r="G160" s="29" t="s">
        <v>414</v>
      </c>
      <c r="H160" s="29" t="str" cm="1">
        <f t="array" ref="H160">_xlfn.IFS(
     Lists_S3.1_SpendB[[#This Row],[DE Category]]="","",
     Language=German,Lists_S3.1_SpendB[[#This Row],[DE Category]],
     Language=French,Lists_S3.1_SpendB[[#This Row],[FR Category]],
     Language=Italian,Lists_S3.1_SpendB[[#This Row],[IT Category]]
)</f>
        <v>Nourriture</v>
      </c>
      <c r="I160" s="29" t="s">
        <v>415</v>
      </c>
      <c r="J160" s="29" t="s">
        <v>1656</v>
      </c>
      <c r="K160" s="29" t="s">
        <v>1953</v>
      </c>
    </row>
    <row r="161" spans="2:11" x14ac:dyDescent="0.25">
      <c r="B161" s="29" t="str" cm="1">
        <f t="array" ref="B161">_xlfn.IFS(
     Lists_S3.1_SpendB[[#This Row],[DE Name]]="","",
     Language=German,Lists_S3.1_SpendB[[#This Row],[DE Name]],
     Language=French,Lists_S3.1_SpendB[[#This Row],[FR Name]],
     Language=Italian,Lists_S3.1_SpendB[[#This Row],[IT Name]]
)</f>
        <v>Textiles, vêtements, chaussures</v>
      </c>
      <c r="C161" s="29" t="s">
        <v>429</v>
      </c>
      <c r="D161" s="29" t="s">
        <v>430</v>
      </c>
      <c r="E161" s="29" t="s">
        <v>431</v>
      </c>
      <c r="F161" s="29" t="s">
        <v>429</v>
      </c>
      <c r="G161" s="29" t="s">
        <v>414</v>
      </c>
      <c r="H161" s="29" t="str" cm="1">
        <f t="array" ref="H161">_xlfn.IFS(
     Lists_S3.1_SpendB[[#This Row],[DE Category]]="","",
     Language=German,Lists_S3.1_SpendB[[#This Row],[DE Category]],
     Language=French,Lists_S3.1_SpendB[[#This Row],[FR Category]],
     Language=Italian,Lists_S3.1_SpendB[[#This Row],[IT Category]]
)</f>
        <v>Textiles</v>
      </c>
      <c r="I161" s="29" t="s">
        <v>432</v>
      </c>
      <c r="J161" s="29" t="s">
        <v>1761</v>
      </c>
      <c r="K161" s="29" t="s">
        <v>2022</v>
      </c>
    </row>
    <row r="162" spans="2:11" x14ac:dyDescent="0.25">
      <c r="B162" s="29" t="str" cm="1">
        <f t="array" ref="B162">_xlfn.IFS(
     Lists_S3.1_SpendB[[#This Row],[DE Name]]="","",
     Language=German,Lists_S3.1_SpendB[[#This Row],[DE Name]],
     Language=French,Lists_S3.1_SpendB[[#This Row],[FR Name]],
     Language=Italian,Lists_S3.1_SpendB[[#This Row],[IT Name]]
)</f>
        <v>Bois, produits en bois</v>
      </c>
      <c r="C162" s="29" t="s">
        <v>433</v>
      </c>
      <c r="D162" s="29" t="s">
        <v>434</v>
      </c>
      <c r="E162" s="29" t="s">
        <v>435</v>
      </c>
      <c r="F162" s="29" t="s">
        <v>433</v>
      </c>
      <c r="G162" s="29" t="s">
        <v>414</v>
      </c>
      <c r="H162" s="29" t="str" cm="1">
        <f t="array" ref="H162">_xlfn.IFS(
     Lists_S3.1_SpendB[[#This Row],[DE Category]]="","",
     Language=German,Lists_S3.1_SpendB[[#This Row],[DE Category]],
     Language=French,Lists_S3.1_SpendB[[#This Row],[FR Category]],
     Language=Italian,Lists_S3.1_SpendB[[#This Row],[IT Category]]
)</f>
        <v>Biens de consommation</v>
      </c>
      <c r="I162" s="29" t="s">
        <v>419</v>
      </c>
      <c r="J162" s="29" t="s">
        <v>27232</v>
      </c>
      <c r="K162" s="29" t="s">
        <v>27233</v>
      </c>
    </row>
    <row r="163" spans="2:11" x14ac:dyDescent="0.25">
      <c r="B163" s="29" t="str" cm="1">
        <f t="array" ref="B163">_xlfn.IFS(
     Lists_S3.1_SpendB[[#This Row],[DE Name]]="","",
     Language=German,Lists_S3.1_SpendB[[#This Row],[DE Name]],
     Language=French,Lists_S3.1_SpendB[[#This Row],[FR Name]],
     Language=Italian,Lists_S3.1_SpendB[[#This Row],[IT Name]]
)</f>
        <v>Papier, papeterie</v>
      </c>
      <c r="C163" s="29" t="s">
        <v>436</v>
      </c>
      <c r="D163" s="29" t="s">
        <v>437</v>
      </c>
      <c r="E163" s="29" t="s">
        <v>438</v>
      </c>
      <c r="F163" s="29" t="s">
        <v>436</v>
      </c>
      <c r="G163" s="29" t="s">
        <v>414</v>
      </c>
      <c r="H163" s="29" t="str" cm="1">
        <f t="array" ref="H163">_xlfn.IFS(
     Lists_S3.1_SpendB[[#This Row],[DE Category]]="","",
     Language=German,Lists_S3.1_SpendB[[#This Row],[DE Category]],
     Language=French,Lists_S3.1_SpendB[[#This Row],[FR Category]],
     Language=Italian,Lists_S3.1_SpendB[[#This Row],[IT Category]]
)</f>
        <v>Biens de consommation</v>
      </c>
      <c r="I163" s="29" t="s">
        <v>419</v>
      </c>
      <c r="J163" s="29" t="s">
        <v>27232</v>
      </c>
      <c r="K163" s="29" t="s">
        <v>27233</v>
      </c>
    </row>
    <row r="164" spans="2:11" x14ac:dyDescent="0.25">
      <c r="B164" s="29" t="str" cm="1">
        <f t="array" ref="B164">_xlfn.IFS(
     Lists_S3.1_SpendB[[#This Row],[DE Name]]="","",
     Language=German,Lists_S3.1_SpendB[[#This Row],[DE Name]],
     Language=French,Lists_S3.1_SpendB[[#This Row],[FR Name]],
     Language=Italian,Lists_S3.1_SpendB[[#This Row],[IT Name]]
)</f>
        <v>Produits imprimés</v>
      </c>
      <c r="C164" s="29" t="s">
        <v>439</v>
      </c>
      <c r="D164" s="29" t="s">
        <v>440</v>
      </c>
      <c r="E164" s="29" t="s">
        <v>441</v>
      </c>
      <c r="F164" s="29" t="s">
        <v>439</v>
      </c>
      <c r="G164" s="29" t="s">
        <v>414</v>
      </c>
      <c r="H164" s="29" t="str" cm="1">
        <f t="array" ref="H164">_xlfn.IFS(
     Lists_S3.1_SpendB[[#This Row],[DE Category]]="","",
     Language=German,Lists_S3.1_SpendB[[#This Row],[DE Category]],
     Language=French,Lists_S3.1_SpendB[[#This Row],[FR Category]],
     Language=Italian,Lists_S3.1_SpendB[[#This Row],[IT Category]]
)</f>
        <v>Biens de consommation</v>
      </c>
      <c r="I164" s="29" t="s">
        <v>419</v>
      </c>
      <c r="J164" s="29" t="s">
        <v>27232</v>
      </c>
      <c r="K164" s="29" t="s">
        <v>27233</v>
      </c>
    </row>
    <row r="165" spans="2:11" x14ac:dyDescent="0.25">
      <c r="B165" s="29" t="str" cm="1">
        <f t="array" ref="B165">_xlfn.IFS(
     Lists_S3.1_SpendB[[#This Row],[DE Name]]="","",
     Language=German,Lists_S3.1_SpendB[[#This Row],[DE Name]],
     Language=French,Lists_S3.1_SpendB[[#This Row],[FR Name]],
     Language=Italian,Lists_S3.1_SpendB[[#This Row],[IT Name]]
)</f>
        <v>Produits pétroliers, produits chimiques</v>
      </c>
      <c r="C165" s="29" t="s">
        <v>442</v>
      </c>
      <c r="D165" s="29" t="s">
        <v>443</v>
      </c>
      <c r="E165" s="29" t="s">
        <v>444</v>
      </c>
      <c r="F165" s="29" t="s">
        <v>442</v>
      </c>
      <c r="G165" s="29" t="s">
        <v>414</v>
      </c>
      <c r="H165" s="29" t="str" cm="1">
        <f t="array" ref="H165">_xlfn.IFS(
     Lists_S3.1_SpendB[[#This Row],[DE Category]]="","",
     Language=German,Lists_S3.1_SpendB[[#This Row],[DE Category]],
     Language=French,Lists_S3.1_SpendB[[#This Row],[FR Category]],
     Language=Italian,Lists_S3.1_SpendB[[#This Row],[IT Category]]
)</f>
        <v>Produits pétroliers, produits chimiques</v>
      </c>
      <c r="I165" s="29" t="s">
        <v>445</v>
      </c>
      <c r="J165" s="29" t="s">
        <v>443</v>
      </c>
      <c r="K165" s="29" t="s">
        <v>27234</v>
      </c>
    </row>
    <row r="166" spans="2:11" x14ac:dyDescent="0.25">
      <c r="B166" s="29" t="str" cm="1">
        <f t="array" ref="B166">_xlfn.IFS(
     Lists_S3.1_SpendB[[#This Row],[DE Name]]="","",
     Language=German,Lists_S3.1_SpendB[[#This Row],[DE Name]],
     Language=French,Lists_S3.1_SpendB[[#This Row],[FR Name]],
     Language=Italian,Lists_S3.1_SpendB[[#This Row],[IT Name]]
)</f>
        <v>Produits pharmaceutiques</v>
      </c>
      <c r="C166" s="29" t="s">
        <v>446</v>
      </c>
      <c r="D166" s="29" t="s">
        <v>447</v>
      </c>
      <c r="E166" s="29" t="s">
        <v>448</v>
      </c>
      <c r="F166" s="29" t="s">
        <v>446</v>
      </c>
      <c r="G166" s="29" t="s">
        <v>414</v>
      </c>
      <c r="H166" s="29" t="str" cm="1">
        <f t="array" ref="H166">_xlfn.IFS(
     Lists_S3.1_SpendB[[#This Row],[DE Category]]="","",
     Language=German,Lists_S3.1_SpendB[[#This Row],[DE Category]],
     Language=French,Lists_S3.1_SpendB[[#This Row],[FR Category]],
     Language=Italian,Lists_S3.1_SpendB[[#This Row],[IT Category]]
)</f>
        <v>Biens de consommation</v>
      </c>
      <c r="I166" s="29" t="s">
        <v>419</v>
      </c>
      <c r="J166" s="29" t="s">
        <v>27232</v>
      </c>
      <c r="K166" s="29" t="s">
        <v>27233</v>
      </c>
    </row>
    <row r="167" spans="2:11" x14ac:dyDescent="0.25">
      <c r="B167" s="29" t="str" cm="1">
        <f t="array" ref="B167">_xlfn.IFS(
     Lists_S3.1_SpendB[[#This Row],[DE Name]]="","",
     Language=German,Lists_S3.1_SpendB[[#This Row],[DE Name]],
     Language=French,Lists_S3.1_SpendB[[#This Row],[FR Name]],
     Language=Italian,Lists_S3.1_SpendB[[#This Row],[IT Name]]
)</f>
        <v>Produits en caoutchouc et plastique</v>
      </c>
      <c r="C167" s="29" t="s">
        <v>449</v>
      </c>
      <c r="D167" s="29" t="s">
        <v>450</v>
      </c>
      <c r="E167" s="29" t="s">
        <v>451</v>
      </c>
      <c r="F167" s="29" t="s">
        <v>449</v>
      </c>
      <c r="G167" s="29" t="s">
        <v>414</v>
      </c>
      <c r="H167" s="29" t="str" cm="1">
        <f t="array" ref="H167">_xlfn.IFS(
     Lists_S3.1_SpendB[[#This Row],[DE Category]]="","",
     Language=German,Lists_S3.1_SpendB[[#This Row],[DE Category]],
     Language=French,Lists_S3.1_SpendB[[#This Row],[FR Category]],
     Language=Italian,Lists_S3.1_SpendB[[#This Row],[IT Category]]
)</f>
        <v>Biens de consommation</v>
      </c>
      <c r="I167" s="29" t="s">
        <v>419</v>
      </c>
      <c r="J167" s="29" t="s">
        <v>27232</v>
      </c>
      <c r="K167" s="29" t="s">
        <v>27233</v>
      </c>
    </row>
    <row r="168" spans="2:11" x14ac:dyDescent="0.25">
      <c r="B168" s="29" t="str" cm="1">
        <f t="array" ref="B168">_xlfn.IFS(
     Lists_S3.1_SpendB[[#This Row],[DE Name]]="","",
     Language=German,Lists_S3.1_SpendB[[#This Row],[DE Name]],
     Language=French,Lists_S3.1_SpendB[[#This Row],[FR Name]],
     Language=Italian,Lists_S3.1_SpendB[[#This Row],[IT Name]]
)</f>
        <v>Verre, céramique, pierres et sols</v>
      </c>
      <c r="C168" s="29" t="s">
        <v>452</v>
      </c>
      <c r="D168" s="29" t="s">
        <v>453</v>
      </c>
      <c r="E168" s="29" t="s">
        <v>28589</v>
      </c>
      <c r="F168" s="29" t="s">
        <v>452</v>
      </c>
      <c r="G168" s="29" t="s">
        <v>414</v>
      </c>
      <c r="H168" s="29" t="str" cm="1">
        <f t="array" ref="H168">_xlfn.IFS(
     Lists_S3.1_SpendB[[#This Row],[DE Category]]="","",
     Language=German,Lists_S3.1_SpendB[[#This Row],[DE Category]],
     Language=French,Lists_S3.1_SpendB[[#This Row],[FR Category]],
     Language=Italian,Lists_S3.1_SpendB[[#This Row],[IT Category]]
)</f>
        <v>Biens de consommation</v>
      </c>
      <c r="I168" s="29" t="s">
        <v>419</v>
      </c>
      <c r="J168" s="29" t="s">
        <v>27232</v>
      </c>
      <c r="K168" s="29" t="s">
        <v>27233</v>
      </c>
    </row>
    <row r="169" spans="2:11" x14ac:dyDescent="0.25">
      <c r="B169" s="29" t="str" cm="1">
        <f t="array" ref="B169">_xlfn.IFS(
     Lists_S3.1_SpendB[[#This Row],[DE Name]]="","",
     Language=German,Lists_S3.1_SpendB[[#This Row],[DE Name]],
     Language=French,Lists_S3.1_SpendB[[#This Row],[FR Name]],
     Language=Italian,Lists_S3.1_SpendB[[#This Row],[IT Name]]
)</f>
        <v>Métaux</v>
      </c>
      <c r="C169" s="29" t="s">
        <v>454</v>
      </c>
      <c r="D169" s="29" t="s">
        <v>455</v>
      </c>
      <c r="E169" s="29" t="s">
        <v>456</v>
      </c>
      <c r="F169" s="29" t="s">
        <v>454</v>
      </c>
      <c r="G169" s="29" t="s">
        <v>414</v>
      </c>
      <c r="H169" s="29" t="str" cm="1">
        <f t="array" ref="H169">_xlfn.IFS(
     Lists_S3.1_SpendB[[#This Row],[DE Category]]="","",
     Language=German,Lists_S3.1_SpendB[[#This Row],[DE Category]],
     Language=French,Lists_S3.1_SpendB[[#This Row],[FR Category]],
     Language=Italian,Lists_S3.1_SpendB[[#This Row],[IT Category]]
)</f>
        <v>Biens de consommation</v>
      </c>
      <c r="I169" s="29" t="s">
        <v>419</v>
      </c>
      <c r="J169" s="29" t="s">
        <v>27232</v>
      </c>
      <c r="K169" s="29" t="s">
        <v>27233</v>
      </c>
    </row>
    <row r="170" spans="2:11" x14ac:dyDescent="0.25">
      <c r="B170" s="29" t="str" cm="1">
        <f t="array" ref="B170">_xlfn.IFS(
     Lists_S3.1_SpendB[[#This Row],[DE Name]]="","",
     Language=German,Lists_S3.1_SpendB[[#This Row],[DE Name]],
     Language=French,Lists_S3.1_SpendB[[#This Row],[FR Name]],
     Language=Italian,Lists_S3.1_SpendB[[#This Row],[IT Name]]
)</f>
        <v>Produits métalliques</v>
      </c>
      <c r="C170" s="29" t="s">
        <v>457</v>
      </c>
      <c r="D170" s="29" t="s">
        <v>458</v>
      </c>
      <c r="E170" s="29" t="s">
        <v>459</v>
      </c>
      <c r="F170" s="29" t="s">
        <v>457</v>
      </c>
      <c r="G170" s="29" t="s">
        <v>414</v>
      </c>
      <c r="H170" s="29" t="str" cm="1">
        <f t="array" ref="H170">_xlfn.IFS(
     Lists_S3.1_SpendB[[#This Row],[DE Category]]="","",
     Language=German,Lists_S3.1_SpendB[[#This Row],[DE Category]],
     Language=French,Lists_S3.1_SpendB[[#This Row],[FR Category]],
     Language=Italian,Lists_S3.1_SpendB[[#This Row],[IT Category]]
)</f>
        <v>Biens de consommation</v>
      </c>
      <c r="I170" s="29" t="s">
        <v>419</v>
      </c>
      <c r="J170" s="29" t="s">
        <v>27232</v>
      </c>
      <c r="K170" s="29" t="s">
        <v>27233</v>
      </c>
    </row>
    <row r="171" spans="2:11" x14ac:dyDescent="0.25">
      <c r="B171" s="29" t="str" cm="1">
        <f t="array" ref="B171">_xlfn.IFS(
     Lists_S3.1_SpendB[[#This Row],[DE Name]]="","",
     Language=German,Lists_S3.1_SpendB[[#This Row],[DE Name]],
     Language=French,Lists_S3.1_SpendB[[#This Row],[FR Name]],
     Language=Italian,Lists_S3.1_SpendB[[#This Row],[IT Name]]
)</f>
        <v>Électronique, équipements informatiques, optique, montres</v>
      </c>
      <c r="C171" s="29" t="s">
        <v>460</v>
      </c>
      <c r="D171" s="29" t="s">
        <v>461</v>
      </c>
      <c r="E171" s="29" t="s">
        <v>462</v>
      </c>
      <c r="F171" s="29" t="s">
        <v>460</v>
      </c>
      <c r="G171" s="29" t="s">
        <v>414</v>
      </c>
      <c r="H171" s="29" t="str" cm="1">
        <f t="array" ref="H171">_xlfn.IFS(
     Lists_S3.1_SpendB[[#This Row],[DE Category]]="","",
     Language=German,Lists_S3.1_SpendB[[#This Row],[DE Category]],
     Language=French,Lists_S3.1_SpendB[[#This Row],[FR Category]],
     Language=Italian,Lists_S3.1_SpendB[[#This Row],[IT Category]]
)</f>
        <v>Machines, Électricité</v>
      </c>
      <c r="I171" s="29" t="s">
        <v>463</v>
      </c>
      <c r="J171" s="29" t="s">
        <v>27235</v>
      </c>
      <c r="K171" s="29" t="s">
        <v>27236</v>
      </c>
    </row>
    <row r="172" spans="2:11" x14ac:dyDescent="0.25">
      <c r="B172" s="29" t="str" cm="1">
        <f t="array" ref="B172">_xlfn.IFS(
     Lists_S3.1_SpendB[[#This Row],[DE Name]]="","",
     Language=German,Lists_S3.1_SpendB[[#This Row],[DE Name]],
     Language=French,Lists_S3.1_SpendB[[#This Row],[FR Name]],
     Language=Italian,Lists_S3.1_SpendB[[#This Row],[IT Name]]
)</f>
        <v>Équipements électriques</v>
      </c>
      <c r="C172" s="29" t="s">
        <v>464</v>
      </c>
      <c r="D172" s="29" t="s">
        <v>465</v>
      </c>
      <c r="E172" s="29" t="s">
        <v>466</v>
      </c>
      <c r="F172" s="29" t="s">
        <v>464</v>
      </c>
      <c r="G172" s="29" t="s">
        <v>414</v>
      </c>
      <c r="H172" s="29" t="str" cm="1">
        <f t="array" ref="H172">_xlfn.IFS(
     Lists_S3.1_SpendB[[#This Row],[DE Category]]="","",
     Language=German,Lists_S3.1_SpendB[[#This Row],[DE Category]],
     Language=French,Lists_S3.1_SpendB[[#This Row],[FR Category]],
     Language=Italian,Lists_S3.1_SpendB[[#This Row],[IT Category]]
)</f>
        <v>Machines, Électricité</v>
      </c>
      <c r="I172" s="29" t="s">
        <v>463</v>
      </c>
      <c r="J172" s="29" t="s">
        <v>27235</v>
      </c>
      <c r="K172" s="29" t="s">
        <v>27236</v>
      </c>
    </row>
    <row r="173" spans="2:11" x14ac:dyDescent="0.25">
      <c r="B173" s="29" t="str" cm="1">
        <f t="array" ref="B173">_xlfn.IFS(
     Lists_S3.1_SpendB[[#This Row],[DE Name]]="","",
     Language=German,Lists_S3.1_SpendB[[#This Row],[DE Name]],
     Language=French,Lists_S3.1_SpendB[[#This Row],[FR Name]],
     Language=Italian,Lists_S3.1_SpendB[[#This Row],[IT Name]]
)</f>
        <v>Produits de la construction mécanique</v>
      </c>
      <c r="C173" s="29" t="s">
        <v>467</v>
      </c>
      <c r="D173" s="29" t="s">
        <v>27607</v>
      </c>
      <c r="E173" s="29" t="s">
        <v>27608</v>
      </c>
      <c r="F173" s="29" t="s">
        <v>467</v>
      </c>
      <c r="G173" s="29" t="s">
        <v>414</v>
      </c>
      <c r="H173" s="29" t="str" cm="1">
        <f t="array" ref="H173">_xlfn.IFS(
     Lists_S3.1_SpendB[[#This Row],[DE Category]]="","",
     Language=German,Lists_S3.1_SpendB[[#This Row],[DE Category]],
     Language=French,Lists_S3.1_SpendB[[#This Row],[FR Category]],
     Language=Italian,Lists_S3.1_SpendB[[#This Row],[IT Category]]
)</f>
        <v>Machines, Électricité</v>
      </c>
      <c r="I173" s="29" t="s">
        <v>463</v>
      </c>
      <c r="J173" s="29" t="s">
        <v>27235</v>
      </c>
      <c r="K173" s="29" t="s">
        <v>27236</v>
      </c>
    </row>
    <row r="174" spans="2:11" x14ac:dyDescent="0.25">
      <c r="B174" s="29" t="str" cm="1">
        <f t="array" ref="B174">_xlfn.IFS(
     Lists_S3.1_SpendB[[#This Row],[DE Name]]="","",
     Language=German,Lists_S3.1_SpendB[[#This Row],[DE Name]],
     Language=French,Lists_S3.1_SpendB[[#This Row],[FR Name]],
     Language=Italian,Lists_S3.1_SpendB[[#This Row],[IT Name]]
)</f>
        <v>Véhicules routiers</v>
      </c>
      <c r="C174" s="29" t="s">
        <v>468</v>
      </c>
      <c r="D174" s="29" t="s">
        <v>469</v>
      </c>
      <c r="E174" s="29" t="s">
        <v>470</v>
      </c>
      <c r="F174" s="29" t="s">
        <v>468</v>
      </c>
      <c r="G174" s="29" t="s">
        <v>414</v>
      </c>
      <c r="H174" s="29" t="str" cm="1">
        <f t="array" ref="H174">_xlfn.IFS(
     Lists_S3.1_SpendB[[#This Row],[DE Category]]="","",
     Language=German,Lists_S3.1_SpendB[[#This Row],[DE Category]],
     Language=French,Lists_S3.1_SpendB[[#This Row],[FR Category]],
     Language=Italian,Lists_S3.1_SpendB[[#This Row],[IT Category]]
)</f>
        <v>Véhicules</v>
      </c>
      <c r="I174" s="29" t="s">
        <v>471</v>
      </c>
      <c r="J174" s="29" t="s">
        <v>27237</v>
      </c>
      <c r="K174" s="29" t="s">
        <v>27238</v>
      </c>
    </row>
    <row r="175" spans="2:11" x14ac:dyDescent="0.25">
      <c r="B175" s="29" t="str" cm="1">
        <f t="array" ref="B175">_xlfn.IFS(
     Lists_S3.1_SpendB[[#This Row],[DE Name]]="","",
     Language=German,Lists_S3.1_SpendB[[#This Row],[DE Name]],
     Language=French,Lists_S3.1_SpendB[[#This Row],[FR Name]],
     Language=Italian,Lists_S3.1_SpendB[[#This Row],[IT Name]]
)</f>
        <v>Autres véhicules</v>
      </c>
      <c r="C175" s="29" t="s">
        <v>472</v>
      </c>
      <c r="D175" s="29" t="s">
        <v>473</v>
      </c>
      <c r="E175" s="29" t="s">
        <v>474</v>
      </c>
      <c r="F175" s="29" t="s">
        <v>472</v>
      </c>
      <c r="G175" s="29" t="s">
        <v>414</v>
      </c>
      <c r="H175" s="29" t="str" cm="1">
        <f t="array" ref="H175">_xlfn.IFS(
     Lists_S3.1_SpendB[[#This Row],[DE Category]]="","",
     Language=German,Lists_S3.1_SpendB[[#This Row],[DE Category]],
     Language=French,Lists_S3.1_SpendB[[#This Row],[FR Category]],
     Language=Italian,Lists_S3.1_SpendB[[#This Row],[IT Category]]
)</f>
        <v>Véhicules</v>
      </c>
      <c r="I175" s="29" t="s">
        <v>471</v>
      </c>
      <c r="J175" s="29" t="s">
        <v>27237</v>
      </c>
      <c r="K175" s="29" t="s">
        <v>27238</v>
      </c>
    </row>
    <row r="176" spans="2:11" x14ac:dyDescent="0.25">
      <c r="B176" s="29" t="str" cm="1">
        <f t="array" ref="B176">_xlfn.IFS(
     Lists_S3.1_SpendB[[#This Row],[DE Name]]="","",
     Language=German,Lists_S3.1_SpendB[[#This Row],[DE Name]],
     Language=French,Lists_S3.1_SpendB[[#This Row],[FR Name]],
     Language=Italian,Lists_S3.1_SpendB[[#This Row],[IT Name]]
)</f>
        <v>Meubles, autres biens</v>
      </c>
      <c r="C176" s="29" t="s">
        <v>475</v>
      </c>
      <c r="D176" s="29" t="s">
        <v>476</v>
      </c>
      <c r="E176" s="29" t="s">
        <v>477</v>
      </c>
      <c r="F176" s="29" t="s">
        <v>475</v>
      </c>
      <c r="G176" s="29" t="s">
        <v>414</v>
      </c>
      <c r="H176" s="29" t="str" cm="1">
        <f t="array" ref="H176">_xlfn.IFS(
     Lists_S3.1_SpendB[[#This Row],[DE Category]]="","",
     Language=German,Lists_S3.1_SpendB[[#This Row],[DE Category]],
     Language=French,Lists_S3.1_SpendB[[#This Row],[FR Category]],
     Language=Italian,Lists_S3.1_SpendB[[#This Row],[IT Category]]
)</f>
        <v>Biens de consommation</v>
      </c>
      <c r="I176" s="29" t="s">
        <v>419</v>
      </c>
      <c r="J176" s="29" t="s">
        <v>27232</v>
      </c>
      <c r="K176" s="29" t="s">
        <v>27233</v>
      </c>
    </row>
    <row r="177" spans="2:11" x14ac:dyDescent="0.25">
      <c r="B177" s="29" t="str" cm="1">
        <f t="array" ref="B177">_xlfn.IFS(
     Lists_S3.1_SpendB[[#This Row],[DE Name]]="","",
     Language=German,Lists_S3.1_SpendB[[#This Row],[DE Name]],
     Language=French,Lists_S3.1_SpendB[[#This Row],[FR Name]],
     Language=Italian,Lists_S3.1_SpendB[[#This Row],[IT Name]]
)</f>
        <v>Réparation et installation de machines et d'équipements</v>
      </c>
      <c r="C177" s="29" t="s">
        <v>478</v>
      </c>
      <c r="D177" s="29" t="s">
        <v>27609</v>
      </c>
      <c r="E177" s="29" t="s">
        <v>479</v>
      </c>
      <c r="F177" s="29" t="s">
        <v>478</v>
      </c>
      <c r="G177" s="29" t="s">
        <v>414</v>
      </c>
      <c r="H177" s="29" t="str" cm="1">
        <f t="array" ref="H177">_xlfn.IFS(
     Lists_S3.1_SpendB[[#This Row],[DE Category]]="","",
     Language=German,Lists_S3.1_SpendB[[#This Row],[DE Category]],
     Language=French,Lists_S3.1_SpendB[[#This Row],[FR Category]],
     Language=Italian,Lists_S3.1_SpendB[[#This Row],[IT Category]]
)</f>
        <v>Machines, Électricité</v>
      </c>
      <c r="I177" s="29" t="s">
        <v>463</v>
      </c>
      <c r="J177" s="29" t="s">
        <v>27235</v>
      </c>
      <c r="K177" s="29" t="s">
        <v>27236</v>
      </c>
    </row>
    <row r="178" spans="2:11" x14ac:dyDescent="0.25">
      <c r="B178" s="29" t="str" cm="1">
        <f t="array" ref="B178">_xlfn.IFS(
     Lists_S3.1_SpendB[[#This Row],[DE Name]]="","",
     Language=German,Lists_S3.1_SpendB[[#This Row],[DE Name]],
     Language=French,Lists_S3.1_SpendB[[#This Row],[FR Name]],
     Language=Italian,Lists_S3.1_SpendB[[#This Row],[IT Name]]
)</f>
        <v>Gaz</v>
      </c>
      <c r="C178" s="29" t="s">
        <v>480</v>
      </c>
      <c r="D178" s="29" t="s">
        <v>481</v>
      </c>
      <c r="E178" s="29" t="s">
        <v>480</v>
      </c>
      <c r="F178" s="29" t="s">
        <v>480</v>
      </c>
      <c r="G178" s="29" t="s">
        <v>414</v>
      </c>
      <c r="H178" s="29" t="str" cm="1">
        <f t="array" ref="H178">_xlfn.IFS(
     Lists_S3.1_SpendB[[#This Row],[DE Category]]="","",
     Language=German,Lists_S3.1_SpendB[[#This Row],[DE Category]],
     Language=French,Lists_S3.1_SpendB[[#This Row],[FR Category]],
     Language=Italian,Lists_S3.1_SpendB[[#This Row],[IT Category]]
)</f>
        <v>Énergie (gaz)</v>
      </c>
      <c r="I178" s="29" t="s">
        <v>482</v>
      </c>
      <c r="J178" s="29" t="s">
        <v>27239</v>
      </c>
      <c r="K178" s="29" t="s">
        <v>27240</v>
      </c>
    </row>
    <row r="179" spans="2:11" x14ac:dyDescent="0.25">
      <c r="B179" s="29" t="str" cm="1">
        <f t="array" ref="B179">_xlfn.IFS(
     Lists_S3.1_SpendB[[#This Row],[DE Name]]="","",
     Language=German,Lists_S3.1_SpendB[[#This Row],[DE Name]],
     Language=French,Lists_S3.1_SpendB[[#This Row],[FR Name]],
     Language=Italian,Lists_S3.1_SpendB[[#This Row],[IT Name]]
)</f>
        <v>Électricité, chauffage urbain</v>
      </c>
      <c r="C179" s="29" t="s">
        <v>483</v>
      </c>
      <c r="D179" s="29" t="s">
        <v>484</v>
      </c>
      <c r="E179" s="29" t="s">
        <v>485</v>
      </c>
      <c r="F179" s="29" t="s">
        <v>483</v>
      </c>
      <c r="G179" s="29" t="s">
        <v>414</v>
      </c>
      <c r="H179" s="29" t="str" cm="1">
        <f t="array" ref="H179">_xlfn.IFS(
     Lists_S3.1_SpendB[[#This Row],[DE Category]]="","",
     Language=German,Lists_S3.1_SpendB[[#This Row],[DE Category]],
     Language=French,Lists_S3.1_SpendB[[#This Row],[FR Category]],
     Language=Italian,Lists_S3.1_SpendB[[#This Row],[IT Category]]
)</f>
        <v>Énergie (autre)</v>
      </c>
      <c r="I179" s="29" t="s">
        <v>486</v>
      </c>
      <c r="J179" s="29" t="s">
        <v>27241</v>
      </c>
      <c r="K179" s="29" t="s">
        <v>27242</v>
      </c>
    </row>
    <row r="180" spans="2:11" x14ac:dyDescent="0.25">
      <c r="B180" s="29" t="str" cm="1">
        <f t="array" ref="B180">_xlfn.IFS(
     Lists_S3.1_SpendB[[#This Row],[DE Name]]="","",
     Language=German,Lists_S3.1_SpendB[[#This Row],[DE Name]],
     Language=French,Lists_S3.1_SpendB[[#This Row],[FR Name]],
     Language=Italian,Lists_S3.1_SpendB[[#This Row],[IT Name]]
)</f>
        <v>Eau, déchets, eaux usées</v>
      </c>
      <c r="C180" s="29" t="s">
        <v>487</v>
      </c>
      <c r="D180" s="29" t="s">
        <v>488</v>
      </c>
      <c r="E180" s="29" t="s">
        <v>489</v>
      </c>
      <c r="F180" s="29" t="s">
        <v>487</v>
      </c>
      <c r="G180" s="29" t="s">
        <v>414</v>
      </c>
      <c r="H180" s="29" t="str" cm="1">
        <f t="array" ref="H180">_xlfn.IFS(
     Lists_S3.1_SpendB[[#This Row],[DE Category]]="","",
     Language=German,Lists_S3.1_SpendB[[#This Row],[DE Category]],
     Language=French,Lists_S3.1_SpendB[[#This Row],[FR Category]],
     Language=Italian,Lists_S3.1_SpendB[[#This Row],[IT Category]]
)</f>
        <v>Eau, Élimination</v>
      </c>
      <c r="I180" s="29" t="s">
        <v>490</v>
      </c>
      <c r="J180" s="29" t="s">
        <v>27243</v>
      </c>
      <c r="K180" s="29" t="s">
        <v>27244</v>
      </c>
    </row>
    <row r="181" spans="2:11" x14ac:dyDescent="0.25">
      <c r="B181" s="29" t="str" cm="1">
        <f t="array" ref="B181">_xlfn.IFS(
     Lists_S3.1_SpendB[[#This Row],[DE Name]]="","",
     Language=German,Lists_S3.1_SpendB[[#This Row],[DE Name]],
     Language=French,Lists_S3.1_SpendB[[#This Row],[FR Name]],
     Language=Italian,Lists_S3.1_SpendB[[#This Row],[IT Name]]
)</f>
        <v>Services de construction</v>
      </c>
      <c r="C181" s="29" t="s">
        <v>491</v>
      </c>
      <c r="D181" s="29" t="s">
        <v>492</v>
      </c>
      <c r="E181" s="29" t="s">
        <v>493</v>
      </c>
      <c r="F181" s="29" t="s">
        <v>491</v>
      </c>
      <c r="G181" s="29" t="s">
        <v>414</v>
      </c>
      <c r="H181" s="29" t="str" cm="1">
        <f t="array" ref="H181">_xlfn.IFS(
     Lists_S3.1_SpendB[[#This Row],[DE Category]]="","",
     Language=German,Lists_S3.1_SpendB[[#This Row],[DE Category]],
     Language=French,Lists_S3.1_SpendB[[#This Row],[FR Category]],
     Language=Italian,Lists_S3.1_SpendB[[#This Row],[IT Category]]
)</f>
        <v>Services de construction</v>
      </c>
      <c r="I181" s="29" t="s">
        <v>491</v>
      </c>
      <c r="J181" s="29" t="s">
        <v>492</v>
      </c>
      <c r="K181" s="29" t="s">
        <v>493</v>
      </c>
    </row>
    <row r="182" spans="2:11" x14ac:dyDescent="0.25">
      <c r="B182" s="29" t="str" cm="1">
        <f t="array" ref="B182">_xlfn.IFS(
     Lists_S3.1_SpendB[[#This Row],[DE Name]]="","",
     Language=German,Lists_S3.1_SpendB[[#This Row],[DE Name]],
     Language=French,Lists_S3.1_SpendB[[#This Row],[FR Name]],
     Language=Italian,Lists_S3.1_SpendB[[#This Row],[IT Name]]
)</f>
        <v>Services de négoce</v>
      </c>
      <c r="C182" s="29" t="s">
        <v>494</v>
      </c>
      <c r="D182" s="29" t="s">
        <v>495</v>
      </c>
      <c r="E182" s="29" t="s">
        <v>496</v>
      </c>
      <c r="F182" s="29" t="s">
        <v>494</v>
      </c>
      <c r="G182" s="29" t="s">
        <v>414</v>
      </c>
      <c r="H182" s="29" t="str" cm="1">
        <f t="array" ref="H182">_xlfn.IFS(
     Lists_S3.1_SpendB[[#This Row],[DE Category]]="","",
     Language=German,Lists_S3.1_SpendB[[#This Row],[DE Category]],
     Language=French,Lists_S3.1_SpendB[[#This Row],[FR Category]],
     Language=Italian,Lists_S3.1_SpendB[[#This Row],[IT Category]]
)</f>
        <v>Commerce</v>
      </c>
      <c r="I182" s="29" t="s">
        <v>497</v>
      </c>
      <c r="J182" s="29" t="s">
        <v>27245</v>
      </c>
      <c r="K182" s="29" t="s">
        <v>27246</v>
      </c>
    </row>
    <row r="183" spans="2:11" x14ac:dyDescent="0.25">
      <c r="B183" s="29" t="str" cm="1">
        <f t="array" ref="B183">_xlfn.IFS(
     Lists_S3.1_SpendB[[#This Row],[DE Name]]="","",
     Language=German,Lists_S3.1_SpendB[[#This Row],[DE Name]],
     Language=French,Lists_S3.1_SpendB[[#This Row],[FR Name]],
     Language=Italian,Lists_S3.1_SpendB[[#This Row],[IT Name]]
)</f>
        <v>Services de transport (hors transport aérien)</v>
      </c>
      <c r="C183" s="29" t="s">
        <v>498</v>
      </c>
      <c r="D183" s="29" t="s">
        <v>499</v>
      </c>
      <c r="E183" s="29" t="s">
        <v>500</v>
      </c>
      <c r="F183" s="29" t="s">
        <v>498</v>
      </c>
      <c r="G183" s="29" t="s">
        <v>414</v>
      </c>
      <c r="H183" s="29" t="str" cm="1">
        <f t="array" ref="H183">_xlfn.IFS(
     Lists_S3.1_SpendB[[#This Row],[DE Category]]="","",
     Language=German,Lists_S3.1_SpendB[[#This Row],[DE Category]],
     Language=French,Lists_S3.1_SpendB[[#This Row],[FR Category]],
     Language=Italian,Lists_S3.1_SpendB[[#This Row],[IT Category]]
)</f>
        <v>DL de trafic</v>
      </c>
      <c r="I183" s="29" t="s">
        <v>501</v>
      </c>
      <c r="J183" s="29" t="s">
        <v>27247</v>
      </c>
      <c r="K183" s="29" t="s">
        <v>27248</v>
      </c>
    </row>
    <row r="184" spans="2:11" x14ac:dyDescent="0.25">
      <c r="B184" s="29" t="str" cm="1">
        <f t="array" ref="B184">_xlfn.IFS(
     Lists_S3.1_SpendB[[#This Row],[DE Name]]="","",
     Language=German,Lists_S3.1_SpendB[[#This Row],[DE Name]],
     Language=French,Lists_S3.1_SpendB[[#This Row],[FR Name]],
     Language=Italian,Lists_S3.1_SpendB[[#This Row],[IT Name]]
)</f>
        <v>Services de transport aérien</v>
      </c>
      <c r="C184" s="29" t="s">
        <v>502</v>
      </c>
      <c r="D184" s="29" t="s">
        <v>503</v>
      </c>
      <c r="E184" s="29" t="s">
        <v>504</v>
      </c>
      <c r="F184" s="29" t="s">
        <v>502</v>
      </c>
      <c r="G184" s="29" t="s">
        <v>414</v>
      </c>
      <c r="H184" s="29" t="str" cm="1">
        <f t="array" ref="H184">_xlfn.IFS(
     Lists_S3.1_SpendB[[#This Row],[DE Category]]="","",
     Language=German,Lists_S3.1_SpendB[[#This Row],[DE Category]],
     Language=French,Lists_S3.1_SpendB[[#This Row],[FR Category]],
     Language=Italian,Lists_S3.1_SpendB[[#This Row],[IT Category]]
)</f>
        <v>Transport aérien</v>
      </c>
      <c r="I184" s="29" t="s">
        <v>505</v>
      </c>
      <c r="J184" s="29" t="s">
        <v>27249</v>
      </c>
      <c r="K184" s="29" t="s">
        <v>27250</v>
      </c>
    </row>
    <row r="185" spans="2:11" x14ac:dyDescent="0.25">
      <c r="B185" s="29" t="str" cm="1">
        <f t="array" ref="B185">_xlfn.IFS(
     Lists_S3.1_SpendB[[#This Row],[DE Name]]="","",
     Language=German,Lists_S3.1_SpendB[[#This Row],[DE Name]],
     Language=French,Lists_S3.1_SpendB[[#This Row],[FR Name]],
     Language=Italian,Lists_S3.1_SpendB[[#This Row],[IT Name]]
)</f>
        <v>Entreposage, services liés au transport</v>
      </c>
      <c r="C185" s="29" t="s">
        <v>506</v>
      </c>
      <c r="D185" s="29" t="s">
        <v>27610</v>
      </c>
      <c r="E185" s="29" t="s">
        <v>27611</v>
      </c>
      <c r="F185" s="29" t="s">
        <v>506</v>
      </c>
      <c r="G185" s="29" t="s">
        <v>414</v>
      </c>
      <c r="H185" s="29" t="str" cm="1">
        <f t="array" ref="H185">_xlfn.IFS(
     Lists_S3.1_SpendB[[#This Row],[DE Category]]="","",
     Language=German,Lists_S3.1_SpendB[[#This Row],[DE Category]],
     Language=French,Lists_S3.1_SpendB[[#This Row],[FR Category]],
     Language=Italian,Lists_S3.1_SpendB[[#This Row],[IT Category]]
)</f>
        <v>DL de trafic</v>
      </c>
      <c r="I185" s="29" t="s">
        <v>501</v>
      </c>
      <c r="J185" s="29" t="s">
        <v>27247</v>
      </c>
      <c r="K185" s="29" t="s">
        <v>27248</v>
      </c>
    </row>
    <row r="186" spans="2:11" x14ac:dyDescent="0.25">
      <c r="B186" s="29" t="str" cm="1">
        <f t="array" ref="B186">_xlfn.IFS(
     Lists_S3.1_SpendB[[#This Row],[DE Name]]="","",
     Language=German,Lists_S3.1_SpendB[[#This Row],[DE Name]],
     Language=French,Lists_S3.1_SpendB[[#This Row],[FR Name]],
     Language=Italian,Lists_S3.1_SpendB[[#This Row],[IT Name]]
)</f>
        <v>Services postaux, de messagerie et de livraison express</v>
      </c>
      <c r="C186" s="29" t="s">
        <v>507</v>
      </c>
      <c r="D186" s="29" t="s">
        <v>27612</v>
      </c>
      <c r="E186" s="29" t="s">
        <v>508</v>
      </c>
      <c r="F186" s="29" t="s">
        <v>507</v>
      </c>
      <c r="G186" s="29" t="s">
        <v>414</v>
      </c>
      <c r="H186" s="29" t="str" cm="1">
        <f t="array" ref="H186">_xlfn.IFS(
     Lists_S3.1_SpendB[[#This Row],[DE Category]]="","",
     Language=German,Lists_S3.1_SpendB[[#This Row],[DE Category]],
     Language=French,Lists_S3.1_SpendB[[#This Row],[FR Category]],
     Language=Italian,Lists_S3.1_SpendB[[#This Row],[IT Category]]
)</f>
        <v>DL de trafic</v>
      </c>
      <c r="I186" s="29" t="s">
        <v>501</v>
      </c>
      <c r="J186" s="29" t="s">
        <v>27247</v>
      </c>
      <c r="K186" s="29" t="s">
        <v>27248</v>
      </c>
    </row>
    <row r="187" spans="2:11" x14ac:dyDescent="0.25">
      <c r="B187" s="29" t="str" cm="1">
        <f t="array" ref="B187">_xlfn.IFS(
     Lists_S3.1_SpendB[[#This Row],[DE Name]]="","",
     Language=German,Lists_S3.1_SpendB[[#This Row],[DE Name]],
     Language=French,Lists_S3.1_SpendB[[#This Row],[FR Name]],
     Language=Italian,Lists_S3.1_SpendB[[#This Row],[IT Name]]
)</f>
        <v>Produits/services liés à l’hébergement</v>
      </c>
      <c r="C187" s="29" t="s">
        <v>509</v>
      </c>
      <c r="D187" s="29" t="s">
        <v>27613</v>
      </c>
      <c r="E187" s="29" t="s">
        <v>510</v>
      </c>
      <c r="F187" s="29" t="s">
        <v>509</v>
      </c>
      <c r="G187" s="29" t="s">
        <v>414</v>
      </c>
      <c r="H187" s="29" t="str" cm="1">
        <f t="array" ref="H187">_xlfn.IFS(
     Lists_S3.1_SpendB[[#This Row],[DE Category]]="","",
     Language=German,Lists_S3.1_SpendB[[#This Row],[DE Category]],
     Language=French,Lists_S3.1_SpendB[[#This Row],[FR Category]],
     Language=Italian,Lists_S3.1_SpendB[[#This Row],[IT Category]]
)</f>
        <v>Hébergement</v>
      </c>
      <c r="I187" s="29" t="s">
        <v>511</v>
      </c>
      <c r="J187" s="29" t="s">
        <v>27251</v>
      </c>
      <c r="K187" s="29" t="s">
        <v>27252</v>
      </c>
    </row>
    <row r="188" spans="2:11" x14ac:dyDescent="0.25">
      <c r="B188" s="29" t="str" cm="1">
        <f t="array" ref="B188">_xlfn.IFS(
     Lists_S3.1_SpendB[[#This Row],[DE Name]]="","",
     Language=German,Lists_S3.1_SpendB[[#This Row],[DE Name]],
     Language=French,Lists_S3.1_SpendB[[#This Row],[FR Name]],
     Language=Italian,Lists_S3.1_SpendB[[#This Row],[IT Name]]
)</f>
        <v>Produits/services liés à la restauration</v>
      </c>
      <c r="C188" s="29" t="s">
        <v>512</v>
      </c>
      <c r="D188" s="29" t="s">
        <v>27614</v>
      </c>
      <c r="E188" s="29" t="s">
        <v>513</v>
      </c>
      <c r="F188" s="29" t="s">
        <v>512</v>
      </c>
      <c r="G188" s="29" t="s">
        <v>414</v>
      </c>
      <c r="H188" s="29" t="str" cm="1">
        <f t="array" ref="H188">_xlfn.IFS(
     Lists_S3.1_SpendB[[#This Row],[DE Category]]="","",
     Language=German,Lists_S3.1_SpendB[[#This Row],[DE Category]],
     Language=French,Lists_S3.1_SpendB[[#This Row],[FR Category]],
     Language=Italian,Lists_S3.1_SpendB[[#This Row],[IT Category]]
)</f>
        <v>Gastronomie</v>
      </c>
      <c r="I188" s="29" t="s">
        <v>514</v>
      </c>
      <c r="J188" s="29" t="s">
        <v>514</v>
      </c>
      <c r="K188" s="29" t="s">
        <v>27253</v>
      </c>
    </row>
    <row r="189" spans="2:11" x14ac:dyDescent="0.25">
      <c r="B189" s="29" t="str" cm="1">
        <f t="array" ref="B189">_xlfn.IFS(
     Lists_S3.1_SpendB[[#This Row],[DE Name]]="","",
     Language=German,Lists_S3.1_SpendB[[#This Row],[DE Name]],
     Language=French,Lists_S3.1_SpendB[[#This Row],[FR Name]],
     Language=Italian,Lists_S3.1_SpendB[[#This Row],[IT Name]]
)</f>
        <v>Produits/services liés à l'édition, aux médias audiovisuels et à la radiodiffusion</v>
      </c>
      <c r="C189" s="32" t="s">
        <v>515</v>
      </c>
      <c r="D189" s="29" t="s">
        <v>27615</v>
      </c>
      <c r="E189" s="29" t="s">
        <v>516</v>
      </c>
      <c r="F189" s="29" t="s">
        <v>515</v>
      </c>
      <c r="G189" s="29" t="s">
        <v>414</v>
      </c>
      <c r="H189" s="29" t="str" cm="1">
        <f t="array" ref="H189">_xlfn.IFS(
     Lists_S3.1_SpendB[[#This Row],[DE Category]]="","",
     Language=German,Lists_S3.1_SpendB[[#This Row],[DE Category]],
     Language=French,Lists_S3.1_SpendB[[#This Row],[FR Category]],
     Language=Italian,Lists_S3.1_SpendB[[#This Row],[IT Category]]
)</f>
        <v>Autres DL</v>
      </c>
      <c r="I189" s="29" t="s">
        <v>517</v>
      </c>
      <c r="J189" s="29" t="s">
        <v>27254</v>
      </c>
      <c r="K189" s="29" t="s">
        <v>27255</v>
      </c>
    </row>
    <row r="190" spans="2:11" x14ac:dyDescent="0.25">
      <c r="B190" s="29" t="str" cm="1">
        <f t="array" ref="B190">_xlfn.IFS(
     Lists_S3.1_SpendB[[#This Row],[DE Name]]="","",
     Language=German,Lists_S3.1_SpendB[[#This Row],[DE Name]],
     Language=French,Lists_S3.1_SpendB[[#This Row],[FR Name]],
     Language=Italian,Lists_S3.1_SpendB[[#This Row],[IT Name]]
)</f>
        <v>Services de télécommunications</v>
      </c>
      <c r="C190" s="29" t="s">
        <v>518</v>
      </c>
      <c r="D190" s="29" t="s">
        <v>519</v>
      </c>
      <c r="E190" s="29" t="s">
        <v>520</v>
      </c>
      <c r="F190" s="29" t="s">
        <v>518</v>
      </c>
      <c r="G190" s="29" t="s">
        <v>414</v>
      </c>
      <c r="H190" s="29" t="str" cm="1">
        <f t="array" ref="H190">_xlfn.IFS(
     Lists_S3.1_SpendB[[#This Row],[DE Category]]="","",
     Language=German,Lists_S3.1_SpendB[[#This Row],[DE Category]],
     Language=French,Lists_S3.1_SpendB[[#This Row],[FR Category]],
     Language=Italian,Lists_S3.1_SpendB[[#This Row],[IT Category]]
)</f>
        <v>Autres DL</v>
      </c>
      <c r="I190" s="29" t="s">
        <v>517</v>
      </c>
      <c r="J190" s="29" t="s">
        <v>27254</v>
      </c>
      <c r="K190" s="29" t="s">
        <v>27255</v>
      </c>
    </row>
    <row r="191" spans="2:11" x14ac:dyDescent="0.25">
      <c r="B191" s="29" t="str" cm="1">
        <f t="array" ref="B191">_xlfn.IFS(
     Lists_S3.1_SpendB[[#This Row],[DE Name]]="","",
     Language=German,Lists_S3.1_SpendB[[#This Row],[DE Name]],
     Language=French,Lists_S3.1_SpendB[[#This Row],[FR Name]],
     Language=Italian,Lists_S3.1_SpendB[[#This Row],[IT Name]]
)</f>
        <v>Services informatiques et d'information</v>
      </c>
      <c r="C191" s="29" t="s">
        <v>521</v>
      </c>
      <c r="D191" t="s">
        <v>27616</v>
      </c>
      <c r="E191" s="29" t="s">
        <v>522</v>
      </c>
      <c r="F191" s="29" t="s">
        <v>521</v>
      </c>
      <c r="G191" s="29" t="s">
        <v>414</v>
      </c>
      <c r="H191" s="29" t="str" cm="1">
        <f t="array" ref="H191">_xlfn.IFS(
     Lists_S3.1_SpendB[[#This Row],[DE Category]]="","",
     Language=German,Lists_S3.1_SpendB[[#This Row],[DE Category]],
     Language=French,Lists_S3.1_SpendB[[#This Row],[FR Category]],
     Language=Italian,Lists_S3.1_SpendB[[#This Row],[IT Category]]
)</f>
        <v>Autres DL</v>
      </c>
      <c r="I191" s="29" t="s">
        <v>517</v>
      </c>
      <c r="J191" s="29" t="s">
        <v>27254</v>
      </c>
      <c r="K191" s="29" t="s">
        <v>27255</v>
      </c>
    </row>
    <row r="192" spans="2:11" x14ac:dyDescent="0.25">
      <c r="B192" s="29" t="str" cm="1">
        <f t="array" ref="B192">_xlfn.IFS(
     Lists_S3.1_SpendB[[#This Row],[DE Name]]="","",
     Language=German,Lists_S3.1_SpendB[[#This Row],[DE Name]],
     Language=French,Lists_S3.1_SpendB[[#This Row],[FR Name]],
     Language=Italian,Lists_S3.1_SpendB[[#This Row],[IT Name]]
)</f>
        <v>Services financiers</v>
      </c>
      <c r="C192" s="29" t="s">
        <v>523</v>
      </c>
      <c r="D192" s="29" t="s">
        <v>524</v>
      </c>
      <c r="E192" s="29" t="s">
        <v>525</v>
      </c>
      <c r="F192" s="29" t="s">
        <v>523</v>
      </c>
      <c r="G192" s="29" t="s">
        <v>414</v>
      </c>
      <c r="H192" s="29" t="str" cm="1">
        <f t="array" ref="H192">_xlfn.IFS(
     Lists_S3.1_SpendB[[#This Row],[DE Category]]="","",
     Language=German,Lists_S3.1_SpendB[[#This Row],[DE Category]],
     Language=French,Lists_S3.1_SpendB[[#This Row],[FR Category]],
     Language=Italian,Lists_S3.1_SpendB[[#This Row],[IT Category]]
)</f>
        <v>Autres DL</v>
      </c>
      <c r="I192" s="29" t="s">
        <v>517</v>
      </c>
      <c r="J192" s="29" t="s">
        <v>27254</v>
      </c>
      <c r="K192" s="29" t="s">
        <v>27255</v>
      </c>
    </row>
    <row r="193" spans="1:29" x14ac:dyDescent="0.25">
      <c r="B193" s="29" t="str" cm="1">
        <f t="array" ref="B193">_xlfn.IFS(
     Lists_S3.1_SpendB[[#This Row],[DE Name]]="","",
     Language=German,Lists_S3.1_SpendB[[#This Row],[DE Name]],
     Language=French,Lists_S3.1_SpendB[[#This Row],[FR Name]],
     Language=Italian,Lists_S3.1_SpendB[[#This Row],[IT Name]]
)</f>
        <v>Services d’assurance</v>
      </c>
      <c r="C193" s="29" t="s">
        <v>526</v>
      </c>
      <c r="D193" s="29" t="s">
        <v>527</v>
      </c>
      <c r="E193" s="29" t="s">
        <v>528</v>
      </c>
      <c r="F193" s="29" t="s">
        <v>526</v>
      </c>
      <c r="G193" s="29" t="s">
        <v>414</v>
      </c>
      <c r="H193" s="29" t="str" cm="1">
        <f t="array" ref="H193">_xlfn.IFS(
     Lists_S3.1_SpendB[[#This Row],[DE Category]]="","",
     Language=German,Lists_S3.1_SpendB[[#This Row],[DE Category]],
     Language=French,Lists_S3.1_SpendB[[#This Row],[FR Category]],
     Language=Italian,Lists_S3.1_SpendB[[#This Row],[IT Category]]
)</f>
        <v>Autres DL</v>
      </c>
      <c r="I193" s="29" t="s">
        <v>517</v>
      </c>
      <c r="J193" s="29" t="s">
        <v>27254</v>
      </c>
      <c r="K193" s="29" t="s">
        <v>27255</v>
      </c>
    </row>
    <row r="194" spans="1:29" x14ac:dyDescent="0.25">
      <c r="B194" s="29" t="str" cm="1">
        <f t="array" ref="B194">_xlfn.IFS(
     Lists_S3.1_SpendB[[#This Row],[DE Name]]="","",
     Language=German,Lists_S3.1_SpendB[[#This Row],[DE Name]],
     Language=French,Lists_S3.1_SpendB[[#This Row],[FR Name]],
     Language=Italian,Lists_S3.1_SpendB[[#This Row],[IT Name]]
)</f>
        <v>Services liés à l'immobilier et au logement</v>
      </c>
      <c r="C194" s="29" t="s">
        <v>529</v>
      </c>
      <c r="D194" t="s">
        <v>27617</v>
      </c>
      <c r="E194" s="29" t="s">
        <v>530</v>
      </c>
      <c r="F194" s="29" t="s">
        <v>529</v>
      </c>
      <c r="G194" s="29" t="s">
        <v>414</v>
      </c>
      <c r="H194" s="29" t="str" cm="1">
        <f t="array" ref="H194">_xlfn.IFS(
     Lists_S3.1_SpendB[[#This Row],[DE Category]]="","",
     Language=German,Lists_S3.1_SpendB[[#This Row],[DE Category]],
     Language=French,Lists_S3.1_SpendB[[#This Row],[FR Category]],
     Language=Italian,Lists_S3.1_SpendB[[#This Row],[IT Category]]
)</f>
        <v>Autres DL</v>
      </c>
      <c r="I194" s="29" t="s">
        <v>517</v>
      </c>
      <c r="J194" s="29" t="s">
        <v>27254</v>
      </c>
      <c r="K194" s="29" t="s">
        <v>27255</v>
      </c>
    </row>
    <row r="195" spans="1:29" x14ac:dyDescent="0.25">
      <c r="B195" s="29" t="str" cm="1">
        <f t="array" ref="B195">_xlfn.IFS(
     Lists_S3.1_SpendB[[#This Row],[DE Name]]="","",
     Language=German,Lists_S3.1_SpendB[[#This Row],[DE Name]],
     Language=French,Lists_S3.1_SpendB[[#This Row],[FR Name]],
     Language=Italian,Lists_S3.1_SpendB[[#This Row],[IT Name]]
)</f>
        <v>Services libéraux et techniques</v>
      </c>
      <c r="C195" s="29" t="s">
        <v>531</v>
      </c>
      <c r="D195" s="29" t="s">
        <v>27618</v>
      </c>
      <c r="E195" s="29" t="s">
        <v>532</v>
      </c>
      <c r="F195" s="29" t="s">
        <v>531</v>
      </c>
      <c r="G195" s="29" t="s">
        <v>414</v>
      </c>
      <c r="H195" s="29" t="str" cm="1">
        <f t="array" ref="H195">_xlfn.IFS(
     Lists_S3.1_SpendB[[#This Row],[DE Category]]="","",
     Language=German,Lists_S3.1_SpendB[[#This Row],[DE Category]],
     Language=French,Lists_S3.1_SpendB[[#This Row],[FR Category]],
     Language=Italian,Lists_S3.1_SpendB[[#This Row],[IT Category]]
)</f>
        <v>Autres DL</v>
      </c>
      <c r="I195" s="29" t="s">
        <v>517</v>
      </c>
      <c r="J195" s="29" t="s">
        <v>27254</v>
      </c>
      <c r="K195" s="29" t="s">
        <v>27255</v>
      </c>
    </row>
    <row r="196" spans="1:29" x14ac:dyDescent="0.25">
      <c r="B196" s="29" t="str" cm="1">
        <f t="array" ref="B196">_xlfn.IFS(
     Lists_S3.1_SpendB[[#This Row],[DE Name]]="","",
     Language=German,Lists_S3.1_SpendB[[#This Row],[DE Name]],
     Language=French,Lists_S3.1_SpendB[[#This Row],[FR Name]],
     Language=Italian,Lists_S3.1_SpendB[[#This Row],[IT Name]]
)</f>
        <v>Services de recherche et développement</v>
      </c>
      <c r="C196" s="29" t="s">
        <v>533</v>
      </c>
      <c r="D196" s="29" t="s">
        <v>534</v>
      </c>
      <c r="E196" s="29" t="s">
        <v>27619</v>
      </c>
      <c r="F196" s="29" t="s">
        <v>533</v>
      </c>
      <c r="G196" s="29" t="s">
        <v>414</v>
      </c>
      <c r="H196" s="29" t="str" cm="1">
        <f t="array" ref="H196">_xlfn.IFS(
     Lists_S3.1_SpendB[[#This Row],[DE Category]]="","",
     Language=German,Lists_S3.1_SpendB[[#This Row],[DE Category]],
     Language=French,Lists_S3.1_SpendB[[#This Row],[FR Category]],
     Language=Italian,Lists_S3.1_SpendB[[#This Row],[IT Category]]
)</f>
        <v>Autres DL</v>
      </c>
      <c r="I196" s="29" t="s">
        <v>517</v>
      </c>
      <c r="J196" s="29" t="s">
        <v>27254</v>
      </c>
      <c r="K196" s="29" t="s">
        <v>27255</v>
      </c>
    </row>
    <row r="197" spans="1:29" x14ac:dyDescent="0.25">
      <c r="B197" s="29" t="str" cm="1">
        <f t="array" ref="B197">_xlfn.IFS(
     Lists_S3.1_SpendB[[#This Row],[DE Name]]="","",
     Language=German,Lists_S3.1_SpendB[[#This Row],[DE Name]],
     Language=French,Lists_S3.1_SpendB[[#This Row],[FR Name]],
     Language=Italian,Lists_S3.1_SpendB[[#This Row],[IT Name]]
)</f>
        <v>Services liés à d'autres activités libérales, scientifiques et techniques</v>
      </c>
      <c r="C197" s="29" t="s">
        <v>535</v>
      </c>
      <c r="D197" s="29" t="s">
        <v>27620</v>
      </c>
      <c r="E197" s="29" t="s">
        <v>536</v>
      </c>
      <c r="F197" s="29" t="s">
        <v>535</v>
      </c>
      <c r="G197" s="29" t="s">
        <v>414</v>
      </c>
      <c r="H197" s="29" t="str" cm="1">
        <f t="array" ref="H197">_xlfn.IFS(
     Lists_S3.1_SpendB[[#This Row],[DE Category]]="","",
     Language=German,Lists_S3.1_SpendB[[#This Row],[DE Category]],
     Language=French,Lists_S3.1_SpendB[[#This Row],[FR Category]],
     Language=Italian,Lists_S3.1_SpendB[[#This Row],[IT Category]]
)</f>
        <v>Autres DL</v>
      </c>
      <c r="I197" s="29" t="s">
        <v>517</v>
      </c>
      <c r="J197" s="29" t="s">
        <v>27254</v>
      </c>
      <c r="K197" s="29" t="s">
        <v>27255</v>
      </c>
    </row>
    <row r="198" spans="1:29" x14ac:dyDescent="0.25">
      <c r="B198" s="29" t="str" cm="1">
        <f t="array" ref="B198">_xlfn.IFS(
     Lists_S3.1_SpendB[[#This Row],[DE Name]]="","",
     Language=German,Lists_S3.1_SpendB[[#This Row],[DE Name]],
     Language=French,Lists_S3.1_SpendB[[#This Row],[FR Name]],
     Language=Italian,Lists_S3.1_SpendB[[#This Row],[IT Name]]
)</f>
        <v>Autres services économiques</v>
      </c>
      <c r="C198" s="29" t="s">
        <v>537</v>
      </c>
      <c r="D198" s="29" t="s">
        <v>538</v>
      </c>
      <c r="E198" s="29" t="s">
        <v>539</v>
      </c>
      <c r="F198" s="29" t="s">
        <v>537</v>
      </c>
      <c r="G198" s="29" t="s">
        <v>414</v>
      </c>
      <c r="H198" s="29" t="str" cm="1">
        <f t="array" ref="H198">_xlfn.IFS(
     Lists_S3.1_SpendB[[#This Row],[DE Category]]="","",
     Language=German,Lists_S3.1_SpendB[[#This Row],[DE Category]],
     Language=French,Lists_S3.1_SpendB[[#This Row],[FR Category]],
     Language=Italian,Lists_S3.1_SpendB[[#This Row],[IT Category]]
)</f>
        <v>Autres DL</v>
      </c>
      <c r="I198" s="29" t="s">
        <v>517</v>
      </c>
      <c r="J198" s="29" t="s">
        <v>27254</v>
      </c>
      <c r="K198" s="29" t="s">
        <v>27255</v>
      </c>
    </row>
    <row r="199" spans="1:29" x14ac:dyDescent="0.25">
      <c r="B199" s="29" t="str" cm="1">
        <f t="array" ref="B199">_xlfn.IFS(
     Lists_S3.1_SpendB[[#This Row],[DE Name]]="","",
     Language=German,Lists_S3.1_SpendB[[#This Row],[DE Name]],
     Language=French,Lists_S3.1_SpendB[[#This Row],[FR Name]],
     Language=Italian,Lists_S3.1_SpendB[[#This Row],[IT Name]]
)</f>
        <v>Services de l’administration publique</v>
      </c>
      <c r="C199" s="29" t="s">
        <v>540</v>
      </c>
      <c r="D199" s="29" t="s">
        <v>541</v>
      </c>
      <c r="E199" s="29" t="s">
        <v>542</v>
      </c>
      <c r="F199" s="29" t="s">
        <v>540</v>
      </c>
      <c r="G199" s="29" t="s">
        <v>414</v>
      </c>
      <c r="H199" s="29" t="str" cm="1">
        <f t="array" ref="H199">_xlfn.IFS(
     Lists_S3.1_SpendB[[#This Row],[DE Category]]="","",
     Language=German,Lists_S3.1_SpendB[[#This Row],[DE Category]],
     Language=French,Lists_S3.1_SpendB[[#This Row],[FR Category]],
     Language=Italian,Lists_S3.1_SpendB[[#This Row],[IT Category]]
)</f>
        <v>Administration, Éducation</v>
      </c>
      <c r="I199" s="29" t="s">
        <v>543</v>
      </c>
      <c r="J199" s="29" t="s">
        <v>27256</v>
      </c>
      <c r="K199" s="29" t="s">
        <v>27257</v>
      </c>
    </row>
    <row r="200" spans="1:29" x14ac:dyDescent="0.25">
      <c r="B200" s="29" t="str" cm="1">
        <f t="array" ref="B200">_xlfn.IFS(
     Lists_S3.1_SpendB[[#This Row],[DE Name]]="","",
     Language=German,Lists_S3.1_SpendB[[#This Row],[DE Name]],
     Language=French,Lists_S3.1_SpendB[[#This Row],[FR Name]],
     Language=Italian,Lists_S3.1_SpendB[[#This Row],[IT Name]]
)</f>
        <v>Services dans le domaine de l'éducation et de l'enseignement</v>
      </c>
      <c r="C200" s="29" t="s">
        <v>544</v>
      </c>
      <c r="D200" s="29" t="s">
        <v>27621</v>
      </c>
      <c r="E200" s="29" t="s">
        <v>27622</v>
      </c>
      <c r="F200" s="29" t="s">
        <v>544</v>
      </c>
      <c r="G200" s="29" t="s">
        <v>414</v>
      </c>
      <c r="H200" s="29" t="str" cm="1">
        <f t="array" ref="H200">_xlfn.IFS(
     Lists_S3.1_SpendB[[#This Row],[DE Category]]="","",
     Language=German,Lists_S3.1_SpendB[[#This Row],[DE Category]],
     Language=French,Lists_S3.1_SpendB[[#This Row],[FR Category]],
     Language=Italian,Lists_S3.1_SpendB[[#This Row],[IT Category]]
)</f>
        <v>Administration, Éducation</v>
      </c>
      <c r="I200" s="29" t="s">
        <v>543</v>
      </c>
      <c r="J200" s="29" t="s">
        <v>27256</v>
      </c>
      <c r="K200" s="29" t="s">
        <v>27257</v>
      </c>
    </row>
    <row r="201" spans="1:29" x14ac:dyDescent="0.25">
      <c r="B201" s="29" t="str" cm="1">
        <f t="array" ref="B201">_xlfn.IFS(
     Lists_S3.1_SpendB[[#This Row],[DE Name]]="","",
     Language=German,Lists_S3.1_SpendB[[#This Row],[DE Name]],
     Language=French,Lists_S3.1_SpendB[[#This Row],[FR Name]],
     Language=Italian,Lists_S3.1_SpendB[[#This Row],[IT Name]]
)</f>
        <v>Services de santé</v>
      </c>
      <c r="C201" s="29" t="s">
        <v>545</v>
      </c>
      <c r="D201" s="29" t="s">
        <v>546</v>
      </c>
      <c r="E201" s="29" t="s">
        <v>547</v>
      </c>
      <c r="F201" s="29" t="s">
        <v>545</v>
      </c>
      <c r="G201" s="29" t="s">
        <v>414</v>
      </c>
      <c r="H201" s="29" t="str" cm="1">
        <f t="array" ref="H201">_xlfn.IFS(
     Lists_S3.1_SpendB[[#This Row],[DE Category]]="","",
     Language=German,Lists_S3.1_SpendB[[#This Row],[DE Category]],
     Language=French,Lists_S3.1_SpendB[[#This Row],[FR Category]],
     Language=Italian,Lists_S3.1_SpendB[[#This Row],[IT Category]]
)</f>
        <v>Santé, Affaires sociales</v>
      </c>
      <c r="I201" s="29" t="s">
        <v>548</v>
      </c>
      <c r="J201" s="29" t="s">
        <v>27258</v>
      </c>
      <c r="K201" s="29" t="s">
        <v>27259</v>
      </c>
    </row>
    <row r="202" spans="1:29" x14ac:dyDescent="0.25">
      <c r="B202" s="29" t="str" cm="1">
        <f t="array" ref="B202">_xlfn.IFS(
     Lists_S3.1_SpendB[[#This Row],[DE Name]]="","",
     Language=German,Lists_S3.1_SpendB[[#This Row],[DE Name]],
     Language=French,Lists_S3.1_SpendB[[#This Row],[FR Name]],
     Language=Italian,Lists_S3.1_SpendB[[#This Row],[IT Name]]
)</f>
        <v>Services liés aux établissements d'hébergement et aux services sociaux</v>
      </c>
      <c r="C202" s="29" t="s">
        <v>549</v>
      </c>
      <c r="D202" s="29" t="s">
        <v>27623</v>
      </c>
      <c r="E202" s="29" t="s">
        <v>550</v>
      </c>
      <c r="F202" s="29" t="s">
        <v>549</v>
      </c>
      <c r="G202" s="29" t="s">
        <v>414</v>
      </c>
      <c r="H202" s="29" t="str" cm="1">
        <f t="array" ref="H202">_xlfn.IFS(
     Lists_S3.1_SpendB[[#This Row],[DE Category]]="","",
     Language=German,Lists_S3.1_SpendB[[#This Row],[DE Category]],
     Language=French,Lists_S3.1_SpendB[[#This Row],[FR Category]],
     Language=Italian,Lists_S3.1_SpendB[[#This Row],[IT Category]]
)</f>
        <v>Santé, Affaires sociales</v>
      </c>
      <c r="I202" s="29" t="s">
        <v>548</v>
      </c>
      <c r="J202" s="29" t="s">
        <v>27258</v>
      </c>
      <c r="K202" s="29" t="s">
        <v>27259</v>
      </c>
    </row>
    <row r="203" spans="1:29" x14ac:dyDescent="0.25">
      <c r="B203" s="29" t="str" cm="1">
        <f t="array" ref="B203">_xlfn.IFS(
     Lists_S3.1_SpendB[[#This Row],[DE Name]]="","",
     Language=German,Lists_S3.1_SpendB[[#This Row],[DE Name]],
     Language=French,Lists_S3.1_SpendB[[#This Row],[FR Name]],
     Language=Italian,Lists_S3.1_SpendB[[#This Row],[IT Name]]
)</f>
        <v>Services liés aux arts, aux loisirs et aux divertissements</v>
      </c>
      <c r="C203" s="29" t="s">
        <v>551</v>
      </c>
      <c r="D203" s="29" t="s">
        <v>27624</v>
      </c>
      <c r="E203" s="29" t="s">
        <v>552</v>
      </c>
      <c r="F203" s="29" t="s">
        <v>551</v>
      </c>
      <c r="G203" s="29" t="s">
        <v>414</v>
      </c>
      <c r="H203" s="29" t="str" cm="1">
        <f t="array" ref="H203">_xlfn.IFS(
     Lists_S3.1_SpendB[[#This Row],[DE Category]]="","",
     Language=German,Lists_S3.1_SpendB[[#This Row],[DE Category]],
     Language=French,Lists_S3.1_SpendB[[#This Row],[FR Category]],
     Language=Italian,Lists_S3.1_SpendB[[#This Row],[IT Category]]
)</f>
        <v>Autres DL</v>
      </c>
      <c r="I203" s="29" t="s">
        <v>517</v>
      </c>
      <c r="J203" s="29" t="s">
        <v>27254</v>
      </c>
      <c r="K203" s="29" t="s">
        <v>27255</v>
      </c>
    </row>
    <row r="204" spans="1:29" x14ac:dyDescent="0.25">
      <c r="B204" s="29" t="str" cm="1">
        <f t="array" ref="B204">_xlfn.IFS(
     Lists_S3.1_SpendB[[#This Row],[DE Name]]="","",
     Language=German,Lists_S3.1_SpendB[[#This Row],[DE Name]],
     Language=French,Lists_S3.1_SpendB[[#This Row],[FR Name]],
     Language=Italian,Lists_S3.1_SpendB[[#This Row],[IT Name]]
)</f>
        <v>Autres services</v>
      </c>
      <c r="C204" s="29" t="s">
        <v>553</v>
      </c>
      <c r="D204" s="29" t="s">
        <v>554</v>
      </c>
      <c r="E204" s="29" t="s">
        <v>555</v>
      </c>
      <c r="F204" s="29" t="s">
        <v>553</v>
      </c>
      <c r="G204" s="29" t="s">
        <v>414</v>
      </c>
      <c r="H204" s="29" t="str" cm="1">
        <f t="array" ref="H204">_xlfn.IFS(
     Lists_S3.1_SpendB[[#This Row],[DE Category]]="","",
     Language=German,Lists_S3.1_SpendB[[#This Row],[DE Category]],
     Language=French,Lists_S3.1_SpendB[[#This Row],[FR Category]],
     Language=Italian,Lists_S3.1_SpendB[[#This Row],[IT Category]]
)</f>
        <v>Autres DL</v>
      </c>
      <c r="I204" s="29" t="s">
        <v>517</v>
      </c>
      <c r="J204" s="29" t="s">
        <v>27254</v>
      </c>
      <c r="K204" s="29" t="s">
        <v>27255</v>
      </c>
    </row>
    <row r="208" spans="1:29" s="28" customFormat="1" x14ac:dyDescent="0.25">
      <c r="A208" s="28" t="s">
        <v>556</v>
      </c>
      <c r="B208" s="29" t="s">
        <v>62</v>
      </c>
      <c r="C208" s="29" t="s">
        <v>63</v>
      </c>
      <c r="D208" s="29" t="s">
        <v>64</v>
      </c>
      <c r="E208" s="29" t="s">
        <v>65</v>
      </c>
      <c r="F208" s="29" t="s">
        <v>66</v>
      </c>
      <c r="G208" s="29" t="s">
        <v>557</v>
      </c>
      <c r="H208" s="29" t="s">
        <v>410</v>
      </c>
      <c r="I208" s="29" t="s">
        <v>27229</v>
      </c>
      <c r="J208" s="29" t="s">
        <v>27230</v>
      </c>
      <c r="K208" s="30" t="s">
        <v>27231</v>
      </c>
      <c r="L208" s="30"/>
      <c r="M208" s="30"/>
      <c r="N208" s="30"/>
      <c r="O208" s="30"/>
      <c r="P208" s="30"/>
      <c r="Q208" s="30"/>
      <c r="R208" s="30"/>
      <c r="S208" s="30"/>
      <c r="T208" s="30"/>
      <c r="U208" s="30"/>
      <c r="V208" s="30"/>
      <c r="W208" s="30"/>
      <c r="X208" s="30"/>
      <c r="Y208" s="30"/>
      <c r="Z208" s="30"/>
      <c r="AA208" s="30"/>
      <c r="AB208" s="30"/>
      <c r="AC208" s="30"/>
    </row>
    <row r="209" spans="2:11" x14ac:dyDescent="0.25">
      <c r="B209" s="29" t="str" cm="1">
        <f t="array" ref="B209">_xlfn.IFS(
     Lists_S3.2_CapitalGoods[[#This Row],[DE Name]]="","",
     Language=German,Lists_S3.2_CapitalGoods[[#This Row],[DE Name]],
     Language=French,Lists_S3.2_CapitalGoods[[#This Row],[FR Name]],
     Language=Italian,Lists_S3.2_CapitalGoods[[#This Row],[IT Name]]
)</f>
        <v>Immeuble de bureaux, par m3</v>
      </c>
      <c r="C209" s="29" t="s">
        <v>27625</v>
      </c>
      <c r="D209" s="29" t="s">
        <v>27626</v>
      </c>
      <c r="E209" s="29" t="s">
        <v>27627</v>
      </c>
      <c r="F209" s="29" t="s">
        <v>559</v>
      </c>
      <c r="G209" s="29" t="s">
        <v>83</v>
      </c>
      <c r="H209" s="29" t="s">
        <v>560</v>
      </c>
      <c r="I209" s="29" t="s">
        <v>560</v>
      </c>
      <c r="J209" s="29" t="s">
        <v>27260</v>
      </c>
      <c r="K209" s="29" t="s">
        <v>27261</v>
      </c>
    </row>
    <row r="210" spans="2:11" x14ac:dyDescent="0.25">
      <c r="B210" s="29" t="str" cm="1">
        <f t="array" ref="B210">_xlfn.IFS(
     Lists_S3.2_CapitalGoods[[#This Row],[DE Name]]="","",
     Language=German,Lists_S3.2_CapitalGoods[[#This Row],[DE Name]],
     Language=French,Lists_S3.2_CapitalGoods[[#This Row],[FR Name]],
     Language=Italian,Lists_S3.2_CapitalGoods[[#This Row],[IT Name]]
)</f>
        <v>Hall de production / entrepôt, par m2</v>
      </c>
      <c r="C210" s="29" t="s">
        <v>27628</v>
      </c>
      <c r="D210" s="29" t="s">
        <v>27629</v>
      </c>
      <c r="E210" s="29" t="s">
        <v>28590</v>
      </c>
      <c r="F210" s="29" t="s">
        <v>562</v>
      </c>
      <c r="G210" s="29" t="s">
        <v>563</v>
      </c>
      <c r="H210" s="29" t="s">
        <v>560</v>
      </c>
      <c r="I210" s="29" t="s">
        <v>560</v>
      </c>
      <c r="J210" s="29" t="s">
        <v>27260</v>
      </c>
      <c r="K210" s="29" t="s">
        <v>27261</v>
      </c>
    </row>
    <row r="211" spans="2:11" x14ac:dyDescent="0.25">
      <c r="B211" s="29" t="str" cm="1">
        <f t="array" ref="B211">_xlfn.IFS(
     Lists_S3.2_CapitalGoods[[#This Row],[DE Name]]="","",
     Language=German,Lists_S3.2_CapitalGoods[[#This Row],[DE Name]],
     Language=French,Lists_S3.2_CapitalGoods[[#This Row],[FR Name]],
     Language=Italian,Lists_S3.2_CapitalGoods[[#This Row],[IT Name]]
)</f>
        <v>Installation photovoltaïque, 3 kWp (17 m2)</v>
      </c>
      <c r="C211" s="29" t="s">
        <v>27424</v>
      </c>
      <c r="D211" s="29" t="s">
        <v>565</v>
      </c>
      <c r="E211" s="29" t="s">
        <v>566</v>
      </c>
      <c r="F211" s="29" t="s">
        <v>2036</v>
      </c>
      <c r="G211" s="29" t="s">
        <v>563</v>
      </c>
      <c r="H211" s="29" t="s">
        <v>560</v>
      </c>
      <c r="I211" s="29" t="s">
        <v>560</v>
      </c>
      <c r="J211" s="29" t="s">
        <v>27260</v>
      </c>
      <c r="K211" s="29" t="s">
        <v>27261</v>
      </c>
    </row>
    <row r="212" spans="2:11" x14ac:dyDescent="0.25">
      <c r="B212" s="29" t="str" cm="1">
        <f t="array" ref="B212">_xlfn.IFS(
     Lists_S3.2_CapitalGoods[[#This Row],[DE Name]]="","",
     Language=German,Lists_S3.2_CapitalGoods[[#This Row],[DE Name]],
     Language=French,Lists_S3.2_CapitalGoods[[#This Row],[FR Name]],
     Language=Italian,Lists_S3.2_CapitalGoods[[#This Row],[IT Name]]
)</f>
        <v>Chaudière à mazout 10 kW</v>
      </c>
      <c r="C212" s="29" t="s">
        <v>27425</v>
      </c>
      <c r="D212" s="29" t="s">
        <v>568</v>
      </c>
      <c r="E212" s="29" t="s">
        <v>569</v>
      </c>
      <c r="F212" s="29" t="s">
        <v>570</v>
      </c>
      <c r="G212" s="29" t="s">
        <v>989</v>
      </c>
      <c r="H212" s="29" t="s">
        <v>560</v>
      </c>
      <c r="I212" s="29" t="s">
        <v>560</v>
      </c>
      <c r="J212" s="29" t="s">
        <v>27260</v>
      </c>
      <c r="K212" s="29" t="s">
        <v>27261</v>
      </c>
    </row>
    <row r="213" spans="2:11" x14ac:dyDescent="0.25">
      <c r="B213" s="29" t="str" cm="1">
        <f t="array" ref="B213">_xlfn.IFS(
     Lists_S3.2_CapitalGoods[[#This Row],[DE Name]]="","",
     Language=German,Lists_S3.2_CapitalGoods[[#This Row],[DE Name]],
     Language=French,Lists_S3.2_CapitalGoods[[#This Row],[FR Name]],
     Language=Italian,Lists_S3.2_CapitalGoods[[#This Row],[IT Name]]
)</f>
        <v>Chaudière à mazout 100 kW</v>
      </c>
      <c r="C213" s="29" t="s">
        <v>27426</v>
      </c>
      <c r="D213" s="29" t="s">
        <v>27630</v>
      </c>
      <c r="E213" s="29" t="s">
        <v>572</v>
      </c>
      <c r="F213" s="29" t="s">
        <v>573</v>
      </c>
      <c r="G213" s="29" t="s">
        <v>989</v>
      </c>
      <c r="H213" s="29" t="s">
        <v>560</v>
      </c>
      <c r="I213" s="29" t="s">
        <v>560</v>
      </c>
      <c r="J213" s="29" t="s">
        <v>27260</v>
      </c>
      <c r="K213" s="29" t="s">
        <v>27261</v>
      </c>
    </row>
    <row r="214" spans="2:11" x14ac:dyDescent="0.25">
      <c r="B214" s="29" t="str" cm="1">
        <f t="array" ref="B214">_xlfn.IFS(
     Lists_S3.2_CapitalGoods[[#This Row],[DE Name]]="","",
     Language=German,Lists_S3.2_CapitalGoods[[#This Row],[DE Name]],
     Language=French,Lists_S3.2_CapitalGoods[[#This Row],[FR Name]],
     Language=Italian,Lists_S3.2_CapitalGoods[[#This Row],[IT Name]]
)</f>
        <v>Chaudière à gaz 15 kW</v>
      </c>
      <c r="C214" s="29" t="s">
        <v>27427</v>
      </c>
      <c r="D214" s="29" t="s">
        <v>27631</v>
      </c>
      <c r="E214" s="29" t="s">
        <v>575</v>
      </c>
      <c r="F214" s="29" t="s">
        <v>576</v>
      </c>
      <c r="G214" s="29" t="s">
        <v>88</v>
      </c>
      <c r="H214" s="29" t="s">
        <v>560</v>
      </c>
      <c r="I214" s="29" t="s">
        <v>560</v>
      </c>
      <c r="J214" s="29" t="s">
        <v>27260</v>
      </c>
      <c r="K214" s="29" t="s">
        <v>27261</v>
      </c>
    </row>
    <row r="215" spans="2:11" x14ac:dyDescent="0.25">
      <c r="B215" s="29" t="str" cm="1">
        <f t="array" ref="B215">_xlfn.IFS(
     Lists_S3.2_CapitalGoods[[#This Row],[DE Name]]="","",
     Language=German,Lists_S3.2_CapitalGoods[[#This Row],[DE Name]],
     Language=French,Lists_S3.2_CapitalGoods[[#This Row],[FR Name]],
     Language=Italian,Lists_S3.2_CapitalGoods[[#This Row],[IT Name]]
)</f>
        <v>Chaudière à gaz 50 kW</v>
      </c>
      <c r="C215" s="29" t="s">
        <v>27428</v>
      </c>
      <c r="D215" s="29" t="s">
        <v>27632</v>
      </c>
      <c r="E215" s="29" t="s">
        <v>578</v>
      </c>
      <c r="F215" s="29" t="s">
        <v>579</v>
      </c>
      <c r="G215" s="29" t="s">
        <v>989</v>
      </c>
      <c r="H215" s="29" t="s">
        <v>560</v>
      </c>
      <c r="I215" s="29" t="s">
        <v>560</v>
      </c>
      <c r="J215" s="29" t="s">
        <v>27260</v>
      </c>
      <c r="K215" s="29" t="s">
        <v>27261</v>
      </c>
    </row>
    <row r="216" spans="2:11" x14ac:dyDescent="0.25">
      <c r="B216" s="29" t="str" cm="1">
        <f t="array" ref="B216">_xlfn.IFS(
     Lists_S3.2_CapitalGoods[[#This Row],[DE Name]]="","",
     Language=German,Lists_S3.2_CapitalGoods[[#This Row],[DE Name]],
     Language=French,Lists_S3.2_CapitalGoods[[#This Row],[FR Name]],
     Language=Italian,Lists_S3.2_CapitalGoods[[#This Row],[IT Name]]
)</f>
        <v>Pompe à chaleur, air-eau, 15 kW</v>
      </c>
      <c r="C216" s="29" t="s">
        <v>27429</v>
      </c>
      <c r="D216" s="29" t="s">
        <v>581</v>
      </c>
      <c r="E216" s="29" t="s">
        <v>582</v>
      </c>
      <c r="F216" s="29" t="s">
        <v>583</v>
      </c>
      <c r="G216" s="29" t="s">
        <v>989</v>
      </c>
      <c r="H216" s="29" t="s">
        <v>560</v>
      </c>
      <c r="I216" s="29" t="s">
        <v>560</v>
      </c>
      <c r="J216" s="29" t="s">
        <v>27260</v>
      </c>
      <c r="K216" s="29" t="s">
        <v>27261</v>
      </c>
    </row>
    <row r="217" spans="2:11" x14ac:dyDescent="0.25">
      <c r="B217" s="29" t="str" cm="1">
        <f t="array" ref="B217">_xlfn.IFS(
     Lists_S3.2_CapitalGoods[[#This Row],[DE Name]]="","",
     Language=German,Lists_S3.2_CapitalGoods[[#This Row],[DE Name]],
     Language=French,Lists_S3.2_CapitalGoods[[#This Row],[FR Name]],
     Language=Italian,Lists_S3.2_CapitalGoods[[#This Row],[IT Name]]
)</f>
        <v>Pompe à chaleur, air-eau, 50 kW</v>
      </c>
      <c r="C217" s="29" t="s">
        <v>27430</v>
      </c>
      <c r="D217" s="29" t="s">
        <v>27633</v>
      </c>
      <c r="E217" s="29" t="s">
        <v>585</v>
      </c>
      <c r="F217" s="29" t="s">
        <v>586</v>
      </c>
      <c r="G217" s="29" t="s">
        <v>989</v>
      </c>
      <c r="H217" s="29" t="s">
        <v>560</v>
      </c>
      <c r="I217" s="29" t="s">
        <v>560</v>
      </c>
      <c r="J217" s="29" t="s">
        <v>27260</v>
      </c>
      <c r="K217" s="29" t="s">
        <v>27261</v>
      </c>
    </row>
    <row r="218" spans="2:11" x14ac:dyDescent="0.25">
      <c r="B218" s="29" t="str" cm="1">
        <f t="array" ref="B218">_xlfn.IFS(
     Lists_S3.2_CapitalGoods[[#This Row],[DE Name]]="","",
     Language=German,Lists_S3.2_CapitalGoods[[#This Row],[DE Name]],
     Language=French,Lists_S3.2_CapitalGoods[[#This Row],[FR Name]],
     Language=Italian,Lists_S3.2_CapitalGoods[[#This Row],[IT Name]]
)</f>
        <v>Pompe à chaleur, eau glycolée, 15 kW</v>
      </c>
      <c r="C218" s="29" t="s">
        <v>27431</v>
      </c>
      <c r="D218" s="29" t="s">
        <v>27634</v>
      </c>
      <c r="E218" s="29" t="s">
        <v>27635</v>
      </c>
      <c r="F218" s="29" t="s">
        <v>588</v>
      </c>
      <c r="G218" s="29" t="s">
        <v>989</v>
      </c>
      <c r="H218" s="29" t="s">
        <v>560</v>
      </c>
      <c r="I218" s="29" t="s">
        <v>560</v>
      </c>
      <c r="J218" s="29" t="s">
        <v>27260</v>
      </c>
      <c r="K218" s="29" t="s">
        <v>27261</v>
      </c>
    </row>
    <row r="219" spans="2:11" x14ac:dyDescent="0.25">
      <c r="B219" s="29" t="str" cm="1">
        <f t="array" ref="B219">_xlfn.IFS(
     Lists_S3.2_CapitalGoods[[#This Row],[DE Name]]="","",
     Language=German,Lists_S3.2_CapitalGoods[[#This Row],[DE Name]],
     Language=French,Lists_S3.2_CapitalGoods[[#This Row],[FR Name]],
     Language=Italian,Lists_S3.2_CapitalGoods[[#This Row],[IT Name]]
)</f>
        <v>Pompe à chaleur, eau glycolée, 50 kW</v>
      </c>
      <c r="C219" s="29" t="s">
        <v>27432</v>
      </c>
      <c r="D219" s="29" t="s">
        <v>27636</v>
      </c>
      <c r="E219" s="29" t="s">
        <v>27637</v>
      </c>
      <c r="F219" s="29" t="s">
        <v>590</v>
      </c>
      <c r="G219" s="29" t="s">
        <v>989</v>
      </c>
      <c r="H219" s="29" t="s">
        <v>560</v>
      </c>
      <c r="I219" s="29" t="s">
        <v>560</v>
      </c>
      <c r="J219" s="29" t="s">
        <v>27260</v>
      </c>
      <c r="K219" s="29" t="s">
        <v>27261</v>
      </c>
    </row>
    <row r="220" spans="2:11" x14ac:dyDescent="0.25">
      <c r="B220" s="29" t="str" cm="1">
        <f t="array" ref="B220">_xlfn.IFS(
     Lists_S3.2_CapitalGoods[[#This Row],[DE Name]]="","",
     Language=German,Lists_S3.2_CapitalGoods[[#This Row],[DE Name]],
     Language=French,Lists_S3.2_CapitalGoods[[#This Row],[FR Name]],
     Language=Italian,Lists_S3.2_CapitalGoods[[#This Row],[IT Name]]
)</f>
        <v>Routes / places de stationnemen,t par m2</v>
      </c>
      <c r="C220" s="29" t="s">
        <v>27638</v>
      </c>
      <c r="D220" s="29" t="s">
        <v>27639</v>
      </c>
      <c r="E220" s="29" t="s">
        <v>28591</v>
      </c>
      <c r="F220" s="29" t="s">
        <v>592</v>
      </c>
      <c r="G220" s="29" t="s">
        <v>563</v>
      </c>
      <c r="H220" s="29" t="s">
        <v>560</v>
      </c>
      <c r="I220" s="29" t="s">
        <v>560</v>
      </c>
      <c r="J220" s="29" t="s">
        <v>27260</v>
      </c>
      <c r="K220" s="29" t="s">
        <v>27261</v>
      </c>
    </row>
    <row r="221" spans="2:11" x14ac:dyDescent="0.25">
      <c r="B221" s="29" t="str" cm="1">
        <f t="array" ref="B221">_xlfn.IFS(
     Lists_S3.2_CapitalGoods[[#This Row],[DE Name]]="","",
     Language=German,Lists_S3.2_CapitalGoods[[#This Row],[DE Name]],
     Language=French,Lists_S3.2_CapitalGoods[[#This Row],[FR Name]],
     Language=Italian,Lists_S3.2_CapitalGoods[[#This Row],[IT Name]]
)</f>
        <v>Voiture particulière électrique</v>
      </c>
      <c r="C221" s="29" t="s">
        <v>27433</v>
      </c>
      <c r="D221" s="29" t="s">
        <v>595</v>
      </c>
      <c r="E221" s="29" t="s">
        <v>596</v>
      </c>
      <c r="F221" s="29" t="s">
        <v>597</v>
      </c>
      <c r="G221" s="29" t="s">
        <v>989</v>
      </c>
      <c r="H221" s="29" t="s">
        <v>471</v>
      </c>
      <c r="I221" s="29" t="s">
        <v>471</v>
      </c>
      <c r="J221" s="29" t="s">
        <v>27237</v>
      </c>
      <c r="K221" s="29" t="s">
        <v>27238</v>
      </c>
    </row>
    <row r="222" spans="2:11" x14ac:dyDescent="0.25">
      <c r="B222" s="29" t="str" cm="1">
        <f t="array" ref="B222">_xlfn.IFS(
     Lists_S3.2_CapitalGoods[[#This Row],[DE Name]]="","",
     Language=German,Lists_S3.2_CapitalGoods[[#This Row],[DE Name]],
     Language=French,Lists_S3.2_CapitalGoods[[#This Row],[FR Name]],
     Language=Italian,Lists_S3.2_CapitalGoods[[#This Row],[IT Name]]
)</f>
        <v>Voiture particulière essence/diesel</v>
      </c>
      <c r="C222" s="29" t="s">
        <v>27434</v>
      </c>
      <c r="D222" s="29" t="s">
        <v>599</v>
      </c>
      <c r="E222" s="29" t="s">
        <v>600</v>
      </c>
      <c r="F222" s="29" t="s">
        <v>601</v>
      </c>
      <c r="G222" s="29" t="s">
        <v>989</v>
      </c>
      <c r="H222" s="29" t="s">
        <v>471</v>
      </c>
      <c r="I222" s="29" t="s">
        <v>471</v>
      </c>
      <c r="J222" s="29" t="s">
        <v>27237</v>
      </c>
      <c r="K222" s="29" t="s">
        <v>27238</v>
      </c>
    </row>
    <row r="223" spans="2:11" x14ac:dyDescent="0.25">
      <c r="B223" s="29" t="str" cm="1">
        <f t="array" ref="B223">_xlfn.IFS(
     Lists_S3.2_CapitalGoods[[#This Row],[DE Name]]="","",
     Language=German,Lists_S3.2_CapitalGoods[[#This Row],[DE Name]],
     Language=French,Lists_S3.2_CapitalGoods[[#This Row],[FR Name]],
     Language=Italian,Lists_S3.2_CapitalGoods[[#This Row],[IT Name]]
)</f>
        <v>Camion 3.5t, diesel</v>
      </c>
      <c r="C223" s="29" t="s">
        <v>27938</v>
      </c>
      <c r="D223" s="29" t="s">
        <v>27944</v>
      </c>
      <c r="E223" s="29" t="s">
        <v>28592</v>
      </c>
      <c r="F223" s="29" t="s">
        <v>603</v>
      </c>
      <c r="G223" s="29" t="s">
        <v>989</v>
      </c>
      <c r="H223" s="29" t="s">
        <v>471</v>
      </c>
      <c r="I223" s="29" t="s">
        <v>471</v>
      </c>
      <c r="J223" s="29" t="s">
        <v>27237</v>
      </c>
      <c r="K223" s="29" t="s">
        <v>27238</v>
      </c>
    </row>
    <row r="224" spans="2:11" x14ac:dyDescent="0.25">
      <c r="B224" s="29" t="str" cm="1">
        <f t="array" ref="B224">_xlfn.IFS(
     Lists_S3.2_CapitalGoods[[#This Row],[DE Name]]="","",
     Language=German,Lists_S3.2_CapitalGoods[[#This Row],[DE Name]],
     Language=French,Lists_S3.2_CapitalGoods[[#This Row],[FR Name]],
     Language=Italian,Lists_S3.2_CapitalGoods[[#This Row],[IT Name]]
)</f>
        <v>Camion 7.5t, diesel</v>
      </c>
      <c r="C224" s="29" t="s">
        <v>27939</v>
      </c>
      <c r="D224" s="29" t="s">
        <v>27945</v>
      </c>
      <c r="E224" s="29" t="s">
        <v>27950</v>
      </c>
      <c r="F224" s="29" t="s">
        <v>605</v>
      </c>
      <c r="G224" s="29" t="s">
        <v>989</v>
      </c>
      <c r="H224" s="29" t="s">
        <v>471</v>
      </c>
      <c r="I224" s="29" t="s">
        <v>471</v>
      </c>
      <c r="J224" s="29" t="s">
        <v>27237</v>
      </c>
      <c r="K224" s="29" t="s">
        <v>27238</v>
      </c>
    </row>
    <row r="225" spans="2:11" x14ac:dyDescent="0.25">
      <c r="B225" s="29" t="str" cm="1">
        <f t="array" ref="B225">_xlfn.IFS(
     Lists_S3.2_CapitalGoods[[#This Row],[DE Name]]="","",
     Language=German,Lists_S3.2_CapitalGoods[[#This Row],[DE Name]],
     Language=French,Lists_S3.2_CapitalGoods[[#This Row],[FR Name]],
     Language=Italian,Lists_S3.2_CapitalGoods[[#This Row],[IT Name]]
)</f>
        <v>Camion 18t, diesel</v>
      </c>
      <c r="C225" s="29" t="s">
        <v>27940</v>
      </c>
      <c r="D225" s="29" t="s">
        <v>27946</v>
      </c>
      <c r="E225" s="29" t="s">
        <v>27946</v>
      </c>
      <c r="F225" s="29" t="s">
        <v>607</v>
      </c>
      <c r="G225" s="29" t="s">
        <v>989</v>
      </c>
      <c r="H225" s="29" t="s">
        <v>471</v>
      </c>
      <c r="I225" s="29" t="s">
        <v>471</v>
      </c>
      <c r="J225" s="29" t="s">
        <v>27237</v>
      </c>
      <c r="K225" s="29" t="s">
        <v>27238</v>
      </c>
    </row>
    <row r="226" spans="2:11" x14ac:dyDescent="0.25">
      <c r="B226" s="29" t="str" cm="1">
        <f t="array" ref="B226">_xlfn.IFS(
     Lists_S3.2_CapitalGoods[[#This Row],[DE Name]]="","",
     Language=German,Lists_S3.2_CapitalGoods[[#This Row],[DE Name]],
     Language=French,Lists_S3.2_CapitalGoods[[#This Row],[FR Name]],
     Language=Italian,Lists_S3.2_CapitalGoods[[#This Row],[IT Name]]
)</f>
        <v>Camion 26t, diesel</v>
      </c>
      <c r="C226" s="29" t="s">
        <v>27941</v>
      </c>
      <c r="D226" s="29" t="s">
        <v>27947</v>
      </c>
      <c r="E226" s="29" t="s">
        <v>27947</v>
      </c>
      <c r="F226" s="29" t="s">
        <v>609</v>
      </c>
      <c r="G226" s="29" t="s">
        <v>989</v>
      </c>
      <c r="H226" s="29" t="s">
        <v>471</v>
      </c>
      <c r="I226" s="29" t="s">
        <v>471</v>
      </c>
      <c r="J226" s="29" t="s">
        <v>27237</v>
      </c>
      <c r="K226" s="29" t="s">
        <v>27238</v>
      </c>
    </row>
    <row r="227" spans="2:11" x14ac:dyDescent="0.25">
      <c r="B227" s="29" t="str" cm="1">
        <f t="array" ref="B227">_xlfn.IFS(
     Lists_S3.2_CapitalGoods[[#This Row],[DE Name]]="","",
     Language=German,Lists_S3.2_CapitalGoods[[#This Row],[DE Name]],
     Language=French,Lists_S3.2_CapitalGoods[[#This Row],[FR Name]],
     Language=Italian,Lists_S3.2_CapitalGoods[[#This Row],[IT Name]]
)</f>
        <v>Camion 32t, diesel</v>
      </c>
      <c r="C227" s="29" t="s">
        <v>27942</v>
      </c>
      <c r="D227" s="29" t="s">
        <v>27948</v>
      </c>
      <c r="E227" s="29" t="s">
        <v>27948</v>
      </c>
      <c r="F227" s="29" t="s">
        <v>611</v>
      </c>
      <c r="G227" s="29" t="s">
        <v>989</v>
      </c>
      <c r="H227" s="29" t="s">
        <v>471</v>
      </c>
      <c r="I227" s="29" t="s">
        <v>471</v>
      </c>
      <c r="J227" s="29" t="s">
        <v>27237</v>
      </c>
      <c r="K227" s="29" t="s">
        <v>27238</v>
      </c>
    </row>
    <row r="228" spans="2:11" x14ac:dyDescent="0.25">
      <c r="B228" s="29" t="str" cm="1">
        <f t="array" ref="B228">_xlfn.IFS(
     Lists_S3.2_CapitalGoods[[#This Row],[DE Name]]="","",
     Language=German,Lists_S3.2_CapitalGoods[[#This Row],[DE Name]],
     Language=French,Lists_S3.2_CapitalGoods[[#This Row],[FR Name]],
     Language=Italian,Lists_S3.2_CapitalGoods[[#This Row],[IT Name]]
)</f>
        <v>Camion 40t, diesel</v>
      </c>
      <c r="C228" s="29" t="s">
        <v>27943</v>
      </c>
      <c r="D228" s="29" t="s">
        <v>27949</v>
      </c>
      <c r="E228" s="29" t="s">
        <v>27949</v>
      </c>
      <c r="F228" s="29" t="s">
        <v>613</v>
      </c>
      <c r="G228" s="29" t="s">
        <v>989</v>
      </c>
      <c r="H228" s="29" t="s">
        <v>471</v>
      </c>
      <c r="I228" s="29" t="s">
        <v>471</v>
      </c>
      <c r="J228" s="29" t="s">
        <v>27237</v>
      </c>
      <c r="K228" s="29" t="s">
        <v>27238</v>
      </c>
    </row>
    <row r="229" spans="2:11" x14ac:dyDescent="0.25">
      <c r="B229" s="29" t="str" cm="1">
        <f t="array" ref="B229">_xlfn.IFS(
     Lists_S3.2_CapitalGoods[[#This Row],[DE Name]]="","",
     Language=German,Lists_S3.2_CapitalGoods[[#This Row],[DE Name]],
     Language=French,Lists_S3.2_CapitalGoods[[#This Row],[FR Name]],
     Language=Italian,Lists_S3.2_CapitalGoods[[#This Row],[IT Name]]
)</f>
        <v>Camion 3.5 t, électrique</v>
      </c>
      <c r="C229" s="29" t="s">
        <v>27435</v>
      </c>
      <c r="D229" s="29" t="s">
        <v>27640</v>
      </c>
      <c r="E229" s="29" t="s">
        <v>28593</v>
      </c>
      <c r="F229" s="29" t="s">
        <v>13379</v>
      </c>
      <c r="G229" s="29" t="s">
        <v>88</v>
      </c>
      <c r="H229" s="29" t="s">
        <v>471</v>
      </c>
      <c r="I229" s="29" t="s">
        <v>471</v>
      </c>
      <c r="J229" s="29" t="s">
        <v>27237</v>
      </c>
      <c r="K229" s="29" t="s">
        <v>27238</v>
      </c>
    </row>
    <row r="230" spans="2:11" x14ac:dyDescent="0.25">
      <c r="B230" s="29" t="str" cm="1">
        <f t="array" ref="B230">_xlfn.IFS(
     Lists_S3.2_CapitalGoods[[#This Row],[DE Name]]="","",
     Language=German,Lists_S3.2_CapitalGoods[[#This Row],[DE Name]],
     Language=French,Lists_S3.2_CapitalGoods[[#This Row],[FR Name]],
     Language=Italian,Lists_S3.2_CapitalGoods[[#This Row],[IT Name]]
)</f>
        <v>Camion 7.5 t, électrique</v>
      </c>
      <c r="C230" s="29" t="s">
        <v>27436</v>
      </c>
      <c r="D230" s="29" t="s">
        <v>27641</v>
      </c>
      <c r="E230" s="29" t="s">
        <v>617</v>
      </c>
      <c r="F230" s="29" t="s">
        <v>618</v>
      </c>
      <c r="G230" s="29" t="s">
        <v>989</v>
      </c>
      <c r="H230" s="29" t="s">
        <v>471</v>
      </c>
      <c r="I230" s="29" t="s">
        <v>471</v>
      </c>
      <c r="J230" s="29" t="s">
        <v>27237</v>
      </c>
      <c r="K230" s="29" t="s">
        <v>27238</v>
      </c>
    </row>
    <row r="231" spans="2:11" x14ac:dyDescent="0.25">
      <c r="B231" s="29" t="str" cm="1">
        <f t="array" ref="B231">_xlfn.IFS(
     Lists_S3.2_CapitalGoods[[#This Row],[DE Name]]="","",
     Language=German,Lists_S3.2_CapitalGoods[[#This Row],[DE Name]],
     Language=French,Lists_S3.2_CapitalGoods[[#This Row],[FR Name]],
     Language=Italian,Lists_S3.2_CapitalGoods[[#This Row],[IT Name]]
)</f>
        <v>Camion 18t, électrique</v>
      </c>
      <c r="C231" s="29" t="s">
        <v>27669</v>
      </c>
      <c r="D231" s="29" t="s">
        <v>620</v>
      </c>
      <c r="E231" s="29" t="s">
        <v>621</v>
      </c>
      <c r="F231" s="29" t="s">
        <v>622</v>
      </c>
      <c r="G231" s="29" t="s">
        <v>989</v>
      </c>
      <c r="H231" s="29" t="s">
        <v>471</v>
      </c>
      <c r="I231" s="29" t="s">
        <v>471</v>
      </c>
      <c r="J231" s="29" t="s">
        <v>27237</v>
      </c>
      <c r="K231" s="29" t="s">
        <v>27238</v>
      </c>
    </row>
    <row r="232" spans="2:11" x14ac:dyDescent="0.25">
      <c r="B232" s="29" t="str" cm="1">
        <f t="array" ref="B232">_xlfn.IFS(
     Lists_S3.2_CapitalGoods[[#This Row],[DE Name]]="","",
     Language=German,Lists_S3.2_CapitalGoods[[#This Row],[DE Name]],
     Language=French,Lists_S3.2_CapitalGoods[[#This Row],[FR Name]],
     Language=Italian,Lists_S3.2_CapitalGoods[[#This Row],[IT Name]]
)</f>
        <v>Camion 26t, électrique</v>
      </c>
      <c r="C232" s="29" t="s">
        <v>27670</v>
      </c>
      <c r="D232" s="29" t="s">
        <v>624</v>
      </c>
      <c r="E232" s="29" t="s">
        <v>625</v>
      </c>
      <c r="F232" s="29" t="s">
        <v>626</v>
      </c>
      <c r="G232" s="29" t="s">
        <v>989</v>
      </c>
      <c r="H232" s="29" t="s">
        <v>471</v>
      </c>
      <c r="I232" s="29" t="s">
        <v>471</v>
      </c>
      <c r="J232" s="29" t="s">
        <v>27237</v>
      </c>
      <c r="K232" s="29" t="s">
        <v>27238</v>
      </c>
    </row>
    <row r="233" spans="2:11" x14ac:dyDescent="0.25">
      <c r="B233" s="29" t="str" cm="1">
        <f t="array" ref="B233">_xlfn.IFS(
     Lists_S3.2_CapitalGoods[[#This Row],[DE Name]]="","",
     Language=German,Lists_S3.2_CapitalGoods[[#This Row],[DE Name]],
     Language=French,Lists_S3.2_CapitalGoods[[#This Row],[FR Name]],
     Language=Italian,Lists_S3.2_CapitalGoods[[#This Row],[IT Name]]
)</f>
        <v>Camion 32t, électrique</v>
      </c>
      <c r="C233" s="29" t="s">
        <v>27437</v>
      </c>
      <c r="D233" s="29" t="s">
        <v>628</v>
      </c>
      <c r="E233" s="29" t="s">
        <v>629</v>
      </c>
      <c r="F233" s="29" t="s">
        <v>630</v>
      </c>
      <c r="G233" s="29" t="s">
        <v>989</v>
      </c>
      <c r="H233" s="29" t="s">
        <v>471</v>
      </c>
      <c r="I233" s="29" t="s">
        <v>471</v>
      </c>
      <c r="J233" s="29" t="s">
        <v>27237</v>
      </c>
      <c r="K233" s="29" t="s">
        <v>27238</v>
      </c>
    </row>
    <row r="234" spans="2:11" x14ac:dyDescent="0.25">
      <c r="B234" s="29" t="str" cm="1">
        <f t="array" ref="B234">_xlfn.IFS(
     Lists_S3.2_CapitalGoods[[#This Row],[DE Name]]="","",
     Language=German,Lists_S3.2_CapitalGoods[[#This Row],[DE Name]],
     Language=French,Lists_S3.2_CapitalGoods[[#This Row],[FR Name]],
     Language=Italian,Lists_S3.2_CapitalGoods[[#This Row],[IT Name]]
)</f>
        <v>Camion 40t, électrique</v>
      </c>
      <c r="C234" s="29" t="s">
        <v>27671</v>
      </c>
      <c r="D234" s="29" t="s">
        <v>632</v>
      </c>
      <c r="E234" s="29" t="s">
        <v>633</v>
      </c>
      <c r="F234" s="29" t="s">
        <v>634</v>
      </c>
      <c r="G234" s="29" t="s">
        <v>989</v>
      </c>
      <c r="H234" s="29" t="s">
        <v>471</v>
      </c>
      <c r="I234" s="29" t="s">
        <v>471</v>
      </c>
      <c r="J234" s="29" t="s">
        <v>27237</v>
      </c>
      <c r="K234" s="29" t="s">
        <v>27238</v>
      </c>
    </row>
    <row r="235" spans="2:11" x14ac:dyDescent="0.25">
      <c r="B235" s="29" t="str" cm="1">
        <f t="array" ref="B235">_xlfn.IFS(
     Lists_S3.2_CapitalGoods[[#This Row],[DE Name]]="","",
     Language=German,Lists_S3.2_CapitalGoods[[#This Row],[DE Name]],
     Language=French,Lists_S3.2_CapitalGoods[[#This Row],[FR Name]],
     Language=Italian,Lists_S3.2_CapitalGoods[[#This Row],[IT Name]]
)</f>
        <v>Autocar 9m</v>
      </c>
      <c r="C235" s="29" t="s">
        <v>27438</v>
      </c>
      <c r="D235" s="29" t="s">
        <v>27642</v>
      </c>
      <c r="E235" s="29" t="s">
        <v>636</v>
      </c>
      <c r="F235" s="29" t="s">
        <v>637</v>
      </c>
      <c r="G235" s="29" t="s">
        <v>989</v>
      </c>
      <c r="H235" s="29" t="s">
        <v>471</v>
      </c>
      <c r="I235" s="29" t="s">
        <v>471</v>
      </c>
      <c r="J235" s="29" t="s">
        <v>27237</v>
      </c>
      <c r="K235" s="29" t="s">
        <v>27238</v>
      </c>
    </row>
    <row r="236" spans="2:11" x14ac:dyDescent="0.25">
      <c r="B236" s="29" t="str" cm="1">
        <f t="array" ref="B236">_xlfn.IFS(
     Lists_S3.2_CapitalGoods[[#This Row],[DE Name]]="","",
     Language=German,Lists_S3.2_CapitalGoods[[#This Row],[DE Name]],
     Language=French,Lists_S3.2_CapitalGoods[[#This Row],[FR Name]],
     Language=Italian,Lists_S3.2_CapitalGoods[[#This Row],[IT Name]]
)</f>
        <v>Autocar 13m</v>
      </c>
      <c r="C236" s="29" t="s">
        <v>27439</v>
      </c>
      <c r="D236" s="29" t="s">
        <v>27643</v>
      </c>
      <c r="E236" s="29" t="s">
        <v>639</v>
      </c>
      <c r="F236" s="29" t="s">
        <v>640</v>
      </c>
      <c r="G236" s="29" t="s">
        <v>989</v>
      </c>
      <c r="H236" s="29" t="s">
        <v>471</v>
      </c>
      <c r="I236" s="29" t="s">
        <v>471</v>
      </c>
      <c r="J236" s="29" t="s">
        <v>27237</v>
      </c>
      <c r="K236" s="29" t="s">
        <v>27238</v>
      </c>
    </row>
    <row r="237" spans="2:11" x14ac:dyDescent="0.25">
      <c r="B237" s="29" t="str" cm="1">
        <f t="array" ref="B237">_xlfn.IFS(
     Lists_S3.2_CapitalGoods[[#This Row],[DE Name]]="","",
     Language=German,Lists_S3.2_CapitalGoods[[#This Row],[DE Name]],
     Language=French,Lists_S3.2_CapitalGoods[[#This Row],[FR Name]],
     Language=Italian,Lists_S3.2_CapitalGoods[[#This Row],[IT Name]]
)</f>
        <v>Machine de construction</v>
      </c>
      <c r="C237" s="29" t="s">
        <v>27440</v>
      </c>
      <c r="D237" s="29" t="s">
        <v>642</v>
      </c>
      <c r="E237" s="29" t="s">
        <v>643</v>
      </c>
      <c r="F237" s="29" t="s">
        <v>644</v>
      </c>
      <c r="G237" s="29" t="s">
        <v>989</v>
      </c>
      <c r="H237" s="29" t="s">
        <v>471</v>
      </c>
      <c r="I237" s="29" t="s">
        <v>471</v>
      </c>
      <c r="J237" s="29" t="s">
        <v>27237</v>
      </c>
      <c r="K237" s="29" t="s">
        <v>27238</v>
      </c>
    </row>
    <row r="238" spans="2:11" x14ac:dyDescent="0.25">
      <c r="B238" s="29" t="str" cm="1">
        <f t="array" ref="B238">_xlfn.IFS(
     Lists_S3.2_CapitalGoods[[#This Row],[DE Name]]="","",
     Language=German,Lists_S3.2_CapitalGoods[[#This Row],[DE Name]],
     Language=French,Lists_S3.2_CapitalGoods[[#This Row],[FR Name]],
     Language=Italian,Lists_S3.2_CapitalGoods[[#This Row],[IT Name]]
)</f>
        <v>Machine, génériques, par kg</v>
      </c>
      <c r="C238" s="29" t="s">
        <v>27666</v>
      </c>
      <c r="D238" s="29" t="s">
        <v>27672</v>
      </c>
      <c r="E238" s="29" t="s">
        <v>28594</v>
      </c>
      <c r="F238" s="29" t="s">
        <v>645</v>
      </c>
      <c r="G238" s="29" t="s">
        <v>88</v>
      </c>
      <c r="H238" s="29" t="s">
        <v>646</v>
      </c>
      <c r="I238" s="29" t="s">
        <v>646</v>
      </c>
      <c r="J238" s="29" t="s">
        <v>27262</v>
      </c>
      <c r="K238" s="29" t="s">
        <v>27263</v>
      </c>
    </row>
    <row r="239" spans="2:11" x14ac:dyDescent="0.25">
      <c r="B239" s="29" t="str" cm="1">
        <f t="array" ref="B239">_xlfn.IFS(
     Lists_S3.2_CapitalGoods[[#This Row],[DE Name]]="","",
     Language=German,Lists_S3.2_CapitalGoods[[#This Row],[DE Name]],
     Language=French,Lists_S3.2_CapitalGoods[[#This Row],[FR Name]],
     Language=Italian,Lists_S3.2_CapitalGoods[[#This Row],[IT Name]]
)</f>
        <v>Machine, haute technologie, par kg</v>
      </c>
      <c r="C239" s="29" t="s">
        <v>27667</v>
      </c>
      <c r="D239" s="29" t="s">
        <v>27673</v>
      </c>
      <c r="E239" s="29" t="s">
        <v>27675</v>
      </c>
      <c r="F239" s="29" t="s">
        <v>648</v>
      </c>
      <c r="G239" s="29" t="s">
        <v>88</v>
      </c>
      <c r="H239" s="29" t="s">
        <v>646</v>
      </c>
      <c r="I239" s="29" t="s">
        <v>646</v>
      </c>
      <c r="J239" s="29" t="s">
        <v>27262</v>
      </c>
      <c r="K239" s="29" t="s">
        <v>27263</v>
      </c>
    </row>
    <row r="240" spans="2:11" x14ac:dyDescent="0.25">
      <c r="B240" s="29" t="str" cm="1">
        <f t="array" ref="B240">_xlfn.IFS(
     Lists_S3.2_CapitalGoods[[#This Row],[DE Name]]="","",
     Language=German,Lists_S3.2_CapitalGoods[[#This Row],[DE Name]],
     Language=French,Lists_S3.2_CapitalGoods[[#This Row],[FR Name]],
     Language=Italian,Lists_S3.2_CapitalGoods[[#This Row],[IT Name]]
)</f>
        <v>Machine, ménagères, par kg</v>
      </c>
      <c r="C240" s="29" t="s">
        <v>27668</v>
      </c>
      <c r="D240" s="29" t="s">
        <v>27674</v>
      </c>
      <c r="E240" s="29" t="s">
        <v>27676</v>
      </c>
      <c r="F240" s="29" t="s">
        <v>18817</v>
      </c>
      <c r="G240" s="29" t="s">
        <v>88</v>
      </c>
      <c r="H240" s="29" t="s">
        <v>646</v>
      </c>
      <c r="I240" s="29" t="s">
        <v>646</v>
      </c>
      <c r="J240" s="29" t="s">
        <v>27262</v>
      </c>
      <c r="K240" s="29" t="s">
        <v>27263</v>
      </c>
    </row>
    <row r="244" spans="1:7" x14ac:dyDescent="0.25">
      <c r="A244" s="28" t="s">
        <v>683</v>
      </c>
      <c r="B244" s="29" t="s">
        <v>62</v>
      </c>
      <c r="C244" s="29" t="s">
        <v>63</v>
      </c>
      <c r="D244" s="29" t="s">
        <v>64</v>
      </c>
      <c r="E244" s="29" t="s">
        <v>65</v>
      </c>
      <c r="F244" s="29" t="s">
        <v>66</v>
      </c>
      <c r="G244" s="29" t="s">
        <v>67</v>
      </c>
    </row>
    <row r="245" spans="1:7" x14ac:dyDescent="0.25">
      <c r="B245" s="29" t="str" cm="1">
        <f t="array" ref="B245">_xlfn.IFS(
     Lists_S3.5_NonGHG[[#This Row],[DE Name]]="","",
     Language=German,Lists_S3.5_NonGHG[[#This Row],[DE Name]],
     Language=French,Lists_S3.5_NonGHG[[#This Row],[FR Name]],
     Language=Italian,Lists_S3.5_NonGHG[[#This Row],[IT Name]]
)</f>
        <v>1,2-dichloroéthane, dans l’air</v>
      </c>
      <c r="C245" s="29" t="s">
        <v>684</v>
      </c>
      <c r="D245" s="29" t="s">
        <v>685</v>
      </c>
      <c r="E245" s="29" t="s">
        <v>686</v>
      </c>
      <c r="F245" s="29" t="s">
        <v>28635</v>
      </c>
      <c r="G245" s="29" t="s">
        <v>88</v>
      </c>
    </row>
    <row r="246" spans="1:7" x14ac:dyDescent="0.25">
      <c r="B246" s="29" t="str" cm="1">
        <f t="array" ref="B246">_xlfn.IFS(
     Lists_S3.5_NonGHG[[#This Row],[DE Name]]="","",
     Language=German,Lists_S3.5_NonGHG[[#This Row],[DE Name]],
     Language=French,Lists_S3.5_NonGHG[[#This Row],[FR Name]],
     Language=Italian,Lists_S3.5_NonGHG[[#This Row],[IT Name]]
)</f>
        <v>1,2-dichloroéthane, dans l’eau</v>
      </c>
      <c r="C246" s="29" t="s">
        <v>687</v>
      </c>
      <c r="D246" s="29" t="s">
        <v>688</v>
      </c>
      <c r="E246" s="29" t="s">
        <v>689</v>
      </c>
      <c r="F246" s="29" t="s">
        <v>28636</v>
      </c>
      <c r="G246" s="29" t="s">
        <v>88</v>
      </c>
    </row>
    <row r="247" spans="1:7" x14ac:dyDescent="0.25">
      <c r="B247" s="29" t="str" cm="1">
        <f t="array" ref="B247">_xlfn.IFS(
     Lists_S3.5_NonGHG[[#This Row],[DE Name]]="","",
     Language=German,Lists_S3.5_NonGHG[[#This Row],[DE Name]],
     Language=French,Lists_S3.5_NonGHG[[#This Row],[FR Name]],
     Language=Italian,Lists_S3.5_NonGHG[[#This Row],[IT Name]]
)</f>
        <v>Ammoniac, dans l’air</v>
      </c>
      <c r="C247" s="29" t="s">
        <v>690</v>
      </c>
      <c r="D247" s="29" t="s">
        <v>691</v>
      </c>
      <c r="E247" s="29" t="s">
        <v>692</v>
      </c>
      <c r="F247" s="29" t="s">
        <v>28637</v>
      </c>
      <c r="G247" s="29" t="s">
        <v>88</v>
      </c>
    </row>
    <row r="248" spans="1:7" x14ac:dyDescent="0.25">
      <c r="B248" s="29" t="str" cm="1">
        <f t="array" ref="B248">_xlfn.IFS(
     Lists_S3.5_NonGHG[[#This Row],[DE Name]]="","",
     Language=German,Lists_S3.5_NonGHG[[#This Row],[DE Name]],
     Language=French,Lists_S3.5_NonGHG[[#This Row],[FR Name]],
     Language=Italian,Lists_S3.5_NonGHG[[#This Row],[IT Name]]
)</f>
        <v>Anthracène, dans l’eau</v>
      </c>
      <c r="C248" s="29" t="s">
        <v>693</v>
      </c>
      <c r="D248" s="29" t="s">
        <v>694</v>
      </c>
      <c r="E248" s="29" t="s">
        <v>695</v>
      </c>
      <c r="F248" s="29" t="s">
        <v>28638</v>
      </c>
      <c r="G248" s="29" t="s">
        <v>88</v>
      </c>
    </row>
    <row r="249" spans="1:7" x14ac:dyDescent="0.25">
      <c r="B249" s="29" t="str" cm="1">
        <f t="array" ref="B249">_xlfn.IFS(
     Lists_S3.5_NonGHG[[#This Row],[DE Name]]="","",
     Language=German,Lists_S3.5_NonGHG[[#This Row],[DE Name]],
     Language=French,Lists_S3.5_NonGHG[[#This Row],[FR Name]],
     Language=Italian,Lists_S3.5_NonGHG[[#This Row],[IT Name]]
)</f>
        <v>Arsenic, dans l’eau</v>
      </c>
      <c r="C249" s="29" t="s">
        <v>696</v>
      </c>
      <c r="D249" s="29" t="s">
        <v>697</v>
      </c>
      <c r="E249" s="29" t="s">
        <v>698</v>
      </c>
      <c r="F249" s="29" t="s">
        <v>28639</v>
      </c>
      <c r="G249" s="29" t="s">
        <v>88</v>
      </c>
    </row>
    <row r="250" spans="1:7" x14ac:dyDescent="0.25">
      <c r="B250" s="29" t="str" cm="1">
        <f t="array" ref="B250">_xlfn.IFS(
     Lists_S3.5_NonGHG[[#This Row],[DE Name]]="","",
     Language=German,Lists_S3.5_NonGHG[[#This Row],[DE Name]],
     Language=French,Lists_S3.5_NonGHG[[#This Row],[FR Name]],
     Language=Italian,Lists_S3.5_NonGHG[[#This Row],[IT Name]]
)</f>
        <v>Benzène, dans l’air</v>
      </c>
      <c r="C250" s="29" t="s">
        <v>699</v>
      </c>
      <c r="D250" s="29" t="s">
        <v>700</v>
      </c>
      <c r="E250" s="29" t="s">
        <v>701</v>
      </c>
      <c r="F250" s="29" t="s">
        <v>28640</v>
      </c>
      <c r="G250" s="29" t="s">
        <v>88</v>
      </c>
    </row>
    <row r="251" spans="1:7" x14ac:dyDescent="0.25">
      <c r="B251" s="29" t="str" cm="1">
        <f t="array" ref="B251">_xlfn.IFS(
     Lists_S3.5_NonGHG[[#This Row],[DE Name]]="","",
     Language=German,Lists_S3.5_NonGHG[[#This Row],[DE Name]],
     Language=French,Lists_S3.5_NonGHG[[#This Row],[FR Name]],
     Language=Italian,Lists_S3.5_NonGHG[[#This Row],[IT Name]]
)</f>
        <v>Benzène (sous forme de BTEX), dans l’eau</v>
      </c>
      <c r="C251" s="29" t="s">
        <v>702</v>
      </c>
      <c r="D251" s="29" t="s">
        <v>703</v>
      </c>
      <c r="E251" s="29" t="s">
        <v>704</v>
      </c>
      <c r="F251" s="29" t="s">
        <v>28641</v>
      </c>
      <c r="G251" s="29" t="s">
        <v>88</v>
      </c>
    </row>
    <row r="252" spans="1:7" x14ac:dyDescent="0.25">
      <c r="B252" s="29" t="str" cm="1">
        <f t="array" ref="B252">_xlfn.IFS(
     Lists_S3.5_NonGHG[[#This Row],[DE Name]]="","",
     Language=German,Lists_S3.5_NonGHG[[#This Row],[DE Name]],
     Language=French,Lists_S3.5_NonGHG[[#This Row],[FR Name]],
     Language=Italian,Lists_S3.5_NonGHG[[#This Row],[IT Name]]
)</f>
        <v>Plomb, dans l'air</v>
      </c>
      <c r="C252" s="29" t="s">
        <v>705</v>
      </c>
      <c r="D252" s="29" t="s">
        <v>27654</v>
      </c>
      <c r="E252" s="29" t="s">
        <v>706</v>
      </c>
      <c r="F252" s="29" t="s">
        <v>28642</v>
      </c>
      <c r="G252" s="29" t="s">
        <v>88</v>
      </c>
    </row>
    <row r="253" spans="1:7" x14ac:dyDescent="0.25">
      <c r="B253" s="29" t="str" cm="1">
        <f t="array" ref="B253">_xlfn.IFS(
     Lists_S3.5_NonGHG[[#This Row],[DE Name]]="","",
     Language=German,Lists_S3.5_NonGHG[[#This Row],[DE Name]],
     Language=French,Lists_S3.5_NonGHG[[#This Row],[FR Name]],
     Language=Italian,Lists_S3.5_NonGHG[[#This Row],[IT Name]]
)</f>
        <v>Plomb, dans l’eau</v>
      </c>
      <c r="C253" s="29" t="s">
        <v>707</v>
      </c>
      <c r="D253" s="29" t="s">
        <v>708</v>
      </c>
      <c r="E253" s="29" t="s">
        <v>709</v>
      </c>
      <c r="F253" s="29" t="s">
        <v>28643</v>
      </c>
      <c r="G253" s="29" t="s">
        <v>88</v>
      </c>
    </row>
    <row r="254" spans="1:7" x14ac:dyDescent="0.25">
      <c r="B254" s="29" t="str" cm="1">
        <f t="array" ref="B254">_xlfn.IFS(
     Lists_S3.5_NonGHG[[#This Row],[DE Name]]="","",
     Language=German,Lists_S3.5_NonGHG[[#This Row],[DE Name]],
     Language=French,Lists_S3.5_NonGHG[[#This Row],[FR Name]],
     Language=Italian,Lists_S3.5_NonGHG[[#This Row],[IT Name]]
)</f>
        <v>Cadmium, dans l’air</v>
      </c>
      <c r="C254" s="29" t="s">
        <v>710</v>
      </c>
      <c r="D254" s="29" t="s">
        <v>711</v>
      </c>
      <c r="E254" s="29" t="s">
        <v>712</v>
      </c>
      <c r="F254" s="29" t="s">
        <v>28644</v>
      </c>
      <c r="G254" s="29" t="s">
        <v>88</v>
      </c>
    </row>
    <row r="255" spans="1:7" x14ac:dyDescent="0.25">
      <c r="B255" s="29" t="str" cm="1">
        <f t="array" ref="B255">_xlfn.IFS(
     Lists_S3.5_NonGHG[[#This Row],[DE Name]]="","",
     Language=German,Lists_S3.5_NonGHG[[#This Row],[DE Name]],
     Language=French,Lists_S3.5_NonGHG[[#This Row],[FR Name]],
     Language=Italian,Lists_S3.5_NonGHG[[#This Row],[IT Name]]
)</f>
        <v>Cadmium, dans l’eau</v>
      </c>
      <c r="C255" s="29" t="s">
        <v>713</v>
      </c>
      <c r="D255" s="29" t="s">
        <v>714</v>
      </c>
      <c r="E255" s="29" t="s">
        <v>715</v>
      </c>
      <c r="F255" s="29" t="s">
        <v>28645</v>
      </c>
      <c r="G255" s="29" t="s">
        <v>88</v>
      </c>
    </row>
    <row r="256" spans="1:7" x14ac:dyDescent="0.25">
      <c r="B256" s="29" t="str" cm="1">
        <f t="array" ref="B256">_xlfn.IFS(
     Lists_S3.5_NonGHG[[#This Row],[DE Name]]="","",
     Language=German,Lists_S3.5_NonGHG[[#This Row],[DE Name]],
     Language=French,Lists_S3.5_NonGHG[[#This Row],[FR Name]],
     Language=Italian,Lists_S3.5_NonGHG[[#This Row],[IT Name]]
)</f>
        <v>Chlorure d’hydrogène, dans l’air</v>
      </c>
      <c r="C256" s="29" t="s">
        <v>716</v>
      </c>
      <c r="D256" s="29" t="s">
        <v>717</v>
      </c>
      <c r="E256" s="29" t="s">
        <v>718</v>
      </c>
      <c r="F256" s="29" t="s">
        <v>28646</v>
      </c>
      <c r="G256" s="29" t="s">
        <v>88</v>
      </c>
    </row>
    <row r="257" spans="2:7" x14ac:dyDescent="0.25">
      <c r="B257" s="29" t="str" cm="1">
        <f t="array" ref="B257">_xlfn.IFS(
     Lists_S3.5_NonGHG[[#This Row],[DE Name]]="","",
     Language=German,Lists_S3.5_NonGHG[[#This Row],[DE Name]],
     Language=French,Lists_S3.5_NonGHG[[#This Row],[FR Name]],
     Language=Italian,Lists_S3.5_NonGHG[[#This Row],[IT Name]]
)</f>
        <v>Chrome, dans l’air</v>
      </c>
      <c r="C257" s="29" t="s">
        <v>719</v>
      </c>
      <c r="D257" s="29" t="s">
        <v>27655</v>
      </c>
      <c r="E257" s="29" t="s">
        <v>720</v>
      </c>
      <c r="F257" s="29" t="s">
        <v>28647</v>
      </c>
      <c r="G257" s="29" t="s">
        <v>88</v>
      </c>
    </row>
    <row r="258" spans="2:7" x14ac:dyDescent="0.25">
      <c r="B258" s="29" t="str" cm="1">
        <f t="array" ref="B258">_xlfn.IFS(
     Lists_S3.5_NonGHG[[#This Row],[DE Name]]="","",
     Language=German,Lists_S3.5_NonGHG[[#This Row],[DE Name]],
     Language=French,Lists_S3.5_NonGHG[[#This Row],[FR Name]],
     Language=Italian,Lists_S3.5_NonGHG[[#This Row],[IT Name]]
)</f>
        <v>Chrome, dans l’eau</v>
      </c>
      <c r="C258" s="29" t="s">
        <v>721</v>
      </c>
      <c r="D258" s="29" t="s">
        <v>27656</v>
      </c>
      <c r="E258" s="29" t="s">
        <v>722</v>
      </c>
      <c r="F258" s="29" t="s">
        <v>28648</v>
      </c>
      <c r="G258" s="29" t="s">
        <v>88</v>
      </c>
    </row>
    <row r="259" spans="2:7" x14ac:dyDescent="0.25">
      <c r="B259" s="29" t="str" cm="1">
        <f t="array" ref="B259">_xlfn.IFS(
     Lists_S3.5_NonGHG[[#This Row],[DE Name]]="","",
     Language=German,Lists_S3.5_NonGHG[[#This Row],[DE Name]],
     Language=French,Lists_S3.5_NonGHG[[#This Row],[FR Name]],
     Language=Italian,Lists_S3.5_NonGHG[[#This Row],[IT Name]]
)</f>
        <v>Dichlorométhane (HCC-3ND), dans l’air</v>
      </c>
      <c r="C259" s="29" t="s">
        <v>723</v>
      </c>
      <c r="D259" s="29" t="s">
        <v>724</v>
      </c>
      <c r="E259" s="29" t="s">
        <v>725</v>
      </c>
      <c r="F259" s="29" t="s">
        <v>28649</v>
      </c>
      <c r="G259" s="29" t="s">
        <v>88</v>
      </c>
    </row>
    <row r="260" spans="2:7" x14ac:dyDescent="0.25">
      <c r="B260" s="29" t="str" cm="1">
        <f t="array" ref="B260">_xlfn.IFS(
     Lists_S3.5_NonGHG[[#This Row],[DE Name]]="","",
     Language=German,Lists_S3.5_NonGHG[[#This Row],[DE Name]],
     Language=French,Lists_S3.5_NonGHG[[#This Row],[FR Name]],
     Language=Italian,Lists_S3.5_NonGHG[[#This Row],[IT Name]]
)</f>
        <v>Dichlorométhane (HCC-3ND), dans l’eau</v>
      </c>
      <c r="C260" s="29" t="s">
        <v>726</v>
      </c>
      <c r="D260" s="29" t="s">
        <v>727</v>
      </c>
      <c r="E260" s="29" t="s">
        <v>728</v>
      </c>
      <c r="F260" s="29" t="s">
        <v>28650</v>
      </c>
      <c r="G260" s="29" t="s">
        <v>88</v>
      </c>
    </row>
    <row r="261" spans="2:7" x14ac:dyDescent="0.25">
      <c r="B261" s="29" t="str" cm="1">
        <f t="array" ref="B261">_xlfn.IFS(
     Lists_S3.5_NonGHG[[#This Row],[DE Name]]="","",
     Language=German,Lists_S3.5_NonGHG[[#This Row],[DE Name]],
     Language=French,Lists_S3.5_NonGHG[[#This Row],[FR Name]],
     Language=Italian,Lists_S3.5_NonGHG[[#This Row],[IT Name]]
)</f>
        <v>Diuron, dans l’eau</v>
      </c>
      <c r="C261" s="29" t="s">
        <v>729</v>
      </c>
      <c r="D261" s="29" t="s">
        <v>730</v>
      </c>
      <c r="E261" s="29" t="s">
        <v>731</v>
      </c>
      <c r="F261" s="29" t="s">
        <v>28651</v>
      </c>
      <c r="G261" s="29" t="s">
        <v>88</v>
      </c>
    </row>
    <row r="262" spans="2:7" x14ac:dyDescent="0.25">
      <c r="B262" s="29" t="str" cm="1">
        <f t="array" ref="B262">_xlfn.IFS(
     Lists_S3.5_NonGHG[[#This Row],[DE Name]]="","",
     Language=German,Lists_S3.5_NonGHG[[#This Row],[DE Name]],
     Language=French,Lists_S3.5_NonGHG[[#This Row],[FR Name]],
     Language=Italian,Lists_S3.5_NonGHG[[#This Row],[IT Name]]
)</f>
        <v>Éthylbenzène, dans l’eau</v>
      </c>
      <c r="C262" s="29" t="s">
        <v>732</v>
      </c>
      <c r="D262" s="29" t="s">
        <v>733</v>
      </c>
      <c r="E262" s="29" t="s">
        <v>734</v>
      </c>
      <c r="F262" s="29" t="s">
        <v>28652</v>
      </c>
      <c r="G262" s="29" t="s">
        <v>88</v>
      </c>
    </row>
    <row r="263" spans="2:7" x14ac:dyDescent="0.25">
      <c r="B263" s="29" t="str" cm="1">
        <f t="array" ref="B263">_xlfn.IFS(
     Lists_S3.5_NonGHG[[#This Row],[DE Name]]="","",
     Language=German,Lists_S3.5_NonGHG[[#This Row],[DE Name]],
     Language=French,Lists_S3.5_NonGHG[[#This Row],[FR Name]],
     Language=Italian,Lists_S3.5_NonGHG[[#This Row],[IT Name]]
)</f>
        <v>Oxyde d’éthylène, dans l’eau</v>
      </c>
      <c r="C263" s="29" t="s">
        <v>735</v>
      </c>
      <c r="D263" s="29" t="s">
        <v>736</v>
      </c>
      <c r="E263" s="29" t="s">
        <v>737</v>
      </c>
      <c r="F263" s="29" t="s">
        <v>28653</v>
      </c>
      <c r="G263" s="29" t="s">
        <v>88</v>
      </c>
    </row>
    <row r="264" spans="2:7" x14ac:dyDescent="0.25">
      <c r="B264" s="29" t="str" cm="1">
        <f t="array" ref="B264">_xlfn.IFS(
     Lists_S3.5_NonGHG[[#This Row],[DE Name]]="","",
     Language=German,Lists_S3.5_NonGHG[[#This Row],[DE Name]],
     Language=French,Lists_S3.5_NonGHG[[#This Row],[FR Name]],
     Language=Italian,Lists_S3.5_NonGHG[[#This Row],[IT Name]]
)</f>
        <v>Oxyde d’éthylène, dans l’air</v>
      </c>
      <c r="C264" s="29" t="s">
        <v>738</v>
      </c>
      <c r="D264" s="29" t="s">
        <v>739</v>
      </c>
      <c r="E264" s="29" t="s">
        <v>740</v>
      </c>
      <c r="F264" s="29" t="s">
        <v>28654</v>
      </c>
      <c r="G264" s="29" t="s">
        <v>88</v>
      </c>
    </row>
    <row r="265" spans="2:7" x14ac:dyDescent="0.25">
      <c r="B265" s="29" t="str" cm="1">
        <f t="array" ref="B265">_xlfn.IFS(
     Lists_S3.5_NonGHG[[#This Row],[DE Name]]="","",
     Language=German,Lists_S3.5_NonGHG[[#This Row],[DE Name]],
     Language=French,Lists_S3.5_NonGHG[[#This Row],[FR Name]],
     Language=Italian,Lists_S3.5_NonGHG[[#This Row],[IT Name]]
)</f>
        <v>Particules, dans l’air</v>
      </c>
      <c r="C265" s="29" t="s">
        <v>741</v>
      </c>
      <c r="D265" s="29" t="s">
        <v>742</v>
      </c>
      <c r="E265" s="29" t="s">
        <v>28595</v>
      </c>
      <c r="F265" s="29" t="s">
        <v>28655</v>
      </c>
      <c r="G265" s="29" t="s">
        <v>88</v>
      </c>
    </row>
    <row r="266" spans="2:7" x14ac:dyDescent="0.25">
      <c r="B266" s="29" t="str" cm="1">
        <f t="array" ref="B266">_xlfn.IFS(
     Lists_S3.5_NonGHG[[#This Row],[DE Name]]="","",
     Language=German,Lists_S3.5_NonGHG[[#This Row],[DE Name]],
     Language=French,Lists_S3.5_NonGHG[[#This Row],[FR Name]],
     Language=Italian,Lists_S3.5_NonGHG[[#This Row],[IT Name]]
)</f>
        <v>NMVOC (composés organiques volatils non méthaniques), dans l’air</v>
      </c>
      <c r="C266" s="29" t="s">
        <v>743</v>
      </c>
      <c r="D266" s="29" t="s">
        <v>744</v>
      </c>
      <c r="E266" s="29" t="s">
        <v>745</v>
      </c>
      <c r="F266" s="29" t="s">
        <v>28656</v>
      </c>
      <c r="G266" s="29" t="s">
        <v>88</v>
      </c>
    </row>
    <row r="267" spans="2:7" x14ac:dyDescent="0.25">
      <c r="B267" s="29" t="str" cm="1">
        <f t="array" ref="B267">_xlfn.IFS(
     Lists_S3.5_NonGHG[[#This Row],[DE Name]]="","",
     Language=German,Lists_S3.5_NonGHG[[#This Row],[DE Name]],
     Language=French,Lists_S3.5_NonGHG[[#This Row],[FR Name]],
     Language=Italian,Lists_S3.5_NonGHG[[#This Row],[IT Name]]
)</f>
        <v>Fluorure d’hydrogène, dans l’air</v>
      </c>
      <c r="C267" s="29" t="s">
        <v>746</v>
      </c>
      <c r="D267" s="29" t="s">
        <v>747</v>
      </c>
      <c r="E267" s="29" t="s">
        <v>748</v>
      </c>
      <c r="F267" s="29" t="s">
        <v>28657</v>
      </c>
      <c r="G267" s="29" t="s">
        <v>88</v>
      </c>
    </row>
    <row r="268" spans="2:7" x14ac:dyDescent="0.25">
      <c r="B268" s="29" t="str" cm="1">
        <f t="array" ref="B268">_xlfn.IFS(
     Lists_S3.5_NonGHG[[#This Row],[DE Name]]="","",
     Language=German,Lists_S3.5_NonGHG[[#This Row],[DE Name]],
     Language=French,Lists_S3.5_NonGHG[[#This Row],[FR Name]],
     Language=Italian,Lists_S3.5_NonGHG[[#This Row],[IT Name]]
)</f>
        <v>TOC (carbone organique total), dans les eaux souterraines</v>
      </c>
      <c r="C268" s="29" t="s">
        <v>28719</v>
      </c>
      <c r="D268" s="29" t="s">
        <v>27657</v>
      </c>
      <c r="E268" s="29" t="s">
        <v>749</v>
      </c>
      <c r="F268" s="29" t="s">
        <v>28658</v>
      </c>
      <c r="G268" s="29" t="s">
        <v>88</v>
      </c>
    </row>
    <row r="269" spans="2:7" x14ac:dyDescent="0.25">
      <c r="B269" s="29" t="str" cm="1">
        <f t="array" ref="B269">_xlfn.IFS(
     Lists_S3.5_NonGHG[[#This Row],[DE Name]]="","",
     Language=German,Lists_S3.5_NonGHG[[#This Row],[DE Name]],
     Language=French,Lists_S3.5_NonGHG[[#This Row],[FR Name]],
     Language=Italian,Lists_S3.5_NonGHG[[#This Row],[IT Name]]
)</f>
        <v>Phosphore, dans l’eau</v>
      </c>
      <c r="C269" s="29" t="s">
        <v>28717</v>
      </c>
      <c r="D269" s="29" t="s">
        <v>27658</v>
      </c>
      <c r="E269" s="29" t="s">
        <v>750</v>
      </c>
      <c r="F269" s="29" t="s">
        <v>28659</v>
      </c>
      <c r="G269" s="29" t="s">
        <v>88</v>
      </c>
    </row>
    <row r="270" spans="2:7" x14ac:dyDescent="0.25">
      <c r="B270" s="29" t="str" cm="1">
        <f t="array" ref="B270">_xlfn.IFS(
     Lists_S3.5_NonGHG[[#This Row],[DE Name]]="","",
     Language=German,Lists_S3.5_NonGHG[[#This Row],[DE Name]],
     Language=French,Lists_S3.5_NonGHG[[#This Row],[FR Name]],
     Language=Italian,Lists_S3.5_NonGHG[[#This Row],[IT Name]]
)</f>
        <v>Azote, dans l’eau</v>
      </c>
      <c r="C270" s="29" t="s">
        <v>28718</v>
      </c>
      <c r="D270" s="29" t="s">
        <v>27659</v>
      </c>
      <c r="E270" s="29" t="s">
        <v>751</v>
      </c>
      <c r="F270" s="29" t="s">
        <v>28660</v>
      </c>
      <c r="G270" s="29" t="s">
        <v>88</v>
      </c>
    </row>
    <row r="271" spans="2:7" x14ac:dyDescent="0.25">
      <c r="B271" s="29" t="str" cm="1">
        <f t="array" ref="B271">_xlfn.IFS(
     Lists_S3.5_NonGHG[[#This Row],[DE Name]]="","",
     Language=German,Lists_S3.5_NonGHG[[#This Row],[DE Name]],
     Language=French,Lists_S3.5_NonGHG[[#This Row],[FR Name]],
     Language=Italian,Lists_S3.5_NonGHG[[#This Row],[IT Name]]
)</f>
        <v>AOX (halogène organique adsorbable, sous forme de Cl), dans l’eau</v>
      </c>
      <c r="C271" s="29" t="s">
        <v>28720</v>
      </c>
      <c r="D271" s="29" t="s">
        <v>752</v>
      </c>
      <c r="E271" s="29" t="s">
        <v>753</v>
      </c>
      <c r="F271" s="29" t="s">
        <v>28661</v>
      </c>
      <c r="G271" s="29" t="s">
        <v>88</v>
      </c>
    </row>
    <row r="272" spans="2:7" x14ac:dyDescent="0.25">
      <c r="B272" s="29" t="str" cm="1">
        <f t="array" ref="B272">_xlfn.IFS(
     Lists_S3.5_NonGHG[[#This Row],[DE Name]]="","",
     Language=German,Lists_S3.5_NonGHG[[#This Row],[DE Name]],
     Language=French,Lists_S3.5_NonGHG[[#This Row],[FR Name]],
     Language=Italian,Lists_S3.5_NonGHG[[#This Row],[IT Name]]
)</f>
        <v>Halon 1211 (bromochlorodifluorométhane), dans l’air</v>
      </c>
      <c r="C272" s="29" t="s">
        <v>754</v>
      </c>
      <c r="D272" s="29" t="s">
        <v>755</v>
      </c>
      <c r="E272" s="29" t="s">
        <v>756</v>
      </c>
      <c r="F272" s="29" t="s">
        <v>28662</v>
      </c>
      <c r="G272" s="29" t="s">
        <v>88</v>
      </c>
    </row>
    <row r="273" spans="2:7" x14ac:dyDescent="0.25">
      <c r="B273" s="29" t="str" cm="1">
        <f t="array" ref="B273">_xlfn.IFS(
     Lists_S3.5_NonGHG[[#This Row],[DE Name]]="","",
     Language=German,Lists_S3.5_NonGHG[[#This Row],[DE Name]],
     Language=French,Lists_S3.5_NonGHG[[#This Row],[FR Name]],
     Language=Italian,Lists_S3.5_NonGHG[[#This Row],[IT Name]]
)</f>
        <v>Halon 13ND1 (Bromotrifluorométhane), dans l’air</v>
      </c>
      <c r="C273" s="29" t="s">
        <v>757</v>
      </c>
      <c r="D273" s="29" t="s">
        <v>758</v>
      </c>
      <c r="E273" s="29" t="s">
        <v>759</v>
      </c>
      <c r="F273" s="29" t="s">
        <v>28663</v>
      </c>
      <c r="G273" s="29" t="s">
        <v>88</v>
      </c>
    </row>
    <row r="274" spans="2:7" x14ac:dyDescent="0.25">
      <c r="B274" s="29" t="str" cm="1">
        <f t="array" ref="B274">_xlfn.IFS(
     Lists_S3.5_NonGHG[[#This Row],[DE Name]]="","",
     Language=German,Lists_S3.5_NonGHG[[#This Row],[DE Name]],
     Language=French,Lists_S3.5_NonGHG[[#This Row],[FR Name]],
     Language=Italian,Lists_S3.5_NonGHG[[#This Row],[IT Name]]
)</f>
        <v>Monoxyde de carbone, fossile, dans l’air</v>
      </c>
      <c r="C274" s="29" t="s">
        <v>760</v>
      </c>
      <c r="D274" s="29" t="s">
        <v>761</v>
      </c>
      <c r="E274" s="29" t="s">
        <v>762</v>
      </c>
      <c r="F274" s="29" t="s">
        <v>28664</v>
      </c>
      <c r="G274" s="29" t="s">
        <v>88</v>
      </c>
    </row>
    <row r="275" spans="2:7" x14ac:dyDescent="0.25">
      <c r="B275" s="29" t="str" cm="1">
        <f t="array" ref="B275">_xlfn.IFS(
     Lists_S3.5_NonGHG[[#This Row],[DE Name]]="","",
     Language=German,Lists_S3.5_NonGHG[[#This Row],[DE Name]],
     Language=French,Lists_S3.5_NonGHG[[#This Row],[FR Name]],
     Language=Italian,Lists_S3.5_NonGHG[[#This Row],[IT Name]]
)</f>
        <v>Cuivre, dans l’air</v>
      </c>
      <c r="C275" s="29" t="s">
        <v>763</v>
      </c>
      <c r="D275" s="29" t="s">
        <v>764</v>
      </c>
      <c r="E275" s="29" t="s">
        <v>765</v>
      </c>
      <c r="F275" s="29" t="s">
        <v>28665</v>
      </c>
      <c r="G275" s="29" t="s">
        <v>88</v>
      </c>
    </row>
    <row r="276" spans="2:7" x14ac:dyDescent="0.25">
      <c r="B276" s="29" t="str" cm="1">
        <f t="array" ref="B276">_xlfn.IFS(
     Lists_S3.5_NonGHG[[#This Row],[DE Name]]="","",
     Language=German,Lists_S3.5_NonGHG[[#This Row],[DE Name]],
     Language=French,Lists_S3.5_NonGHG[[#This Row],[FR Name]],
     Language=Italian,Lists_S3.5_NonGHG[[#This Row],[IT Name]]
)</f>
        <v>Cuivre, dans l’eau</v>
      </c>
      <c r="C276" s="29" t="s">
        <v>766</v>
      </c>
      <c r="D276" s="29" t="s">
        <v>767</v>
      </c>
      <c r="E276" s="29" t="s">
        <v>768</v>
      </c>
      <c r="F276" s="29" t="s">
        <v>28666</v>
      </c>
      <c r="G276" s="29" t="s">
        <v>88</v>
      </c>
    </row>
    <row r="277" spans="2:7" x14ac:dyDescent="0.25">
      <c r="B277" s="29" t="str" cm="1">
        <f t="array" ref="B277">_xlfn.IFS(
     Lists_S3.5_NonGHG[[#This Row],[DE Name]]="","",
     Language=German,Lists_S3.5_NonGHG[[#This Row],[DE Name]],
     Language=French,Lists_S3.5_NonGHG[[#This Row],[FR Name]],
     Language=Italian,Lists_S3.5_NonGHG[[#This Row],[IT Name]]
)</f>
        <v>Acénaphtène, dans l’air</v>
      </c>
      <c r="C277" s="29" t="s">
        <v>769</v>
      </c>
      <c r="D277" s="29" t="s">
        <v>770</v>
      </c>
      <c r="E277" s="29" t="s">
        <v>771</v>
      </c>
      <c r="F277" s="29" t="s">
        <v>28667</v>
      </c>
      <c r="G277" s="29" t="s">
        <v>88</v>
      </c>
    </row>
    <row r="278" spans="2:7" x14ac:dyDescent="0.25">
      <c r="B278" s="29" t="str" cm="1">
        <f t="array" ref="B278">_xlfn.IFS(
     Lists_S3.5_NonGHG[[#This Row],[DE Name]]="","",
     Language=German,Lists_S3.5_NonGHG[[#This Row],[DE Name]],
     Language=French,Lists_S3.5_NonGHG[[#This Row],[FR Name]],
     Language=Italian,Lists_S3.5_NonGHG[[#This Row],[IT Name]]
)</f>
        <v>Naphtalène, dans l’eau</v>
      </c>
      <c r="C278" s="29" t="s">
        <v>28716</v>
      </c>
      <c r="D278" s="29" t="s">
        <v>772</v>
      </c>
      <c r="E278" s="29" t="s">
        <v>773</v>
      </c>
      <c r="F278" s="29" t="s">
        <v>28668</v>
      </c>
      <c r="G278" s="29" t="s">
        <v>88</v>
      </c>
    </row>
    <row r="279" spans="2:7" x14ac:dyDescent="0.25">
      <c r="B279" s="29" t="str" cm="1">
        <f t="array" ref="B279">_xlfn.IFS(
     Lists_S3.5_NonGHG[[#This Row],[DE Name]]="","",
     Language=German,Lists_S3.5_NonGHG[[#This Row],[DE Name]],
     Language=French,Lists_S3.5_NonGHG[[#This Row],[FR Name]],
     Language=Italian,Lists_S3.5_NonGHG[[#This Row],[IT Name]]
)</f>
        <v>Nickel, dans l’air</v>
      </c>
      <c r="C279" s="29" t="s">
        <v>774</v>
      </c>
      <c r="D279" s="29" t="s">
        <v>775</v>
      </c>
      <c r="E279" s="29" t="s">
        <v>776</v>
      </c>
      <c r="F279" s="29" t="s">
        <v>28669</v>
      </c>
      <c r="G279" s="29" t="s">
        <v>88</v>
      </c>
    </row>
    <row r="280" spans="2:7" x14ac:dyDescent="0.25">
      <c r="B280" s="29" t="str" cm="1">
        <f t="array" ref="B280">_xlfn.IFS(
     Lists_S3.5_NonGHG[[#This Row],[DE Name]]="","",
     Language=German,Lists_S3.5_NonGHG[[#This Row],[DE Name]],
     Language=French,Lists_S3.5_NonGHG[[#This Row],[FR Name]],
     Language=Italian,Lists_S3.5_NonGHG[[#This Row],[IT Name]]
)</f>
        <v>Nickel, dans l’eau</v>
      </c>
      <c r="C280" s="29" t="s">
        <v>777</v>
      </c>
      <c r="D280" s="29" t="s">
        <v>778</v>
      </c>
      <c r="E280" s="29" t="s">
        <v>779</v>
      </c>
      <c r="F280" s="29" t="s">
        <v>28670</v>
      </c>
      <c r="G280" s="29" t="s">
        <v>88</v>
      </c>
    </row>
    <row r="281" spans="2:7" x14ac:dyDescent="0.25">
      <c r="B281" s="29" t="str" cm="1">
        <f t="array" ref="B281">_xlfn.IFS(
     Lists_S3.5_NonGHG[[#This Row],[DE Name]]="","",
     Language=German,Lists_S3.5_NonGHG[[#This Row],[DE Name]],
     Language=French,Lists_S3.5_NonGHG[[#This Row],[FR Name]],
     Language=Italian,Lists_S3.5_NonGHG[[#This Row],[IT Name]]
)</f>
        <v>Nonylphénol, dans l’eau</v>
      </c>
      <c r="C281" s="29" t="s">
        <v>780</v>
      </c>
      <c r="D281" s="29" t="s">
        <v>781</v>
      </c>
      <c r="E281" s="29" t="s">
        <v>782</v>
      </c>
      <c r="F281" s="29" t="s">
        <v>28671</v>
      </c>
      <c r="G281" s="29" t="s">
        <v>88</v>
      </c>
    </row>
    <row r="282" spans="2:7" x14ac:dyDescent="0.25">
      <c r="B282" s="29" t="str" cm="1">
        <f t="array" ref="B282">_xlfn.IFS(
     Lists_S3.5_NonGHG[[#This Row],[DE Name]]="","",
     Language=German,Lists_S3.5_NonGHG[[#This Row],[DE Name]],
     Language=French,Lists_S3.5_NonGHG[[#This Row],[FR Name]],
     Language=Italian,Lists_S3.5_NonGHG[[#This Row],[IT Name]]
)</f>
        <v>2,3,7,8 Tétrachlorodibenzo-p-dioxine, dans l’air</v>
      </c>
      <c r="C282" s="29" t="s">
        <v>783</v>
      </c>
      <c r="D282" s="29" t="s">
        <v>784</v>
      </c>
      <c r="E282" s="29" t="s">
        <v>785</v>
      </c>
      <c r="F282" s="29" t="s">
        <v>28672</v>
      </c>
      <c r="G282" s="29" t="s">
        <v>88</v>
      </c>
    </row>
    <row r="283" spans="2:7" x14ac:dyDescent="0.25">
      <c r="B283" s="29" t="str" cm="1">
        <f t="array" ref="B283">_xlfn.IFS(
     Lists_S3.5_NonGHG[[#This Row],[DE Name]]="","",
     Language=German,Lists_S3.5_NonGHG[[#This Row],[DE Name]],
     Language=French,Lists_S3.5_NonGHG[[#This Row],[FR Name]],
     Language=Italian,Lists_S3.5_NonGHG[[#This Row],[IT Name]]
)</f>
        <v>2,3,7,8 Tétrachlorodibenzo-p-dioxine, dans l’eau</v>
      </c>
      <c r="C283" s="29" t="s">
        <v>786</v>
      </c>
      <c r="D283" s="29" t="s">
        <v>787</v>
      </c>
      <c r="E283" s="29" t="s">
        <v>788</v>
      </c>
      <c r="F283" s="29" t="s">
        <v>28673</v>
      </c>
      <c r="G283" s="29" t="s">
        <v>88</v>
      </c>
    </row>
    <row r="284" spans="2:7" x14ac:dyDescent="0.25">
      <c r="B284" s="29" t="str" cm="1">
        <f t="array" ref="B284">_xlfn.IFS(
     Lists_S3.5_NonGHG[[#This Row],[DE Name]]="","",
     Language=German,Lists_S3.5_NonGHG[[#This Row],[DE Name]],
     Language=French,Lists_S3.5_NonGHG[[#This Row],[FR Name]],
     Language=Italian,Lists_S3.5_NonGHG[[#This Row],[IT Name]]
)</f>
        <v>Biphényles polychlorés, dans l’air</v>
      </c>
      <c r="C284" s="29" t="s">
        <v>789</v>
      </c>
      <c r="D284" s="29" t="s">
        <v>790</v>
      </c>
      <c r="E284" s="29" t="s">
        <v>791</v>
      </c>
      <c r="F284" s="29" t="s">
        <v>28674</v>
      </c>
      <c r="G284" s="29" t="s">
        <v>88</v>
      </c>
    </row>
    <row r="285" spans="2:7" x14ac:dyDescent="0.25">
      <c r="B285" s="29" t="str" cm="1">
        <f t="array" ref="B285">_xlfn.IFS(
     Lists_S3.5_NonGHG[[#This Row],[DE Name]]="","",
     Language=German,Lists_S3.5_NonGHG[[#This Row],[DE Name]],
     Language=French,Lists_S3.5_NonGHG[[#This Row],[FR Name]],
     Language=Italian,Lists_S3.5_NonGHG[[#This Row],[IT Name]]
)</f>
        <v>PAH (hydrocarbures aromatiques polycycliques), dans l’air</v>
      </c>
      <c r="C285" s="29" t="s">
        <v>792</v>
      </c>
      <c r="D285" s="29" t="s">
        <v>793</v>
      </c>
      <c r="E285" s="29" t="s">
        <v>794</v>
      </c>
      <c r="F285" s="29" t="s">
        <v>28675</v>
      </c>
      <c r="G285" s="29" t="s">
        <v>88</v>
      </c>
    </row>
    <row r="286" spans="2:7" x14ac:dyDescent="0.25">
      <c r="B286" s="29" t="str" cm="1">
        <f t="array" ref="B286">_xlfn.IFS(
     Lists_S3.5_NonGHG[[#This Row],[DE Name]]="","",
     Language=German,Lists_S3.5_NonGHG[[#This Row],[DE Name]],
     Language=French,Lists_S3.5_NonGHG[[#This Row],[FR Name]],
     Language=Italian,Lists_S3.5_NonGHG[[#This Row],[IT Name]]
)</f>
        <v>PAH (hydrocarbures aromatiques polycycliques), dans l’eau</v>
      </c>
      <c r="C286" s="29" t="s">
        <v>28715</v>
      </c>
      <c r="D286" s="29" t="s">
        <v>795</v>
      </c>
      <c r="E286" s="29" t="s">
        <v>796</v>
      </c>
      <c r="F286" s="29" t="s">
        <v>28676</v>
      </c>
      <c r="G286" s="29" t="s">
        <v>88</v>
      </c>
    </row>
    <row r="287" spans="2:7" x14ac:dyDescent="0.25">
      <c r="B287" s="29" t="str" cm="1">
        <f t="array" ref="B287">_xlfn.IFS(
     Lists_S3.5_NonGHG[[#This Row],[DE Name]]="","",
     Language=German,Lists_S3.5_NonGHG[[#This Row],[DE Name]],
     Language=French,Lists_S3.5_NonGHG[[#This Row],[FR Name]],
     Language=Italian,Lists_S3.5_NonGHG[[#This Row],[IT Name]]
)</f>
        <v>Mercure, dans l’air</v>
      </c>
      <c r="C287" s="29" t="s">
        <v>797</v>
      </c>
      <c r="D287" s="29" t="s">
        <v>798</v>
      </c>
      <c r="E287" s="29" t="s">
        <v>799</v>
      </c>
      <c r="F287" s="29" t="s">
        <v>28677</v>
      </c>
      <c r="G287" s="29" t="s">
        <v>88</v>
      </c>
    </row>
    <row r="288" spans="2:7" x14ac:dyDescent="0.25">
      <c r="B288" s="29" t="str" cm="1">
        <f t="array" ref="B288">_xlfn.IFS(
     Lists_S3.5_NonGHG[[#This Row],[DE Name]]="","",
     Language=German,Lists_S3.5_NonGHG[[#This Row],[DE Name]],
     Language=French,Lists_S3.5_NonGHG[[#This Row],[FR Name]],
     Language=Italian,Lists_S3.5_NonGHG[[#This Row],[IT Name]]
)</f>
        <v>Mercure, dans l’eau</v>
      </c>
      <c r="C288" s="29" t="s">
        <v>800</v>
      </c>
      <c r="D288" s="29" t="s">
        <v>801</v>
      </c>
      <c r="E288" s="29" t="s">
        <v>802</v>
      </c>
      <c r="F288" s="29" t="s">
        <v>28678</v>
      </c>
      <c r="G288" s="29" t="s">
        <v>88</v>
      </c>
    </row>
    <row r="289" spans="2:7" x14ac:dyDescent="0.25">
      <c r="B289" s="29" t="str" cm="1">
        <f t="array" ref="B289">_xlfn.IFS(
     Lists_S3.5_NonGHG[[#This Row],[DE Name]]="","",
     Language=German,Lists_S3.5_NonGHG[[#This Row],[DE Name]],
     Language=French,Lists_S3.5_NonGHG[[#This Row],[FR Name]],
     Language=Italian,Lists_S3.5_NonGHG[[#This Row],[IT Name]]
)</f>
        <v>Dioxyde de soufre, dans l’air</v>
      </c>
      <c r="C289" s="29" t="s">
        <v>803</v>
      </c>
      <c r="D289" s="29" t="s">
        <v>804</v>
      </c>
      <c r="E289" s="29" t="s">
        <v>805</v>
      </c>
      <c r="F289" s="29" t="s">
        <v>28679</v>
      </c>
      <c r="G289" s="29" t="s">
        <v>88</v>
      </c>
    </row>
    <row r="290" spans="2:7" x14ac:dyDescent="0.25">
      <c r="B290" s="29" t="str" cm="1">
        <f t="array" ref="B290">_xlfn.IFS(
     Lists_S3.5_NonGHG[[#This Row],[DE Name]]="","",
     Language=German,Lists_S3.5_NonGHG[[#This Row],[DE Name]],
     Language=French,Lists_S3.5_NonGHG[[#This Row],[FR Name]],
     Language=Italian,Lists_S3.5_NonGHG[[#This Row],[IT Name]]
)</f>
        <v>Oxydes d’azote, dans l’air</v>
      </c>
      <c r="C290" s="29" t="s">
        <v>806</v>
      </c>
      <c r="D290" s="29" t="s">
        <v>807</v>
      </c>
      <c r="E290" s="29" t="s">
        <v>808</v>
      </c>
      <c r="F290" s="29" t="s">
        <v>28680</v>
      </c>
      <c r="G290" s="29" t="s">
        <v>88</v>
      </c>
    </row>
    <row r="291" spans="2:7" x14ac:dyDescent="0.25">
      <c r="B291" s="29" t="str" cm="1">
        <f t="array" ref="B291">_xlfn.IFS(
     Lists_S3.5_NonGHG[[#This Row],[DE Name]]="","",
     Language=German,Lists_S3.5_NonGHG[[#This Row],[DE Name]],
     Language=French,Lists_S3.5_NonGHG[[#This Row],[FR Name]],
     Language=Italian,Lists_S3.5_NonGHG[[#This Row],[IT Name]]
)</f>
        <v>Tétrachloroéthène, dans l’air</v>
      </c>
      <c r="C291" s="29" t="s">
        <v>809</v>
      </c>
      <c r="D291" s="29" t="s">
        <v>810</v>
      </c>
      <c r="E291" s="29" t="s">
        <v>811</v>
      </c>
      <c r="F291" s="29" t="s">
        <v>28681</v>
      </c>
      <c r="G291" s="29" t="s">
        <v>88</v>
      </c>
    </row>
    <row r="292" spans="2:7" x14ac:dyDescent="0.25">
      <c r="B292" s="29" t="str" cm="1">
        <f t="array" ref="B292">_xlfn.IFS(
     Lists_S3.5_NonGHG[[#This Row],[DE Name]]="","",
     Language=German,Lists_S3.5_NonGHG[[#This Row],[DE Name]],
     Language=French,Lists_S3.5_NonGHG[[#This Row],[FR Name]],
     Language=Italian,Lists_S3.5_NonGHG[[#This Row],[IT Name]]
)</f>
        <v>Toluène, dans l’eau</v>
      </c>
      <c r="C292" s="29" t="s">
        <v>812</v>
      </c>
      <c r="D292" s="29" t="s">
        <v>813</v>
      </c>
      <c r="E292" s="29" t="s">
        <v>814</v>
      </c>
      <c r="F292" s="29" t="s">
        <v>28682</v>
      </c>
      <c r="G292" s="29" t="s">
        <v>88</v>
      </c>
    </row>
    <row r="293" spans="2:7" x14ac:dyDescent="0.25">
      <c r="B293" s="29" t="str" cm="1">
        <f t="array" ref="B293">_xlfn.IFS(
     Lists_S3.5_NonGHG[[#This Row],[DE Name]]="","",
     Language=German,Lists_S3.5_NonGHG[[#This Row],[DE Name]],
     Language=French,Lists_S3.5_NonGHG[[#This Row],[FR Name]],
     Language=Italian,Lists_S3.5_NonGHG[[#This Row],[IT Name]]
)</f>
        <v>Composés de tributyltine, dans l’eau</v>
      </c>
      <c r="C293" s="29" t="s">
        <v>815</v>
      </c>
      <c r="D293" s="29" t="s">
        <v>816</v>
      </c>
      <c r="E293" s="29" t="s">
        <v>817</v>
      </c>
      <c r="F293" s="29" t="s">
        <v>28683</v>
      </c>
      <c r="G293" s="29" t="s">
        <v>88</v>
      </c>
    </row>
    <row r="294" spans="2:7" x14ac:dyDescent="0.25">
      <c r="B294" s="29" t="str" cm="1">
        <f t="array" ref="B294">_xlfn.IFS(
     Lists_S3.5_NonGHG[[#This Row],[DE Name]]="","",
     Language=German,Lists_S3.5_NonGHG[[#This Row],[DE Name]],
     Language=French,Lists_S3.5_NonGHG[[#This Row],[FR Name]],
     Language=Italian,Lists_S3.5_NonGHG[[#This Row],[IT Name]]
)</f>
        <v>Trichlorothène, dans l’air</v>
      </c>
      <c r="C294" s="29" t="s">
        <v>818</v>
      </c>
      <c r="D294" s="29" t="s">
        <v>819</v>
      </c>
      <c r="E294" s="29" t="s">
        <v>820</v>
      </c>
      <c r="F294" s="29" t="s">
        <v>28684</v>
      </c>
      <c r="G294" s="29" t="s">
        <v>88</v>
      </c>
    </row>
    <row r="295" spans="2:7" x14ac:dyDescent="0.25">
      <c r="B295" s="29" t="str" cm="1">
        <f t="array" ref="B295">_xlfn.IFS(
     Lists_S3.5_NonGHG[[#This Row],[DE Name]]="","",
     Language=German,Lists_S3.5_NonGHG[[#This Row],[DE Name]],
     Language=French,Lists_S3.5_NonGHG[[#This Row],[FR Name]],
     Language=Italian,Lists_S3.5_NonGHG[[#This Row],[IT Name]]
)</f>
        <v>Chloroforme, dans l’air</v>
      </c>
      <c r="C295" s="29" t="s">
        <v>821</v>
      </c>
      <c r="D295" s="29" t="s">
        <v>822</v>
      </c>
      <c r="E295" s="29" t="s">
        <v>823</v>
      </c>
      <c r="F295" s="29" t="s">
        <v>28685</v>
      </c>
      <c r="G295" s="29" t="s">
        <v>88</v>
      </c>
    </row>
    <row r="296" spans="2:7" x14ac:dyDescent="0.25">
      <c r="B296" s="29" t="str" cm="1">
        <f t="array" ref="B296">_xlfn.IFS(
     Lists_S3.5_NonGHG[[#This Row],[DE Name]]="","",
     Language=German,Lists_S3.5_NonGHG[[#This Row],[DE Name]],
     Language=French,Lists_S3.5_NonGHG[[#This Row],[FR Name]],
     Language=Italian,Lists_S3.5_NonGHG[[#This Row],[IT Name]]
)</f>
        <v>Xylène, dans l’eau</v>
      </c>
      <c r="C296" s="29" t="s">
        <v>824</v>
      </c>
      <c r="D296" s="29" t="s">
        <v>825</v>
      </c>
      <c r="E296" s="29" t="s">
        <v>826</v>
      </c>
      <c r="F296" s="29" t="s">
        <v>28686</v>
      </c>
      <c r="G296" s="29" t="s">
        <v>88</v>
      </c>
    </row>
    <row r="297" spans="2:7" x14ac:dyDescent="0.25">
      <c r="B297" s="29" t="str" cm="1">
        <f t="array" ref="B297">_xlfn.IFS(
     Lists_S3.5_NonGHG[[#This Row],[DE Name]]="","",
     Language=German,Lists_S3.5_NonGHG[[#This Row],[DE Name]],
     Language=French,Lists_S3.5_NonGHG[[#This Row],[FR Name]],
     Language=Italian,Lists_S3.5_NonGHG[[#This Row],[IT Name]]
)</f>
        <v>Zinc, dans l’air</v>
      </c>
      <c r="C297" s="29" t="s">
        <v>827</v>
      </c>
      <c r="D297" s="29" t="s">
        <v>27660</v>
      </c>
      <c r="E297" s="29" t="s">
        <v>828</v>
      </c>
      <c r="F297" s="29" t="s">
        <v>28687</v>
      </c>
      <c r="G297" s="29" t="s">
        <v>88</v>
      </c>
    </row>
    <row r="298" spans="2:7" x14ac:dyDescent="0.25">
      <c r="B298" s="29" t="str" cm="1">
        <f t="array" ref="B298">_xlfn.IFS(
     Lists_S3.5_NonGHG[[#This Row],[DE Name]]="","",
     Language=German,Lists_S3.5_NonGHG[[#This Row],[DE Name]],
     Language=French,Lists_S3.5_NonGHG[[#This Row],[FR Name]],
     Language=Italian,Lists_S3.5_NonGHG[[#This Row],[IT Name]]
)</f>
        <v>Zinc, dans l’eau</v>
      </c>
      <c r="C298" s="29" t="s">
        <v>28714</v>
      </c>
      <c r="D298" s="29" t="s">
        <v>829</v>
      </c>
      <c r="E298" s="29" t="s">
        <v>830</v>
      </c>
      <c r="F298" s="29" t="s">
        <v>28688</v>
      </c>
      <c r="G298" s="29" t="s">
        <v>88</v>
      </c>
    </row>
    <row r="299" spans="2:7" x14ac:dyDescent="0.25">
      <c r="B299" s="29" t="str" cm="1">
        <f t="array" ref="B299">_xlfn.IFS(
     Lists_S3.5_NonGHG[[#This Row],[DE Name]]="","",
     Language=German,Lists_S3.5_NonGHG[[#This Row],[DE Name]],
     Language=French,Lists_S3.5_NonGHG[[#This Row],[FR Name]],
     Language=Italian,Lists_S3.5_NonGHG[[#This Row],[IT Name]]
)</f>
        <v>Zinc, dans le sol</v>
      </c>
      <c r="C299" s="29" t="s">
        <v>28724</v>
      </c>
      <c r="D299" s="29" t="s">
        <v>28699</v>
      </c>
      <c r="E299" s="29" t="s">
        <v>28690</v>
      </c>
      <c r="F299" s="29" t="s">
        <v>28619</v>
      </c>
      <c r="G299" s="29" t="s">
        <v>88</v>
      </c>
    </row>
    <row r="300" spans="2:7" x14ac:dyDescent="0.25">
      <c r="B300" s="29" t="str" cm="1">
        <f t="array" ref="B300">_xlfn.IFS(
     Lists_S3.5_NonGHG[[#This Row],[DE Name]]="","",
     Language=German,Lists_S3.5_NonGHG[[#This Row],[DE Name]],
     Language=French,Lists_S3.5_NonGHG[[#This Row],[FR Name]],
     Language=Italian,Lists_S3.5_NonGHG[[#This Row],[IT Name]]
)</f>
        <v>Cuivre, dans le sol</v>
      </c>
      <c r="C300" s="29" t="s">
        <v>28725</v>
      </c>
      <c r="D300" s="29" t="s">
        <v>28700</v>
      </c>
      <c r="E300" s="29" t="s">
        <v>28691</v>
      </c>
      <c r="F300" s="29" t="s">
        <v>28620</v>
      </c>
      <c r="G300" s="29" t="s">
        <v>88</v>
      </c>
    </row>
    <row r="301" spans="2:7" x14ac:dyDescent="0.25">
      <c r="B301" s="29" t="str" cm="1">
        <f t="array" ref="B301">_xlfn.IFS(
     Lists_S3.5_NonGHG[[#This Row],[DE Name]]="","",
     Language=German,Lists_S3.5_NonGHG[[#This Row],[DE Name]],
     Language=French,Lists_S3.5_NonGHG[[#This Row],[FR Name]],
     Language=Italian,Lists_S3.5_NonGHG[[#This Row],[IT Name]]
)</f>
        <v>Cadmium, dans le sol</v>
      </c>
      <c r="C301" s="29" t="s">
        <v>28726</v>
      </c>
      <c r="D301" s="29" t="s">
        <v>28701</v>
      </c>
      <c r="E301" s="29" t="s">
        <v>28692</v>
      </c>
      <c r="F301" s="29" t="s">
        <v>28621</v>
      </c>
      <c r="G301" s="29" t="s">
        <v>88</v>
      </c>
    </row>
    <row r="302" spans="2:7" x14ac:dyDescent="0.25">
      <c r="B302" s="29" t="str" cm="1">
        <f t="array" ref="B302">_xlfn.IFS(
     Lists_S3.5_NonGHG[[#This Row],[DE Name]]="","",
     Language=German,Lists_S3.5_NonGHG[[#This Row],[DE Name]],
     Language=French,Lists_S3.5_NonGHG[[#This Row],[FR Name]],
     Language=Italian,Lists_S3.5_NonGHG[[#This Row],[IT Name]]
)</f>
        <v>Microplastiques, dans le sol</v>
      </c>
      <c r="C302" s="29" t="s">
        <v>28727</v>
      </c>
      <c r="D302" s="29" t="s">
        <v>28702</v>
      </c>
      <c r="E302" s="29" t="s">
        <v>28693</v>
      </c>
      <c r="F302" s="29" t="s">
        <v>28689</v>
      </c>
      <c r="G302" s="29" t="s">
        <v>88</v>
      </c>
    </row>
    <row r="303" spans="2:7" x14ac:dyDescent="0.25">
      <c r="B303" s="29" t="str" cm="1">
        <f t="array" ref="B303">_xlfn.IFS(
     Lists_S3.5_NonGHG[[#This Row],[DE Name]]="","",
     Language=German,Lists_S3.5_NonGHG[[#This Row],[DE Name]],
     Language=French,Lists_S3.5_NonGHG[[#This Row],[FR Name]],
     Language=Italian,Lists_S3.5_NonGHG[[#This Row],[IT Name]]
)</f>
        <v>Soufre, dans le sol</v>
      </c>
      <c r="C303" s="29" t="s">
        <v>28728</v>
      </c>
      <c r="D303" s="29" t="s">
        <v>28703</v>
      </c>
      <c r="E303" s="29" t="s">
        <v>28694</v>
      </c>
      <c r="F303" s="29" t="s">
        <v>28622</v>
      </c>
      <c r="G303" s="29" t="s">
        <v>88</v>
      </c>
    </row>
    <row r="304" spans="2:7" x14ac:dyDescent="0.25">
      <c r="B304" s="29" t="str" cm="1">
        <f t="array" ref="B304">_xlfn.IFS(
     Lists_S3.5_NonGHG[[#This Row],[DE Name]]="","",
     Language=German,Lists_S3.5_NonGHG[[#This Row],[DE Name]],
     Language=French,Lists_S3.5_NonGHG[[#This Row],[FR Name]],
     Language=Italian,Lists_S3.5_NonGHG[[#This Row],[IT Name]]
)</f>
        <v>Glyphosate, dans le sol</v>
      </c>
      <c r="C304" s="29" t="s">
        <v>28729</v>
      </c>
      <c r="D304" s="29" t="s">
        <v>28704</v>
      </c>
      <c r="E304" s="29" t="s">
        <v>28695</v>
      </c>
      <c r="F304" s="29" t="s">
        <v>28623</v>
      </c>
      <c r="G304" s="29" t="s">
        <v>88</v>
      </c>
    </row>
    <row r="305" spans="1:7" x14ac:dyDescent="0.25">
      <c r="B305" s="29" t="str" cm="1">
        <f t="array" ref="B305">_xlfn.IFS(
     Lists_S3.5_NonGHG[[#This Row],[DE Name]]="","",
     Language=German,Lists_S3.5_NonGHG[[#This Row],[DE Name]],
     Language=French,Lists_S3.5_NonGHG[[#This Row],[FR Name]],
     Language=Italian,Lists_S3.5_NonGHG[[#This Row],[IT Name]]
)</f>
        <v>Folpet, dans le sol</v>
      </c>
      <c r="C305" s="29" t="s">
        <v>28730</v>
      </c>
      <c r="D305" s="29" t="s">
        <v>28705</v>
      </c>
      <c r="E305" s="29" t="s">
        <v>28696</v>
      </c>
      <c r="F305" s="29" t="s">
        <v>28624</v>
      </c>
      <c r="G305" s="29" t="s">
        <v>88</v>
      </c>
    </row>
    <row r="306" spans="1:7" x14ac:dyDescent="0.25">
      <c r="B306" s="29" t="str" cm="1">
        <f t="array" ref="B306">_xlfn.IFS(
     Lists_S3.5_NonGHG[[#This Row],[DE Name]]="","",
     Language=German,Lists_S3.5_NonGHG[[#This Row],[DE Name]],
     Language=French,Lists_S3.5_NonGHG[[#This Row],[FR Name]],
     Language=Italian,Lists_S3.5_NonGHG[[#This Row],[IT Name]]
)</f>
        <v>Acides gras, dans le sol</v>
      </c>
      <c r="C306" s="29" t="s">
        <v>28731</v>
      </c>
      <c r="D306" s="29" t="s">
        <v>28706</v>
      </c>
      <c r="E306" s="29" t="s">
        <v>28697</v>
      </c>
      <c r="F306" s="29" t="s">
        <v>28625</v>
      </c>
      <c r="G306" s="29" t="s">
        <v>88</v>
      </c>
    </row>
    <row r="307" spans="1:7" x14ac:dyDescent="0.25">
      <c r="B307" s="29" t="str" cm="1">
        <f t="array" ref="B307">_xlfn.IFS(
     Lists_S3.5_NonGHG[[#This Row],[DE Name]]="","",
     Language=German,Lists_S3.5_NonGHG[[#This Row],[DE Name]],
     Language=French,Lists_S3.5_NonGHG[[#This Row],[FR Name]],
     Language=Italian,Lists_S3.5_NonGHG[[#This Row],[IT Name]]
)</f>
        <v>Diméthénamide, dans le sol</v>
      </c>
      <c r="C307" s="29" t="s">
        <v>28732</v>
      </c>
      <c r="D307" s="29" t="s">
        <v>28707</v>
      </c>
      <c r="E307" s="29" t="s">
        <v>28698</v>
      </c>
      <c r="F307" s="29" t="s">
        <v>28626</v>
      </c>
      <c r="G307" s="29" t="s">
        <v>88</v>
      </c>
    </row>
    <row r="308" spans="1:7" x14ac:dyDescent="0.25">
      <c r="B308" s="29" t="str" cm="1">
        <f t="array" ref="B308">_xlfn.IFS(
     Lists_S3.5_NonGHG[[#This Row],[DE Name]]="","",
     Language=German,Lists_S3.5_NonGHG[[#This Row],[DE Name]],
     Language=French,Lists_S3.5_NonGHG[[#This Row],[FR Name]],
     Language=Italian,Lists_S3.5_NonGHG[[#This Row],[IT Name]]
)</f>
        <v>Occupation des sols, zone artificielle (m²)</v>
      </c>
      <c r="C308" s="29" t="s">
        <v>28721</v>
      </c>
      <c r="D308" s="29" t="s">
        <v>28708</v>
      </c>
      <c r="E308" s="29" t="s">
        <v>28711</v>
      </c>
      <c r="F308" s="29" t="s">
        <v>28627</v>
      </c>
      <c r="G308" s="29" t="s">
        <v>563</v>
      </c>
    </row>
    <row r="309" spans="1:7" x14ac:dyDescent="0.25">
      <c r="B309" s="29" t="str" cm="1">
        <f t="array" ref="B309">_xlfn.IFS(
     Lists_S3.5_NonGHG[[#This Row],[DE Name]]="","",
     Language=German,Lists_S3.5_NonGHG[[#This Row],[DE Name]],
     Language=French,Lists_S3.5_NonGHG[[#This Row],[FR Name]],
     Language=Italian,Lists_S3.5_NonGHG[[#This Row],[IT Name]]
)</f>
        <v>Occupation des sols, cultures annuelles (m²)</v>
      </c>
      <c r="C309" s="29" t="s">
        <v>28722</v>
      </c>
      <c r="D309" s="29" t="s">
        <v>28709</v>
      </c>
      <c r="E309" s="29" t="s">
        <v>28712</v>
      </c>
      <c r="F309" s="29" t="s">
        <v>28628</v>
      </c>
      <c r="G309" s="29" t="s">
        <v>563</v>
      </c>
    </row>
    <row r="310" spans="1:7" x14ac:dyDescent="0.25">
      <c r="B310" s="29" t="str" cm="1">
        <f t="array" ref="B310">_xlfn.IFS(
     Lists_S3.5_NonGHG[[#This Row],[DE Name]]="","",
     Language=German,Lists_S3.5_NonGHG[[#This Row],[DE Name]],
     Language=French,Lists_S3.5_NonGHG[[#This Row],[FR Name]],
     Language=Italian,Lists_S3.5_NonGHG[[#This Row],[IT Name]]
)</f>
        <v>Occupation des sols, urbain, espaces verts (m²)</v>
      </c>
      <c r="C310" s="29" t="s">
        <v>28723</v>
      </c>
      <c r="D310" s="29" t="s">
        <v>28710</v>
      </c>
      <c r="E310" s="29" t="s">
        <v>28713</v>
      </c>
      <c r="F310" s="29" t="s">
        <v>28629</v>
      </c>
      <c r="G310" s="29" t="s">
        <v>563</v>
      </c>
    </row>
    <row r="317" spans="1:7" x14ac:dyDescent="0.25">
      <c r="A317" s="28" t="s">
        <v>831</v>
      </c>
      <c r="B317" s="35" t="s">
        <v>832</v>
      </c>
    </row>
    <row r="319" spans="1:7" x14ac:dyDescent="0.25">
      <c r="B319" s="29" t="s">
        <v>833</v>
      </c>
      <c r="C319" s="29" t="s">
        <v>63</v>
      </c>
      <c r="D319" s="29" t="s">
        <v>64</v>
      </c>
      <c r="E319" s="29" t="s">
        <v>65</v>
      </c>
      <c r="F319" s="29" t="s">
        <v>834</v>
      </c>
    </row>
    <row r="320" spans="1:7" x14ac:dyDescent="0.25">
      <c r="B320" s="29" t="str" cm="1">
        <f t="array" ref="B320">_xlfn.IFS(
     Lists_1GeneralInput[[#This Row],[DE Name]]="","",
     Language=German,Lists_1GeneralInput[[#This Row],[DE Name]],
     Language=French,Lists_1GeneralInput[[#This Row],[FR Name]],
     Language=Italian,Lists_1GeneralInput[[#This Row],[IT Name]]
)</f>
        <v>CONTROL</v>
      </c>
      <c r="C320" s="29" t="s">
        <v>835</v>
      </c>
      <c r="D320" s="29" t="s">
        <v>835</v>
      </c>
      <c r="E320" s="29" t="s">
        <v>835</v>
      </c>
      <c r="F320" s="29" t="s">
        <v>835</v>
      </c>
    </row>
    <row r="321" spans="2:7" x14ac:dyDescent="0.25">
      <c r="B321" s="29" t="str" cm="1">
        <f t="array" ref="B321">_xlfn.IFS(
     Lists_1GeneralInput[[#This Row],[DE Name]]="","",
     Language=German,Lists_1GeneralInput[[#This Row],[DE Name]],
     Language=French,Lists_1GeneralInput[[#This Row],[FR Name]],
     Language=Italian,Lists_1GeneralInput[[#This Row],[IT Name]]
)</f>
        <v>Contrôle opérationnel</v>
      </c>
      <c r="C321" s="29" t="s">
        <v>836</v>
      </c>
      <c r="D321" s="29" t="s">
        <v>837</v>
      </c>
      <c r="E321" s="29" t="s">
        <v>838</v>
      </c>
      <c r="F321" s="29" t="s">
        <v>839</v>
      </c>
    </row>
    <row r="322" spans="2:7" x14ac:dyDescent="0.25">
      <c r="B322" s="29" t="str" cm="1">
        <f t="array" ref="B322">_xlfn.IFS(
     Lists_1GeneralInput[[#This Row],[DE Name]]="","",
     Language=German,Lists_1GeneralInput[[#This Row],[DE Name]],
     Language=French,Lists_1GeneralInput[[#This Row],[FR Name]],
     Language=Italian,Lists_1GeneralInput[[#This Row],[IT Name]]
)</f>
        <v>Contrôle financier</v>
      </c>
      <c r="C322" s="29" t="s">
        <v>840</v>
      </c>
      <c r="D322" s="29" t="s">
        <v>841</v>
      </c>
      <c r="E322" s="29" t="s">
        <v>842</v>
      </c>
      <c r="F322" s="29" t="s">
        <v>843</v>
      </c>
    </row>
    <row r="323" spans="2:7" x14ac:dyDescent="0.25">
      <c r="B323" s="29" t="str" cm="1">
        <f t="array" ref="B323">_xlfn.IFS(
     Lists_1GeneralInput[[#This Row],[DE Name]]="","",
     Language=German,Lists_1GeneralInput[[#This Row],[DE Name]],
     Language=French,Lists_1GeneralInput[[#This Row],[FR Name]],
     Language=Italian,Lists_1GeneralInput[[#This Row],[IT Name]]
)</f>
        <v>Participation au capital</v>
      </c>
      <c r="C323" s="29" t="s">
        <v>844</v>
      </c>
      <c r="D323" s="29" t="s">
        <v>27661</v>
      </c>
      <c r="E323" t="s">
        <v>845</v>
      </c>
      <c r="F323" s="29" t="s">
        <v>846</v>
      </c>
    </row>
    <row r="324" spans="2:7" x14ac:dyDescent="0.25">
      <c r="B324" s="29" t="str" cm="1">
        <f t="array" ref="B324">_xlfn.IFS(
     Lists_1GeneralInput[[#This Row],[DE Name]]="","",
     Language=German,Lists_1GeneralInput[[#This Row],[DE Name]],
     Language=French,Lists_1GeneralInput[[#This Row],[FR Name]],
     Language=Italian,Lists_1GeneralInput[[#This Row],[IT Name]]
)</f>
        <v>YES/NO</v>
      </c>
      <c r="C324" s="29" t="s">
        <v>847</v>
      </c>
      <c r="D324" s="29" t="s">
        <v>847</v>
      </c>
      <c r="E324" s="29" t="s">
        <v>847</v>
      </c>
      <c r="F324" s="29" t="s">
        <v>847</v>
      </c>
    </row>
    <row r="325" spans="2:7" x14ac:dyDescent="0.25">
      <c r="B325" s="29" t="str" cm="1">
        <f t="array" ref="B325">_xlfn.IFS(
     Lists_1GeneralInput[[#This Row],[DE Name]]="","",
     Language=German,Lists_1GeneralInput[[#This Row],[DE Name]],
     Language=French,Lists_1GeneralInput[[#This Row],[FR Name]],
     Language=Italian,Lists_1GeneralInput[[#This Row],[IT Name]]
)</f>
        <v>Oui</v>
      </c>
      <c r="C325" s="29" t="s">
        <v>848</v>
      </c>
      <c r="D325" s="29" t="s">
        <v>849</v>
      </c>
      <c r="E325" s="29" t="s">
        <v>850</v>
      </c>
      <c r="F325" s="29" t="s">
        <v>851</v>
      </c>
    </row>
    <row r="326" spans="2:7" x14ac:dyDescent="0.25">
      <c r="B326" s="29" t="str" cm="1">
        <f t="array" ref="B326">_xlfn.IFS(
     Lists_1GeneralInput[[#This Row],[DE Name]]="","",
     Language=German,Lists_1GeneralInput[[#This Row],[DE Name]],
     Language=French,Lists_1GeneralInput[[#This Row],[FR Name]],
     Language=Italian,Lists_1GeneralInput[[#This Row],[IT Name]]
)</f>
        <v>Non</v>
      </c>
      <c r="C326" s="29" t="s">
        <v>852</v>
      </c>
      <c r="D326" s="29" t="s">
        <v>853</v>
      </c>
      <c r="E326" s="29" t="s">
        <v>854</v>
      </c>
      <c r="F326" s="29" t="s">
        <v>854</v>
      </c>
    </row>
    <row r="327" spans="2:7" x14ac:dyDescent="0.25">
      <c r="B327" s="29" t="str" cm="1">
        <f t="array" ref="B327">_xlfn.IFS(
     Lists_1GeneralInput[[#This Row],[DE Name]]="","",
     Language=German,Lists_1GeneralInput[[#This Row],[DE Name]],
     Language=French,Lists_1GeneralInput[[#This Row],[FR Name]],
     Language=Italian,Lists_1GeneralInput[[#This Row],[IT Name]]
)</f>
        <v>LEASE TYPE</v>
      </c>
      <c r="C327" s="29" t="s">
        <v>855</v>
      </c>
      <c r="D327" s="29" t="s">
        <v>855</v>
      </c>
      <c r="E327" s="29" t="s">
        <v>855</v>
      </c>
      <c r="F327" s="29" t="s">
        <v>855</v>
      </c>
    </row>
    <row r="328" spans="2:7" x14ac:dyDescent="0.25">
      <c r="B328" s="29" t="str" cm="1">
        <f t="array" ref="B328">_xlfn.IFS(
     Lists_1GeneralInput[[#This Row],[DE Name]]="","",
     Language=German,Lists_1GeneralInput[[#This Row],[DE Name]],
     Language=French,Lists_1GeneralInput[[#This Row],[FR Name]],
     Language=Italian,Lists_1GeneralInput[[#This Row],[IT Name]]
)</f>
        <v>Bail d'exploitation</v>
      </c>
      <c r="C328" s="29" t="s">
        <v>856</v>
      </c>
      <c r="D328" s="29" t="s">
        <v>27662</v>
      </c>
      <c r="E328" s="29" t="s">
        <v>857</v>
      </c>
      <c r="F328" s="29" t="s">
        <v>858</v>
      </c>
    </row>
    <row r="329" spans="2:7" x14ac:dyDescent="0.25">
      <c r="B329" s="29" t="str" cm="1">
        <f t="array" ref="B329">_xlfn.IFS(
     Lists_1GeneralInput[[#This Row],[DE Name]]="","",
     Language=German,Lists_1GeneralInput[[#This Row],[DE Name]],
     Language=French,Lists_1GeneralInput[[#This Row],[FR Name]],
     Language=Italian,Lists_1GeneralInput[[#This Row],[IT Name]]
)</f>
        <v>Bail financier</v>
      </c>
      <c r="C329" s="29" t="s">
        <v>859</v>
      </c>
      <c r="D329" s="29" t="s">
        <v>27663</v>
      </c>
      <c r="E329" s="29" t="s">
        <v>860</v>
      </c>
      <c r="F329" s="29" t="s">
        <v>861</v>
      </c>
    </row>
    <row r="330" spans="2:7" x14ac:dyDescent="0.25">
      <c r="B330" s="29" t="str" cm="1">
        <f t="array" ref="B330">_xlfn.IFS(
     Lists_1GeneralInput[[#This Row],[DE Name]]="","",
     Language=German,Lists_1GeneralInput[[#This Row],[DE Name]],
     Language=French,Lists_1GeneralInput[[#This Row],[FR Name]],
     Language=Italian,Lists_1GeneralInput[[#This Row],[IT Name]]
)</f>
        <v>LEASE</v>
      </c>
      <c r="C330" s="29" t="s">
        <v>27951</v>
      </c>
      <c r="D330" s="29" t="s">
        <v>27951</v>
      </c>
      <c r="E330" s="29" t="s">
        <v>27951</v>
      </c>
      <c r="F330" s="29" t="s">
        <v>27951</v>
      </c>
    </row>
    <row r="331" spans="2:7" x14ac:dyDescent="0.25">
      <c r="B331" s="29" t="str" cm="1">
        <f t="array" ref="B331">_xlfn.IFS(
     Lists_1GeneralInput[[#This Row],[DE Name]]="","",
     Language=German,Lists_1GeneralInput[[#This Row],[DE Name]],
     Language=French,Lists_1GeneralInput[[#This Row],[FR Name]],
     Language=Italian,Lists_1GeneralInput[[#This Row],[IT Name]]
)</f>
        <v>Le type de bail n'est pas pertinent dans ce cas.</v>
      </c>
      <c r="C331" s="29" t="s">
        <v>862</v>
      </c>
      <c r="D331" t="s">
        <v>27664</v>
      </c>
      <c r="E331" t="s">
        <v>863</v>
      </c>
      <c r="F331" s="29" t="s">
        <v>864</v>
      </c>
    </row>
    <row r="332" spans="2:7" ht="60" x14ac:dyDescent="0.25">
      <c r="B332" s="367" t="str" cm="1">
        <f t="array" ref="B332">_xlfn.IFS(
     Lists_1GeneralInput[[#This Row],[DE Name]]="","",
     Language=German,Lists_1GeneralInput[[#This Row],[DE Name]],
     Language=French,Lists_1GeneralInput[[#This Row],[FR Name]],
     Language=Italian,Lists_1GeneralInput[[#This Row],[IT Name]]
)</f>
        <v>La majorité de vos biens loués en amont et aval sont-ils en location type "Bail d'exploitation" ou "Bail financier"?
(aide dans le User Manual)</v>
      </c>
      <c r="C332" s="367" t="s">
        <v>865</v>
      </c>
      <c r="D332" s="367" t="s">
        <v>27665</v>
      </c>
      <c r="E332" s="367" t="s">
        <v>28596</v>
      </c>
      <c r="F332" s="29"/>
    </row>
    <row r="333" spans="2:7" ht="16.899999999999999" customHeight="1" x14ac:dyDescent="0.25">
      <c r="B333" s="29" t="str" cm="1">
        <f t="array" ref="B333">_xlfn.IFS(
     Lists_1GeneralInput[[#This Row],[DE Name]]="","",
     Language=German,Lists_1GeneralInput[[#This Row],[DE Name]],
     Language=French,Lists_1GeneralInput[[#This Row],[FR Name]],
     Language=Italian,Lists_1GeneralInput[[#This Row],[IT Name]]
)</f>
        <v>END</v>
      </c>
      <c r="C333" s="29" t="s">
        <v>866</v>
      </c>
      <c r="D333" s="29" t="s">
        <v>866</v>
      </c>
      <c r="E333" s="29" t="s">
        <v>866</v>
      </c>
      <c r="F333" s="29" t="s">
        <v>866</v>
      </c>
    </row>
    <row r="335" spans="2:7" x14ac:dyDescent="0.25">
      <c r="E335" s="34"/>
      <c r="F335" s="28"/>
      <c r="G335" s="28"/>
    </row>
    <row r="374" spans="2:2" x14ac:dyDescent="0.25">
      <c r="B374" s="304"/>
    </row>
    <row r="375" spans="2:2" x14ac:dyDescent="0.25">
      <c r="B375" s="304"/>
    </row>
    <row r="376" spans="2:2" x14ac:dyDescent="0.25">
      <c r="B376" s="304"/>
    </row>
    <row r="377" spans="2:2" x14ac:dyDescent="0.25">
      <c r="B377" s="304"/>
    </row>
    <row r="378" spans="2:2" x14ac:dyDescent="0.25">
      <c r="B378" s="304"/>
    </row>
    <row r="379" spans="2:2" x14ac:dyDescent="0.25">
      <c r="B379" s="304"/>
    </row>
    <row r="380" spans="2:2" x14ac:dyDescent="0.25">
      <c r="B380" s="304"/>
    </row>
    <row r="381" spans="2:2" x14ac:dyDescent="0.25">
      <c r="B381" s="304"/>
    </row>
    <row r="382" spans="2:2" x14ac:dyDescent="0.25">
      <c r="B382" s="304"/>
    </row>
    <row r="383" spans="2:2" x14ac:dyDescent="0.25">
      <c r="B383" s="352"/>
    </row>
    <row r="384" spans="2:2" x14ac:dyDescent="0.25">
      <c r="B384" s="305"/>
    </row>
    <row r="385" spans="2:2" x14ac:dyDescent="0.25">
      <c r="B385" s="304"/>
    </row>
    <row r="386" spans="2:2" x14ac:dyDescent="0.25">
      <c r="B386" s="304"/>
    </row>
    <row r="387" spans="2:2" x14ac:dyDescent="0.25">
      <c r="B387" s="304"/>
    </row>
    <row r="388" spans="2:2" x14ac:dyDescent="0.25">
      <c r="B388" s="304"/>
    </row>
    <row r="389" spans="2:2" x14ac:dyDescent="0.25">
      <c r="B389" s="304"/>
    </row>
    <row r="390" spans="2:2" x14ac:dyDescent="0.25">
      <c r="B390" s="304"/>
    </row>
    <row r="391" spans="2:2" x14ac:dyDescent="0.25">
      <c r="B391" s="304"/>
    </row>
    <row r="392" spans="2:2" x14ac:dyDescent="0.25">
      <c r="B392" s="304"/>
    </row>
    <row r="393" spans="2:2" x14ac:dyDescent="0.25">
      <c r="B393" s="304"/>
    </row>
    <row r="394" spans="2:2" x14ac:dyDescent="0.25">
      <c r="B394" s="304"/>
    </row>
    <row r="395" spans="2:2" x14ac:dyDescent="0.25">
      <c r="B395" s="304"/>
    </row>
    <row r="396" spans="2:2" x14ac:dyDescent="0.25">
      <c r="B396" s="304"/>
    </row>
    <row r="397" spans="2:2" x14ac:dyDescent="0.25">
      <c r="B397" s="304"/>
    </row>
    <row r="398" spans="2:2" x14ac:dyDescent="0.25">
      <c r="B398" s="304"/>
    </row>
    <row r="399" spans="2:2" x14ac:dyDescent="0.25">
      <c r="B399" s="304"/>
    </row>
    <row r="400" spans="2:2" x14ac:dyDescent="0.25">
      <c r="B400" s="304"/>
    </row>
    <row r="401" spans="2:2" x14ac:dyDescent="0.25">
      <c r="B401" s="304"/>
    </row>
    <row r="402" spans="2:2" x14ac:dyDescent="0.25">
      <c r="B402" s="304"/>
    </row>
    <row r="403" spans="2:2" x14ac:dyDescent="0.25">
      <c r="B403" s="304"/>
    </row>
    <row r="404" spans="2:2" x14ac:dyDescent="0.25">
      <c r="B404" s="304"/>
    </row>
    <row r="405" spans="2:2" x14ac:dyDescent="0.25">
      <c r="B405" s="304"/>
    </row>
    <row r="406" spans="2:2" x14ac:dyDescent="0.25">
      <c r="B406" s="304"/>
    </row>
    <row r="407" spans="2:2" x14ac:dyDescent="0.25">
      <c r="B407" s="304"/>
    </row>
    <row r="408" spans="2:2" x14ac:dyDescent="0.25">
      <c r="B408" s="304"/>
    </row>
    <row r="409" spans="2:2" x14ac:dyDescent="0.25">
      <c r="B409" s="304"/>
    </row>
    <row r="410" spans="2:2" x14ac:dyDescent="0.25">
      <c r="B410" s="304"/>
    </row>
    <row r="411" spans="2:2" x14ac:dyDescent="0.25">
      <c r="B411" s="304"/>
    </row>
    <row r="412" spans="2:2" x14ac:dyDescent="0.25">
      <c r="B412" s="304"/>
    </row>
    <row r="413" spans="2:2" x14ac:dyDescent="0.25">
      <c r="B413" s="304"/>
    </row>
    <row r="414" spans="2:2" x14ac:dyDescent="0.25">
      <c r="B414" s="304"/>
    </row>
    <row r="415" spans="2:2" x14ac:dyDescent="0.25">
      <c r="B415" s="304"/>
    </row>
    <row r="416" spans="2:2" x14ac:dyDescent="0.25">
      <c r="B416" s="304"/>
    </row>
    <row r="417" spans="2:2" x14ac:dyDescent="0.25">
      <c r="B417" s="304"/>
    </row>
    <row r="418" spans="2:2" x14ac:dyDescent="0.25">
      <c r="B418" s="304"/>
    </row>
    <row r="419" spans="2:2" x14ac:dyDescent="0.25">
      <c r="B419" s="304"/>
    </row>
    <row r="420" spans="2:2" x14ac:dyDescent="0.25">
      <c r="B420" s="304"/>
    </row>
    <row r="421" spans="2:2" x14ac:dyDescent="0.25">
      <c r="B421" s="304"/>
    </row>
    <row r="422" spans="2:2" x14ac:dyDescent="0.25">
      <c r="B422" s="304"/>
    </row>
    <row r="423" spans="2:2" x14ac:dyDescent="0.25">
      <c r="B423" s="304"/>
    </row>
    <row r="424" spans="2:2" x14ac:dyDescent="0.25">
      <c r="B424" s="304"/>
    </row>
    <row r="425" spans="2:2" x14ac:dyDescent="0.25">
      <c r="B425" s="304"/>
    </row>
    <row r="426" spans="2:2" x14ac:dyDescent="0.25">
      <c r="B426" s="304"/>
    </row>
    <row r="427" spans="2:2" x14ac:dyDescent="0.25">
      <c r="B427" s="304"/>
    </row>
    <row r="428" spans="2:2" x14ac:dyDescent="0.25">
      <c r="B428" s="304"/>
    </row>
    <row r="429" spans="2:2" x14ac:dyDescent="0.25">
      <c r="B429" s="304"/>
    </row>
    <row r="430" spans="2:2" x14ac:dyDescent="0.25">
      <c r="B430" s="304"/>
    </row>
    <row r="431" spans="2:2" x14ac:dyDescent="0.25">
      <c r="B431" s="304"/>
    </row>
    <row r="432" spans="2:2" x14ac:dyDescent="0.25">
      <c r="B432" s="304"/>
    </row>
    <row r="433" spans="2:2" x14ac:dyDescent="0.25">
      <c r="B433" s="304"/>
    </row>
    <row r="434" spans="2:2" x14ac:dyDescent="0.25">
      <c r="B434" s="304"/>
    </row>
    <row r="435" spans="2:2" x14ac:dyDescent="0.25">
      <c r="B435" s="304"/>
    </row>
    <row r="436" spans="2:2" x14ac:dyDescent="0.25">
      <c r="B436" s="304"/>
    </row>
    <row r="437" spans="2:2" x14ac:dyDescent="0.25">
      <c r="B437" s="304"/>
    </row>
    <row r="438" spans="2:2" x14ac:dyDescent="0.25">
      <c r="B438" s="304"/>
    </row>
    <row r="439" spans="2:2" x14ac:dyDescent="0.25">
      <c r="B439" s="304"/>
    </row>
    <row r="440" spans="2:2" x14ac:dyDescent="0.25">
      <c r="B440" s="304"/>
    </row>
    <row r="441" spans="2:2" x14ac:dyDescent="0.25">
      <c r="B441" s="304"/>
    </row>
    <row r="442" spans="2:2" x14ac:dyDescent="0.25">
      <c r="B442" s="304"/>
    </row>
    <row r="443" spans="2:2" x14ac:dyDescent="0.25">
      <c r="B443" s="304"/>
    </row>
    <row r="444" spans="2:2" x14ac:dyDescent="0.25">
      <c r="B444" s="304"/>
    </row>
    <row r="445" spans="2:2" x14ac:dyDescent="0.25">
      <c r="B445" s="304"/>
    </row>
    <row r="446" spans="2:2" x14ac:dyDescent="0.25">
      <c r="B446" s="304"/>
    </row>
    <row r="447" spans="2:2" x14ac:dyDescent="0.25">
      <c r="B447" s="304"/>
    </row>
    <row r="448" spans="2:2" x14ac:dyDescent="0.25">
      <c r="B448" s="304"/>
    </row>
    <row r="449" spans="2:2" x14ac:dyDescent="0.25">
      <c r="B449" s="304"/>
    </row>
    <row r="450" spans="2:2" x14ac:dyDescent="0.25">
      <c r="B450" s="304"/>
    </row>
    <row r="451" spans="2:2" x14ac:dyDescent="0.25">
      <c r="B451" s="304"/>
    </row>
    <row r="452" spans="2:2" x14ac:dyDescent="0.25">
      <c r="B452" s="304"/>
    </row>
    <row r="453" spans="2:2" x14ac:dyDescent="0.25">
      <c r="B453" s="304"/>
    </row>
    <row r="454" spans="2:2" x14ac:dyDescent="0.25">
      <c r="B454" s="304"/>
    </row>
    <row r="455" spans="2:2" x14ac:dyDescent="0.25">
      <c r="B455" s="304"/>
    </row>
    <row r="456" spans="2:2" x14ac:dyDescent="0.25">
      <c r="B456" s="304"/>
    </row>
    <row r="457" spans="2:2" x14ac:dyDescent="0.25">
      <c r="B457" s="304"/>
    </row>
    <row r="458" spans="2:2" x14ac:dyDescent="0.25">
      <c r="B458" s="304"/>
    </row>
    <row r="459" spans="2:2" x14ac:dyDescent="0.25">
      <c r="B459" s="304"/>
    </row>
    <row r="460" spans="2:2" x14ac:dyDescent="0.25">
      <c r="B460" s="304"/>
    </row>
    <row r="461" spans="2:2" x14ac:dyDescent="0.25">
      <c r="B461" s="304"/>
    </row>
    <row r="462" spans="2:2" x14ac:dyDescent="0.25">
      <c r="B462" s="304"/>
    </row>
    <row r="463" spans="2:2" x14ac:dyDescent="0.25">
      <c r="B463" s="304"/>
    </row>
    <row r="464" spans="2:2" x14ac:dyDescent="0.25">
      <c r="B464" s="304"/>
    </row>
    <row r="465" spans="2:2" x14ac:dyDescent="0.25">
      <c r="B465" s="304"/>
    </row>
    <row r="466" spans="2:2" x14ac:dyDescent="0.25">
      <c r="B466" s="304"/>
    </row>
    <row r="467" spans="2:2" x14ac:dyDescent="0.25">
      <c r="B467" s="304"/>
    </row>
    <row r="468" spans="2:2" x14ac:dyDescent="0.25">
      <c r="B468" s="304"/>
    </row>
    <row r="469" spans="2:2" x14ac:dyDescent="0.25">
      <c r="B469" s="304"/>
    </row>
    <row r="470" spans="2:2" x14ac:dyDescent="0.25">
      <c r="B470" s="304"/>
    </row>
    <row r="471" spans="2:2" x14ac:dyDescent="0.25">
      <c r="B471" s="304"/>
    </row>
    <row r="472" spans="2:2" x14ac:dyDescent="0.25">
      <c r="B472" s="304"/>
    </row>
    <row r="473" spans="2:2" x14ac:dyDescent="0.25">
      <c r="B473" s="304"/>
    </row>
    <row r="474" spans="2:2" x14ac:dyDescent="0.25">
      <c r="B474" s="304"/>
    </row>
    <row r="475" spans="2:2" x14ac:dyDescent="0.25">
      <c r="B475" s="304"/>
    </row>
    <row r="476" spans="2:2" x14ac:dyDescent="0.25">
      <c r="B476" s="304"/>
    </row>
    <row r="477" spans="2:2" x14ac:dyDescent="0.25">
      <c r="B477" s="304"/>
    </row>
    <row r="478" spans="2:2" x14ac:dyDescent="0.25">
      <c r="B478" s="304"/>
    </row>
    <row r="479" spans="2:2" x14ac:dyDescent="0.25">
      <c r="B479" s="304"/>
    </row>
    <row r="480" spans="2:2" x14ac:dyDescent="0.25">
      <c r="B480" s="304"/>
    </row>
    <row r="481" spans="2:2" x14ac:dyDescent="0.25">
      <c r="B481" s="304"/>
    </row>
    <row r="482" spans="2:2" x14ac:dyDescent="0.25">
      <c r="B482" s="304"/>
    </row>
    <row r="483" spans="2:2" x14ac:dyDescent="0.25">
      <c r="B483" s="304"/>
    </row>
    <row r="484" spans="2:2" x14ac:dyDescent="0.25">
      <c r="B484" s="304"/>
    </row>
    <row r="485" spans="2:2" x14ac:dyDescent="0.25">
      <c r="B485" s="304"/>
    </row>
    <row r="486" spans="2:2" x14ac:dyDescent="0.25">
      <c r="B486" s="304"/>
    </row>
    <row r="487" spans="2:2" x14ac:dyDescent="0.25">
      <c r="B487" s="304"/>
    </row>
    <row r="488" spans="2:2" x14ac:dyDescent="0.25">
      <c r="B488" s="304"/>
    </row>
    <row r="489" spans="2:2" x14ac:dyDescent="0.25">
      <c r="B489" s="304"/>
    </row>
    <row r="490" spans="2:2" x14ac:dyDescent="0.25">
      <c r="B490" s="304"/>
    </row>
    <row r="491" spans="2:2" x14ac:dyDescent="0.25">
      <c r="B491" s="304"/>
    </row>
    <row r="492" spans="2:2" x14ac:dyDescent="0.25">
      <c r="B492" s="304"/>
    </row>
    <row r="493" spans="2:2" x14ac:dyDescent="0.25">
      <c r="B493" s="304"/>
    </row>
    <row r="494" spans="2:2" x14ac:dyDescent="0.25">
      <c r="B494" s="304"/>
    </row>
    <row r="495" spans="2:2" x14ac:dyDescent="0.25">
      <c r="B495" s="304"/>
    </row>
    <row r="496" spans="2:2" x14ac:dyDescent="0.25">
      <c r="B496" s="304"/>
    </row>
    <row r="497" spans="2:2" x14ac:dyDescent="0.25">
      <c r="B497" s="304"/>
    </row>
    <row r="498" spans="2:2" x14ac:dyDescent="0.25">
      <c r="B498" s="304"/>
    </row>
    <row r="499" spans="2:2" x14ac:dyDescent="0.25">
      <c r="B499" s="304"/>
    </row>
    <row r="500" spans="2:2" x14ac:dyDescent="0.25">
      <c r="B500" s="304"/>
    </row>
    <row r="501" spans="2:2" x14ac:dyDescent="0.25">
      <c r="B501" s="304"/>
    </row>
    <row r="502" spans="2:2" x14ac:dyDescent="0.25">
      <c r="B502" s="304"/>
    </row>
    <row r="503" spans="2:2" x14ac:dyDescent="0.25">
      <c r="B503" s="304"/>
    </row>
    <row r="504" spans="2:2" x14ac:dyDescent="0.25">
      <c r="B504" s="304"/>
    </row>
    <row r="505" spans="2:2" x14ac:dyDescent="0.25">
      <c r="B505" s="304"/>
    </row>
    <row r="506" spans="2:2" x14ac:dyDescent="0.25">
      <c r="B506" s="304"/>
    </row>
    <row r="507" spans="2:2" x14ac:dyDescent="0.25">
      <c r="B507" s="304"/>
    </row>
    <row r="508" spans="2:2" x14ac:dyDescent="0.25">
      <c r="B508" s="304"/>
    </row>
    <row r="509" spans="2:2" x14ac:dyDescent="0.25">
      <c r="B509" s="304"/>
    </row>
    <row r="510" spans="2:2" x14ac:dyDescent="0.25">
      <c r="B510" s="304"/>
    </row>
    <row r="511" spans="2:2" x14ac:dyDescent="0.25">
      <c r="B511" s="304"/>
    </row>
    <row r="512" spans="2:2" x14ac:dyDescent="0.25">
      <c r="B512" s="304"/>
    </row>
    <row r="513" spans="2:2" x14ac:dyDescent="0.25">
      <c r="B513" s="304"/>
    </row>
    <row r="514" spans="2:2" x14ac:dyDescent="0.25">
      <c r="B514" s="304"/>
    </row>
    <row r="515" spans="2:2" x14ac:dyDescent="0.25">
      <c r="B515" s="304"/>
    </row>
    <row r="516" spans="2:2" x14ac:dyDescent="0.25">
      <c r="B516" s="304"/>
    </row>
    <row r="517" spans="2:2" x14ac:dyDescent="0.25">
      <c r="B517" s="304"/>
    </row>
    <row r="518" spans="2:2" x14ac:dyDescent="0.25">
      <c r="B518" s="304"/>
    </row>
    <row r="519" spans="2:2" x14ac:dyDescent="0.25">
      <c r="B519" s="304"/>
    </row>
    <row r="520" spans="2:2" x14ac:dyDescent="0.25">
      <c r="B520" s="304"/>
    </row>
    <row r="521" spans="2:2" x14ac:dyDescent="0.25">
      <c r="B521" s="304"/>
    </row>
    <row r="522" spans="2:2" x14ac:dyDescent="0.25">
      <c r="B522" s="304"/>
    </row>
    <row r="523" spans="2:2" x14ac:dyDescent="0.25">
      <c r="B523" s="304"/>
    </row>
    <row r="524" spans="2:2" x14ac:dyDescent="0.25">
      <c r="B524" s="304"/>
    </row>
    <row r="525" spans="2:2" x14ac:dyDescent="0.25">
      <c r="B525" s="304"/>
    </row>
    <row r="526" spans="2:2" x14ac:dyDescent="0.25">
      <c r="B526" s="304"/>
    </row>
    <row r="527" spans="2:2" x14ac:dyDescent="0.25">
      <c r="B527" s="304"/>
    </row>
    <row r="528" spans="2:2" x14ac:dyDescent="0.25">
      <c r="B528" s="304"/>
    </row>
    <row r="529" spans="2:2" x14ac:dyDescent="0.25">
      <c r="B529" s="304"/>
    </row>
    <row r="530" spans="2:2" x14ac:dyDescent="0.25">
      <c r="B530" s="304"/>
    </row>
    <row r="531" spans="2:2" x14ac:dyDescent="0.25">
      <c r="B531" s="304"/>
    </row>
    <row r="532" spans="2:2" x14ac:dyDescent="0.25">
      <c r="B532" s="304"/>
    </row>
    <row r="533" spans="2:2" x14ac:dyDescent="0.25">
      <c r="B533" s="304"/>
    </row>
    <row r="534" spans="2:2" x14ac:dyDescent="0.25">
      <c r="B534" s="304"/>
    </row>
    <row r="535" spans="2:2" x14ac:dyDescent="0.25">
      <c r="B535" s="304"/>
    </row>
    <row r="536" spans="2:2" x14ac:dyDescent="0.25">
      <c r="B536" s="304"/>
    </row>
    <row r="537" spans="2:2" x14ac:dyDescent="0.25">
      <c r="B537" s="304"/>
    </row>
    <row r="538" spans="2:2" x14ac:dyDescent="0.25">
      <c r="B538" s="304"/>
    </row>
    <row r="539" spans="2:2" x14ac:dyDescent="0.25">
      <c r="B539" s="304"/>
    </row>
    <row r="540" spans="2:2" x14ac:dyDescent="0.25">
      <c r="B540" s="304"/>
    </row>
    <row r="541" spans="2:2" x14ac:dyDescent="0.25">
      <c r="B541" s="304"/>
    </row>
    <row r="542" spans="2:2" x14ac:dyDescent="0.25">
      <c r="B542" s="304"/>
    </row>
    <row r="543" spans="2:2" x14ac:dyDescent="0.25">
      <c r="B543" s="304"/>
    </row>
    <row r="544" spans="2:2" x14ac:dyDescent="0.25">
      <c r="B544" s="304"/>
    </row>
    <row r="545" spans="2:2" x14ac:dyDescent="0.25">
      <c r="B545" s="304"/>
    </row>
    <row r="546" spans="2:2" x14ac:dyDescent="0.25">
      <c r="B546" s="304"/>
    </row>
    <row r="547" spans="2:2" x14ac:dyDescent="0.25">
      <c r="B547" s="304"/>
    </row>
    <row r="548" spans="2:2" x14ac:dyDescent="0.25">
      <c r="B548" s="304"/>
    </row>
    <row r="549" spans="2:2" x14ac:dyDescent="0.25">
      <c r="B549" s="304"/>
    </row>
    <row r="550" spans="2:2" x14ac:dyDescent="0.25">
      <c r="B550" s="304"/>
    </row>
    <row r="551" spans="2:2" x14ac:dyDescent="0.25">
      <c r="B551" s="304"/>
    </row>
    <row r="552" spans="2:2" x14ac:dyDescent="0.25">
      <c r="B552" s="304"/>
    </row>
    <row r="553" spans="2:2" x14ac:dyDescent="0.25">
      <c r="B553" s="304"/>
    </row>
    <row r="554" spans="2:2" x14ac:dyDescent="0.25">
      <c r="B554" s="304"/>
    </row>
    <row r="555" spans="2:2" x14ac:dyDescent="0.25">
      <c r="B555" s="304"/>
    </row>
    <row r="556" spans="2:2" x14ac:dyDescent="0.25">
      <c r="B556" s="304"/>
    </row>
    <row r="557" spans="2:2" x14ac:dyDescent="0.25">
      <c r="B557" s="304"/>
    </row>
    <row r="558" spans="2:2" x14ac:dyDescent="0.25">
      <c r="B558" s="304"/>
    </row>
    <row r="559" spans="2:2" x14ac:dyDescent="0.25">
      <c r="B559" s="304"/>
    </row>
    <row r="560" spans="2:2" x14ac:dyDescent="0.25">
      <c r="B560" s="304"/>
    </row>
    <row r="561" spans="2:2" x14ac:dyDescent="0.25">
      <c r="B561" s="304"/>
    </row>
    <row r="562" spans="2:2" x14ac:dyDescent="0.25">
      <c r="B562" s="304"/>
    </row>
    <row r="563" spans="2:2" x14ac:dyDescent="0.25">
      <c r="B563" s="304"/>
    </row>
    <row r="564" spans="2:2" x14ac:dyDescent="0.25">
      <c r="B564" s="304"/>
    </row>
    <row r="565" spans="2:2" x14ac:dyDescent="0.25">
      <c r="B565" s="304"/>
    </row>
    <row r="566" spans="2:2" x14ac:dyDescent="0.25">
      <c r="B566" s="304"/>
    </row>
    <row r="567" spans="2:2" x14ac:dyDescent="0.25">
      <c r="B567" s="304"/>
    </row>
    <row r="568" spans="2:2" x14ac:dyDescent="0.25">
      <c r="B568" s="304"/>
    </row>
    <row r="569" spans="2:2" x14ac:dyDescent="0.25">
      <c r="B569" s="304"/>
    </row>
    <row r="570" spans="2:2" x14ac:dyDescent="0.25">
      <c r="B570" s="304"/>
    </row>
    <row r="571" spans="2:2" x14ac:dyDescent="0.25">
      <c r="B571" s="304"/>
    </row>
    <row r="572" spans="2:2" x14ac:dyDescent="0.25">
      <c r="B572" s="304"/>
    </row>
    <row r="573" spans="2:2" x14ac:dyDescent="0.25">
      <c r="B573" s="304"/>
    </row>
    <row r="574" spans="2:2" x14ac:dyDescent="0.25">
      <c r="B574" s="304"/>
    </row>
    <row r="575" spans="2:2" x14ac:dyDescent="0.25">
      <c r="B575" s="304"/>
    </row>
    <row r="576" spans="2:2" x14ac:dyDescent="0.25">
      <c r="B576" s="304"/>
    </row>
    <row r="577" spans="2:2" x14ac:dyDescent="0.25">
      <c r="B577" s="304"/>
    </row>
    <row r="578" spans="2:2" x14ac:dyDescent="0.25">
      <c r="B578" s="304"/>
    </row>
    <row r="579" spans="2:2" x14ac:dyDescent="0.25">
      <c r="B579" s="304"/>
    </row>
    <row r="580" spans="2:2" x14ac:dyDescent="0.25">
      <c r="B580" s="304"/>
    </row>
    <row r="581" spans="2:2" x14ac:dyDescent="0.25">
      <c r="B581" s="304"/>
    </row>
    <row r="582" spans="2:2" x14ac:dyDescent="0.25">
      <c r="B582" s="304"/>
    </row>
    <row r="583" spans="2:2" x14ac:dyDescent="0.25">
      <c r="B583" s="304"/>
    </row>
    <row r="584" spans="2:2" x14ac:dyDescent="0.25">
      <c r="B584" s="304"/>
    </row>
    <row r="585" spans="2:2" x14ac:dyDescent="0.25">
      <c r="B585" s="304"/>
    </row>
    <row r="586" spans="2:2" x14ac:dyDescent="0.25">
      <c r="B586" s="304"/>
    </row>
    <row r="587" spans="2:2" x14ac:dyDescent="0.25">
      <c r="B587" s="304"/>
    </row>
    <row r="588" spans="2:2" x14ac:dyDescent="0.25">
      <c r="B588" s="304"/>
    </row>
    <row r="589" spans="2:2" x14ac:dyDescent="0.25">
      <c r="B589" s="304"/>
    </row>
    <row r="590" spans="2:2" x14ac:dyDescent="0.25">
      <c r="B590" s="304"/>
    </row>
    <row r="591" spans="2:2" x14ac:dyDescent="0.25">
      <c r="B591" s="304"/>
    </row>
    <row r="592" spans="2:2" x14ac:dyDescent="0.25">
      <c r="B592" s="304"/>
    </row>
    <row r="593" spans="2:2" x14ac:dyDescent="0.25">
      <c r="B593" s="304"/>
    </row>
    <row r="594" spans="2:2" x14ac:dyDescent="0.25">
      <c r="B594" s="304"/>
    </row>
    <row r="595" spans="2:2" x14ac:dyDescent="0.25">
      <c r="B595" s="304"/>
    </row>
    <row r="596" spans="2:2" x14ac:dyDescent="0.25">
      <c r="B596" s="304"/>
    </row>
    <row r="597" spans="2:2" x14ac:dyDescent="0.25">
      <c r="B597" s="304"/>
    </row>
    <row r="598" spans="2:2" x14ac:dyDescent="0.25">
      <c r="B598" s="304"/>
    </row>
    <row r="599" spans="2:2" x14ac:dyDescent="0.25">
      <c r="B599" s="304"/>
    </row>
    <row r="600" spans="2:2" x14ac:dyDescent="0.25">
      <c r="B600" s="304"/>
    </row>
    <row r="601" spans="2:2" x14ac:dyDescent="0.25">
      <c r="B601" s="304"/>
    </row>
    <row r="602" spans="2:2" x14ac:dyDescent="0.25">
      <c r="B602" s="304"/>
    </row>
    <row r="603" spans="2:2" x14ac:dyDescent="0.25">
      <c r="B603" s="304"/>
    </row>
    <row r="604" spans="2:2" x14ac:dyDescent="0.25">
      <c r="B604" s="304"/>
    </row>
    <row r="605" spans="2:2" x14ac:dyDescent="0.25">
      <c r="B605" s="304"/>
    </row>
    <row r="606" spans="2:2" x14ac:dyDescent="0.25">
      <c r="B606" s="304"/>
    </row>
    <row r="607" spans="2:2" x14ac:dyDescent="0.25">
      <c r="B607" s="304"/>
    </row>
    <row r="608" spans="2:2" x14ac:dyDescent="0.25">
      <c r="B608" s="304"/>
    </row>
    <row r="609" spans="2:2" x14ac:dyDescent="0.25">
      <c r="B609" s="304"/>
    </row>
    <row r="610" spans="2:2" x14ac:dyDescent="0.25">
      <c r="B610" s="304"/>
    </row>
    <row r="611" spans="2:2" x14ac:dyDescent="0.25">
      <c r="B611" s="304"/>
    </row>
    <row r="612" spans="2:2" x14ac:dyDescent="0.25">
      <c r="B612" s="304"/>
    </row>
    <row r="613" spans="2:2" x14ac:dyDescent="0.25">
      <c r="B613" s="304"/>
    </row>
    <row r="614" spans="2:2" x14ac:dyDescent="0.25">
      <c r="B614" s="304"/>
    </row>
    <row r="615" spans="2:2" x14ac:dyDescent="0.25">
      <c r="B615" s="304"/>
    </row>
    <row r="616" spans="2:2" x14ac:dyDescent="0.25">
      <c r="B616" s="304"/>
    </row>
    <row r="617" spans="2:2" x14ac:dyDescent="0.25">
      <c r="B617" s="304"/>
    </row>
    <row r="618" spans="2:2" x14ac:dyDescent="0.25">
      <c r="B618" s="304"/>
    </row>
    <row r="619" spans="2:2" x14ac:dyDescent="0.25">
      <c r="B619" s="304"/>
    </row>
    <row r="620" spans="2:2" x14ac:dyDescent="0.25">
      <c r="B620" s="304"/>
    </row>
    <row r="621" spans="2:2" x14ac:dyDescent="0.25">
      <c r="B621" s="304"/>
    </row>
    <row r="622" spans="2:2" x14ac:dyDescent="0.25">
      <c r="B622" s="304"/>
    </row>
    <row r="623" spans="2:2" x14ac:dyDescent="0.25">
      <c r="B623" s="304"/>
    </row>
    <row r="624" spans="2:2" x14ac:dyDescent="0.25">
      <c r="B624" s="304"/>
    </row>
    <row r="625" spans="2:2" x14ac:dyDescent="0.25">
      <c r="B625" s="304"/>
    </row>
    <row r="626" spans="2:2" x14ac:dyDescent="0.25">
      <c r="B626" s="304"/>
    </row>
    <row r="627" spans="2:2" x14ac:dyDescent="0.25">
      <c r="B627" s="304"/>
    </row>
    <row r="628" spans="2:2" x14ac:dyDescent="0.25">
      <c r="B628" s="304"/>
    </row>
    <row r="629" spans="2:2" x14ac:dyDescent="0.25">
      <c r="B629" s="304"/>
    </row>
    <row r="630" spans="2:2" x14ac:dyDescent="0.25">
      <c r="B630" s="304"/>
    </row>
    <row r="631" spans="2:2" x14ac:dyDescent="0.25">
      <c r="B631" s="304"/>
    </row>
    <row r="632" spans="2:2" x14ac:dyDescent="0.25">
      <c r="B632" s="304"/>
    </row>
    <row r="633" spans="2:2" x14ac:dyDescent="0.25">
      <c r="B633" s="304"/>
    </row>
    <row r="634" spans="2:2" x14ac:dyDescent="0.25">
      <c r="B634" s="304"/>
    </row>
    <row r="635" spans="2:2" x14ac:dyDescent="0.25">
      <c r="B635" s="304"/>
    </row>
    <row r="636" spans="2:2" x14ac:dyDescent="0.25">
      <c r="B636" s="304"/>
    </row>
    <row r="637" spans="2:2" x14ac:dyDescent="0.25">
      <c r="B637" s="304"/>
    </row>
    <row r="638" spans="2:2" x14ac:dyDescent="0.25">
      <c r="B638" s="304"/>
    </row>
    <row r="639" spans="2:2" x14ac:dyDescent="0.25">
      <c r="B639" s="304"/>
    </row>
    <row r="640" spans="2:2" x14ac:dyDescent="0.25">
      <c r="B640" s="304"/>
    </row>
    <row r="641" spans="2:2" x14ac:dyDescent="0.25">
      <c r="B641" s="304"/>
    </row>
    <row r="642" spans="2:2" x14ac:dyDescent="0.25">
      <c r="B642" s="304"/>
    </row>
    <row r="643" spans="2:2" x14ac:dyDescent="0.25">
      <c r="B643" s="304"/>
    </row>
    <row r="644" spans="2:2" x14ac:dyDescent="0.25">
      <c r="B644" s="304"/>
    </row>
    <row r="645" spans="2:2" x14ac:dyDescent="0.25">
      <c r="B645" s="304"/>
    </row>
    <row r="646" spans="2:2" x14ac:dyDescent="0.25">
      <c r="B646" s="304"/>
    </row>
    <row r="647" spans="2:2" x14ac:dyDescent="0.25">
      <c r="B647" s="304"/>
    </row>
    <row r="648" spans="2:2" x14ac:dyDescent="0.25">
      <c r="B648" s="304"/>
    </row>
    <row r="649" spans="2:2" x14ac:dyDescent="0.25">
      <c r="B649" s="304"/>
    </row>
    <row r="650" spans="2:2" x14ac:dyDescent="0.25">
      <c r="B650" s="304"/>
    </row>
    <row r="651" spans="2:2" x14ac:dyDescent="0.25">
      <c r="B651" s="304"/>
    </row>
    <row r="652" spans="2:2" x14ac:dyDescent="0.25">
      <c r="B652" s="304"/>
    </row>
    <row r="653" spans="2:2" x14ac:dyDescent="0.25">
      <c r="B653" s="304"/>
    </row>
    <row r="654" spans="2:2" x14ac:dyDescent="0.25">
      <c r="B654" s="304"/>
    </row>
    <row r="655" spans="2:2" x14ac:dyDescent="0.25">
      <c r="B655" s="304"/>
    </row>
    <row r="656" spans="2:2" x14ac:dyDescent="0.25">
      <c r="B656" s="304"/>
    </row>
    <row r="657" spans="2:2" x14ac:dyDescent="0.25">
      <c r="B657" s="304"/>
    </row>
    <row r="658" spans="2:2" x14ac:dyDescent="0.25">
      <c r="B658" s="304"/>
    </row>
    <row r="659" spans="2:2" x14ac:dyDescent="0.25">
      <c r="B659" s="304"/>
    </row>
    <row r="660" spans="2:2" x14ac:dyDescent="0.25">
      <c r="B660" s="304"/>
    </row>
    <row r="661" spans="2:2" x14ac:dyDescent="0.25">
      <c r="B661" s="304"/>
    </row>
    <row r="662" spans="2:2" x14ac:dyDescent="0.25">
      <c r="B662" s="304"/>
    </row>
    <row r="663" spans="2:2" x14ac:dyDescent="0.25">
      <c r="B663" s="304"/>
    </row>
    <row r="664" spans="2:2" x14ac:dyDescent="0.25">
      <c r="B664" s="304"/>
    </row>
    <row r="665" spans="2:2" x14ac:dyDescent="0.25">
      <c r="B665" s="304"/>
    </row>
    <row r="666" spans="2:2" x14ac:dyDescent="0.25">
      <c r="B666" s="304"/>
    </row>
    <row r="667" spans="2:2" x14ac:dyDescent="0.25">
      <c r="B667" s="304"/>
    </row>
    <row r="668" spans="2:2" x14ac:dyDescent="0.25">
      <c r="B668" s="304"/>
    </row>
    <row r="669" spans="2:2" x14ac:dyDescent="0.25">
      <c r="B669" s="304"/>
    </row>
    <row r="670" spans="2:2" x14ac:dyDescent="0.25">
      <c r="B670" s="304"/>
    </row>
    <row r="671" spans="2:2" x14ac:dyDescent="0.25">
      <c r="B671" s="304"/>
    </row>
    <row r="672" spans="2:2" x14ac:dyDescent="0.25">
      <c r="B672" s="304"/>
    </row>
    <row r="673" spans="2:2" x14ac:dyDescent="0.25">
      <c r="B673" s="304"/>
    </row>
    <row r="674" spans="2:2" x14ac:dyDescent="0.25">
      <c r="B674" s="304"/>
    </row>
    <row r="675" spans="2:2" x14ac:dyDescent="0.25">
      <c r="B675" s="304"/>
    </row>
    <row r="676" spans="2:2" x14ac:dyDescent="0.25">
      <c r="B676" s="304"/>
    </row>
    <row r="677" spans="2:2" x14ac:dyDescent="0.25">
      <c r="B677" s="304"/>
    </row>
    <row r="678" spans="2:2" x14ac:dyDescent="0.25">
      <c r="B678" s="304"/>
    </row>
    <row r="679" spans="2:2" x14ac:dyDescent="0.25">
      <c r="B679" s="304"/>
    </row>
    <row r="680" spans="2:2" x14ac:dyDescent="0.25">
      <c r="B680" s="304"/>
    </row>
    <row r="681" spans="2:2" x14ac:dyDescent="0.25">
      <c r="B681" s="304"/>
    </row>
    <row r="682" spans="2:2" x14ac:dyDescent="0.25">
      <c r="B682" s="304"/>
    </row>
    <row r="683" spans="2:2" x14ac:dyDescent="0.25">
      <c r="B683" s="304"/>
    </row>
    <row r="684" spans="2:2" x14ac:dyDescent="0.25">
      <c r="B684" s="304"/>
    </row>
    <row r="685" spans="2:2" x14ac:dyDescent="0.25">
      <c r="B685" s="304"/>
    </row>
    <row r="686" spans="2:2" x14ac:dyDescent="0.25">
      <c r="B686" s="304"/>
    </row>
    <row r="687" spans="2:2" x14ac:dyDescent="0.25">
      <c r="B687" s="304"/>
    </row>
    <row r="688" spans="2:2" x14ac:dyDescent="0.25">
      <c r="B688" s="304"/>
    </row>
    <row r="689" spans="2:2" x14ac:dyDescent="0.25">
      <c r="B689" s="304"/>
    </row>
    <row r="690" spans="2:2" x14ac:dyDescent="0.25">
      <c r="B690" s="304"/>
    </row>
    <row r="691" spans="2:2" x14ac:dyDescent="0.25">
      <c r="B691" s="304"/>
    </row>
    <row r="692" spans="2:2" x14ac:dyDescent="0.25">
      <c r="B692" s="304"/>
    </row>
    <row r="693" spans="2:2" x14ac:dyDescent="0.25">
      <c r="B693" s="304"/>
    </row>
    <row r="694" spans="2:2" x14ac:dyDescent="0.25">
      <c r="B694" s="304"/>
    </row>
    <row r="695" spans="2:2" x14ac:dyDescent="0.25">
      <c r="B695" s="304"/>
    </row>
    <row r="696" spans="2:2" x14ac:dyDescent="0.25">
      <c r="B696" s="304"/>
    </row>
    <row r="697" spans="2:2" x14ac:dyDescent="0.25">
      <c r="B697" s="304"/>
    </row>
    <row r="698" spans="2:2" x14ac:dyDescent="0.25">
      <c r="B698" s="304"/>
    </row>
    <row r="699" spans="2:2" x14ac:dyDescent="0.25">
      <c r="B699" s="304"/>
    </row>
    <row r="700" spans="2:2" x14ac:dyDescent="0.25">
      <c r="B700" s="304"/>
    </row>
    <row r="701" spans="2:2" x14ac:dyDescent="0.25">
      <c r="B701" s="304"/>
    </row>
    <row r="702" spans="2:2" x14ac:dyDescent="0.25">
      <c r="B702" s="304"/>
    </row>
    <row r="703" spans="2:2" x14ac:dyDescent="0.25">
      <c r="B703" s="304"/>
    </row>
    <row r="704" spans="2:2" x14ac:dyDescent="0.25">
      <c r="B704" s="304"/>
    </row>
    <row r="705" spans="2:2" x14ac:dyDescent="0.25">
      <c r="B705" s="304"/>
    </row>
    <row r="706" spans="2:2" x14ac:dyDescent="0.25">
      <c r="B706" s="304"/>
    </row>
    <row r="707" spans="2:2" x14ac:dyDescent="0.25">
      <c r="B707" s="304"/>
    </row>
    <row r="708" spans="2:2" x14ac:dyDescent="0.25">
      <c r="B708" s="304"/>
    </row>
    <row r="709" spans="2:2" x14ac:dyDescent="0.25">
      <c r="B709" s="304"/>
    </row>
    <row r="710" spans="2:2" x14ac:dyDescent="0.25">
      <c r="B710" s="304"/>
    </row>
    <row r="711" spans="2:2" x14ac:dyDescent="0.25">
      <c r="B711" s="304"/>
    </row>
    <row r="712" spans="2:2" x14ac:dyDescent="0.25">
      <c r="B712" s="304"/>
    </row>
    <row r="713" spans="2:2" x14ac:dyDescent="0.25">
      <c r="B713" s="304"/>
    </row>
    <row r="714" spans="2:2" x14ac:dyDescent="0.25">
      <c r="B714" s="304"/>
    </row>
    <row r="715" spans="2:2" x14ac:dyDescent="0.25">
      <c r="B715" s="304"/>
    </row>
    <row r="716" spans="2:2" x14ac:dyDescent="0.25">
      <c r="B716" s="304"/>
    </row>
    <row r="717" spans="2:2" x14ac:dyDescent="0.25">
      <c r="B717" s="304"/>
    </row>
    <row r="718" spans="2:2" x14ac:dyDescent="0.25">
      <c r="B718" s="304"/>
    </row>
    <row r="719" spans="2:2" x14ac:dyDescent="0.25">
      <c r="B719" s="304"/>
    </row>
    <row r="720" spans="2:2" x14ac:dyDescent="0.25">
      <c r="B720" s="304"/>
    </row>
    <row r="721" spans="2:2" x14ac:dyDescent="0.25">
      <c r="B721" s="304"/>
    </row>
    <row r="722" spans="2:2" x14ac:dyDescent="0.25">
      <c r="B722" s="304"/>
    </row>
    <row r="723" spans="2:2" x14ac:dyDescent="0.25">
      <c r="B723" s="304"/>
    </row>
    <row r="724" spans="2:2" x14ac:dyDescent="0.25">
      <c r="B724" s="304"/>
    </row>
    <row r="725" spans="2:2" x14ac:dyDescent="0.25">
      <c r="B725" s="304"/>
    </row>
    <row r="726" spans="2:2" x14ac:dyDescent="0.25">
      <c r="B726" s="304"/>
    </row>
    <row r="727" spans="2:2" x14ac:dyDescent="0.25">
      <c r="B727" s="304"/>
    </row>
    <row r="728" spans="2:2" x14ac:dyDescent="0.25">
      <c r="B728" s="304"/>
    </row>
    <row r="729" spans="2:2" x14ac:dyDescent="0.25">
      <c r="B729" s="304"/>
    </row>
    <row r="730" spans="2:2" x14ac:dyDescent="0.25">
      <c r="B730" s="304"/>
    </row>
    <row r="731" spans="2:2" x14ac:dyDescent="0.25">
      <c r="B731" s="304"/>
    </row>
    <row r="732" spans="2:2" x14ac:dyDescent="0.25">
      <c r="B732" s="304"/>
    </row>
    <row r="733" spans="2:2" x14ac:dyDescent="0.25">
      <c r="B733" s="304"/>
    </row>
    <row r="734" spans="2:2" x14ac:dyDescent="0.25">
      <c r="B734" s="304"/>
    </row>
    <row r="735" spans="2:2" x14ac:dyDescent="0.25">
      <c r="B735" s="304"/>
    </row>
    <row r="736" spans="2:2" x14ac:dyDescent="0.25">
      <c r="B736" s="304"/>
    </row>
    <row r="737" spans="2:2" x14ac:dyDescent="0.25">
      <c r="B737" s="304"/>
    </row>
    <row r="738" spans="2:2" x14ac:dyDescent="0.25">
      <c r="B738" s="304"/>
    </row>
    <row r="739" spans="2:2" x14ac:dyDescent="0.25">
      <c r="B739" s="304"/>
    </row>
    <row r="740" spans="2:2" x14ac:dyDescent="0.25">
      <c r="B740" s="304"/>
    </row>
    <row r="741" spans="2:2" x14ac:dyDescent="0.25">
      <c r="B741" s="304"/>
    </row>
    <row r="742" spans="2:2" x14ac:dyDescent="0.25">
      <c r="B742" s="304"/>
    </row>
    <row r="743" spans="2:2" x14ac:dyDescent="0.25">
      <c r="B743" s="304"/>
    </row>
    <row r="744" spans="2:2" x14ac:dyDescent="0.25">
      <c r="B744" s="304"/>
    </row>
    <row r="745" spans="2:2" x14ac:dyDescent="0.25">
      <c r="B745" s="304"/>
    </row>
    <row r="746" spans="2:2" x14ac:dyDescent="0.25">
      <c r="B746" s="304"/>
    </row>
    <row r="747" spans="2:2" x14ac:dyDescent="0.25">
      <c r="B747" s="304"/>
    </row>
    <row r="748" spans="2:2" x14ac:dyDescent="0.25">
      <c r="B748" s="304"/>
    </row>
    <row r="749" spans="2:2" x14ac:dyDescent="0.25">
      <c r="B749" s="304"/>
    </row>
    <row r="750" spans="2:2" x14ac:dyDescent="0.25">
      <c r="B750" s="304"/>
    </row>
    <row r="751" spans="2:2" x14ac:dyDescent="0.25">
      <c r="B751" s="304"/>
    </row>
    <row r="752" spans="2:2" x14ac:dyDescent="0.25">
      <c r="B752" s="304"/>
    </row>
    <row r="753" spans="2:2" x14ac:dyDescent="0.25">
      <c r="B753" s="304"/>
    </row>
    <row r="754" spans="2:2" x14ac:dyDescent="0.25">
      <c r="B754" s="304"/>
    </row>
    <row r="755" spans="2:2" x14ac:dyDescent="0.25">
      <c r="B755" s="304"/>
    </row>
    <row r="756" spans="2:2" x14ac:dyDescent="0.25">
      <c r="B756" s="304"/>
    </row>
    <row r="757" spans="2:2" x14ac:dyDescent="0.25">
      <c r="B757" s="304"/>
    </row>
    <row r="758" spans="2:2" x14ac:dyDescent="0.25">
      <c r="B758" s="304"/>
    </row>
    <row r="759" spans="2:2" x14ac:dyDescent="0.25">
      <c r="B759" s="304"/>
    </row>
    <row r="760" spans="2:2" x14ac:dyDescent="0.25">
      <c r="B760" s="304"/>
    </row>
    <row r="761" spans="2:2" x14ac:dyDescent="0.25">
      <c r="B761" s="304"/>
    </row>
    <row r="762" spans="2:2" x14ac:dyDescent="0.25">
      <c r="B762" s="304"/>
    </row>
    <row r="763" spans="2:2" x14ac:dyDescent="0.25">
      <c r="B763" s="304"/>
    </row>
    <row r="764" spans="2:2" x14ac:dyDescent="0.25">
      <c r="B764" s="304"/>
    </row>
    <row r="765" spans="2:2" x14ac:dyDescent="0.25">
      <c r="B765" s="304"/>
    </row>
    <row r="766" spans="2:2" x14ac:dyDescent="0.25">
      <c r="B766" s="304"/>
    </row>
    <row r="767" spans="2:2" x14ac:dyDescent="0.25">
      <c r="B767" s="304"/>
    </row>
    <row r="768" spans="2:2" x14ac:dyDescent="0.25">
      <c r="B768" s="304"/>
    </row>
    <row r="769" spans="2:2" x14ac:dyDescent="0.25">
      <c r="B769" s="304"/>
    </row>
    <row r="770" spans="2:2" x14ac:dyDescent="0.25">
      <c r="B770" s="304"/>
    </row>
    <row r="771" spans="2:2" x14ac:dyDescent="0.25">
      <c r="B771" s="304"/>
    </row>
    <row r="772" spans="2:2" x14ac:dyDescent="0.25">
      <c r="B772" s="304"/>
    </row>
    <row r="773" spans="2:2" x14ac:dyDescent="0.25">
      <c r="B773" s="304"/>
    </row>
    <row r="774" spans="2:2" x14ac:dyDescent="0.25">
      <c r="B774" s="304"/>
    </row>
    <row r="775" spans="2:2" x14ac:dyDescent="0.25">
      <c r="B775" s="304"/>
    </row>
    <row r="776" spans="2:2" x14ac:dyDescent="0.25">
      <c r="B776" s="304"/>
    </row>
    <row r="777" spans="2:2" x14ac:dyDescent="0.25">
      <c r="B777" s="304"/>
    </row>
    <row r="778" spans="2:2" x14ac:dyDescent="0.25">
      <c r="B778" s="304"/>
    </row>
    <row r="779" spans="2:2" x14ac:dyDescent="0.25">
      <c r="B779" s="304"/>
    </row>
    <row r="780" spans="2:2" x14ac:dyDescent="0.25">
      <c r="B780" s="304"/>
    </row>
    <row r="781" spans="2:2" x14ac:dyDescent="0.25">
      <c r="B781" s="304"/>
    </row>
    <row r="782" spans="2:2" x14ac:dyDescent="0.25">
      <c r="B782" s="304"/>
    </row>
    <row r="783" spans="2:2" x14ac:dyDescent="0.25">
      <c r="B783" s="304"/>
    </row>
    <row r="784" spans="2:2" x14ac:dyDescent="0.25">
      <c r="B784" s="304"/>
    </row>
    <row r="785" spans="2:2" x14ac:dyDescent="0.25">
      <c r="B785" s="304"/>
    </row>
    <row r="786" spans="2:2" x14ac:dyDescent="0.25">
      <c r="B786" s="304"/>
    </row>
    <row r="787" spans="2:2" x14ac:dyDescent="0.25">
      <c r="B787" s="304"/>
    </row>
    <row r="788" spans="2:2" x14ac:dyDescent="0.25">
      <c r="B788" s="304"/>
    </row>
    <row r="789" spans="2:2" x14ac:dyDescent="0.25">
      <c r="B789" s="304"/>
    </row>
    <row r="790" spans="2:2" x14ac:dyDescent="0.25">
      <c r="B790" s="304"/>
    </row>
    <row r="791" spans="2:2" x14ac:dyDescent="0.25">
      <c r="B791" s="304"/>
    </row>
    <row r="792" spans="2:2" x14ac:dyDescent="0.25">
      <c r="B792" s="304"/>
    </row>
    <row r="793" spans="2:2" x14ac:dyDescent="0.25">
      <c r="B793" s="304"/>
    </row>
    <row r="794" spans="2:2" x14ac:dyDescent="0.25">
      <c r="B794" s="304"/>
    </row>
    <row r="795" spans="2:2" x14ac:dyDescent="0.25">
      <c r="B795" s="304"/>
    </row>
    <row r="796" spans="2:2" x14ac:dyDescent="0.25">
      <c r="B796" s="304"/>
    </row>
    <row r="797" spans="2:2" x14ac:dyDescent="0.25">
      <c r="B797" s="304"/>
    </row>
    <row r="798" spans="2:2" x14ac:dyDescent="0.25">
      <c r="B798" s="304"/>
    </row>
    <row r="799" spans="2:2" x14ac:dyDescent="0.25">
      <c r="B799" s="304"/>
    </row>
    <row r="800" spans="2:2" x14ac:dyDescent="0.25">
      <c r="B800" s="304"/>
    </row>
    <row r="801" spans="2:2" x14ac:dyDescent="0.25">
      <c r="B801" s="304"/>
    </row>
    <row r="802" spans="2:2" x14ac:dyDescent="0.25">
      <c r="B802" s="304"/>
    </row>
    <row r="803" spans="2:2" x14ac:dyDescent="0.25">
      <c r="B803" s="304"/>
    </row>
    <row r="804" spans="2:2" x14ac:dyDescent="0.25">
      <c r="B804" s="304"/>
    </row>
    <row r="805" spans="2:2" x14ac:dyDescent="0.25">
      <c r="B805" s="304"/>
    </row>
    <row r="806" spans="2:2" x14ac:dyDescent="0.25">
      <c r="B806" s="304"/>
    </row>
    <row r="807" spans="2:2" x14ac:dyDescent="0.25">
      <c r="B807" s="304"/>
    </row>
    <row r="808" spans="2:2" x14ac:dyDescent="0.25">
      <c r="B808" s="304"/>
    </row>
    <row r="809" spans="2:2" x14ac:dyDescent="0.25">
      <c r="B809" s="304"/>
    </row>
    <row r="810" spans="2:2" x14ac:dyDescent="0.25">
      <c r="B810" s="304"/>
    </row>
    <row r="811" spans="2:2" x14ac:dyDescent="0.25">
      <c r="B811" s="304"/>
    </row>
    <row r="812" spans="2:2" x14ac:dyDescent="0.25">
      <c r="B812" s="304"/>
    </row>
    <row r="813" spans="2:2" x14ac:dyDescent="0.25">
      <c r="B813" s="304"/>
    </row>
    <row r="814" spans="2:2" x14ac:dyDescent="0.25">
      <c r="B814" s="304"/>
    </row>
    <row r="815" spans="2:2" x14ac:dyDescent="0.25">
      <c r="B815" s="304"/>
    </row>
    <row r="816" spans="2:2" x14ac:dyDescent="0.25">
      <c r="B816" s="304"/>
    </row>
    <row r="817" spans="2:2" x14ac:dyDescent="0.25">
      <c r="B817" s="304"/>
    </row>
    <row r="818" spans="2:2" x14ac:dyDescent="0.25">
      <c r="B818" s="304"/>
    </row>
    <row r="819" spans="2:2" x14ac:dyDescent="0.25">
      <c r="B819" s="304"/>
    </row>
    <row r="820" spans="2:2" x14ac:dyDescent="0.25">
      <c r="B820" s="304"/>
    </row>
    <row r="821" spans="2:2" x14ac:dyDescent="0.25">
      <c r="B821" s="304"/>
    </row>
    <row r="822" spans="2:2" x14ac:dyDescent="0.25">
      <c r="B822" s="304"/>
    </row>
    <row r="823" spans="2:2" x14ac:dyDescent="0.25">
      <c r="B823" s="304"/>
    </row>
    <row r="824" spans="2:2" x14ac:dyDescent="0.25">
      <c r="B824" s="304"/>
    </row>
    <row r="825" spans="2:2" x14ac:dyDescent="0.25">
      <c r="B825" s="304"/>
    </row>
    <row r="826" spans="2:2" x14ac:dyDescent="0.25">
      <c r="B826" s="304"/>
    </row>
    <row r="827" spans="2:2" x14ac:dyDescent="0.25">
      <c r="B827" s="304"/>
    </row>
    <row r="828" spans="2:2" x14ac:dyDescent="0.25">
      <c r="B828" s="304"/>
    </row>
    <row r="829" spans="2:2" x14ac:dyDescent="0.25">
      <c r="B829" s="304"/>
    </row>
    <row r="830" spans="2:2" x14ac:dyDescent="0.25">
      <c r="B830" s="304"/>
    </row>
    <row r="831" spans="2:2" x14ac:dyDescent="0.25">
      <c r="B831" s="304"/>
    </row>
    <row r="832" spans="2:2" x14ac:dyDescent="0.25">
      <c r="B832" s="304"/>
    </row>
    <row r="833" spans="2:2" x14ac:dyDescent="0.25">
      <c r="B833" s="304"/>
    </row>
    <row r="834" spans="2:2" x14ac:dyDescent="0.25">
      <c r="B834" s="304"/>
    </row>
    <row r="835" spans="2:2" x14ac:dyDescent="0.25">
      <c r="B835" s="304"/>
    </row>
    <row r="836" spans="2:2" x14ac:dyDescent="0.25">
      <c r="B836" s="304"/>
    </row>
    <row r="837" spans="2:2" x14ac:dyDescent="0.25">
      <c r="B837" s="304"/>
    </row>
    <row r="838" spans="2:2" x14ac:dyDescent="0.25">
      <c r="B838" s="304"/>
    </row>
    <row r="839" spans="2:2" x14ac:dyDescent="0.25">
      <c r="B839" s="304"/>
    </row>
    <row r="840" spans="2:2" x14ac:dyDescent="0.25">
      <c r="B840" s="304"/>
    </row>
    <row r="841" spans="2:2" x14ac:dyDescent="0.25">
      <c r="B841" s="304"/>
    </row>
    <row r="842" spans="2:2" x14ac:dyDescent="0.25">
      <c r="B842" s="304"/>
    </row>
    <row r="843" spans="2:2" x14ac:dyDescent="0.25">
      <c r="B843" s="304"/>
    </row>
    <row r="844" spans="2:2" x14ac:dyDescent="0.25">
      <c r="B844" s="304"/>
    </row>
    <row r="845" spans="2:2" x14ac:dyDescent="0.25">
      <c r="B845" s="304"/>
    </row>
    <row r="846" spans="2:2" x14ac:dyDescent="0.25">
      <c r="B846" s="304"/>
    </row>
    <row r="847" spans="2:2" x14ac:dyDescent="0.25">
      <c r="B847" s="304"/>
    </row>
    <row r="848" spans="2:2" x14ac:dyDescent="0.25">
      <c r="B848" s="304"/>
    </row>
    <row r="849" spans="2:2" x14ac:dyDescent="0.25">
      <c r="B849" s="304"/>
    </row>
    <row r="850" spans="2:2" x14ac:dyDescent="0.25">
      <c r="B850" s="304"/>
    </row>
    <row r="851" spans="2:2" x14ac:dyDescent="0.25">
      <c r="B851" s="304"/>
    </row>
    <row r="852" spans="2:2" x14ac:dyDescent="0.25">
      <c r="B852" s="304"/>
    </row>
    <row r="853" spans="2:2" x14ac:dyDescent="0.25">
      <c r="B853" s="304"/>
    </row>
    <row r="854" spans="2:2" x14ac:dyDescent="0.25">
      <c r="B854" s="304"/>
    </row>
    <row r="855" spans="2:2" x14ac:dyDescent="0.25">
      <c r="B855" s="304"/>
    </row>
    <row r="856" spans="2:2" x14ac:dyDescent="0.25">
      <c r="B856" s="304"/>
    </row>
    <row r="857" spans="2:2" x14ac:dyDescent="0.25">
      <c r="B857" s="304"/>
    </row>
    <row r="858" spans="2:2" x14ac:dyDescent="0.25">
      <c r="B858" s="304"/>
    </row>
    <row r="859" spans="2:2" x14ac:dyDescent="0.25">
      <c r="B859" s="304"/>
    </row>
    <row r="860" spans="2:2" x14ac:dyDescent="0.25">
      <c r="B860" s="304"/>
    </row>
    <row r="861" spans="2:2" x14ac:dyDescent="0.25">
      <c r="B861" s="304"/>
    </row>
    <row r="862" spans="2:2" x14ac:dyDescent="0.25">
      <c r="B862" s="304"/>
    </row>
    <row r="863" spans="2:2" x14ac:dyDescent="0.25">
      <c r="B863" s="304"/>
    </row>
    <row r="864" spans="2:2" x14ac:dyDescent="0.25">
      <c r="B864" s="304"/>
    </row>
    <row r="865" spans="2:2" x14ac:dyDescent="0.25">
      <c r="B865" s="304"/>
    </row>
    <row r="866" spans="2:2" x14ac:dyDescent="0.25">
      <c r="B866" s="304"/>
    </row>
    <row r="867" spans="2:2" x14ac:dyDescent="0.25">
      <c r="B867" s="304"/>
    </row>
    <row r="868" spans="2:2" x14ac:dyDescent="0.25">
      <c r="B868" s="304"/>
    </row>
    <row r="869" spans="2:2" x14ac:dyDescent="0.25">
      <c r="B869" s="304"/>
    </row>
    <row r="870" spans="2:2" x14ac:dyDescent="0.25">
      <c r="B870" s="304"/>
    </row>
    <row r="871" spans="2:2" x14ac:dyDescent="0.25">
      <c r="B871" s="304"/>
    </row>
    <row r="872" spans="2:2" x14ac:dyDescent="0.25">
      <c r="B872" s="304"/>
    </row>
    <row r="873" spans="2:2" x14ac:dyDescent="0.25">
      <c r="B873" s="304"/>
    </row>
    <row r="874" spans="2:2" x14ac:dyDescent="0.25">
      <c r="B874" s="304"/>
    </row>
    <row r="875" spans="2:2" x14ac:dyDescent="0.25">
      <c r="B875" s="304"/>
    </row>
    <row r="876" spans="2:2" x14ac:dyDescent="0.25">
      <c r="B876" s="304"/>
    </row>
    <row r="877" spans="2:2" x14ac:dyDescent="0.25">
      <c r="B877" s="304"/>
    </row>
    <row r="878" spans="2:2" x14ac:dyDescent="0.25">
      <c r="B878" s="304"/>
    </row>
    <row r="879" spans="2:2" x14ac:dyDescent="0.25">
      <c r="B879" s="304"/>
    </row>
    <row r="880" spans="2:2" x14ac:dyDescent="0.25">
      <c r="B880" s="304"/>
    </row>
    <row r="881" spans="2:2" x14ac:dyDescent="0.25">
      <c r="B881" s="304"/>
    </row>
    <row r="882" spans="2:2" x14ac:dyDescent="0.25">
      <c r="B882" s="304"/>
    </row>
    <row r="883" spans="2:2" x14ac:dyDescent="0.25">
      <c r="B883" s="304"/>
    </row>
    <row r="884" spans="2:2" x14ac:dyDescent="0.25">
      <c r="B884" s="304"/>
    </row>
    <row r="885" spans="2:2" x14ac:dyDescent="0.25">
      <c r="B885" s="304"/>
    </row>
    <row r="886" spans="2:2" x14ac:dyDescent="0.25">
      <c r="B886" s="304"/>
    </row>
    <row r="887" spans="2:2" x14ac:dyDescent="0.25">
      <c r="B887" s="304"/>
    </row>
    <row r="888" spans="2:2" x14ac:dyDescent="0.25">
      <c r="B888" s="304"/>
    </row>
    <row r="889" spans="2:2" x14ac:dyDescent="0.25">
      <c r="B889" s="304"/>
    </row>
    <row r="890" spans="2:2" x14ac:dyDescent="0.25">
      <c r="B890" s="304"/>
    </row>
    <row r="891" spans="2:2" x14ac:dyDescent="0.25">
      <c r="B891" s="304"/>
    </row>
    <row r="892" spans="2:2" x14ac:dyDescent="0.25">
      <c r="B892" s="304"/>
    </row>
    <row r="893" spans="2:2" x14ac:dyDescent="0.25">
      <c r="B893" s="304"/>
    </row>
    <row r="894" spans="2:2" x14ac:dyDescent="0.25">
      <c r="B894" s="304"/>
    </row>
    <row r="895" spans="2:2" x14ac:dyDescent="0.25">
      <c r="B895" s="304"/>
    </row>
    <row r="896" spans="2:2" x14ac:dyDescent="0.25">
      <c r="B896" s="304"/>
    </row>
    <row r="897" spans="2:2" x14ac:dyDescent="0.25">
      <c r="B897" s="304"/>
    </row>
    <row r="898" spans="2:2" x14ac:dyDescent="0.25">
      <c r="B898" s="304"/>
    </row>
    <row r="899" spans="2:2" x14ac:dyDescent="0.25">
      <c r="B899" s="304"/>
    </row>
    <row r="900" spans="2:2" x14ac:dyDescent="0.25">
      <c r="B900" s="304"/>
    </row>
    <row r="901" spans="2:2" x14ac:dyDescent="0.25">
      <c r="B901" s="304"/>
    </row>
    <row r="902" spans="2:2" x14ac:dyDescent="0.25">
      <c r="B902" s="304"/>
    </row>
    <row r="903" spans="2:2" x14ac:dyDescent="0.25">
      <c r="B903" s="304"/>
    </row>
    <row r="904" spans="2:2" x14ac:dyDescent="0.25">
      <c r="B904" s="304"/>
    </row>
    <row r="905" spans="2:2" x14ac:dyDescent="0.25">
      <c r="B905" s="304"/>
    </row>
    <row r="906" spans="2:2" x14ac:dyDescent="0.25">
      <c r="B906" s="304"/>
    </row>
    <row r="907" spans="2:2" x14ac:dyDescent="0.25">
      <c r="B907" s="304"/>
    </row>
    <row r="908" spans="2:2" x14ac:dyDescent="0.25">
      <c r="B908" s="304"/>
    </row>
    <row r="909" spans="2:2" x14ac:dyDescent="0.25">
      <c r="B909" s="304"/>
    </row>
    <row r="910" spans="2:2" x14ac:dyDescent="0.25">
      <c r="B910" s="304"/>
    </row>
    <row r="911" spans="2:2" x14ac:dyDescent="0.25">
      <c r="B911" s="304"/>
    </row>
    <row r="912" spans="2:2" x14ac:dyDescent="0.25">
      <c r="B912" s="304"/>
    </row>
    <row r="913" spans="2:2" x14ac:dyDescent="0.25">
      <c r="B913" s="304"/>
    </row>
    <row r="914" spans="2:2" x14ac:dyDescent="0.25">
      <c r="B914" s="304"/>
    </row>
    <row r="915" spans="2:2" x14ac:dyDescent="0.25">
      <c r="B915" s="304"/>
    </row>
    <row r="916" spans="2:2" x14ac:dyDescent="0.25">
      <c r="B916" s="304"/>
    </row>
    <row r="917" spans="2:2" x14ac:dyDescent="0.25">
      <c r="B917" s="304"/>
    </row>
    <row r="918" spans="2:2" x14ac:dyDescent="0.25">
      <c r="B918" s="304"/>
    </row>
    <row r="919" spans="2:2" x14ac:dyDescent="0.25">
      <c r="B919" s="304"/>
    </row>
    <row r="920" spans="2:2" x14ac:dyDescent="0.25">
      <c r="B920" s="304"/>
    </row>
    <row r="921" spans="2:2" x14ac:dyDescent="0.25">
      <c r="B921" s="304"/>
    </row>
    <row r="922" spans="2:2" x14ac:dyDescent="0.25">
      <c r="B922" s="304"/>
    </row>
    <row r="923" spans="2:2" x14ac:dyDescent="0.25">
      <c r="B923" s="304"/>
    </row>
    <row r="924" spans="2:2" x14ac:dyDescent="0.25">
      <c r="B924" s="304"/>
    </row>
    <row r="925" spans="2:2" x14ac:dyDescent="0.25">
      <c r="B925" s="304"/>
    </row>
    <row r="926" spans="2:2" x14ac:dyDescent="0.25">
      <c r="B926" s="304"/>
    </row>
    <row r="927" spans="2:2" x14ac:dyDescent="0.25">
      <c r="B927" s="304"/>
    </row>
    <row r="928" spans="2:2" x14ac:dyDescent="0.25">
      <c r="B928" s="304"/>
    </row>
    <row r="929" spans="2:2" x14ac:dyDescent="0.25">
      <c r="B929" s="304"/>
    </row>
    <row r="930" spans="2:2" x14ac:dyDescent="0.25">
      <c r="B930" s="304"/>
    </row>
    <row r="931" spans="2:2" x14ac:dyDescent="0.25">
      <c r="B931" s="304"/>
    </row>
    <row r="932" spans="2:2" x14ac:dyDescent="0.25">
      <c r="B932" s="304"/>
    </row>
    <row r="933" spans="2:2" x14ac:dyDescent="0.25">
      <c r="B933" s="304"/>
    </row>
    <row r="934" spans="2:2" x14ac:dyDescent="0.25">
      <c r="B934" s="304"/>
    </row>
    <row r="935" spans="2:2" x14ac:dyDescent="0.25">
      <c r="B935" s="304"/>
    </row>
    <row r="936" spans="2:2" x14ac:dyDescent="0.25">
      <c r="B936" s="304"/>
    </row>
    <row r="937" spans="2:2" x14ac:dyDescent="0.25">
      <c r="B937" s="304"/>
    </row>
    <row r="938" spans="2:2" x14ac:dyDescent="0.25">
      <c r="B938" s="304"/>
    </row>
    <row r="939" spans="2:2" x14ac:dyDescent="0.25">
      <c r="B939" s="304"/>
    </row>
    <row r="940" spans="2:2" x14ac:dyDescent="0.25">
      <c r="B940" s="304"/>
    </row>
    <row r="941" spans="2:2" x14ac:dyDescent="0.25">
      <c r="B941" s="304"/>
    </row>
    <row r="942" spans="2:2" x14ac:dyDescent="0.25">
      <c r="B942" s="304"/>
    </row>
    <row r="943" spans="2:2" x14ac:dyDescent="0.25">
      <c r="B943" s="304"/>
    </row>
    <row r="944" spans="2:2" x14ac:dyDescent="0.25">
      <c r="B944" s="304"/>
    </row>
    <row r="945" spans="2:2" x14ac:dyDescent="0.25">
      <c r="B945" s="304"/>
    </row>
    <row r="946" spans="2:2" x14ac:dyDescent="0.25">
      <c r="B946" s="304"/>
    </row>
    <row r="947" spans="2:2" x14ac:dyDescent="0.25">
      <c r="B947" s="304"/>
    </row>
    <row r="948" spans="2:2" x14ac:dyDescent="0.25">
      <c r="B948" s="304"/>
    </row>
    <row r="949" spans="2:2" x14ac:dyDescent="0.25">
      <c r="B949" s="304"/>
    </row>
    <row r="950" spans="2:2" x14ac:dyDescent="0.25">
      <c r="B950" s="304"/>
    </row>
    <row r="951" spans="2:2" x14ac:dyDescent="0.25">
      <c r="B951" s="304"/>
    </row>
    <row r="952" spans="2:2" x14ac:dyDescent="0.25">
      <c r="B952" s="304"/>
    </row>
    <row r="953" spans="2:2" x14ac:dyDescent="0.25">
      <c r="B953" s="304"/>
    </row>
    <row r="954" spans="2:2" x14ac:dyDescent="0.25">
      <c r="B954" s="304"/>
    </row>
    <row r="955" spans="2:2" x14ac:dyDescent="0.25">
      <c r="B955" s="304"/>
    </row>
    <row r="956" spans="2:2" x14ac:dyDescent="0.25">
      <c r="B956" s="304"/>
    </row>
    <row r="957" spans="2:2" x14ac:dyDescent="0.25">
      <c r="B957" s="304"/>
    </row>
    <row r="958" spans="2:2" x14ac:dyDescent="0.25">
      <c r="B958" s="304"/>
    </row>
    <row r="959" spans="2:2" x14ac:dyDescent="0.25">
      <c r="B959" s="304"/>
    </row>
    <row r="960" spans="2:2" x14ac:dyDescent="0.25">
      <c r="B960" s="304"/>
    </row>
    <row r="961" spans="2:2" x14ac:dyDescent="0.25">
      <c r="B961" s="304"/>
    </row>
    <row r="962" spans="2:2" x14ac:dyDescent="0.25">
      <c r="B962" s="304"/>
    </row>
    <row r="963" spans="2:2" x14ac:dyDescent="0.25">
      <c r="B963" s="304"/>
    </row>
    <row r="964" spans="2:2" x14ac:dyDescent="0.25">
      <c r="B964" s="304"/>
    </row>
    <row r="965" spans="2:2" x14ac:dyDescent="0.25">
      <c r="B965" s="304"/>
    </row>
    <row r="966" spans="2:2" x14ac:dyDescent="0.25">
      <c r="B966" s="304"/>
    </row>
    <row r="967" spans="2:2" x14ac:dyDescent="0.25">
      <c r="B967" s="304"/>
    </row>
    <row r="968" spans="2:2" x14ac:dyDescent="0.25">
      <c r="B968" s="304"/>
    </row>
    <row r="969" spans="2:2" x14ac:dyDescent="0.25">
      <c r="B969" s="304"/>
    </row>
    <row r="970" spans="2:2" x14ac:dyDescent="0.25">
      <c r="B970" s="304"/>
    </row>
    <row r="971" spans="2:2" x14ac:dyDescent="0.25">
      <c r="B971" s="304"/>
    </row>
    <row r="972" spans="2:2" x14ac:dyDescent="0.25">
      <c r="B972" s="304"/>
    </row>
    <row r="973" spans="2:2" x14ac:dyDescent="0.25">
      <c r="B973" s="304"/>
    </row>
    <row r="974" spans="2:2" x14ac:dyDescent="0.25">
      <c r="B974" s="304"/>
    </row>
    <row r="975" spans="2:2" x14ac:dyDescent="0.25">
      <c r="B975" s="304"/>
    </row>
    <row r="976" spans="2:2" x14ac:dyDescent="0.25">
      <c r="B976" s="304"/>
    </row>
    <row r="977" spans="2:2" x14ac:dyDescent="0.25">
      <c r="B977" s="304"/>
    </row>
    <row r="978" spans="2:2" x14ac:dyDescent="0.25">
      <c r="B978" s="304"/>
    </row>
    <row r="979" spans="2:2" x14ac:dyDescent="0.25">
      <c r="B979" s="304"/>
    </row>
    <row r="980" spans="2:2" x14ac:dyDescent="0.25">
      <c r="B980" s="304"/>
    </row>
    <row r="981" spans="2:2" x14ac:dyDescent="0.25">
      <c r="B981" s="304"/>
    </row>
    <row r="982" spans="2:2" x14ac:dyDescent="0.25">
      <c r="B982" s="304"/>
    </row>
    <row r="983" spans="2:2" x14ac:dyDescent="0.25">
      <c r="B983" s="304"/>
    </row>
    <row r="984" spans="2:2" x14ac:dyDescent="0.25">
      <c r="B984" s="304"/>
    </row>
    <row r="985" spans="2:2" x14ac:dyDescent="0.25">
      <c r="B985" s="304"/>
    </row>
    <row r="986" spans="2:2" x14ac:dyDescent="0.25">
      <c r="B986" s="304"/>
    </row>
    <row r="987" spans="2:2" x14ac:dyDescent="0.25">
      <c r="B987" s="304"/>
    </row>
    <row r="988" spans="2:2" x14ac:dyDescent="0.25">
      <c r="B988" s="304"/>
    </row>
    <row r="989" spans="2:2" x14ac:dyDescent="0.25">
      <c r="B989" s="304"/>
    </row>
    <row r="990" spans="2:2" x14ac:dyDescent="0.25">
      <c r="B990" s="304"/>
    </row>
    <row r="991" spans="2:2" x14ac:dyDescent="0.25">
      <c r="B991" s="304"/>
    </row>
    <row r="992" spans="2:2" x14ac:dyDescent="0.25">
      <c r="B992" s="304"/>
    </row>
    <row r="993" spans="2:2" x14ac:dyDescent="0.25">
      <c r="B993" s="304"/>
    </row>
    <row r="994" spans="2:2" x14ac:dyDescent="0.25">
      <c r="B994" s="304"/>
    </row>
    <row r="995" spans="2:2" x14ac:dyDescent="0.25">
      <c r="B995" s="304"/>
    </row>
    <row r="996" spans="2:2" x14ac:dyDescent="0.25">
      <c r="B996" s="304"/>
    </row>
    <row r="997" spans="2:2" x14ac:dyDescent="0.25">
      <c r="B997" s="304"/>
    </row>
    <row r="998" spans="2:2" x14ac:dyDescent="0.25">
      <c r="B998" s="304"/>
    </row>
    <row r="999" spans="2:2" x14ac:dyDescent="0.25">
      <c r="B999" s="304"/>
    </row>
    <row r="1000" spans="2:2" x14ac:dyDescent="0.25">
      <c r="B1000" s="304"/>
    </row>
    <row r="1001" spans="2:2" x14ac:dyDescent="0.25">
      <c r="B1001" s="304"/>
    </row>
    <row r="1002" spans="2:2" x14ac:dyDescent="0.25">
      <c r="B1002" s="304"/>
    </row>
    <row r="1003" spans="2:2" x14ac:dyDescent="0.25">
      <c r="B1003" s="304"/>
    </row>
    <row r="1004" spans="2:2" x14ac:dyDescent="0.25">
      <c r="B1004" s="304"/>
    </row>
    <row r="1005" spans="2:2" x14ac:dyDescent="0.25">
      <c r="B1005" s="304"/>
    </row>
    <row r="1006" spans="2:2" x14ac:dyDescent="0.25">
      <c r="B1006" s="304"/>
    </row>
    <row r="1007" spans="2:2" x14ac:dyDescent="0.25">
      <c r="B1007" s="304"/>
    </row>
    <row r="1008" spans="2:2" x14ac:dyDescent="0.25">
      <c r="B1008" s="304"/>
    </row>
    <row r="1009" spans="2:2" x14ac:dyDescent="0.25">
      <c r="B1009" s="304"/>
    </row>
    <row r="1010" spans="2:2" x14ac:dyDescent="0.25">
      <c r="B1010" s="304"/>
    </row>
    <row r="1011" spans="2:2" x14ac:dyDescent="0.25">
      <c r="B1011" s="304"/>
    </row>
    <row r="1012" spans="2:2" x14ac:dyDescent="0.25">
      <c r="B1012" s="304"/>
    </row>
    <row r="1013" spans="2:2" x14ac:dyDescent="0.25">
      <c r="B1013" s="304"/>
    </row>
    <row r="1014" spans="2:2" x14ac:dyDescent="0.25">
      <c r="B1014" s="304"/>
    </row>
    <row r="1015" spans="2:2" x14ac:dyDescent="0.25">
      <c r="B1015" s="304"/>
    </row>
    <row r="1016" spans="2:2" x14ac:dyDescent="0.25">
      <c r="B1016" s="304"/>
    </row>
    <row r="1017" spans="2:2" x14ac:dyDescent="0.25">
      <c r="B1017" s="304"/>
    </row>
    <row r="1018" spans="2:2" x14ac:dyDescent="0.25">
      <c r="B1018" s="304"/>
    </row>
    <row r="1019" spans="2:2" x14ac:dyDescent="0.25">
      <c r="B1019" s="304"/>
    </row>
    <row r="1020" spans="2:2" x14ac:dyDescent="0.25">
      <c r="B1020" s="304"/>
    </row>
    <row r="1021" spans="2:2" x14ac:dyDescent="0.25">
      <c r="B1021" s="304"/>
    </row>
    <row r="1022" spans="2:2" x14ac:dyDescent="0.25">
      <c r="B1022" s="304"/>
    </row>
    <row r="1023" spans="2:2" x14ac:dyDescent="0.25">
      <c r="B1023" s="304"/>
    </row>
    <row r="1024" spans="2:2" x14ac:dyDescent="0.25">
      <c r="B1024" s="304"/>
    </row>
    <row r="1025" spans="2:2" x14ac:dyDescent="0.25">
      <c r="B1025" s="304"/>
    </row>
    <row r="1026" spans="2:2" x14ac:dyDescent="0.25">
      <c r="B1026" s="304"/>
    </row>
    <row r="1027" spans="2:2" x14ac:dyDescent="0.25">
      <c r="B1027" s="304"/>
    </row>
    <row r="1028" spans="2:2" x14ac:dyDescent="0.25">
      <c r="B1028" s="304"/>
    </row>
    <row r="1029" spans="2:2" x14ac:dyDescent="0.25">
      <c r="B1029" s="304"/>
    </row>
    <row r="1030" spans="2:2" x14ac:dyDescent="0.25">
      <c r="B1030" s="304"/>
    </row>
    <row r="1031" spans="2:2" x14ac:dyDescent="0.25">
      <c r="B1031" s="304"/>
    </row>
    <row r="1032" spans="2:2" x14ac:dyDescent="0.25">
      <c r="B1032" s="304"/>
    </row>
    <row r="1033" spans="2:2" x14ac:dyDescent="0.25">
      <c r="B1033" s="304"/>
    </row>
    <row r="1034" spans="2:2" x14ac:dyDescent="0.25">
      <c r="B1034" s="304"/>
    </row>
    <row r="1035" spans="2:2" x14ac:dyDescent="0.25">
      <c r="B1035" s="304"/>
    </row>
    <row r="1036" spans="2:2" x14ac:dyDescent="0.25">
      <c r="B1036" s="304"/>
    </row>
    <row r="1037" spans="2:2" x14ac:dyDescent="0.25">
      <c r="B1037" s="304"/>
    </row>
    <row r="1038" spans="2:2" x14ac:dyDescent="0.25">
      <c r="B1038" s="304"/>
    </row>
    <row r="1039" spans="2:2" x14ac:dyDescent="0.25">
      <c r="B1039" s="304"/>
    </row>
    <row r="1040" spans="2:2" x14ac:dyDescent="0.25">
      <c r="B1040" s="304"/>
    </row>
    <row r="1041" spans="2:2" x14ac:dyDescent="0.25">
      <c r="B1041" s="304"/>
    </row>
    <row r="1042" spans="2:2" x14ac:dyDescent="0.25">
      <c r="B1042" s="304"/>
    </row>
    <row r="1043" spans="2:2" x14ac:dyDescent="0.25">
      <c r="B1043" s="304"/>
    </row>
    <row r="1044" spans="2:2" x14ac:dyDescent="0.25">
      <c r="B1044" s="304"/>
    </row>
    <row r="1045" spans="2:2" x14ac:dyDescent="0.25">
      <c r="B1045" s="304"/>
    </row>
    <row r="1046" spans="2:2" x14ac:dyDescent="0.25">
      <c r="B1046" s="304"/>
    </row>
    <row r="1047" spans="2:2" x14ac:dyDescent="0.25">
      <c r="B1047" s="304"/>
    </row>
    <row r="1048" spans="2:2" x14ac:dyDescent="0.25">
      <c r="B1048" s="304"/>
    </row>
    <row r="1049" spans="2:2" x14ac:dyDescent="0.25">
      <c r="B1049" s="304"/>
    </row>
    <row r="1050" spans="2:2" x14ac:dyDescent="0.25">
      <c r="B1050" s="304"/>
    </row>
    <row r="1051" spans="2:2" x14ac:dyDescent="0.25">
      <c r="B1051" s="304"/>
    </row>
    <row r="1052" spans="2:2" x14ac:dyDescent="0.25">
      <c r="B1052" s="304"/>
    </row>
    <row r="1053" spans="2:2" x14ac:dyDescent="0.25">
      <c r="B1053" s="304"/>
    </row>
    <row r="1054" spans="2:2" x14ac:dyDescent="0.25">
      <c r="B1054" s="304"/>
    </row>
    <row r="1055" spans="2:2" x14ac:dyDescent="0.25">
      <c r="B1055" s="304"/>
    </row>
    <row r="1056" spans="2:2" x14ac:dyDescent="0.25">
      <c r="B1056" s="304"/>
    </row>
    <row r="1057" spans="2:2" x14ac:dyDescent="0.25">
      <c r="B1057" s="304"/>
    </row>
    <row r="1058" spans="2:2" x14ac:dyDescent="0.25">
      <c r="B1058" s="304"/>
    </row>
    <row r="1059" spans="2:2" x14ac:dyDescent="0.25">
      <c r="B1059" s="304"/>
    </row>
    <row r="1060" spans="2:2" x14ac:dyDescent="0.25">
      <c r="B1060" s="304"/>
    </row>
    <row r="1061" spans="2:2" x14ac:dyDescent="0.25">
      <c r="B1061" s="304"/>
    </row>
    <row r="1062" spans="2:2" x14ac:dyDescent="0.25">
      <c r="B1062" s="304"/>
    </row>
    <row r="1063" spans="2:2" x14ac:dyDescent="0.25">
      <c r="B1063" s="304"/>
    </row>
    <row r="1064" spans="2:2" x14ac:dyDescent="0.25">
      <c r="B1064" s="304"/>
    </row>
    <row r="1065" spans="2:2" x14ac:dyDescent="0.25">
      <c r="B1065" s="304"/>
    </row>
    <row r="1066" spans="2:2" x14ac:dyDescent="0.25">
      <c r="B1066" s="304"/>
    </row>
    <row r="1067" spans="2:2" x14ac:dyDescent="0.25">
      <c r="B1067" s="304"/>
    </row>
    <row r="1068" spans="2:2" x14ac:dyDescent="0.25">
      <c r="B1068" s="304"/>
    </row>
    <row r="1069" spans="2:2" x14ac:dyDescent="0.25">
      <c r="B1069" s="304"/>
    </row>
    <row r="1070" spans="2:2" x14ac:dyDescent="0.25">
      <c r="B1070" s="304"/>
    </row>
    <row r="1071" spans="2:2" x14ac:dyDescent="0.25">
      <c r="B1071" s="304"/>
    </row>
    <row r="1072" spans="2:2" x14ac:dyDescent="0.25">
      <c r="B1072" s="304"/>
    </row>
    <row r="1073" spans="2:2" x14ac:dyDescent="0.25">
      <c r="B1073" s="304"/>
    </row>
    <row r="1074" spans="2:2" x14ac:dyDescent="0.25">
      <c r="B1074" s="304"/>
    </row>
    <row r="1075" spans="2:2" x14ac:dyDescent="0.25">
      <c r="B1075" s="304"/>
    </row>
    <row r="1076" spans="2:2" x14ac:dyDescent="0.25">
      <c r="B1076" s="304"/>
    </row>
    <row r="1077" spans="2:2" x14ac:dyDescent="0.25">
      <c r="B1077" s="304"/>
    </row>
    <row r="1078" spans="2:2" x14ac:dyDescent="0.25">
      <c r="B1078" s="304"/>
    </row>
    <row r="1079" spans="2:2" x14ac:dyDescent="0.25">
      <c r="B1079" s="304"/>
    </row>
    <row r="1080" spans="2:2" x14ac:dyDescent="0.25">
      <c r="B1080" s="304"/>
    </row>
    <row r="1081" spans="2:2" x14ac:dyDescent="0.25">
      <c r="B1081" s="304"/>
    </row>
    <row r="1082" spans="2:2" x14ac:dyDescent="0.25">
      <c r="B1082" s="304"/>
    </row>
    <row r="1083" spans="2:2" x14ac:dyDescent="0.25">
      <c r="B1083" s="304"/>
    </row>
    <row r="1084" spans="2:2" x14ac:dyDescent="0.25">
      <c r="B1084" s="304"/>
    </row>
    <row r="1085" spans="2:2" x14ac:dyDescent="0.25">
      <c r="B1085" s="304"/>
    </row>
    <row r="1086" spans="2:2" x14ac:dyDescent="0.25">
      <c r="B1086" s="304"/>
    </row>
    <row r="1087" spans="2:2" x14ac:dyDescent="0.25">
      <c r="B1087" s="304"/>
    </row>
    <row r="1088" spans="2:2" x14ac:dyDescent="0.25">
      <c r="B1088" s="304"/>
    </row>
    <row r="1089" spans="2:2" x14ac:dyDescent="0.25">
      <c r="B1089" s="304"/>
    </row>
    <row r="1090" spans="2:2" x14ac:dyDescent="0.25">
      <c r="B1090" s="304"/>
    </row>
    <row r="1091" spans="2:2" x14ac:dyDescent="0.25">
      <c r="B1091" s="304"/>
    </row>
    <row r="1092" spans="2:2" x14ac:dyDescent="0.25">
      <c r="B1092" s="304"/>
    </row>
    <row r="1093" spans="2:2" x14ac:dyDescent="0.25">
      <c r="B1093" s="304"/>
    </row>
    <row r="1094" spans="2:2" x14ac:dyDescent="0.25">
      <c r="B1094" s="304"/>
    </row>
    <row r="1095" spans="2:2" x14ac:dyDescent="0.25">
      <c r="B1095" s="304"/>
    </row>
    <row r="1096" spans="2:2" x14ac:dyDescent="0.25">
      <c r="B1096" s="304"/>
    </row>
    <row r="1097" spans="2:2" x14ac:dyDescent="0.25">
      <c r="B1097" s="304"/>
    </row>
    <row r="1098" spans="2:2" x14ac:dyDescent="0.25">
      <c r="B1098" s="304"/>
    </row>
    <row r="1099" spans="2:2" x14ac:dyDescent="0.25">
      <c r="B1099" s="304"/>
    </row>
    <row r="1100" spans="2:2" x14ac:dyDescent="0.25">
      <c r="B1100" s="304"/>
    </row>
    <row r="1101" spans="2:2" x14ac:dyDescent="0.25">
      <c r="B1101" s="304"/>
    </row>
    <row r="1102" spans="2:2" x14ac:dyDescent="0.25">
      <c r="B1102" s="304"/>
    </row>
    <row r="1103" spans="2:2" x14ac:dyDescent="0.25">
      <c r="B1103" s="304"/>
    </row>
    <row r="1104" spans="2:2" x14ac:dyDescent="0.25">
      <c r="B1104" s="304"/>
    </row>
    <row r="1105" spans="2:2" x14ac:dyDescent="0.25">
      <c r="B1105" s="304"/>
    </row>
    <row r="1106" spans="2:2" x14ac:dyDescent="0.25">
      <c r="B1106" s="304"/>
    </row>
    <row r="1107" spans="2:2" x14ac:dyDescent="0.25">
      <c r="B1107" s="304"/>
    </row>
    <row r="1108" spans="2:2" x14ac:dyDescent="0.25">
      <c r="B1108" s="304"/>
    </row>
    <row r="1109" spans="2:2" x14ac:dyDescent="0.25">
      <c r="B1109" s="304"/>
    </row>
    <row r="1110" spans="2:2" x14ac:dyDescent="0.25">
      <c r="B1110" s="304"/>
    </row>
    <row r="1111" spans="2:2" x14ac:dyDescent="0.25">
      <c r="B1111" s="304"/>
    </row>
    <row r="1112" spans="2:2" x14ac:dyDescent="0.25">
      <c r="B1112" s="304"/>
    </row>
    <row r="1113" spans="2:2" x14ac:dyDescent="0.25">
      <c r="B1113" s="304"/>
    </row>
    <row r="1114" spans="2:2" x14ac:dyDescent="0.25">
      <c r="B1114" s="304"/>
    </row>
    <row r="1115" spans="2:2" x14ac:dyDescent="0.25">
      <c r="B1115" s="304"/>
    </row>
    <row r="1116" spans="2:2" x14ac:dyDescent="0.25">
      <c r="B1116" s="304"/>
    </row>
    <row r="1117" spans="2:2" x14ac:dyDescent="0.25">
      <c r="B1117" s="304"/>
    </row>
    <row r="1118" spans="2:2" x14ac:dyDescent="0.25">
      <c r="B1118" s="304"/>
    </row>
    <row r="1119" spans="2:2" x14ac:dyDescent="0.25">
      <c r="B1119" s="304"/>
    </row>
    <row r="1120" spans="2:2" x14ac:dyDescent="0.25">
      <c r="B1120" s="304"/>
    </row>
    <row r="1121" spans="2:2" x14ac:dyDescent="0.25">
      <c r="B1121" s="304"/>
    </row>
    <row r="1122" spans="2:2" x14ac:dyDescent="0.25">
      <c r="B1122" s="304"/>
    </row>
    <row r="1123" spans="2:2" x14ac:dyDescent="0.25">
      <c r="B1123" s="304"/>
    </row>
    <row r="1124" spans="2:2" x14ac:dyDescent="0.25">
      <c r="B1124" s="304"/>
    </row>
    <row r="1125" spans="2:2" x14ac:dyDescent="0.25">
      <c r="B1125" s="304"/>
    </row>
    <row r="1126" spans="2:2" x14ac:dyDescent="0.25">
      <c r="B1126" s="304"/>
    </row>
    <row r="1127" spans="2:2" x14ac:dyDescent="0.25">
      <c r="B1127" s="304"/>
    </row>
    <row r="1128" spans="2:2" x14ac:dyDescent="0.25">
      <c r="B1128" s="304"/>
    </row>
    <row r="1129" spans="2:2" x14ac:dyDescent="0.25">
      <c r="B1129" s="304"/>
    </row>
    <row r="1130" spans="2:2" x14ac:dyDescent="0.25">
      <c r="B1130" s="304"/>
    </row>
    <row r="1131" spans="2:2" x14ac:dyDescent="0.25">
      <c r="B1131" s="304"/>
    </row>
    <row r="1132" spans="2:2" x14ac:dyDescent="0.25">
      <c r="B1132" s="304"/>
    </row>
    <row r="1133" spans="2:2" x14ac:dyDescent="0.25">
      <c r="B1133" s="304"/>
    </row>
    <row r="1134" spans="2:2" x14ac:dyDescent="0.25">
      <c r="B1134" s="304"/>
    </row>
    <row r="1135" spans="2:2" x14ac:dyDescent="0.25">
      <c r="B1135" s="304"/>
    </row>
    <row r="1136" spans="2:2" x14ac:dyDescent="0.25">
      <c r="B1136" s="304"/>
    </row>
    <row r="1137" spans="2:2" x14ac:dyDescent="0.25">
      <c r="B1137" s="304"/>
    </row>
    <row r="1138" spans="2:2" x14ac:dyDescent="0.25">
      <c r="B1138" s="304"/>
    </row>
    <row r="1139" spans="2:2" x14ac:dyDescent="0.25">
      <c r="B1139" s="304"/>
    </row>
    <row r="1140" spans="2:2" x14ac:dyDescent="0.25">
      <c r="B1140" s="304"/>
    </row>
    <row r="1141" spans="2:2" x14ac:dyDescent="0.25">
      <c r="B1141" s="304"/>
    </row>
    <row r="1142" spans="2:2" x14ac:dyDescent="0.25">
      <c r="B1142" s="304"/>
    </row>
    <row r="1143" spans="2:2" x14ac:dyDescent="0.25">
      <c r="B1143" s="304"/>
    </row>
    <row r="1144" spans="2:2" x14ac:dyDescent="0.25">
      <c r="B1144" s="304"/>
    </row>
    <row r="1145" spans="2:2" x14ac:dyDescent="0.25">
      <c r="B1145" s="304"/>
    </row>
    <row r="1146" spans="2:2" x14ac:dyDescent="0.25">
      <c r="B1146" s="304"/>
    </row>
    <row r="1147" spans="2:2" x14ac:dyDescent="0.25">
      <c r="B1147" s="304"/>
    </row>
    <row r="1148" spans="2:2" x14ac:dyDescent="0.25">
      <c r="B1148" s="304"/>
    </row>
    <row r="1149" spans="2:2" x14ac:dyDescent="0.25">
      <c r="B1149" s="304"/>
    </row>
    <row r="1150" spans="2:2" x14ac:dyDescent="0.25">
      <c r="B1150" s="304"/>
    </row>
    <row r="1151" spans="2:2" x14ac:dyDescent="0.25">
      <c r="B1151" s="304"/>
    </row>
    <row r="1152" spans="2:2" x14ac:dyDescent="0.25">
      <c r="B1152" s="304"/>
    </row>
    <row r="1153" spans="2:2" x14ac:dyDescent="0.25">
      <c r="B1153" s="304"/>
    </row>
    <row r="1154" spans="2:2" x14ac:dyDescent="0.25">
      <c r="B1154" s="304"/>
    </row>
    <row r="1155" spans="2:2" x14ac:dyDescent="0.25">
      <c r="B1155" s="304"/>
    </row>
    <row r="1156" spans="2:2" x14ac:dyDescent="0.25">
      <c r="B1156" s="304"/>
    </row>
    <row r="1157" spans="2:2" x14ac:dyDescent="0.25">
      <c r="B1157" s="304"/>
    </row>
    <row r="1158" spans="2:2" x14ac:dyDescent="0.25">
      <c r="B1158" s="304"/>
    </row>
    <row r="1159" spans="2:2" x14ac:dyDescent="0.25">
      <c r="B1159" s="304"/>
    </row>
    <row r="1160" spans="2:2" x14ac:dyDescent="0.25">
      <c r="B1160" s="304"/>
    </row>
    <row r="1161" spans="2:2" x14ac:dyDescent="0.25">
      <c r="B1161" s="304"/>
    </row>
    <row r="1162" spans="2:2" x14ac:dyDescent="0.25">
      <c r="B1162" s="304"/>
    </row>
    <row r="1163" spans="2:2" x14ac:dyDescent="0.25">
      <c r="B1163" s="304"/>
    </row>
    <row r="1164" spans="2:2" x14ac:dyDescent="0.25">
      <c r="B1164" s="304"/>
    </row>
    <row r="1165" spans="2:2" x14ac:dyDescent="0.25">
      <c r="B1165" s="304"/>
    </row>
    <row r="1166" spans="2:2" x14ac:dyDescent="0.25">
      <c r="B1166" s="304"/>
    </row>
    <row r="1167" spans="2:2" x14ac:dyDescent="0.25">
      <c r="B1167" s="304"/>
    </row>
    <row r="1168" spans="2:2" x14ac:dyDescent="0.25">
      <c r="B1168" s="304"/>
    </row>
    <row r="1169" spans="2:2" x14ac:dyDescent="0.25">
      <c r="B1169" s="304"/>
    </row>
    <row r="1170" spans="2:2" x14ac:dyDescent="0.25">
      <c r="B1170" s="304"/>
    </row>
    <row r="1171" spans="2:2" x14ac:dyDescent="0.25">
      <c r="B1171" s="304"/>
    </row>
    <row r="1172" spans="2:2" x14ac:dyDescent="0.25">
      <c r="B1172" s="304"/>
    </row>
    <row r="1173" spans="2:2" x14ac:dyDescent="0.25">
      <c r="B1173" s="304"/>
    </row>
    <row r="1174" spans="2:2" x14ac:dyDescent="0.25">
      <c r="B1174" s="304"/>
    </row>
    <row r="1175" spans="2:2" x14ac:dyDescent="0.25">
      <c r="B1175" s="304"/>
    </row>
    <row r="1176" spans="2:2" x14ac:dyDescent="0.25">
      <c r="B1176" s="304"/>
    </row>
    <row r="1177" spans="2:2" x14ac:dyDescent="0.25">
      <c r="B1177" s="304"/>
    </row>
    <row r="1178" spans="2:2" x14ac:dyDescent="0.25">
      <c r="B1178" s="304"/>
    </row>
    <row r="1179" spans="2:2" x14ac:dyDescent="0.25">
      <c r="B1179" s="304"/>
    </row>
    <row r="1180" spans="2:2" x14ac:dyDescent="0.25">
      <c r="B1180" s="304"/>
    </row>
    <row r="1181" spans="2:2" x14ac:dyDescent="0.25">
      <c r="B1181" s="304"/>
    </row>
    <row r="1182" spans="2:2" x14ac:dyDescent="0.25">
      <c r="B1182" s="304"/>
    </row>
    <row r="1183" spans="2:2" x14ac:dyDescent="0.25">
      <c r="B1183" s="304"/>
    </row>
    <row r="1184" spans="2:2" x14ac:dyDescent="0.25">
      <c r="B1184" s="304"/>
    </row>
    <row r="1185" spans="2:2" x14ac:dyDescent="0.25">
      <c r="B1185" s="304"/>
    </row>
    <row r="1186" spans="2:2" x14ac:dyDescent="0.25">
      <c r="B1186" s="304"/>
    </row>
    <row r="1187" spans="2:2" x14ac:dyDescent="0.25">
      <c r="B1187" s="304"/>
    </row>
    <row r="1188" spans="2:2" x14ac:dyDescent="0.25">
      <c r="B1188" s="304"/>
    </row>
    <row r="1189" spans="2:2" x14ac:dyDescent="0.25">
      <c r="B1189" s="304"/>
    </row>
    <row r="1190" spans="2:2" x14ac:dyDescent="0.25">
      <c r="B1190" s="304"/>
    </row>
    <row r="1191" spans="2:2" x14ac:dyDescent="0.25">
      <c r="B1191" s="304"/>
    </row>
    <row r="1192" spans="2:2" x14ac:dyDescent="0.25">
      <c r="B1192" s="304"/>
    </row>
    <row r="1193" spans="2:2" x14ac:dyDescent="0.25">
      <c r="B1193" s="304"/>
    </row>
    <row r="1194" spans="2:2" x14ac:dyDescent="0.25">
      <c r="B1194" s="304"/>
    </row>
    <row r="1195" spans="2:2" x14ac:dyDescent="0.25">
      <c r="B1195" s="304"/>
    </row>
    <row r="1196" spans="2:2" x14ac:dyDescent="0.25">
      <c r="B1196" s="304"/>
    </row>
    <row r="1197" spans="2:2" x14ac:dyDescent="0.25">
      <c r="B1197" s="304"/>
    </row>
    <row r="1198" spans="2:2" x14ac:dyDescent="0.25">
      <c r="B1198" s="304"/>
    </row>
    <row r="1199" spans="2:2" x14ac:dyDescent="0.25">
      <c r="B1199" s="304"/>
    </row>
    <row r="1200" spans="2:2" x14ac:dyDescent="0.25">
      <c r="B1200" s="304"/>
    </row>
    <row r="1201" spans="2:2" x14ac:dyDescent="0.25">
      <c r="B1201" s="304"/>
    </row>
    <row r="1202" spans="2:2" x14ac:dyDescent="0.25">
      <c r="B1202" s="304"/>
    </row>
    <row r="1203" spans="2:2" x14ac:dyDescent="0.25">
      <c r="B1203" s="304"/>
    </row>
    <row r="1204" spans="2:2" x14ac:dyDescent="0.25">
      <c r="B1204" s="304"/>
    </row>
    <row r="1205" spans="2:2" x14ac:dyDescent="0.25">
      <c r="B1205" s="304"/>
    </row>
    <row r="1206" spans="2:2" x14ac:dyDescent="0.25">
      <c r="B1206" s="304"/>
    </row>
    <row r="1207" spans="2:2" x14ac:dyDescent="0.25">
      <c r="B1207" s="304"/>
    </row>
    <row r="1208" spans="2:2" x14ac:dyDescent="0.25">
      <c r="B1208" s="304"/>
    </row>
    <row r="1209" spans="2:2" x14ac:dyDescent="0.25">
      <c r="B1209" s="304"/>
    </row>
    <row r="1210" spans="2:2" x14ac:dyDescent="0.25">
      <c r="B1210" s="304"/>
    </row>
    <row r="1211" spans="2:2" x14ac:dyDescent="0.25">
      <c r="B1211" s="304"/>
    </row>
    <row r="1212" spans="2:2" x14ac:dyDescent="0.25">
      <c r="B1212" s="304"/>
    </row>
    <row r="1213" spans="2:2" x14ac:dyDescent="0.25">
      <c r="B1213" s="304"/>
    </row>
    <row r="1214" spans="2:2" x14ac:dyDescent="0.25">
      <c r="B1214" s="304"/>
    </row>
    <row r="1215" spans="2:2" x14ac:dyDescent="0.25">
      <c r="B1215" s="304"/>
    </row>
    <row r="1216" spans="2:2" x14ac:dyDescent="0.25">
      <c r="B1216" s="304"/>
    </row>
    <row r="1217" spans="2:2" x14ac:dyDescent="0.25">
      <c r="B1217" s="304"/>
    </row>
    <row r="1218" spans="2:2" x14ac:dyDescent="0.25">
      <c r="B1218" s="304"/>
    </row>
    <row r="1219" spans="2:2" x14ac:dyDescent="0.25">
      <c r="B1219" s="304"/>
    </row>
    <row r="1220" spans="2:2" x14ac:dyDescent="0.25">
      <c r="B1220" s="304"/>
    </row>
    <row r="1221" spans="2:2" x14ac:dyDescent="0.25">
      <c r="B1221" s="304"/>
    </row>
    <row r="1222" spans="2:2" x14ac:dyDescent="0.25">
      <c r="B1222" s="304"/>
    </row>
    <row r="1223" spans="2:2" x14ac:dyDescent="0.25">
      <c r="B1223" s="304"/>
    </row>
    <row r="1224" spans="2:2" x14ac:dyDescent="0.25">
      <c r="B1224" s="304"/>
    </row>
    <row r="1225" spans="2:2" x14ac:dyDescent="0.25">
      <c r="B1225" s="304"/>
    </row>
    <row r="1226" spans="2:2" x14ac:dyDescent="0.25">
      <c r="B1226" s="304"/>
    </row>
    <row r="1227" spans="2:2" x14ac:dyDescent="0.25">
      <c r="B1227" s="304"/>
    </row>
    <row r="1228" spans="2:2" x14ac:dyDescent="0.25">
      <c r="B1228" s="304"/>
    </row>
    <row r="1229" spans="2:2" x14ac:dyDescent="0.25">
      <c r="B1229" s="304"/>
    </row>
    <row r="1230" spans="2:2" x14ac:dyDescent="0.25">
      <c r="B1230" s="304"/>
    </row>
    <row r="1231" spans="2:2" x14ac:dyDescent="0.25">
      <c r="B1231" s="304"/>
    </row>
    <row r="1232" spans="2:2" x14ac:dyDescent="0.25">
      <c r="B1232" s="304"/>
    </row>
    <row r="1233" spans="2:2" x14ac:dyDescent="0.25">
      <c r="B1233" s="304"/>
    </row>
    <row r="1234" spans="2:2" x14ac:dyDescent="0.25">
      <c r="B1234" s="304"/>
    </row>
    <row r="1235" spans="2:2" x14ac:dyDescent="0.25">
      <c r="B1235" s="304"/>
    </row>
    <row r="1236" spans="2:2" x14ac:dyDescent="0.25">
      <c r="B1236" s="304"/>
    </row>
    <row r="1237" spans="2:2" x14ac:dyDescent="0.25">
      <c r="B1237" s="304"/>
    </row>
    <row r="1238" spans="2:2" x14ac:dyDescent="0.25">
      <c r="B1238" s="304"/>
    </row>
    <row r="1239" spans="2:2" x14ac:dyDescent="0.25">
      <c r="B1239" s="304"/>
    </row>
    <row r="1240" spans="2:2" x14ac:dyDescent="0.25">
      <c r="B1240" s="304"/>
    </row>
    <row r="1241" spans="2:2" x14ac:dyDescent="0.25">
      <c r="B1241" s="304"/>
    </row>
    <row r="1242" spans="2:2" x14ac:dyDescent="0.25">
      <c r="B1242" s="304"/>
    </row>
    <row r="1243" spans="2:2" x14ac:dyDescent="0.25">
      <c r="B1243" s="304"/>
    </row>
    <row r="1244" spans="2:2" x14ac:dyDescent="0.25">
      <c r="B1244" s="304"/>
    </row>
    <row r="1245" spans="2:2" x14ac:dyDescent="0.25">
      <c r="B1245" s="304"/>
    </row>
    <row r="1246" spans="2:2" x14ac:dyDescent="0.25">
      <c r="B1246" s="304"/>
    </row>
    <row r="1247" spans="2:2" x14ac:dyDescent="0.25">
      <c r="B1247" s="304"/>
    </row>
    <row r="1248" spans="2:2" x14ac:dyDescent="0.25">
      <c r="B1248" s="304"/>
    </row>
    <row r="1249" spans="2:2" x14ac:dyDescent="0.25">
      <c r="B1249" s="304"/>
    </row>
    <row r="1250" spans="2:2" x14ac:dyDescent="0.25">
      <c r="B1250" s="304"/>
    </row>
    <row r="1251" spans="2:2" x14ac:dyDescent="0.25">
      <c r="B1251" s="304"/>
    </row>
    <row r="1252" spans="2:2" x14ac:dyDescent="0.25">
      <c r="B1252" s="304"/>
    </row>
    <row r="1253" spans="2:2" x14ac:dyDescent="0.25">
      <c r="B1253" s="304"/>
    </row>
    <row r="1254" spans="2:2" x14ac:dyDescent="0.25">
      <c r="B1254" s="304"/>
    </row>
    <row r="1255" spans="2:2" x14ac:dyDescent="0.25">
      <c r="B1255" s="304"/>
    </row>
    <row r="1256" spans="2:2" x14ac:dyDescent="0.25">
      <c r="B1256" s="304"/>
    </row>
    <row r="1257" spans="2:2" x14ac:dyDescent="0.25">
      <c r="B1257" s="304"/>
    </row>
    <row r="1258" spans="2:2" x14ac:dyDescent="0.25">
      <c r="B1258" s="304"/>
    </row>
    <row r="1259" spans="2:2" x14ac:dyDescent="0.25">
      <c r="B1259" s="304"/>
    </row>
    <row r="1260" spans="2:2" x14ac:dyDescent="0.25">
      <c r="B1260" s="304"/>
    </row>
    <row r="1261" spans="2:2" x14ac:dyDescent="0.25">
      <c r="B1261" s="304"/>
    </row>
    <row r="1262" spans="2:2" x14ac:dyDescent="0.25">
      <c r="B1262" s="304"/>
    </row>
    <row r="1263" spans="2:2" x14ac:dyDescent="0.25">
      <c r="B1263" s="304"/>
    </row>
    <row r="1264" spans="2:2" x14ac:dyDescent="0.25">
      <c r="B1264" s="304"/>
    </row>
    <row r="1265" spans="2:2" x14ac:dyDescent="0.25">
      <c r="B1265" s="304"/>
    </row>
    <row r="1266" spans="2:2" x14ac:dyDescent="0.25">
      <c r="B1266" s="304"/>
    </row>
    <row r="1267" spans="2:2" x14ac:dyDescent="0.25">
      <c r="B1267" s="304"/>
    </row>
    <row r="1268" spans="2:2" x14ac:dyDescent="0.25">
      <c r="B1268" s="304"/>
    </row>
    <row r="1269" spans="2:2" x14ac:dyDescent="0.25">
      <c r="B1269" s="304"/>
    </row>
    <row r="1270" spans="2:2" x14ac:dyDescent="0.25">
      <c r="B1270" s="304"/>
    </row>
    <row r="1271" spans="2:2" x14ac:dyDescent="0.25">
      <c r="B1271" s="304"/>
    </row>
    <row r="1272" spans="2:2" x14ac:dyDescent="0.25">
      <c r="B1272" s="304"/>
    </row>
    <row r="1273" spans="2:2" x14ac:dyDescent="0.25">
      <c r="B1273" s="304"/>
    </row>
    <row r="1274" spans="2:2" x14ac:dyDescent="0.25">
      <c r="B1274" s="304"/>
    </row>
    <row r="1275" spans="2:2" x14ac:dyDescent="0.25">
      <c r="B1275" s="304"/>
    </row>
    <row r="1276" spans="2:2" x14ac:dyDescent="0.25">
      <c r="B1276" s="304"/>
    </row>
    <row r="1277" spans="2:2" x14ac:dyDescent="0.25">
      <c r="B1277" s="304"/>
    </row>
    <row r="1278" spans="2:2" x14ac:dyDescent="0.25">
      <c r="B1278" s="304"/>
    </row>
    <row r="1279" spans="2:2" x14ac:dyDescent="0.25">
      <c r="B1279" s="304"/>
    </row>
    <row r="1280" spans="2:2" x14ac:dyDescent="0.25">
      <c r="B1280" s="304"/>
    </row>
    <row r="1281" spans="2:2" x14ac:dyDescent="0.25">
      <c r="B1281" s="304"/>
    </row>
    <row r="1282" spans="2:2" x14ac:dyDescent="0.25">
      <c r="B1282" s="304"/>
    </row>
    <row r="1283" spans="2:2" x14ac:dyDescent="0.25">
      <c r="B1283" s="304"/>
    </row>
    <row r="1284" spans="2:2" x14ac:dyDescent="0.25">
      <c r="B1284" s="304"/>
    </row>
    <row r="1285" spans="2:2" x14ac:dyDescent="0.25">
      <c r="B1285" s="304"/>
    </row>
    <row r="1286" spans="2:2" x14ac:dyDescent="0.25">
      <c r="B1286" s="304"/>
    </row>
    <row r="1287" spans="2:2" x14ac:dyDescent="0.25">
      <c r="B1287" s="304"/>
    </row>
    <row r="1288" spans="2:2" x14ac:dyDescent="0.25">
      <c r="B1288" s="304"/>
    </row>
    <row r="1289" spans="2:2" x14ac:dyDescent="0.25">
      <c r="B1289" s="304"/>
    </row>
    <row r="1290" spans="2:2" x14ac:dyDescent="0.25">
      <c r="B1290" s="304"/>
    </row>
    <row r="1291" spans="2:2" x14ac:dyDescent="0.25">
      <c r="B1291" s="304"/>
    </row>
    <row r="1292" spans="2:2" x14ac:dyDescent="0.25">
      <c r="B1292" s="304"/>
    </row>
    <row r="1293" spans="2:2" x14ac:dyDescent="0.25">
      <c r="B1293" s="304"/>
    </row>
    <row r="1294" spans="2:2" x14ac:dyDescent="0.25">
      <c r="B1294" s="304"/>
    </row>
    <row r="1295" spans="2:2" x14ac:dyDescent="0.25">
      <c r="B1295" s="304"/>
    </row>
    <row r="1296" spans="2:2" x14ac:dyDescent="0.25">
      <c r="B1296" s="304"/>
    </row>
    <row r="1297" spans="2:2" x14ac:dyDescent="0.25">
      <c r="B1297" s="304"/>
    </row>
    <row r="1298" spans="2:2" x14ac:dyDescent="0.25">
      <c r="B1298" s="304"/>
    </row>
    <row r="1299" spans="2:2" x14ac:dyDescent="0.25">
      <c r="B1299" s="304"/>
    </row>
    <row r="1300" spans="2:2" x14ac:dyDescent="0.25">
      <c r="B1300" s="304"/>
    </row>
    <row r="1301" spans="2:2" x14ac:dyDescent="0.25">
      <c r="B1301" s="304"/>
    </row>
    <row r="1302" spans="2:2" x14ac:dyDescent="0.25">
      <c r="B1302" s="304"/>
    </row>
    <row r="1303" spans="2:2" x14ac:dyDescent="0.25">
      <c r="B1303" s="304"/>
    </row>
    <row r="1304" spans="2:2" x14ac:dyDescent="0.25">
      <c r="B1304" s="304"/>
    </row>
    <row r="1305" spans="2:2" x14ac:dyDescent="0.25">
      <c r="B1305" s="304"/>
    </row>
    <row r="1306" spans="2:2" x14ac:dyDescent="0.25">
      <c r="B1306" s="304"/>
    </row>
    <row r="1307" spans="2:2" x14ac:dyDescent="0.25">
      <c r="B1307" s="304"/>
    </row>
    <row r="1308" spans="2:2" x14ac:dyDescent="0.25">
      <c r="B1308" s="304"/>
    </row>
    <row r="1309" spans="2:2" x14ac:dyDescent="0.25">
      <c r="B1309" s="304"/>
    </row>
    <row r="1310" spans="2:2" x14ac:dyDescent="0.25">
      <c r="B1310" s="304"/>
    </row>
    <row r="1311" spans="2:2" x14ac:dyDescent="0.25">
      <c r="B1311" s="304"/>
    </row>
    <row r="1312" spans="2:2" x14ac:dyDescent="0.25">
      <c r="B1312" s="304"/>
    </row>
    <row r="1313" spans="2:2" x14ac:dyDescent="0.25">
      <c r="B1313" s="304"/>
    </row>
    <row r="1314" spans="2:2" x14ac:dyDescent="0.25">
      <c r="B1314" s="304"/>
    </row>
    <row r="1315" spans="2:2" x14ac:dyDescent="0.25">
      <c r="B1315" s="304"/>
    </row>
    <row r="1316" spans="2:2" x14ac:dyDescent="0.25">
      <c r="B1316" s="304"/>
    </row>
    <row r="1317" spans="2:2" x14ac:dyDescent="0.25">
      <c r="B1317" s="304"/>
    </row>
    <row r="1318" spans="2:2" x14ac:dyDescent="0.25">
      <c r="B1318" s="304"/>
    </row>
    <row r="1319" spans="2:2" x14ac:dyDescent="0.25">
      <c r="B1319" s="304"/>
    </row>
    <row r="1320" spans="2:2" x14ac:dyDescent="0.25">
      <c r="B1320" s="304"/>
    </row>
    <row r="1321" spans="2:2" x14ac:dyDescent="0.25">
      <c r="B1321" s="304"/>
    </row>
    <row r="1322" spans="2:2" x14ac:dyDescent="0.25">
      <c r="B1322" s="304"/>
    </row>
    <row r="1323" spans="2:2" x14ac:dyDescent="0.25">
      <c r="B1323" s="304"/>
    </row>
    <row r="1324" spans="2:2" x14ac:dyDescent="0.25">
      <c r="B1324" s="304"/>
    </row>
    <row r="1325" spans="2:2" x14ac:dyDescent="0.25">
      <c r="B1325" s="304"/>
    </row>
    <row r="1326" spans="2:2" x14ac:dyDescent="0.25">
      <c r="B1326" s="304"/>
    </row>
    <row r="1327" spans="2:2" x14ac:dyDescent="0.25">
      <c r="B1327" s="304"/>
    </row>
    <row r="1328" spans="2:2" x14ac:dyDescent="0.25">
      <c r="B1328" s="304"/>
    </row>
    <row r="1329" spans="2:2" x14ac:dyDescent="0.25">
      <c r="B1329" s="304"/>
    </row>
    <row r="1330" spans="2:2" x14ac:dyDescent="0.25">
      <c r="B1330" s="304"/>
    </row>
    <row r="1331" spans="2:2" x14ac:dyDescent="0.25">
      <c r="B1331" s="304"/>
    </row>
    <row r="1332" spans="2:2" x14ac:dyDescent="0.25">
      <c r="B1332" s="304"/>
    </row>
    <row r="1333" spans="2:2" x14ac:dyDescent="0.25">
      <c r="B1333" s="304"/>
    </row>
    <row r="1334" spans="2:2" x14ac:dyDescent="0.25">
      <c r="B1334" s="304"/>
    </row>
    <row r="1335" spans="2:2" x14ac:dyDescent="0.25">
      <c r="B1335" s="304"/>
    </row>
    <row r="1336" spans="2:2" x14ac:dyDescent="0.25">
      <c r="B1336" s="304"/>
    </row>
    <row r="1337" spans="2:2" x14ac:dyDescent="0.25">
      <c r="B1337" s="304"/>
    </row>
    <row r="1338" spans="2:2" x14ac:dyDescent="0.25">
      <c r="B1338" s="304"/>
    </row>
    <row r="1339" spans="2:2" x14ac:dyDescent="0.25">
      <c r="B1339" s="304"/>
    </row>
    <row r="1340" spans="2:2" x14ac:dyDescent="0.25">
      <c r="B1340" s="304"/>
    </row>
    <row r="1341" spans="2:2" x14ac:dyDescent="0.25">
      <c r="B1341" s="304"/>
    </row>
    <row r="1342" spans="2:2" x14ac:dyDescent="0.25">
      <c r="B1342" s="304"/>
    </row>
    <row r="1343" spans="2:2" x14ac:dyDescent="0.25">
      <c r="B1343" s="304"/>
    </row>
    <row r="1344" spans="2:2" x14ac:dyDescent="0.25">
      <c r="B1344" s="304"/>
    </row>
    <row r="1345" spans="2:2" x14ac:dyDescent="0.25">
      <c r="B1345" s="304"/>
    </row>
    <row r="1346" spans="2:2" x14ac:dyDescent="0.25">
      <c r="B1346" s="304"/>
    </row>
    <row r="1347" spans="2:2" x14ac:dyDescent="0.25">
      <c r="B1347" s="304"/>
    </row>
    <row r="1348" spans="2:2" x14ac:dyDescent="0.25">
      <c r="B1348" s="304"/>
    </row>
    <row r="1349" spans="2:2" x14ac:dyDescent="0.25">
      <c r="B1349" s="304"/>
    </row>
    <row r="1350" spans="2:2" x14ac:dyDescent="0.25">
      <c r="B1350" s="304"/>
    </row>
    <row r="1351" spans="2:2" x14ac:dyDescent="0.25">
      <c r="B1351" s="304"/>
    </row>
    <row r="1352" spans="2:2" x14ac:dyDescent="0.25">
      <c r="B1352" s="304"/>
    </row>
    <row r="1353" spans="2:2" x14ac:dyDescent="0.25">
      <c r="B1353" s="304"/>
    </row>
    <row r="1354" spans="2:2" x14ac:dyDescent="0.25">
      <c r="B1354" s="304"/>
    </row>
    <row r="1355" spans="2:2" x14ac:dyDescent="0.25">
      <c r="B1355" s="304"/>
    </row>
    <row r="1356" spans="2:2" x14ac:dyDescent="0.25">
      <c r="B1356" s="304"/>
    </row>
    <row r="1357" spans="2:2" x14ac:dyDescent="0.25">
      <c r="B1357" s="304"/>
    </row>
    <row r="1358" spans="2:2" x14ac:dyDescent="0.25">
      <c r="B1358" s="304"/>
    </row>
    <row r="1359" spans="2:2" x14ac:dyDescent="0.25">
      <c r="B1359" s="304"/>
    </row>
    <row r="1360" spans="2:2" x14ac:dyDescent="0.25">
      <c r="B1360" s="304"/>
    </row>
    <row r="1361" spans="2:2" x14ac:dyDescent="0.25">
      <c r="B1361" s="304"/>
    </row>
    <row r="1362" spans="2:2" x14ac:dyDescent="0.25">
      <c r="B1362" s="304"/>
    </row>
    <row r="1363" spans="2:2" x14ac:dyDescent="0.25">
      <c r="B1363" s="304"/>
    </row>
    <row r="1364" spans="2:2" x14ac:dyDescent="0.25">
      <c r="B1364" s="304"/>
    </row>
    <row r="1365" spans="2:2" x14ac:dyDescent="0.25">
      <c r="B1365" s="304"/>
    </row>
    <row r="1366" spans="2:2" x14ac:dyDescent="0.25">
      <c r="B1366" s="304"/>
    </row>
    <row r="1367" spans="2:2" x14ac:dyDescent="0.25">
      <c r="B1367" s="304"/>
    </row>
    <row r="1368" spans="2:2" x14ac:dyDescent="0.25">
      <c r="B1368" s="304"/>
    </row>
    <row r="1369" spans="2:2" x14ac:dyDescent="0.25">
      <c r="B1369" s="304"/>
    </row>
    <row r="1370" spans="2:2" x14ac:dyDescent="0.25">
      <c r="B1370" s="304"/>
    </row>
    <row r="1371" spans="2:2" x14ac:dyDescent="0.25">
      <c r="B1371" s="304"/>
    </row>
    <row r="1372" spans="2:2" x14ac:dyDescent="0.25">
      <c r="B1372" s="304"/>
    </row>
    <row r="1373" spans="2:2" x14ac:dyDescent="0.25">
      <c r="B1373" s="304"/>
    </row>
    <row r="1374" spans="2:2" x14ac:dyDescent="0.25">
      <c r="B1374" s="304"/>
    </row>
    <row r="1375" spans="2:2" x14ac:dyDescent="0.25">
      <c r="B1375" s="304"/>
    </row>
    <row r="1376" spans="2:2" x14ac:dyDescent="0.25">
      <c r="B1376" s="304"/>
    </row>
    <row r="1377" spans="2:2" x14ac:dyDescent="0.25">
      <c r="B1377" s="304"/>
    </row>
    <row r="1378" spans="2:2" x14ac:dyDescent="0.25">
      <c r="B1378" s="304"/>
    </row>
    <row r="1379" spans="2:2" x14ac:dyDescent="0.25">
      <c r="B1379" s="304"/>
    </row>
    <row r="1380" spans="2:2" x14ac:dyDescent="0.25">
      <c r="B1380" s="304"/>
    </row>
    <row r="1381" spans="2:2" x14ac:dyDescent="0.25">
      <c r="B1381" s="304"/>
    </row>
    <row r="1382" spans="2:2" x14ac:dyDescent="0.25">
      <c r="B1382" s="304"/>
    </row>
    <row r="1383" spans="2:2" x14ac:dyDescent="0.25">
      <c r="B1383" s="304"/>
    </row>
    <row r="1384" spans="2:2" x14ac:dyDescent="0.25">
      <c r="B1384" s="304"/>
    </row>
    <row r="1385" spans="2:2" x14ac:dyDescent="0.25">
      <c r="B1385" s="304"/>
    </row>
    <row r="1386" spans="2:2" x14ac:dyDescent="0.25">
      <c r="B1386" s="304"/>
    </row>
    <row r="1387" spans="2:2" x14ac:dyDescent="0.25">
      <c r="B1387" s="304"/>
    </row>
    <row r="1388" spans="2:2" x14ac:dyDescent="0.25">
      <c r="B1388" s="304"/>
    </row>
    <row r="1389" spans="2:2" x14ac:dyDescent="0.25">
      <c r="B1389" s="304"/>
    </row>
    <row r="1390" spans="2:2" x14ac:dyDescent="0.25">
      <c r="B1390" s="304"/>
    </row>
    <row r="1391" spans="2:2" x14ac:dyDescent="0.25">
      <c r="B1391" s="304"/>
    </row>
    <row r="1392" spans="2:2" x14ac:dyDescent="0.25">
      <c r="B1392" s="304"/>
    </row>
    <row r="1393" spans="2:2" x14ac:dyDescent="0.25">
      <c r="B1393" s="304"/>
    </row>
    <row r="1394" spans="2:2" x14ac:dyDescent="0.25">
      <c r="B1394" s="304"/>
    </row>
    <row r="1395" spans="2:2" x14ac:dyDescent="0.25">
      <c r="B1395" s="304"/>
    </row>
    <row r="1396" spans="2:2" x14ac:dyDescent="0.25">
      <c r="B1396" s="304"/>
    </row>
    <row r="1397" spans="2:2" x14ac:dyDescent="0.25">
      <c r="B1397" s="304"/>
    </row>
    <row r="1398" spans="2:2" x14ac:dyDescent="0.25">
      <c r="B1398" s="304"/>
    </row>
    <row r="1399" spans="2:2" x14ac:dyDescent="0.25">
      <c r="B1399" s="304"/>
    </row>
    <row r="1400" spans="2:2" x14ac:dyDescent="0.25">
      <c r="B1400" s="304"/>
    </row>
    <row r="1401" spans="2:2" x14ac:dyDescent="0.25">
      <c r="B1401" s="304"/>
    </row>
    <row r="1402" spans="2:2" x14ac:dyDescent="0.25">
      <c r="B1402" s="304"/>
    </row>
    <row r="1403" spans="2:2" x14ac:dyDescent="0.25">
      <c r="B1403" s="304"/>
    </row>
    <row r="1404" spans="2:2" x14ac:dyDescent="0.25">
      <c r="B1404" s="304"/>
    </row>
    <row r="1405" spans="2:2" x14ac:dyDescent="0.25">
      <c r="B1405" s="304"/>
    </row>
    <row r="1406" spans="2:2" x14ac:dyDescent="0.25">
      <c r="B1406" s="304"/>
    </row>
    <row r="1407" spans="2:2" x14ac:dyDescent="0.25">
      <c r="B1407" s="304"/>
    </row>
    <row r="1408" spans="2:2" x14ac:dyDescent="0.25">
      <c r="B1408" s="304"/>
    </row>
    <row r="1409" spans="2:2" x14ac:dyDescent="0.25">
      <c r="B1409" s="304"/>
    </row>
    <row r="1410" spans="2:2" x14ac:dyDescent="0.25">
      <c r="B1410" s="304"/>
    </row>
    <row r="1411" spans="2:2" x14ac:dyDescent="0.25">
      <c r="B1411" s="304"/>
    </row>
    <row r="1412" spans="2:2" x14ac:dyDescent="0.25">
      <c r="B1412" s="304"/>
    </row>
    <row r="1413" spans="2:2" x14ac:dyDescent="0.25">
      <c r="B1413" s="304"/>
    </row>
    <row r="1414" spans="2:2" x14ac:dyDescent="0.25">
      <c r="B1414" s="304"/>
    </row>
    <row r="1415" spans="2:2" x14ac:dyDescent="0.25">
      <c r="B1415" s="304"/>
    </row>
    <row r="1416" spans="2:2" x14ac:dyDescent="0.25">
      <c r="B1416" s="304"/>
    </row>
    <row r="1417" spans="2:2" x14ac:dyDescent="0.25">
      <c r="B1417" s="304"/>
    </row>
    <row r="1418" spans="2:2" x14ac:dyDescent="0.25">
      <c r="B1418" s="304"/>
    </row>
    <row r="1419" spans="2:2" x14ac:dyDescent="0.25">
      <c r="B1419" s="304"/>
    </row>
    <row r="1420" spans="2:2" x14ac:dyDescent="0.25">
      <c r="B1420" s="304"/>
    </row>
    <row r="1421" spans="2:2" x14ac:dyDescent="0.25">
      <c r="B1421" s="304"/>
    </row>
    <row r="1422" spans="2:2" x14ac:dyDescent="0.25">
      <c r="B1422" s="304"/>
    </row>
    <row r="1423" spans="2:2" x14ac:dyDescent="0.25">
      <c r="B1423" s="304"/>
    </row>
    <row r="1424" spans="2:2" x14ac:dyDescent="0.25">
      <c r="B1424" s="304"/>
    </row>
    <row r="1425" spans="2:2" x14ac:dyDescent="0.25">
      <c r="B1425" s="304"/>
    </row>
    <row r="1426" spans="2:2" x14ac:dyDescent="0.25">
      <c r="B1426" s="304"/>
    </row>
    <row r="1427" spans="2:2" x14ac:dyDescent="0.25">
      <c r="B1427" s="304"/>
    </row>
    <row r="1428" spans="2:2" x14ac:dyDescent="0.25">
      <c r="B1428" s="304"/>
    </row>
    <row r="1429" spans="2:2" x14ac:dyDescent="0.25">
      <c r="B1429" s="304"/>
    </row>
    <row r="1430" spans="2:2" x14ac:dyDescent="0.25">
      <c r="B1430" s="304"/>
    </row>
    <row r="1431" spans="2:2" x14ac:dyDescent="0.25">
      <c r="B1431" s="304"/>
    </row>
    <row r="1432" spans="2:2" x14ac:dyDescent="0.25">
      <c r="B1432" s="304"/>
    </row>
    <row r="1433" spans="2:2" x14ac:dyDescent="0.25">
      <c r="B1433" s="304"/>
    </row>
    <row r="1434" spans="2:2" x14ac:dyDescent="0.25">
      <c r="B1434" s="304"/>
    </row>
    <row r="1435" spans="2:2" x14ac:dyDescent="0.25">
      <c r="B1435" s="304"/>
    </row>
    <row r="1436" spans="2:2" x14ac:dyDescent="0.25">
      <c r="B1436" s="304"/>
    </row>
    <row r="1437" spans="2:2" x14ac:dyDescent="0.25">
      <c r="B1437" s="304"/>
    </row>
    <row r="1438" spans="2:2" x14ac:dyDescent="0.25">
      <c r="B1438" s="304"/>
    </row>
    <row r="1439" spans="2:2" x14ac:dyDescent="0.25">
      <c r="B1439" s="304"/>
    </row>
    <row r="1440" spans="2:2" x14ac:dyDescent="0.25">
      <c r="B1440" s="304"/>
    </row>
    <row r="1441" spans="2:2" x14ac:dyDescent="0.25">
      <c r="B1441" s="304"/>
    </row>
    <row r="1442" spans="2:2" x14ac:dyDescent="0.25">
      <c r="B1442" s="304"/>
    </row>
    <row r="1443" spans="2:2" x14ac:dyDescent="0.25">
      <c r="B1443" s="304"/>
    </row>
    <row r="1444" spans="2:2" x14ac:dyDescent="0.25">
      <c r="B1444" s="304"/>
    </row>
    <row r="1445" spans="2:2" x14ac:dyDescent="0.25">
      <c r="B1445" s="304"/>
    </row>
    <row r="1446" spans="2:2" x14ac:dyDescent="0.25">
      <c r="B1446" s="304"/>
    </row>
    <row r="1447" spans="2:2" x14ac:dyDescent="0.25">
      <c r="B1447" s="304"/>
    </row>
    <row r="1448" spans="2:2" x14ac:dyDescent="0.25">
      <c r="B1448" s="304"/>
    </row>
    <row r="1449" spans="2:2" x14ac:dyDescent="0.25">
      <c r="B1449" s="304"/>
    </row>
    <row r="1450" spans="2:2" x14ac:dyDescent="0.25">
      <c r="B1450" s="304"/>
    </row>
    <row r="1451" spans="2:2" x14ac:dyDescent="0.25">
      <c r="B1451" s="304"/>
    </row>
    <row r="1452" spans="2:2" x14ac:dyDescent="0.25">
      <c r="B1452" s="304"/>
    </row>
    <row r="1453" spans="2:2" x14ac:dyDescent="0.25">
      <c r="B1453" s="304"/>
    </row>
    <row r="1454" spans="2:2" x14ac:dyDescent="0.25">
      <c r="B1454" s="304"/>
    </row>
    <row r="1455" spans="2:2" x14ac:dyDescent="0.25">
      <c r="B1455" s="304"/>
    </row>
    <row r="1456" spans="2:2" x14ac:dyDescent="0.25">
      <c r="B1456" s="304"/>
    </row>
    <row r="1457" spans="2:2" x14ac:dyDescent="0.25">
      <c r="B1457" s="304"/>
    </row>
    <row r="1458" spans="2:2" x14ac:dyDescent="0.25">
      <c r="B1458" s="304"/>
    </row>
    <row r="1459" spans="2:2" x14ac:dyDescent="0.25">
      <c r="B1459" s="304"/>
    </row>
    <row r="1460" spans="2:2" x14ac:dyDescent="0.25">
      <c r="B1460" s="304"/>
    </row>
    <row r="1461" spans="2:2" x14ac:dyDescent="0.25">
      <c r="B1461" s="304"/>
    </row>
    <row r="1462" spans="2:2" x14ac:dyDescent="0.25">
      <c r="B1462" s="304"/>
    </row>
    <row r="1463" spans="2:2" x14ac:dyDescent="0.25">
      <c r="B1463" s="304"/>
    </row>
    <row r="1464" spans="2:2" x14ac:dyDescent="0.25">
      <c r="B1464" s="304"/>
    </row>
    <row r="1465" spans="2:2" x14ac:dyDescent="0.25">
      <c r="B1465" s="304"/>
    </row>
    <row r="1466" spans="2:2" x14ac:dyDescent="0.25">
      <c r="B1466" s="304"/>
    </row>
    <row r="1467" spans="2:2" x14ac:dyDescent="0.25">
      <c r="B1467" s="304"/>
    </row>
    <row r="1468" spans="2:2" x14ac:dyDescent="0.25">
      <c r="B1468" s="304"/>
    </row>
    <row r="1469" spans="2:2" x14ac:dyDescent="0.25">
      <c r="B1469" s="304"/>
    </row>
    <row r="1470" spans="2:2" x14ac:dyDescent="0.25">
      <c r="B1470" s="304"/>
    </row>
    <row r="1471" spans="2:2" x14ac:dyDescent="0.25">
      <c r="B1471" s="304"/>
    </row>
    <row r="1472" spans="2:2" x14ac:dyDescent="0.25">
      <c r="B1472" s="304"/>
    </row>
    <row r="1473" spans="2:2" x14ac:dyDescent="0.25">
      <c r="B1473" s="304"/>
    </row>
    <row r="1474" spans="2:2" x14ac:dyDescent="0.25">
      <c r="B1474" s="304"/>
    </row>
    <row r="1475" spans="2:2" x14ac:dyDescent="0.25">
      <c r="B1475" s="304"/>
    </row>
    <row r="1476" spans="2:2" x14ac:dyDescent="0.25">
      <c r="B1476" s="304"/>
    </row>
    <row r="1477" spans="2:2" x14ac:dyDescent="0.25">
      <c r="B1477" s="304"/>
    </row>
    <row r="1478" spans="2:2" x14ac:dyDescent="0.25">
      <c r="B1478" s="304"/>
    </row>
    <row r="1479" spans="2:2" x14ac:dyDescent="0.25">
      <c r="B1479" s="304"/>
    </row>
    <row r="1480" spans="2:2" x14ac:dyDescent="0.25">
      <c r="B1480" s="304"/>
    </row>
    <row r="1481" spans="2:2" x14ac:dyDescent="0.25">
      <c r="B1481" s="304"/>
    </row>
    <row r="1482" spans="2:2" x14ac:dyDescent="0.25">
      <c r="B1482" s="304"/>
    </row>
    <row r="1483" spans="2:2" x14ac:dyDescent="0.25">
      <c r="B1483" s="304"/>
    </row>
    <row r="1484" spans="2:2" x14ac:dyDescent="0.25">
      <c r="B1484" s="304"/>
    </row>
    <row r="1485" spans="2:2" x14ac:dyDescent="0.25">
      <c r="B1485" s="304"/>
    </row>
    <row r="1486" spans="2:2" x14ac:dyDescent="0.25">
      <c r="B1486" s="304"/>
    </row>
    <row r="1487" spans="2:2" x14ac:dyDescent="0.25">
      <c r="B1487" s="304"/>
    </row>
    <row r="1488" spans="2:2" x14ac:dyDescent="0.25">
      <c r="B1488" s="304"/>
    </row>
    <row r="1489" spans="2:2" x14ac:dyDescent="0.25">
      <c r="B1489" s="304"/>
    </row>
    <row r="1490" spans="2:2" x14ac:dyDescent="0.25">
      <c r="B1490" s="304"/>
    </row>
    <row r="1491" spans="2:2" x14ac:dyDescent="0.25">
      <c r="B1491" s="304"/>
    </row>
    <row r="1492" spans="2:2" x14ac:dyDescent="0.25">
      <c r="B1492" s="304"/>
    </row>
    <row r="1493" spans="2:2" x14ac:dyDescent="0.25">
      <c r="B1493" s="304"/>
    </row>
    <row r="1494" spans="2:2" x14ac:dyDescent="0.25">
      <c r="B1494" s="304"/>
    </row>
    <row r="1495" spans="2:2" x14ac:dyDescent="0.25">
      <c r="B1495" s="304"/>
    </row>
    <row r="1496" spans="2:2" x14ac:dyDescent="0.25">
      <c r="B1496" s="304"/>
    </row>
    <row r="1497" spans="2:2" x14ac:dyDescent="0.25">
      <c r="B1497" s="304"/>
    </row>
    <row r="1498" spans="2:2" x14ac:dyDescent="0.25">
      <c r="B1498" s="304"/>
    </row>
    <row r="1499" spans="2:2" x14ac:dyDescent="0.25">
      <c r="B1499" s="304"/>
    </row>
    <row r="1500" spans="2:2" x14ac:dyDescent="0.25">
      <c r="B1500" s="304"/>
    </row>
    <row r="1501" spans="2:2" x14ac:dyDescent="0.25">
      <c r="B1501" s="304"/>
    </row>
    <row r="1502" spans="2:2" x14ac:dyDescent="0.25">
      <c r="B1502" s="304"/>
    </row>
    <row r="1503" spans="2:2" x14ac:dyDescent="0.25">
      <c r="B1503" s="36"/>
    </row>
    <row r="1504" spans="2:2" x14ac:dyDescent="0.25">
      <c r="B1504" s="36"/>
    </row>
  </sheetData>
  <phoneticPr fontId="64" type="noConversion"/>
  <conditionalFormatting sqref="C189">
    <cfRule type="duplicateValues" dxfId="2" priority="1"/>
  </conditionalFormatting>
  <pageMargins left="0.7" right="0.7" top="0.78740157499999996" bottom="0.78740157499999996" header="0.3" footer="0.3"/>
  <pageSetup paperSize="9" orientation="portrait" horizontalDpi="4294967293" verticalDpi="4294967293" r:id="rId1"/>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2BEB1-8FA2-4385-AACE-51E0E82E9820}">
  <sheetPr codeName="Sheet10"/>
  <dimension ref="A1:AW1271"/>
  <sheetViews>
    <sheetView topLeftCell="E1" workbookViewId="0">
      <selection activeCell="E21" sqref="E21"/>
    </sheetView>
  </sheetViews>
  <sheetFormatPr defaultColWidth="10.7109375" defaultRowHeight="15" x14ac:dyDescent="0.25"/>
  <cols>
    <col min="1" max="1" width="5.7109375" style="36" customWidth="1"/>
    <col min="2" max="2" width="55.7109375" style="36" customWidth="1"/>
    <col min="3" max="3" width="41.7109375" style="36" customWidth="1"/>
    <col min="4" max="4" width="46.7109375" style="36" customWidth="1"/>
    <col min="5" max="5" width="38.42578125" style="36" customWidth="1"/>
    <col min="6" max="6" width="30.7109375" style="36" bestFit="1" customWidth="1"/>
    <col min="7" max="7" width="37.7109375" style="36" customWidth="1"/>
    <col min="8" max="8" width="43.28515625" style="36" customWidth="1"/>
    <col min="9" max="9" width="30.7109375" style="36" customWidth="1"/>
    <col min="10" max="10" width="47.28515625" style="36" bestFit="1" customWidth="1"/>
    <col min="11" max="12" width="44.5703125" style="36" customWidth="1"/>
    <col min="13" max="13" width="32.7109375" style="36" customWidth="1"/>
    <col min="14" max="14" width="24.5703125" style="36" bestFit="1" customWidth="1"/>
    <col min="15" max="15" width="16.28515625" style="36" bestFit="1" customWidth="1"/>
    <col min="16" max="16" width="24.5703125" style="36" bestFit="1" customWidth="1"/>
    <col min="17" max="17" width="16.28515625" style="36" bestFit="1" customWidth="1"/>
    <col min="18" max="18" width="24.5703125" style="36" bestFit="1" customWidth="1"/>
    <col min="19" max="19" width="18.42578125" style="36" customWidth="1"/>
    <col min="20" max="20" width="23.28515625" style="36" bestFit="1" customWidth="1"/>
    <col min="21" max="21" width="20.28515625" style="36" customWidth="1"/>
    <col min="22" max="22" width="26.7109375" style="36" customWidth="1"/>
    <col min="23" max="23" width="24.42578125" style="36" bestFit="1" customWidth="1"/>
    <col min="24" max="24" width="21.42578125" style="36" bestFit="1" customWidth="1"/>
    <col min="25" max="25" width="20.7109375" style="36" bestFit="1" customWidth="1"/>
    <col min="26" max="26" width="20.28515625" style="36" customWidth="1"/>
    <col min="27" max="27" width="23" style="36" bestFit="1" customWidth="1"/>
    <col min="28" max="28" width="24" style="36" customWidth="1"/>
    <col min="29" max="29" width="20.7109375" style="36" bestFit="1" customWidth="1"/>
    <col min="30" max="30" width="25.7109375" style="36" customWidth="1"/>
    <col min="31" max="31" width="20.7109375" style="36" bestFit="1" customWidth="1"/>
    <col min="32" max="32" width="25.28515625" style="36" customWidth="1"/>
    <col min="33" max="33" width="20.7109375" style="36" bestFit="1" customWidth="1"/>
    <col min="34" max="34" width="33.28515625" style="36" customWidth="1"/>
    <col min="35" max="35" width="20.7109375" style="36" bestFit="1" customWidth="1"/>
    <col min="36" max="36" width="21.28515625" style="36" customWidth="1"/>
    <col min="37" max="37" width="32.7109375" style="36" bestFit="1" customWidth="1"/>
    <col min="38" max="38" width="25.7109375" style="36" customWidth="1"/>
    <col min="39" max="39" width="38.7109375" style="36" customWidth="1"/>
    <col min="40" max="40" width="14.5703125" style="36" bestFit="1" customWidth="1"/>
    <col min="41" max="41" width="31.5703125" style="36" customWidth="1"/>
    <col min="42" max="42" width="14.5703125" style="36" bestFit="1" customWidth="1"/>
    <col min="43" max="43" width="22.7109375" style="36" bestFit="1" customWidth="1"/>
    <col min="44" max="44" width="14.5703125" style="36" bestFit="1" customWidth="1"/>
    <col min="45" max="45" width="16.42578125" style="36" customWidth="1"/>
    <col min="46" max="46" width="14.5703125" style="36" bestFit="1" customWidth="1"/>
    <col min="47" max="47" width="17.28515625" style="36" customWidth="1"/>
    <col min="48" max="49" width="14.5703125" style="36" bestFit="1" customWidth="1"/>
    <col min="50" max="16384" width="10.7109375" style="36"/>
  </cols>
  <sheetData>
    <row r="1" spans="1:49" ht="18.75" x14ac:dyDescent="0.3">
      <c r="A1" s="37" t="s">
        <v>867</v>
      </c>
    </row>
    <row r="3" spans="1:49" ht="21" x14ac:dyDescent="0.35">
      <c r="B3" s="38" t="s">
        <v>868</v>
      </c>
    </row>
    <row r="5" spans="1:49" ht="18.75" x14ac:dyDescent="0.3">
      <c r="A5" s="28"/>
      <c r="B5" s="39" t="s">
        <v>869</v>
      </c>
      <c r="C5" s="39" t="s">
        <v>870</v>
      </c>
      <c r="D5" s="39" t="s">
        <v>871</v>
      </c>
      <c r="E5" s="39" t="s">
        <v>872</v>
      </c>
      <c r="F5" s="39" t="s">
        <v>276</v>
      </c>
      <c r="G5" s="39" t="s">
        <v>27961</v>
      </c>
      <c r="H5" s="28"/>
      <c r="I5" s="28" t="s">
        <v>873</v>
      </c>
      <c r="J5" s="40"/>
      <c r="K5" s="28"/>
      <c r="L5" s="40"/>
      <c r="M5" s="28"/>
      <c r="N5" s="28"/>
      <c r="O5" s="28"/>
      <c r="P5" s="28"/>
      <c r="Q5" s="28"/>
      <c r="R5" s="28"/>
      <c r="S5" s="28"/>
      <c r="T5" s="30"/>
      <c r="U5" s="28"/>
      <c r="V5" s="30"/>
      <c r="W5" s="28"/>
      <c r="X5" s="30"/>
      <c r="Y5" s="28"/>
    </row>
    <row r="6" spans="1:49" x14ac:dyDescent="0.25">
      <c r="A6" s="30"/>
      <c r="B6" s="41" t="s">
        <v>874</v>
      </c>
      <c r="C6" s="41" t="str" cm="1">
        <f t="array" ref="C6">_xlfn.XLOOKUP(
  1,
  (Lists3.1_Longlist[IUD]=Lists3.1_Shortlist[[#This Row],[IUD]]) *
  (Lists3.1_Longlist[Language]=Language),
  Lists3.1_Longlist[Mat. Cat 1]
)</f>
        <v>Construction</v>
      </c>
      <c r="D6" s="41" t="str" cm="1">
        <f t="array" ref="D6">IF(_xlfn.XLOOKUP(
  1,
  (Lists3.1_Longlist[IUD]=Lists3.1_Shortlist[[#This Row],[IUD]]) *
  (Lists3.1_Longlist[Language]=Language),
  Lists3.1_Longlist[Mat. Cat. 2]
)=0,"",_xlfn.XLOOKUP(
  1,
  (Lists3.1_Longlist[IUD]=Lists3.1_Shortlist[[#This Row],[IUD]]) *
  (Lists3.1_Longlist[Language]=Language),
  Lists3.1_Longlist[Mat. Cat. 2]
))</f>
        <v>Bitume</v>
      </c>
      <c r="E6" s="41" t="str" cm="1">
        <f t="array" ref="E6">IF(_xlfn.XLOOKUP(
  1,
  (Lists3.1_Longlist[IUD]=Lists3.1_Shortlist[[#This Row],[IUD]]) *
  (Lists3.1_Longlist[Language]=Language),
  Lists3.1_Longlist[Mat. Cat. 3]
)=0,"",_xlfn.XLOOKUP(
  1,
  (Lists3.1_Longlist[IUD]=Lists3.1_Shortlist[[#This Row],[IUD]]) *
  (Lists3.1_Longlist[Language]=Language),
  Lists3.1_Longlist[Mat. Cat. 3]
))</f>
        <v/>
      </c>
      <c r="F6" s="32" t="s">
        <v>88</v>
      </c>
      <c r="G6" s="32" t="s">
        <v>27963</v>
      </c>
      <c r="H6" s="30"/>
      <c r="I6" s="42" t="str" cm="1">
        <f t="array" ref="I6:I21">_xlfn.UNIQUE(Lists3.1_Shortlist[Mat. Cat. 1])</f>
        <v>Construction</v>
      </c>
      <c r="J6" s="28" t="s">
        <v>875</v>
      </c>
      <c r="K6" s="40"/>
      <c r="L6" s="28" t="s">
        <v>876</v>
      </c>
      <c r="M6" s="30"/>
      <c r="N6" s="28" t="s">
        <v>877</v>
      </c>
      <c r="O6" s="30"/>
      <c r="P6" s="28" t="s">
        <v>878</v>
      </c>
      <c r="Q6" s="30"/>
      <c r="R6" s="28" t="s">
        <v>879</v>
      </c>
      <c r="S6" s="40"/>
      <c r="T6" s="28" t="s">
        <v>880</v>
      </c>
      <c r="U6" s="30"/>
      <c r="V6" s="28" t="s">
        <v>881</v>
      </c>
      <c r="W6" s="30"/>
      <c r="X6" s="28" t="s">
        <v>882</v>
      </c>
      <c r="Y6" s="30"/>
      <c r="Z6" s="28" t="s">
        <v>883</v>
      </c>
      <c r="AB6" s="28" t="s">
        <v>884</v>
      </c>
      <c r="AD6" s="28" t="s">
        <v>885</v>
      </c>
      <c r="AF6" s="28" t="s">
        <v>886</v>
      </c>
      <c r="AH6" s="28" t="s">
        <v>887</v>
      </c>
      <c r="AJ6" s="28" t="s">
        <v>888</v>
      </c>
      <c r="AL6" s="28" t="s">
        <v>889</v>
      </c>
      <c r="AN6" s="28" t="s">
        <v>890</v>
      </c>
      <c r="AP6" s="28" t="s">
        <v>891</v>
      </c>
      <c r="AR6" s="28" t="s">
        <v>892</v>
      </c>
      <c r="AT6" s="28" t="s">
        <v>893</v>
      </c>
      <c r="AV6" s="28" t="s">
        <v>894</v>
      </c>
    </row>
    <row r="7" spans="1:49" x14ac:dyDescent="0.25">
      <c r="A7" s="30"/>
      <c r="B7" s="41" t="s">
        <v>895</v>
      </c>
      <c r="C7" s="41" t="str" cm="1">
        <f t="array" ref="C7">_xlfn.XLOOKUP(
  1,
  (Lists3.1_Longlist[IUD]=Lists3.1_Shortlist[[#This Row],[IUD]]) *
  (Lists3.1_Longlist[Language]=Language),
  Lists3.1_Longlist[Mat. Cat 1]
)</f>
        <v>Construction</v>
      </c>
      <c r="D7" s="41" t="str" cm="1">
        <f t="array" ref="D7">IF(_xlfn.XLOOKUP(
  1,
  (Lists3.1_Longlist[IUD]=Lists3.1_Shortlist[[#This Row],[IUD]]) *
  (Lists3.1_Longlist[Language]=Language),
  Lists3.1_Longlist[Mat. Cat. 2]
)=0,"",_xlfn.XLOOKUP(
  1,
  (Lists3.1_Longlist[IUD]=Lists3.1_Shortlist[[#This Row],[IUD]]) *
  (Lists3.1_Longlist[Language]=Language),
  Lists3.1_Longlist[Mat. Cat. 2]
))</f>
        <v>Brique</v>
      </c>
      <c r="E7" s="41" t="str" cm="1">
        <f t="array" ref="E7">IF(_xlfn.XLOOKUP(
  1,
  (Lists3.1_Longlist[IUD]=Lists3.1_Shortlist[[#This Row],[IUD]]) *
  (Lists3.1_Longlist[Language]=Language),
  Lists3.1_Longlist[Mat. Cat. 3]
)=0,"",_xlfn.XLOOKUP(
  1,
  (Lists3.1_Longlist[IUD]=Lists3.1_Shortlist[[#This Row],[IUD]]) *
  (Lists3.1_Longlist[Language]=Language),
  Lists3.1_Longlist[Mat. Cat. 3]
))</f>
        <v/>
      </c>
      <c r="F7" s="32" t="s">
        <v>88</v>
      </c>
      <c r="G7" s="32" t="s">
        <v>27964</v>
      </c>
      <c r="H7" s="44"/>
      <c r="I7" s="43" t="str">
        <v>Produits chimiques</v>
      </c>
      <c r="J7" s="30" t="str" cm="1">
        <f t="array" ref="J7">_xlfn._xlws.FILTER(Lists3.1_Shortlist[Mat.Cat.  2],Lists3.1_Shortlist[Mat. Cat. 1]=DatInp_PurchasedGoods_ProductBased_Line1_MatKat1,_xlfn._xlws.FILTER(Lists3.1_Longlist[Mat. Cat. 2],Lists3.1_Longlist[Mat. Cat 1]=DatInp_PurchasedGoods_ProductBased_Line1_MatKat1,"No Input"))</f>
        <v>No Input</v>
      </c>
      <c r="K7" s="28" t="s">
        <v>896</v>
      </c>
      <c r="L7" s="30" t="str" cm="1">
        <f t="array" ref="L7">_xlfn._xlws.FILTER(Lists3.1_Shortlist[Mat.Cat.  2],Lists3.1_Shortlist[Mat. Cat. 1]=DatInp_PurchasedGoods_ProductBased_Line2_MatKat1,_xlfn._xlws.FILTER(Lists3.1_Longlist[Mat. Cat. 2],Lists3.1_Longlist[Mat. Cat 1]=DatInp_PurchasedGoods_ProductBased_Line2_MatKat1,"No Input"))</f>
        <v>No Input</v>
      </c>
      <c r="M7" s="28" t="s">
        <v>897</v>
      </c>
      <c r="N7" s="30" t="str" cm="1">
        <f t="array" ref="N7">_xlfn._xlws.FILTER(Lists3.1_Shortlist[Mat.Cat.  2],Lists3.1_Shortlist[Mat. Cat. 1]=DatInp_PurchasedGoods_ProductBased_Line3_MatKat1,_xlfn._xlws.FILTER(Lists3.1_Longlist[Mat. Cat. 2],Lists3.1_Longlist[Mat. Cat 1]=DatInp_PurchasedGoods_ProductBased_Line3_MatKat1,"No Input"))</f>
        <v>No Input</v>
      </c>
      <c r="O7" s="28" t="s">
        <v>898</v>
      </c>
      <c r="P7" s="30" t="str" cm="1">
        <f t="array" ref="P7">_xlfn._xlws.FILTER(Lists3.1_Shortlist[Mat.Cat.  2],Lists3.1_Shortlist[Mat. Cat. 1]=DatInp_PurchasedGoods_ProductBased_Line4_MatKat1,_xlfn._xlws.FILTER(Lists3.1_Longlist[Mat. Cat. 2],Lists3.1_Longlist[Mat. Cat 1]=DatInp_PurchasedGoods_ProductBased_Line4_MatKat1,"No Input"))</f>
        <v>No Input</v>
      </c>
      <c r="Q7" s="28" t="s">
        <v>899</v>
      </c>
      <c r="R7" s="30" t="str" cm="1">
        <f t="array" ref="R7">_xlfn._xlws.FILTER(Lists3.1_Shortlist[Mat.Cat.  2],Lists3.1_Shortlist[Mat. Cat. 1]=DatInp_PurchasedGoods_ProductBased_Line5_MatKat1,_xlfn._xlws.FILTER(Lists3.1_Longlist[Mat. Cat. 2],Lists3.1_Longlist[Mat. Cat 1]=DatInp_PurchasedGoods_ProductBased_Line5_MatKat1,"No Input"))</f>
        <v>No Input</v>
      </c>
      <c r="S7" s="28" t="s">
        <v>900</v>
      </c>
      <c r="T7" s="30" t="str" cm="1">
        <f t="array" ref="T7">_xlfn._xlws.FILTER(Lists3.1_Shortlist[Mat.Cat.  2],Lists3.1_Shortlist[Mat. Cat. 1]=DatInp_PurchasedGoods_ProductBased_Line6_MatKat1,_xlfn._xlws.FILTER(Lists3.1_Longlist[Mat. Cat. 2],Lists3.1_Longlist[Mat. Cat 1]=DatInp_PurchasedGoods_ProductBased_Line6_MatKat1,"No Input"))</f>
        <v>No Input</v>
      </c>
      <c r="U7" s="28" t="s">
        <v>901</v>
      </c>
      <c r="V7" s="30" t="str" cm="1">
        <f t="array" ref="V7">_xlfn._xlws.FILTER(Lists3.1_Shortlist[Mat.Cat.  2],Lists3.1_Shortlist[Mat. Cat. 1]=DatInp_PurchasedGoods_ProductBased_Line7_MatKat1,_xlfn._xlws.FILTER(Lists3.1_Longlist[Mat. Cat. 2],Lists3.1_Longlist[Mat. Cat 1]=DatInp_PurchasedGoods_ProductBased_Line7_MatKat1,"No Input"))</f>
        <v>No Input</v>
      </c>
      <c r="W7" s="28" t="s">
        <v>902</v>
      </c>
      <c r="X7" s="30" t="str" cm="1">
        <f t="array" ref="X7">_xlfn._xlws.FILTER(Lists3.1_Shortlist[Mat.Cat.  2],Lists3.1_Shortlist[Mat. Cat. 1]=DatInp_PurchasedGoods_ProductBased_Line8_MatKat1,_xlfn._xlws.FILTER(Lists3.1_Longlist[Mat. Cat. 2],Lists3.1_Longlist[Mat. Cat 1]=DatInp_PurchasedGoods_ProductBased_Line8_MatKat1,"No Input"))</f>
        <v>No Input</v>
      </c>
      <c r="Y7" s="28" t="s">
        <v>903</v>
      </c>
      <c r="Z7" s="30" t="str" cm="1">
        <f t="array" ref="Z7">_xlfn._xlws.FILTER(Lists3.1_Shortlist[Mat.Cat.  2],Lists3.1_Shortlist[Mat. Cat. 1]=DatInp_PurchasedGoods_ProductBased_Line9_MatKat1,_xlfn._xlws.FILTER(Lists3.1_Longlist[Mat. Cat. 2],Lists3.1_Longlist[Mat. Cat 1]=DatInp_PurchasedGoods_ProductBased_Line9_MatKat1,"No Input"))</f>
        <v>No Input</v>
      </c>
      <c r="AA7" s="28" t="s">
        <v>904</v>
      </c>
      <c r="AB7" s="30" t="str" cm="1">
        <f t="array" ref="AB7">_xlfn._xlws.FILTER(Lists3.1_Shortlist[Mat.Cat.  2],Lists3.1_Shortlist[Mat. Cat. 1]=DatInp_PurchasedGoods_ProductBased_Line10_MatKat1,_xlfn._xlws.FILTER(Lists3.1_Longlist[Mat. Cat. 2],Lists3.1_Longlist[Mat. Cat 1]=DatInp_PurchasedGoods_ProductBased_Line10_MatKat1,"No Input"))</f>
        <v>No Input</v>
      </c>
      <c r="AC7" s="28" t="s">
        <v>905</v>
      </c>
      <c r="AD7" s="30" t="str" cm="1">
        <f t="array" ref="AD7">_xlfn._xlws.FILTER(Lists3.1_Shortlist[Mat.Cat.  2],Lists3.1_Shortlist[Mat. Cat. 1]=DatInp_PurchasedGoods_ProductBased_Line11_MatKat1,_xlfn._xlws.FILTER(Lists3.1_Longlist[Mat. Cat. 2],Lists3.1_Longlist[Mat. Cat 1]=DatInp_PurchasedGoods_ProductBased_Line11_MatKat1,"No Input"))</f>
        <v>No Input</v>
      </c>
      <c r="AE7" s="28" t="s">
        <v>906</v>
      </c>
      <c r="AF7" s="30" t="str" cm="1">
        <f t="array" ref="AF7">_xlfn._xlws.FILTER(Lists3.1_Shortlist[Mat.Cat.  2],Lists3.1_Shortlist[Mat. Cat. 1]=DatInp_PurchasedGoods_ProductBased_Line12_MatKat1,_xlfn._xlws.FILTER(Lists3.1_Longlist[Mat. Cat. 2],Lists3.1_Longlist[Mat. Cat 1]=DatInp_PurchasedGoods_ProductBased_Line12_MatKat1,"No Input"))</f>
        <v>No Input</v>
      </c>
      <c r="AG7" s="28" t="s">
        <v>907</v>
      </c>
      <c r="AH7" s="30" t="str" cm="1">
        <f t="array" ref="AH7">_xlfn._xlws.FILTER(Lists3.1_Shortlist[Mat.Cat.  2],Lists3.1_Shortlist[Mat. Cat. 1]=DatInp_PurchasedGoods_ProductBased_Line13_MatKat1,_xlfn._xlws.FILTER(Lists3.1_Longlist[Mat. Cat. 2],Lists3.1_Longlist[Mat. Cat 1]=DatInp_PurchasedGoods_ProductBased_Line13_MatKat1,"No Input"))</f>
        <v>No Input</v>
      </c>
      <c r="AI7" s="28" t="s">
        <v>908</v>
      </c>
      <c r="AJ7" s="30" t="str" cm="1">
        <f t="array" ref="AJ7">_xlfn._xlws.FILTER(Lists3.1_Shortlist[Mat.Cat.  2],Lists3.1_Shortlist[Mat. Cat. 1]=DatInp_PurchasedGoods_ProductBased_Line14_MatKat1,_xlfn._xlws.FILTER(Lists3.1_Longlist[Mat. Cat. 2],Lists3.1_Longlist[Mat. Cat 1]=DatInp_PurchasedGoods_ProductBased_Line14_MatKat1,"No Input"))</f>
        <v>No Input</v>
      </c>
      <c r="AK7" s="28" t="s">
        <v>909</v>
      </c>
      <c r="AL7" s="30" t="str" cm="1">
        <f t="array" ref="AL7">_xlfn._xlws.FILTER(Lists3.1_Shortlist[Mat.Cat.  2],Lists3.1_Shortlist[Mat. Cat. 1]=DatInp_PurchasedGoods_ProductBased_Line15_MatKat1,_xlfn._xlws.FILTER(Lists3.1_Longlist[Mat. Cat. 2],Lists3.1_Longlist[Mat. Cat 1]=DatInp_PurchasedGoods_ProductBased_Line15_MatKat1,"No Input"))</f>
        <v>No Input</v>
      </c>
      <c r="AM7" s="28" t="s">
        <v>910</v>
      </c>
      <c r="AN7" s="30" t="str" cm="1">
        <f t="array" ref="AN7">_xlfn._xlws.FILTER(Lists3.1_Shortlist[Mat.Cat.  2],Lists3.1_Shortlist[Mat. Cat. 1]=DatInp_PurchasedGoods_ProductBased_Line16_MatKat1,_xlfn._xlws.FILTER(Lists3.1_Longlist[Mat. Cat. 2],Lists3.1_Longlist[Mat. Cat 1]=DatInp_PurchasedGoods_ProductBased_Line16_MatKat1,"No Input"))</f>
        <v>No Input</v>
      </c>
      <c r="AO7" s="28" t="s">
        <v>911</v>
      </c>
      <c r="AP7" s="30" t="str" cm="1">
        <f t="array" ref="AP7">_xlfn._xlws.FILTER(Lists3.1_Shortlist[Mat.Cat.  2],Lists3.1_Shortlist[Mat. Cat. 1]=DatInp_PurchasedGoods_ProductBased_Line17_MatKat1,_xlfn._xlws.FILTER(Lists3.1_Longlist[Mat. Cat. 2],Lists3.1_Longlist[Mat. Cat 1]=DatInp_PurchasedGoods_ProductBased_Line17_MatKat1,"No Input"))</f>
        <v>No Input</v>
      </c>
      <c r="AQ7" s="28" t="s">
        <v>912</v>
      </c>
      <c r="AR7" s="30" t="str" cm="1">
        <f t="array" ref="AR7">_xlfn._xlws.FILTER(Lists3.1_Shortlist[Mat.Cat.  2],Lists3.1_Shortlist[Mat. Cat. 1]=DatInp_PurchasedGoods_ProductBased_Line18_MatKat1,_xlfn._xlws.FILTER(Lists3.1_Longlist[Mat. Cat. 2],Lists3.1_Longlist[Mat. Cat 1]=DatInp_PurchasedGoods_ProductBased_Line18_MatKat1,"No Input"))</f>
        <v>No Input</v>
      </c>
      <c r="AS7" s="28" t="s">
        <v>913</v>
      </c>
      <c r="AT7" s="30" t="str" cm="1">
        <f t="array" ref="AT7">_xlfn._xlws.FILTER(Lists3.1_Shortlist[Mat.Cat.  2],Lists3.1_Shortlist[Mat. Cat. 1]=DatInp_PurchasedGoods_ProductBased_Line19_MatKat1,_xlfn._xlws.FILTER(Lists3.1_Longlist[Mat. Cat. 2],Lists3.1_Longlist[Mat. Cat 1]=DatInp_PurchasedGoods_ProductBased_Line19_MatKat1,"No Input"))</f>
        <v>No Input</v>
      </c>
      <c r="AU7" s="28" t="s">
        <v>914</v>
      </c>
      <c r="AV7" s="30" t="str" cm="1">
        <f t="array" ref="AV7">_xlfn._xlws.FILTER(Lists3.1_Shortlist[Mat.Cat.  2],Lists3.1_Shortlist[Mat. Cat. 1]=DatInp_PurchasedGoods_ProductBased_Line20_MatKat1,_xlfn._xlws.FILTER(Lists3.1_Longlist[Mat. Cat. 2],Lists3.1_Longlist[Mat. Cat 1]=DatInp_PurchasedGoods_ProductBased_Line20_MatKat1,"No Input"))</f>
        <v>No Input</v>
      </c>
      <c r="AW7" s="28" t="s">
        <v>915</v>
      </c>
    </row>
    <row r="8" spans="1:49" x14ac:dyDescent="0.25">
      <c r="A8" s="30"/>
      <c r="B8" s="41" t="s">
        <v>895</v>
      </c>
      <c r="C8" s="41" t="str" cm="1">
        <f t="array" ref="C8">_xlfn.XLOOKUP(
  1,
  (Lists3.1_Longlist[IUD]=Lists3.1_Shortlist[[#This Row],[IUD]]) *
  (Lists3.1_Longlist[Language]=Language),
  Lists3.1_Longlist[Mat. Cat 1]
)</f>
        <v>Construction</v>
      </c>
      <c r="D8" s="41" t="str" cm="1">
        <f t="array" ref="D8">IF(_xlfn.XLOOKUP(
  1,
  (Lists3.1_Longlist[IUD]=Lists3.1_Shortlist[[#This Row],[IUD]]) *
  (Lists3.1_Longlist[Language]=Language),
  Lists3.1_Longlist[Mat. Cat. 2]
)=0,"",_xlfn.XLOOKUP(
  1,
  (Lists3.1_Longlist[IUD]=Lists3.1_Shortlist[[#This Row],[IUD]]) *
  (Lists3.1_Longlist[Language]=Language),
  Lists3.1_Longlist[Mat. Cat. 2]
))</f>
        <v>Brique</v>
      </c>
      <c r="E8" s="41" t="str" cm="1">
        <f t="array" ref="E8">IF(_xlfn.XLOOKUP(
  1,
  (Lists3.1_Longlist[IUD]=Lists3.1_Shortlist[[#This Row],[IUD]]) *
  (Lists3.1_Longlist[Language]=Language),
  Lists3.1_Longlist[Mat. Cat. 3]
)=0,"",_xlfn.XLOOKUP(
  1,
  (Lists3.1_Longlist[IUD]=Lists3.1_Shortlist[[#This Row],[IUD]]) *
  (Lists3.1_Longlist[Language]=Language),
  Lists3.1_Longlist[Mat. Cat. 3]
))</f>
        <v>Brique</v>
      </c>
      <c r="F8" s="32" t="s">
        <v>88</v>
      </c>
      <c r="G8" s="32" t="s">
        <v>27965</v>
      </c>
      <c r="H8" s="30"/>
      <c r="I8" s="43" t="str">
        <v>Autres</v>
      </c>
      <c r="J8" s="30"/>
      <c r="K8" s="30" t="str" cm="1">
        <f t="array" ref="K8">_xlfn._xlws.FILTER(Lists3.1_Shortlist[Mat. Cat.  3],Lists3.1_Shortlist[Mat.Cat.  2]=DatInp_PurchasedGoods_ProductBased_Line1_MatKat2,_xlfn._xlws.FILTER(Lists3.1_Longlist[Mat. Cat. 3],Lists3.1_Longlist[Mat. Cat. 2]=DatInp_PurchasedGoods_ProductBased_Line1_MatKat2))</f>
        <v/>
      </c>
      <c r="L8" s="30"/>
      <c r="M8" s="30" t="str" cm="1">
        <f t="array" ref="M8">_xlfn._xlws.FILTER(Lists3.1_Shortlist[Mat. Cat.  3],Lists3.1_Shortlist[Mat.Cat.  2]=DatInp_PurchasedGoods_ProductBased_Line2_MatKat2,_xlfn._xlws.FILTER(Lists3.1_Longlist[Mat. Cat. 3],Lists3.1_Longlist[Mat. Cat. 2]=DatInp_PurchasedGoods_ProductBased_Line2_MatKat2))</f>
        <v/>
      </c>
      <c r="N8" s="30"/>
      <c r="O8" s="30" t="str" cm="1">
        <f t="array" ref="O8">_xlfn._xlws.FILTER(Lists3.1_Shortlist[Mat. Cat.  3],Lists3.1_Shortlist[Mat.Cat.  2]=DatInp_PurchasedGoods_ProductBased_Line3_MatKat2,_xlfn._xlws.FILTER(Lists3.1_Longlist[Mat. Cat. 3],Lists3.1_Longlist[Mat. Cat. 2]=DatInp_PurchasedGoods_ProductBased_Line3_MatKat2))</f>
        <v/>
      </c>
      <c r="P8" s="30"/>
      <c r="Q8" s="30" t="str" cm="1">
        <f t="array" ref="Q8">_xlfn._xlws.FILTER(Lists3.1_Shortlist[Mat. Cat.  3],Lists3.1_Shortlist[Mat.Cat.  2]=DatInp_PurchasedGoods_ProductBased_Line4_MatKat2,_xlfn._xlws.FILTER(Lists3.1_Longlist[Mat. Cat. 3],Lists3.1_Longlist[Mat. Cat. 2]=DatInp_PurchasedGoods_ProductBased_Line4_MatKat2))</f>
        <v/>
      </c>
      <c r="R8" s="30"/>
      <c r="S8" s="30" t="str" cm="1">
        <f t="array" ref="S8">_xlfn._xlws.FILTER(Lists3.1_Shortlist[Mat. Cat.  3],Lists3.1_Shortlist[Mat.Cat.  2]=DatInp_PurchasedGoods_ProductBased_Line5_MatKat2,_xlfn._xlws.FILTER(Lists3.1_Longlist[Mat. Cat. 3],Lists3.1_Longlist[Mat. Cat. 2]=DatInp_PurchasedGoods_ProductBased_Line5_MatKat2))</f>
        <v/>
      </c>
      <c r="T8" s="30"/>
      <c r="U8" s="30" t="str" cm="1">
        <f t="array" ref="U8">_xlfn._xlws.FILTER(Lists3.1_Shortlist[Mat. Cat.  3],Lists3.1_Shortlist[Mat.Cat.  2]=DatInp_PurchasedGoods_ProductBased_Line6_MatKat2,_xlfn._xlws.FILTER(Lists3.1_Longlist[Mat. Cat. 3],Lists3.1_Longlist[Mat. Cat. 2]=DatInp_PurchasedGoods_ProductBased_Line6_MatKat2))</f>
        <v/>
      </c>
      <c r="V8" s="30"/>
      <c r="W8" s="30" t="str" cm="1">
        <f t="array" ref="W8">_xlfn._xlws.FILTER(Lists3.1_Shortlist[Mat. Cat.  3],Lists3.1_Shortlist[Mat.Cat.  2]=DatInp_PurchasedGoods_ProductBased_Line7_MatKat2,_xlfn._xlws.FILTER(Lists3.1_Longlist[Mat. Cat. 3],Lists3.1_Longlist[Mat. Cat. 2]=DatInp_PurchasedGoods_ProductBased_Line7_MatKat2))</f>
        <v/>
      </c>
      <c r="X8" s="30"/>
      <c r="Y8" s="30" t="str" cm="1">
        <f t="array" ref="Y8">_xlfn._xlws.FILTER(Lists3.1_Shortlist[Mat. Cat.  3],Lists3.1_Shortlist[Mat.Cat.  2]=DatInp_PurchasedGoods_ProductBased_Line8_MatKat2,_xlfn._xlws.FILTER(Lists3.1_Longlist[Mat. Cat. 3],Lists3.1_Longlist[Mat. Cat. 2]=DatInp_PurchasedGoods_ProductBased_Line8_MatKat2))</f>
        <v/>
      </c>
      <c r="AA8" s="30" t="str" cm="1">
        <f t="array" ref="AA8">_xlfn._xlws.FILTER(Lists3.1_Shortlist[Mat. Cat.  3],Lists3.1_Shortlist[Mat.Cat.  2]=DatInp_PurchasedGoods_ProductBased_Line9_MatKat2,_xlfn._xlws.FILTER(Lists3.1_Longlist[Mat. Cat. 3],Lists3.1_Longlist[Mat. Cat. 2]=DatInp_PurchasedGoods_ProductBased_Line9_MatKat2))</f>
        <v/>
      </c>
      <c r="AC8" s="30" t="str" cm="1">
        <f t="array" ref="AC8">_xlfn._xlws.FILTER(Lists3.1_Shortlist[Mat. Cat.  3],Lists3.1_Shortlist[Mat.Cat.  2]=DatInp_PurchasedGoods_ProductBased_Line10_MatKat2,_xlfn._xlws.FILTER(Lists3.1_Longlist[Mat. Cat. 3],Lists3.1_Longlist[Mat. Cat. 2]=DatInp_PurchasedGoods_ProductBased_Line10_MatKat2))</f>
        <v/>
      </c>
      <c r="AE8" s="30" t="str" cm="1">
        <f t="array" ref="AE8">_xlfn._xlws.FILTER(Lists3.1_Shortlist[Mat. Cat.  3],Lists3.1_Shortlist[Mat.Cat.  2]=DatInp_PurchasedGoods_ProductBased_Line11_MatKat2,_xlfn._xlws.FILTER(Lists3.1_Longlist[Mat. Cat. 3],Lists3.1_Longlist[Mat. Cat. 2]=DatInp_PurchasedGoods_ProductBased_Line11_MatKat2))</f>
        <v/>
      </c>
      <c r="AG8" s="30" t="str" cm="1">
        <f t="array" ref="AG8">_xlfn._xlws.FILTER(Lists3.1_Shortlist[Mat. Cat.  3],Lists3.1_Shortlist[Mat.Cat.  2]=DatInp_PurchasedGoods_ProductBased_Line12_MatKat2,_xlfn._xlws.FILTER(Lists3.1_Longlist[Mat. Cat. 3],Lists3.1_Longlist[Mat. Cat. 2]=DatInp_PurchasedGoods_ProductBased_Line12_MatKat2))</f>
        <v/>
      </c>
      <c r="AI8" s="30" t="str" cm="1">
        <f t="array" ref="AI8">_xlfn._xlws.FILTER(Lists3.1_Shortlist[Mat. Cat.  3],Lists3.1_Shortlist[Mat.Cat.  2]=DatInp_PurchasedGoods_ProductBased_Line13_MatKat2,_xlfn._xlws.FILTER(Lists3.1_Longlist[Mat. Cat. 3],Lists3.1_Longlist[Mat. Cat. 2]=DatInp_PurchasedGoods_ProductBased_Line13_MatKat2))</f>
        <v/>
      </c>
      <c r="AK8" s="30" t="str" cm="1">
        <f t="array" ref="AK8">_xlfn._xlws.FILTER(Lists3.1_Shortlist[Mat. Cat.  3],Lists3.1_Shortlist[Mat.Cat.  2]=DatInp_PurchasedGoods_ProductBased_Line14_MatKat2,_xlfn._xlws.FILTER(Lists3.1_Longlist[Mat. Cat. 3],Lists3.1_Longlist[Mat. Cat. 2]=DatInp_PurchasedGoods_ProductBased_Line14_MatKat2))</f>
        <v/>
      </c>
      <c r="AM8" s="30" t="str" cm="1">
        <f t="array" ref="AM8">_xlfn._xlws.FILTER(Lists3.1_Shortlist[Mat. Cat.  3],Lists3.1_Shortlist[Mat.Cat.  2]=DatInp_PurchasedGoods_ProductBased_Line15_MatKat2,_xlfn._xlws.FILTER(Lists3.1_Longlist[Mat. Cat. 3],Lists3.1_Longlist[Mat. Cat. 2]=DatInp_PurchasedGoods_ProductBased_Line15_MatKat2))</f>
        <v/>
      </c>
      <c r="AO8" s="30" t="str" cm="1">
        <f t="array" ref="AO8">_xlfn._xlws.FILTER(Lists3.1_Shortlist[Mat. Cat.  3],Lists3.1_Shortlist[Mat.Cat.  2]=DatInp_PurchasedGoods_ProductBased_Line16_MatKat2,_xlfn._xlws.FILTER(Lists3.1_Longlist[Mat. Cat. 3],Lists3.1_Longlist[Mat. Cat. 2]=DatInp_PurchasedGoods_ProductBased_Line16_MatKat2))</f>
        <v/>
      </c>
      <c r="AQ8" s="30" t="str" cm="1">
        <f t="array" ref="AQ8">_xlfn._xlws.FILTER(Lists3.1_Shortlist[Mat. Cat.  3],Lists3.1_Shortlist[Mat.Cat.  2]=DatInp_PurchasedGoods_ProductBased_Line17_MatKat2,_xlfn._xlws.FILTER(Lists3.1_Longlist[Mat. Cat. 3],Lists3.1_Longlist[Mat. Cat. 2]=DatInp_PurchasedGoods_ProductBased_Line17_MatKat2))</f>
        <v/>
      </c>
      <c r="AS8" s="30" t="str" cm="1">
        <f t="array" ref="AS8">_xlfn._xlws.FILTER(Lists3.1_Shortlist[Mat. Cat.  3],Lists3.1_Shortlist[Mat.Cat.  2]=DatInp_PurchasedGoods_ProductBased_Line18_MatKat2,_xlfn._xlws.FILTER(Lists3.1_Longlist[Mat. Cat. 3],Lists3.1_Longlist[Mat. Cat. 2]=DatInp_PurchasedGoods_ProductBased_Line18_MatKat2))</f>
        <v/>
      </c>
      <c r="AU8" s="30" t="str" cm="1">
        <f t="array" ref="AU8">_xlfn._xlws.FILTER(Lists3.1_Shortlist[Mat. Cat.  3],Lists3.1_Shortlist[Mat.Cat.  2]=DatInp_PurchasedGoods_ProductBased_Line19_MatKat2,_xlfn._xlws.FILTER(Lists3.1_Longlist[Mat. Cat. 3],Lists3.1_Longlist[Mat. Cat. 2]=DatInp_PurchasedGoods_ProductBased_Line19_MatKat2))</f>
        <v/>
      </c>
      <c r="AW8" s="30" t="str" cm="1">
        <f t="array" ref="AW8">_xlfn._xlws.FILTER(Lists3.1_Shortlist[Mat. Cat.  3],Lists3.1_Shortlist[Mat.Cat.  2]=DatInp_PurchasedGoods_ProductBased_Line20_MatKat2,_xlfn._xlws.FILTER(Lists3.1_Longlist[Mat. Cat. 3],Lists3.1_Longlist[Mat. Cat. 2]=DatInp_PurchasedGoods_ProductBased_Line20_MatKat2))</f>
        <v/>
      </c>
    </row>
    <row r="9" spans="1:49" x14ac:dyDescent="0.25">
      <c r="A9" s="30"/>
      <c r="B9" s="41" t="s">
        <v>916</v>
      </c>
      <c r="C9" s="41" t="str" cm="1">
        <f t="array" ref="C9">_xlfn.XLOOKUP(
  1,
  (Lists3.1_Longlist[IUD]=Lists3.1_Shortlist[[#This Row],[IUD]]) *
  (Lists3.1_Longlist[Language]=Language),
  Lists3.1_Longlist[Mat. Cat 1]
)</f>
        <v>Construction</v>
      </c>
      <c r="D9" s="41" t="str" cm="1">
        <f t="array" ref="D9">IF(_xlfn.XLOOKUP(
  1,
  (Lists3.1_Longlist[IUD]=Lists3.1_Shortlist[[#This Row],[IUD]]) *
  (Lists3.1_Longlist[Language]=Language),
  Lists3.1_Longlist[Mat. Cat. 2]
)=0,"",_xlfn.XLOOKUP(
  1,
  (Lists3.1_Longlist[IUD]=Lists3.1_Shortlist[[#This Row],[IUD]]) *
  (Lists3.1_Longlist[Language]=Language),
  Lists3.1_Longlist[Mat. Cat. 2]
))</f>
        <v>Brique</v>
      </c>
      <c r="E9" s="41" t="str" cm="1">
        <f t="array" ref="E9">IF(_xlfn.XLOOKUP(
  1,
  (Lists3.1_Longlist[IUD]=Lists3.1_Shortlist[[#This Row],[IUD]]) *
  (Lists3.1_Longlist[Language]=Language),
  Lists3.1_Longlist[Mat. Cat. 3]
)=0,"",_xlfn.XLOOKUP(
  1,
  (Lists3.1_Longlist[IUD]=Lists3.1_Shortlist[[#This Row],[IUD]]) *
  (Lists3.1_Longlist[Language]=Language),
  Lists3.1_Longlist[Mat. Cat. 3]
))</f>
        <v>Briques de chaux de sable</v>
      </c>
      <c r="F9" s="32" t="s">
        <v>88</v>
      </c>
      <c r="G9" s="32" t="s">
        <v>27966</v>
      </c>
      <c r="H9" s="30"/>
      <c r="I9" s="43" t="str">
        <v>Électronique</v>
      </c>
      <c r="J9" s="30"/>
      <c r="K9" s="30"/>
      <c r="L9" s="30"/>
      <c r="M9" s="30"/>
      <c r="N9" s="30"/>
      <c r="O9" s="30"/>
      <c r="P9" s="30"/>
      <c r="Q9" s="30"/>
      <c r="R9" s="30"/>
      <c r="S9" s="30"/>
      <c r="T9" s="30"/>
      <c r="U9" s="30"/>
      <c r="V9" s="30"/>
      <c r="W9" s="30"/>
      <c r="X9" s="30"/>
      <c r="Y9" s="30"/>
    </row>
    <row r="10" spans="1:49" x14ac:dyDescent="0.25">
      <c r="A10" s="30"/>
      <c r="B10" s="41" t="s">
        <v>917</v>
      </c>
      <c r="C10" s="41" t="str" cm="1">
        <f t="array" ref="C10">_xlfn.XLOOKUP(
  1,
  (Lists3.1_Longlist[IUD]=Lists3.1_Shortlist[[#This Row],[IUD]]) *
  (Lists3.1_Longlist[Language]=Language),
  Lists3.1_Longlist[Mat. Cat 1]
)</f>
        <v>Construction</v>
      </c>
      <c r="D10" s="41" t="str" cm="1">
        <f t="array" ref="D10">IF(_xlfn.XLOOKUP(
  1,
  (Lists3.1_Longlist[IUD]=Lists3.1_Shortlist[[#This Row],[IUD]]) *
  (Lists3.1_Longlist[Language]=Language),
  Lists3.1_Longlist[Mat. Cat. 2]
)=0,"",_xlfn.XLOOKUP(
  1,
  (Lists3.1_Longlist[IUD]=Lists3.1_Shortlist[[#This Row],[IUD]]) *
  (Lists3.1_Longlist[Language]=Language),
  Lists3.1_Longlist[Mat. Cat. 2]
))</f>
        <v>Brique</v>
      </c>
      <c r="E10" s="41" t="str" cm="1">
        <f t="array" ref="E10">IF(_xlfn.XLOOKUP(
  1,
  (Lists3.1_Longlist[IUD]=Lists3.1_Shortlist[[#This Row],[IUD]]) *
  (Lists3.1_Longlist[Language]=Language),
  Lists3.1_Longlist[Mat. Cat. 3]
)=0,"",_xlfn.XLOOKUP(
  1,
  (Lists3.1_Longlist[IUD]=Lists3.1_Shortlist[[#This Row],[IUD]]) *
  (Lists3.1_Longlist[Language]=Language),
  Lists3.1_Longlist[Mat. Cat. 3]
))</f>
        <v>Brique (lumière)</v>
      </c>
      <c r="F10" s="32" t="s">
        <v>88</v>
      </c>
      <c r="G10" s="32" t="s">
        <v>27967</v>
      </c>
      <c r="H10" s="30"/>
      <c r="I10" s="43" t="str">
        <v>Verre</v>
      </c>
      <c r="J10" s="30"/>
      <c r="K10" s="30"/>
      <c r="L10" s="30"/>
      <c r="M10" s="30"/>
      <c r="N10" s="30"/>
      <c r="O10" s="30"/>
      <c r="P10" s="30"/>
      <c r="Q10" s="30"/>
      <c r="R10" s="30"/>
      <c r="S10" s="30"/>
      <c r="T10" s="30"/>
      <c r="U10" s="30"/>
      <c r="V10" s="30"/>
      <c r="W10" s="30"/>
      <c r="X10" s="30"/>
      <c r="Y10" s="30"/>
    </row>
    <row r="11" spans="1:49" x14ac:dyDescent="0.25">
      <c r="A11" s="30"/>
      <c r="B11" s="41" t="s">
        <v>918</v>
      </c>
      <c r="C11" s="41" t="str" cm="1">
        <f t="array" ref="C11">_xlfn.XLOOKUP(
  1,
  (Lists3.1_Longlist[IUD]=Lists3.1_Shortlist[[#This Row],[IUD]]) *
  (Lists3.1_Longlist[Language]=Language),
  Lists3.1_Longlist[Mat. Cat 1]
)</f>
        <v>Construction</v>
      </c>
      <c r="D11" s="41" t="str" cm="1">
        <f t="array" ref="D11">IF(_xlfn.XLOOKUP(
  1,
  (Lists3.1_Longlist[IUD]=Lists3.1_Shortlist[[#This Row],[IUD]]) *
  (Lists3.1_Longlist[Language]=Language),
  Lists3.1_Longlist[Mat. Cat. 2]
)=0,"",_xlfn.XLOOKUP(
  1,
  (Lists3.1_Longlist[IUD]=Lists3.1_Shortlist[[#This Row],[IUD]]) *
  (Lists3.1_Longlist[Language]=Language),
  Lists3.1_Longlist[Mat. Cat. 2]
))</f>
        <v>Enduit</v>
      </c>
      <c r="E11" s="41" t="str" cm="1">
        <f t="array" ref="E11">IF(_xlfn.XLOOKUP(
  1,
  (Lists3.1_Longlist[IUD]=Lists3.1_Shortlist[[#This Row],[IUD]]) *
  (Lists3.1_Longlist[Language]=Language),
  Lists3.1_Longlist[Mat. Cat. 3]
)=0,"",_xlfn.XLOOKUP(
  1,
  (Lists3.1_Longlist[IUD]=Lists3.1_Shortlist[[#This Row],[IUD]]) *
  (Lists3.1_Longlist[Language]=Language),
  Lists3.1_Longlist[Mat. Cat. 3]
))</f>
        <v/>
      </c>
      <c r="F11" s="32" t="s">
        <v>563</v>
      </c>
      <c r="G11" s="32" t="s">
        <v>27968</v>
      </c>
      <c r="H11" s="44"/>
      <c r="I11" s="43" t="str">
        <v>Bois</v>
      </c>
      <c r="J11" s="30"/>
      <c r="K11" s="30"/>
      <c r="L11" s="30"/>
      <c r="M11" s="30"/>
      <c r="N11" s="30"/>
      <c r="O11" s="30"/>
      <c r="P11" s="30"/>
      <c r="Q11" s="30"/>
      <c r="R11" s="30"/>
      <c r="S11" s="30"/>
      <c r="T11" s="30"/>
      <c r="U11" s="30"/>
      <c r="V11" s="30"/>
      <c r="W11" s="30"/>
      <c r="X11" s="30"/>
      <c r="Y11" s="30"/>
    </row>
    <row r="12" spans="1:49" x14ac:dyDescent="0.25">
      <c r="A12" s="30"/>
      <c r="B12" s="41" t="s">
        <v>919</v>
      </c>
      <c r="C12" s="41" t="str" cm="1">
        <f t="array" ref="C12">_xlfn.XLOOKUP(
  1,
  (Lists3.1_Longlist[IUD]=Lists3.1_Shortlist[[#This Row],[IUD]]) *
  (Lists3.1_Longlist[Language]=Language),
  Lists3.1_Longlist[Mat. Cat 1]
)</f>
        <v>Construction</v>
      </c>
      <c r="D12" s="41" t="str" cm="1">
        <f t="array" ref="D12">IF(_xlfn.XLOOKUP(
  1,
  (Lists3.1_Longlist[IUD]=Lists3.1_Shortlist[[#This Row],[IUD]]) *
  (Lists3.1_Longlist[Language]=Language),
  Lists3.1_Longlist[Mat. Cat. 2]
)=0,"",_xlfn.XLOOKUP(
  1,
  (Lists3.1_Longlist[IUD]=Lists3.1_Shortlist[[#This Row],[IUD]]) *
  (Lists3.1_Longlist[Language]=Language),
  Lists3.1_Longlist[Mat. Cat. 2]
))</f>
        <v>Béton</v>
      </c>
      <c r="E12" s="41" t="str" cm="1">
        <f t="array" ref="E12">IF(_xlfn.XLOOKUP(
  1,
  (Lists3.1_Longlist[IUD]=Lists3.1_Shortlist[[#This Row],[IUD]]) *
  (Lists3.1_Longlist[Language]=Language),
  Lists3.1_Longlist[Mat. Cat. 3]
)=0,"",_xlfn.XLOOKUP(
  1,
  (Lists3.1_Longlist[IUD]=Lists3.1_Shortlist[[#This Row],[IUD]]) *
  (Lists3.1_Longlist[Language]=Language),
  Lists3.1_Longlist[Mat. Cat. 3]
))</f>
        <v/>
      </c>
      <c r="F12" s="32" t="s">
        <v>83</v>
      </c>
      <c r="G12" s="32" t="s">
        <v>27969</v>
      </c>
      <c r="H12" s="44"/>
      <c r="I12" s="43" t="str">
        <v>Céramique</v>
      </c>
      <c r="J12" s="30"/>
      <c r="K12" s="30"/>
      <c r="L12" s="30"/>
      <c r="M12" s="30"/>
      <c r="N12" s="30"/>
      <c r="O12" s="30"/>
      <c r="P12" s="30"/>
      <c r="Q12" s="30"/>
      <c r="R12" s="30"/>
      <c r="S12" s="30"/>
      <c r="T12" s="30"/>
      <c r="U12" s="30"/>
      <c r="V12" s="30"/>
      <c r="W12" s="30"/>
      <c r="X12" s="30"/>
      <c r="Y12" s="30"/>
    </row>
    <row r="13" spans="1:49" x14ac:dyDescent="0.25">
      <c r="A13" s="30"/>
      <c r="B13" s="41" t="s">
        <v>919</v>
      </c>
      <c r="C13" s="41" t="str" cm="1">
        <f t="array" ref="C13">_xlfn.XLOOKUP(
  1,
  (Lists3.1_Longlist[IUD]=Lists3.1_Shortlist[[#This Row],[IUD]]) *
  (Lists3.1_Longlist[Language]=Language),
  Lists3.1_Longlist[Mat. Cat 1]
)</f>
        <v>Construction</v>
      </c>
      <c r="D13" s="41" t="str" cm="1">
        <f t="array" ref="D13">IF(_xlfn.XLOOKUP(
  1,
  (Lists3.1_Longlist[IUD]=Lists3.1_Shortlist[[#This Row],[IUD]]) *
  (Lists3.1_Longlist[Language]=Language),
  Lists3.1_Longlist[Mat. Cat. 2]
)=0,"",_xlfn.XLOOKUP(
  1,
  (Lists3.1_Longlist[IUD]=Lists3.1_Shortlist[[#This Row],[IUD]]) *
  (Lists3.1_Longlist[Language]=Language),
  Lists3.1_Longlist[Mat. Cat. 2]
))</f>
        <v>Béton</v>
      </c>
      <c r="E13" s="41" t="str" cm="1">
        <f t="array" ref="E13">IF(_xlfn.XLOOKUP(
  1,
  (Lists3.1_Longlist[IUD]=Lists3.1_Shortlist[[#This Row],[IUD]]) *
  (Lists3.1_Longlist[Language]=Language),
  Lists3.1_Longlist[Mat. Cat. 3]
)=0,"",_xlfn.XLOOKUP(
  1,
  (Lists3.1_Longlist[IUD]=Lists3.1_Shortlist[[#This Row],[IUD]]) *
  (Lists3.1_Longlist[Language]=Language),
  Lists3.1_Longlist[Mat. Cat. 3]
))</f>
        <v>Béton normal</v>
      </c>
      <c r="F13" s="32" t="s">
        <v>83</v>
      </c>
      <c r="G13" s="32" t="s">
        <v>27970</v>
      </c>
      <c r="H13" s="44"/>
      <c r="I13" s="43" t="str">
        <v>Plastique</v>
      </c>
      <c r="J13" s="30"/>
      <c r="K13" s="30"/>
      <c r="L13" s="30"/>
      <c r="M13" s="30"/>
      <c r="N13" s="30"/>
      <c r="O13" s="30"/>
      <c r="P13" s="30"/>
      <c r="Q13" s="30"/>
      <c r="R13" s="30"/>
      <c r="S13" s="30"/>
      <c r="T13" s="30"/>
      <c r="U13" s="30"/>
      <c r="V13" s="30"/>
      <c r="W13" s="30"/>
      <c r="X13" s="30"/>
      <c r="Y13" s="30"/>
    </row>
    <row r="14" spans="1:49" x14ac:dyDescent="0.25">
      <c r="A14" s="30"/>
      <c r="B14" s="41" t="s">
        <v>920</v>
      </c>
      <c r="C14" s="41" t="str" cm="1">
        <f t="array" ref="C14">_xlfn.XLOOKUP(
  1,
  (Lists3.1_Longlist[IUD]=Lists3.1_Shortlist[[#This Row],[IUD]]) *
  (Lists3.1_Longlist[Language]=Language),
  Lists3.1_Longlist[Mat. Cat 1]
)</f>
        <v>Construction</v>
      </c>
      <c r="D14" s="41" t="str" cm="1">
        <f t="array" ref="D14">IF(_xlfn.XLOOKUP(
  1,
  (Lists3.1_Longlist[IUD]=Lists3.1_Shortlist[[#This Row],[IUD]]) *
  (Lists3.1_Longlist[Language]=Language),
  Lists3.1_Longlist[Mat. Cat. 2]
)=0,"",_xlfn.XLOOKUP(
  1,
  (Lists3.1_Longlist[IUD]=Lists3.1_Shortlist[[#This Row],[IUD]]) *
  (Lists3.1_Longlist[Language]=Language),
  Lists3.1_Longlist[Mat. Cat. 2]
))</f>
        <v>Béton</v>
      </c>
      <c r="E14" s="41" t="str" cm="1">
        <f t="array" ref="E14">IF(_xlfn.XLOOKUP(
  1,
  (Lists3.1_Longlist[IUD]=Lists3.1_Shortlist[[#This Row],[IUD]]) *
  (Lists3.1_Longlist[Language]=Language),
  Lists3.1_Longlist[Mat. Cat. 3]
)=0,"",_xlfn.XLOOKUP(
  1,
  (Lists3.1_Longlist[IUD]=Lists3.1_Shortlist[[#This Row],[IUD]]) *
  (Lists3.1_Longlist[Language]=Language),
  Lists3.1_Longlist[Mat. Cat. 3]
))</f>
        <v>Béton pauvre</v>
      </c>
      <c r="F14" s="32" t="s">
        <v>83</v>
      </c>
      <c r="G14" s="32" t="s">
        <v>27971</v>
      </c>
      <c r="H14" s="44"/>
      <c r="I14" s="43" t="str">
        <v>Production agricole</v>
      </c>
      <c r="J14" s="30"/>
      <c r="K14" s="30"/>
      <c r="L14" s="30"/>
      <c r="M14" s="30"/>
      <c r="N14" s="30"/>
      <c r="O14" s="30"/>
      <c r="P14" s="30"/>
      <c r="Q14" s="30"/>
      <c r="R14" s="30"/>
      <c r="S14" s="30"/>
      <c r="T14" s="30"/>
      <c r="U14" s="30"/>
      <c r="V14" s="30"/>
      <c r="W14" s="30"/>
      <c r="X14" s="30"/>
      <c r="Y14" s="30"/>
    </row>
    <row r="15" spans="1:49" x14ac:dyDescent="0.25">
      <c r="A15" s="30"/>
      <c r="B15" s="41" t="s">
        <v>921</v>
      </c>
      <c r="C15" s="41" t="str" cm="1">
        <f t="array" ref="C15">_xlfn.XLOOKUP(
  1,
  (Lists3.1_Longlist[IUD]=Lists3.1_Shortlist[[#This Row],[IUD]]) *
  (Lists3.1_Longlist[Language]=Language),
  Lists3.1_Longlist[Mat. Cat 1]
)</f>
        <v>Construction</v>
      </c>
      <c r="D15" s="41" t="str" cm="1">
        <f t="array" ref="D15">IF(_xlfn.XLOOKUP(
  1,
  (Lists3.1_Longlist[IUD]=Lists3.1_Shortlist[[#This Row],[IUD]]) *
  (Lists3.1_Longlist[Language]=Language),
  Lists3.1_Longlist[Mat. Cat. 2]
)=0,"",_xlfn.XLOOKUP(
  1,
  (Lists3.1_Longlist[IUD]=Lists3.1_Shortlist[[#This Row],[IUD]]) *
  (Lists3.1_Longlist[Language]=Language),
  Lists3.1_Longlist[Mat. Cat. 2]
))</f>
        <v>Béton</v>
      </c>
      <c r="E15" s="41" t="str" cm="1">
        <f t="array" ref="E15">IF(_xlfn.XLOOKUP(
  1,
  (Lists3.1_Longlist[IUD]=Lists3.1_Shortlist[[#This Row],[IUD]]) *
  (Lists3.1_Longlist[Language]=Language),
  Lists3.1_Longlist[Mat. Cat. 3]
)=0,"",_xlfn.XLOOKUP(
  1,
  (Lists3.1_Longlist[IUD]=Lists3.1_Shortlist[[#This Row],[IUD]]) *
  (Lists3.1_Longlist[Language]=Language),
  Lists3.1_Longlist[Mat. Cat. 3]
))</f>
        <v>Béton léger / argile expansée</v>
      </c>
      <c r="F15" s="32" t="s">
        <v>88</v>
      </c>
      <c r="G15" s="32" t="s">
        <v>27972</v>
      </c>
      <c r="H15" s="30"/>
      <c r="I15" s="43" t="str">
        <v>Nourriture</v>
      </c>
      <c r="J15" s="30"/>
      <c r="K15" s="30"/>
      <c r="L15" s="30"/>
      <c r="M15" s="30"/>
      <c r="N15" s="30"/>
      <c r="O15" s="30"/>
      <c r="P15" s="30"/>
      <c r="Q15" s="30"/>
      <c r="R15" s="30"/>
      <c r="S15" s="30"/>
      <c r="T15" s="30"/>
      <c r="U15" s="30"/>
      <c r="V15" s="30"/>
      <c r="W15" s="30"/>
      <c r="X15" s="30"/>
      <c r="Y15" s="30"/>
    </row>
    <row r="16" spans="1:49" x14ac:dyDescent="0.25">
      <c r="A16" s="30"/>
      <c r="B16" s="41" t="s">
        <v>922</v>
      </c>
      <c r="C16" s="41" t="str" cm="1">
        <f t="array" ref="C16">_xlfn.XLOOKUP(
  1,
  (Lists3.1_Longlist[IUD]=Lists3.1_Shortlist[[#This Row],[IUD]]) *
  (Lists3.1_Longlist[Language]=Language),
  Lists3.1_Longlist[Mat. Cat 1]
)</f>
        <v>Construction</v>
      </c>
      <c r="D16" s="41" t="str" cm="1">
        <f t="array" ref="D16">IF(_xlfn.XLOOKUP(
  1,
  (Lists3.1_Longlist[IUD]=Lists3.1_Shortlist[[#This Row],[IUD]]) *
  (Lists3.1_Longlist[Language]=Language),
  Lists3.1_Longlist[Mat. Cat. 2]
)=0,"",_xlfn.XLOOKUP(
  1,
  (Lists3.1_Longlist[IUD]=Lists3.1_Shortlist[[#This Row],[IUD]]) *
  (Lists3.1_Longlist[Language]=Language),
  Lists3.1_Longlist[Mat. Cat. 2]
))</f>
        <v>Béton</v>
      </c>
      <c r="E16" s="41" t="str" cm="1">
        <f t="array" ref="E16">IF(_xlfn.XLOOKUP(
  1,
  (Lists3.1_Longlist[IUD]=Lists3.1_Shortlist[[#This Row],[IUD]]) *
  (Lists3.1_Longlist[Language]=Language),
  Lists3.1_Longlist[Mat. Cat. 3]
)=0,"",_xlfn.XLOOKUP(
  1,
  (Lists3.1_Longlist[IUD]=Lists3.1_Shortlist[[#This Row],[IUD]]) *
  (Lists3.1_Longlist[Language]=Language),
  Lists3.1_Longlist[Mat. Cat. 3]
))</f>
        <v>Béton léger avec polystyrène intégré</v>
      </c>
      <c r="F16" s="32" t="s">
        <v>88</v>
      </c>
      <c r="G16" s="32" t="s">
        <v>27973</v>
      </c>
      <c r="H16" s="30"/>
      <c r="I16" s="42" t="str">
        <v>Métaux</v>
      </c>
      <c r="J16" s="30"/>
      <c r="K16" s="30"/>
      <c r="L16" s="30"/>
      <c r="M16" s="30"/>
      <c r="N16" s="30"/>
      <c r="O16" s="30"/>
      <c r="P16" s="30"/>
      <c r="Q16" s="30"/>
      <c r="R16" s="30"/>
      <c r="S16" s="30"/>
      <c r="T16" s="30"/>
      <c r="U16" s="30"/>
      <c r="V16" s="30"/>
      <c r="W16" s="30"/>
      <c r="X16" s="30"/>
      <c r="Y16" s="30"/>
    </row>
    <row r="17" spans="1:25" x14ac:dyDescent="0.25">
      <c r="A17" s="30"/>
      <c r="B17" s="45" t="s">
        <v>923</v>
      </c>
      <c r="C17" s="41" t="str" cm="1">
        <f t="array" ref="C17">_xlfn.XLOOKUP(
  1,
  (Lists3.1_Longlist[IUD]=Lists3.1_Shortlist[[#This Row],[IUD]]) *
  (Lists3.1_Longlist[Language]=Language),
  Lists3.1_Longlist[Mat. Cat 1]
)</f>
        <v>Construction</v>
      </c>
      <c r="D17" s="41" t="str" cm="1">
        <f t="array" ref="D17">IF(_xlfn.XLOOKUP(
  1,
  (Lists3.1_Longlist[IUD]=Lists3.1_Shortlist[[#This Row],[IUD]]) *
  (Lists3.1_Longlist[Language]=Language),
  Lists3.1_Longlist[Mat. Cat. 2]
)=0,"",_xlfn.XLOOKUP(
  1,
  (Lists3.1_Longlist[IUD]=Lists3.1_Shortlist[[#This Row],[IUD]]) *
  (Lists3.1_Longlist[Language]=Language),
  Lists3.1_Longlist[Mat. Cat. 2]
))</f>
        <v>Plâtre</v>
      </c>
      <c r="E17" s="41" t="str" cm="1">
        <f t="array" ref="E17">IF(_xlfn.XLOOKUP(
  1,
  (Lists3.1_Longlist[IUD]=Lists3.1_Shortlist[[#This Row],[IUD]]) *
  (Lists3.1_Longlist[Language]=Language),
  Lists3.1_Longlist[Mat. Cat. 3]
)=0,"",_xlfn.XLOOKUP(
  1,
  (Lists3.1_Longlist[IUD]=Lists3.1_Shortlist[[#This Row],[IUD]]) *
  (Lists3.1_Longlist[Language]=Language),
  Lists3.1_Longlist[Mat. Cat. 3]
))</f>
        <v>Remplissage acrylique</v>
      </c>
      <c r="F17" s="45" t="s">
        <v>88</v>
      </c>
      <c r="G17" s="45" t="s">
        <v>27974</v>
      </c>
      <c r="H17" s="30"/>
      <c r="I17" s="43" t="str">
        <v>Minéraux</v>
      </c>
      <c r="J17" s="30"/>
      <c r="K17" s="30"/>
      <c r="L17" s="30"/>
      <c r="M17" s="30"/>
      <c r="N17" s="30"/>
      <c r="O17" s="30"/>
      <c r="P17" s="30"/>
      <c r="Q17" s="30"/>
      <c r="R17" s="30"/>
      <c r="S17" s="30"/>
      <c r="T17" s="30"/>
      <c r="U17" s="30"/>
      <c r="V17" s="30"/>
      <c r="W17" s="30"/>
      <c r="X17" s="30"/>
      <c r="Y17" s="30"/>
    </row>
    <row r="18" spans="1:25" x14ac:dyDescent="0.25">
      <c r="A18" s="30"/>
      <c r="B18" s="32" t="s">
        <v>924</v>
      </c>
      <c r="C18" s="41" t="str" cm="1">
        <f t="array" ref="C18">_xlfn.XLOOKUP(
  1,
  (Lists3.1_Longlist[IUD]=Lists3.1_Shortlist[[#This Row],[IUD]]) *
  (Lists3.1_Longlist[Language]=Language),
  Lists3.1_Longlist[Mat. Cat 1]
)</f>
        <v>Construction</v>
      </c>
      <c r="D18" s="41" t="str" cm="1">
        <f t="array" ref="D18">IF(_xlfn.XLOOKUP(
  1,
  (Lists3.1_Longlist[IUD]=Lists3.1_Shortlist[[#This Row],[IUD]]) *
  (Lists3.1_Longlist[Language]=Language),
  Lists3.1_Longlist[Mat. Cat. 2]
)=0,"",_xlfn.XLOOKUP(
  1,
  (Lists3.1_Longlist[IUD]=Lists3.1_Shortlist[[#This Row],[IUD]]) *
  (Lists3.1_Longlist[Language]=Language),
  Lists3.1_Longlist[Mat. Cat. 2]
))</f>
        <v>Plâtre</v>
      </c>
      <c r="E18" s="41" t="str" cm="1">
        <f t="array" ref="E18">IF(_xlfn.XLOOKUP(
  1,
  (Lists3.1_Longlist[IUD]=Lists3.1_Shortlist[[#This Row],[IUD]]) *
  (Lists3.1_Longlist[Language]=Language),
  Lists3.1_Longlist[Mat. Cat. 3]
)=0,"",_xlfn.XLOOKUP(
  1,
  (Lists3.1_Longlist[IUD]=Lists3.1_Shortlist[[#This Row],[IUD]]) *
  (Lists3.1_Longlist[Language]=Language),
  Lists3.1_Longlist[Mat. Cat. 3]
))</f>
        <v>Enduit d’argile</v>
      </c>
      <c r="F18" s="32" t="s">
        <v>88</v>
      </c>
      <c r="G18" s="32" t="s">
        <v>27975</v>
      </c>
      <c r="H18" s="30"/>
      <c r="I18" s="43" t="str">
        <v>Papier et carton</v>
      </c>
      <c r="J18" s="30"/>
      <c r="K18" s="30"/>
      <c r="L18" s="30"/>
      <c r="M18" s="30"/>
      <c r="N18" s="30"/>
      <c r="O18" s="30"/>
      <c r="P18" s="30"/>
      <c r="Q18" s="30"/>
      <c r="R18" s="30"/>
      <c r="S18" s="30"/>
      <c r="T18" s="30"/>
      <c r="U18" s="30"/>
      <c r="V18" s="30"/>
      <c r="W18" s="30"/>
      <c r="X18" s="30"/>
      <c r="Y18" s="30"/>
    </row>
    <row r="19" spans="1:25" x14ac:dyDescent="0.25">
      <c r="A19" s="30"/>
      <c r="B19" s="41" t="s">
        <v>925</v>
      </c>
      <c r="C19" s="41" t="str" cm="1">
        <f t="array" ref="C19">_xlfn.XLOOKUP(
  1,
  (Lists3.1_Longlist[IUD]=Lists3.1_Shortlist[[#This Row],[IUD]]) *
  (Lists3.1_Longlist[Language]=Language),
  Lists3.1_Longlist[Mat. Cat 1]
)</f>
        <v>Construction</v>
      </c>
      <c r="D19" s="41" t="str" cm="1">
        <f t="array" ref="D19">IF(_xlfn.XLOOKUP(
  1,
  (Lists3.1_Longlist[IUD]=Lists3.1_Shortlist[[#This Row],[IUD]]) *
  (Lists3.1_Longlist[Language]=Language),
  Lists3.1_Longlist[Mat. Cat. 2]
)=0,"",_xlfn.XLOOKUP(
  1,
  (Lists3.1_Longlist[IUD]=Lists3.1_Shortlist[[#This Row],[IUD]]) *
  (Lists3.1_Longlist[Language]=Language),
  Lists3.1_Longlist[Mat. Cat. 2]
))</f>
        <v>Peinture</v>
      </c>
      <c r="E19" s="41" t="str" cm="1">
        <f t="array" ref="E19">IF(_xlfn.XLOOKUP(
  1,
  (Lists3.1_Longlist[IUD]=Lists3.1_Shortlist[[#This Row],[IUD]]) *
  (Lists3.1_Longlist[Language]=Language),
  Lists3.1_Longlist[Mat. Cat. 3]
)=0,"",_xlfn.XLOOKUP(
  1,
  (Lists3.1_Longlist[IUD]=Lists3.1_Shortlist[[#This Row],[IUD]]) *
  (Lists3.1_Longlist[Language]=Language),
  Lists3.1_Longlist[Mat. Cat. 3]
))</f>
        <v/>
      </c>
      <c r="F19" s="32" t="s">
        <v>88</v>
      </c>
      <c r="G19" s="32" t="s">
        <v>27976</v>
      </c>
      <c r="H19" s="30"/>
      <c r="I19" s="43" t="str">
        <v>Textiles</v>
      </c>
      <c r="J19" s="30"/>
      <c r="K19" s="30"/>
      <c r="L19" s="30"/>
      <c r="M19" s="30"/>
      <c r="N19" s="30"/>
      <c r="O19" s="30"/>
      <c r="P19" s="30"/>
      <c r="Q19" s="30"/>
      <c r="R19" s="30"/>
      <c r="S19" s="30"/>
      <c r="T19" s="30"/>
      <c r="U19" s="30"/>
      <c r="V19" s="30"/>
      <c r="W19" s="30"/>
      <c r="X19" s="30"/>
      <c r="Y19" s="30"/>
    </row>
    <row r="20" spans="1:25" x14ac:dyDescent="0.25">
      <c r="A20" s="30"/>
      <c r="B20" s="41" t="s">
        <v>926</v>
      </c>
      <c r="C20" s="41" t="str" cm="1">
        <f t="array" ref="C20">_xlfn.XLOOKUP(
  1,
  (Lists3.1_Longlist[IUD]=Lists3.1_Shortlist[[#This Row],[IUD]]) *
  (Lists3.1_Longlist[Language]=Language),
  Lists3.1_Longlist[Mat. Cat 1]
)</f>
        <v>Construction</v>
      </c>
      <c r="D20" s="41" t="str" cm="1">
        <f t="array" ref="D20">IF(_xlfn.XLOOKUP(
  1,
  (Lists3.1_Longlist[IUD]=Lists3.1_Shortlist[[#This Row],[IUD]]) *
  (Lists3.1_Longlist[Language]=Language),
  Lists3.1_Longlist[Mat. Cat. 2]
)=0,"",_xlfn.XLOOKUP(
  1,
  (Lists3.1_Longlist[IUD]=Lists3.1_Shortlist[[#This Row],[IUD]]) *
  (Lists3.1_Longlist[Language]=Language),
  Lists3.1_Longlist[Mat. Cat. 2]
))</f>
        <v>Isolation</v>
      </c>
      <c r="E20" s="41" t="str" cm="1">
        <f t="array" ref="E20">IF(_xlfn.XLOOKUP(
  1,
  (Lists3.1_Longlist[IUD]=Lists3.1_Shortlist[[#This Row],[IUD]]) *
  (Lists3.1_Longlist[Language]=Language),
  Lists3.1_Longlist[Mat. Cat. 3]
)=0,"",_xlfn.XLOOKUP(
  1,
  (Lists3.1_Longlist[IUD]=Lists3.1_Shortlist[[#This Row],[IUD]]) *
  (Lists3.1_Longlist[Language]=Language),
  Lists3.1_Longlist[Mat. Cat. 3]
))</f>
        <v/>
      </c>
      <c r="F20" s="32" t="s">
        <v>88</v>
      </c>
      <c r="G20" s="32" t="s">
        <v>27977</v>
      </c>
      <c r="H20" s="30"/>
      <c r="I20" s="43" t="str">
        <v>Eau</v>
      </c>
      <c r="J20" s="30"/>
      <c r="K20" s="30"/>
      <c r="L20" s="30"/>
      <c r="M20" s="30"/>
      <c r="N20" s="30"/>
      <c r="O20" s="30"/>
      <c r="P20" s="30"/>
      <c r="Q20" s="30"/>
      <c r="R20" s="30"/>
      <c r="S20" s="30"/>
      <c r="T20" s="30"/>
      <c r="U20" s="30"/>
      <c r="V20" s="30"/>
      <c r="W20" s="30"/>
      <c r="X20" s="30"/>
      <c r="Y20" s="30"/>
    </row>
    <row r="21" spans="1:25" x14ac:dyDescent="0.25">
      <c r="A21" s="30"/>
      <c r="B21" s="41" t="s">
        <v>927</v>
      </c>
      <c r="C21" s="41" t="str" cm="1">
        <f t="array" ref="C21">_xlfn.XLOOKUP(
  1,
  (Lists3.1_Longlist[IUD]=Lists3.1_Shortlist[[#This Row],[IUD]]) *
  (Lists3.1_Longlist[Language]=Language),
  Lists3.1_Longlist[Mat. Cat 1]
)</f>
        <v>Construction</v>
      </c>
      <c r="D21" s="41" t="str" cm="1">
        <f t="array" ref="D21">IF(_xlfn.XLOOKUP(
  1,
  (Lists3.1_Longlist[IUD]=Lists3.1_Shortlist[[#This Row],[IUD]]) *
  (Lists3.1_Longlist[Language]=Language),
  Lists3.1_Longlist[Mat. Cat. 2]
)=0,"",_xlfn.XLOOKUP(
  1,
  (Lists3.1_Longlist[IUD]=Lists3.1_Shortlist[[#This Row],[IUD]]) *
  (Lists3.1_Longlist[Language]=Language),
  Lists3.1_Longlist[Mat. Cat. 2]
))</f>
        <v>Isolation</v>
      </c>
      <c r="E21" s="41" t="str" cm="1">
        <f t="array" ref="E21">IF(_xlfn.XLOOKUP(
  1,
  (Lists3.1_Longlist[IUD]=Lists3.1_Shortlist[[#This Row],[IUD]]) *
  (Lists3.1_Longlist[Language]=Language),
  Lists3.1_Longlist[Mat. Cat. 3]
)=0,"",_xlfn.XLOOKUP(
  1,
  (Lists3.1_Longlist[IUD]=Lists3.1_Shortlist[[#This Row],[IUD]]) *
  (Lists3.1_Longlist[Language]=Language),
  Lists3.1_Longlist[Mat. Cat. 3]
))</f>
        <v>Fibres de cellulose</v>
      </c>
      <c r="F21" s="32" t="s">
        <v>88</v>
      </c>
      <c r="G21" s="32" t="s">
        <v>27978</v>
      </c>
      <c r="H21" s="30"/>
      <c r="I21" s="30" t="str">
        <v>Refrigerants</v>
      </c>
      <c r="J21" s="30"/>
      <c r="K21" s="30"/>
      <c r="L21" s="46"/>
      <c r="M21" s="30"/>
      <c r="N21" s="30"/>
      <c r="O21" s="30"/>
      <c r="P21" s="30"/>
      <c r="Q21" s="30"/>
      <c r="R21" s="30"/>
      <c r="S21" s="30"/>
      <c r="T21" s="30"/>
      <c r="U21" s="30"/>
      <c r="V21" s="30"/>
      <c r="W21" s="30"/>
      <c r="X21" s="30"/>
      <c r="Y21" s="30"/>
    </row>
    <row r="22" spans="1:25" x14ac:dyDescent="0.25">
      <c r="A22" s="30"/>
      <c r="B22" s="41" t="s">
        <v>928</v>
      </c>
      <c r="C22" s="41" t="str" cm="1">
        <f t="array" ref="C22">_xlfn.XLOOKUP(
  1,
  (Lists3.1_Longlist[IUD]=Lists3.1_Shortlist[[#This Row],[IUD]]) *
  (Lists3.1_Longlist[Language]=Language),
  Lists3.1_Longlist[Mat. Cat 1]
)</f>
        <v>Construction</v>
      </c>
      <c r="D22" s="41" t="str" cm="1">
        <f t="array" ref="D22">IF(_xlfn.XLOOKUP(
  1,
  (Lists3.1_Longlist[IUD]=Lists3.1_Shortlist[[#This Row],[IUD]]) *
  (Lists3.1_Longlist[Language]=Language),
  Lists3.1_Longlist[Mat. Cat. 2]
)=0,"",_xlfn.XLOOKUP(
  1,
  (Lists3.1_Longlist[IUD]=Lists3.1_Shortlist[[#This Row],[IUD]]) *
  (Lists3.1_Longlist[Language]=Language),
  Lists3.1_Longlist[Mat. Cat. 2]
))</f>
        <v>Isolation</v>
      </c>
      <c r="E22" s="41" t="str" cm="1">
        <f t="array" ref="E22">IF(_xlfn.XLOOKUP(
  1,
  (Lists3.1_Longlist[IUD]=Lists3.1_Shortlist[[#This Row],[IUD]]) *
  (Lists3.1_Longlist[Language]=Language),
  Lists3.1_Longlist[Mat. Cat. 3]
)=0,"",_xlfn.XLOOKUP(
  1,
  (Lists3.1_Longlist[IUD]=Lists3.1_Shortlist[[#This Row],[IUD]]) *
  (Lists3.1_Longlist[Language]=Language),
  Lists3.1_Longlist[Mat. Cat. 3]
))</f>
        <v>Laine de verre</v>
      </c>
      <c r="F22" s="32" t="s">
        <v>88</v>
      </c>
      <c r="G22" s="32" t="s">
        <v>27979</v>
      </c>
      <c r="H22" s="30"/>
      <c r="I22" s="30"/>
      <c r="J22" s="30"/>
      <c r="K22" s="30"/>
      <c r="L22" s="30"/>
      <c r="M22" s="30"/>
      <c r="N22" s="30"/>
      <c r="O22" s="30"/>
      <c r="P22" s="30"/>
      <c r="Q22" s="30"/>
      <c r="R22" s="30"/>
      <c r="S22" s="30"/>
      <c r="T22" s="30"/>
      <c r="U22" s="30"/>
      <c r="V22" s="30"/>
      <c r="W22" s="30"/>
      <c r="X22" s="30"/>
      <c r="Y22" s="30"/>
    </row>
    <row r="23" spans="1:25" x14ac:dyDescent="0.25">
      <c r="A23" s="30"/>
      <c r="B23" s="41" t="s">
        <v>929</v>
      </c>
      <c r="C23" s="41" t="str" cm="1">
        <f t="array" ref="C23">_xlfn.XLOOKUP(
  1,
  (Lists3.1_Longlist[IUD]=Lists3.1_Shortlist[[#This Row],[IUD]]) *
  (Lists3.1_Longlist[Language]=Language),
  Lists3.1_Longlist[Mat. Cat 1]
)</f>
        <v>Construction</v>
      </c>
      <c r="D23" s="41" t="str" cm="1">
        <f t="array" ref="D23">IF(_xlfn.XLOOKUP(
  1,
  (Lists3.1_Longlist[IUD]=Lists3.1_Shortlist[[#This Row],[IUD]]) *
  (Lists3.1_Longlist[Language]=Language),
  Lists3.1_Longlist[Mat. Cat. 2]
)=0,"",_xlfn.XLOOKUP(
  1,
  (Lists3.1_Longlist[IUD]=Lists3.1_Shortlist[[#This Row],[IUD]]) *
  (Lists3.1_Longlist[Language]=Language),
  Lists3.1_Longlist[Mat. Cat. 2]
))</f>
        <v>Isolation</v>
      </c>
      <c r="E23" s="41" t="str" cm="1">
        <f t="array" ref="E23">IF(_xlfn.XLOOKUP(
  1,
  (Lists3.1_Longlist[IUD]=Lists3.1_Shortlist[[#This Row],[IUD]]) *
  (Lists3.1_Longlist[Language]=Language),
  Lists3.1_Longlist[Mat. Cat. 3]
)=0,"",_xlfn.XLOOKUP(
  1,
  (Lists3.1_Longlist[IUD]=Lists3.1_Shortlist[[#This Row],[IUD]]) *
  (Lists3.1_Longlist[Language]=Language),
  Lists3.1_Longlist[Mat. Cat. 3]
))</f>
        <v>Mousse de polystyrène</v>
      </c>
      <c r="F23" s="32" t="s">
        <v>88</v>
      </c>
      <c r="G23" s="32" t="s">
        <v>27980</v>
      </c>
      <c r="H23" s="44"/>
      <c r="I23" s="30"/>
      <c r="J23" s="30"/>
      <c r="K23" s="30"/>
      <c r="L23" s="30"/>
      <c r="M23" s="30"/>
      <c r="N23" s="30"/>
      <c r="O23" s="30"/>
      <c r="P23" s="30"/>
      <c r="Q23" s="30"/>
      <c r="R23" s="30"/>
      <c r="S23" s="30"/>
      <c r="T23" s="30"/>
      <c r="U23" s="30"/>
      <c r="V23" s="30"/>
      <c r="W23" s="30"/>
      <c r="X23" s="30"/>
      <c r="Y23" s="30"/>
    </row>
    <row r="24" spans="1:25" x14ac:dyDescent="0.25">
      <c r="A24" s="30"/>
      <c r="B24" s="41" t="s">
        <v>930</v>
      </c>
      <c r="C24" s="41" t="str" cm="1">
        <f t="array" ref="C24">_xlfn.XLOOKUP(
  1,
  (Lists3.1_Longlist[IUD]=Lists3.1_Shortlist[[#This Row],[IUD]]) *
  (Lists3.1_Longlist[Language]=Language),
  Lists3.1_Longlist[Mat. Cat 1]
)</f>
        <v>Construction</v>
      </c>
      <c r="D24" s="41" t="str" cm="1">
        <f t="array" ref="D24">IF(_xlfn.XLOOKUP(
  1,
  (Lists3.1_Longlist[IUD]=Lists3.1_Shortlist[[#This Row],[IUD]]) *
  (Lists3.1_Longlist[Language]=Language),
  Lists3.1_Longlist[Mat. Cat. 2]
)=0,"",_xlfn.XLOOKUP(
  1,
  (Lists3.1_Longlist[IUD]=Lists3.1_Shortlist[[#This Row],[IUD]]) *
  (Lists3.1_Longlist[Language]=Language),
  Lists3.1_Longlist[Mat. Cat. 2]
))</f>
        <v>Isolation</v>
      </c>
      <c r="E24" s="41" t="str" cm="1">
        <f t="array" ref="E24">IF(_xlfn.XLOOKUP(
  1,
  (Lists3.1_Longlist[IUD]=Lists3.1_Shortlist[[#This Row],[IUD]]) *
  (Lists3.1_Longlist[Language]=Language),
  Lists3.1_Longlist[Mat. Cat. 3]
)=0,"",_xlfn.XLOOKUP(
  1,
  (Lists3.1_Longlist[IUD]=Lists3.1_Shortlist[[#This Row],[IUD]]) *
  (Lists3.1_Longlist[Language]=Language),
  Lists3.1_Longlist[Mat. Cat. 3]
))</f>
        <v>Laine de roche</v>
      </c>
      <c r="F24" s="32" t="s">
        <v>88</v>
      </c>
      <c r="G24" s="32" t="s">
        <v>27981</v>
      </c>
      <c r="H24" s="30"/>
      <c r="I24" s="30"/>
      <c r="J24" s="30"/>
      <c r="K24" s="30"/>
      <c r="L24" s="30"/>
      <c r="M24" s="30"/>
      <c r="N24" s="30"/>
      <c r="O24" s="30"/>
      <c r="P24" s="30"/>
      <c r="Q24" s="30"/>
      <c r="R24" s="30"/>
      <c r="S24" s="30"/>
      <c r="T24" s="30"/>
      <c r="U24" s="30"/>
      <c r="V24" s="30"/>
      <c r="W24" s="30"/>
      <c r="X24" s="30"/>
      <c r="Y24" s="30"/>
    </row>
    <row r="25" spans="1:25" x14ac:dyDescent="0.25">
      <c r="A25" s="30"/>
      <c r="B25" s="41" t="s">
        <v>926</v>
      </c>
      <c r="C25" s="41" t="str" cm="1">
        <f t="array" ref="C25">_xlfn.XLOOKUP(
  1,
  (Lists3.1_Longlist[IUD]=Lists3.1_Shortlist[[#This Row],[IUD]]) *
  (Lists3.1_Longlist[Language]=Language),
  Lists3.1_Longlist[Mat. Cat 1]
)</f>
        <v>Construction</v>
      </c>
      <c r="D25" s="41" t="str" cm="1">
        <f t="array" ref="D25">IF(_xlfn.XLOOKUP(
  1,
  (Lists3.1_Longlist[IUD]=Lists3.1_Shortlist[[#This Row],[IUD]]) *
  (Lists3.1_Longlist[Language]=Language),
  Lists3.1_Longlist[Mat. Cat. 2]
)=0,"",_xlfn.XLOOKUP(
  1,
  (Lists3.1_Longlist[IUD]=Lists3.1_Shortlist[[#This Row],[IUD]]) *
  (Lists3.1_Longlist[Language]=Language),
  Lists3.1_Longlist[Mat. Cat. 2]
))</f>
        <v>Isolation</v>
      </c>
      <c r="E25" s="41" t="str" cm="1">
        <f t="array" ref="E25">IF(_xlfn.XLOOKUP(
  1,
  (Lists3.1_Longlist[IUD]=Lists3.1_Shortlist[[#This Row],[IUD]]) *
  (Lists3.1_Longlist[Language]=Language),
  Lists3.1_Longlist[Mat. Cat. 3]
)=0,"",_xlfn.XLOOKUP(
  1,
  (Lists3.1_Longlist[IUD]=Lists3.1_Shortlist[[#This Row],[IUD]]) *
  (Lists3.1_Longlist[Language]=Language),
  Lists3.1_Longlist[Mat. Cat. 3]
))</f>
        <v>Laine de verre</v>
      </c>
      <c r="F25" s="32" t="s">
        <v>88</v>
      </c>
      <c r="G25" s="32" t="s">
        <v>27982</v>
      </c>
      <c r="H25" s="30"/>
      <c r="I25" s="30"/>
      <c r="J25" s="30"/>
      <c r="K25" s="30"/>
      <c r="L25" s="30"/>
      <c r="M25" s="30"/>
      <c r="N25" s="30"/>
      <c r="O25" s="30"/>
      <c r="P25" s="30"/>
      <c r="Q25" s="30"/>
      <c r="R25" s="30"/>
      <c r="S25" s="30"/>
      <c r="T25" s="30"/>
      <c r="U25" s="30"/>
      <c r="V25" s="30"/>
      <c r="W25" s="30"/>
      <c r="X25" s="30"/>
      <c r="Y25" s="30"/>
    </row>
    <row r="26" spans="1:25" x14ac:dyDescent="0.25">
      <c r="A26" s="30"/>
      <c r="B26" s="41" t="s">
        <v>931</v>
      </c>
      <c r="C26" s="41" t="str" cm="1">
        <f t="array" ref="C26">_xlfn.XLOOKUP(
  1,
  (Lists3.1_Longlist[IUD]=Lists3.1_Shortlist[[#This Row],[IUD]]) *
  (Lists3.1_Longlist[Language]=Language),
  Lists3.1_Longlist[Mat. Cat 1]
)</f>
        <v>Construction</v>
      </c>
      <c r="D26" s="41" t="str" cm="1">
        <f t="array" ref="D26">IF(_xlfn.XLOOKUP(
  1,
  (Lists3.1_Longlist[IUD]=Lists3.1_Shortlist[[#This Row],[IUD]]) *
  (Lists3.1_Longlist[Language]=Language),
  Lists3.1_Longlist[Mat. Cat. 2]
)=0,"",_xlfn.XLOOKUP(
  1,
  (Lists3.1_Longlist[IUD]=Lists3.1_Shortlist[[#This Row],[IUD]]) *
  (Lists3.1_Longlist[Language]=Language),
  Lists3.1_Longlist[Mat. Cat. 2]
))</f>
        <v>Pierre naturelle</v>
      </c>
      <c r="E26" s="41" t="str" cm="1">
        <f t="array" ref="E26">IF(_xlfn.XLOOKUP(
  1,
  (Lists3.1_Longlist[IUD]=Lists3.1_Shortlist[[#This Row],[IUD]]) *
  (Lists3.1_Longlist[Language]=Language),
  Lists3.1_Longlist[Mat. Cat. 3]
)=0,"",_xlfn.XLOOKUP(
  1,
  (Lists3.1_Longlist[IUD]=Lists3.1_Shortlist[[#This Row],[IUD]]) *
  (Lists3.1_Longlist[Language]=Language),
  Lists3.1_Longlist[Mat. Cat. 3]
))</f>
        <v/>
      </c>
      <c r="F26" s="32" t="s">
        <v>88</v>
      </c>
      <c r="G26" s="32" t="s">
        <v>27983</v>
      </c>
      <c r="H26" s="44"/>
      <c r="I26" s="30"/>
      <c r="J26" s="30"/>
      <c r="K26" s="30"/>
      <c r="L26" s="30"/>
      <c r="M26" s="30"/>
      <c r="N26" s="30"/>
      <c r="O26" s="30"/>
      <c r="P26" s="30"/>
      <c r="Q26" s="30"/>
      <c r="R26" s="30"/>
      <c r="S26" s="30"/>
      <c r="T26" s="30"/>
      <c r="U26" s="30"/>
      <c r="V26" s="30"/>
      <c r="W26" s="30"/>
      <c r="X26" s="30"/>
      <c r="Y26" s="30"/>
    </row>
    <row r="27" spans="1:25" x14ac:dyDescent="0.25">
      <c r="A27" s="30"/>
      <c r="B27" s="41" t="s">
        <v>932</v>
      </c>
      <c r="C27" s="41" t="str" cm="1">
        <f t="array" ref="C27">_xlfn.XLOOKUP(
  1,
  (Lists3.1_Longlist[IUD]=Lists3.1_Shortlist[[#This Row],[IUD]]) *
  (Lists3.1_Longlist[Language]=Language),
  Lists3.1_Longlist[Mat. Cat 1]
)</f>
        <v>Produits chimiques</v>
      </c>
      <c r="D27" s="41" t="str" cm="1">
        <f t="array" ref="D27">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27" s="41" t="str" cm="1">
        <f t="array" ref="E27">IF(_xlfn.XLOOKUP(
  1,
  (Lists3.1_Longlist[IUD]=Lists3.1_Shortlist[[#This Row],[IUD]]) *
  (Lists3.1_Longlist[Language]=Language),
  Lists3.1_Longlist[Mat. Cat. 3]
)=0,"",_xlfn.XLOOKUP(
  1,
  (Lists3.1_Longlist[IUD]=Lists3.1_Shortlist[[#This Row],[IUD]]) *
  (Lists3.1_Longlist[Language]=Language),
  Lists3.1_Longlist[Mat. Cat. 3]
))</f>
        <v/>
      </c>
      <c r="F27" s="32" t="s">
        <v>88</v>
      </c>
      <c r="G27" s="32" t="s">
        <v>27984</v>
      </c>
      <c r="H27" s="44"/>
      <c r="I27" s="30"/>
      <c r="J27" s="30"/>
      <c r="K27" s="30"/>
      <c r="L27" s="30"/>
      <c r="M27" s="30"/>
      <c r="N27" s="30"/>
      <c r="O27" s="30"/>
      <c r="P27" s="30"/>
      <c r="Q27" s="30"/>
      <c r="R27" s="30"/>
      <c r="S27" s="30"/>
      <c r="T27" s="30"/>
      <c r="U27" s="30"/>
      <c r="V27" s="30"/>
      <c r="W27" s="30"/>
      <c r="X27" s="30"/>
      <c r="Y27" s="30"/>
    </row>
    <row r="28" spans="1:25" x14ac:dyDescent="0.25">
      <c r="A28" s="30"/>
      <c r="B28" s="41" t="s">
        <v>933</v>
      </c>
      <c r="C28" s="41" t="str" cm="1">
        <f t="array" ref="C28">_xlfn.XLOOKUP(
  1,
  (Lists3.1_Longlist[IUD]=Lists3.1_Shortlist[[#This Row],[IUD]]) *
  (Lists3.1_Longlist[Language]=Language),
  Lists3.1_Longlist[Mat. Cat 1]
)</f>
        <v>Produits chimiques</v>
      </c>
      <c r="D28" s="41" t="str" cm="1">
        <f t="array" ref="D28">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28" s="41" t="str" cm="1">
        <f t="array" ref="E28">IF(_xlfn.XLOOKUP(
  1,
  (Lists3.1_Longlist[IUD]=Lists3.1_Shortlist[[#This Row],[IUD]]) *
  (Lists3.1_Longlist[Language]=Language),
  Lists3.1_Longlist[Mat. Cat. 3]
)=0,"",_xlfn.XLOOKUP(
  1,
  (Lists3.1_Longlist[IUD]=Lists3.1_Shortlist[[#This Row],[IUD]]) *
  (Lists3.1_Longlist[Language]=Language),
  Lists3.1_Longlist[Mat. Cat. 3]
))</f>
        <v>Phosphates de roche (P205)</v>
      </c>
      <c r="F28" s="32" t="s">
        <v>88</v>
      </c>
      <c r="G28" s="32" t="s">
        <v>27985</v>
      </c>
      <c r="H28" s="44"/>
      <c r="I28" s="30"/>
      <c r="J28" s="30"/>
      <c r="K28" s="30"/>
      <c r="L28" s="30"/>
      <c r="M28" s="30"/>
      <c r="N28" s="30"/>
      <c r="O28" s="30"/>
      <c r="P28" s="30"/>
      <c r="Q28" s="30"/>
      <c r="R28" s="30"/>
      <c r="S28" s="30"/>
      <c r="T28" s="30"/>
      <c r="U28" s="30"/>
      <c r="V28" s="30"/>
      <c r="W28" s="30"/>
      <c r="X28" s="30"/>
      <c r="Y28" s="30"/>
    </row>
    <row r="29" spans="1:25" x14ac:dyDescent="0.25">
      <c r="A29" s="30"/>
      <c r="B29" s="41" t="s">
        <v>934</v>
      </c>
      <c r="C29" s="41" t="str" cm="1">
        <f t="array" ref="C29">_xlfn.XLOOKUP(
  1,
  (Lists3.1_Longlist[IUD]=Lists3.1_Shortlist[[#This Row],[IUD]]) *
  (Lists3.1_Longlist[Language]=Language),
  Lists3.1_Longlist[Mat. Cat 1]
)</f>
        <v>Produits chimiques</v>
      </c>
      <c r="D29" s="41" t="str" cm="1">
        <f t="array" ref="D29">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29" s="41" t="str" cm="1">
        <f t="array" ref="E29">IF(_xlfn.XLOOKUP(
  1,
  (Lists3.1_Longlist[IUD]=Lists3.1_Shortlist[[#This Row],[IUD]]) *
  (Lists3.1_Longlist[Language]=Language),
  Lists3.1_Longlist[Mat. Cat. 3]
)=0,"",_xlfn.XLOOKUP(
  1,
  (Lists3.1_Longlist[IUD]=Lists3.1_Shortlist[[#This Row],[IUD]]) *
  (Lists3.1_Longlist[Language]=Language),
  Lists3.1_Longlist[Mat. Cat. 3]
))</f>
        <v>Soude caustique</v>
      </c>
      <c r="F29" s="32" t="s">
        <v>88</v>
      </c>
      <c r="G29" s="32" t="s">
        <v>27986</v>
      </c>
      <c r="H29" s="44"/>
      <c r="I29" s="30"/>
      <c r="J29" s="30"/>
      <c r="K29" s="30"/>
      <c r="L29" s="30"/>
      <c r="M29" s="30"/>
      <c r="N29" s="30"/>
      <c r="O29" s="30"/>
      <c r="P29" s="30"/>
      <c r="Q29" s="30"/>
      <c r="R29" s="30"/>
      <c r="S29" s="30"/>
      <c r="T29" s="30"/>
      <c r="U29" s="30"/>
      <c r="V29" s="30"/>
      <c r="W29" s="30"/>
      <c r="X29" s="30"/>
      <c r="Y29" s="30"/>
    </row>
    <row r="30" spans="1:25" x14ac:dyDescent="0.25">
      <c r="A30" s="30"/>
      <c r="B30" s="41" t="s">
        <v>935</v>
      </c>
      <c r="C30" s="41" t="str" cm="1">
        <f t="array" ref="C30">_xlfn.XLOOKUP(
  1,
  (Lists3.1_Longlist[IUD]=Lists3.1_Shortlist[[#This Row],[IUD]]) *
  (Lists3.1_Longlist[Language]=Language),
  Lists3.1_Longlist[Mat. Cat 1]
)</f>
        <v>Produits chimiques</v>
      </c>
      <c r="D30" s="41" t="str" cm="1">
        <f t="array" ref="D30">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0" s="41" t="str" cm="1">
        <f t="array" ref="E30">IF(_xlfn.XLOOKUP(
  1,
  (Lists3.1_Longlist[IUD]=Lists3.1_Shortlist[[#This Row],[IUD]]) *
  (Lists3.1_Longlist[Language]=Language),
  Lists3.1_Longlist[Mat. Cat. 3]
)=0,"",_xlfn.XLOOKUP(
  1,
  (Lists3.1_Longlist[IUD]=Lists3.1_Shortlist[[#This Row],[IUD]]) *
  (Lists3.1_Longlist[Language]=Language),
  Lists3.1_Longlist[Mat. Cat. 3]
))</f>
        <v>Hydroxyde d’aluminium</v>
      </c>
      <c r="F30" s="32" t="s">
        <v>88</v>
      </c>
      <c r="G30" s="32" t="s">
        <v>27987</v>
      </c>
      <c r="H30" s="30"/>
      <c r="I30" s="30"/>
      <c r="J30" s="30"/>
      <c r="K30" s="30"/>
      <c r="L30" s="30"/>
      <c r="M30" s="30"/>
      <c r="N30" s="30"/>
      <c r="O30" s="30"/>
      <c r="P30" s="30"/>
      <c r="Q30" s="30"/>
      <c r="R30" s="30"/>
      <c r="S30" s="30"/>
      <c r="T30" s="30"/>
      <c r="U30" s="30"/>
      <c r="V30" s="30"/>
      <c r="W30" s="30"/>
      <c r="X30" s="30"/>
      <c r="Y30" s="30"/>
    </row>
    <row r="31" spans="1:25" x14ac:dyDescent="0.25">
      <c r="A31" s="30"/>
      <c r="B31" s="41" t="s">
        <v>936</v>
      </c>
      <c r="C31" s="41" t="str" cm="1">
        <f t="array" ref="C31">_xlfn.XLOOKUP(
  1,
  (Lists3.1_Longlist[IUD]=Lists3.1_Shortlist[[#This Row],[IUD]]) *
  (Lists3.1_Longlist[Language]=Language),
  Lists3.1_Longlist[Mat. Cat 1]
)</f>
        <v>Produits chimiques</v>
      </c>
      <c r="D31" s="41" t="str" cm="1">
        <f t="array" ref="D31">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1" s="41" t="str" cm="1">
        <f t="array" ref="E31">IF(_xlfn.XLOOKUP(
  1,
  (Lists3.1_Longlist[IUD]=Lists3.1_Shortlist[[#This Row],[IUD]]) *
  (Lists3.1_Longlist[Language]=Language),
  Lists3.1_Longlist[Mat. Cat. 3]
)=0,"",_xlfn.XLOOKUP(
  1,
  (Lists3.1_Longlist[IUD]=Lists3.1_Shortlist[[#This Row],[IUD]]) *
  (Lists3.1_Longlist[Language]=Language),
  Lists3.1_Longlist[Mat. Cat. 3]
))</f>
        <v>Oxyde d'aluminium</v>
      </c>
      <c r="F31" s="32" t="s">
        <v>88</v>
      </c>
      <c r="G31" s="32" t="s">
        <v>27988</v>
      </c>
      <c r="H31" s="30"/>
      <c r="I31" s="30"/>
      <c r="J31" s="30"/>
      <c r="K31" s="30"/>
      <c r="L31" s="30"/>
      <c r="M31" s="30"/>
      <c r="N31" s="30"/>
      <c r="O31" s="30"/>
      <c r="P31" s="30"/>
      <c r="Q31" s="30"/>
      <c r="R31" s="30"/>
      <c r="S31" s="30"/>
      <c r="T31" s="30"/>
      <c r="U31" s="30"/>
      <c r="V31" s="30"/>
      <c r="W31" s="30"/>
      <c r="X31" s="30"/>
      <c r="Y31" s="30"/>
    </row>
    <row r="32" spans="1:25" x14ac:dyDescent="0.25">
      <c r="A32" s="30"/>
      <c r="B32" s="41" t="s">
        <v>937</v>
      </c>
      <c r="C32" s="41" t="str" cm="1">
        <f t="array" ref="C32">_xlfn.XLOOKUP(
  1,
  (Lists3.1_Longlist[IUD]=Lists3.1_Shortlist[[#This Row],[IUD]]) *
  (Lists3.1_Longlist[Language]=Language),
  Lists3.1_Longlist[Mat. Cat 1]
)</f>
        <v>Produits chimiques</v>
      </c>
      <c r="D32" s="41" t="str" cm="1">
        <f t="array" ref="D32">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2" s="41" t="str" cm="1">
        <f t="array" ref="E32">IF(_xlfn.XLOOKUP(
  1,
  (Lists3.1_Longlist[IUD]=Lists3.1_Shortlist[[#This Row],[IUD]]) *
  (Lists3.1_Longlist[Language]=Language),
  Lists3.1_Longlist[Mat. Cat. 3]
)=0,"",_xlfn.XLOOKUP(
  1,
  (Lists3.1_Longlist[IUD]=Lists3.1_Shortlist[[#This Row],[IUD]]) *
  (Lists3.1_Longlist[Language]=Language),
  Lists3.1_Longlist[Mat. Cat. 3]
))</f>
        <v>Ammoniac (liquide)</v>
      </c>
      <c r="F32" s="32" t="s">
        <v>88</v>
      </c>
      <c r="G32" s="32" t="s">
        <v>27989</v>
      </c>
      <c r="H32" s="30"/>
      <c r="I32" s="30"/>
      <c r="J32" s="30"/>
      <c r="K32" s="30"/>
      <c r="L32" s="30"/>
      <c r="M32" s="30"/>
      <c r="N32" s="30"/>
      <c r="O32" s="30"/>
      <c r="P32" s="30"/>
      <c r="Q32" s="30"/>
      <c r="R32" s="30"/>
      <c r="S32" s="30"/>
      <c r="T32" s="30"/>
      <c r="U32" s="30"/>
      <c r="V32" s="30"/>
      <c r="W32" s="30"/>
      <c r="X32" s="30"/>
      <c r="Y32" s="30"/>
    </row>
    <row r="33" spans="1:25" x14ac:dyDescent="0.25">
      <c r="A33" s="30"/>
      <c r="B33" s="41" t="s">
        <v>938</v>
      </c>
      <c r="C33" s="41" t="str" cm="1">
        <f t="array" ref="C33">_xlfn.XLOOKUP(
  1,
  (Lists3.1_Longlist[IUD]=Lists3.1_Shortlist[[#This Row],[IUD]]) *
  (Lists3.1_Longlist[Language]=Language),
  Lists3.1_Longlist[Mat. Cat 1]
)</f>
        <v>Produits chimiques</v>
      </c>
      <c r="D33" s="41" t="str" cm="1">
        <f t="array" ref="D33">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3" s="41" t="str" cm="1">
        <f t="array" ref="E33">IF(_xlfn.XLOOKUP(
  1,
  (Lists3.1_Longlist[IUD]=Lists3.1_Shortlist[[#This Row],[IUD]]) *
  (Lists3.1_Longlist[Language]=Language),
  Lists3.1_Longlist[Mat. Cat. 3]
)=0,"",_xlfn.XLOOKUP(
  1,
  (Lists3.1_Longlist[IUD]=Lists3.1_Shortlist[[#This Row],[IUD]]) *
  (Lists3.1_Longlist[Language]=Language),
  Lists3.1_Longlist[Mat. Cat. 3]
))</f>
        <v>Chlorure de calcium</v>
      </c>
      <c r="F33" s="32" t="s">
        <v>88</v>
      </c>
      <c r="G33" s="32" t="s">
        <v>27990</v>
      </c>
      <c r="H33" s="30"/>
      <c r="I33" s="30"/>
      <c r="J33" s="30"/>
      <c r="K33" s="30"/>
      <c r="L33" s="30"/>
      <c r="M33" s="30"/>
      <c r="N33" s="30"/>
      <c r="O33" s="30"/>
      <c r="P33" s="30"/>
      <c r="Q33" s="30"/>
      <c r="R33" s="30"/>
      <c r="S33" s="30"/>
      <c r="T33" s="30"/>
      <c r="U33" s="30"/>
      <c r="V33" s="30"/>
      <c r="W33" s="30"/>
      <c r="X33" s="30"/>
      <c r="Y33" s="30"/>
    </row>
    <row r="34" spans="1:25" x14ac:dyDescent="0.25">
      <c r="A34" s="30"/>
      <c r="B34" s="41" t="s">
        <v>939</v>
      </c>
      <c r="C34" s="41" t="str" cm="1">
        <f t="array" ref="C34">_xlfn.XLOOKUP(
  1,
  (Lists3.1_Longlist[IUD]=Lists3.1_Shortlist[[#This Row],[IUD]]) *
  (Lists3.1_Longlist[Language]=Language),
  Lists3.1_Longlist[Mat. Cat 1]
)</f>
        <v>Produits chimiques</v>
      </c>
      <c r="D34" s="41" t="str" cm="1">
        <f t="array" ref="D34">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4" s="41" t="str" cm="1">
        <f t="array" ref="E34">IF(_xlfn.XLOOKUP(
  1,
  (Lists3.1_Longlist[IUD]=Lists3.1_Shortlist[[#This Row],[IUD]]) *
  (Lists3.1_Longlist[Language]=Language),
  Lists3.1_Longlist[Mat. Cat. 3]
)=0,"",_xlfn.XLOOKUP(
  1,
  (Lists3.1_Longlist[IUD]=Lists3.1_Shortlist[[#This Row],[IUD]]) *
  (Lists3.1_Longlist[Language]=Language),
  Lists3.1_Longlist[Mat. Cat. 3]
))</f>
        <v>Graphite</v>
      </c>
      <c r="F34" s="32" t="s">
        <v>88</v>
      </c>
      <c r="G34" s="32" t="s">
        <v>27991</v>
      </c>
      <c r="H34" s="30"/>
      <c r="I34" s="30"/>
      <c r="J34" s="30"/>
      <c r="K34" s="30"/>
      <c r="L34" s="30"/>
      <c r="M34" s="30"/>
      <c r="N34" s="30"/>
      <c r="O34" s="30"/>
      <c r="P34" s="30"/>
      <c r="Q34" s="30"/>
      <c r="R34" s="30"/>
      <c r="S34" s="30"/>
      <c r="T34" s="30"/>
      <c r="U34" s="30"/>
      <c r="V34" s="30"/>
      <c r="W34" s="30"/>
      <c r="X34" s="30"/>
      <c r="Y34" s="30"/>
    </row>
    <row r="35" spans="1:25" x14ac:dyDescent="0.25">
      <c r="A35" s="30"/>
      <c r="B35" s="41" t="s">
        <v>940</v>
      </c>
      <c r="C35" s="41" t="str" cm="1">
        <f t="array" ref="C35">_xlfn.XLOOKUP(
  1,
  (Lists3.1_Longlist[IUD]=Lists3.1_Shortlist[[#This Row],[IUD]]) *
  (Lists3.1_Longlist[Language]=Language),
  Lists3.1_Longlist[Mat. Cat 1]
)</f>
        <v>Produits chimiques</v>
      </c>
      <c r="D35" s="41" t="str" cm="1">
        <f t="array" ref="D35">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5" s="41" t="str" cm="1">
        <f t="array" ref="E35">IF(_xlfn.XLOOKUP(
  1,
  (Lists3.1_Longlist[IUD]=Lists3.1_Shortlist[[#This Row],[IUD]]) *
  (Lists3.1_Longlist[Language]=Language),
  Lists3.1_Longlist[Mat. Cat. 3]
)=0,"",_xlfn.XLOOKUP(
  1,
  (Lists3.1_Longlist[IUD]=Lists3.1_Shortlist[[#This Row],[IUD]]) *
  (Lists3.1_Longlist[Language]=Language),
  Lists3.1_Longlist[Mat. Cat. 3]
))</f>
        <v>Peroxyde d’hydrogène</v>
      </c>
      <c r="F35" s="32" t="s">
        <v>88</v>
      </c>
      <c r="G35" s="32" t="s">
        <v>27992</v>
      </c>
      <c r="H35" s="30"/>
      <c r="I35" s="30"/>
      <c r="J35" s="30"/>
      <c r="K35" s="30"/>
      <c r="L35" s="30"/>
      <c r="M35" s="30"/>
      <c r="N35" s="30"/>
      <c r="O35" s="30"/>
      <c r="P35" s="30"/>
      <c r="Q35" s="30"/>
      <c r="R35" s="30"/>
      <c r="S35" s="30"/>
      <c r="T35" s="30"/>
      <c r="U35" s="30"/>
      <c r="V35" s="30"/>
      <c r="W35" s="30"/>
      <c r="X35" s="30"/>
      <c r="Y35" s="30"/>
    </row>
    <row r="36" spans="1:25" x14ac:dyDescent="0.25">
      <c r="A36" s="30"/>
      <c r="B36" s="41" t="s">
        <v>941</v>
      </c>
      <c r="C36" s="41" t="str" cm="1">
        <f t="array" ref="C36">_xlfn.XLOOKUP(
  1,
  (Lists3.1_Longlist[IUD]=Lists3.1_Shortlist[[#This Row],[IUD]]) *
  (Lists3.1_Longlist[Language]=Language),
  Lists3.1_Longlist[Mat. Cat 1]
)</f>
        <v>Produits chimiques</v>
      </c>
      <c r="D36" s="41" t="str" cm="1">
        <f t="array" ref="D36">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6" s="41" t="str" cm="1">
        <f t="array" ref="E36">IF(_xlfn.XLOOKUP(
  1,
  (Lists3.1_Longlist[IUD]=Lists3.1_Shortlist[[#This Row],[IUD]]) *
  (Lists3.1_Longlist[Language]=Language),
  Lists3.1_Longlist[Mat. Cat. 3]
)=0,"",_xlfn.XLOOKUP(
  1,
  (Lists3.1_Longlist[IUD]=Lists3.1_Shortlist[[#This Row],[IUD]]) *
  (Lists3.1_Longlist[Language]=Language),
  Lists3.1_Longlist[Mat. Cat. 3]
))</f>
        <v>Sable silicieux</v>
      </c>
      <c r="F36" s="32" t="s">
        <v>88</v>
      </c>
      <c r="G36" s="32" t="s">
        <v>27993</v>
      </c>
      <c r="H36" s="30"/>
      <c r="I36" s="30"/>
      <c r="J36" s="30"/>
      <c r="K36" s="30"/>
      <c r="L36" s="30"/>
      <c r="M36" s="30"/>
      <c r="N36" s="30"/>
      <c r="O36" s="30"/>
      <c r="P36" s="30"/>
      <c r="Q36" s="30"/>
      <c r="R36" s="30"/>
      <c r="S36" s="30"/>
      <c r="T36" s="30"/>
      <c r="U36" s="30"/>
      <c r="V36" s="30"/>
      <c r="W36" s="30"/>
      <c r="X36" s="30"/>
      <c r="Y36" s="30"/>
    </row>
    <row r="37" spans="1:25" x14ac:dyDescent="0.25">
      <c r="A37" s="30"/>
      <c r="B37" s="41" t="s">
        <v>942</v>
      </c>
      <c r="C37" s="41" t="str" cm="1">
        <f t="array" ref="C37">_xlfn.XLOOKUP(
  1,
  (Lists3.1_Longlist[IUD]=Lists3.1_Shortlist[[#This Row],[IUD]]) *
  (Lists3.1_Longlist[Language]=Language),
  Lists3.1_Longlist[Mat. Cat 1]
)</f>
        <v>Produits chimiques</v>
      </c>
      <c r="D37" s="41" t="str" cm="1">
        <f t="array" ref="D37">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7" s="41" t="str" cm="1">
        <f t="array" ref="E37">IF(_xlfn.XLOOKUP(
  1,
  (Lists3.1_Longlist[IUD]=Lists3.1_Shortlist[[#This Row],[IUD]]) *
  (Lists3.1_Longlist[Language]=Language),
  Lists3.1_Longlist[Mat. Cat. 3]
)=0,"",_xlfn.XLOOKUP(
  1,
  (Lists3.1_Longlist[IUD]=Lists3.1_Shortlist[[#This Row],[IUD]]) *
  (Lists3.1_Longlist[Language]=Language),
  Lists3.1_Longlist[Mat. Cat. 3]
))</f>
        <v>Hypochlorite de sodium</v>
      </c>
      <c r="F37" s="32" t="s">
        <v>88</v>
      </c>
      <c r="G37" s="32" t="s">
        <v>27994</v>
      </c>
      <c r="H37" s="30"/>
      <c r="I37" s="30"/>
      <c r="J37" s="30"/>
      <c r="K37" s="30"/>
      <c r="L37" s="30"/>
      <c r="M37" s="30"/>
      <c r="N37" s="30"/>
      <c r="O37" s="30"/>
      <c r="P37" s="30"/>
      <c r="Q37" s="30"/>
      <c r="R37" s="30"/>
      <c r="S37" s="30"/>
      <c r="T37" s="30"/>
      <c r="U37" s="30"/>
      <c r="V37" s="30"/>
      <c r="W37" s="30"/>
      <c r="X37" s="30"/>
      <c r="Y37" s="30"/>
    </row>
    <row r="38" spans="1:25" x14ac:dyDescent="0.25">
      <c r="A38" s="30"/>
      <c r="B38" s="41" t="s">
        <v>943</v>
      </c>
      <c r="C38" s="41" t="str" cm="1">
        <f t="array" ref="C38">_xlfn.XLOOKUP(
  1,
  (Lists3.1_Longlist[IUD]=Lists3.1_Shortlist[[#This Row],[IUD]]) *
  (Lists3.1_Longlist[Language]=Language),
  Lists3.1_Longlist[Mat. Cat 1]
)</f>
        <v>Produits chimiques</v>
      </c>
      <c r="D38" s="41" t="str" cm="1">
        <f t="array" ref="D38">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8" s="41" t="str" cm="1">
        <f t="array" ref="E38">IF(_xlfn.XLOOKUP(
  1,
  (Lists3.1_Longlist[IUD]=Lists3.1_Shortlist[[#This Row],[IUD]]) *
  (Lists3.1_Longlist[Language]=Language),
  Lists3.1_Longlist[Mat. Cat. 3]
)=0,"",_xlfn.XLOOKUP(
  1,
  (Lists3.1_Longlist[IUD]=Lists3.1_Shortlist[[#This Row],[IUD]]) *
  (Lists3.1_Longlist[Language]=Language),
  Lists3.1_Longlist[Mat. Cat. 3]
))</f>
        <v>Sulfite</v>
      </c>
      <c r="F38" s="32" t="s">
        <v>88</v>
      </c>
      <c r="G38" s="32" t="s">
        <v>27995</v>
      </c>
      <c r="H38" s="44"/>
      <c r="I38" s="30"/>
      <c r="J38" s="30"/>
      <c r="K38" s="30"/>
      <c r="L38" s="30"/>
      <c r="M38" s="30"/>
      <c r="N38" s="30"/>
      <c r="O38" s="30"/>
      <c r="P38" s="30"/>
      <c r="Q38" s="30"/>
      <c r="R38" s="30"/>
      <c r="S38" s="30"/>
      <c r="T38" s="30"/>
      <c r="U38" s="30"/>
      <c r="V38" s="30"/>
      <c r="W38" s="30"/>
      <c r="X38" s="30"/>
      <c r="Y38" s="30"/>
    </row>
    <row r="39" spans="1:25" x14ac:dyDescent="0.25">
      <c r="A39" s="30"/>
      <c r="B39" s="41" t="s">
        <v>944</v>
      </c>
      <c r="C39" s="41" t="str" cm="1">
        <f t="array" ref="C39">_xlfn.XLOOKUP(
  1,
  (Lists3.1_Longlist[IUD]=Lists3.1_Shortlist[[#This Row],[IUD]]) *
  (Lists3.1_Longlist[Language]=Language),
  Lists3.1_Longlist[Mat. Cat 1]
)</f>
        <v>Produits chimiques</v>
      </c>
      <c r="D39" s="41" t="str" cm="1">
        <f t="array" ref="D39">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39" s="41" t="str" cm="1">
        <f t="array" ref="E39">IF(_xlfn.XLOOKUP(
  1,
  (Lists3.1_Longlist[IUD]=Lists3.1_Shortlist[[#This Row],[IUD]]) *
  (Lists3.1_Longlist[Language]=Language),
  Lists3.1_Longlist[Mat. Cat. 3]
)=0,"",_xlfn.XLOOKUP(
  1,
  (Lists3.1_Longlist[IUD]=Lists3.1_Shortlist[[#This Row],[IUD]]) *
  (Lists3.1_Longlist[Language]=Language),
  Lists3.1_Longlist[Mat. Cat. 3]
))</f>
        <v>Soufre</v>
      </c>
      <c r="F39" s="32" t="s">
        <v>88</v>
      </c>
      <c r="G39" s="32" t="s">
        <v>27996</v>
      </c>
      <c r="H39" s="30"/>
      <c r="I39" s="30"/>
      <c r="J39" s="30"/>
      <c r="K39" s="30"/>
      <c r="L39" s="30"/>
      <c r="M39" s="30"/>
      <c r="N39" s="30"/>
      <c r="O39" s="30"/>
      <c r="P39" s="30"/>
      <c r="Q39" s="30"/>
      <c r="R39" s="30"/>
      <c r="S39" s="30"/>
      <c r="T39" s="30"/>
      <c r="U39" s="30"/>
      <c r="V39" s="30"/>
      <c r="W39" s="30"/>
      <c r="X39" s="30"/>
      <c r="Y39" s="30"/>
    </row>
    <row r="40" spans="1:25" x14ac:dyDescent="0.25">
      <c r="A40" s="30"/>
      <c r="B40" s="41" t="s">
        <v>945</v>
      </c>
      <c r="C40" s="41" t="str" cm="1">
        <f t="array" ref="C40">_xlfn.XLOOKUP(
  1,
  (Lists3.1_Longlist[IUD]=Lists3.1_Shortlist[[#This Row],[IUD]]) *
  (Lists3.1_Longlist[Language]=Language),
  Lists3.1_Longlist[Mat. Cat 1]
)</f>
        <v>Produits chimiques</v>
      </c>
      <c r="D40" s="41" t="str" cm="1">
        <f t="array" ref="D40">IF(_xlfn.XLOOKUP(
  1,
  (Lists3.1_Longlist[IUD]=Lists3.1_Shortlist[[#This Row],[IUD]]) *
  (Lists3.1_Longlist[Language]=Language),
  Lists3.1_Longlist[Mat. Cat. 2]
)=0,"",_xlfn.XLOOKUP(
  1,
  (Lists3.1_Longlist[IUD]=Lists3.1_Shortlist[[#This Row],[IUD]]) *
  (Lists3.1_Longlist[Language]=Language),
  Lists3.1_Longlist[Mat. Cat. 2]
))</f>
        <v>Produits chimiques inorganiques</v>
      </c>
      <c r="E40" s="41" t="str" cm="1">
        <f t="array" ref="E40">IF(_xlfn.XLOOKUP(
  1,
  (Lists3.1_Longlist[IUD]=Lists3.1_Shortlist[[#This Row],[IUD]]) *
  (Lists3.1_Longlist[Language]=Language),
  Lists3.1_Longlist[Mat. Cat. 3]
)=0,"",_xlfn.XLOOKUP(
  1,
  (Lists3.1_Longlist[IUD]=Lists3.1_Shortlist[[#This Row],[IUD]]) *
  (Lists3.1_Longlist[Language]=Language),
  Lists3.1_Longlist[Mat. Cat. 3]
))</f>
        <v>Dioxyde de titane</v>
      </c>
      <c r="F40" s="32" t="s">
        <v>88</v>
      </c>
      <c r="G40" s="32" t="s">
        <v>27997</v>
      </c>
      <c r="H40" s="30"/>
      <c r="I40" s="30"/>
      <c r="J40" s="30"/>
      <c r="K40" s="30"/>
      <c r="L40" s="30"/>
      <c r="M40" s="30"/>
      <c r="N40" s="30"/>
      <c r="O40" s="30"/>
      <c r="P40" s="30"/>
      <c r="Q40" s="30"/>
      <c r="R40" s="30"/>
      <c r="S40" s="30"/>
      <c r="T40" s="30"/>
      <c r="U40" s="30"/>
      <c r="V40" s="30"/>
      <c r="W40" s="30"/>
      <c r="X40" s="30"/>
      <c r="Y40" s="30"/>
    </row>
    <row r="41" spans="1:25" x14ac:dyDescent="0.25">
      <c r="A41" s="30"/>
      <c r="B41" s="41" t="s">
        <v>932</v>
      </c>
      <c r="C41" s="41" t="str" cm="1">
        <f t="array" ref="C41">_xlfn.XLOOKUP(
  1,
  (Lists3.1_Longlist[IUD]=Lists3.1_Shortlist[[#This Row],[IUD]]) *
  (Lists3.1_Longlist[Language]=Language),
  Lists3.1_Longlist[Mat. Cat 1]
)</f>
        <v>Produits chimiques</v>
      </c>
      <c r="D41" s="41" t="str" cm="1">
        <f t="array" ref="D41">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1" s="41" t="str" cm="1">
        <f t="array" ref="E41">IF(_xlfn.XLOOKUP(
  1,
  (Lists3.1_Longlist[IUD]=Lists3.1_Shortlist[[#This Row],[IUD]]) *
  (Lists3.1_Longlist[Language]=Language),
  Lists3.1_Longlist[Mat. Cat. 3]
)=0,"",_xlfn.XLOOKUP(
  1,
  (Lists3.1_Longlist[IUD]=Lists3.1_Shortlist[[#This Row],[IUD]]) *
  (Lists3.1_Longlist[Language]=Language),
  Lists3.1_Longlist[Mat. Cat. 3]
))</f>
        <v/>
      </c>
      <c r="F41" s="32" t="s">
        <v>88</v>
      </c>
      <c r="G41" s="32" t="s">
        <v>27998</v>
      </c>
      <c r="H41" s="44"/>
      <c r="I41" s="30"/>
      <c r="J41" s="30"/>
      <c r="K41" s="30"/>
      <c r="L41" s="30"/>
      <c r="M41" s="30"/>
      <c r="N41" s="30"/>
      <c r="O41" s="30"/>
      <c r="P41" s="30"/>
      <c r="Q41" s="30"/>
      <c r="R41" s="30"/>
      <c r="S41" s="30"/>
      <c r="T41" s="30"/>
      <c r="U41" s="30"/>
      <c r="V41" s="30"/>
      <c r="W41" s="30"/>
      <c r="X41" s="30"/>
      <c r="Y41" s="30"/>
    </row>
    <row r="42" spans="1:25" x14ac:dyDescent="0.25">
      <c r="A42" s="30"/>
      <c r="B42" s="41" t="s">
        <v>946</v>
      </c>
      <c r="C42" s="41" t="str" cm="1">
        <f t="array" ref="C42">_xlfn.XLOOKUP(
  1,
  (Lists3.1_Longlist[IUD]=Lists3.1_Shortlist[[#This Row],[IUD]]) *
  (Lists3.1_Longlist[Language]=Language),
  Lists3.1_Longlist[Mat. Cat 1]
)</f>
        <v>Produits chimiques</v>
      </c>
      <c r="D42" s="41" t="str" cm="1">
        <f t="array" ref="D42">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2" s="41" t="str" cm="1">
        <f t="array" ref="E42">IF(_xlfn.XLOOKUP(
  1,
  (Lists3.1_Longlist[IUD]=Lists3.1_Shortlist[[#This Row],[IUD]]) *
  (Lists3.1_Longlist[Language]=Language),
  Lists3.1_Longlist[Mat. Cat. 3]
)=0,"",_xlfn.XLOOKUP(
  1,
  (Lists3.1_Longlist[IUD]=Lists3.1_Shortlist[[#This Row],[IUD]]) *
  (Lists3.1_Longlist[Language]=Language),
  Lists3.1_Longlist[Mat. Cat. 3]
))</f>
        <v>Acide sulfurique</v>
      </c>
      <c r="F42" s="32" t="s">
        <v>88</v>
      </c>
      <c r="G42" s="32" t="s">
        <v>27999</v>
      </c>
      <c r="H42" s="44"/>
      <c r="I42" s="30"/>
      <c r="J42" s="30"/>
      <c r="K42" s="30"/>
      <c r="L42" s="30"/>
      <c r="M42" s="30"/>
      <c r="N42" s="30"/>
      <c r="O42" s="30"/>
      <c r="P42" s="30"/>
      <c r="Q42" s="30"/>
      <c r="R42" s="30"/>
      <c r="S42" s="30"/>
      <c r="T42" s="30"/>
      <c r="U42" s="30"/>
      <c r="V42" s="30"/>
      <c r="W42" s="30"/>
      <c r="X42" s="30"/>
      <c r="Y42" s="30"/>
    </row>
    <row r="43" spans="1:25" x14ac:dyDescent="0.25">
      <c r="A43" s="30"/>
      <c r="B43" s="41" t="s">
        <v>947</v>
      </c>
      <c r="C43" s="41" t="str" cm="1">
        <f t="array" ref="C43">_xlfn.XLOOKUP(
  1,
  (Lists3.1_Longlist[IUD]=Lists3.1_Shortlist[[#This Row],[IUD]]) *
  (Lists3.1_Longlist[Language]=Language),
  Lists3.1_Longlist[Mat. Cat 1]
)</f>
        <v>Produits chimiques</v>
      </c>
      <c r="D43" s="41" t="str" cm="1">
        <f t="array" ref="D43">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3" s="41" t="str" cm="1">
        <f t="array" ref="E43">IF(_xlfn.XLOOKUP(
  1,
  (Lists3.1_Longlist[IUD]=Lists3.1_Shortlist[[#This Row],[IUD]]) *
  (Lists3.1_Longlist[Language]=Language),
  Lists3.1_Longlist[Mat. Cat. 3]
)=0,"",_xlfn.XLOOKUP(
  1,
  (Lists3.1_Longlist[IUD]=Lists3.1_Shortlist[[#This Row],[IUD]]) *
  (Lists3.1_Longlist[Language]=Language),
  Lists3.1_Longlist[Mat. Cat. 3]
))</f>
        <v>Acide phosphorique (production d’engrais)</v>
      </c>
      <c r="F43" s="32" t="s">
        <v>88</v>
      </c>
      <c r="G43" s="32" t="s">
        <v>28000</v>
      </c>
      <c r="H43" s="44"/>
      <c r="I43" s="30"/>
      <c r="J43" s="30"/>
      <c r="K43" s="30"/>
      <c r="L43" s="30"/>
      <c r="M43" s="30"/>
      <c r="N43" s="30"/>
      <c r="O43" s="30"/>
      <c r="P43" s="30"/>
      <c r="Q43" s="30"/>
      <c r="R43" s="30"/>
      <c r="S43" s="30"/>
      <c r="T43" s="30"/>
      <c r="U43" s="30"/>
      <c r="V43" s="30"/>
      <c r="W43" s="30"/>
      <c r="X43" s="30"/>
      <c r="Y43" s="30"/>
    </row>
    <row r="44" spans="1:25" x14ac:dyDescent="0.25">
      <c r="A44" s="30"/>
      <c r="B44" s="41" t="s">
        <v>948</v>
      </c>
      <c r="C44" s="41" t="str" cm="1">
        <f t="array" ref="C44">_xlfn.XLOOKUP(
  1,
  (Lists3.1_Longlist[IUD]=Lists3.1_Shortlist[[#This Row],[IUD]]) *
  (Lists3.1_Longlist[Language]=Language),
  Lists3.1_Longlist[Mat. Cat 1]
)</f>
        <v>Produits chimiques</v>
      </c>
      <c r="D44" s="41" t="str" cm="1">
        <f t="array" ref="D44">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4" s="41" t="str" cm="1">
        <f t="array" ref="E44">IF(_xlfn.XLOOKUP(
  1,
  (Lists3.1_Longlist[IUD]=Lists3.1_Shortlist[[#This Row],[IUD]]) *
  (Lists3.1_Longlist[Language]=Language),
  Lists3.1_Longlist[Mat. Cat. 3]
)=0,"",_xlfn.XLOOKUP(
  1,
  (Lists3.1_Longlist[IUD]=Lists3.1_Shortlist[[#This Row],[IUD]]) *
  (Lists3.1_Longlist[Language]=Language),
  Lists3.1_Longlist[Mat. Cat. 3]
))</f>
        <v>Acide phosphorique (applications industrielles)</v>
      </c>
      <c r="F44" s="32" t="s">
        <v>88</v>
      </c>
      <c r="G44" s="32" t="s">
        <v>28001</v>
      </c>
      <c r="H44" s="44"/>
      <c r="I44" s="30"/>
      <c r="J44" s="30"/>
      <c r="K44" s="30"/>
      <c r="L44" s="30"/>
      <c r="M44" s="30"/>
      <c r="N44" s="30"/>
      <c r="O44" s="30"/>
      <c r="P44" s="30"/>
      <c r="Q44" s="30"/>
      <c r="R44" s="30"/>
      <c r="S44" s="30"/>
      <c r="T44" s="30"/>
      <c r="U44" s="30"/>
      <c r="V44" s="30"/>
      <c r="W44" s="30"/>
      <c r="X44" s="30"/>
      <c r="Y44" s="30"/>
    </row>
    <row r="45" spans="1:25" x14ac:dyDescent="0.25">
      <c r="A45" s="30"/>
      <c r="B45" s="41" t="s">
        <v>949</v>
      </c>
      <c r="C45" s="41" t="str" cm="1">
        <f t="array" ref="C45">_xlfn.XLOOKUP(
  1,
  (Lists3.1_Longlist[IUD]=Lists3.1_Shortlist[[#This Row],[IUD]]) *
  (Lists3.1_Longlist[Language]=Language),
  Lists3.1_Longlist[Mat. Cat 1]
)</f>
        <v>Produits chimiques</v>
      </c>
      <c r="D45" s="41" t="str" cm="1">
        <f t="array" ref="D45">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5" s="41" t="str" cm="1">
        <f t="array" ref="E45">IF(_xlfn.XLOOKUP(
  1,
  (Lists3.1_Longlist[IUD]=Lists3.1_Shortlist[[#This Row],[IUD]]) *
  (Lists3.1_Longlist[Language]=Language),
  Lists3.1_Longlist[Mat. Cat. 3]
)=0,"",_xlfn.XLOOKUP(
  1,
  (Lists3.1_Longlist[IUD]=Lists3.1_Shortlist[[#This Row],[IUD]]) *
  (Lists3.1_Longlist[Language]=Language),
  Lists3.1_Longlist[Mat. Cat. 3]
))</f>
        <v>Acide chlorhydrique</v>
      </c>
      <c r="F45" s="32" t="s">
        <v>88</v>
      </c>
      <c r="G45" s="32" t="s">
        <v>28002</v>
      </c>
      <c r="H45" s="30"/>
      <c r="I45" s="30"/>
      <c r="J45" s="30"/>
      <c r="K45" s="30"/>
      <c r="L45" s="30"/>
      <c r="M45" s="30"/>
      <c r="N45" s="30"/>
      <c r="O45" s="30"/>
      <c r="P45" s="30"/>
      <c r="Q45" s="30"/>
      <c r="R45" s="30"/>
      <c r="S45" s="30"/>
      <c r="T45" s="30"/>
      <c r="U45" s="30"/>
      <c r="V45" s="30"/>
      <c r="W45" s="30"/>
      <c r="X45" s="30"/>
      <c r="Y45" s="30"/>
    </row>
    <row r="46" spans="1:25" x14ac:dyDescent="0.25">
      <c r="A46" s="30"/>
      <c r="B46" s="41" t="s">
        <v>950</v>
      </c>
      <c r="C46" s="41" t="str" cm="1">
        <f t="array" ref="C46">_xlfn.XLOOKUP(
  1,
  (Lists3.1_Longlist[IUD]=Lists3.1_Shortlist[[#This Row],[IUD]]) *
  (Lists3.1_Longlist[Language]=Language),
  Lists3.1_Longlist[Mat. Cat 1]
)</f>
        <v>Produits chimiques</v>
      </c>
      <c r="D46" s="41" t="str" cm="1">
        <f t="array" ref="D46">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6" s="41" t="str" cm="1">
        <f t="array" ref="E46">IF(_xlfn.XLOOKUP(
  1,
  (Lists3.1_Longlist[IUD]=Lists3.1_Shortlist[[#This Row],[IUD]]) *
  (Lists3.1_Longlist[Language]=Language),
  Lists3.1_Longlist[Mat. Cat. 3]
)=0,"",_xlfn.XLOOKUP(
  1,
  (Lists3.1_Longlist[IUD]=Lists3.1_Shortlist[[#This Row],[IUD]]) *
  (Lists3.1_Longlist[Language]=Language),
  Lists3.1_Longlist[Mat. Cat. 3]
))</f>
        <v>Acide nitrique</v>
      </c>
      <c r="F46" s="32" t="s">
        <v>88</v>
      </c>
      <c r="G46" s="32" t="s">
        <v>28003</v>
      </c>
      <c r="H46" s="30"/>
      <c r="I46" s="30"/>
      <c r="J46" s="30"/>
      <c r="K46" s="30"/>
      <c r="L46" s="30"/>
      <c r="M46" s="30"/>
      <c r="N46" s="30"/>
      <c r="O46" s="30"/>
      <c r="P46" s="30"/>
      <c r="Q46" s="30"/>
      <c r="R46" s="30"/>
      <c r="S46" s="30"/>
      <c r="T46" s="30"/>
      <c r="U46" s="30"/>
      <c r="V46" s="30"/>
      <c r="W46" s="30"/>
      <c r="X46" s="30"/>
      <c r="Y46" s="30"/>
    </row>
    <row r="47" spans="1:25" x14ac:dyDescent="0.25">
      <c r="A47" s="30"/>
      <c r="B47" s="41" t="s">
        <v>946</v>
      </c>
      <c r="C47" s="41" t="str" cm="1">
        <f t="array" ref="C47">_xlfn.XLOOKUP(
  1,
  (Lists3.1_Longlist[IUD]=Lists3.1_Shortlist[[#This Row],[IUD]]) *
  (Lists3.1_Longlist[Language]=Language),
  Lists3.1_Longlist[Mat. Cat 1]
)</f>
        <v>Produits chimiques</v>
      </c>
      <c r="D47" s="41" t="str" cm="1">
        <f t="array" ref="D47">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7" s="41" t="str" cm="1">
        <f t="array" ref="E47">IF(_xlfn.XLOOKUP(
  1,
  (Lists3.1_Longlist[IUD]=Lists3.1_Shortlist[[#This Row],[IUD]]) *
  (Lists3.1_Longlist[Language]=Language),
  Lists3.1_Longlist[Mat. Cat. 3]
)=0,"",_xlfn.XLOOKUP(
  1,
  (Lists3.1_Longlist[IUD]=Lists3.1_Shortlist[[#This Row],[IUD]]) *
  (Lists3.1_Longlist[Language]=Language),
  Lists3.1_Longlist[Mat. Cat. 3]
))</f>
        <v>Acide sulfurique</v>
      </c>
      <c r="F47" s="32" t="s">
        <v>88</v>
      </c>
      <c r="G47" s="32" t="s">
        <v>28004</v>
      </c>
      <c r="H47" s="30"/>
      <c r="I47" s="30"/>
      <c r="J47" s="30"/>
      <c r="K47" s="30"/>
      <c r="L47" s="30"/>
      <c r="M47" s="30"/>
      <c r="N47" s="30"/>
      <c r="O47" s="30"/>
      <c r="P47" s="30"/>
      <c r="Q47" s="30"/>
      <c r="R47" s="30"/>
      <c r="S47" s="30"/>
      <c r="T47" s="30"/>
      <c r="U47" s="30"/>
      <c r="V47" s="30"/>
      <c r="W47" s="30"/>
      <c r="X47" s="30"/>
      <c r="Y47" s="30"/>
    </row>
    <row r="48" spans="1:25" x14ac:dyDescent="0.25">
      <c r="A48" s="30"/>
      <c r="B48" s="41" t="s">
        <v>951</v>
      </c>
      <c r="C48" s="41" t="str" cm="1">
        <f t="array" ref="C48">_xlfn.XLOOKUP(
  1,
  (Lists3.1_Longlist[IUD]=Lists3.1_Shortlist[[#This Row],[IUD]]) *
  (Lists3.1_Longlist[Language]=Language),
  Lists3.1_Longlist[Mat. Cat 1]
)</f>
        <v>Produits chimiques</v>
      </c>
      <c r="D48" s="41" t="str" cm="1">
        <f t="array" ref="D48">IF(_xlfn.XLOOKUP(
  1,
  (Lists3.1_Longlist[IUD]=Lists3.1_Shortlist[[#This Row],[IUD]]) *
  (Lists3.1_Longlist[Language]=Language),
  Lists3.1_Longlist[Mat. Cat. 2]
)=0,"",_xlfn.XLOOKUP(
  1,
  (Lists3.1_Longlist[IUD]=Lists3.1_Shortlist[[#This Row],[IUD]]) *
  (Lists3.1_Longlist[Language]=Language),
  Lists3.1_Longlist[Mat. Cat. 2]
))</f>
        <v>Acides inorganiques</v>
      </c>
      <c r="E48" s="41" t="str" cm="1">
        <f t="array" ref="E48">IF(_xlfn.XLOOKUP(
  1,
  (Lists3.1_Longlist[IUD]=Lists3.1_Shortlist[[#This Row],[IUD]]) *
  (Lists3.1_Longlist[Language]=Language),
  Lists3.1_Longlist[Mat. Cat. 3]
)=0,"",_xlfn.XLOOKUP(
  1,
  (Lists3.1_Longlist[IUD]=Lists3.1_Shortlist[[#This Row],[IUD]]) *
  (Lists3.1_Longlist[Language]=Language),
  Lists3.1_Longlist[Mat. Cat. 3]
))</f>
        <v>Acide fluorosilicique</v>
      </c>
      <c r="F48" s="32" t="s">
        <v>88</v>
      </c>
      <c r="G48" s="32" t="s">
        <v>28005</v>
      </c>
      <c r="H48" s="30"/>
      <c r="I48" s="30"/>
      <c r="J48" s="28"/>
      <c r="K48" s="28"/>
      <c r="L48" s="30"/>
      <c r="M48" s="30"/>
      <c r="N48" s="30"/>
      <c r="O48" s="30"/>
      <c r="P48" s="30"/>
      <c r="Q48" s="30"/>
      <c r="R48" s="30"/>
      <c r="S48" s="30"/>
      <c r="T48" s="30"/>
      <c r="U48" s="30"/>
      <c r="V48" s="30"/>
      <c r="W48" s="30"/>
      <c r="X48" s="30"/>
      <c r="Y48" s="30"/>
    </row>
    <row r="49" spans="1:25" x14ac:dyDescent="0.25">
      <c r="A49" s="30"/>
      <c r="B49" s="41" t="s">
        <v>952</v>
      </c>
      <c r="C49" s="41" t="str" cm="1">
        <f t="array" ref="C49">_xlfn.XLOOKUP(
  1,
  (Lists3.1_Longlist[IUD]=Lists3.1_Shortlist[[#This Row],[IUD]]) *
  (Lists3.1_Longlist[Language]=Language),
  Lists3.1_Longlist[Mat. Cat 1]
)</f>
        <v>Produits chimiques</v>
      </c>
      <c r="D49" s="41" t="str" cm="1">
        <f t="array" ref="D49">IF(_xlfn.XLOOKUP(
  1,
  (Lists3.1_Longlist[IUD]=Lists3.1_Shortlist[[#This Row],[IUD]]) *
  (Lists3.1_Longlist[Language]=Language),
  Lists3.1_Longlist[Mat. Cat. 2]
)=0,"",_xlfn.XLOOKUP(
  1,
  (Lists3.1_Longlist[IUD]=Lists3.1_Shortlist[[#This Row],[IUD]]) *
  (Lists3.1_Longlist[Language]=Language),
  Lists3.1_Longlist[Mat. Cat. 2]
))</f>
        <v>Gaz</v>
      </c>
      <c r="E49" s="41" t="str" cm="1">
        <f t="array" ref="E49">IF(_xlfn.XLOOKUP(
  1,
  (Lists3.1_Longlist[IUD]=Lists3.1_Shortlist[[#This Row],[IUD]]) *
  (Lists3.1_Longlist[Language]=Language),
  Lists3.1_Longlist[Mat. Cat. 3]
)=0,"",_xlfn.XLOOKUP(
  1,
  (Lists3.1_Longlist[IUD]=Lists3.1_Shortlist[[#This Row],[IUD]]) *
  (Lists3.1_Longlist[Language]=Language),
  Lists3.1_Longlist[Mat. Cat. 3]
))</f>
        <v/>
      </c>
      <c r="F49" s="32" t="s">
        <v>88</v>
      </c>
      <c r="G49" s="32" t="s">
        <v>28006</v>
      </c>
      <c r="H49" s="30"/>
      <c r="I49" s="30"/>
      <c r="J49" s="30"/>
      <c r="K49" s="30"/>
      <c r="L49" s="30"/>
      <c r="M49" s="30"/>
      <c r="N49" s="30"/>
      <c r="O49" s="30"/>
      <c r="P49" s="30"/>
      <c r="Q49" s="30"/>
      <c r="R49" s="30"/>
      <c r="S49" s="30"/>
      <c r="T49" s="30"/>
      <c r="U49" s="30"/>
      <c r="V49" s="30"/>
      <c r="W49" s="30"/>
      <c r="X49" s="30"/>
      <c r="Y49" s="30"/>
    </row>
    <row r="50" spans="1:25" x14ac:dyDescent="0.25">
      <c r="A50" s="30"/>
      <c r="B50" s="41" t="s">
        <v>953</v>
      </c>
      <c r="C50" s="41" t="str" cm="1">
        <f t="array" ref="C50">_xlfn.XLOOKUP(
  1,
  (Lists3.1_Longlist[IUD]=Lists3.1_Shortlist[[#This Row],[IUD]]) *
  (Lists3.1_Longlist[Language]=Language),
  Lists3.1_Longlist[Mat. Cat 1]
)</f>
        <v>Produits chimiques</v>
      </c>
      <c r="D50" s="41" t="str" cm="1">
        <f t="array" ref="D50">IF(_xlfn.XLOOKUP(
  1,
  (Lists3.1_Longlist[IUD]=Lists3.1_Shortlist[[#This Row],[IUD]]) *
  (Lists3.1_Longlist[Language]=Language),
  Lists3.1_Longlist[Mat. Cat. 2]
)=0,"",_xlfn.XLOOKUP(
  1,
  (Lists3.1_Longlist[IUD]=Lists3.1_Shortlist[[#This Row],[IUD]]) *
  (Lists3.1_Longlist[Language]=Language),
  Lists3.1_Longlist[Mat. Cat. 2]
))</f>
        <v>Gaz</v>
      </c>
      <c r="E50" s="41" t="str" cm="1">
        <f t="array" ref="E50">IF(_xlfn.XLOOKUP(
  1,
  (Lists3.1_Longlist[IUD]=Lists3.1_Shortlist[[#This Row],[IUD]]) *
  (Lists3.1_Longlist[Language]=Language),
  Lists3.1_Longlist[Mat. Cat. 3]
)=0,"",_xlfn.XLOOKUP(
  1,
  (Lists3.1_Longlist[IUD]=Lists3.1_Shortlist[[#This Row],[IUD]]) *
  (Lists3.1_Longlist[Language]=Language),
  Lists3.1_Longlist[Mat. Cat. 3]
))</f>
        <v>Argon (liquide)</v>
      </c>
      <c r="F50" s="32" t="s">
        <v>88</v>
      </c>
      <c r="G50" s="32" t="s">
        <v>28007</v>
      </c>
      <c r="H50" s="30"/>
      <c r="I50" s="30"/>
      <c r="J50" s="30"/>
      <c r="K50" s="30"/>
      <c r="L50" s="30"/>
      <c r="M50" s="30"/>
      <c r="N50" s="30"/>
      <c r="O50" s="30"/>
      <c r="P50" s="30"/>
      <c r="Q50" s="30"/>
      <c r="R50" s="30"/>
      <c r="S50" s="30"/>
      <c r="T50" s="30"/>
      <c r="U50" s="30"/>
      <c r="V50" s="30"/>
      <c r="W50" s="30"/>
      <c r="X50" s="30"/>
      <c r="Y50" s="30"/>
    </row>
    <row r="51" spans="1:25" x14ac:dyDescent="0.25">
      <c r="A51" s="30"/>
      <c r="B51" s="41" t="s">
        <v>954</v>
      </c>
      <c r="C51" s="41" t="str" cm="1">
        <f t="array" ref="C51">_xlfn.XLOOKUP(
  1,
  (Lists3.1_Longlist[IUD]=Lists3.1_Shortlist[[#This Row],[IUD]]) *
  (Lists3.1_Longlist[Language]=Language),
  Lists3.1_Longlist[Mat. Cat 1]
)</f>
        <v>Produits chimiques</v>
      </c>
      <c r="D51" s="41" t="str" cm="1">
        <f t="array" ref="D51">IF(_xlfn.XLOOKUP(
  1,
  (Lists3.1_Longlist[IUD]=Lists3.1_Shortlist[[#This Row],[IUD]]) *
  (Lists3.1_Longlist[Language]=Language),
  Lists3.1_Longlist[Mat. Cat. 2]
)=0,"",_xlfn.XLOOKUP(
  1,
  (Lists3.1_Longlist[IUD]=Lists3.1_Shortlist[[#This Row],[IUD]]) *
  (Lists3.1_Longlist[Language]=Language),
  Lists3.1_Longlist[Mat. Cat. 2]
))</f>
        <v>Gaz</v>
      </c>
      <c r="E51" s="41" t="str" cm="1">
        <f t="array" ref="E51">IF(_xlfn.XLOOKUP(
  1,
  (Lists3.1_Longlist[IUD]=Lists3.1_Shortlist[[#This Row],[IUD]]) *
  (Lists3.1_Longlist[Language]=Language),
  Lists3.1_Longlist[Mat. Cat. 3]
)=0,"",_xlfn.XLOOKUP(
  1,
  (Lists3.1_Longlist[IUD]=Lists3.1_Shortlist[[#This Row],[IUD]]) *
  (Lists3.1_Longlist[Language]=Language),
  Lists3.1_Longlist[Mat. Cat. 3]
))</f>
        <v>Hydrogène (liquide)</v>
      </c>
      <c r="F51" s="32" t="s">
        <v>88</v>
      </c>
      <c r="G51" s="32" t="s">
        <v>28008</v>
      </c>
      <c r="H51" s="30"/>
      <c r="I51" s="30"/>
      <c r="J51" s="30"/>
      <c r="K51" s="30"/>
      <c r="L51" s="30"/>
      <c r="M51" s="30"/>
      <c r="N51" s="30"/>
      <c r="O51" s="30"/>
      <c r="P51" s="30"/>
      <c r="Q51" s="30"/>
      <c r="R51" s="30"/>
      <c r="S51" s="30"/>
      <c r="T51" s="30"/>
      <c r="U51" s="30"/>
      <c r="V51" s="30"/>
      <c r="W51" s="30"/>
      <c r="X51" s="30"/>
      <c r="Y51" s="30"/>
    </row>
    <row r="52" spans="1:25" x14ac:dyDescent="0.25">
      <c r="A52" s="30"/>
      <c r="B52" s="41" t="s">
        <v>955</v>
      </c>
      <c r="C52" s="41" t="str" cm="1">
        <f t="array" ref="C52">_xlfn.XLOOKUP(
  1,
  (Lists3.1_Longlist[IUD]=Lists3.1_Shortlist[[#This Row],[IUD]]) *
  (Lists3.1_Longlist[Language]=Language),
  Lists3.1_Longlist[Mat. Cat 1]
)</f>
        <v>Produits chimiques</v>
      </c>
      <c r="D52" s="41" t="str" cm="1">
        <f t="array" ref="D52">IF(_xlfn.XLOOKUP(
  1,
  (Lists3.1_Longlist[IUD]=Lists3.1_Shortlist[[#This Row],[IUD]]) *
  (Lists3.1_Longlist[Language]=Language),
  Lists3.1_Longlist[Mat. Cat. 2]
)=0,"",_xlfn.XLOOKUP(
  1,
  (Lists3.1_Longlist[IUD]=Lists3.1_Shortlist[[#This Row],[IUD]]) *
  (Lists3.1_Longlist[Language]=Language),
  Lists3.1_Longlist[Mat. Cat. 2]
))</f>
        <v>Gaz</v>
      </c>
      <c r="E52" s="41" t="str" cm="1">
        <f t="array" ref="E52">IF(_xlfn.XLOOKUP(
  1,
  (Lists3.1_Longlist[IUD]=Lists3.1_Shortlist[[#This Row],[IUD]]) *
  (Lists3.1_Longlist[Language]=Language),
  Lists3.1_Longlist[Mat. Cat. 3]
)=0,"",_xlfn.XLOOKUP(
  1,
  (Lists3.1_Longlist[IUD]=Lists3.1_Shortlist[[#This Row],[IUD]]) *
  (Lists3.1_Longlist[Language]=Language),
  Lists3.1_Longlist[Mat. Cat. 3]
))</f>
        <v>Ozone (liquide)</v>
      </c>
      <c r="F52" s="32" t="s">
        <v>88</v>
      </c>
      <c r="G52" s="32" t="s">
        <v>28009</v>
      </c>
      <c r="H52" s="30"/>
      <c r="I52" s="30"/>
      <c r="J52" s="30"/>
      <c r="K52" s="30"/>
      <c r="L52" s="30"/>
      <c r="M52" s="30"/>
      <c r="N52" s="30"/>
      <c r="O52" s="30"/>
      <c r="P52" s="30"/>
      <c r="Q52" s="30"/>
      <c r="R52" s="30"/>
      <c r="S52" s="30"/>
      <c r="T52" s="30"/>
      <c r="U52" s="30"/>
      <c r="V52" s="30"/>
      <c r="W52" s="30"/>
      <c r="X52" s="30"/>
      <c r="Y52" s="30"/>
    </row>
    <row r="53" spans="1:25" x14ac:dyDescent="0.25">
      <c r="A53" s="30"/>
      <c r="B53" s="41" t="s">
        <v>956</v>
      </c>
      <c r="C53" s="41" t="str" cm="1">
        <f t="array" ref="C53">_xlfn.XLOOKUP(
  1,
  (Lists3.1_Longlist[IUD]=Lists3.1_Shortlist[[#This Row],[IUD]]) *
  (Lists3.1_Longlist[Language]=Language),
  Lists3.1_Longlist[Mat. Cat 1]
)</f>
        <v>Produits chimiques</v>
      </c>
      <c r="D53" s="41" t="str" cm="1">
        <f t="array" ref="D53">IF(_xlfn.XLOOKUP(
  1,
  (Lists3.1_Longlist[IUD]=Lists3.1_Shortlist[[#This Row],[IUD]]) *
  (Lists3.1_Longlist[Language]=Language),
  Lists3.1_Longlist[Mat. Cat. 2]
)=0,"",_xlfn.XLOOKUP(
  1,
  (Lists3.1_Longlist[IUD]=Lists3.1_Shortlist[[#This Row],[IUD]]) *
  (Lists3.1_Longlist[Language]=Language),
  Lists3.1_Longlist[Mat. Cat. 2]
))</f>
        <v>Gaz</v>
      </c>
      <c r="E53" s="41" t="str" cm="1">
        <f t="array" ref="E53">IF(_xlfn.XLOOKUP(
  1,
  (Lists3.1_Longlist[IUD]=Lists3.1_Shortlist[[#This Row],[IUD]]) *
  (Lists3.1_Longlist[Language]=Language),
  Lists3.1_Longlist[Mat. Cat. 3]
)=0,"",_xlfn.XLOOKUP(
  1,
  (Lists3.1_Longlist[IUD]=Lists3.1_Shortlist[[#This Row],[IUD]]) *
  (Lists3.1_Longlist[Language]=Language),
  Lists3.1_Longlist[Mat. Cat. 3]
))</f>
        <v>Oxygène (liquide)</v>
      </c>
      <c r="F53" s="32" t="s">
        <v>88</v>
      </c>
      <c r="G53" s="32" t="s">
        <v>28010</v>
      </c>
      <c r="H53" s="44"/>
      <c r="I53" s="30"/>
      <c r="J53" s="30"/>
      <c r="K53" s="30"/>
      <c r="L53" s="30"/>
      <c r="M53" s="30"/>
      <c r="N53" s="30"/>
      <c r="O53" s="30"/>
      <c r="P53" s="30"/>
      <c r="Q53" s="30"/>
      <c r="R53" s="30"/>
      <c r="S53" s="30"/>
      <c r="T53" s="30"/>
      <c r="U53" s="30"/>
      <c r="V53" s="30"/>
      <c r="W53" s="30"/>
      <c r="X53" s="30"/>
      <c r="Y53" s="30"/>
    </row>
    <row r="54" spans="1:25" x14ac:dyDescent="0.25">
      <c r="A54" s="30"/>
      <c r="B54" s="41" t="s">
        <v>952</v>
      </c>
      <c r="C54" s="41" t="str" cm="1">
        <f t="array" ref="C54">_xlfn.XLOOKUP(
  1,
  (Lists3.1_Longlist[IUD]=Lists3.1_Shortlist[[#This Row],[IUD]]) *
  (Lists3.1_Longlist[Language]=Language),
  Lists3.1_Longlist[Mat. Cat 1]
)</f>
        <v>Produits chimiques</v>
      </c>
      <c r="D54" s="41" t="str" cm="1">
        <f t="array" ref="D54">IF(_xlfn.XLOOKUP(
  1,
  (Lists3.1_Longlist[IUD]=Lists3.1_Shortlist[[#This Row],[IUD]]) *
  (Lists3.1_Longlist[Language]=Language),
  Lists3.1_Longlist[Mat. Cat. 2]
)=0,"",_xlfn.XLOOKUP(
  1,
  (Lists3.1_Longlist[IUD]=Lists3.1_Shortlist[[#This Row],[IUD]]) *
  (Lists3.1_Longlist[Language]=Language),
  Lists3.1_Longlist[Mat. Cat. 2]
))</f>
        <v>Gaz</v>
      </c>
      <c r="E54" s="41" t="str" cm="1">
        <f t="array" ref="E54">IF(_xlfn.XLOOKUP(
  1,
  (Lists3.1_Longlist[IUD]=Lists3.1_Shortlist[[#This Row],[IUD]]) *
  (Lists3.1_Longlist[Language]=Language),
  Lists3.1_Longlist[Mat. Cat. 3]
)=0,"",_xlfn.XLOOKUP(
  1,
  (Lists3.1_Longlist[IUD]=Lists3.1_Shortlist[[#This Row],[IUD]]) *
  (Lists3.1_Longlist[Language]=Language),
  Lists3.1_Longlist[Mat. Cat. 3]
))</f>
        <v>Dioxyde de carbone (liquide)</v>
      </c>
      <c r="F54" s="32" t="s">
        <v>88</v>
      </c>
      <c r="G54" s="32" t="s">
        <v>28011</v>
      </c>
      <c r="H54" s="30"/>
      <c r="I54" s="30"/>
      <c r="J54" s="28"/>
      <c r="K54" s="28"/>
      <c r="L54" s="30"/>
      <c r="M54" s="30"/>
      <c r="N54" s="30"/>
      <c r="O54" s="30"/>
      <c r="P54" s="30"/>
      <c r="Q54" s="30"/>
      <c r="R54" s="30"/>
      <c r="S54" s="30"/>
      <c r="T54" s="30"/>
      <c r="U54" s="30"/>
      <c r="V54" s="30"/>
      <c r="W54" s="30"/>
      <c r="X54" s="30"/>
      <c r="Y54" s="30"/>
    </row>
    <row r="55" spans="1:25" x14ac:dyDescent="0.25">
      <c r="A55" s="30"/>
      <c r="B55" s="41" t="s">
        <v>957</v>
      </c>
      <c r="C55" s="41" t="str" cm="1">
        <f t="array" ref="C55">_xlfn.XLOOKUP(
  1,
  (Lists3.1_Longlist[IUD]=Lists3.1_Shortlist[[#This Row],[IUD]]) *
  (Lists3.1_Longlist[Language]=Language),
  Lists3.1_Longlist[Mat. Cat 1]
)</f>
        <v>Produits chimiques</v>
      </c>
      <c r="D55" s="41" t="str" cm="1">
        <f t="array" ref="D55">IF(_xlfn.XLOOKUP(
  1,
  (Lists3.1_Longlist[IUD]=Lists3.1_Shortlist[[#This Row],[IUD]]) *
  (Lists3.1_Longlist[Language]=Language),
  Lists3.1_Longlist[Mat. Cat. 2]
)=0,"",_xlfn.XLOOKUP(
  1,
  (Lists3.1_Longlist[IUD]=Lists3.1_Shortlist[[#This Row],[IUD]]) *
  (Lists3.1_Longlist[Language]=Language),
  Lists3.1_Longlist[Mat. Cat. 2]
))</f>
        <v>Gaz</v>
      </c>
      <c r="E55" s="41" t="str" cm="1">
        <f t="array" ref="E55">IF(_xlfn.XLOOKUP(
  1,
  (Lists3.1_Longlist[IUD]=Lists3.1_Shortlist[[#This Row],[IUD]]) *
  (Lists3.1_Longlist[Language]=Language),
  Lists3.1_Longlist[Mat. Cat. 3]
)=0,"",_xlfn.XLOOKUP(
  1,
  (Lists3.1_Longlist[IUD]=Lists3.1_Shortlist[[#This Row],[IUD]]) *
  (Lists3.1_Longlist[Language]=Language),
  Lists3.1_Longlist[Mat. Cat. 3]
))</f>
        <v>Hélium</v>
      </c>
      <c r="F55" s="32" t="s">
        <v>88</v>
      </c>
      <c r="G55" s="32" t="s">
        <v>28012</v>
      </c>
      <c r="H55" s="30"/>
      <c r="I55" s="30"/>
      <c r="J55" s="30"/>
      <c r="K55" s="30"/>
      <c r="L55" s="30"/>
      <c r="M55" s="30"/>
      <c r="N55" s="30"/>
      <c r="O55" s="30"/>
      <c r="P55" s="30"/>
      <c r="Q55" s="30"/>
      <c r="R55" s="30"/>
      <c r="S55" s="30"/>
      <c r="T55" s="30"/>
      <c r="U55" s="30"/>
      <c r="V55" s="30"/>
      <c r="W55" s="30"/>
      <c r="X55" s="30"/>
      <c r="Y55" s="30"/>
    </row>
    <row r="56" spans="1:25" x14ac:dyDescent="0.25">
      <c r="A56" s="30"/>
      <c r="B56" s="41" t="s">
        <v>958</v>
      </c>
      <c r="C56" s="41" t="str" cm="1">
        <f t="array" ref="C56">_xlfn.XLOOKUP(
  1,
  (Lists3.1_Longlist[IUD]=Lists3.1_Shortlist[[#This Row],[IUD]]) *
  (Lists3.1_Longlist[Language]=Language),
  Lists3.1_Longlist[Mat. Cat 1]
)</f>
        <v>Produits chimiques</v>
      </c>
      <c r="D56" s="41" t="str" cm="1">
        <f t="array" ref="D56">IF(_xlfn.XLOOKUP(
  1,
  (Lists3.1_Longlist[IUD]=Lists3.1_Shortlist[[#This Row],[IUD]]) *
  (Lists3.1_Longlist[Language]=Language),
  Lists3.1_Longlist[Mat. Cat. 2]
)=0,"",_xlfn.XLOOKUP(
  1,
  (Lists3.1_Longlist[IUD]=Lists3.1_Shortlist[[#This Row],[IUD]]) *
  (Lists3.1_Longlist[Language]=Language),
  Lists3.1_Longlist[Mat. Cat. 2]
))</f>
        <v>Gaz</v>
      </c>
      <c r="E56" s="41" t="str" cm="1">
        <f t="array" ref="E56">IF(_xlfn.XLOOKUP(
  1,
  (Lists3.1_Longlist[IUD]=Lists3.1_Shortlist[[#This Row],[IUD]]) *
  (Lists3.1_Longlist[Language]=Language),
  Lists3.1_Longlist[Mat. Cat. 3]
)=0,"",_xlfn.XLOOKUP(
  1,
  (Lists3.1_Longlist[IUD]=Lists3.1_Shortlist[[#This Row],[IUD]]) *
  (Lists3.1_Longlist[Language]=Language),
  Lists3.1_Longlist[Mat. Cat. 3]
))</f>
        <v>Sulfure d’hydrogène</v>
      </c>
      <c r="F56" s="32" t="s">
        <v>88</v>
      </c>
      <c r="G56" s="32" t="s">
        <v>28013</v>
      </c>
      <c r="H56" s="44"/>
      <c r="I56" s="30"/>
      <c r="J56" s="30"/>
      <c r="K56" s="30"/>
      <c r="L56" s="30"/>
      <c r="M56" s="30"/>
      <c r="N56" s="30"/>
      <c r="O56" s="30"/>
      <c r="P56" s="30"/>
      <c r="Q56" s="30"/>
      <c r="R56" s="30"/>
      <c r="S56" s="30"/>
      <c r="T56" s="30"/>
      <c r="U56" s="30"/>
      <c r="V56" s="30"/>
      <c r="W56" s="30"/>
      <c r="X56" s="30"/>
      <c r="Y56" s="30"/>
    </row>
    <row r="57" spans="1:25" x14ac:dyDescent="0.25">
      <c r="A57" s="30"/>
      <c r="B57" s="41" t="s">
        <v>959</v>
      </c>
      <c r="C57" s="41" t="str" cm="1">
        <f t="array" ref="C57">_xlfn.XLOOKUP(
  1,
  (Lists3.1_Longlist[IUD]=Lists3.1_Shortlist[[#This Row],[IUD]]) *
  (Lists3.1_Longlist[Language]=Language),
  Lists3.1_Longlist[Mat. Cat 1]
)</f>
        <v>Produits chimiques</v>
      </c>
      <c r="D57" s="41" t="str" cm="1">
        <f t="array" ref="D57">IF(_xlfn.XLOOKUP(
  1,
  (Lists3.1_Longlist[IUD]=Lists3.1_Shortlist[[#This Row],[IUD]]) *
  (Lists3.1_Longlist[Language]=Language),
  Lists3.1_Longlist[Mat. Cat. 2]
)=0,"",_xlfn.XLOOKUP(
  1,
  (Lists3.1_Longlist[IUD]=Lists3.1_Shortlist[[#This Row],[IUD]]) *
  (Lists3.1_Longlist[Language]=Language),
  Lists3.1_Longlist[Mat. Cat. 2]
))</f>
        <v>Gaz</v>
      </c>
      <c r="E57" s="41" t="str" cm="1">
        <f t="array" ref="E57">IF(_xlfn.XLOOKUP(
  1,
  (Lists3.1_Longlist[IUD]=Lists3.1_Shortlist[[#This Row],[IUD]]) *
  (Lists3.1_Longlist[Language]=Language),
  Lists3.1_Longlist[Mat. Cat. 3]
)=0,"",_xlfn.XLOOKUP(
  1,
  (Lists3.1_Longlist[IUD]=Lists3.1_Shortlist[[#This Row],[IUD]]) *
  (Lists3.1_Longlist[Language]=Language),
  Lists3.1_Longlist[Mat. Cat. 3]
))</f>
        <v>Azote (liquide)</v>
      </c>
      <c r="F57" s="32" t="s">
        <v>88</v>
      </c>
      <c r="G57" s="32" t="s">
        <v>28014</v>
      </c>
      <c r="H57" s="44"/>
      <c r="I57" s="30"/>
      <c r="J57" s="30"/>
      <c r="K57" s="30"/>
      <c r="L57" s="30"/>
      <c r="M57" s="30"/>
      <c r="N57" s="30"/>
      <c r="O57" s="30"/>
      <c r="P57" s="30"/>
      <c r="Q57" s="30"/>
      <c r="R57" s="30"/>
      <c r="S57" s="30"/>
      <c r="T57" s="30"/>
      <c r="U57" s="30"/>
      <c r="V57" s="30"/>
      <c r="W57" s="30"/>
      <c r="X57" s="30"/>
      <c r="Y57" s="30"/>
    </row>
    <row r="58" spans="1:25" x14ac:dyDescent="0.25">
      <c r="A58" s="30"/>
      <c r="B58" s="41" t="s">
        <v>960</v>
      </c>
      <c r="C58" s="41" t="str" cm="1">
        <f t="array" ref="C58">_xlfn.XLOOKUP(
  1,
  (Lists3.1_Longlist[IUD]=Lists3.1_Shortlist[[#This Row],[IUD]]) *
  (Lists3.1_Longlist[Language]=Language),
  Lists3.1_Longlist[Mat. Cat 1]
)</f>
        <v>Produits chimiques</v>
      </c>
      <c r="D58" s="41" t="str" cm="1">
        <f t="array" ref="D58">IF(_xlfn.XLOOKUP(
  1,
  (Lists3.1_Longlist[IUD]=Lists3.1_Shortlist[[#This Row],[IUD]]) *
  (Lists3.1_Longlist[Language]=Language),
  Lists3.1_Longlist[Mat. Cat. 2]
)=0,"",_xlfn.XLOOKUP(
  1,
  (Lists3.1_Longlist[IUD]=Lists3.1_Shortlist[[#This Row],[IUD]]) *
  (Lists3.1_Longlist[Language]=Language),
  Lists3.1_Longlist[Mat. Cat. 2]
))</f>
        <v>Gaz</v>
      </c>
      <c r="E58" s="41" t="str" cm="1">
        <f t="array" ref="E58">IF(_xlfn.XLOOKUP(
  1,
  (Lists3.1_Longlist[IUD]=Lists3.1_Shortlist[[#This Row],[IUD]]) *
  (Lists3.1_Longlist[Language]=Language),
  Lists3.1_Longlist[Mat. Cat. 3]
)=0,"",_xlfn.XLOOKUP(
  1,
  (Lists3.1_Longlist[IUD]=Lists3.1_Shortlist[[#This Row],[IUD]]) *
  (Lists3.1_Longlist[Language]=Language),
  Lists3.1_Longlist[Mat. Cat. 3]
))</f>
        <v>Dioxyde de soufre (liquide)</v>
      </c>
      <c r="F58" s="32" t="s">
        <v>88</v>
      </c>
      <c r="G58" s="32" t="s">
        <v>28015</v>
      </c>
      <c r="H58" s="44"/>
      <c r="I58" s="30"/>
      <c r="J58" s="30"/>
      <c r="K58" s="30"/>
      <c r="L58" s="30"/>
      <c r="M58" s="30"/>
      <c r="N58" s="30"/>
      <c r="O58" s="30"/>
      <c r="P58" s="30"/>
      <c r="Q58" s="30"/>
      <c r="R58" s="30"/>
      <c r="S58" s="30"/>
      <c r="T58" s="30"/>
      <c r="U58" s="30"/>
      <c r="V58" s="30"/>
      <c r="W58" s="30"/>
      <c r="X58" s="30"/>
      <c r="Y58" s="30"/>
    </row>
    <row r="59" spans="1:25" x14ac:dyDescent="0.25">
      <c r="A59" s="30"/>
      <c r="B59" s="41" t="s">
        <v>961</v>
      </c>
      <c r="C59" s="41" t="str" cm="1">
        <f t="array" ref="C59">_xlfn.XLOOKUP(
  1,
  (Lists3.1_Longlist[IUD]=Lists3.1_Shortlist[[#This Row],[IUD]]) *
  (Lists3.1_Longlist[Language]=Language),
  Lists3.1_Longlist[Mat. Cat 1]
)</f>
        <v>Produits chimiques</v>
      </c>
      <c r="D59" s="41" t="str" cm="1">
        <f t="array" ref="D59">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59" s="41" t="str" cm="1">
        <f t="array" ref="E59">IF(_xlfn.XLOOKUP(
  1,
  (Lists3.1_Longlist[IUD]=Lists3.1_Shortlist[[#This Row],[IUD]]) *
  (Lists3.1_Longlist[Language]=Language),
  Lists3.1_Longlist[Mat. Cat. 3]
)=0,"",_xlfn.XLOOKUP(
  1,
  (Lists3.1_Longlist[IUD]=Lists3.1_Shortlist[[#This Row],[IUD]]) *
  (Lists3.1_Longlist[Language]=Language),
  Lists3.1_Longlist[Mat. Cat. 3]
))</f>
        <v/>
      </c>
      <c r="F59" s="32" t="s">
        <v>88</v>
      </c>
      <c r="G59" s="32" t="s">
        <v>28016</v>
      </c>
      <c r="H59" s="44"/>
      <c r="I59" s="30"/>
      <c r="J59" s="30"/>
      <c r="K59" s="30"/>
      <c r="L59" s="30"/>
      <c r="M59" s="30"/>
      <c r="N59" s="30"/>
      <c r="O59" s="30"/>
      <c r="P59" s="30"/>
      <c r="Q59" s="30"/>
      <c r="R59" s="30"/>
      <c r="S59" s="30"/>
      <c r="T59" s="30"/>
      <c r="U59" s="30"/>
      <c r="V59" s="30"/>
      <c r="W59" s="30"/>
      <c r="X59" s="30"/>
      <c r="Y59" s="30"/>
    </row>
    <row r="60" spans="1:25" x14ac:dyDescent="0.25">
      <c r="A60" s="30"/>
      <c r="B60" s="41" t="s">
        <v>962</v>
      </c>
      <c r="C60" s="41" t="str" cm="1">
        <f t="array" ref="C60">_xlfn.XLOOKUP(
  1,
  (Lists3.1_Longlist[IUD]=Lists3.1_Shortlist[[#This Row],[IUD]]) *
  (Lists3.1_Longlist[Language]=Language),
  Lists3.1_Longlist[Mat. Cat 1]
)</f>
        <v>Produits chimiques</v>
      </c>
      <c r="D60" s="41" t="str" cm="1">
        <f t="array" ref="D60">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0" s="41" t="str" cm="1">
        <f t="array" ref="E60">IF(_xlfn.XLOOKUP(
  1,
  (Lists3.1_Longlist[IUD]=Lists3.1_Shortlist[[#This Row],[IUD]]) *
  (Lists3.1_Longlist[Language]=Language),
  Lists3.1_Longlist[Mat. Cat. 3]
)=0,"",_xlfn.XLOOKUP(
  1,
  (Lists3.1_Longlist[IUD]=Lists3.1_Shortlist[[#This Row],[IUD]]) *
  (Lists3.1_Longlist[Language]=Language),
  Lists3.1_Longlist[Mat. Cat. 3]
))</f>
        <v>Acétone (liquide)</v>
      </c>
      <c r="F60" s="32" t="s">
        <v>88</v>
      </c>
      <c r="G60" s="32" t="s">
        <v>28017</v>
      </c>
      <c r="H60" s="30"/>
      <c r="I60" s="30"/>
      <c r="J60" s="30"/>
      <c r="K60" s="30"/>
      <c r="L60" s="30"/>
      <c r="M60" s="30"/>
      <c r="N60" s="30"/>
      <c r="O60" s="30"/>
      <c r="P60" s="30"/>
      <c r="Q60" s="30"/>
      <c r="R60" s="30"/>
      <c r="S60" s="30"/>
      <c r="T60" s="30"/>
      <c r="U60" s="30"/>
      <c r="V60" s="30"/>
      <c r="W60" s="30"/>
      <c r="X60" s="30"/>
      <c r="Y60" s="30"/>
    </row>
    <row r="61" spans="1:25" x14ac:dyDescent="0.25">
      <c r="A61" s="30"/>
      <c r="B61" s="41" t="s">
        <v>963</v>
      </c>
      <c r="C61" s="41" t="str" cm="1">
        <f t="array" ref="C61">_xlfn.XLOOKUP(
  1,
  (Lists3.1_Longlist[IUD]=Lists3.1_Shortlist[[#This Row],[IUD]]) *
  (Lists3.1_Longlist[Language]=Language),
  Lists3.1_Longlist[Mat. Cat 1]
)</f>
        <v>Produits chimiques</v>
      </c>
      <c r="D61" s="41" t="str" cm="1">
        <f t="array" ref="D61">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1" s="41" t="str" cm="1">
        <f t="array" ref="E61">IF(_xlfn.XLOOKUP(
  1,
  (Lists3.1_Longlist[IUD]=Lists3.1_Shortlist[[#This Row],[IUD]]) *
  (Lists3.1_Longlist[Language]=Language),
  Lists3.1_Longlist[Mat. Cat. 3]
)=0,"",_xlfn.XLOOKUP(
  1,
  (Lists3.1_Longlist[IUD]=Lists3.1_Shortlist[[#This Row],[IUD]]) *
  (Lists3.1_Longlist[Language]=Language),
  Lists3.1_Longlist[Mat. Cat. 3]
))</f>
        <v>Benzène</v>
      </c>
      <c r="F61" s="32" t="s">
        <v>88</v>
      </c>
      <c r="G61" s="32" t="s">
        <v>28018</v>
      </c>
      <c r="H61" s="30"/>
      <c r="I61" s="30"/>
      <c r="J61" s="30"/>
      <c r="K61" s="30"/>
      <c r="L61" s="30"/>
      <c r="M61" s="30"/>
      <c r="N61" s="30"/>
      <c r="O61" s="30"/>
      <c r="P61" s="30"/>
      <c r="Q61" s="30"/>
      <c r="R61" s="30"/>
      <c r="S61" s="30"/>
      <c r="T61" s="30"/>
      <c r="U61" s="30"/>
      <c r="V61" s="30"/>
      <c r="W61" s="30"/>
      <c r="X61" s="30"/>
      <c r="Y61" s="30"/>
    </row>
    <row r="62" spans="1:25" x14ac:dyDescent="0.25">
      <c r="A62" s="30"/>
      <c r="B62" s="41" t="s">
        <v>964</v>
      </c>
      <c r="C62" s="41" t="str" cm="1">
        <f t="array" ref="C62">_xlfn.XLOOKUP(
  1,
  (Lists3.1_Longlist[IUD]=Lists3.1_Shortlist[[#This Row],[IUD]]) *
  (Lists3.1_Longlist[Language]=Language),
  Lists3.1_Longlist[Mat. Cat 1]
)</f>
        <v>Produits chimiques</v>
      </c>
      <c r="D62" s="41" t="str" cm="1">
        <f t="array" ref="D62">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2" s="41" t="str" cm="1">
        <f t="array" ref="E62">IF(_xlfn.XLOOKUP(
  1,
  (Lists3.1_Longlist[IUD]=Lists3.1_Shortlist[[#This Row],[IUD]]) *
  (Lists3.1_Longlist[Language]=Language),
  Lists3.1_Longlist[Mat. Cat. 3]
)=0,"",_xlfn.XLOOKUP(
  1,
  (Lists3.1_Longlist[IUD]=Lists3.1_Shortlist[[#This Row],[IUD]]) *
  (Lists3.1_Longlist[Language]=Language),
  Lists3.1_Longlist[Mat. Cat. 3]
))</f>
        <v>Gaz butane</v>
      </c>
      <c r="F62" s="32" t="s">
        <v>88</v>
      </c>
      <c r="G62" s="32" t="s">
        <v>28019</v>
      </c>
      <c r="H62" s="30"/>
      <c r="I62" s="30"/>
      <c r="J62" s="30"/>
      <c r="K62" s="30"/>
      <c r="L62" s="30"/>
      <c r="M62" s="30"/>
      <c r="N62" s="30"/>
      <c r="O62" s="30"/>
      <c r="P62" s="30"/>
      <c r="Q62" s="30"/>
      <c r="R62" s="30"/>
      <c r="S62" s="30"/>
      <c r="T62" s="30"/>
      <c r="U62" s="30"/>
      <c r="V62" s="30"/>
      <c r="W62" s="30"/>
      <c r="X62" s="30"/>
      <c r="Y62" s="30"/>
    </row>
    <row r="63" spans="1:25" x14ac:dyDescent="0.25">
      <c r="A63" s="30"/>
      <c r="B63" s="41" t="s">
        <v>965</v>
      </c>
      <c r="C63" s="41" t="str" cm="1">
        <f t="array" ref="C63">_xlfn.XLOOKUP(
  1,
  (Lists3.1_Longlist[IUD]=Lists3.1_Shortlist[[#This Row],[IUD]]) *
  (Lists3.1_Longlist[Language]=Language),
  Lists3.1_Longlist[Mat. Cat 1]
)</f>
        <v>Produits chimiques</v>
      </c>
      <c r="D63" s="41" t="str" cm="1">
        <f t="array" ref="D63">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3" s="41" t="str" cm="1">
        <f t="array" ref="E63">IF(_xlfn.XLOOKUP(
  1,
  (Lists3.1_Longlist[IUD]=Lists3.1_Shortlist[[#This Row],[IUD]]) *
  (Lists3.1_Longlist[Language]=Language),
  Lists3.1_Longlist[Mat. Cat. 3]
)=0,"",_xlfn.XLOOKUP(
  1,
  (Lists3.1_Longlist[IUD]=Lists3.1_Shortlist[[#This Row],[IUD]]) *
  (Lists3.1_Longlist[Language]=Language),
  Lists3.1_Longlist[Mat. Cat. 3]
))</f>
        <v>Résine époxy</v>
      </c>
      <c r="F63" s="32" t="s">
        <v>88</v>
      </c>
      <c r="G63" s="32" t="s">
        <v>28020</v>
      </c>
      <c r="H63" s="30"/>
      <c r="I63" s="30"/>
      <c r="J63" s="30"/>
      <c r="K63" s="30"/>
      <c r="L63" s="30"/>
      <c r="M63" s="30"/>
      <c r="N63" s="30"/>
      <c r="O63" s="30"/>
      <c r="P63" s="30"/>
      <c r="Q63" s="30"/>
      <c r="R63" s="30"/>
      <c r="S63" s="30"/>
      <c r="T63" s="30"/>
      <c r="U63" s="30"/>
      <c r="V63" s="30"/>
      <c r="W63" s="30"/>
      <c r="X63" s="30"/>
      <c r="Y63" s="30"/>
    </row>
    <row r="64" spans="1:25" x14ac:dyDescent="0.25">
      <c r="A64" s="30"/>
      <c r="B64" s="41" t="s">
        <v>966</v>
      </c>
      <c r="C64" s="41" t="str" cm="1">
        <f t="array" ref="C64">_xlfn.XLOOKUP(
  1,
  (Lists3.1_Longlist[IUD]=Lists3.1_Shortlist[[#This Row],[IUD]]) *
  (Lists3.1_Longlist[Language]=Language),
  Lists3.1_Longlist[Mat. Cat 1]
)</f>
        <v>Produits chimiques</v>
      </c>
      <c r="D64" s="41" t="str" cm="1">
        <f t="array" ref="D64">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4" s="41" t="str" cm="1">
        <f t="array" ref="E64">IF(_xlfn.XLOOKUP(
  1,
  (Lists3.1_Longlist[IUD]=Lists3.1_Shortlist[[#This Row],[IUD]]) *
  (Lists3.1_Longlist[Language]=Language),
  Lists3.1_Longlist[Mat. Cat. 3]
)=0,"",_xlfn.XLOOKUP(
  1,
  (Lists3.1_Longlist[IUD]=Lists3.1_Shortlist[[#This Row],[IUD]]) *
  (Lists3.1_Longlist[Language]=Language),
  Lists3.1_Longlist[Mat. Cat. 3]
))</f>
        <v>Isopropanol</v>
      </c>
      <c r="F64" s="32" t="s">
        <v>88</v>
      </c>
      <c r="G64" s="32" t="s">
        <v>28021</v>
      </c>
      <c r="H64" s="30"/>
      <c r="I64" s="30"/>
      <c r="J64" s="30"/>
      <c r="K64" s="30"/>
      <c r="L64" s="30"/>
      <c r="M64" s="30"/>
      <c r="N64" s="30"/>
      <c r="O64" s="30"/>
      <c r="P64" s="30"/>
      <c r="Q64" s="30"/>
      <c r="R64" s="30"/>
      <c r="S64" s="30"/>
      <c r="T64" s="30"/>
      <c r="U64" s="30"/>
      <c r="V64" s="30"/>
      <c r="W64" s="30"/>
      <c r="X64" s="30"/>
      <c r="Y64" s="30"/>
    </row>
    <row r="65" spans="1:25" x14ac:dyDescent="0.25">
      <c r="A65" s="30"/>
      <c r="B65" s="41" t="s">
        <v>967</v>
      </c>
      <c r="C65" s="41" t="str" cm="1">
        <f t="array" ref="C65">_xlfn.XLOOKUP(
  1,
  (Lists3.1_Longlist[IUD]=Lists3.1_Shortlist[[#This Row],[IUD]]) *
  (Lists3.1_Longlist[Language]=Language),
  Lists3.1_Longlist[Mat. Cat 1]
)</f>
        <v>Produits chimiques</v>
      </c>
      <c r="D65" s="41" t="str" cm="1">
        <f t="array" ref="D65">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5" s="41" t="str" cm="1">
        <f t="array" ref="E65">IF(_xlfn.XLOOKUP(
  1,
  (Lists3.1_Longlist[IUD]=Lists3.1_Shortlist[[#This Row],[IUD]]) *
  (Lists3.1_Longlist[Language]=Language),
  Lists3.1_Longlist[Mat. Cat. 3]
)=0,"",_xlfn.XLOOKUP(
  1,
  (Lists3.1_Longlist[IUD]=Lists3.1_Shortlist[[#This Row],[IUD]]) *
  (Lists3.1_Longlist[Language]=Language),
  Lists3.1_Longlist[Mat. Cat. 3]
))</f>
        <v>Résine phénolique</v>
      </c>
      <c r="F65" s="32" t="s">
        <v>88</v>
      </c>
      <c r="G65" s="32" t="s">
        <v>28022</v>
      </c>
      <c r="H65" s="30"/>
      <c r="I65" s="30"/>
      <c r="J65" s="30"/>
      <c r="K65" s="30"/>
      <c r="L65" s="30"/>
      <c r="M65" s="30"/>
      <c r="N65" s="30"/>
      <c r="O65" s="30"/>
      <c r="P65" s="30"/>
      <c r="Q65" s="30"/>
      <c r="R65" s="30"/>
      <c r="S65" s="30"/>
      <c r="T65" s="30"/>
      <c r="U65" s="30"/>
      <c r="V65" s="30"/>
      <c r="W65" s="30"/>
      <c r="X65" s="30"/>
      <c r="Y65" s="30"/>
    </row>
    <row r="66" spans="1:25" x14ac:dyDescent="0.25">
      <c r="A66" s="30"/>
      <c r="B66" s="41" t="s">
        <v>968</v>
      </c>
      <c r="C66" s="41" t="str" cm="1">
        <f t="array" ref="C66">_xlfn.XLOOKUP(
  1,
  (Lists3.1_Longlist[IUD]=Lists3.1_Shortlist[[#This Row],[IUD]]) *
  (Lists3.1_Longlist[Language]=Language),
  Lists3.1_Longlist[Mat. Cat 1]
)</f>
        <v>Produits chimiques</v>
      </c>
      <c r="D66" s="41" t="str" cm="1">
        <f t="array" ref="D66">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6" s="41" t="str" cm="1">
        <f t="array" ref="E66">IF(_xlfn.XLOOKUP(
  1,
  (Lists3.1_Longlist[IUD]=Lists3.1_Shortlist[[#This Row],[IUD]]) *
  (Lists3.1_Longlist[Language]=Language),
  Lists3.1_Longlist[Mat. Cat. 3]
)=0,"",_xlfn.XLOOKUP(
  1,
  (Lists3.1_Longlist[IUD]=Lists3.1_Shortlist[[#This Row],[IUD]]) *
  (Lists3.1_Longlist[Language]=Language),
  Lists3.1_Longlist[Mat. Cat. 3]
))</f>
        <v>Propylène glycol (liquide)</v>
      </c>
      <c r="F66" s="32" t="s">
        <v>88</v>
      </c>
      <c r="G66" s="32" t="s">
        <v>28023</v>
      </c>
      <c r="H66" s="30"/>
      <c r="I66" s="30"/>
      <c r="J66" s="30"/>
      <c r="K66" s="30"/>
      <c r="L66" s="30"/>
      <c r="M66" s="30"/>
      <c r="N66" s="30"/>
      <c r="O66" s="30"/>
      <c r="P66" s="30"/>
      <c r="Q66" s="30"/>
      <c r="R66" s="30"/>
      <c r="S66" s="30"/>
      <c r="T66" s="30"/>
      <c r="U66" s="30"/>
      <c r="V66" s="30"/>
      <c r="W66" s="30"/>
      <c r="X66" s="30"/>
      <c r="Y66" s="30"/>
    </row>
    <row r="67" spans="1:25" x14ac:dyDescent="0.25">
      <c r="A67" s="30"/>
      <c r="B67" s="41" t="s">
        <v>969</v>
      </c>
      <c r="C67" s="41" t="str" cm="1">
        <f t="array" ref="C67">_xlfn.XLOOKUP(
  1,
  (Lists3.1_Longlist[IUD]=Lists3.1_Shortlist[[#This Row],[IUD]]) *
  (Lists3.1_Longlist[Language]=Language),
  Lists3.1_Longlist[Mat. Cat 1]
)</f>
        <v>Produits chimiques</v>
      </c>
      <c r="D67" s="41" t="str" cm="1">
        <f t="array" ref="D67">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7" s="41" t="str" cm="1">
        <f t="array" ref="E67">IF(_xlfn.XLOOKUP(
  1,
  (Lists3.1_Longlist[IUD]=Lists3.1_Shortlist[[#This Row],[IUD]]) *
  (Lists3.1_Longlist[Language]=Language),
  Lists3.1_Longlist[Mat. Cat. 3]
)=0,"",_xlfn.XLOOKUP(
  1,
  (Lists3.1_Longlist[IUD]=Lists3.1_Shortlist[[#This Row],[IUD]]) *
  (Lists3.1_Longlist[Language]=Language),
  Lists3.1_Longlist[Mat. Cat. 3]
))</f>
        <v>Toluène (liquide)</v>
      </c>
      <c r="F67" s="32" t="s">
        <v>88</v>
      </c>
      <c r="G67" s="32" t="s">
        <v>28024</v>
      </c>
      <c r="H67" s="30"/>
      <c r="I67" s="30"/>
      <c r="J67" s="30"/>
      <c r="K67" s="30"/>
      <c r="L67" s="30"/>
      <c r="M67" s="30"/>
      <c r="N67" s="30"/>
      <c r="O67" s="30"/>
      <c r="P67" s="30"/>
      <c r="Q67" s="30"/>
      <c r="R67" s="30"/>
      <c r="S67" s="30"/>
      <c r="T67" s="30"/>
      <c r="U67" s="30"/>
      <c r="V67" s="30"/>
      <c r="W67" s="30"/>
      <c r="X67" s="30"/>
      <c r="Y67" s="30"/>
    </row>
    <row r="68" spans="1:25" x14ac:dyDescent="0.25">
      <c r="A68" s="30"/>
      <c r="B68" s="41" t="s">
        <v>970</v>
      </c>
      <c r="C68" s="41" t="str" cm="1">
        <f t="array" ref="C68">_xlfn.XLOOKUP(
  1,
  (Lists3.1_Longlist[IUD]=Lists3.1_Shortlist[[#This Row],[IUD]]) *
  (Lists3.1_Longlist[Language]=Language),
  Lists3.1_Longlist[Mat. Cat 1]
)</f>
        <v>Produits chimiques</v>
      </c>
      <c r="D68" s="41" t="str" cm="1">
        <f t="array" ref="D68">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8" s="41" t="str" cm="1">
        <f t="array" ref="E68">IF(_xlfn.XLOOKUP(
  1,
  (Lists3.1_Longlist[IUD]=Lists3.1_Shortlist[[#This Row],[IUD]]) *
  (Lists3.1_Longlist[Language]=Language),
  Lists3.1_Longlist[Mat. Cat. 3]
)=0,"",_xlfn.XLOOKUP(
  1,
  (Lists3.1_Longlist[IUD]=Lists3.1_Shortlist[[#This Row],[IUD]]) *
  (Lists3.1_Longlist[Language]=Language),
  Lists3.1_Longlist[Mat. Cat. 3]
))</f>
        <v>White spirit</v>
      </c>
      <c r="F68" s="32" t="s">
        <v>88</v>
      </c>
      <c r="G68" s="32" t="s">
        <v>28025</v>
      </c>
      <c r="H68" s="44"/>
      <c r="I68" s="30"/>
      <c r="J68" s="30"/>
      <c r="K68" s="30"/>
      <c r="L68" s="30"/>
      <c r="M68" s="30"/>
      <c r="N68" s="30"/>
      <c r="O68" s="30"/>
      <c r="P68" s="30"/>
      <c r="Q68" s="30"/>
      <c r="R68" s="30"/>
      <c r="S68" s="30"/>
      <c r="T68" s="30"/>
      <c r="U68" s="30"/>
      <c r="V68" s="30"/>
      <c r="W68" s="30"/>
      <c r="X68" s="30"/>
      <c r="Y68" s="30"/>
    </row>
    <row r="69" spans="1:25" x14ac:dyDescent="0.25">
      <c r="A69" s="30"/>
      <c r="B69" s="41" t="s">
        <v>971</v>
      </c>
      <c r="C69" s="41" t="str" cm="1">
        <f t="array" ref="C69">_xlfn.XLOOKUP(
  1,
  (Lists3.1_Longlist[IUD]=Lists3.1_Shortlist[[#This Row],[IUD]]) *
  (Lists3.1_Longlist[Language]=Language),
  Lists3.1_Longlist[Mat. Cat 1]
)</f>
        <v>Produits chimiques</v>
      </c>
      <c r="D69" s="41" t="str" cm="1">
        <f t="array" ref="D69">IF(_xlfn.XLOOKUP(
  1,
  (Lists3.1_Longlist[IUD]=Lists3.1_Shortlist[[#This Row],[IUD]]) *
  (Lists3.1_Longlist[Language]=Language),
  Lists3.1_Longlist[Mat. Cat. 2]
)=0,"",_xlfn.XLOOKUP(
  1,
  (Lists3.1_Longlist[IUD]=Lists3.1_Shortlist[[#This Row],[IUD]]) *
  (Lists3.1_Longlist[Language]=Language),
  Lists3.1_Longlist[Mat. Cat. 2]
))</f>
        <v>Produits chimiques organiques</v>
      </c>
      <c r="E69" s="41" t="str" cm="1">
        <f t="array" ref="E69">IF(_xlfn.XLOOKUP(
  1,
  (Lists3.1_Longlist[IUD]=Lists3.1_Shortlist[[#This Row],[IUD]]) *
  (Lists3.1_Longlist[Language]=Language),
  Lists3.1_Longlist[Mat. Cat. 3]
)=0,"",_xlfn.XLOOKUP(
  1,
  (Lists3.1_Longlist[IUD]=Lists3.1_Shortlist[[#This Row],[IUD]]) *
  (Lists3.1_Longlist[Language]=Language),
  Lists3.1_Longlist[Mat. Cat. 3]
))</f>
        <v>Xylène</v>
      </c>
      <c r="F69" s="32" t="s">
        <v>88</v>
      </c>
      <c r="G69" s="32" t="s">
        <v>28026</v>
      </c>
      <c r="H69" s="30"/>
      <c r="I69" s="30"/>
      <c r="J69" s="30"/>
      <c r="K69" s="30"/>
      <c r="L69" s="30"/>
      <c r="M69" s="30"/>
      <c r="N69" s="30"/>
      <c r="O69" s="30"/>
      <c r="P69" s="30"/>
      <c r="Q69" s="30"/>
      <c r="R69" s="30"/>
      <c r="S69" s="30"/>
      <c r="T69" s="30"/>
      <c r="U69" s="30"/>
      <c r="V69" s="30"/>
      <c r="W69" s="30"/>
      <c r="X69" s="30"/>
      <c r="Y69" s="30"/>
    </row>
    <row r="70" spans="1:25" x14ac:dyDescent="0.25">
      <c r="A70" s="30"/>
      <c r="B70" s="41" t="s">
        <v>972</v>
      </c>
      <c r="C70" s="41" t="str" cm="1">
        <f t="array" ref="C70">_xlfn.XLOOKUP(
  1,
  (Lists3.1_Longlist[IUD]=Lists3.1_Shortlist[[#This Row],[IUD]]) *
  (Lists3.1_Longlist[Language]=Language),
  Lists3.1_Longlist[Mat. Cat 1]
)</f>
        <v>Produits chimiques</v>
      </c>
      <c r="D70" s="41" t="str" cm="1">
        <f t="array" ref="D70">IF(_xlfn.XLOOKUP(
  1,
  (Lists3.1_Longlist[IUD]=Lists3.1_Shortlist[[#This Row],[IUD]]) *
  (Lists3.1_Longlist[Language]=Language),
  Lists3.1_Longlist[Mat. Cat. 2]
)=0,"",_xlfn.XLOOKUP(
  1,
  (Lists3.1_Longlist[IUD]=Lists3.1_Shortlist[[#This Row],[IUD]]) *
  (Lists3.1_Longlist[Language]=Language),
  Lists3.1_Longlist[Mat. Cat. 2]
))</f>
        <v>Acides organiques</v>
      </c>
      <c r="E70" s="41" t="str" cm="1">
        <f t="array" ref="E70">IF(_xlfn.XLOOKUP(
  1,
  (Lists3.1_Longlist[IUD]=Lists3.1_Shortlist[[#This Row],[IUD]]) *
  (Lists3.1_Longlist[Language]=Language),
  Lists3.1_Longlist[Mat. Cat. 3]
)=0,"",_xlfn.XLOOKUP(
  1,
  (Lists3.1_Longlist[IUD]=Lists3.1_Shortlist[[#This Row],[IUD]]) *
  (Lists3.1_Longlist[Language]=Language),
  Lists3.1_Longlist[Mat. Cat. 3]
))</f>
        <v/>
      </c>
      <c r="F70" s="32" t="s">
        <v>88</v>
      </c>
      <c r="G70" s="32" t="s">
        <v>28027</v>
      </c>
      <c r="H70" s="30"/>
      <c r="I70" s="30"/>
      <c r="J70" s="30"/>
      <c r="K70" s="30"/>
      <c r="L70" s="30"/>
      <c r="M70" s="30"/>
      <c r="N70" s="30"/>
      <c r="O70" s="30"/>
      <c r="P70" s="30"/>
      <c r="Q70" s="30"/>
      <c r="R70" s="30"/>
      <c r="S70" s="30"/>
      <c r="T70" s="30"/>
      <c r="U70" s="30"/>
      <c r="V70" s="30"/>
      <c r="W70" s="30"/>
      <c r="X70" s="30"/>
      <c r="Y70" s="30"/>
    </row>
    <row r="71" spans="1:25" x14ac:dyDescent="0.25">
      <c r="A71" s="30"/>
      <c r="B71" s="41" t="s">
        <v>972</v>
      </c>
      <c r="C71" s="41" t="str" cm="1">
        <f t="array" ref="C71">_xlfn.XLOOKUP(
  1,
  (Lists3.1_Longlist[IUD]=Lists3.1_Shortlist[[#This Row],[IUD]]) *
  (Lists3.1_Longlist[Language]=Language),
  Lists3.1_Longlist[Mat. Cat 1]
)</f>
        <v>Produits chimiques</v>
      </c>
      <c r="D71" s="41" t="str" cm="1">
        <f t="array" ref="D71">IF(_xlfn.XLOOKUP(
  1,
  (Lists3.1_Longlist[IUD]=Lists3.1_Shortlist[[#This Row],[IUD]]) *
  (Lists3.1_Longlist[Language]=Language),
  Lists3.1_Longlist[Mat. Cat. 2]
)=0,"",_xlfn.XLOOKUP(
  1,
  (Lists3.1_Longlist[IUD]=Lists3.1_Shortlist[[#This Row],[IUD]]) *
  (Lists3.1_Longlist[Language]=Language),
  Lists3.1_Longlist[Mat. Cat. 2]
))</f>
        <v>Acides organiques</v>
      </c>
      <c r="E71" s="41" t="str" cm="1">
        <f t="array" ref="E71">IF(_xlfn.XLOOKUP(
  1,
  (Lists3.1_Longlist[IUD]=Lists3.1_Shortlist[[#This Row],[IUD]]) *
  (Lists3.1_Longlist[Language]=Language),
  Lists3.1_Longlist[Mat. Cat. 3]
)=0,"",_xlfn.XLOOKUP(
  1,
  (Lists3.1_Longlist[IUD]=Lists3.1_Shortlist[[#This Row],[IUD]]) *
  (Lists3.1_Longlist[Language]=Language),
  Lists3.1_Longlist[Mat. Cat. 3]
))</f>
        <v>Acide acétique</v>
      </c>
      <c r="F71" s="32" t="s">
        <v>88</v>
      </c>
      <c r="G71" s="32" t="s">
        <v>28028</v>
      </c>
      <c r="H71" s="44"/>
      <c r="I71" s="30"/>
      <c r="J71" s="30"/>
      <c r="K71" s="30"/>
      <c r="L71" s="30"/>
      <c r="M71" s="30"/>
      <c r="N71" s="30"/>
      <c r="O71" s="30"/>
      <c r="P71" s="30"/>
      <c r="Q71" s="30"/>
      <c r="R71" s="30"/>
      <c r="S71" s="30"/>
      <c r="T71" s="30"/>
      <c r="U71" s="30"/>
      <c r="V71" s="30"/>
      <c r="W71" s="30"/>
      <c r="X71" s="30"/>
      <c r="Y71" s="30"/>
    </row>
    <row r="72" spans="1:25" x14ac:dyDescent="0.25">
      <c r="A72" s="30"/>
      <c r="B72" s="41" t="s">
        <v>973</v>
      </c>
      <c r="C72" s="41" t="str" cm="1">
        <f t="array" ref="C72">_xlfn.XLOOKUP(
  1,
  (Lists3.1_Longlist[IUD]=Lists3.1_Shortlist[[#This Row],[IUD]]) *
  (Lists3.1_Longlist[Language]=Language),
  Lists3.1_Longlist[Mat. Cat 1]
)</f>
        <v>Produits chimiques</v>
      </c>
      <c r="D72" s="41" t="str" cm="1">
        <f t="array" ref="D72">IF(_xlfn.XLOOKUP(
  1,
  (Lists3.1_Longlist[IUD]=Lists3.1_Shortlist[[#This Row],[IUD]]) *
  (Lists3.1_Longlist[Language]=Language),
  Lists3.1_Longlist[Mat. Cat. 2]
)=0,"",_xlfn.XLOOKUP(
  1,
  (Lists3.1_Longlist[IUD]=Lists3.1_Shortlist[[#This Row],[IUD]]) *
  (Lists3.1_Longlist[Language]=Language),
  Lists3.1_Longlist[Mat. Cat. 2]
))</f>
        <v>Acides organiques</v>
      </c>
      <c r="E72" s="41" t="str" cm="1">
        <f t="array" ref="E72">IF(_xlfn.XLOOKUP(
  1,
  (Lists3.1_Longlist[IUD]=Lists3.1_Shortlist[[#This Row],[IUD]]) *
  (Lists3.1_Longlist[Language]=Language),
  Lists3.1_Longlist[Mat. Cat. 3]
)=0,"",_xlfn.XLOOKUP(
  1,
  (Lists3.1_Longlist[IUD]=Lists3.1_Shortlist[[#This Row],[IUD]]) *
  (Lists3.1_Longlist[Language]=Language),
  Lists3.1_Longlist[Mat. Cat. 3]
))</f>
        <v>Acide acrylique</v>
      </c>
      <c r="F72" s="32" t="s">
        <v>88</v>
      </c>
      <c r="G72" s="32" t="s">
        <v>28029</v>
      </c>
      <c r="H72" s="44"/>
      <c r="I72" s="30"/>
      <c r="J72" s="30"/>
      <c r="K72" s="30"/>
      <c r="L72" s="30"/>
      <c r="M72" s="30"/>
      <c r="N72" s="30"/>
      <c r="O72" s="30"/>
      <c r="P72" s="30"/>
      <c r="Q72" s="30"/>
      <c r="R72" s="30"/>
      <c r="S72" s="30"/>
      <c r="T72" s="30"/>
      <c r="U72" s="30"/>
      <c r="V72" s="30"/>
      <c r="W72" s="30"/>
      <c r="X72" s="30"/>
      <c r="Y72" s="30"/>
    </row>
    <row r="73" spans="1:25" x14ac:dyDescent="0.25">
      <c r="A73" s="30"/>
      <c r="B73" s="41" t="s">
        <v>974</v>
      </c>
      <c r="C73" s="41" t="str" cm="1">
        <f t="array" ref="C73">_xlfn.XLOOKUP(
  1,
  (Lists3.1_Longlist[IUD]=Lists3.1_Shortlist[[#This Row],[IUD]]) *
  (Lists3.1_Longlist[Language]=Language),
  Lists3.1_Longlist[Mat. Cat 1]
)</f>
        <v>Produits chimiques</v>
      </c>
      <c r="D73" s="41" t="str" cm="1">
        <f t="array" ref="D73">IF(_xlfn.XLOOKUP(
  1,
  (Lists3.1_Longlist[IUD]=Lists3.1_Shortlist[[#This Row],[IUD]]) *
  (Lists3.1_Longlist[Language]=Language),
  Lists3.1_Longlist[Mat. Cat. 2]
)=0,"",_xlfn.XLOOKUP(
  1,
  (Lists3.1_Longlist[IUD]=Lists3.1_Shortlist[[#This Row],[IUD]]) *
  (Lists3.1_Longlist[Language]=Language),
  Lists3.1_Longlist[Mat. Cat. 2]
))</f>
        <v>Acides organiques</v>
      </c>
      <c r="E73" s="41" t="str" cm="1">
        <f t="array" ref="E73">IF(_xlfn.XLOOKUP(
  1,
  (Lists3.1_Longlist[IUD]=Lists3.1_Shortlist[[#This Row],[IUD]]) *
  (Lists3.1_Longlist[Language]=Language),
  Lists3.1_Longlist[Mat. Cat. 3]
)=0,"",_xlfn.XLOOKUP(
  1,
  (Lists3.1_Longlist[IUD]=Lists3.1_Shortlist[[#This Row],[IUD]]) *
  (Lists3.1_Longlist[Language]=Language),
  Lists3.1_Longlist[Mat. Cat. 3]
))</f>
        <v>Acide benzoïque</v>
      </c>
      <c r="F73" s="32" t="s">
        <v>88</v>
      </c>
      <c r="G73" s="32" t="s">
        <v>28030</v>
      </c>
      <c r="H73" s="44"/>
      <c r="I73" s="30"/>
      <c r="J73" s="30"/>
      <c r="K73" s="30"/>
      <c r="L73" s="30"/>
      <c r="M73" s="30"/>
      <c r="N73" s="30"/>
      <c r="O73" s="30"/>
      <c r="P73" s="30"/>
      <c r="Q73" s="30"/>
      <c r="R73" s="30"/>
      <c r="S73" s="30"/>
      <c r="T73" s="30"/>
      <c r="U73" s="30"/>
      <c r="V73" s="30"/>
      <c r="W73" s="30"/>
      <c r="X73" s="30"/>
      <c r="Y73" s="30"/>
    </row>
    <row r="74" spans="1:25" x14ac:dyDescent="0.25">
      <c r="A74" s="30"/>
      <c r="B74" s="41" t="s">
        <v>975</v>
      </c>
      <c r="C74" s="41" t="str" cm="1">
        <f t="array" ref="C74">_xlfn.XLOOKUP(
  1,
  (Lists3.1_Longlist[IUD]=Lists3.1_Shortlist[[#This Row],[IUD]]) *
  (Lists3.1_Longlist[Language]=Language),
  Lists3.1_Longlist[Mat. Cat 1]
)</f>
        <v>Produits chimiques</v>
      </c>
      <c r="D74" s="41" t="str" cm="1">
        <f t="array" ref="D74">IF(_xlfn.XLOOKUP(
  1,
  (Lists3.1_Longlist[IUD]=Lists3.1_Shortlist[[#This Row],[IUD]]) *
  (Lists3.1_Longlist[Language]=Language),
  Lists3.1_Longlist[Mat. Cat. 2]
)=0,"",_xlfn.XLOOKUP(
  1,
  (Lists3.1_Longlist[IUD]=Lists3.1_Shortlist[[#This Row],[IUD]]) *
  (Lists3.1_Longlist[Language]=Language),
  Lists3.1_Longlist[Mat. Cat. 2]
))</f>
        <v>Acides organiques</v>
      </c>
      <c r="E74" s="41" t="str" cm="1">
        <f t="array" ref="E74">IF(_xlfn.XLOOKUP(
  1,
  (Lists3.1_Longlist[IUD]=Lists3.1_Shortlist[[#This Row],[IUD]]) *
  (Lists3.1_Longlist[Language]=Language),
  Lists3.1_Longlist[Mat. Cat. 3]
)=0,"",_xlfn.XLOOKUP(
  1,
  (Lists3.1_Longlist[IUD]=Lists3.1_Shortlist[[#This Row],[IUD]]) *
  (Lists3.1_Longlist[Language]=Language),
  Lists3.1_Longlist[Mat. Cat. 3]
))</f>
        <v>Acide formique</v>
      </c>
      <c r="F74" s="32" t="s">
        <v>88</v>
      </c>
      <c r="G74" s="32" t="s">
        <v>28031</v>
      </c>
      <c r="H74" s="44"/>
      <c r="I74" s="30"/>
      <c r="J74" s="30"/>
      <c r="K74" s="30"/>
      <c r="L74" s="30"/>
      <c r="M74" s="30"/>
      <c r="N74" s="30"/>
      <c r="O74" s="30"/>
      <c r="P74" s="30"/>
      <c r="Q74" s="30"/>
      <c r="R74" s="30"/>
      <c r="S74" s="30"/>
      <c r="T74" s="30"/>
      <c r="U74" s="30"/>
      <c r="V74" s="30"/>
      <c r="W74" s="30"/>
      <c r="X74" s="30"/>
      <c r="Y74" s="30"/>
    </row>
    <row r="75" spans="1:25" x14ac:dyDescent="0.25">
      <c r="A75" s="30"/>
      <c r="B75" s="41" t="s">
        <v>976</v>
      </c>
      <c r="C75" s="41" t="str" cm="1">
        <f t="array" ref="C75">_xlfn.XLOOKUP(
  1,
  (Lists3.1_Longlist[IUD]=Lists3.1_Shortlist[[#This Row],[IUD]]) *
  (Lists3.1_Longlist[Language]=Language),
  Lists3.1_Longlist[Mat. Cat 1]
)</f>
        <v>Produits chimiques</v>
      </c>
      <c r="D75" s="41" t="str" cm="1">
        <f t="array" ref="D75">IF(_xlfn.XLOOKUP(
  1,
  (Lists3.1_Longlist[IUD]=Lists3.1_Shortlist[[#This Row],[IUD]]) *
  (Lists3.1_Longlist[Language]=Language),
  Lists3.1_Longlist[Mat. Cat. 2]
)=0,"",_xlfn.XLOOKUP(
  1,
  (Lists3.1_Longlist[IUD]=Lists3.1_Shortlist[[#This Row],[IUD]]) *
  (Lists3.1_Longlist[Language]=Language),
  Lists3.1_Longlist[Mat. Cat. 2]
))</f>
        <v>Détergent</v>
      </c>
      <c r="E75" s="41" t="str" cm="1">
        <f t="array" ref="E75">IF(_xlfn.XLOOKUP(
  1,
  (Lists3.1_Longlist[IUD]=Lists3.1_Shortlist[[#This Row],[IUD]]) *
  (Lists3.1_Longlist[Language]=Language),
  Lists3.1_Longlist[Mat. Cat. 3]
)=0,"",_xlfn.XLOOKUP(
  1,
  (Lists3.1_Longlist[IUD]=Lists3.1_Shortlist[[#This Row],[IUD]]) *
  (Lists3.1_Longlist[Language]=Language),
  Lists3.1_Longlist[Mat. Cat. 3]
))</f>
        <v/>
      </c>
      <c r="F75" s="32" t="s">
        <v>88</v>
      </c>
      <c r="G75" s="32" t="s">
        <v>28032</v>
      </c>
      <c r="H75" s="30"/>
      <c r="I75" s="30"/>
      <c r="J75" s="30"/>
      <c r="K75" s="30"/>
      <c r="L75" s="30"/>
      <c r="M75" s="30"/>
      <c r="N75" s="30"/>
      <c r="O75" s="30"/>
      <c r="P75" s="30"/>
      <c r="Q75" s="30"/>
      <c r="R75" s="30"/>
      <c r="S75" s="30"/>
      <c r="T75" s="30"/>
      <c r="U75" s="30"/>
      <c r="V75" s="30"/>
      <c r="W75" s="30"/>
      <c r="X75" s="30"/>
      <c r="Y75" s="30"/>
    </row>
    <row r="76" spans="1:25" x14ac:dyDescent="0.25">
      <c r="A76" s="30"/>
      <c r="B76" s="41" t="s">
        <v>976</v>
      </c>
      <c r="C76" s="41" t="str" cm="1">
        <f t="array" ref="C76">_xlfn.XLOOKUP(
  1,
  (Lists3.1_Longlist[IUD]=Lists3.1_Shortlist[[#This Row],[IUD]]) *
  (Lists3.1_Longlist[Language]=Language),
  Lists3.1_Longlist[Mat. Cat 1]
)</f>
        <v>Produits chimiques</v>
      </c>
      <c r="D76" s="41" t="str" cm="1">
        <f t="array" ref="D76">IF(_xlfn.XLOOKUP(
  1,
  (Lists3.1_Longlist[IUD]=Lists3.1_Shortlist[[#This Row],[IUD]]) *
  (Lists3.1_Longlist[Language]=Language),
  Lists3.1_Longlist[Mat. Cat. 2]
)=0,"",_xlfn.XLOOKUP(
  1,
  (Lists3.1_Longlist[IUD]=Lists3.1_Shortlist[[#This Row],[IUD]]) *
  (Lists3.1_Longlist[Language]=Language),
  Lists3.1_Longlist[Mat. Cat. 2]
))</f>
        <v>Détergent</v>
      </c>
      <c r="E76" s="41" t="str" cm="1">
        <f t="array" ref="E76">IF(_xlfn.XLOOKUP(
  1,
  (Lists3.1_Longlist[IUD]=Lists3.1_Shortlist[[#This Row],[IUD]]) *
  (Lists3.1_Longlist[Language]=Language),
  Lists3.1_Longlist[Mat. Cat. 3]
)=0,"",_xlfn.XLOOKUP(
  1,
  (Lists3.1_Longlist[IUD]=Lists3.1_Shortlist[[#This Row],[IUD]]) *
  (Lists3.1_Longlist[Language]=Language),
  Lists3.1_Longlist[Mat. Cat. 3]
))</f>
        <v>Alcool éthoxylé</v>
      </c>
      <c r="F76" s="32" t="s">
        <v>88</v>
      </c>
      <c r="G76" s="32" t="s">
        <v>28033</v>
      </c>
      <c r="H76" s="30"/>
      <c r="I76" s="30"/>
      <c r="J76" s="30"/>
      <c r="K76" s="30"/>
      <c r="L76" s="30"/>
      <c r="M76" s="30"/>
      <c r="N76" s="30"/>
      <c r="O76" s="30"/>
      <c r="P76" s="30"/>
      <c r="Q76" s="30"/>
      <c r="R76" s="30"/>
      <c r="S76" s="30"/>
      <c r="T76" s="30"/>
      <c r="U76" s="30"/>
      <c r="V76" s="30"/>
      <c r="W76" s="30"/>
      <c r="X76" s="30"/>
      <c r="Y76" s="30"/>
    </row>
    <row r="77" spans="1:25" x14ac:dyDescent="0.25">
      <c r="A77" s="30"/>
      <c r="B77" s="41" t="s">
        <v>977</v>
      </c>
      <c r="C77" s="41" t="str" cm="1">
        <f t="array" ref="C77">_xlfn.XLOOKUP(
  1,
  (Lists3.1_Longlist[IUD]=Lists3.1_Shortlist[[#This Row],[IUD]]) *
  (Lists3.1_Longlist[Language]=Language),
  Lists3.1_Longlist[Mat. Cat 1]
)</f>
        <v>Produits chimiques</v>
      </c>
      <c r="D77" s="41" t="str" cm="1">
        <f t="array" ref="D77">IF(_xlfn.XLOOKUP(
  1,
  (Lists3.1_Longlist[IUD]=Lists3.1_Shortlist[[#This Row],[IUD]]) *
  (Lists3.1_Longlist[Language]=Language),
  Lists3.1_Longlist[Mat. Cat. 2]
)=0,"",_xlfn.XLOOKUP(
  1,
  (Lists3.1_Longlist[IUD]=Lists3.1_Shortlist[[#This Row],[IUD]]) *
  (Lists3.1_Longlist[Language]=Language),
  Lists3.1_Longlist[Mat. Cat. 2]
))</f>
        <v>Détergent</v>
      </c>
      <c r="E77" s="41" t="str" cm="1">
        <f t="array" ref="E77">IF(_xlfn.XLOOKUP(
  1,
  (Lists3.1_Longlist[IUD]=Lists3.1_Shortlist[[#This Row],[IUD]]) *
  (Lists3.1_Longlist[Language]=Language),
  Lists3.1_Longlist[Mat. Cat. 3]
)=0,"",_xlfn.XLOOKUP(
  1,
  (Lists3.1_Longlist[IUD]=Lists3.1_Shortlist[[#This Row],[IUD]]) *
  (Lists3.1_Longlist[Language]=Language),
  Lists3.1_Longlist[Mat. Cat. 3]
))</f>
        <v>Sulfate d’alcool gras</v>
      </c>
      <c r="F77" s="32" t="s">
        <v>88</v>
      </c>
      <c r="G77" s="32" t="s">
        <v>28034</v>
      </c>
      <c r="H77" s="30"/>
      <c r="I77" s="30"/>
      <c r="J77" s="30"/>
      <c r="K77" s="30"/>
      <c r="L77" s="30"/>
      <c r="M77" s="30"/>
      <c r="N77" s="30"/>
      <c r="O77" s="30"/>
      <c r="P77" s="30"/>
      <c r="Q77" s="30"/>
      <c r="R77" s="30"/>
      <c r="S77" s="30"/>
      <c r="T77" s="30"/>
      <c r="U77" s="30"/>
      <c r="V77" s="30"/>
      <c r="W77" s="30"/>
      <c r="X77" s="30"/>
      <c r="Y77" s="30"/>
    </row>
    <row r="78" spans="1:25" x14ac:dyDescent="0.25">
      <c r="A78" s="30"/>
      <c r="B78" s="41" t="s">
        <v>978</v>
      </c>
      <c r="C78" s="41" t="str" cm="1">
        <f t="array" ref="C78">_xlfn.XLOOKUP(
  1,
  (Lists3.1_Longlist[IUD]=Lists3.1_Shortlist[[#This Row],[IUD]]) *
  (Lists3.1_Longlist[Language]=Language),
  Lists3.1_Longlist[Mat. Cat 1]
)</f>
        <v>Produits chimiques</v>
      </c>
      <c r="D78" s="41" t="str" cm="1">
        <f t="array" ref="D78">IF(_xlfn.XLOOKUP(
  1,
  (Lists3.1_Longlist[IUD]=Lists3.1_Shortlist[[#This Row],[IUD]]) *
  (Lists3.1_Longlist[Language]=Language),
  Lists3.1_Longlist[Mat. Cat. 2]
)=0,"",_xlfn.XLOOKUP(
  1,
  (Lists3.1_Longlist[IUD]=Lists3.1_Shortlist[[#This Row],[IUD]]) *
  (Lists3.1_Longlist[Language]=Language),
  Lists3.1_Longlist[Mat. Cat. 2]
))</f>
        <v>Détergent</v>
      </c>
      <c r="E78" s="41" t="str" cm="1">
        <f t="array" ref="E78">IF(_xlfn.XLOOKUP(
  1,
  (Lists3.1_Longlist[IUD]=Lists3.1_Shortlist[[#This Row],[IUD]]) *
  (Lists3.1_Longlist[Language]=Language),
  Lists3.1_Longlist[Mat. Cat. 3]
)=0,"",_xlfn.XLOOKUP(
  1,
  (Lists3.1_Longlist[IUD]=Lists3.1_Shortlist[[#This Row],[IUD]]) *
  (Lists3.1_Longlist[Language]=Language),
  Lists3.1_Longlist[Mat. Cat. 3]
))</f>
        <v>Savon</v>
      </c>
      <c r="F78" s="32" t="s">
        <v>88</v>
      </c>
      <c r="G78" s="32" t="s">
        <v>28035</v>
      </c>
      <c r="H78" s="30"/>
      <c r="I78" s="30"/>
      <c r="J78" s="30"/>
      <c r="K78" s="30"/>
      <c r="L78" s="30"/>
      <c r="M78" s="30"/>
      <c r="N78" s="30"/>
      <c r="O78" s="30"/>
      <c r="P78" s="30"/>
      <c r="Q78" s="30"/>
      <c r="R78" s="30"/>
      <c r="S78" s="30"/>
      <c r="T78" s="30"/>
      <c r="U78" s="30"/>
      <c r="V78" s="30"/>
      <c r="W78" s="30"/>
      <c r="X78" s="30"/>
      <c r="Y78" s="30"/>
    </row>
    <row r="79" spans="1:25" x14ac:dyDescent="0.25">
      <c r="A79" s="30"/>
      <c r="B79" s="41" t="s">
        <v>979</v>
      </c>
      <c r="C79" s="41" t="str" cm="1">
        <f t="array" ref="C79">_xlfn.XLOOKUP(
  1,
  (Lists3.1_Longlist[IUD]=Lists3.1_Shortlist[[#This Row],[IUD]]) *
  (Lists3.1_Longlist[Language]=Language),
  Lists3.1_Longlist[Mat. Cat 1]
)</f>
        <v>Autres</v>
      </c>
      <c r="D79" s="41" t="str" cm="1">
        <f t="array" ref="D79">IF(_xlfn.XLOOKUP(
  1,
  (Lists3.1_Longlist[IUD]=Lists3.1_Shortlist[[#This Row],[IUD]]) *
  (Lists3.1_Longlist[Language]=Language),
  Lists3.1_Longlist[Mat. Cat. 2]
)=0,"",_xlfn.XLOOKUP(
  1,
  (Lists3.1_Longlist[IUD]=Lists3.1_Shortlist[[#This Row],[IUD]]) *
  (Lists3.1_Longlist[Language]=Language),
  Lists3.1_Longlist[Mat. Cat. 2]
))</f>
        <v>Adhésif</v>
      </c>
      <c r="E79" s="41" t="str" cm="1">
        <f t="array" ref="E79">IF(_xlfn.XLOOKUP(
  1,
  (Lists3.1_Longlist[IUD]=Lists3.1_Shortlist[[#This Row],[IUD]]) *
  (Lists3.1_Longlist[Language]=Language),
  Lists3.1_Longlist[Mat. Cat. 3]
)=0,"",_xlfn.XLOOKUP(
  1,
  (Lists3.1_Longlist[IUD]=Lists3.1_Shortlist[[#This Row],[IUD]]) *
  (Lists3.1_Longlist[Language]=Language),
  Lists3.1_Longlist[Mat. Cat. 3]
))</f>
        <v/>
      </c>
      <c r="F79" s="32" t="s">
        <v>88</v>
      </c>
      <c r="G79" s="32" t="s">
        <v>28036</v>
      </c>
      <c r="H79" s="30"/>
      <c r="I79" s="30"/>
      <c r="J79" s="30"/>
      <c r="K79" s="30"/>
      <c r="L79" s="30"/>
      <c r="M79" s="30"/>
      <c r="N79" s="30"/>
      <c r="O79" s="30"/>
      <c r="P79" s="30"/>
      <c r="Q79" s="30"/>
      <c r="R79" s="30"/>
      <c r="S79" s="30"/>
      <c r="T79" s="30"/>
      <c r="U79" s="30"/>
      <c r="V79" s="30"/>
      <c r="W79" s="30"/>
      <c r="X79" s="30"/>
      <c r="Y79" s="30"/>
    </row>
    <row r="80" spans="1:25" x14ac:dyDescent="0.25">
      <c r="A80" s="30"/>
      <c r="B80" s="41" t="s">
        <v>980</v>
      </c>
      <c r="C80" s="41" t="str" cm="1">
        <f t="array" ref="C80">_xlfn.XLOOKUP(
  1,
  (Lists3.1_Longlist[IUD]=Lists3.1_Shortlist[[#This Row],[IUD]]) *
  (Lists3.1_Longlist[Language]=Language),
  Lists3.1_Longlist[Mat. Cat 1]
)</f>
        <v>Autres</v>
      </c>
      <c r="D80" s="41" t="str" cm="1">
        <f t="array" ref="D80">IF(_xlfn.XLOOKUP(
  1,
  (Lists3.1_Longlist[IUD]=Lists3.1_Shortlist[[#This Row],[IUD]]) *
  (Lists3.1_Longlist[Language]=Language),
  Lists3.1_Longlist[Mat. Cat. 2]
)=0,"",_xlfn.XLOOKUP(
  1,
  (Lists3.1_Longlist[IUD]=Lists3.1_Shortlist[[#This Row],[IUD]]) *
  (Lists3.1_Longlist[Language]=Language),
  Lists3.1_Longlist[Mat. Cat. 2]
))</f>
        <v>Huile lubrifiante</v>
      </c>
      <c r="E80" s="41" t="str" cm="1">
        <f t="array" ref="E80">IF(_xlfn.XLOOKUP(
  1,
  (Lists3.1_Longlist[IUD]=Lists3.1_Shortlist[[#This Row],[IUD]]) *
  (Lists3.1_Longlist[Language]=Language),
  Lists3.1_Longlist[Mat. Cat. 3]
)=0,"",_xlfn.XLOOKUP(
  1,
  (Lists3.1_Longlist[IUD]=Lists3.1_Shortlist[[#This Row],[IUD]]) *
  (Lists3.1_Longlist[Language]=Language),
  Lists3.1_Longlist[Mat. Cat. 3]
))</f>
        <v/>
      </c>
      <c r="F80" s="32" t="s">
        <v>88</v>
      </c>
      <c r="G80" s="32" t="s">
        <v>28037</v>
      </c>
      <c r="H80" s="30"/>
      <c r="I80" s="30"/>
      <c r="J80" s="30"/>
      <c r="K80" s="30"/>
      <c r="L80" s="30"/>
      <c r="M80" s="30"/>
      <c r="N80" s="30"/>
      <c r="O80" s="30"/>
      <c r="P80" s="30"/>
      <c r="Q80" s="30"/>
      <c r="R80" s="30"/>
      <c r="S80" s="30"/>
      <c r="T80" s="30"/>
      <c r="U80" s="30"/>
      <c r="V80" s="30"/>
      <c r="W80" s="30"/>
      <c r="X80" s="30"/>
      <c r="Y80" s="30"/>
    </row>
    <row r="81" spans="1:25" x14ac:dyDescent="0.25">
      <c r="A81" s="30"/>
      <c r="B81" s="41" t="s">
        <v>981</v>
      </c>
      <c r="C81" s="41" t="str" cm="1">
        <f t="array" ref="C81">_xlfn.XLOOKUP(
  1,
  (Lists3.1_Longlist[IUD]=Lists3.1_Shortlist[[#This Row],[IUD]]) *
  (Lists3.1_Longlist[Language]=Language),
  Lists3.1_Longlist[Mat. Cat 1]
)</f>
        <v>Autres</v>
      </c>
      <c r="D81" s="41" t="str" cm="1">
        <f t="array" ref="D81">IF(_xlfn.XLOOKUP(
  1,
  (Lists3.1_Longlist[IUD]=Lists3.1_Shortlist[[#This Row],[IUD]]) *
  (Lists3.1_Longlist[Language]=Language),
  Lists3.1_Longlist[Mat. Cat. 2]
)=0,"",_xlfn.XLOOKUP(
  1,
  (Lists3.1_Longlist[IUD]=Lists3.1_Shortlist[[#This Row],[IUD]]) *
  (Lists3.1_Longlist[Language]=Language),
  Lists3.1_Longlist[Mat. Cat. 2]
))</f>
        <v>Produit en silicone</v>
      </c>
      <c r="E81" s="41" t="str" cm="1">
        <f t="array" ref="E81">IF(_xlfn.XLOOKUP(
  1,
  (Lists3.1_Longlist[IUD]=Lists3.1_Shortlist[[#This Row],[IUD]]) *
  (Lists3.1_Longlist[Language]=Language),
  Lists3.1_Longlist[Mat. Cat. 3]
)=0,"",_xlfn.XLOOKUP(
  1,
  (Lists3.1_Longlist[IUD]=Lists3.1_Shortlist[[#This Row],[IUD]]) *
  (Lists3.1_Longlist[Language]=Language),
  Lists3.1_Longlist[Mat. Cat. 3]
))</f>
        <v/>
      </c>
      <c r="F81" s="32" t="s">
        <v>88</v>
      </c>
      <c r="G81" s="32" t="s">
        <v>28038</v>
      </c>
      <c r="H81" s="30"/>
      <c r="I81" s="30"/>
      <c r="J81" s="30"/>
      <c r="K81" s="30"/>
      <c r="L81" s="30"/>
      <c r="M81" s="30"/>
      <c r="N81" s="30"/>
      <c r="O81" s="30"/>
      <c r="P81" s="30"/>
      <c r="Q81" s="30"/>
      <c r="R81" s="30"/>
      <c r="S81" s="30"/>
      <c r="T81" s="30"/>
      <c r="U81" s="30"/>
      <c r="V81" s="30"/>
      <c r="W81" s="30"/>
      <c r="X81" s="30"/>
      <c r="Y81" s="30"/>
    </row>
    <row r="82" spans="1:25" x14ac:dyDescent="0.25">
      <c r="A82" s="30"/>
      <c r="B82" s="41" t="s">
        <v>982</v>
      </c>
      <c r="C82" s="41" t="str" cm="1">
        <f t="array" ref="C82">_xlfn.XLOOKUP(
  1,
  (Lists3.1_Longlist[IUD]=Lists3.1_Shortlist[[#This Row],[IUD]]) *
  (Lists3.1_Longlist[Language]=Language),
  Lists3.1_Longlist[Mat. Cat 1]
)</f>
        <v>Électronique</v>
      </c>
      <c r="D82" s="41" t="str" cm="1">
        <f t="array" ref="D82">IF(_xlfn.XLOOKUP(
  1,
  (Lists3.1_Longlist[IUD]=Lists3.1_Shortlist[[#This Row],[IUD]]) *
  (Lists3.1_Longlist[Language]=Language),
  Lists3.1_Longlist[Mat. Cat. 2]
)=0,"",_xlfn.XLOOKUP(
  1,
  (Lists3.1_Longlist[IUD]=Lists3.1_Shortlist[[#This Row],[IUD]]) *
  (Lists3.1_Longlist[Language]=Language),
  Lists3.1_Longlist[Mat. Cat. 2]
))</f>
        <v>Batterie</v>
      </c>
      <c r="E82" s="41" t="str" cm="1">
        <f t="array" ref="E82">IF(_xlfn.XLOOKUP(
  1,
  (Lists3.1_Longlist[IUD]=Lists3.1_Shortlist[[#This Row],[IUD]]) *
  (Lists3.1_Longlist[Language]=Language),
  Lists3.1_Longlist[Mat. Cat. 3]
)=0,"",_xlfn.XLOOKUP(
  1,
  (Lists3.1_Longlist[IUD]=Lists3.1_Shortlist[[#This Row],[IUD]]) *
  (Lists3.1_Longlist[Language]=Language),
  Lists3.1_Longlist[Mat. Cat. 3]
))</f>
        <v/>
      </c>
      <c r="F82" s="32" t="s">
        <v>88</v>
      </c>
      <c r="G82" s="32" t="s">
        <v>28039</v>
      </c>
      <c r="H82" s="30"/>
      <c r="I82" s="30"/>
      <c r="J82" s="30"/>
      <c r="K82" s="30"/>
      <c r="L82" s="30"/>
      <c r="M82" s="30"/>
      <c r="N82" s="30"/>
      <c r="O82" s="30"/>
      <c r="P82" s="30"/>
      <c r="Q82" s="30"/>
      <c r="R82" s="30"/>
      <c r="S82" s="30"/>
      <c r="T82" s="30"/>
      <c r="U82" s="30"/>
      <c r="V82" s="30"/>
      <c r="W82" s="30"/>
      <c r="X82" s="30"/>
      <c r="Y82" s="30"/>
    </row>
    <row r="83" spans="1:25" x14ac:dyDescent="0.25">
      <c r="A83" s="30"/>
      <c r="B83" s="41" t="s">
        <v>983</v>
      </c>
      <c r="C83" s="41" t="str" cm="1">
        <f t="array" ref="C83">_xlfn.XLOOKUP(
  1,
  (Lists3.1_Longlist[IUD]=Lists3.1_Shortlist[[#This Row],[IUD]]) *
  (Lists3.1_Longlist[Language]=Language),
  Lists3.1_Longlist[Mat. Cat 1]
)</f>
        <v>Électronique</v>
      </c>
      <c r="D83" s="41" t="str" cm="1">
        <f t="array" ref="D83">IF(_xlfn.XLOOKUP(
  1,
  (Lists3.1_Longlist[IUD]=Lists3.1_Shortlist[[#This Row],[IUD]]) *
  (Lists3.1_Longlist[Language]=Language),
  Lists3.1_Longlist[Mat. Cat. 2]
)=0,"",_xlfn.XLOOKUP(
  1,
  (Lists3.1_Longlist[IUD]=Lists3.1_Shortlist[[#This Row],[IUD]]) *
  (Lists3.1_Longlist[Language]=Language),
  Lists3.1_Longlist[Mat. Cat. 2]
))</f>
        <v>Batterie</v>
      </c>
      <c r="E83" s="41" t="str" cm="1">
        <f t="array" ref="E83">IF(_xlfn.XLOOKUP(
  1,
  (Lists3.1_Longlist[IUD]=Lists3.1_Shortlist[[#This Row],[IUD]]) *
  (Lists3.1_Longlist[Language]=Language),
  Lists3.1_Longlist[Mat. Cat. 3]
)=0,"",_xlfn.XLOOKUP(
  1,
  (Lists3.1_Longlist[IUD]=Lists3.1_Shortlist[[#This Row],[IUD]]) *
  (Lists3.1_Longlist[Language]=Language),
  Lists3.1_Longlist[Mat. Cat. 3]
))</f>
        <v>Batterie lithium (cellule)</v>
      </c>
      <c r="F83" s="32" t="s">
        <v>88</v>
      </c>
      <c r="G83" s="32" t="s">
        <v>28040</v>
      </c>
      <c r="H83" s="44"/>
      <c r="I83" s="30"/>
      <c r="J83" s="30"/>
      <c r="K83" s="30"/>
      <c r="L83" s="30"/>
      <c r="M83" s="30"/>
      <c r="N83" s="30"/>
      <c r="O83" s="30"/>
      <c r="P83" s="30"/>
      <c r="Q83" s="30"/>
      <c r="R83" s="30"/>
      <c r="S83" s="30"/>
      <c r="T83" s="30"/>
      <c r="U83" s="30"/>
      <c r="V83" s="30"/>
      <c r="W83" s="30"/>
      <c r="X83" s="30"/>
      <c r="Y83" s="30"/>
    </row>
    <row r="84" spans="1:25" x14ac:dyDescent="0.25">
      <c r="A84" s="30"/>
      <c r="B84" s="41" t="s">
        <v>982</v>
      </c>
      <c r="C84" s="41" t="str" cm="1">
        <f t="array" ref="C84">_xlfn.XLOOKUP(
  1,
  (Lists3.1_Longlist[IUD]=Lists3.1_Shortlist[[#This Row],[IUD]]) *
  (Lists3.1_Longlist[Language]=Language),
  Lists3.1_Longlist[Mat. Cat 1]
)</f>
        <v>Électronique</v>
      </c>
      <c r="D84" s="41" t="str" cm="1">
        <f t="array" ref="D84">IF(_xlfn.XLOOKUP(
  1,
  (Lists3.1_Longlist[IUD]=Lists3.1_Shortlist[[#This Row],[IUD]]) *
  (Lists3.1_Longlist[Language]=Language),
  Lists3.1_Longlist[Mat. Cat. 2]
)=0,"",_xlfn.XLOOKUP(
  1,
  (Lists3.1_Longlist[IUD]=Lists3.1_Shortlist[[#This Row],[IUD]]) *
  (Lists3.1_Longlist[Language]=Language),
  Lists3.1_Longlist[Mat. Cat. 2]
))</f>
        <v>Batterie</v>
      </c>
      <c r="E84" s="41" t="str" cm="1">
        <f t="array" ref="E84">IF(_xlfn.XLOOKUP(
  1,
  (Lists3.1_Longlist[IUD]=Lists3.1_Shortlist[[#This Row],[IUD]]) *
  (Lists3.1_Longlist[Language]=Language),
  Lists3.1_Longlist[Mat. Cat. 3]
)=0,"",_xlfn.XLOOKUP(
  1,
  (Lists3.1_Longlist[IUD]=Lists3.1_Shortlist[[#This Row],[IUD]]) *
  (Lists3.1_Longlist[Language]=Language),
  Lists3.1_Longlist[Mat. Cat. 3]
))</f>
        <v>Batterie lithium rechargeable</v>
      </c>
      <c r="F84" s="32" t="s">
        <v>88</v>
      </c>
      <c r="G84" s="32" t="s">
        <v>28041</v>
      </c>
      <c r="H84" s="30"/>
      <c r="I84" s="30"/>
      <c r="J84" s="30"/>
      <c r="K84" s="30"/>
      <c r="L84" s="30"/>
      <c r="M84" s="30"/>
      <c r="N84" s="30"/>
      <c r="O84" s="30"/>
      <c r="P84" s="30"/>
      <c r="Q84" s="30"/>
      <c r="R84" s="30"/>
      <c r="S84" s="30"/>
      <c r="T84" s="30"/>
      <c r="U84" s="30"/>
      <c r="V84" s="30"/>
      <c r="W84" s="30"/>
      <c r="X84" s="30"/>
      <c r="Y84" s="30"/>
    </row>
    <row r="85" spans="1:25" x14ac:dyDescent="0.25">
      <c r="A85" s="30"/>
      <c r="B85" s="41" t="s">
        <v>984</v>
      </c>
      <c r="C85" s="41" t="str" cm="1">
        <f t="array" ref="C85">_xlfn.XLOOKUP(
  1,
  (Lists3.1_Longlist[IUD]=Lists3.1_Shortlist[[#This Row],[IUD]]) *
  (Lists3.1_Longlist[Language]=Language),
  Lists3.1_Longlist[Mat. Cat 1]
)</f>
        <v>Électronique</v>
      </c>
      <c r="D85" s="41" t="str" cm="1">
        <f t="array" ref="D85">IF(_xlfn.XLOOKUP(
  1,
  (Lists3.1_Longlist[IUD]=Lists3.1_Shortlist[[#This Row],[IUD]]) *
  (Lists3.1_Longlist[Language]=Language),
  Lists3.1_Longlist[Mat. Cat. 2]
)=0,"",_xlfn.XLOOKUP(
  1,
  (Lists3.1_Longlist[IUD]=Lists3.1_Shortlist[[#This Row],[IUD]]) *
  (Lists3.1_Longlist[Language]=Language),
  Lists3.1_Longlist[Mat. Cat. 2]
))</f>
        <v>Batterie</v>
      </c>
      <c r="E85" s="41" t="str" cm="1">
        <f t="array" ref="E85">IF(_xlfn.XLOOKUP(
  1,
  (Lists3.1_Longlist[IUD]=Lists3.1_Shortlist[[#This Row],[IUD]]) *
  (Lists3.1_Longlist[Language]=Language),
  Lists3.1_Longlist[Mat. Cat. 3]
)=0,"",_xlfn.XLOOKUP(
  1,
  (Lists3.1_Longlist[IUD]=Lists3.1_Shortlist[[#This Row],[IUD]]) *
  (Lists3.1_Longlist[Language]=Language),
  Lists3.1_Longlist[Mat. Cat. 3]
))</f>
        <v>Batterie NaCl (cellule)</v>
      </c>
      <c r="F85" s="32" t="s">
        <v>88</v>
      </c>
      <c r="G85" s="32" t="s">
        <v>28042</v>
      </c>
      <c r="H85" s="44"/>
      <c r="I85" s="30"/>
      <c r="J85" s="30"/>
      <c r="K85" s="30"/>
      <c r="L85" s="30"/>
      <c r="M85" s="30"/>
      <c r="N85" s="30"/>
      <c r="O85" s="30"/>
      <c r="P85" s="30"/>
      <c r="Q85" s="30"/>
      <c r="R85" s="30"/>
      <c r="S85" s="30"/>
      <c r="T85" s="30"/>
      <c r="U85" s="30"/>
      <c r="V85" s="30"/>
      <c r="W85" s="30"/>
      <c r="X85" s="30"/>
      <c r="Y85" s="30"/>
    </row>
    <row r="86" spans="1:25" x14ac:dyDescent="0.25">
      <c r="A86" s="30"/>
      <c r="B86" s="41" t="s">
        <v>985</v>
      </c>
      <c r="C86" s="41" t="str" cm="1">
        <f t="array" ref="C86">_xlfn.XLOOKUP(
  1,
  (Lists3.1_Longlist[IUD]=Lists3.1_Shortlist[[#This Row],[IUD]]) *
  (Lists3.1_Longlist[Language]=Language),
  Lists3.1_Longlist[Mat. Cat 1]
)</f>
        <v>Électronique</v>
      </c>
      <c r="D86" s="41" t="str" cm="1">
        <f t="array" ref="D86">IF(_xlfn.XLOOKUP(
  1,
  (Lists3.1_Longlist[IUD]=Lists3.1_Shortlist[[#This Row],[IUD]]) *
  (Lists3.1_Longlist[Language]=Language),
  Lists3.1_Longlist[Mat. Cat. 2]
)=0,"",_xlfn.XLOOKUP(
  1,
  (Lists3.1_Longlist[IUD]=Lists3.1_Shortlist[[#This Row],[IUD]]) *
  (Lists3.1_Longlist[Language]=Language),
  Lists3.1_Longlist[Mat. Cat. 2]
))</f>
        <v>Encre d'imprimante</v>
      </c>
      <c r="E86" s="41" t="str" cm="1">
        <f t="array" ref="E86">IF(_xlfn.XLOOKUP(
  1,
  (Lists3.1_Longlist[IUD]=Lists3.1_Shortlist[[#This Row],[IUD]]) *
  (Lists3.1_Longlist[Language]=Language),
  Lists3.1_Longlist[Mat. Cat. 3]
)=0,"",_xlfn.XLOOKUP(
  1,
  (Lists3.1_Longlist[IUD]=Lists3.1_Shortlist[[#This Row],[IUD]]) *
  (Lists3.1_Longlist[Language]=Language),
  Lists3.1_Longlist[Mat. Cat. 3]
))</f>
        <v>Encre d’impression offset (sans solvants)</v>
      </c>
      <c r="F86" s="32" t="s">
        <v>88</v>
      </c>
      <c r="G86" s="32" t="s">
        <v>28043</v>
      </c>
      <c r="H86" s="44"/>
      <c r="I86" s="30"/>
      <c r="J86" s="30"/>
      <c r="K86" s="30"/>
      <c r="L86" s="30"/>
      <c r="M86" s="30"/>
      <c r="N86" s="30"/>
      <c r="O86" s="30"/>
      <c r="P86" s="30"/>
      <c r="Q86" s="30"/>
      <c r="R86" s="30"/>
      <c r="S86" s="30"/>
      <c r="T86" s="30"/>
      <c r="U86" s="30"/>
      <c r="V86" s="30"/>
      <c r="W86" s="30"/>
      <c r="X86" s="30"/>
      <c r="Y86" s="30"/>
    </row>
    <row r="87" spans="1:25" x14ac:dyDescent="0.25">
      <c r="A87" s="30"/>
      <c r="B87" s="41" t="s">
        <v>986</v>
      </c>
      <c r="C87" s="41" t="str" cm="1">
        <f t="array" ref="C87">_xlfn.XLOOKUP(
  1,
  (Lists3.1_Longlist[IUD]=Lists3.1_Shortlist[[#This Row],[IUD]]) *
  (Lists3.1_Longlist[Language]=Language),
  Lists3.1_Longlist[Mat. Cat 1]
)</f>
        <v>Électronique</v>
      </c>
      <c r="D87" s="41" t="str" cm="1">
        <f t="array" ref="D87">IF(_xlfn.XLOOKUP(
  1,
  (Lists3.1_Longlist[IUD]=Lists3.1_Shortlist[[#This Row],[IUD]]) *
  (Lists3.1_Longlist[Language]=Language),
  Lists3.1_Longlist[Mat. Cat. 2]
)=0,"",_xlfn.XLOOKUP(
  1,
  (Lists3.1_Longlist[IUD]=Lists3.1_Shortlist[[#This Row],[IUD]]) *
  (Lists3.1_Longlist[Language]=Language),
  Lists3.1_Longlist[Mat. Cat. 2]
))</f>
        <v>Encre d'imprimante</v>
      </c>
      <c r="E87" s="41" t="str" cm="1">
        <f t="array" ref="E87">IF(_xlfn.XLOOKUP(
  1,
  (Lists3.1_Longlist[IUD]=Lists3.1_Shortlist[[#This Row],[IUD]]) *
  (Lists3.1_Longlist[Language]=Language),
  Lists3.1_Longlist[Mat. Cat. 3]
)=0,"",_xlfn.XLOOKUP(
  1,
  (Lists3.1_Longlist[IUD]=Lists3.1_Shortlist[[#This Row],[IUD]]) *
  (Lists3.1_Longlist[Language]=Language),
  Lists3.1_Longlist[Mat. Cat. 3]
))</f>
        <v>Encre d’impression à gravure (sans solvant)</v>
      </c>
      <c r="F87" s="32" t="s">
        <v>88</v>
      </c>
      <c r="G87" s="32" t="s">
        <v>28044</v>
      </c>
      <c r="H87" s="44"/>
      <c r="I87" s="30"/>
      <c r="J87" s="30"/>
      <c r="K87" s="30"/>
      <c r="L87" s="30"/>
      <c r="M87" s="30"/>
      <c r="N87" s="30"/>
      <c r="O87" s="30"/>
      <c r="P87" s="30"/>
      <c r="Q87" s="30"/>
      <c r="R87" s="30"/>
      <c r="S87" s="30"/>
      <c r="T87" s="30"/>
      <c r="U87" s="30"/>
      <c r="V87" s="30"/>
      <c r="W87" s="30"/>
      <c r="X87" s="30"/>
      <c r="Y87" s="30"/>
    </row>
    <row r="88" spans="1:25" x14ac:dyDescent="0.25">
      <c r="A88" s="30"/>
      <c r="B88" s="41" t="s">
        <v>987</v>
      </c>
      <c r="C88" s="41" t="str" cm="1">
        <f t="array" ref="C88">_xlfn.XLOOKUP(
  1,
  (Lists3.1_Longlist[IUD]=Lists3.1_Shortlist[[#This Row],[IUD]]) *
  (Lists3.1_Longlist[Language]=Language),
  Lists3.1_Longlist[Mat. Cat 1]
)</f>
        <v>Électronique</v>
      </c>
      <c r="D88" s="41" t="str" cm="1">
        <f t="array" ref="D88">IF(_xlfn.XLOOKUP(
  1,
  (Lists3.1_Longlist[IUD]=Lists3.1_Shortlist[[#This Row],[IUD]]) *
  (Lists3.1_Longlist[Language]=Language),
  Lists3.1_Longlist[Mat. Cat. 2]
)=0,"",_xlfn.XLOOKUP(
  1,
  (Lists3.1_Longlist[IUD]=Lists3.1_Shortlist[[#This Row],[IUD]]) *
  (Lists3.1_Longlist[Language]=Language),
  Lists3.1_Longlist[Mat. Cat. 2]
))</f>
        <v>Encre d'imprimante</v>
      </c>
      <c r="E88" s="41" t="str" cm="1">
        <f t="array" ref="E88">IF(_xlfn.XLOOKUP(
  1,
  (Lists3.1_Longlist[IUD]=Lists3.1_Shortlist[[#This Row],[IUD]]) *
  (Lists3.1_Longlist[Language]=Language),
  Lists3.1_Longlist[Mat. Cat. 3]
)=0,"",_xlfn.XLOOKUP(
  1,
  (Lists3.1_Longlist[IUD]=Lists3.1_Shortlist[[#This Row],[IUD]]) *
  (Lists3.1_Longlist[Language]=Language),
  Lists3.1_Longlist[Mat. Cat. 3]
))</f>
        <v>Encre toner (poudre)</v>
      </c>
      <c r="F88" s="32" t="s">
        <v>88</v>
      </c>
      <c r="G88" s="32" t="s">
        <v>28045</v>
      </c>
      <c r="H88" s="44"/>
      <c r="I88" s="30"/>
      <c r="J88" s="30"/>
      <c r="K88" s="30"/>
      <c r="L88" s="30"/>
      <c r="M88" s="30"/>
      <c r="N88" s="30"/>
      <c r="O88" s="30"/>
      <c r="P88" s="30"/>
      <c r="Q88" s="30"/>
      <c r="R88" s="30"/>
      <c r="S88" s="30"/>
      <c r="T88" s="30"/>
      <c r="U88" s="30"/>
      <c r="V88" s="30"/>
      <c r="W88" s="30"/>
      <c r="X88" s="30"/>
      <c r="Y88" s="30"/>
    </row>
    <row r="89" spans="1:25" x14ac:dyDescent="0.25">
      <c r="A89" s="30"/>
      <c r="B89" s="41" t="s">
        <v>988</v>
      </c>
      <c r="C89" s="41" t="str" cm="1">
        <f t="array" ref="C89">_xlfn.XLOOKUP(
  1,
  (Lists3.1_Longlist[IUD]=Lists3.1_Shortlist[[#This Row],[IUD]]) *
  (Lists3.1_Longlist[Language]=Language),
  Lists3.1_Longlist[Mat. Cat 1]
)</f>
        <v>Électronique</v>
      </c>
      <c r="D89" s="41" t="str" cm="1">
        <f t="array" ref="D89">IF(_xlfn.XLOOKUP(
  1,
  (Lists3.1_Longlist[IUD]=Lists3.1_Shortlist[[#This Row],[IUD]]) *
  (Lists3.1_Longlist[Language]=Language),
  Lists3.1_Longlist[Mat. Cat. 2]
)=0,"",_xlfn.XLOOKUP(
  1,
  (Lists3.1_Longlist[IUD]=Lists3.1_Shortlist[[#This Row],[IUD]]) *
  (Lists3.1_Longlist[Language]=Language),
  Lists3.1_Longlist[Mat. Cat. 2]
))</f>
        <v>Appareils</v>
      </c>
      <c r="E89" s="41" t="str" cm="1">
        <f t="array" ref="E89">IF(_xlfn.XLOOKUP(
  1,
  (Lists3.1_Longlist[IUD]=Lists3.1_Shortlist[[#This Row],[IUD]]) *
  (Lists3.1_Longlist[Language]=Language),
  Lists3.1_Longlist[Mat. Cat. 3]
)=0,"",_xlfn.XLOOKUP(
  1,
  (Lists3.1_Longlist[IUD]=Lists3.1_Shortlist[[#This Row],[IUD]]) *
  (Lists3.1_Longlist[Language]=Language),
  Lists3.1_Longlist[Mat. Cat. 3]
))</f>
        <v>Ordinateur portable</v>
      </c>
      <c r="F89" s="32" t="s">
        <v>989</v>
      </c>
      <c r="G89" s="32" t="s">
        <v>28046</v>
      </c>
      <c r="H89" s="30"/>
      <c r="I89" s="30"/>
      <c r="J89" s="30"/>
      <c r="K89" s="30"/>
      <c r="L89" s="30"/>
      <c r="M89" s="30"/>
      <c r="N89" s="30"/>
      <c r="O89" s="30"/>
      <c r="P89" s="30"/>
      <c r="Q89" s="30"/>
      <c r="R89" s="30"/>
      <c r="S89" s="30"/>
      <c r="T89" s="30"/>
      <c r="U89" s="30"/>
      <c r="V89" s="30"/>
      <c r="W89" s="30"/>
      <c r="X89" s="30"/>
      <c r="Y89" s="30"/>
    </row>
    <row r="90" spans="1:25" x14ac:dyDescent="0.25">
      <c r="A90" s="30"/>
      <c r="B90" s="41" t="s">
        <v>990</v>
      </c>
      <c r="C90" s="41" t="str" cm="1">
        <f t="array" ref="C90">_xlfn.XLOOKUP(
  1,
  (Lists3.1_Longlist[IUD]=Lists3.1_Shortlist[[#This Row],[IUD]]) *
  (Lists3.1_Longlist[Language]=Language),
  Lists3.1_Longlist[Mat. Cat 1]
)</f>
        <v>Électronique</v>
      </c>
      <c r="D90" s="41" t="str" cm="1">
        <f t="array" ref="D90">IF(_xlfn.XLOOKUP(
  1,
  (Lists3.1_Longlist[IUD]=Lists3.1_Shortlist[[#This Row],[IUD]]) *
  (Lists3.1_Longlist[Language]=Language),
  Lists3.1_Longlist[Mat. Cat. 2]
)=0,"",_xlfn.XLOOKUP(
  1,
  (Lists3.1_Longlist[IUD]=Lists3.1_Shortlist[[#This Row],[IUD]]) *
  (Lists3.1_Longlist[Language]=Language),
  Lists3.1_Longlist[Mat. Cat. 2]
))</f>
        <v>Appareils</v>
      </c>
      <c r="E90" s="41" t="str" cm="1">
        <f t="array" ref="E90">IF(_xlfn.XLOOKUP(
  1,
  (Lists3.1_Longlist[IUD]=Lists3.1_Shortlist[[#This Row],[IUD]]) *
  (Lists3.1_Longlist[Language]=Language),
  Lists3.1_Longlist[Mat. Cat. 3]
)=0,"",_xlfn.XLOOKUP(
  1,
  (Lists3.1_Longlist[IUD]=Lists3.1_Shortlist[[#This Row],[IUD]]) *
  (Lists3.1_Longlist[Language]=Language),
  Lists3.1_Longlist[Mat. Cat. 3]
))</f>
        <v>Imprimante</v>
      </c>
      <c r="F90" s="32" t="s">
        <v>989</v>
      </c>
      <c r="G90" s="32" t="s">
        <v>28047</v>
      </c>
      <c r="H90" s="30"/>
      <c r="I90" s="30"/>
      <c r="J90" s="30"/>
      <c r="K90" s="30"/>
      <c r="L90" s="30"/>
      <c r="M90" s="30"/>
      <c r="N90" s="30"/>
      <c r="O90" s="30"/>
      <c r="P90" s="30"/>
      <c r="Q90" s="30"/>
      <c r="R90" s="30"/>
      <c r="S90" s="30"/>
      <c r="T90" s="30"/>
      <c r="U90" s="30"/>
      <c r="V90" s="30"/>
      <c r="W90" s="30"/>
      <c r="X90" s="30"/>
      <c r="Y90" s="30"/>
    </row>
    <row r="91" spans="1:25" x14ac:dyDescent="0.25">
      <c r="A91" s="30"/>
      <c r="B91" s="41" t="s">
        <v>991</v>
      </c>
      <c r="C91" s="41" t="str" cm="1">
        <f t="array" ref="C91">_xlfn.XLOOKUP(
  1,
  (Lists3.1_Longlist[IUD]=Lists3.1_Shortlist[[#This Row],[IUD]]) *
  (Lists3.1_Longlist[Language]=Language),
  Lists3.1_Longlist[Mat. Cat 1]
)</f>
        <v>Électronique</v>
      </c>
      <c r="D91" s="41" t="str" cm="1">
        <f t="array" ref="D91">IF(_xlfn.XLOOKUP(
  1,
  (Lists3.1_Longlist[IUD]=Lists3.1_Shortlist[[#This Row],[IUD]]) *
  (Lists3.1_Longlist[Language]=Language),
  Lists3.1_Longlist[Mat. Cat. 2]
)=0,"",_xlfn.XLOOKUP(
  1,
  (Lists3.1_Longlist[IUD]=Lists3.1_Shortlist[[#This Row],[IUD]]) *
  (Lists3.1_Longlist[Language]=Language),
  Lists3.1_Longlist[Mat. Cat. 2]
))</f>
        <v>Appareils</v>
      </c>
      <c r="E91" s="41" t="str" cm="1">
        <f t="array" ref="E91">IF(_xlfn.XLOOKUP(
  1,
  (Lists3.1_Longlist[IUD]=Lists3.1_Shortlist[[#This Row],[IUD]]) *
  (Lists3.1_Longlist[Language]=Language),
  Lists3.1_Longlist[Mat. Cat. 3]
)=0,"",_xlfn.XLOOKUP(
  1,
  (Lists3.1_Longlist[IUD]=Lists3.1_Shortlist[[#This Row],[IUD]]) *
  (Lists3.1_Longlist[Language]=Language),
  Lists3.1_Longlist[Mat. Cat. 3]
))</f>
        <v>Routeur internet</v>
      </c>
      <c r="F91" s="32" t="s">
        <v>989</v>
      </c>
      <c r="G91" s="32" t="s">
        <v>28048</v>
      </c>
      <c r="H91" s="30"/>
      <c r="I91" s="30"/>
      <c r="J91" s="30"/>
      <c r="K91" s="30"/>
      <c r="L91" s="30"/>
      <c r="M91" s="30"/>
      <c r="N91" s="30"/>
      <c r="O91" s="30"/>
      <c r="P91" s="30"/>
      <c r="Q91" s="30"/>
      <c r="R91" s="30"/>
      <c r="S91" s="30"/>
      <c r="T91" s="30"/>
      <c r="U91" s="30"/>
      <c r="V91" s="30"/>
      <c r="W91" s="30"/>
      <c r="X91" s="30"/>
      <c r="Y91" s="30"/>
    </row>
    <row r="92" spans="1:25" x14ac:dyDescent="0.25">
      <c r="A92" s="30"/>
      <c r="B92" s="41" t="s">
        <v>992</v>
      </c>
      <c r="C92" s="41" t="str" cm="1">
        <f t="array" ref="C92">_xlfn.XLOOKUP(
  1,
  (Lists3.1_Longlist[IUD]=Lists3.1_Shortlist[[#This Row],[IUD]]) *
  (Lists3.1_Longlist[Language]=Language),
  Lists3.1_Longlist[Mat. Cat 1]
)</f>
        <v>Électronique</v>
      </c>
      <c r="D92" s="41" t="str" cm="1">
        <f t="array" ref="D92">IF(_xlfn.XLOOKUP(
  1,
  (Lists3.1_Longlist[IUD]=Lists3.1_Shortlist[[#This Row],[IUD]]) *
  (Lists3.1_Longlist[Language]=Language),
  Lists3.1_Longlist[Mat. Cat. 2]
)=0,"",_xlfn.XLOOKUP(
  1,
  (Lists3.1_Longlist[IUD]=Lists3.1_Shortlist[[#This Row],[IUD]]) *
  (Lists3.1_Longlist[Language]=Language),
  Lists3.1_Longlist[Mat. Cat. 2]
))</f>
        <v>Appareils</v>
      </c>
      <c r="E92" s="41" t="str" cm="1">
        <f t="array" ref="E92">IF(_xlfn.XLOOKUP(
  1,
  (Lists3.1_Longlist[IUD]=Lists3.1_Shortlist[[#This Row],[IUD]]) *
  (Lists3.1_Longlist[Language]=Language),
  Lists3.1_Longlist[Mat. Cat. 3]
)=0,"",_xlfn.XLOOKUP(
  1,
  (Lists3.1_Longlist[IUD]=Lists3.1_Shortlist[[#This Row],[IUD]]) *
  (Lists3.1_Longlist[Language]=Language),
  Lists3.1_Longlist[Mat. Cat. 3]
))</f>
        <v>Ordinateur de bureau / serveur (sans écran)</v>
      </c>
      <c r="F92" s="32" t="s">
        <v>989</v>
      </c>
      <c r="G92" s="32" t="s">
        <v>28049</v>
      </c>
      <c r="H92" s="30"/>
      <c r="I92" s="30"/>
      <c r="J92" s="30"/>
      <c r="K92" s="30"/>
      <c r="L92" s="30"/>
      <c r="M92" s="30"/>
      <c r="N92" s="30"/>
      <c r="O92" s="30"/>
      <c r="P92" s="30"/>
      <c r="Q92" s="30"/>
      <c r="R92" s="30"/>
      <c r="S92" s="30"/>
      <c r="T92" s="30"/>
      <c r="U92" s="30"/>
      <c r="V92" s="30"/>
      <c r="W92" s="30"/>
      <c r="X92" s="30"/>
      <c r="Y92" s="30"/>
    </row>
    <row r="93" spans="1:25" x14ac:dyDescent="0.25">
      <c r="A93" s="30"/>
      <c r="B93" s="41" t="s">
        <v>993</v>
      </c>
      <c r="C93" s="41" t="str" cm="1">
        <f t="array" ref="C93">_xlfn.XLOOKUP(
  1,
  (Lists3.1_Longlist[IUD]=Lists3.1_Shortlist[[#This Row],[IUD]]) *
  (Lists3.1_Longlist[Language]=Language),
  Lists3.1_Longlist[Mat. Cat 1]
)</f>
        <v>Électronique</v>
      </c>
      <c r="D93" s="41" t="str" cm="1">
        <f t="array" ref="D93">IF(_xlfn.XLOOKUP(
  1,
  (Lists3.1_Longlist[IUD]=Lists3.1_Shortlist[[#This Row],[IUD]]) *
  (Lists3.1_Longlist[Language]=Language),
  Lists3.1_Longlist[Mat. Cat. 2]
)=0,"",_xlfn.XLOOKUP(
  1,
  (Lists3.1_Longlist[IUD]=Lists3.1_Shortlist[[#This Row],[IUD]]) *
  (Lists3.1_Longlist[Language]=Language),
  Lists3.1_Longlist[Mat. Cat. 2]
))</f>
        <v>Appareils</v>
      </c>
      <c r="E93" s="41" t="str" cm="1">
        <f t="array" ref="E93">IF(_xlfn.XLOOKUP(
  1,
  (Lists3.1_Longlist[IUD]=Lists3.1_Shortlist[[#This Row],[IUD]]) *
  (Lists3.1_Longlist[Language]=Language),
  Lists3.1_Longlist[Mat. Cat. 3]
)=0,"",_xlfn.XLOOKUP(
  1,
  (Lists3.1_Longlist[IUD]=Lists3.1_Shortlist[[#This Row],[IUD]]) *
  (Lists3.1_Longlist[Language]=Language),
  Lists3.1_Longlist[Mat. Cat. 3]
))</f>
        <v>Écran LED</v>
      </c>
      <c r="F93" s="32" t="s">
        <v>989</v>
      </c>
      <c r="G93" s="32" t="s">
        <v>28050</v>
      </c>
      <c r="H93" s="30"/>
      <c r="I93" s="30"/>
      <c r="J93" s="30"/>
      <c r="K93" s="30"/>
      <c r="L93" s="30"/>
      <c r="M93" s="30"/>
      <c r="N93" s="30"/>
      <c r="O93" s="30"/>
      <c r="P93" s="30"/>
      <c r="Q93" s="30"/>
      <c r="R93" s="30"/>
      <c r="S93" s="30"/>
      <c r="T93" s="30"/>
      <c r="U93" s="30"/>
      <c r="V93" s="30"/>
      <c r="W93" s="30"/>
      <c r="X93" s="30"/>
      <c r="Y93" s="30"/>
    </row>
    <row r="94" spans="1:25" x14ac:dyDescent="0.25">
      <c r="A94" s="30"/>
      <c r="B94" s="41" t="s">
        <v>994</v>
      </c>
      <c r="C94" s="41" t="str" cm="1">
        <f t="array" ref="C94">_xlfn.XLOOKUP(
  1,
  (Lists3.1_Longlist[IUD]=Lists3.1_Shortlist[[#This Row],[IUD]]) *
  (Lists3.1_Longlist[Language]=Language),
  Lists3.1_Longlist[Mat. Cat 1]
)</f>
        <v>Électronique</v>
      </c>
      <c r="D94" s="41" t="str" cm="1">
        <f t="array" ref="D94">IF(_xlfn.XLOOKUP(
  1,
  (Lists3.1_Longlist[IUD]=Lists3.1_Shortlist[[#This Row],[IUD]]) *
  (Lists3.1_Longlist[Language]=Language),
  Lists3.1_Longlist[Mat. Cat. 2]
)=0,"",_xlfn.XLOOKUP(
  1,
  (Lists3.1_Longlist[IUD]=Lists3.1_Shortlist[[#This Row],[IUD]]) *
  (Lists3.1_Longlist[Language]=Language),
  Lists3.1_Longlist[Mat. Cat. 2]
))</f>
        <v>Appareils</v>
      </c>
      <c r="E94" s="41" t="str" cm="1">
        <f t="array" ref="E94">IF(_xlfn.XLOOKUP(
  1,
  (Lists3.1_Longlist[IUD]=Lists3.1_Shortlist[[#This Row],[IUD]]) *
  (Lists3.1_Longlist[Language]=Language),
  Lists3.1_Longlist[Mat. Cat. 3]
)=0,"",_xlfn.XLOOKUP(
  1,
  (Lists3.1_Longlist[IUD]=Lists3.1_Shortlist[[#This Row],[IUD]]) *
  (Lists3.1_Longlist[Language]=Language),
  Lists3.1_Longlist[Mat. Cat. 3]
))</f>
        <v>Écran OLED</v>
      </c>
      <c r="F94" s="32" t="s">
        <v>989</v>
      </c>
      <c r="G94" s="32" t="s">
        <v>28051</v>
      </c>
      <c r="H94" s="30"/>
      <c r="I94" s="30"/>
      <c r="J94" s="30"/>
      <c r="K94" s="30"/>
      <c r="L94" s="30"/>
      <c r="M94" s="30"/>
      <c r="N94" s="30"/>
      <c r="O94" s="30"/>
      <c r="P94" s="30"/>
      <c r="Q94" s="30"/>
      <c r="R94" s="30"/>
      <c r="S94" s="30"/>
      <c r="T94" s="30"/>
      <c r="U94" s="30"/>
      <c r="V94" s="30"/>
      <c r="W94" s="30"/>
      <c r="X94" s="30"/>
      <c r="Y94" s="30"/>
    </row>
    <row r="95" spans="1:25" x14ac:dyDescent="0.25">
      <c r="A95" s="30"/>
      <c r="B95" s="41" t="s">
        <v>995</v>
      </c>
      <c r="C95" s="41" t="str" cm="1">
        <f t="array" ref="C95">_xlfn.XLOOKUP(
  1,
  (Lists3.1_Longlist[IUD]=Lists3.1_Shortlist[[#This Row],[IUD]]) *
  (Lists3.1_Longlist[Language]=Language),
  Lists3.1_Longlist[Mat. Cat 1]
)</f>
        <v>Électronique</v>
      </c>
      <c r="D95" s="41" t="str" cm="1">
        <f t="array" ref="D95">IF(_xlfn.XLOOKUP(
  1,
  (Lists3.1_Longlist[IUD]=Lists3.1_Shortlist[[#This Row],[IUD]]) *
  (Lists3.1_Longlist[Language]=Language),
  Lists3.1_Longlist[Mat. Cat. 2]
)=0,"",_xlfn.XLOOKUP(
  1,
  (Lists3.1_Longlist[IUD]=Lists3.1_Shortlist[[#This Row],[IUD]]) *
  (Lists3.1_Longlist[Language]=Language),
  Lists3.1_Longlist[Mat. Cat. 2]
))</f>
        <v>Appareils</v>
      </c>
      <c r="E95" s="41" t="str" cm="1">
        <f t="array" ref="E95">IF(_xlfn.XLOOKUP(
  1,
  (Lists3.1_Longlist[IUD]=Lists3.1_Shortlist[[#This Row],[IUD]]) *
  (Lists3.1_Longlist[Language]=Language),
  Lists3.1_Longlist[Mat. Cat. 3]
)=0,"",_xlfn.XLOOKUP(
  1,
  (Lists3.1_Longlist[IUD]=Lists3.1_Shortlist[[#This Row],[IUD]]) *
  (Lists3.1_Longlist[Language]=Language),
  Lists3.1_Longlist[Mat. Cat. 3]
))</f>
        <v>Écran LCD</v>
      </c>
      <c r="F95" s="32" t="s">
        <v>88</v>
      </c>
      <c r="G95" s="32" t="s">
        <v>28052</v>
      </c>
      <c r="H95" s="30"/>
      <c r="I95" s="30"/>
      <c r="J95" s="30"/>
      <c r="K95" s="30"/>
      <c r="L95" s="30"/>
      <c r="M95" s="30"/>
      <c r="N95" s="30"/>
      <c r="O95" s="30"/>
      <c r="P95" s="30"/>
      <c r="Q95" s="30"/>
      <c r="R95" s="30"/>
      <c r="S95" s="30"/>
      <c r="T95" s="30"/>
      <c r="U95" s="30"/>
      <c r="V95" s="30"/>
      <c r="W95" s="30"/>
      <c r="X95" s="30"/>
      <c r="Y95" s="30"/>
    </row>
    <row r="96" spans="1:25" x14ac:dyDescent="0.25">
      <c r="A96" s="30"/>
      <c r="B96" s="41" t="s">
        <v>985</v>
      </c>
      <c r="C96" s="41" t="str" cm="1">
        <f t="array" ref="C96">_xlfn.XLOOKUP(
  1,
  (Lists3.1_Longlist[IUD]=Lists3.1_Shortlist[[#This Row],[IUD]]) *
  (Lists3.1_Longlist[Language]=Language),
  Lists3.1_Longlist[Mat. Cat 1]
)</f>
        <v>Électronique</v>
      </c>
      <c r="D96" s="41" t="str" cm="1">
        <f t="array" ref="D96">IF(_xlfn.XLOOKUP(
  1,
  (Lists3.1_Longlist[IUD]=Lists3.1_Shortlist[[#This Row],[IUD]]) *
  (Lists3.1_Longlist[Language]=Language),
  Lists3.1_Longlist[Mat. Cat. 2]
)=0,"",_xlfn.XLOOKUP(
  1,
  (Lists3.1_Longlist[IUD]=Lists3.1_Shortlist[[#This Row],[IUD]]) *
  (Lists3.1_Longlist[Language]=Language),
  Lists3.1_Longlist[Mat. Cat. 2]
))</f>
        <v>Encre d'imprimante</v>
      </c>
      <c r="E96" s="41" t="str" cm="1">
        <f t="array" ref="E96">IF(_xlfn.XLOOKUP(
  1,
  (Lists3.1_Longlist[IUD]=Lists3.1_Shortlist[[#This Row],[IUD]]) *
  (Lists3.1_Longlist[Language]=Language),
  Lists3.1_Longlist[Mat. Cat. 3]
)=0,"",_xlfn.XLOOKUP(
  1,
  (Lists3.1_Longlist[IUD]=Lists3.1_Shortlist[[#This Row],[IUD]]) *
  (Lists3.1_Longlist[Language]=Language),
  Lists3.1_Longlist[Mat. Cat. 3]
))</f>
        <v/>
      </c>
      <c r="F96" s="32" t="s">
        <v>88</v>
      </c>
      <c r="G96" s="32" t="s">
        <v>28053</v>
      </c>
      <c r="H96" s="30"/>
      <c r="I96" s="30"/>
      <c r="J96" s="30"/>
      <c r="K96" s="30"/>
      <c r="L96" s="30"/>
      <c r="M96" s="30"/>
      <c r="N96" s="30"/>
      <c r="O96" s="30"/>
      <c r="P96" s="30"/>
      <c r="Q96" s="30"/>
      <c r="R96" s="30"/>
      <c r="S96" s="30"/>
      <c r="T96" s="30"/>
      <c r="U96" s="30"/>
      <c r="V96" s="30"/>
      <c r="W96" s="30"/>
      <c r="X96" s="30"/>
      <c r="Y96" s="30"/>
    </row>
    <row r="97" spans="1:25" x14ac:dyDescent="0.25">
      <c r="A97" s="30"/>
      <c r="B97" s="41" t="s">
        <v>996</v>
      </c>
      <c r="C97" s="41" t="str" cm="1">
        <f t="array" ref="C97">_xlfn.XLOOKUP(
  1,
  (Lists3.1_Longlist[IUD]=Lists3.1_Shortlist[[#This Row],[IUD]]) *
  (Lists3.1_Longlist[Language]=Language),
  Lists3.1_Longlist[Mat. Cat 1]
)</f>
        <v>Électronique</v>
      </c>
      <c r="D97" s="41" t="str" cm="1">
        <f t="array" ref="D97">IF(_xlfn.XLOOKUP(
  1,
  (Lists3.1_Longlist[IUD]=Lists3.1_Shortlist[[#This Row],[IUD]]) *
  (Lists3.1_Longlist[Language]=Language),
  Lists3.1_Longlist[Mat. Cat. 2]
)=0,"",_xlfn.XLOOKUP(
  1,
  (Lists3.1_Longlist[IUD]=Lists3.1_Shortlist[[#This Row],[IUD]]) *
  (Lists3.1_Longlist[Language]=Language),
  Lists3.1_Longlist[Mat. Cat. 2]
))</f>
        <v>Couleur d’imprimante</v>
      </c>
      <c r="E97" s="41" t="str" cm="1">
        <f t="array" ref="E97">IF(_xlfn.XLOOKUP(
  1,
  (Lists3.1_Longlist[IUD]=Lists3.1_Shortlist[[#This Row],[IUD]]) *
  (Lists3.1_Longlist[Language]=Language),
  Lists3.1_Longlist[Mat. Cat. 3]
)=0,"",_xlfn.XLOOKUP(
  1,
  (Lists3.1_Longlist[IUD]=Lists3.1_Shortlist[[#This Row],[IUD]]) *
  (Lists3.1_Longlist[Language]=Language),
  Lists3.1_Longlist[Mat. Cat. 3]
))</f>
        <v>Composant électronique (actif)</v>
      </c>
      <c r="F97" s="32" t="s">
        <v>88</v>
      </c>
      <c r="G97" s="32" t="s">
        <v>28054</v>
      </c>
      <c r="H97" s="44"/>
      <c r="I97" s="30"/>
      <c r="J97" s="30"/>
      <c r="K97" s="30"/>
      <c r="L97" s="30"/>
      <c r="M97" s="30"/>
      <c r="N97" s="30"/>
      <c r="O97" s="30"/>
      <c r="P97" s="30"/>
      <c r="Q97" s="30"/>
      <c r="R97" s="30"/>
      <c r="S97" s="30"/>
      <c r="T97" s="30"/>
      <c r="U97" s="30"/>
      <c r="V97" s="30"/>
      <c r="W97" s="30"/>
      <c r="X97" s="30"/>
      <c r="Y97" s="30"/>
    </row>
    <row r="98" spans="1:25" x14ac:dyDescent="0.25">
      <c r="A98" s="30"/>
      <c r="B98" s="41" t="s">
        <v>997</v>
      </c>
      <c r="C98" s="41" t="str" cm="1">
        <f t="array" ref="C98">_xlfn.XLOOKUP(
  1,
  (Lists3.1_Longlist[IUD]=Lists3.1_Shortlist[[#This Row],[IUD]]) *
  (Lists3.1_Longlist[Language]=Language),
  Lists3.1_Longlist[Mat. Cat 1]
)</f>
        <v>Électronique</v>
      </c>
      <c r="D98" s="41" t="str" cm="1">
        <f t="array" ref="D98">IF(_xlfn.XLOOKUP(
  1,
  (Lists3.1_Longlist[IUD]=Lists3.1_Shortlist[[#This Row],[IUD]]) *
  (Lists3.1_Longlist[Language]=Language),
  Lists3.1_Longlist[Mat. Cat. 2]
)=0,"",_xlfn.XLOOKUP(
  1,
  (Lists3.1_Longlist[IUD]=Lists3.1_Shortlist[[#This Row],[IUD]]) *
  (Lists3.1_Longlist[Language]=Language),
  Lists3.1_Longlist[Mat. Cat. 2]
))</f>
        <v>Couleur d’imprimante</v>
      </c>
      <c r="E98" s="41" t="str" cm="1">
        <f t="array" ref="E98">IF(_xlfn.XLOOKUP(
  1,
  (Lists3.1_Longlist[IUD]=Lists3.1_Shortlist[[#This Row],[IUD]]) *
  (Lists3.1_Longlist[Language]=Language),
  Lists3.1_Longlist[Mat. Cat. 3]
)=0,"",_xlfn.XLOOKUP(
  1,
  (Lists3.1_Longlist[IUD]=Lists3.1_Shortlist[[#This Row],[IUD]]) *
  (Lists3.1_Longlist[Language]=Language),
  Lists3.1_Longlist[Mat. Cat. 3]
))</f>
        <v>Composant électronique (passif)</v>
      </c>
      <c r="F98" s="32" t="s">
        <v>88</v>
      </c>
      <c r="G98" s="32" t="s">
        <v>28055</v>
      </c>
      <c r="H98" s="30"/>
      <c r="I98" s="30"/>
      <c r="J98" s="30"/>
      <c r="K98" s="30"/>
      <c r="L98" s="30"/>
      <c r="M98" s="30"/>
      <c r="N98" s="30"/>
      <c r="O98" s="30"/>
      <c r="P98" s="30"/>
      <c r="Q98" s="30"/>
      <c r="R98" s="30"/>
      <c r="S98" s="30"/>
      <c r="T98" s="30"/>
      <c r="U98" s="30"/>
      <c r="V98" s="30"/>
      <c r="W98" s="30"/>
      <c r="X98" s="30"/>
      <c r="Y98" s="30"/>
    </row>
    <row r="99" spans="1:25" x14ac:dyDescent="0.25">
      <c r="A99" s="30"/>
      <c r="B99" s="41" t="s">
        <v>998</v>
      </c>
      <c r="C99" s="41" t="str" cm="1">
        <f t="array" ref="C99">_xlfn.XLOOKUP(
  1,
  (Lists3.1_Longlist[IUD]=Lists3.1_Shortlist[[#This Row],[IUD]]) *
  (Lists3.1_Longlist[Language]=Language),
  Lists3.1_Longlist[Mat. Cat 1]
)</f>
        <v>Électronique</v>
      </c>
      <c r="D99" s="41" t="str" cm="1">
        <f t="array" ref="D99">IF(_xlfn.XLOOKUP(
  1,
  (Lists3.1_Longlist[IUD]=Lists3.1_Shortlist[[#This Row],[IUD]]) *
  (Lists3.1_Longlist[Language]=Language),
  Lists3.1_Longlist[Mat. Cat. 2]
)=0,"",_xlfn.XLOOKUP(
  1,
  (Lists3.1_Longlist[IUD]=Lists3.1_Shortlist[[#This Row],[IUD]]) *
  (Lists3.1_Longlist[Language]=Language),
  Lists3.1_Longlist[Mat. Cat. 2]
))</f>
        <v>Couleur d’imprimante</v>
      </c>
      <c r="E99" s="41" t="str" cm="1">
        <f t="array" ref="E99">IF(_xlfn.XLOOKUP(
  1,
  (Lists3.1_Longlist[IUD]=Lists3.1_Shortlist[[#This Row],[IUD]]) *
  (Lists3.1_Longlist[Language]=Language),
  Lists3.1_Longlist[Mat. Cat. 3]
)=0,"",_xlfn.XLOOKUP(
  1,
  (Lists3.1_Longlist[IUD]=Lists3.1_Shortlist[[#This Row],[IUD]]) *
  (Lists3.1_Longlist[Language]=Language),
  Lists3.1_Longlist[Mat. Cat. 3]
))</f>
        <v>Circuit imprimé</v>
      </c>
      <c r="F99" s="32" t="s">
        <v>88</v>
      </c>
      <c r="G99" s="32" t="s">
        <v>28056</v>
      </c>
      <c r="H99" s="30"/>
      <c r="I99" s="30"/>
      <c r="J99" s="30"/>
      <c r="K99" s="30"/>
      <c r="L99" s="30"/>
      <c r="M99" s="30"/>
      <c r="N99" s="30"/>
      <c r="O99" s="30"/>
      <c r="P99" s="30"/>
      <c r="Q99" s="30"/>
      <c r="R99" s="30"/>
      <c r="S99" s="30"/>
      <c r="T99" s="30"/>
      <c r="U99" s="30"/>
      <c r="V99" s="30"/>
      <c r="W99" s="30"/>
      <c r="X99" s="30"/>
      <c r="Y99" s="30"/>
    </row>
    <row r="100" spans="1:25" x14ac:dyDescent="0.25">
      <c r="A100" s="30"/>
      <c r="B100" s="41" t="s">
        <v>999</v>
      </c>
      <c r="C100" s="41" t="str" cm="1">
        <f t="array" ref="C100">_xlfn.XLOOKUP(
  1,
  (Lists3.1_Longlist[IUD]=Lists3.1_Shortlist[[#This Row],[IUD]]) *
  (Lists3.1_Longlist[Language]=Language),
  Lists3.1_Longlist[Mat. Cat 1]
)</f>
        <v>Verre</v>
      </c>
      <c r="D100" s="41" t="str" cm="1">
        <f t="array" ref="D100">IF(_xlfn.XLOOKUP(
  1,
  (Lists3.1_Longlist[IUD]=Lists3.1_Shortlist[[#This Row],[IUD]]) *
  (Lists3.1_Longlist[Language]=Language),
  Lists3.1_Longlist[Mat. Cat. 2]
)=0,"",_xlfn.XLOOKUP(
  1,
  (Lists3.1_Longlist[IUD]=Lists3.1_Shortlist[[#This Row],[IUD]]) *
  (Lists3.1_Longlist[Language]=Language),
  Lists3.1_Longlist[Mat. Cat. 2]
))</f>
        <v>Verre plat (revêtu)</v>
      </c>
      <c r="E100" s="41" t="str" cm="1">
        <f t="array" ref="E100">IF(_xlfn.XLOOKUP(
  1,
  (Lists3.1_Longlist[IUD]=Lists3.1_Shortlist[[#This Row],[IUD]]) *
  (Lists3.1_Longlist[Language]=Language),
  Lists3.1_Longlist[Mat. Cat. 3]
)=0,"",_xlfn.XLOOKUP(
  1,
  (Lists3.1_Longlist[IUD]=Lists3.1_Shortlist[[#This Row],[IUD]]) *
  (Lists3.1_Longlist[Language]=Language),
  Lists3.1_Longlist[Mat. Cat. 3]
))</f>
        <v/>
      </c>
      <c r="F100" s="32" t="s">
        <v>88</v>
      </c>
      <c r="G100" s="32" t="s">
        <v>28057</v>
      </c>
      <c r="H100" s="44"/>
      <c r="I100" s="30"/>
      <c r="J100" s="30"/>
      <c r="K100" s="30"/>
      <c r="L100" s="30"/>
      <c r="M100" s="30"/>
      <c r="N100" s="30"/>
      <c r="O100" s="30"/>
      <c r="P100" s="30"/>
      <c r="Q100" s="30"/>
      <c r="R100" s="30"/>
      <c r="S100" s="30"/>
      <c r="T100" s="30"/>
      <c r="U100" s="30"/>
      <c r="V100" s="30"/>
      <c r="W100" s="30"/>
      <c r="X100" s="30"/>
      <c r="Y100" s="30"/>
    </row>
    <row r="101" spans="1:25" x14ac:dyDescent="0.25">
      <c r="A101" s="30"/>
      <c r="B101" s="41" t="s">
        <v>1000</v>
      </c>
      <c r="C101" s="41" t="str" cm="1">
        <f t="array" ref="C101">_xlfn.XLOOKUP(
  1,
  (Lists3.1_Longlist[IUD]=Lists3.1_Shortlist[[#This Row],[IUD]]) *
  (Lists3.1_Longlist[Language]=Language),
  Lists3.1_Longlist[Mat. Cat 1]
)</f>
        <v>Verre</v>
      </c>
      <c r="D101" s="41" t="str" cm="1">
        <f t="array" ref="D101">IF(_xlfn.XLOOKUP(
  1,
  (Lists3.1_Longlist[IUD]=Lists3.1_Shortlist[[#This Row],[IUD]]) *
  (Lists3.1_Longlist[Language]=Language),
  Lists3.1_Longlist[Mat. Cat. 2]
)=0,"",_xlfn.XLOOKUP(
  1,
  (Lists3.1_Longlist[IUD]=Lists3.1_Shortlist[[#This Row],[IUD]]) *
  (Lists3.1_Longlist[Language]=Language),
  Lists3.1_Longlist[Mat. Cat. 2]
))</f>
        <v>Emballage en verre</v>
      </c>
      <c r="E101" s="41" t="str" cm="1">
        <f t="array" ref="E101">IF(_xlfn.XLOOKUP(
  1,
  (Lists3.1_Longlist[IUD]=Lists3.1_Shortlist[[#This Row],[IUD]]) *
  (Lists3.1_Longlist[Language]=Language),
  Lists3.1_Longlist[Mat. Cat. 3]
)=0,"",_xlfn.XLOOKUP(
  1,
  (Lists3.1_Longlist[IUD]=Lists3.1_Shortlist[[#This Row],[IUD]]) *
  (Lists3.1_Longlist[Language]=Language),
  Lists3.1_Longlist[Mat. Cat. 3]
))</f>
        <v/>
      </c>
      <c r="F101" s="32" t="s">
        <v>88</v>
      </c>
      <c r="G101" s="32" t="s">
        <v>28058</v>
      </c>
      <c r="H101" s="44"/>
      <c r="I101" s="30"/>
      <c r="J101" s="30"/>
      <c r="K101" s="30"/>
      <c r="L101" s="30"/>
      <c r="M101" s="30"/>
      <c r="N101" s="30"/>
      <c r="O101" s="30"/>
      <c r="P101" s="30"/>
      <c r="Q101" s="30"/>
      <c r="R101" s="30"/>
      <c r="S101" s="30"/>
      <c r="T101" s="30"/>
      <c r="U101" s="30"/>
      <c r="V101" s="30"/>
      <c r="W101" s="30"/>
      <c r="X101" s="30"/>
      <c r="Y101" s="30"/>
    </row>
    <row r="102" spans="1:25" x14ac:dyDescent="0.25">
      <c r="A102" s="30"/>
      <c r="B102" s="41" t="s">
        <v>1001</v>
      </c>
      <c r="C102" s="41" t="str" cm="1">
        <f t="array" ref="C102">_xlfn.XLOOKUP(
  1,
  (Lists3.1_Longlist[IUD]=Lists3.1_Shortlist[[#This Row],[IUD]]) *
  (Lists3.1_Longlist[Language]=Language),
  Lists3.1_Longlist[Mat. Cat 1]
)</f>
        <v>Bois</v>
      </c>
      <c r="D102" s="41" t="str" cm="1">
        <f t="array" ref="D102">IF(_xlfn.XLOOKUP(
  1,
  (Lists3.1_Longlist[IUD]=Lists3.1_Shortlist[[#This Row],[IUD]]) *
  (Lists3.1_Longlist[Language]=Language),
  Lists3.1_Longlist[Mat. Cat. 2]
)=0,"",_xlfn.XLOOKUP(
  1,
  (Lists3.1_Longlist[IUD]=Lists3.1_Shortlist[[#This Row],[IUD]]) *
  (Lists3.1_Longlist[Language]=Language),
  Lists3.1_Longlist[Mat. Cat. 2]
))</f>
        <v>Copeaux de bois</v>
      </c>
      <c r="E102" s="41" t="str" cm="1">
        <f t="array" ref="E102">IF(_xlfn.XLOOKUP(
  1,
  (Lists3.1_Longlist[IUD]=Lists3.1_Shortlist[[#This Row],[IUD]]) *
  (Lists3.1_Longlist[Language]=Language),
  Lists3.1_Longlist[Mat. Cat. 3]
)=0,"",_xlfn.XLOOKUP(
  1,
  (Lists3.1_Longlist[IUD]=Lists3.1_Shortlist[[#This Row],[IUD]]) *
  (Lists3.1_Longlist[Language]=Language),
  Lists3.1_Longlist[Mat. Cat. 3]
))</f>
        <v/>
      </c>
      <c r="F102" s="32" t="s">
        <v>88</v>
      </c>
      <c r="G102" s="32" t="s">
        <v>28059</v>
      </c>
      <c r="H102" s="44"/>
      <c r="I102" s="30"/>
      <c r="J102" s="30"/>
      <c r="K102" s="30"/>
      <c r="L102" s="30"/>
      <c r="M102" s="30"/>
      <c r="N102" s="30"/>
      <c r="O102" s="30"/>
      <c r="P102" s="30"/>
      <c r="Q102" s="30"/>
      <c r="R102" s="30"/>
      <c r="S102" s="30"/>
      <c r="T102" s="30"/>
      <c r="U102" s="30"/>
      <c r="V102" s="30"/>
      <c r="W102" s="30"/>
      <c r="X102" s="30"/>
      <c r="Y102" s="30"/>
    </row>
    <row r="103" spans="1:25" x14ac:dyDescent="0.25">
      <c r="A103" s="30"/>
      <c r="B103" s="41" t="s">
        <v>1002</v>
      </c>
      <c r="C103" s="41" t="str" cm="1">
        <f t="array" ref="C103">_xlfn.XLOOKUP(
  1,
  (Lists3.1_Longlist[IUD]=Lists3.1_Shortlist[[#This Row],[IUD]]) *
  (Lists3.1_Longlist[Language]=Language),
  Lists3.1_Longlist[Mat. Cat 1]
)</f>
        <v>Bois</v>
      </c>
      <c r="D103" s="41" t="str" cm="1">
        <f t="array" ref="D103">IF(_xlfn.XLOOKUP(
  1,
  (Lists3.1_Longlist[IUD]=Lists3.1_Shortlist[[#This Row],[IUD]]) *
  (Lists3.1_Longlist[Language]=Language),
  Lists3.1_Longlist[Mat. Cat. 2]
)=0,"",_xlfn.XLOOKUP(
  1,
  (Lists3.1_Longlist[IUD]=Lists3.1_Shortlist[[#This Row],[IUD]]) *
  (Lists3.1_Longlist[Language]=Language),
  Lists3.1_Longlist[Mat. Cat. 2]
))</f>
        <v>Liège</v>
      </c>
      <c r="E103" s="41" t="str" cm="1">
        <f t="array" ref="E103">IF(_xlfn.XLOOKUP(
  1,
  (Lists3.1_Longlist[IUD]=Lists3.1_Shortlist[[#This Row],[IUD]]) *
  (Lists3.1_Longlist[Language]=Language),
  Lists3.1_Longlist[Mat. Cat. 3]
)=0,"",_xlfn.XLOOKUP(
  1,
  (Lists3.1_Longlist[IUD]=Lists3.1_Shortlist[[#This Row],[IUD]]) *
  (Lists3.1_Longlist[Language]=Language),
  Lists3.1_Longlist[Mat. Cat. 3]
))</f>
        <v/>
      </c>
      <c r="F103" s="32" t="s">
        <v>88</v>
      </c>
      <c r="G103" s="32" t="s">
        <v>28060</v>
      </c>
      <c r="H103" s="44"/>
      <c r="I103" s="30"/>
      <c r="J103" s="30"/>
      <c r="K103" s="30"/>
      <c r="L103" s="30"/>
      <c r="M103" s="30"/>
      <c r="N103" s="30"/>
      <c r="O103" s="30"/>
      <c r="P103" s="30"/>
      <c r="Q103" s="30"/>
      <c r="R103" s="30"/>
      <c r="S103" s="30"/>
      <c r="T103" s="30"/>
      <c r="U103" s="30"/>
      <c r="V103" s="30"/>
      <c r="W103" s="30"/>
      <c r="X103" s="30"/>
      <c r="Y103" s="30"/>
    </row>
    <row r="104" spans="1:25" x14ac:dyDescent="0.25">
      <c r="A104" s="30"/>
      <c r="B104" s="41" t="s">
        <v>1003</v>
      </c>
      <c r="C104" s="41" t="str" cm="1">
        <f t="array" ref="C104">_xlfn.XLOOKUP(
  1,
  (Lists3.1_Longlist[IUD]=Lists3.1_Shortlist[[#This Row],[IUD]]) *
  (Lists3.1_Longlist[Language]=Language),
  Lists3.1_Longlist[Mat. Cat 1]
)</f>
        <v>Bois</v>
      </c>
      <c r="D104" s="41" t="str" cm="1">
        <f t="array" ref="D104">IF(_xlfn.XLOOKUP(
  1,
  (Lists3.1_Longlist[IUD]=Lists3.1_Shortlist[[#This Row],[IUD]]) *
  (Lists3.1_Longlist[Language]=Language),
  Lists3.1_Longlist[Mat. Cat. 2]
)=0,"",_xlfn.XLOOKUP(
  1,
  (Lists3.1_Longlist[IUD]=Lists3.1_Shortlist[[#This Row],[IUD]]) *
  (Lists3.1_Longlist[Language]=Language),
  Lists3.1_Longlist[Mat. Cat. 2]
))</f>
        <v>Panneau de fibres de bois</v>
      </c>
      <c r="E104" s="41" t="str" cm="1">
        <f t="array" ref="E104">IF(_xlfn.XLOOKUP(
  1,
  (Lists3.1_Longlist[IUD]=Lists3.1_Shortlist[[#This Row],[IUD]]) *
  (Lists3.1_Longlist[Language]=Language),
  Lists3.1_Longlist[Mat. Cat. 3]
)=0,"",_xlfn.XLOOKUP(
  1,
  (Lists3.1_Longlist[IUD]=Lists3.1_Shortlist[[#This Row],[IUD]]) *
  (Lists3.1_Longlist[Language]=Language),
  Lists3.1_Longlist[Mat. Cat. 3]
))</f>
        <v/>
      </c>
      <c r="F104" s="32" t="s">
        <v>83</v>
      </c>
      <c r="G104" s="32" t="s">
        <v>28061</v>
      </c>
      <c r="H104" s="30"/>
      <c r="I104" s="30"/>
      <c r="J104" s="30"/>
      <c r="K104" s="30"/>
      <c r="L104" s="30"/>
      <c r="M104" s="30"/>
      <c r="N104" s="30"/>
      <c r="O104" s="30"/>
      <c r="P104" s="30"/>
      <c r="Q104" s="30"/>
      <c r="R104" s="30"/>
      <c r="S104" s="30"/>
      <c r="T104" s="30"/>
      <c r="U104" s="30"/>
      <c r="V104" s="30"/>
      <c r="W104" s="30"/>
      <c r="X104" s="30"/>
      <c r="Y104" s="30"/>
    </row>
    <row r="105" spans="1:25" x14ac:dyDescent="0.25">
      <c r="A105" s="30"/>
      <c r="B105" s="41" t="s">
        <v>1004</v>
      </c>
      <c r="C105" s="41" t="str" cm="1">
        <f t="array" ref="C105">_xlfn.XLOOKUP(
  1,
  (Lists3.1_Longlist[IUD]=Lists3.1_Shortlist[[#This Row],[IUD]]) *
  (Lists3.1_Longlist[Language]=Language),
  Lists3.1_Longlist[Mat. Cat 1]
)</f>
        <v>Bois</v>
      </c>
      <c r="D105" s="41" t="str" cm="1">
        <f t="array" ref="D105">IF(_xlfn.XLOOKUP(
  1,
  (Lists3.1_Longlist[IUD]=Lists3.1_Shortlist[[#This Row],[IUD]]) *
  (Lists3.1_Longlist[Language]=Language),
  Lists3.1_Longlist[Mat. Cat. 2]
)=0,"",_xlfn.XLOOKUP(
  1,
  (Lists3.1_Longlist[IUD]=Lists3.1_Shortlist[[#This Row],[IUD]]) *
  (Lists3.1_Longlist[Language]=Language),
  Lists3.1_Longlist[Mat. Cat. 2]
))</f>
        <v>Contreplaqué</v>
      </c>
      <c r="E105" s="41" t="str" cm="1">
        <f t="array" ref="E105">IF(_xlfn.XLOOKUP(
  1,
  (Lists3.1_Longlist[IUD]=Lists3.1_Shortlist[[#This Row],[IUD]]) *
  (Lists3.1_Longlist[Language]=Language),
  Lists3.1_Longlist[Mat. Cat. 3]
)=0,"",_xlfn.XLOOKUP(
  1,
  (Lists3.1_Longlist[IUD]=Lists3.1_Shortlist[[#This Row],[IUD]]) *
  (Lists3.1_Longlist[Language]=Language),
  Lists3.1_Longlist[Mat. Cat. 3]
))</f>
        <v/>
      </c>
      <c r="F105" s="32" t="s">
        <v>83</v>
      </c>
      <c r="G105" s="32" t="s">
        <v>28062</v>
      </c>
      <c r="H105" s="30"/>
      <c r="I105" s="30"/>
      <c r="J105" s="30"/>
      <c r="K105" s="30"/>
      <c r="L105" s="30"/>
      <c r="M105" s="30"/>
      <c r="N105" s="30"/>
      <c r="O105" s="30"/>
      <c r="P105" s="30"/>
      <c r="Q105" s="30"/>
      <c r="R105" s="30"/>
      <c r="S105" s="30"/>
      <c r="T105" s="30"/>
      <c r="U105" s="30"/>
      <c r="V105" s="30"/>
      <c r="W105" s="30"/>
      <c r="X105" s="30"/>
      <c r="Y105" s="30"/>
    </row>
    <row r="106" spans="1:25" x14ac:dyDescent="0.25">
      <c r="A106" s="30"/>
      <c r="B106" s="41" t="s">
        <v>1005</v>
      </c>
      <c r="C106" s="41" t="str" cm="1">
        <f t="array" ref="C106">_xlfn.XLOOKUP(
  1,
  (Lists3.1_Longlist[IUD]=Lists3.1_Shortlist[[#This Row],[IUD]]) *
  (Lists3.1_Longlist[Language]=Language),
  Lists3.1_Longlist[Mat. Cat 1]
)</f>
        <v>Bois</v>
      </c>
      <c r="D106" s="41" t="str" cm="1">
        <f t="array" ref="D106">IF(_xlfn.XLOOKUP(
  1,
  (Lists3.1_Longlist[IUD]=Lists3.1_Shortlist[[#This Row],[IUD]]) *
  (Lists3.1_Longlist[Language]=Language),
  Lists3.1_Longlist[Mat. Cat. 2]
)=0,"",_xlfn.XLOOKUP(
  1,
  (Lists3.1_Longlist[IUD]=Lists3.1_Shortlist[[#This Row],[IUD]]) *
  (Lists3.1_Longlist[Language]=Language),
  Lists3.1_Longlist[Mat. Cat. 2]
))</f>
        <v>Planche en bois (bois dur)</v>
      </c>
      <c r="E106" s="41" t="str" cm="1">
        <f t="array" ref="E106">IF(_xlfn.XLOOKUP(
  1,
  (Lists3.1_Longlist[IUD]=Lists3.1_Shortlist[[#This Row],[IUD]]) *
  (Lists3.1_Longlist[Language]=Language),
  Lists3.1_Longlist[Mat. Cat. 3]
)=0,"",_xlfn.XLOOKUP(
  1,
  (Lists3.1_Longlist[IUD]=Lists3.1_Shortlist[[#This Row],[IUD]]) *
  (Lists3.1_Longlist[Language]=Language),
  Lists3.1_Longlist[Mat. Cat. 3]
))</f>
        <v/>
      </c>
      <c r="F106" s="32" t="s">
        <v>83</v>
      </c>
      <c r="G106" s="32" t="s">
        <v>28063</v>
      </c>
      <c r="H106" s="30"/>
      <c r="I106" s="30"/>
      <c r="J106" s="30"/>
      <c r="K106" s="30"/>
      <c r="L106" s="30"/>
      <c r="M106" s="30"/>
      <c r="N106" s="30"/>
      <c r="O106" s="30"/>
      <c r="P106" s="30"/>
      <c r="Q106" s="30"/>
      <c r="R106" s="30"/>
      <c r="S106" s="30"/>
      <c r="T106" s="30"/>
      <c r="U106" s="30"/>
      <c r="V106" s="30"/>
      <c r="W106" s="30"/>
      <c r="X106" s="30"/>
      <c r="Y106" s="30"/>
    </row>
    <row r="107" spans="1:25" x14ac:dyDescent="0.25">
      <c r="A107" s="30"/>
      <c r="B107" s="41" t="s">
        <v>1006</v>
      </c>
      <c r="C107" s="41" t="str" cm="1">
        <f t="array" ref="C107">_xlfn.XLOOKUP(
  1,
  (Lists3.1_Longlist[IUD]=Lists3.1_Shortlist[[#This Row],[IUD]]) *
  (Lists3.1_Longlist[Language]=Language),
  Lists3.1_Longlist[Mat. Cat 1]
)</f>
        <v>Bois</v>
      </c>
      <c r="D107" s="41" t="str" cm="1">
        <f t="array" ref="D107">IF(_xlfn.XLOOKUP(
  1,
  (Lists3.1_Longlist[IUD]=Lists3.1_Shortlist[[#This Row],[IUD]]) *
  (Lists3.1_Longlist[Language]=Language),
  Lists3.1_Longlist[Mat. Cat. 2]
)=0,"",_xlfn.XLOOKUP(
  1,
  (Lists3.1_Longlist[IUD]=Lists3.1_Shortlist[[#This Row],[IUD]]) *
  (Lists3.1_Longlist[Language]=Language),
  Lists3.1_Longlist[Mat. Cat. 2]
))</f>
        <v>Planche en bois (bois tendre)</v>
      </c>
      <c r="E107" s="41" t="str" cm="1">
        <f t="array" ref="E107">IF(_xlfn.XLOOKUP(
  1,
  (Lists3.1_Longlist[IUD]=Lists3.1_Shortlist[[#This Row],[IUD]]) *
  (Lists3.1_Longlist[Language]=Language),
  Lists3.1_Longlist[Mat. Cat. 3]
)=0,"",_xlfn.XLOOKUP(
  1,
  (Lists3.1_Longlist[IUD]=Lists3.1_Shortlist[[#This Row],[IUD]]) *
  (Lists3.1_Longlist[Language]=Language),
  Lists3.1_Longlist[Mat. Cat. 3]
))</f>
        <v/>
      </c>
      <c r="F107" s="32" t="s">
        <v>83</v>
      </c>
      <c r="G107" s="32" t="s">
        <v>28064</v>
      </c>
      <c r="H107" s="30"/>
      <c r="I107" s="30"/>
      <c r="J107" s="30"/>
      <c r="K107" s="30"/>
      <c r="L107" s="30"/>
      <c r="M107" s="30"/>
      <c r="N107" s="30"/>
      <c r="O107" s="30"/>
      <c r="P107" s="30"/>
      <c r="Q107" s="30"/>
      <c r="R107" s="30"/>
      <c r="S107" s="30"/>
      <c r="T107" s="30"/>
      <c r="U107" s="30"/>
      <c r="V107" s="30"/>
      <c r="W107" s="30"/>
      <c r="X107" s="30"/>
      <c r="Y107" s="30"/>
    </row>
    <row r="108" spans="1:25" x14ac:dyDescent="0.25">
      <c r="A108" s="30"/>
      <c r="B108" s="41" t="s">
        <v>1007</v>
      </c>
      <c r="C108" s="41" t="str" cm="1">
        <f t="array" ref="C108">_xlfn.XLOOKUP(
  1,
  (Lists3.1_Longlist[IUD]=Lists3.1_Shortlist[[#This Row],[IUD]]) *
  (Lists3.1_Longlist[Language]=Language),
  Lists3.1_Longlist[Mat. Cat 1]
)</f>
        <v>Bois</v>
      </c>
      <c r="D108" s="41" t="str" cm="1">
        <f t="array" ref="D108">IF(_xlfn.XLOOKUP(
  1,
  (Lists3.1_Longlist[IUD]=Lists3.1_Shortlist[[#This Row],[IUD]]) *
  (Lists3.1_Longlist[Language]=Language),
  Lists3.1_Longlist[Mat. Cat. 2]
)=0,"",_xlfn.XLOOKUP(
  1,
  (Lists3.1_Longlist[IUD]=Lists3.1_Shortlist[[#This Row],[IUD]]) *
  (Lists3.1_Longlist[Language]=Language),
  Lists3.1_Longlist[Mat. Cat. 2]
))</f>
        <v>Contreplaqué (pour usage intérieur)</v>
      </c>
      <c r="E108" s="41" t="str" cm="1">
        <f t="array" ref="E108">IF(_xlfn.XLOOKUP(
  1,
  (Lists3.1_Longlist[IUD]=Lists3.1_Shortlist[[#This Row],[IUD]]) *
  (Lists3.1_Longlist[Language]=Language),
  Lists3.1_Longlist[Mat. Cat. 3]
)=0,"",_xlfn.XLOOKUP(
  1,
  (Lists3.1_Longlist[IUD]=Lists3.1_Shortlist[[#This Row],[IUD]]) *
  (Lists3.1_Longlist[Language]=Language),
  Lists3.1_Longlist[Mat. Cat. 3]
))</f>
        <v/>
      </c>
      <c r="F108" s="32" t="s">
        <v>83</v>
      </c>
      <c r="G108" s="32" t="s">
        <v>28065</v>
      </c>
      <c r="H108" s="30"/>
      <c r="I108" s="30"/>
      <c r="J108" s="30"/>
      <c r="K108" s="30"/>
      <c r="L108" s="30"/>
      <c r="M108" s="30"/>
      <c r="N108" s="30"/>
      <c r="O108" s="30"/>
      <c r="P108" s="30"/>
      <c r="Q108" s="30"/>
      <c r="R108" s="30"/>
      <c r="S108" s="30"/>
      <c r="T108" s="30"/>
      <c r="U108" s="30"/>
      <c r="V108" s="30"/>
      <c r="W108" s="30"/>
      <c r="X108" s="30"/>
      <c r="Y108" s="30"/>
    </row>
    <row r="109" spans="1:25" x14ac:dyDescent="0.25">
      <c r="A109" s="30"/>
      <c r="B109" s="41" t="s">
        <v>1008</v>
      </c>
      <c r="C109" s="41" t="str" cm="1">
        <f t="array" ref="C109">_xlfn.XLOOKUP(
  1,
  (Lists3.1_Longlist[IUD]=Lists3.1_Shortlist[[#This Row],[IUD]]) *
  (Lists3.1_Longlist[Language]=Language),
  Lists3.1_Longlist[Mat. Cat 1]
)</f>
        <v>Bois</v>
      </c>
      <c r="D109" s="41" t="str" cm="1">
        <f t="array" ref="D109">IF(_xlfn.XLOOKUP(
  1,
  (Lists3.1_Longlist[IUD]=Lists3.1_Shortlist[[#This Row],[IUD]]) *
  (Lists3.1_Longlist[Language]=Language),
  Lists3.1_Longlist[Mat. Cat. 2]
)=0,"",_xlfn.XLOOKUP(
  1,
  (Lists3.1_Longlist[IUD]=Lists3.1_Shortlist[[#This Row],[IUD]]) *
  (Lists3.1_Longlist[Language]=Language),
  Lists3.1_Longlist[Mat. Cat. 2]
))</f>
        <v>Contreplaqué (pour usage extérieur)</v>
      </c>
      <c r="E109" s="41" t="str" cm="1">
        <f t="array" ref="E109">IF(_xlfn.XLOOKUP(
  1,
  (Lists3.1_Longlist[IUD]=Lists3.1_Shortlist[[#This Row],[IUD]]) *
  (Lists3.1_Longlist[Language]=Language),
  Lists3.1_Longlist[Mat. Cat. 3]
)=0,"",_xlfn.XLOOKUP(
  1,
  (Lists3.1_Longlist[IUD]=Lists3.1_Shortlist[[#This Row],[IUD]]) *
  (Lists3.1_Longlist[Language]=Language),
  Lists3.1_Longlist[Mat. Cat. 3]
))</f>
        <v/>
      </c>
      <c r="F109" s="32" t="s">
        <v>83</v>
      </c>
      <c r="G109" s="32" t="s">
        <v>28066</v>
      </c>
      <c r="H109" s="30"/>
      <c r="I109" s="30"/>
      <c r="J109" s="30"/>
      <c r="K109" s="30"/>
      <c r="L109" s="30"/>
      <c r="M109" s="30"/>
      <c r="N109" s="30"/>
      <c r="O109" s="30"/>
      <c r="P109" s="30"/>
      <c r="Q109" s="30"/>
      <c r="R109" s="30"/>
      <c r="S109" s="30"/>
      <c r="T109" s="30"/>
      <c r="U109" s="30"/>
      <c r="V109" s="30"/>
      <c r="W109" s="30"/>
      <c r="X109" s="30"/>
      <c r="Y109" s="30"/>
    </row>
    <row r="110" spans="1:25" x14ac:dyDescent="0.25">
      <c r="A110" s="30"/>
      <c r="B110" s="41" t="s">
        <v>1009</v>
      </c>
      <c r="C110" s="41" t="str" cm="1">
        <f t="array" ref="C110">_xlfn.XLOOKUP(
  1,
  (Lists3.1_Longlist[IUD]=Lists3.1_Shortlist[[#This Row],[IUD]]) *
  (Lists3.1_Longlist[Language]=Language),
  Lists3.1_Longlist[Mat. Cat 1]
)</f>
        <v>Céramique</v>
      </c>
      <c r="D110" s="41" t="str" cm="1">
        <f t="array" ref="D110">IF(_xlfn.XLOOKUP(
  1,
  (Lists3.1_Longlist[IUD]=Lists3.1_Shortlist[[#This Row],[IUD]]) *
  (Lists3.1_Longlist[Language]=Language),
  Lists3.1_Longlist[Mat. Cat. 2]
)=0,"",_xlfn.XLOOKUP(
  1,
  (Lists3.1_Longlist[IUD]=Lists3.1_Shortlist[[#This Row],[IUD]]) *
  (Lists3.1_Longlist[Language]=Language),
  Lists3.1_Longlist[Mat. Cat. 2]
))</f>
        <v/>
      </c>
      <c r="E110" s="41" t="str" cm="1">
        <f t="array" ref="E110">IF(_xlfn.XLOOKUP(
  1,
  (Lists3.1_Longlist[IUD]=Lists3.1_Shortlist[[#This Row],[IUD]]) *
  (Lists3.1_Longlist[Language]=Language),
  Lists3.1_Longlist[Mat. Cat. 3]
)=0,"",_xlfn.XLOOKUP(
  1,
  (Lists3.1_Longlist[IUD]=Lists3.1_Shortlist[[#This Row],[IUD]]) *
  (Lists3.1_Longlist[Language]=Language),
  Lists3.1_Longlist[Mat. Cat. 3]
))</f>
        <v/>
      </c>
      <c r="F110" s="32" t="s">
        <v>88</v>
      </c>
      <c r="G110" s="32" t="s">
        <v>1592</v>
      </c>
      <c r="H110" s="30"/>
      <c r="I110" s="30"/>
      <c r="J110" s="30"/>
      <c r="K110" s="30"/>
      <c r="L110" s="30"/>
      <c r="M110" s="30"/>
      <c r="N110" s="30"/>
      <c r="O110" s="30"/>
      <c r="P110" s="30"/>
      <c r="Q110" s="30"/>
      <c r="R110" s="30"/>
      <c r="S110" s="30"/>
      <c r="T110" s="30"/>
      <c r="U110" s="30"/>
      <c r="V110" s="30"/>
      <c r="W110" s="30"/>
      <c r="X110" s="30"/>
      <c r="Y110" s="30"/>
    </row>
    <row r="111" spans="1:25" x14ac:dyDescent="0.25">
      <c r="A111" s="30"/>
      <c r="B111" s="41" t="s">
        <v>1010</v>
      </c>
      <c r="C111" s="41" t="str" cm="1">
        <f t="array" ref="C111">_xlfn.XLOOKUP(
  1,
  (Lists3.1_Longlist[IUD]=Lists3.1_Shortlist[[#This Row],[IUD]]) *
  (Lists3.1_Longlist[Language]=Language),
  Lists3.1_Longlist[Mat. Cat 1]
)</f>
        <v>Plastique</v>
      </c>
      <c r="D111" s="41" t="str" cm="1">
        <f t="array" ref="D111">IF(_xlfn.XLOOKUP(
  1,
  (Lists3.1_Longlist[IUD]=Lists3.1_Shortlist[[#This Row],[IUD]]) *
  (Lists3.1_Longlist[Language]=Language),
  Lists3.1_Longlist[Mat. Cat. 2]
)=0,"",_xlfn.XLOOKUP(
  1,
  (Lists3.1_Longlist[IUD]=Lists3.1_Shortlist[[#This Row],[IUD]]) *
  (Lists3.1_Longlist[Language]=Language),
  Lists3.1_Longlist[Mat. Cat. 2]
))</f>
        <v>Bioplastique</v>
      </c>
      <c r="E111" s="41" t="str" cm="1">
        <f t="array" ref="E111">IF(_xlfn.XLOOKUP(
  1,
  (Lists3.1_Longlist[IUD]=Lists3.1_Shortlist[[#This Row],[IUD]]) *
  (Lists3.1_Longlist[Language]=Language),
  Lists3.1_Longlist[Mat. Cat. 3]
)=0,"",_xlfn.XLOOKUP(
  1,
  (Lists3.1_Longlist[IUD]=Lists3.1_Shortlist[[#This Row],[IUD]]) *
  (Lists3.1_Longlist[Language]=Language),
  Lists3.1_Longlist[Mat. Cat. 3]
))</f>
        <v/>
      </c>
      <c r="F111" s="32" t="s">
        <v>88</v>
      </c>
      <c r="G111" s="32" t="s">
        <v>28067</v>
      </c>
      <c r="H111" s="30"/>
      <c r="I111" s="30"/>
      <c r="J111" s="30"/>
      <c r="K111" s="30"/>
      <c r="L111" s="30"/>
      <c r="M111" s="30"/>
      <c r="N111" s="30"/>
      <c r="O111" s="30"/>
      <c r="P111" s="30"/>
      <c r="Q111" s="30"/>
      <c r="R111" s="30"/>
      <c r="S111" s="30"/>
      <c r="T111" s="30"/>
      <c r="U111" s="30"/>
      <c r="V111" s="30"/>
      <c r="W111" s="30"/>
      <c r="X111" s="30"/>
      <c r="Y111" s="30"/>
    </row>
    <row r="112" spans="1:25" x14ac:dyDescent="0.25">
      <c r="A112" s="30"/>
      <c r="B112" s="41" t="s">
        <v>1011</v>
      </c>
      <c r="C112" s="41" t="str" cm="1">
        <f t="array" ref="C112">_xlfn.XLOOKUP(
  1,
  (Lists3.1_Longlist[IUD]=Lists3.1_Shortlist[[#This Row],[IUD]]) *
  (Lists3.1_Longlist[Language]=Language),
  Lists3.1_Longlist[Mat. Cat 1]
)</f>
        <v>Plastique</v>
      </c>
      <c r="D112" s="41" t="str" cm="1">
        <f t="array" ref="D112">IF(_xlfn.XLOOKUP(
  1,
  (Lists3.1_Longlist[IUD]=Lists3.1_Shortlist[[#This Row],[IUD]]) *
  (Lists3.1_Longlist[Language]=Language),
  Lists3.1_Longlist[Mat. Cat. 2]
)=0,"",_xlfn.XLOOKUP(
  1,
  (Lists3.1_Longlist[IUD]=Lists3.1_Shortlist[[#This Row],[IUD]]) *
  (Lists3.1_Longlist[Language]=Language),
  Lists3.1_Longlist[Mat. Cat. 2]
))</f>
        <v>Caoutchouc</v>
      </c>
      <c r="E112" s="41" t="str" cm="1">
        <f t="array" ref="E112">IF(_xlfn.XLOOKUP(
  1,
  (Lists3.1_Longlist[IUD]=Lists3.1_Shortlist[[#This Row],[IUD]]) *
  (Lists3.1_Longlist[Language]=Language),
  Lists3.1_Longlist[Mat. Cat. 3]
)=0,"",_xlfn.XLOOKUP(
  1,
  (Lists3.1_Longlist[IUD]=Lists3.1_Shortlist[[#This Row],[IUD]]) *
  (Lists3.1_Longlist[Language]=Language),
  Lists3.1_Longlist[Mat. Cat. 3]
))</f>
        <v>Acrylonile butadiène styrène (ABS)</v>
      </c>
      <c r="F112" s="32" t="s">
        <v>88</v>
      </c>
      <c r="G112" s="32" t="s">
        <v>28068</v>
      </c>
      <c r="H112" s="44"/>
      <c r="I112" s="30"/>
      <c r="J112" s="30"/>
      <c r="K112" s="30"/>
      <c r="L112" s="30"/>
      <c r="M112" s="30"/>
      <c r="N112" s="30"/>
      <c r="O112" s="30"/>
      <c r="P112" s="30"/>
      <c r="Q112" s="30"/>
      <c r="R112" s="30"/>
      <c r="S112" s="30"/>
      <c r="T112" s="30"/>
      <c r="U112" s="30"/>
      <c r="V112" s="30"/>
      <c r="W112" s="30"/>
      <c r="X112" s="30"/>
      <c r="Y112" s="30"/>
    </row>
    <row r="113" spans="1:25" x14ac:dyDescent="0.25">
      <c r="A113" s="30"/>
      <c r="B113" s="41" t="s">
        <v>1012</v>
      </c>
      <c r="C113" s="41" t="str" cm="1">
        <f t="array" ref="C113">_xlfn.XLOOKUP(
  1,
  (Lists3.1_Longlist[IUD]=Lists3.1_Shortlist[[#This Row],[IUD]]) *
  (Lists3.1_Longlist[Language]=Language),
  Lists3.1_Longlist[Mat. Cat 1]
)</f>
        <v>Plastique</v>
      </c>
      <c r="D113" s="41" t="str" cm="1">
        <f t="array" ref="D113">IF(_xlfn.XLOOKUP(
  1,
  (Lists3.1_Longlist[IUD]=Lists3.1_Shortlist[[#This Row],[IUD]]) *
  (Lists3.1_Longlist[Language]=Language),
  Lists3.1_Longlist[Mat. Cat. 2]
)=0,"",_xlfn.XLOOKUP(
  1,
  (Lists3.1_Longlist[IUD]=Lists3.1_Shortlist[[#This Row],[IUD]]) *
  (Lists3.1_Longlist[Language]=Language),
  Lists3.1_Longlist[Mat. Cat. 2]
))</f>
        <v>Caoutchouc</v>
      </c>
      <c r="E113" s="41" t="str" cm="1">
        <f t="array" ref="E113">IF(_xlfn.XLOOKUP(
  1,
  (Lists3.1_Longlist[IUD]=Lists3.1_Shortlist[[#This Row],[IUD]]) *
  (Lists3.1_Longlist[Language]=Language),
  Lists3.1_Longlist[Mat. Cat. 3]
)=0,"",_xlfn.XLOOKUP(
  1,
  (Lists3.1_Longlist[IUD]=Lists3.1_Shortlist[[#This Row],[IUD]]) *
  (Lists3.1_Longlist[Language]=Language),
  Lists3.1_Longlist[Mat. Cat. 3]
))</f>
        <v>Polybutadiène</v>
      </c>
      <c r="F113" s="32" t="s">
        <v>88</v>
      </c>
      <c r="G113" s="32" t="s">
        <v>28069</v>
      </c>
      <c r="H113" s="30"/>
      <c r="I113" s="30"/>
      <c r="J113" s="30"/>
      <c r="K113" s="30"/>
      <c r="L113" s="30"/>
      <c r="M113" s="30"/>
      <c r="N113" s="30"/>
      <c r="O113" s="30"/>
      <c r="P113" s="30"/>
      <c r="Q113" s="30"/>
      <c r="R113" s="30"/>
      <c r="S113" s="30"/>
      <c r="T113" s="30"/>
      <c r="U113" s="30"/>
      <c r="V113" s="30"/>
      <c r="W113" s="30"/>
      <c r="X113" s="30"/>
      <c r="Y113" s="30"/>
    </row>
    <row r="114" spans="1:25" x14ac:dyDescent="0.25">
      <c r="A114" s="30"/>
      <c r="B114" s="41" t="s">
        <v>1013</v>
      </c>
      <c r="C114" s="41" t="str" cm="1">
        <f t="array" ref="C114">_xlfn.XLOOKUP(
  1,
  (Lists3.1_Longlist[IUD]=Lists3.1_Shortlist[[#This Row],[IUD]]) *
  (Lists3.1_Longlist[Language]=Language),
  Lists3.1_Longlist[Mat. Cat 1]
)</f>
        <v>Plastique</v>
      </c>
      <c r="D114" s="41" t="str" cm="1">
        <f t="array" ref="D114">IF(_xlfn.XLOOKUP(
  1,
  (Lists3.1_Longlist[IUD]=Lists3.1_Shortlist[[#This Row],[IUD]]) *
  (Lists3.1_Longlist[Language]=Language),
  Lists3.1_Longlist[Mat. Cat. 2]
)=0,"",_xlfn.XLOOKUP(
  1,
  (Lists3.1_Longlist[IUD]=Lists3.1_Shortlist[[#This Row],[IUD]]) *
  (Lists3.1_Longlist[Language]=Language),
  Lists3.1_Longlist[Mat. Cat. 2]
))</f>
        <v>Caoutchouc</v>
      </c>
      <c r="E114" s="41" t="str" cm="1">
        <f t="array" ref="E114">IF(_xlfn.XLOOKUP(
  1,
  (Lists3.1_Longlist[IUD]=Lists3.1_Shortlist[[#This Row],[IUD]]) *
  (Lists3.1_Longlist[Language]=Language),
  Lists3.1_Longlist[Mat. Cat. 3]
)=0,"",_xlfn.XLOOKUP(
  1,
  (Lists3.1_Longlist[IUD]=Lists3.1_Shortlist[[#This Row],[IUD]]) *
  (Lists3.1_Longlist[Language]=Language),
  Lists3.1_Longlist[Mat. Cat. 3]
))</f>
        <v>Styrène acrylonitrile</v>
      </c>
      <c r="F114" s="32" t="s">
        <v>88</v>
      </c>
      <c r="G114" s="32" t="s">
        <v>28070</v>
      </c>
      <c r="H114" s="30"/>
      <c r="I114" s="30"/>
      <c r="J114" s="30"/>
      <c r="K114" s="30"/>
      <c r="L114" s="30"/>
      <c r="M114" s="30"/>
      <c r="N114" s="30"/>
      <c r="O114" s="30"/>
      <c r="P114" s="30"/>
      <c r="Q114" s="30"/>
      <c r="R114" s="30"/>
      <c r="S114" s="30"/>
      <c r="T114" s="30"/>
      <c r="U114" s="30"/>
      <c r="V114" s="30"/>
      <c r="W114" s="30"/>
      <c r="X114" s="30"/>
      <c r="Y114" s="30"/>
    </row>
    <row r="115" spans="1:25" x14ac:dyDescent="0.25">
      <c r="A115" s="30"/>
      <c r="B115" s="41" t="s">
        <v>1014</v>
      </c>
      <c r="C115" s="41" t="str" cm="1">
        <f t="array" ref="C115">_xlfn.XLOOKUP(
  1,
  (Lists3.1_Longlist[IUD]=Lists3.1_Shortlist[[#This Row],[IUD]]) *
  (Lists3.1_Longlist[Language]=Language),
  Lists3.1_Longlist[Mat. Cat 1]
)</f>
        <v>Plastique</v>
      </c>
      <c r="D115" s="41" t="str" cm="1">
        <f t="array" ref="D115">IF(_xlfn.XLOOKUP(
  1,
  (Lists3.1_Longlist[IUD]=Lists3.1_Shortlist[[#This Row],[IUD]]) *
  (Lists3.1_Longlist[Language]=Language),
  Lists3.1_Longlist[Mat. Cat. 2]
)=0,"",_xlfn.XLOOKUP(
  1,
  (Lists3.1_Longlist[IUD]=Lists3.1_Shortlist[[#This Row],[IUD]]) *
  (Lists3.1_Longlist[Language]=Language),
  Lists3.1_Longlist[Mat. Cat. 2]
))</f>
        <v>Caoutchouc</v>
      </c>
      <c r="E115" s="41" t="str" cm="1">
        <f t="array" ref="E115">IF(_xlfn.XLOOKUP(
  1,
  (Lists3.1_Longlist[IUD]=Lists3.1_Shortlist[[#This Row],[IUD]]) *
  (Lists3.1_Longlist[Language]=Language),
  Lists3.1_Longlist[Mat. Cat. 3]
)=0,"",_xlfn.XLOOKUP(
  1,
  (Lists3.1_Longlist[IUD]=Lists3.1_Shortlist[[#This Row],[IUD]]) *
  (Lists3.1_Longlist[Language]=Language),
  Lists3.1_Longlist[Mat. Cat. 3]
))</f>
        <v>Caoutchouc synthétique</v>
      </c>
      <c r="F115" s="32" t="s">
        <v>88</v>
      </c>
      <c r="G115" s="32" t="s">
        <v>28071</v>
      </c>
      <c r="H115" s="44"/>
      <c r="I115" s="30"/>
      <c r="J115" s="30"/>
      <c r="K115" s="30"/>
      <c r="L115" s="30"/>
      <c r="M115" s="30"/>
      <c r="N115" s="30"/>
      <c r="O115" s="30"/>
      <c r="P115" s="30"/>
      <c r="Q115" s="30"/>
      <c r="R115" s="30"/>
      <c r="S115" s="30"/>
      <c r="T115" s="30"/>
      <c r="U115" s="30"/>
      <c r="V115" s="30"/>
      <c r="W115" s="30"/>
      <c r="X115" s="30"/>
      <c r="Y115" s="30"/>
    </row>
    <row r="116" spans="1:25" x14ac:dyDescent="0.25">
      <c r="A116" s="30"/>
      <c r="B116" s="41" t="s">
        <v>1015</v>
      </c>
      <c r="C116" s="41" t="str" cm="1">
        <f t="array" ref="C116">_xlfn.XLOOKUP(
  1,
  (Lists3.1_Longlist[IUD]=Lists3.1_Shortlist[[#This Row],[IUD]]) *
  (Lists3.1_Longlist[Language]=Language),
  Lists3.1_Longlist[Mat. Cat 1]
)</f>
        <v>Plastique</v>
      </c>
      <c r="D116" s="41" t="str" cm="1">
        <f t="array" ref="D116">IF(_xlfn.XLOOKUP(
  1,
  (Lists3.1_Longlist[IUD]=Lists3.1_Shortlist[[#This Row],[IUD]]) *
  (Lists3.1_Longlist[Language]=Language),
  Lists3.1_Longlist[Mat. Cat. 2]
)=0,"",_xlfn.XLOOKUP(
  1,
  (Lists3.1_Longlist[IUD]=Lists3.1_Shortlist[[#This Row],[IUD]]) *
  (Lists3.1_Longlist[Language]=Language),
  Lists3.1_Longlist[Mat. Cat. 2]
))</f>
        <v>Thermoplastique</v>
      </c>
      <c r="E116" s="41" t="str" cm="1">
        <f t="array" ref="E116">IF(_xlfn.XLOOKUP(
  1,
  (Lists3.1_Longlist[IUD]=Lists3.1_Shortlist[[#This Row],[IUD]]) *
  (Lists3.1_Longlist[Language]=Language),
  Lists3.1_Longlist[Mat. Cat. 3]
)=0,"",_xlfn.XLOOKUP(
  1,
  (Lists3.1_Longlist[IUD]=Lists3.1_Shortlist[[#This Row],[IUD]]) *
  (Lists3.1_Longlist[Language]=Language),
  Lists3.1_Longlist[Mat. Cat. 3]
))</f>
        <v/>
      </c>
      <c r="F116" s="32" t="s">
        <v>88</v>
      </c>
      <c r="G116" s="32" t="s">
        <v>28072</v>
      </c>
      <c r="H116" s="44"/>
      <c r="I116" s="30"/>
      <c r="J116" s="30"/>
      <c r="K116" s="30"/>
      <c r="L116" s="30"/>
      <c r="M116" s="30"/>
      <c r="N116" s="30"/>
      <c r="O116" s="30"/>
      <c r="P116" s="30"/>
      <c r="Q116" s="30"/>
      <c r="R116" s="30"/>
      <c r="S116" s="30"/>
      <c r="T116" s="30"/>
      <c r="U116" s="30"/>
      <c r="V116" s="30"/>
      <c r="W116" s="30"/>
      <c r="X116" s="30"/>
      <c r="Y116" s="30"/>
    </row>
    <row r="117" spans="1:25" x14ac:dyDescent="0.25">
      <c r="A117" s="30"/>
      <c r="B117" s="41" t="s">
        <v>1016</v>
      </c>
      <c r="C117" s="41" t="str" cm="1">
        <f t="array" ref="C117">_xlfn.XLOOKUP(
  1,
  (Lists3.1_Longlist[IUD]=Lists3.1_Shortlist[[#This Row],[IUD]]) *
  (Lists3.1_Longlist[Language]=Language),
  Lists3.1_Longlist[Mat. Cat 1]
)</f>
        <v>Plastique</v>
      </c>
      <c r="D117" s="41" t="str" cm="1">
        <f t="array" ref="D117">IF(_xlfn.XLOOKUP(
  1,
  (Lists3.1_Longlist[IUD]=Lists3.1_Shortlist[[#This Row],[IUD]]) *
  (Lists3.1_Longlist[Language]=Language),
  Lists3.1_Longlist[Mat. Cat. 2]
)=0,"",_xlfn.XLOOKUP(
  1,
  (Lists3.1_Longlist[IUD]=Lists3.1_Shortlist[[#This Row],[IUD]]) *
  (Lists3.1_Longlist[Language]=Language),
  Lists3.1_Longlist[Mat. Cat. 2]
))</f>
        <v>Thermoplastique</v>
      </c>
      <c r="E117" s="41" t="str" cm="1">
        <f t="array" ref="E117">IF(_xlfn.XLOOKUP(
  1,
  (Lists3.1_Longlist[IUD]=Lists3.1_Shortlist[[#This Row],[IUD]]) *
  (Lists3.1_Longlist[Language]=Language),
  Lists3.1_Longlist[Mat. Cat. 3]
)=0,"",_xlfn.XLOOKUP(
  1,
  (Lists3.1_Longlist[IUD]=Lists3.1_Shortlist[[#This Row],[IUD]]) *
  (Lists3.1_Longlist[Language]=Language),
  Lists3.1_Longlist[Mat. Cat. 3]
))</f>
        <v>Acétate d'éthyle-vinyle</v>
      </c>
      <c r="F117" s="32" t="s">
        <v>88</v>
      </c>
      <c r="G117" s="32" t="s">
        <v>28073</v>
      </c>
      <c r="H117" s="44"/>
      <c r="I117" s="30"/>
      <c r="J117" s="30"/>
      <c r="K117" s="30"/>
      <c r="L117" s="30"/>
      <c r="M117" s="30"/>
      <c r="N117" s="30"/>
      <c r="O117" s="30"/>
      <c r="P117" s="30"/>
      <c r="Q117" s="30"/>
      <c r="R117" s="30"/>
      <c r="S117" s="30"/>
      <c r="T117" s="30"/>
      <c r="U117" s="30"/>
      <c r="V117" s="30"/>
      <c r="W117" s="30"/>
      <c r="X117" s="30"/>
      <c r="Y117" s="30"/>
    </row>
    <row r="118" spans="1:25" x14ac:dyDescent="0.25">
      <c r="A118" s="30"/>
      <c r="B118" s="41" t="s">
        <v>1017</v>
      </c>
      <c r="C118" s="41" t="str" cm="1">
        <f t="array" ref="C118">_xlfn.XLOOKUP(
  1,
  (Lists3.1_Longlist[IUD]=Lists3.1_Shortlist[[#This Row],[IUD]]) *
  (Lists3.1_Longlist[Language]=Language),
  Lists3.1_Longlist[Mat. Cat 1]
)</f>
        <v>Plastique</v>
      </c>
      <c r="D118" s="41" t="str" cm="1">
        <f t="array" ref="D118">IF(_xlfn.XLOOKUP(
  1,
  (Lists3.1_Longlist[IUD]=Lists3.1_Shortlist[[#This Row],[IUD]]) *
  (Lists3.1_Longlist[Language]=Language),
  Lists3.1_Longlist[Mat. Cat. 2]
)=0,"",_xlfn.XLOOKUP(
  1,
  (Lists3.1_Longlist[IUD]=Lists3.1_Shortlist[[#This Row],[IUD]]) *
  (Lists3.1_Longlist[Language]=Language),
  Lists3.1_Longlist[Mat. Cat. 2]
))</f>
        <v>Thermoplastique</v>
      </c>
      <c r="E118" s="41" t="str" cm="1">
        <f t="array" ref="E118">IF(_xlfn.XLOOKUP(
  1,
  (Lists3.1_Longlist[IUD]=Lists3.1_Shortlist[[#This Row],[IUD]]) *
  (Lists3.1_Longlist[Language]=Language),
  Lists3.1_Longlist[Mat. Cat. 3]
)=0,"",_xlfn.XLOOKUP(
  1,
  (Lists3.1_Longlist[IUD]=Lists3.1_Shortlist[[#This Row],[IUD]]) *
  (Lists3.1_Longlist[Language]=Language),
  Lists3.1_Longlist[Mat. Cat. 3]
))</f>
        <v>Acétate d'éthyle-vinyle (feuilles)</v>
      </c>
      <c r="F118" s="32" t="s">
        <v>88</v>
      </c>
      <c r="G118" s="32" t="s">
        <v>28074</v>
      </c>
      <c r="H118" s="44"/>
      <c r="I118" s="30"/>
      <c r="J118" s="30"/>
      <c r="K118" s="30"/>
      <c r="L118" s="30"/>
      <c r="M118" s="30"/>
      <c r="N118" s="30"/>
      <c r="O118" s="30"/>
      <c r="P118" s="30"/>
      <c r="Q118" s="30"/>
      <c r="R118" s="30"/>
      <c r="S118" s="30"/>
      <c r="T118" s="30"/>
      <c r="U118" s="30"/>
      <c r="V118" s="30"/>
      <c r="W118" s="30"/>
      <c r="X118" s="30"/>
      <c r="Y118" s="30"/>
    </row>
    <row r="119" spans="1:25" x14ac:dyDescent="0.25">
      <c r="A119" s="30"/>
      <c r="B119" s="41" t="s">
        <v>1018</v>
      </c>
      <c r="C119" s="41" t="str" cm="1">
        <f t="array" ref="C119">_xlfn.XLOOKUP(
  1,
  (Lists3.1_Longlist[IUD]=Lists3.1_Shortlist[[#This Row],[IUD]]) *
  (Lists3.1_Longlist[Language]=Language),
  Lists3.1_Longlist[Mat. Cat 1]
)</f>
        <v>Plastique</v>
      </c>
      <c r="D119" s="41" t="str" cm="1">
        <f t="array" ref="D119">IF(_xlfn.XLOOKUP(
  1,
  (Lists3.1_Longlist[IUD]=Lists3.1_Shortlist[[#This Row],[IUD]]) *
  (Lists3.1_Longlist[Language]=Language),
  Lists3.1_Longlist[Mat. Cat. 2]
)=0,"",_xlfn.XLOOKUP(
  1,
  (Lists3.1_Longlist[IUD]=Lists3.1_Shortlist[[#This Row],[IUD]]) *
  (Lists3.1_Longlist[Language]=Language),
  Lists3.1_Longlist[Mat. Cat. 2]
))</f>
        <v>Thermoplastique</v>
      </c>
      <c r="E119" s="41" t="str" cm="1">
        <f t="array" ref="E119">IF(_xlfn.XLOOKUP(
  1,
  (Lists3.1_Longlist[IUD]=Lists3.1_Shortlist[[#This Row],[IUD]]) *
  (Lists3.1_Longlist[Language]=Language),
  Lists3.1_Longlist[Mat. Cat. 3]
)=0,"",_xlfn.XLOOKUP(
  1,
  (Lists3.1_Longlist[IUD]=Lists3.1_Shortlist[[#This Row],[IUD]]) *
  (Lists3.1_Longlist[Language]=Language),
  Lists3.1_Longlist[Mat. Cat. 3]
))</f>
        <v>Fibre de verre (renforcement en polyamide)</v>
      </c>
      <c r="F119" s="32" t="s">
        <v>88</v>
      </c>
      <c r="G119" s="32" t="s">
        <v>28075</v>
      </c>
      <c r="H119" s="30"/>
      <c r="I119" s="30"/>
      <c r="J119" s="30"/>
      <c r="K119" s="30"/>
      <c r="L119" s="30"/>
      <c r="M119" s="30"/>
      <c r="N119" s="30"/>
      <c r="O119" s="30"/>
      <c r="P119" s="30"/>
      <c r="Q119" s="30"/>
      <c r="R119" s="30"/>
      <c r="S119" s="30"/>
      <c r="T119" s="30"/>
      <c r="U119" s="30"/>
      <c r="V119" s="30"/>
      <c r="W119" s="30"/>
      <c r="X119" s="30"/>
      <c r="Y119" s="30"/>
    </row>
    <row r="120" spans="1:25" x14ac:dyDescent="0.25">
      <c r="A120" s="30"/>
      <c r="B120" s="41" t="s">
        <v>1019</v>
      </c>
      <c r="C120" s="41" t="str" cm="1">
        <f t="array" ref="C120">_xlfn.XLOOKUP(
  1,
  (Lists3.1_Longlist[IUD]=Lists3.1_Shortlist[[#This Row],[IUD]]) *
  (Lists3.1_Longlist[Language]=Language),
  Lists3.1_Longlist[Mat. Cat 1]
)</f>
        <v>Plastique</v>
      </c>
      <c r="D120" s="41" t="str" cm="1">
        <f t="array" ref="D120">IF(_xlfn.XLOOKUP(
  1,
  (Lists3.1_Longlist[IUD]=Lists3.1_Shortlist[[#This Row],[IUD]]) *
  (Lists3.1_Longlist[Language]=Language),
  Lists3.1_Longlist[Mat. Cat. 2]
)=0,"",_xlfn.XLOOKUP(
  1,
  (Lists3.1_Longlist[IUD]=Lists3.1_Shortlist[[#This Row],[IUD]]) *
  (Lists3.1_Longlist[Language]=Language),
  Lists3.1_Longlist[Mat. Cat. 2]
))</f>
        <v>Thermoplastique</v>
      </c>
      <c r="E120" s="41" t="str" cm="1">
        <f t="array" ref="E120">IF(_xlfn.XLOOKUP(
  1,
  (Lists3.1_Longlist[IUD]=Lists3.1_Shortlist[[#This Row],[IUD]]) *
  (Lists3.1_Longlist[Language]=Language),
  Lists3.1_Longlist[Mat. Cat. 3]
)=0,"",_xlfn.XLOOKUP(
  1,
  (Lists3.1_Longlist[IUD]=Lists3.1_Shortlist[[#This Row],[IUD]]) *
  (Lists3.1_Longlist[Language]=Language),
  Lists3.1_Longlist[Mat. Cat. 3]
))</f>
        <v>Polyéthylène non tissé</v>
      </c>
      <c r="F120" s="32" t="s">
        <v>88</v>
      </c>
      <c r="G120" s="32" t="s">
        <v>28076</v>
      </c>
      <c r="H120" s="30"/>
      <c r="I120" s="30"/>
      <c r="J120" s="30"/>
      <c r="K120" s="30"/>
      <c r="L120" s="30"/>
      <c r="M120" s="30"/>
      <c r="N120" s="30"/>
      <c r="O120" s="30"/>
      <c r="P120" s="30"/>
      <c r="Q120" s="30"/>
      <c r="R120" s="30"/>
      <c r="S120" s="30"/>
      <c r="T120" s="30"/>
      <c r="U120" s="30"/>
      <c r="V120" s="30"/>
      <c r="W120" s="30"/>
      <c r="X120" s="30"/>
      <c r="Y120" s="30"/>
    </row>
    <row r="121" spans="1:25" x14ac:dyDescent="0.25">
      <c r="A121" s="30"/>
      <c r="B121" s="41" t="s">
        <v>1020</v>
      </c>
      <c r="C121" s="41" t="str" cm="1">
        <f t="array" ref="C121">_xlfn.XLOOKUP(
  1,
  (Lists3.1_Longlist[IUD]=Lists3.1_Shortlist[[#This Row],[IUD]]) *
  (Lists3.1_Longlist[Language]=Language),
  Lists3.1_Longlist[Mat. Cat 1]
)</f>
        <v>Plastique</v>
      </c>
      <c r="D121" s="41" t="str" cm="1">
        <f t="array" ref="D121">IF(_xlfn.XLOOKUP(
  1,
  (Lists3.1_Longlist[IUD]=Lists3.1_Shortlist[[#This Row],[IUD]]) *
  (Lists3.1_Longlist[Language]=Language),
  Lists3.1_Longlist[Mat. Cat. 2]
)=0,"",_xlfn.XLOOKUP(
  1,
  (Lists3.1_Longlist[IUD]=Lists3.1_Shortlist[[#This Row],[IUD]]) *
  (Lists3.1_Longlist[Language]=Language),
  Lists3.1_Longlist[Mat. Cat. 2]
))</f>
        <v>Thermoplastique</v>
      </c>
      <c r="E121" s="41" t="str" cm="1">
        <f t="array" ref="E121">IF(_xlfn.XLOOKUP(
  1,
  (Lists3.1_Longlist[IUD]=Lists3.1_Shortlist[[#This Row],[IUD]]) *
  (Lists3.1_Longlist[Language]=Language),
  Lists3.1_Longlist[Mat. Cat. 3]
)=0,"",_xlfn.XLOOKUP(
  1,
  (Lists3.1_Longlist[IUD]=Lists3.1_Shortlist[[#This Row],[IUD]]) *
  (Lists3.1_Longlist[Language]=Language),
  Lists3.1_Longlist[Mat. Cat. 3]
))</f>
        <v>Nylon 6</v>
      </c>
      <c r="F121" s="32" t="s">
        <v>88</v>
      </c>
      <c r="G121" s="32" t="s">
        <v>28077</v>
      </c>
      <c r="H121" s="30"/>
      <c r="I121" s="30"/>
      <c r="J121" s="30"/>
      <c r="K121" s="30"/>
      <c r="L121" s="30"/>
      <c r="M121" s="30"/>
      <c r="N121" s="30"/>
      <c r="O121" s="30"/>
      <c r="P121" s="30"/>
      <c r="Q121" s="30"/>
      <c r="R121" s="30"/>
      <c r="S121" s="30"/>
      <c r="T121" s="30"/>
      <c r="U121" s="30"/>
      <c r="V121" s="30"/>
      <c r="W121" s="30"/>
      <c r="X121" s="30"/>
      <c r="Y121" s="30"/>
    </row>
    <row r="122" spans="1:25" x14ac:dyDescent="0.25">
      <c r="A122" s="30"/>
      <c r="B122" s="41" t="s">
        <v>1021</v>
      </c>
      <c r="C122" s="41" t="str" cm="1">
        <f t="array" ref="C122">_xlfn.XLOOKUP(
  1,
  (Lists3.1_Longlist[IUD]=Lists3.1_Shortlist[[#This Row],[IUD]]) *
  (Lists3.1_Longlist[Language]=Language),
  Lists3.1_Longlist[Mat. Cat 1]
)</f>
        <v>Plastique</v>
      </c>
      <c r="D122" s="41" t="str" cm="1">
        <f t="array" ref="D122">IF(_xlfn.XLOOKUP(
  1,
  (Lists3.1_Longlist[IUD]=Lists3.1_Shortlist[[#This Row],[IUD]]) *
  (Lists3.1_Longlist[Language]=Language),
  Lists3.1_Longlist[Mat. Cat. 2]
)=0,"",_xlfn.XLOOKUP(
  1,
  (Lists3.1_Longlist[IUD]=Lists3.1_Shortlist[[#This Row],[IUD]]) *
  (Lists3.1_Longlist[Language]=Language),
  Lists3.1_Longlist[Mat. Cat. 2]
))</f>
        <v>Thermoplastique</v>
      </c>
      <c r="E122" s="41" t="str" cm="1">
        <f t="array" ref="E122">IF(_xlfn.XLOOKUP(
  1,
  (Lists3.1_Longlist[IUD]=Lists3.1_Shortlist[[#This Row],[IUD]]) *
  (Lists3.1_Longlist[Language]=Language),
  Lists3.1_Longlist[Mat. Cat. 3]
)=0,"",_xlfn.XLOOKUP(
  1,
  (Lists3.1_Longlist[IUD]=Lists3.1_Shortlist[[#This Row],[IUD]]) *
  (Lists3.1_Longlist[Language]=Language),
  Lists3.1_Longlist[Mat. Cat. 3]
))</f>
        <v>Film d’emballage</v>
      </c>
      <c r="F122" s="32" t="s">
        <v>88</v>
      </c>
      <c r="G122" s="32" t="s">
        <v>28078</v>
      </c>
      <c r="H122" s="30"/>
      <c r="I122" s="30"/>
      <c r="J122" s="30"/>
      <c r="K122" s="30"/>
      <c r="L122" s="30"/>
      <c r="M122" s="30"/>
      <c r="N122" s="30"/>
      <c r="O122" s="30"/>
      <c r="P122" s="30"/>
      <c r="Q122" s="30"/>
      <c r="R122" s="30"/>
      <c r="S122" s="30"/>
      <c r="T122" s="30"/>
      <c r="U122" s="30"/>
      <c r="V122" s="30"/>
      <c r="W122" s="30"/>
      <c r="X122" s="30"/>
      <c r="Y122" s="30"/>
    </row>
    <row r="123" spans="1:25" x14ac:dyDescent="0.25">
      <c r="A123" s="30"/>
      <c r="B123" s="41" t="s">
        <v>1022</v>
      </c>
      <c r="C123" s="41" t="str" cm="1">
        <f t="array" ref="C123">_xlfn.XLOOKUP(
  1,
  (Lists3.1_Longlist[IUD]=Lists3.1_Shortlist[[#This Row],[IUD]]) *
  (Lists3.1_Longlist[Language]=Language),
  Lists3.1_Longlist[Mat. Cat 1]
)</f>
        <v>Plastique</v>
      </c>
      <c r="D123" s="41" t="str" cm="1">
        <f t="array" ref="D123">IF(_xlfn.XLOOKUP(
  1,
  (Lists3.1_Longlist[IUD]=Lists3.1_Shortlist[[#This Row],[IUD]]) *
  (Lists3.1_Longlist[Language]=Language),
  Lists3.1_Longlist[Mat. Cat. 2]
)=0,"",_xlfn.XLOOKUP(
  1,
  (Lists3.1_Longlist[IUD]=Lists3.1_Shortlist[[#This Row],[IUD]]) *
  (Lists3.1_Longlist[Language]=Language),
  Lists3.1_Longlist[Mat. Cat. 2]
))</f>
        <v>Thermoplastique</v>
      </c>
      <c r="E123" s="41" t="str" cm="1">
        <f t="array" ref="E123">IF(_xlfn.XLOOKUP(
  1,
  (Lists3.1_Longlist[IUD]=Lists3.1_Shortlist[[#This Row],[IUD]]) *
  (Lists3.1_Longlist[Language]=Language),
  Lists3.1_Longlist[Mat. Cat. 3]
)=0,"",_xlfn.XLOOKUP(
  1,
  (Lists3.1_Longlist[IUD]=Lists3.1_Shortlist[[#This Row],[IUD]]) *
  (Lists3.1_Longlist[Language]=Language),
  Lists3.1_Longlist[Mat. Cat. 3]
))</f>
        <v>Polycarbonate</v>
      </c>
      <c r="F123" s="32" t="s">
        <v>88</v>
      </c>
      <c r="G123" s="32" t="s">
        <v>28079</v>
      </c>
      <c r="H123" s="30"/>
      <c r="I123" s="30"/>
      <c r="J123" s="30"/>
      <c r="K123" s="30"/>
      <c r="L123" s="30"/>
      <c r="M123" s="30"/>
      <c r="N123" s="30"/>
      <c r="O123" s="30"/>
      <c r="P123" s="30"/>
      <c r="Q123" s="30"/>
      <c r="R123" s="30"/>
      <c r="S123" s="30"/>
      <c r="T123" s="30"/>
      <c r="U123" s="30"/>
      <c r="V123" s="30"/>
      <c r="W123" s="30"/>
      <c r="X123" s="30"/>
      <c r="Y123" s="30"/>
    </row>
    <row r="124" spans="1:25" x14ac:dyDescent="0.25">
      <c r="A124" s="30"/>
      <c r="B124" s="41" t="s">
        <v>1015</v>
      </c>
      <c r="C124" s="41" t="str" cm="1">
        <f t="array" ref="C124">_xlfn.XLOOKUP(
  1,
  (Lists3.1_Longlist[IUD]=Lists3.1_Shortlist[[#This Row],[IUD]]) *
  (Lists3.1_Longlist[Language]=Language),
  Lists3.1_Longlist[Mat. Cat 1]
)</f>
        <v>Plastique</v>
      </c>
      <c r="D124" s="41" t="str" cm="1">
        <f t="array" ref="D124">IF(_xlfn.XLOOKUP(
  1,
  (Lists3.1_Longlist[IUD]=Lists3.1_Shortlist[[#This Row],[IUD]]) *
  (Lists3.1_Longlist[Language]=Language),
  Lists3.1_Longlist[Mat. Cat. 2]
)=0,"",_xlfn.XLOOKUP(
  1,
  (Lists3.1_Longlist[IUD]=Lists3.1_Shortlist[[#This Row],[IUD]]) *
  (Lists3.1_Longlist[Language]=Language),
  Lists3.1_Longlist[Mat. Cat. 2]
))</f>
        <v>Thermoplastique</v>
      </c>
      <c r="E124" s="41" t="str" cm="1">
        <f t="array" ref="E124">IF(_xlfn.XLOOKUP(
  1,
  (Lists3.1_Longlist[IUD]=Lists3.1_Shortlist[[#This Row],[IUD]]) *
  (Lists3.1_Longlist[Language]=Language),
  Lists3.1_Longlist[Mat. Cat. 3]
)=0,"",_xlfn.XLOOKUP(
  1,
  (Lists3.1_Longlist[IUD]=Lists3.1_Shortlist[[#This Row],[IUD]]) *
  (Lists3.1_Longlist[Language]=Language),
  Lists3.1_Longlist[Mat. Cat. 3]
))</f>
        <v>PET (granulés)</v>
      </c>
      <c r="F124" s="32" t="s">
        <v>88</v>
      </c>
      <c r="G124" s="32" t="s">
        <v>28080</v>
      </c>
      <c r="H124" s="30"/>
      <c r="I124" s="30"/>
      <c r="J124" s="30"/>
      <c r="K124" s="30"/>
      <c r="L124" s="30"/>
      <c r="M124" s="30"/>
      <c r="N124" s="30"/>
      <c r="O124" s="30"/>
      <c r="P124" s="30"/>
      <c r="Q124" s="30"/>
      <c r="R124" s="30"/>
      <c r="S124" s="30"/>
      <c r="T124" s="30"/>
      <c r="U124" s="30"/>
      <c r="V124" s="30"/>
      <c r="W124" s="30"/>
      <c r="X124" s="30"/>
      <c r="Y124" s="30"/>
    </row>
    <row r="125" spans="1:25" x14ac:dyDescent="0.25">
      <c r="A125" s="30"/>
      <c r="B125" s="41" t="s">
        <v>1023</v>
      </c>
      <c r="C125" s="41" t="str" cm="1">
        <f t="array" ref="C125">_xlfn.XLOOKUP(
  1,
  (Lists3.1_Longlist[IUD]=Lists3.1_Shortlist[[#This Row],[IUD]]) *
  (Lists3.1_Longlist[Language]=Language),
  Lists3.1_Longlist[Mat. Cat 1]
)</f>
        <v>Plastique</v>
      </c>
      <c r="D125" s="41" t="str" cm="1">
        <f t="array" ref="D125">IF(_xlfn.XLOOKUP(
  1,
  (Lists3.1_Longlist[IUD]=Lists3.1_Shortlist[[#This Row],[IUD]]) *
  (Lists3.1_Longlist[Language]=Language),
  Lists3.1_Longlist[Mat. Cat. 2]
)=0,"",_xlfn.XLOOKUP(
  1,
  (Lists3.1_Longlist[IUD]=Lists3.1_Shortlist[[#This Row],[IUD]]) *
  (Lists3.1_Longlist[Language]=Language),
  Lists3.1_Longlist[Mat. Cat. 2]
))</f>
        <v>Thermoplastique</v>
      </c>
      <c r="E125" s="41" t="str" cm="1">
        <f t="array" ref="E125">IF(_xlfn.XLOOKUP(
  1,
  (Lists3.1_Longlist[IUD]=Lists3.1_Shortlist[[#This Row],[IUD]]) *
  (Lists3.1_Longlist[Language]=Language),
  Lists3.1_Longlist[Mat. Cat. 3]
)=0,"",_xlfn.XLOOKUP(
  1,
  (Lists3.1_Longlist[IUD]=Lists3.1_Shortlist[[#This Row],[IUD]]) *
  (Lists3.1_Longlist[Language]=Language),
  Lists3.1_Longlist[Mat. Cat. 3]
))</f>
        <v>HDPE (granulés)</v>
      </c>
      <c r="F125" s="32" t="s">
        <v>88</v>
      </c>
      <c r="G125" s="32" t="s">
        <v>28081</v>
      </c>
      <c r="H125" s="30"/>
      <c r="I125" s="30"/>
      <c r="J125" s="30"/>
      <c r="K125" s="30"/>
      <c r="L125" s="30"/>
      <c r="M125" s="30"/>
      <c r="N125" s="30"/>
      <c r="O125" s="30"/>
      <c r="P125" s="30"/>
      <c r="Q125" s="30"/>
      <c r="R125" s="30"/>
      <c r="S125" s="30"/>
      <c r="T125" s="30"/>
      <c r="U125" s="30"/>
      <c r="V125" s="30"/>
      <c r="W125" s="30"/>
      <c r="X125" s="30"/>
      <c r="Y125" s="30"/>
    </row>
    <row r="126" spans="1:25" x14ac:dyDescent="0.25">
      <c r="A126" s="30"/>
      <c r="B126" s="41" t="s">
        <v>1024</v>
      </c>
      <c r="C126" s="41" t="str" cm="1">
        <f t="array" ref="C126">_xlfn.XLOOKUP(
  1,
  (Lists3.1_Longlist[IUD]=Lists3.1_Shortlist[[#This Row],[IUD]]) *
  (Lists3.1_Longlist[Language]=Language),
  Lists3.1_Longlist[Mat. Cat 1]
)</f>
        <v>Plastique</v>
      </c>
      <c r="D126" s="41" t="str" cm="1">
        <f t="array" ref="D126">IF(_xlfn.XLOOKUP(
  1,
  (Lists3.1_Longlist[IUD]=Lists3.1_Shortlist[[#This Row],[IUD]]) *
  (Lists3.1_Longlist[Language]=Language),
  Lists3.1_Longlist[Mat. Cat. 2]
)=0,"",_xlfn.XLOOKUP(
  1,
  (Lists3.1_Longlist[IUD]=Lists3.1_Shortlist[[#This Row],[IUD]]) *
  (Lists3.1_Longlist[Language]=Language),
  Lists3.1_Longlist[Mat. Cat. 2]
))</f>
        <v>Thermoplastique</v>
      </c>
      <c r="E126" s="41" t="str" cm="1">
        <f t="array" ref="E126">IF(_xlfn.XLOOKUP(
  1,
  (Lists3.1_Longlist[IUD]=Lists3.1_Shortlist[[#This Row],[IUD]]) *
  (Lists3.1_Longlist[Language]=Language),
  Lists3.1_Longlist[Mat. Cat. 3]
)=0,"",_xlfn.XLOOKUP(
  1,
  (Lists3.1_Longlist[IUD]=Lists3.1_Shortlist[[#This Row],[IUD]]) *
  (Lists3.1_Longlist[Language]=Language),
  Lists3.1_Longlist[Mat. Cat. 3]
))</f>
        <v>LDPE (granulés)</v>
      </c>
      <c r="F126" s="32" t="s">
        <v>88</v>
      </c>
      <c r="G126" s="32" t="s">
        <v>28082</v>
      </c>
      <c r="H126" s="44"/>
      <c r="I126" s="30"/>
      <c r="J126" s="30"/>
      <c r="K126" s="30"/>
      <c r="L126" s="30"/>
      <c r="M126" s="30"/>
      <c r="N126" s="30"/>
      <c r="O126" s="30"/>
      <c r="P126" s="30"/>
      <c r="Q126" s="30"/>
      <c r="R126" s="30"/>
      <c r="S126" s="30"/>
      <c r="T126" s="30"/>
      <c r="U126" s="30"/>
      <c r="V126" s="30"/>
      <c r="W126" s="30"/>
      <c r="X126" s="30"/>
      <c r="Y126" s="30"/>
    </row>
    <row r="127" spans="1:25" x14ac:dyDescent="0.25">
      <c r="A127" s="30"/>
      <c r="B127" s="41" t="s">
        <v>1025</v>
      </c>
      <c r="C127" s="41" t="str" cm="1">
        <f t="array" ref="C127">_xlfn.XLOOKUP(
  1,
  (Lists3.1_Longlist[IUD]=Lists3.1_Shortlist[[#This Row],[IUD]]) *
  (Lists3.1_Longlist[Language]=Language),
  Lists3.1_Longlist[Mat. Cat 1]
)</f>
        <v>Plastique</v>
      </c>
      <c r="D127" s="41" t="str" cm="1">
        <f t="array" ref="D127">IF(_xlfn.XLOOKUP(
  1,
  (Lists3.1_Longlist[IUD]=Lists3.1_Shortlist[[#This Row],[IUD]]) *
  (Lists3.1_Longlist[Language]=Language),
  Lists3.1_Longlist[Mat. Cat. 2]
)=0,"",_xlfn.XLOOKUP(
  1,
  (Lists3.1_Longlist[IUD]=Lists3.1_Shortlist[[#This Row],[IUD]]) *
  (Lists3.1_Longlist[Language]=Language),
  Lists3.1_Longlist[Mat. Cat. 2]
))</f>
        <v>Thermoplastique</v>
      </c>
      <c r="E127" s="41" t="str" cm="1">
        <f t="array" ref="E127">IF(_xlfn.XLOOKUP(
  1,
  (Lists3.1_Longlist[IUD]=Lists3.1_Shortlist[[#This Row],[IUD]]) *
  (Lists3.1_Longlist[Language]=Language),
  Lists3.1_Longlist[Mat. Cat. 3]
)=0,"",_xlfn.XLOOKUP(
  1,
  (Lists3.1_Longlist[IUD]=Lists3.1_Shortlist[[#This Row],[IUD]]) *
  (Lists3.1_Longlist[Language]=Language),
  Lists3.1_Longlist[Mat. Cat. 3]
))</f>
        <v>PMMA (granulés)</v>
      </c>
      <c r="F127" s="32" t="s">
        <v>88</v>
      </c>
      <c r="G127" s="32" t="s">
        <v>28083</v>
      </c>
      <c r="H127" s="30"/>
      <c r="I127" s="30"/>
      <c r="J127" s="30"/>
      <c r="K127" s="30"/>
      <c r="L127" s="30"/>
      <c r="M127" s="30"/>
      <c r="N127" s="30"/>
      <c r="O127" s="30"/>
      <c r="P127" s="30"/>
      <c r="Q127" s="30"/>
      <c r="R127" s="30"/>
      <c r="S127" s="30"/>
      <c r="T127" s="30"/>
      <c r="U127" s="30"/>
      <c r="V127" s="30"/>
      <c r="W127" s="30"/>
      <c r="X127" s="30"/>
      <c r="Y127" s="30"/>
    </row>
    <row r="128" spans="1:25" x14ac:dyDescent="0.25">
      <c r="A128" s="30"/>
      <c r="B128" s="41" t="s">
        <v>1026</v>
      </c>
      <c r="C128" s="41" t="str" cm="1">
        <f t="array" ref="C128">_xlfn.XLOOKUP(
  1,
  (Lists3.1_Longlist[IUD]=Lists3.1_Shortlist[[#This Row],[IUD]]) *
  (Lists3.1_Longlist[Language]=Language),
  Lists3.1_Longlist[Mat. Cat 1]
)</f>
        <v>Plastique</v>
      </c>
      <c r="D128" s="41" t="str" cm="1">
        <f t="array" ref="D128">IF(_xlfn.XLOOKUP(
  1,
  (Lists3.1_Longlist[IUD]=Lists3.1_Shortlist[[#This Row],[IUD]]) *
  (Lists3.1_Longlist[Language]=Language),
  Lists3.1_Longlist[Mat. Cat. 2]
)=0,"",_xlfn.XLOOKUP(
  1,
  (Lists3.1_Longlist[IUD]=Lists3.1_Shortlist[[#This Row],[IUD]]) *
  (Lists3.1_Longlist[Language]=Language),
  Lists3.1_Longlist[Mat. Cat. 2]
))</f>
        <v>Thermoplastique</v>
      </c>
      <c r="E128" s="41" t="str" cm="1">
        <f t="array" ref="E128">IF(_xlfn.XLOOKUP(
  1,
  (Lists3.1_Longlist[IUD]=Lists3.1_Shortlist[[#This Row],[IUD]]) *
  (Lists3.1_Longlist[Language]=Language),
  Lists3.1_Longlist[Mat. Cat. 3]
)=0,"",_xlfn.XLOOKUP(
  1,
  (Lists3.1_Longlist[IUD]=Lists3.1_Shortlist[[#This Row],[IUD]]) *
  (Lists3.1_Longlist[Language]=Language),
  Lists3.1_Longlist[Mat. Cat. 3]
))</f>
        <v>PMMA (feuilles)</v>
      </c>
      <c r="F128" s="32" t="s">
        <v>88</v>
      </c>
      <c r="G128" s="32" t="s">
        <v>28084</v>
      </c>
      <c r="H128" s="30"/>
      <c r="I128" s="30"/>
      <c r="J128" s="30"/>
      <c r="K128" s="30"/>
      <c r="L128" s="30"/>
      <c r="M128" s="30"/>
      <c r="N128" s="30"/>
      <c r="O128" s="30"/>
      <c r="P128" s="30"/>
      <c r="Q128" s="30"/>
      <c r="R128" s="30"/>
      <c r="S128" s="30"/>
      <c r="T128" s="30"/>
      <c r="U128" s="30"/>
      <c r="V128" s="30"/>
      <c r="W128" s="30"/>
      <c r="X128" s="30"/>
      <c r="Y128" s="30"/>
    </row>
    <row r="129" spans="1:25" x14ac:dyDescent="0.25">
      <c r="A129" s="30"/>
      <c r="B129" s="41" t="s">
        <v>1027</v>
      </c>
      <c r="C129" s="41" t="str" cm="1">
        <f t="array" ref="C129">_xlfn.XLOOKUP(
  1,
  (Lists3.1_Longlist[IUD]=Lists3.1_Shortlist[[#This Row],[IUD]]) *
  (Lists3.1_Longlist[Language]=Language),
  Lists3.1_Longlist[Mat. Cat 1]
)</f>
        <v>Plastique</v>
      </c>
      <c r="D129" s="41" t="str" cm="1">
        <f t="array" ref="D129">IF(_xlfn.XLOOKUP(
  1,
  (Lists3.1_Longlist[IUD]=Lists3.1_Shortlist[[#This Row],[IUD]]) *
  (Lists3.1_Longlist[Language]=Language),
  Lists3.1_Longlist[Mat. Cat. 2]
)=0,"",_xlfn.XLOOKUP(
  1,
  (Lists3.1_Longlist[IUD]=Lists3.1_Shortlist[[#This Row],[IUD]]) *
  (Lists3.1_Longlist[Language]=Language),
  Lists3.1_Longlist[Mat. Cat. 2]
))</f>
        <v>Thermoplastique</v>
      </c>
      <c r="E129" s="41" t="str" cm="1">
        <f t="array" ref="E129">IF(_xlfn.XLOOKUP(
  1,
  (Lists3.1_Longlist[IUD]=Lists3.1_Shortlist[[#This Row],[IUD]]) *
  (Lists3.1_Longlist[Language]=Language),
  Lists3.1_Longlist[Mat. Cat. 3]
)=0,"",_xlfn.XLOOKUP(
  1,
  (Lists3.1_Longlist[IUD]=Lists3.1_Shortlist[[#This Row],[IUD]]) *
  (Lists3.1_Longlist[Language]=Language),
  Lists3.1_Longlist[Mat. Cat. 3]
))</f>
        <v>Polyester</v>
      </c>
      <c r="F129" s="32" t="s">
        <v>88</v>
      </c>
      <c r="G129" s="32" t="s">
        <v>28085</v>
      </c>
      <c r="H129" s="44"/>
      <c r="I129" s="30"/>
      <c r="J129" s="30"/>
      <c r="K129" s="30"/>
      <c r="L129" s="30"/>
      <c r="M129" s="30"/>
      <c r="N129" s="30"/>
      <c r="O129" s="30"/>
      <c r="P129" s="30"/>
      <c r="Q129" s="30"/>
      <c r="R129" s="30"/>
      <c r="S129" s="30"/>
      <c r="T129" s="30"/>
      <c r="U129" s="30"/>
      <c r="V129" s="30"/>
      <c r="W129" s="30"/>
      <c r="X129" s="30"/>
      <c r="Y129" s="30"/>
    </row>
    <row r="130" spans="1:25" x14ac:dyDescent="0.25">
      <c r="A130" s="30"/>
      <c r="B130" s="41" t="s">
        <v>1028</v>
      </c>
      <c r="C130" s="41" t="str" cm="1">
        <f t="array" ref="C130">_xlfn.XLOOKUP(
  1,
  (Lists3.1_Longlist[IUD]=Lists3.1_Shortlist[[#This Row],[IUD]]) *
  (Lists3.1_Longlist[Language]=Language),
  Lists3.1_Longlist[Mat. Cat 1]
)</f>
        <v>Plastique</v>
      </c>
      <c r="D130" s="41" t="str" cm="1">
        <f t="array" ref="D130">IF(_xlfn.XLOOKUP(
  1,
  (Lists3.1_Longlist[IUD]=Lists3.1_Shortlist[[#This Row],[IUD]]) *
  (Lists3.1_Longlist[Language]=Language),
  Lists3.1_Longlist[Mat. Cat. 2]
)=0,"",_xlfn.XLOOKUP(
  1,
  (Lists3.1_Longlist[IUD]=Lists3.1_Shortlist[[#This Row],[IUD]]) *
  (Lists3.1_Longlist[Language]=Language),
  Lists3.1_Longlist[Mat. Cat. 2]
))</f>
        <v>Thermoplastique</v>
      </c>
      <c r="E130" s="41" t="str" cm="1">
        <f t="array" ref="E130">IF(_xlfn.XLOOKUP(
  1,
  (Lists3.1_Longlist[IUD]=Lists3.1_Shortlist[[#This Row],[IUD]]) *
  (Lists3.1_Longlist[Language]=Language),
  Lists3.1_Longlist[Mat. Cat. 3]
)=0,"",_xlfn.XLOOKUP(
  1,
  (Lists3.1_Longlist[IUD]=Lists3.1_Shortlist[[#This Row],[IUD]]) *
  (Lists3.1_Longlist[Language]=Language),
  Lists3.1_Longlist[Mat. Cat. 3]
))</f>
        <v>Sulfure de polyphénylène</v>
      </c>
      <c r="F130" s="32" t="s">
        <v>88</v>
      </c>
      <c r="G130" s="32" t="s">
        <v>28086</v>
      </c>
      <c r="H130" s="44"/>
      <c r="I130" s="30"/>
      <c r="J130" s="30"/>
      <c r="K130" s="30"/>
      <c r="L130" s="30"/>
      <c r="M130" s="30"/>
      <c r="N130" s="30"/>
      <c r="O130" s="30"/>
      <c r="P130" s="30"/>
      <c r="Q130" s="30"/>
      <c r="R130" s="30"/>
      <c r="S130" s="30"/>
      <c r="T130" s="30"/>
      <c r="U130" s="30"/>
      <c r="V130" s="30"/>
      <c r="W130" s="30"/>
      <c r="X130" s="30"/>
      <c r="Y130" s="30"/>
    </row>
    <row r="131" spans="1:25" x14ac:dyDescent="0.25">
      <c r="A131" s="30"/>
      <c r="B131" s="41" t="s">
        <v>1029</v>
      </c>
      <c r="C131" s="41" t="str" cm="1">
        <f t="array" ref="C131">_xlfn.XLOOKUP(
  1,
  (Lists3.1_Longlist[IUD]=Lists3.1_Shortlist[[#This Row],[IUD]]) *
  (Lists3.1_Longlist[Language]=Language),
  Lists3.1_Longlist[Mat. Cat 1]
)</f>
        <v>Plastique</v>
      </c>
      <c r="D131" s="41" t="str" cm="1">
        <f t="array" ref="D131">IF(_xlfn.XLOOKUP(
  1,
  (Lists3.1_Longlist[IUD]=Lists3.1_Shortlist[[#This Row],[IUD]]) *
  (Lists3.1_Longlist[Language]=Language),
  Lists3.1_Longlist[Mat. Cat. 2]
)=0,"",_xlfn.XLOOKUP(
  1,
  (Lists3.1_Longlist[IUD]=Lists3.1_Shortlist[[#This Row],[IUD]]) *
  (Lists3.1_Longlist[Language]=Language),
  Lists3.1_Longlist[Mat. Cat. 2]
))</f>
        <v>Thermoplastique</v>
      </c>
      <c r="E131" s="41" t="str" cm="1">
        <f t="array" ref="E131">IF(_xlfn.XLOOKUP(
  1,
  (Lists3.1_Longlist[IUD]=Lists3.1_Shortlist[[#This Row],[IUD]]) *
  (Lists3.1_Longlist[Language]=Language),
  Lists3.1_Longlist[Mat. Cat. 3]
)=0,"",_xlfn.XLOOKUP(
  1,
  (Lists3.1_Longlist[IUD]=Lists3.1_Shortlist[[#This Row],[IUD]]) *
  (Lists3.1_Longlist[Language]=Language),
  Lists3.1_Longlist[Mat. Cat. 3]
))</f>
        <v>PP (granulés)</v>
      </c>
      <c r="F131" s="32" t="s">
        <v>88</v>
      </c>
      <c r="G131" s="32" t="s">
        <v>28087</v>
      </c>
      <c r="H131" s="44"/>
      <c r="I131" s="30"/>
      <c r="J131" s="30"/>
      <c r="K131" s="30"/>
      <c r="L131" s="30"/>
      <c r="M131" s="30"/>
      <c r="N131" s="30"/>
      <c r="O131" s="30"/>
      <c r="P131" s="30"/>
      <c r="Q131" s="30"/>
      <c r="R131" s="30"/>
      <c r="S131" s="30"/>
      <c r="T131" s="30"/>
      <c r="U131" s="30"/>
      <c r="V131" s="30"/>
      <c r="W131" s="30"/>
      <c r="X131" s="30"/>
      <c r="Y131" s="30"/>
    </row>
    <row r="132" spans="1:25" x14ac:dyDescent="0.25">
      <c r="A132" s="30"/>
      <c r="B132" s="41" t="s">
        <v>1030</v>
      </c>
      <c r="C132" s="41" t="str" cm="1">
        <f t="array" ref="C132">_xlfn.XLOOKUP(
  1,
  (Lists3.1_Longlist[IUD]=Lists3.1_Shortlist[[#This Row],[IUD]]) *
  (Lists3.1_Longlist[Language]=Language),
  Lists3.1_Longlist[Mat. Cat 1]
)</f>
        <v>Plastique</v>
      </c>
      <c r="D132" s="41" t="str" cm="1">
        <f t="array" ref="D132">IF(_xlfn.XLOOKUP(
  1,
  (Lists3.1_Longlist[IUD]=Lists3.1_Shortlist[[#This Row],[IUD]]) *
  (Lists3.1_Longlist[Language]=Language),
  Lists3.1_Longlist[Mat. Cat. 2]
)=0,"",_xlfn.XLOOKUP(
  1,
  (Lists3.1_Longlist[IUD]=Lists3.1_Shortlist[[#This Row],[IUD]]) *
  (Lists3.1_Longlist[Language]=Language),
  Lists3.1_Longlist[Mat. Cat. 2]
))</f>
        <v>Thermoplastique</v>
      </c>
      <c r="E132" s="41" t="str" cm="1">
        <f t="array" ref="E132">IF(_xlfn.XLOOKUP(
  1,
  (Lists3.1_Longlist[IUD]=Lists3.1_Shortlist[[#This Row],[IUD]]) *
  (Lists3.1_Longlist[Language]=Language),
  Lists3.1_Longlist[Mat. Cat. 3]
)=0,"",_xlfn.XLOOKUP(
  1,
  (Lists3.1_Longlist[IUD]=Lists3.1_Shortlist[[#This Row],[IUD]]) *
  (Lists3.1_Longlist[Language]=Language),
  Lists3.1_Longlist[Mat. Cat. 3]
))</f>
        <v>PS (usage général)</v>
      </c>
      <c r="F132" s="32" t="s">
        <v>88</v>
      </c>
      <c r="G132" s="32" t="s">
        <v>28088</v>
      </c>
      <c r="H132" s="44"/>
      <c r="I132" s="30"/>
      <c r="J132" s="30"/>
      <c r="K132" s="30"/>
      <c r="L132" s="30"/>
      <c r="M132" s="30"/>
      <c r="N132" s="30"/>
      <c r="O132" s="30"/>
      <c r="P132" s="30"/>
      <c r="Q132" s="30"/>
      <c r="R132" s="30"/>
      <c r="S132" s="30"/>
      <c r="T132" s="30"/>
      <c r="U132" s="30"/>
      <c r="V132" s="30"/>
      <c r="W132" s="30"/>
      <c r="X132" s="30"/>
      <c r="Y132" s="30"/>
    </row>
    <row r="133" spans="1:25" x14ac:dyDescent="0.25">
      <c r="A133" s="30"/>
      <c r="B133" s="41" t="s">
        <v>1031</v>
      </c>
      <c r="C133" s="41" t="str" cm="1">
        <f t="array" ref="C133">_xlfn.XLOOKUP(
  1,
  (Lists3.1_Longlist[IUD]=Lists3.1_Shortlist[[#This Row],[IUD]]) *
  (Lists3.1_Longlist[Language]=Language),
  Lists3.1_Longlist[Mat. Cat 1]
)</f>
        <v>Plastique</v>
      </c>
      <c r="D133" s="41" t="str" cm="1">
        <f t="array" ref="D133">IF(_xlfn.XLOOKUP(
  1,
  (Lists3.1_Longlist[IUD]=Lists3.1_Shortlist[[#This Row],[IUD]]) *
  (Lists3.1_Longlist[Language]=Language),
  Lists3.1_Longlist[Mat. Cat. 2]
)=0,"",_xlfn.XLOOKUP(
  1,
  (Lists3.1_Longlist[IUD]=Lists3.1_Shortlist[[#This Row],[IUD]]) *
  (Lists3.1_Longlist[Language]=Language),
  Lists3.1_Longlist[Mat. Cat. 2]
))</f>
        <v>Thermoplastique</v>
      </c>
      <c r="E133" s="41" t="str" cm="1">
        <f t="array" ref="E133">IF(_xlfn.XLOOKUP(
  1,
  (Lists3.1_Longlist[IUD]=Lists3.1_Shortlist[[#This Row],[IUD]]) *
  (Lists3.1_Longlist[Language]=Language),
  Lists3.1_Longlist[Mat. Cat. 3]
)=0,"",_xlfn.XLOOKUP(
  1,
  (Lists3.1_Longlist[IUD]=Lists3.1_Shortlist[[#This Row],[IUD]]) *
  (Lists3.1_Longlist[Language]=Language),
  Lists3.1_Longlist[Mat. Cat. 3]
))</f>
        <v>PS (expansible)</v>
      </c>
      <c r="F133" s="32" t="s">
        <v>88</v>
      </c>
      <c r="G133" s="32" t="s">
        <v>28089</v>
      </c>
      <c r="H133" s="30"/>
      <c r="I133" s="30"/>
      <c r="J133" s="30"/>
      <c r="K133" s="30"/>
      <c r="L133" s="30"/>
      <c r="M133" s="30"/>
      <c r="N133" s="30"/>
      <c r="O133" s="30"/>
      <c r="P133" s="30"/>
      <c r="Q133" s="30"/>
      <c r="R133" s="30"/>
      <c r="S133" s="30"/>
      <c r="T133" s="30"/>
      <c r="U133" s="30"/>
      <c r="V133" s="30"/>
      <c r="W133" s="30"/>
      <c r="X133" s="30"/>
      <c r="Y133" s="30"/>
    </row>
    <row r="134" spans="1:25" x14ac:dyDescent="0.25">
      <c r="A134" s="30"/>
      <c r="B134" s="41" t="s">
        <v>1032</v>
      </c>
      <c r="C134" s="41" t="str" cm="1">
        <f t="array" ref="C134">_xlfn.XLOOKUP(
  1,
  (Lists3.1_Longlist[IUD]=Lists3.1_Shortlist[[#This Row],[IUD]]) *
  (Lists3.1_Longlist[Language]=Language),
  Lists3.1_Longlist[Mat. Cat 1]
)</f>
        <v>Plastique</v>
      </c>
      <c r="D134" s="41" t="str" cm="1">
        <f t="array" ref="D134">IF(_xlfn.XLOOKUP(
  1,
  (Lists3.1_Longlist[IUD]=Lists3.1_Shortlist[[#This Row],[IUD]]) *
  (Lists3.1_Longlist[Language]=Language),
  Lists3.1_Longlist[Mat. Cat. 2]
)=0,"",_xlfn.XLOOKUP(
  1,
  (Lists3.1_Longlist[IUD]=Lists3.1_Shortlist[[#This Row],[IUD]]) *
  (Lists3.1_Longlist[Language]=Language),
  Lists3.1_Longlist[Mat. Cat. 2]
))</f>
        <v>Thermoplastique</v>
      </c>
      <c r="E134" s="41" t="str" cm="1">
        <f t="array" ref="E134">IF(_xlfn.XLOOKUP(
  1,
  (Lists3.1_Longlist[IUD]=Lists3.1_Shortlist[[#This Row],[IUD]]) *
  (Lists3.1_Longlist[Language]=Language),
  Lists3.1_Longlist[Mat. Cat. 3]
)=0,"",_xlfn.XLOOKUP(
  1,
  (Lists3.1_Longlist[IUD]=Lists3.1_Shortlist[[#This Row],[IUD]]) *
  (Lists3.1_Longlist[Language]=Language),
  Lists3.1_Longlist[Mat. Cat. 3]
))</f>
        <v>PS (extrudé)</v>
      </c>
      <c r="F134" s="32" t="s">
        <v>88</v>
      </c>
      <c r="G134" s="32" t="s">
        <v>28090</v>
      </c>
      <c r="H134" s="30"/>
      <c r="I134" s="30"/>
      <c r="J134" s="30"/>
      <c r="K134" s="30"/>
      <c r="L134" s="30"/>
      <c r="M134" s="30"/>
      <c r="N134" s="30"/>
      <c r="O134" s="30"/>
      <c r="P134" s="30"/>
      <c r="Q134" s="30"/>
      <c r="R134" s="30"/>
      <c r="S134" s="30"/>
      <c r="T134" s="30"/>
      <c r="U134" s="30"/>
      <c r="V134" s="30"/>
      <c r="W134" s="30"/>
      <c r="X134" s="30"/>
      <c r="Y134" s="30"/>
    </row>
    <row r="135" spans="1:25" x14ac:dyDescent="0.25">
      <c r="A135" s="30"/>
      <c r="B135" s="41" t="s">
        <v>1033</v>
      </c>
      <c r="C135" s="41" t="str" cm="1">
        <f t="array" ref="C135">_xlfn.XLOOKUP(
  1,
  (Lists3.1_Longlist[IUD]=Lists3.1_Shortlist[[#This Row],[IUD]]) *
  (Lists3.1_Longlist[Language]=Language),
  Lists3.1_Longlist[Mat. Cat 1]
)</f>
        <v>Plastique</v>
      </c>
      <c r="D135" s="41" t="str" cm="1">
        <f t="array" ref="D135">IF(_xlfn.XLOOKUP(
  1,
  (Lists3.1_Longlist[IUD]=Lists3.1_Shortlist[[#This Row],[IUD]]) *
  (Lists3.1_Longlist[Language]=Language),
  Lists3.1_Longlist[Mat. Cat. 2]
)=0,"",_xlfn.XLOOKUP(
  1,
  (Lists3.1_Longlist[IUD]=Lists3.1_Shortlist[[#This Row],[IUD]]) *
  (Lists3.1_Longlist[Language]=Language),
  Lists3.1_Longlist[Mat. Cat. 2]
))</f>
        <v>Thermoplastique</v>
      </c>
      <c r="E135" s="41" t="str" cm="1">
        <f t="array" ref="E135">IF(_xlfn.XLOOKUP(
  1,
  (Lists3.1_Longlist[IUD]=Lists3.1_Shortlist[[#This Row],[IUD]]) *
  (Lists3.1_Longlist[Language]=Language),
  Lists3.1_Longlist[Mat. Cat. 3]
)=0,"",_xlfn.XLOOKUP(
  1,
  (Lists3.1_Longlist[IUD]=Lists3.1_Shortlist[[#This Row],[IUD]]) *
  (Lists3.1_Longlist[Language]=Language),
  Lists3.1_Longlist[Mat. Cat. 3]
))</f>
        <v>PVC</v>
      </c>
      <c r="F135" s="32" t="s">
        <v>88</v>
      </c>
      <c r="G135" s="32" t="s">
        <v>28091</v>
      </c>
      <c r="H135" s="30"/>
      <c r="I135" s="30"/>
      <c r="J135" s="30"/>
      <c r="K135" s="30"/>
      <c r="L135" s="30"/>
      <c r="M135" s="30"/>
      <c r="N135" s="30"/>
      <c r="O135" s="30"/>
      <c r="P135" s="30"/>
      <c r="Q135" s="30"/>
      <c r="R135" s="30"/>
      <c r="S135" s="30"/>
      <c r="T135" s="30"/>
      <c r="U135" s="30"/>
      <c r="V135" s="30"/>
      <c r="W135" s="30"/>
      <c r="X135" s="30"/>
      <c r="Y135" s="30"/>
    </row>
    <row r="136" spans="1:25" x14ac:dyDescent="0.25">
      <c r="A136" s="30"/>
      <c r="B136" s="41" t="s">
        <v>1034</v>
      </c>
      <c r="C136" s="41" t="str" cm="1">
        <f t="array" ref="C136">_xlfn.XLOOKUP(
  1,
  (Lists3.1_Longlist[IUD]=Lists3.1_Shortlist[[#This Row],[IUD]]) *
  (Lists3.1_Longlist[Language]=Language),
  Lists3.1_Longlist[Mat. Cat 1]
)</f>
        <v>Plastique</v>
      </c>
      <c r="D136" s="41" t="str" cm="1">
        <f t="array" ref="D136">IF(_xlfn.XLOOKUP(
  1,
  (Lists3.1_Longlist[IUD]=Lists3.1_Shortlist[[#This Row],[IUD]]) *
  (Lists3.1_Longlist[Language]=Language),
  Lists3.1_Longlist[Mat. Cat. 2]
)=0,"",_xlfn.XLOOKUP(
  1,
  (Lists3.1_Longlist[IUD]=Lists3.1_Shortlist[[#This Row],[IUD]]) *
  (Lists3.1_Longlist[Language]=Language),
  Lists3.1_Longlist[Mat. Cat. 2]
))</f>
        <v>Thermoplastique</v>
      </c>
      <c r="E136" s="41" t="str" cm="1">
        <f t="array" ref="E136">IF(_xlfn.XLOOKUP(
  1,
  (Lists3.1_Longlist[IUD]=Lists3.1_Shortlist[[#This Row],[IUD]]) *
  (Lists3.1_Longlist[Language]=Language),
  Lists3.1_Longlist[Mat. Cat. 3]
)=0,"",_xlfn.XLOOKUP(
  1,
  (Lists3.1_Longlist[IUD]=Lists3.1_Shortlist[[#This Row],[IUD]]) *
  (Lists3.1_Longlist[Language]=Language),
  Lists3.1_Longlist[Mat. Cat. 3]
))</f>
        <v>Chlorure de polyvinylidène</v>
      </c>
      <c r="F136" s="32" t="s">
        <v>88</v>
      </c>
      <c r="G136" s="32" t="s">
        <v>28092</v>
      </c>
      <c r="H136" s="30"/>
      <c r="I136" s="30"/>
      <c r="J136" s="30"/>
      <c r="K136" s="30"/>
      <c r="L136" s="30"/>
      <c r="M136" s="30"/>
      <c r="N136" s="30"/>
      <c r="O136" s="30"/>
      <c r="P136" s="30"/>
      <c r="Q136" s="30"/>
      <c r="R136" s="30"/>
      <c r="S136" s="30"/>
      <c r="T136" s="30"/>
      <c r="U136" s="30"/>
      <c r="V136" s="30"/>
      <c r="W136" s="30"/>
      <c r="X136" s="30"/>
      <c r="Y136" s="30"/>
    </row>
    <row r="137" spans="1:25" x14ac:dyDescent="0.25">
      <c r="A137" s="30"/>
      <c r="B137" s="41" t="s">
        <v>1035</v>
      </c>
      <c r="C137" s="41" t="str" cm="1">
        <f t="array" ref="C137">_xlfn.XLOOKUP(
  1,
  (Lists3.1_Longlist[IUD]=Lists3.1_Shortlist[[#This Row],[IUD]]) *
  (Lists3.1_Longlist[Language]=Language),
  Lists3.1_Longlist[Mat. Cat 1]
)</f>
        <v>Plastique</v>
      </c>
      <c r="D137" s="41" t="str" cm="1">
        <f t="array" ref="D137">IF(_xlfn.XLOOKUP(
  1,
  (Lists3.1_Longlist[IUD]=Lists3.1_Shortlist[[#This Row],[IUD]]) *
  (Lists3.1_Longlist[Language]=Language),
  Lists3.1_Longlist[Mat. Cat. 2]
)=0,"",_xlfn.XLOOKUP(
  1,
  (Lists3.1_Longlist[IUD]=Lists3.1_Shortlist[[#This Row],[IUD]]) *
  (Lists3.1_Longlist[Language]=Language),
  Lists3.1_Longlist[Mat. Cat. 2]
))</f>
        <v>Thermoplastique</v>
      </c>
      <c r="E137" s="41" t="str" cm="1">
        <f t="array" ref="E137">IF(_xlfn.XLOOKUP(
  1,
  (Lists3.1_Longlist[IUD]=Lists3.1_Shortlist[[#This Row],[IUD]]) *
  (Lists3.1_Longlist[Language]=Language),
  Lists3.1_Longlist[Mat. Cat. 3]
)=0,"",_xlfn.XLOOKUP(
  1,
  (Lists3.1_Longlist[IUD]=Lists3.1_Shortlist[[#This Row],[IUD]]) *
  (Lists3.1_Longlist[Language]=Language),
  Lists3.1_Longlist[Mat. Cat. 3]
))</f>
        <v>Polyfluorure de vinyle</v>
      </c>
      <c r="F137" s="32" t="s">
        <v>88</v>
      </c>
      <c r="G137" s="32" t="s">
        <v>28093</v>
      </c>
      <c r="H137" s="30"/>
      <c r="I137" s="30"/>
      <c r="J137" s="30"/>
      <c r="K137" s="30"/>
      <c r="L137" s="30"/>
      <c r="M137" s="30"/>
      <c r="N137" s="30"/>
      <c r="O137" s="30"/>
      <c r="P137" s="30"/>
      <c r="Q137" s="30"/>
      <c r="R137" s="30"/>
      <c r="S137" s="30"/>
      <c r="T137" s="30"/>
      <c r="U137" s="30"/>
      <c r="V137" s="30"/>
      <c r="W137" s="30"/>
      <c r="X137" s="30"/>
      <c r="Y137" s="30"/>
    </row>
    <row r="138" spans="1:25" x14ac:dyDescent="0.25">
      <c r="A138" s="30"/>
      <c r="B138" s="41" t="s">
        <v>1036</v>
      </c>
      <c r="C138" s="41" t="str" cm="1">
        <f t="array" ref="C138">_xlfn.XLOOKUP(
  1,
  (Lists3.1_Longlist[IUD]=Lists3.1_Shortlist[[#This Row],[IUD]]) *
  (Lists3.1_Longlist[Language]=Language),
  Lists3.1_Longlist[Mat. Cat 1]
)</f>
        <v>Plastique</v>
      </c>
      <c r="D138" s="41" t="str" cm="1">
        <f t="array" ref="D138">IF(_xlfn.XLOOKUP(
  1,
  (Lists3.1_Longlist[IUD]=Lists3.1_Shortlist[[#This Row],[IUD]]) *
  (Lists3.1_Longlist[Language]=Language),
  Lists3.1_Longlist[Mat. Cat. 2]
)=0,"",_xlfn.XLOOKUP(
  1,
  (Lists3.1_Longlist[IUD]=Lists3.1_Shortlist[[#This Row],[IUD]]) *
  (Lists3.1_Longlist[Language]=Language),
  Lists3.1_Longlist[Mat. Cat. 2]
))</f>
        <v>Thermoplastique</v>
      </c>
      <c r="E138" s="41" t="str" cm="1">
        <f t="array" ref="E138">IF(_xlfn.XLOOKUP(
  1,
  (Lists3.1_Longlist[IUD]=Lists3.1_Shortlist[[#This Row],[IUD]]) *
  (Lists3.1_Longlist[Language]=Language),
  Lists3.1_Longlist[Mat. Cat. 3]
)=0,"",_xlfn.XLOOKUP(
  1,
  (Lists3.1_Longlist[IUD]=Lists3.1_Shortlist[[#This Row],[IUD]]) *
  (Lists3.1_Longlist[Language]=Language),
  Lists3.1_Longlist[Mat. Cat. 3]
))</f>
        <v>Tétrafluoroéthylène</v>
      </c>
      <c r="F138" s="32" t="s">
        <v>88</v>
      </c>
      <c r="G138" s="32" t="s">
        <v>28094</v>
      </c>
      <c r="H138" s="30"/>
      <c r="I138" s="30"/>
      <c r="J138" s="30"/>
      <c r="K138" s="30"/>
      <c r="L138" s="30"/>
      <c r="M138" s="30"/>
      <c r="N138" s="30"/>
      <c r="O138" s="30"/>
      <c r="P138" s="30"/>
      <c r="Q138" s="30"/>
      <c r="R138" s="30"/>
      <c r="S138" s="30"/>
      <c r="T138" s="30"/>
      <c r="U138" s="30"/>
      <c r="V138" s="30"/>
      <c r="W138" s="30"/>
      <c r="X138" s="30"/>
      <c r="Y138" s="30"/>
    </row>
    <row r="139" spans="1:25" x14ac:dyDescent="0.25">
      <c r="A139" s="30"/>
      <c r="B139" s="41" t="s">
        <v>1037</v>
      </c>
      <c r="C139" s="41" t="str" cm="1">
        <f t="array" ref="C139">_xlfn.XLOOKUP(
  1,
  (Lists3.1_Longlist[IUD]=Lists3.1_Shortlist[[#This Row],[IUD]]) *
  (Lists3.1_Longlist[Language]=Language),
  Lists3.1_Longlist[Mat. Cat 1]
)</f>
        <v>Plastique</v>
      </c>
      <c r="D139" s="41" t="str" cm="1">
        <f t="array" ref="D139">IF(_xlfn.XLOOKUP(
  1,
  (Lists3.1_Longlist[IUD]=Lists3.1_Shortlist[[#This Row],[IUD]]) *
  (Lists3.1_Longlist[Language]=Language),
  Lists3.1_Longlist[Mat. Cat. 2]
)=0,"",_xlfn.XLOOKUP(
  1,
  (Lists3.1_Longlist[IUD]=Lists3.1_Shortlist[[#This Row],[IUD]]) *
  (Lists3.1_Longlist[Language]=Language),
  Lists3.1_Longlist[Mat. Cat. 2]
))</f>
        <v>Thermodurcissage</v>
      </c>
      <c r="E139" s="41" t="str" cm="1">
        <f t="array" ref="E139">IF(_xlfn.XLOOKUP(
  1,
  (Lists3.1_Longlist[IUD]=Lists3.1_Shortlist[[#This Row],[IUD]]) *
  (Lists3.1_Longlist[Language]=Language),
  Lists3.1_Longlist[Mat. Cat. 3]
)=0,"",_xlfn.XLOOKUP(
  1,
  (Lists3.1_Longlist[IUD]=Lists3.1_Shortlist[[#This Row],[IUD]]) *
  (Lists3.1_Longlist[Language]=Language),
  Lists3.1_Longlist[Mat. Cat. 3]
))</f>
        <v/>
      </c>
      <c r="F139" s="32" t="s">
        <v>88</v>
      </c>
      <c r="G139" s="32" t="s">
        <v>28095</v>
      </c>
      <c r="H139" s="30"/>
      <c r="I139" s="30"/>
      <c r="J139" s="30"/>
      <c r="K139" s="30"/>
      <c r="L139" s="30"/>
      <c r="M139" s="30"/>
      <c r="N139" s="30"/>
      <c r="O139" s="30"/>
      <c r="P139" s="30"/>
      <c r="Q139" s="30"/>
      <c r="R139" s="30"/>
      <c r="S139" s="30"/>
      <c r="T139" s="30"/>
      <c r="U139" s="30"/>
      <c r="V139" s="30"/>
      <c r="W139" s="30"/>
      <c r="X139" s="30"/>
      <c r="Y139" s="30"/>
    </row>
    <row r="140" spans="1:25" x14ac:dyDescent="0.25">
      <c r="A140" s="30"/>
      <c r="B140" s="41" t="s">
        <v>1037</v>
      </c>
      <c r="C140" s="41" t="str" cm="1">
        <f t="array" ref="C140">_xlfn.XLOOKUP(
  1,
  (Lists3.1_Longlist[IUD]=Lists3.1_Shortlist[[#This Row],[IUD]]) *
  (Lists3.1_Longlist[Language]=Language),
  Lists3.1_Longlist[Mat. Cat 1]
)</f>
        <v>Plastique</v>
      </c>
      <c r="D140" s="41" t="str" cm="1">
        <f t="array" ref="D140">IF(_xlfn.XLOOKUP(
  1,
  (Lists3.1_Longlist[IUD]=Lists3.1_Shortlist[[#This Row],[IUD]]) *
  (Lists3.1_Longlist[Language]=Language),
  Lists3.1_Longlist[Mat. Cat. 2]
)=0,"",_xlfn.XLOOKUP(
  1,
  (Lists3.1_Longlist[IUD]=Lists3.1_Shortlist[[#This Row],[IUD]]) *
  (Lists3.1_Longlist[Language]=Language),
  Lists3.1_Longlist[Mat. Cat. 2]
))</f>
        <v>Thermodurcissage</v>
      </c>
      <c r="E140" s="41" t="str" cm="1">
        <f t="array" ref="E140">IF(_xlfn.XLOOKUP(
  1,
  (Lists3.1_Longlist[IUD]=Lists3.1_Shortlist[[#This Row],[IUD]]) *
  (Lists3.1_Longlist[Language]=Language),
  Lists3.1_Longlist[Mat. Cat. 3]
)=0,"",_xlfn.XLOOKUP(
  1,
  (Lists3.1_Longlist[IUD]=Lists3.1_Shortlist[[#This Row],[IUD]]) *
  (Lists3.1_Longlist[Language]=Language),
  Lists3.1_Longlist[Mat. Cat. 3]
))</f>
        <v>Polyuréthane (mousse flexible)</v>
      </c>
      <c r="F140" s="32" t="s">
        <v>88</v>
      </c>
      <c r="G140" s="32" t="s">
        <v>28096</v>
      </c>
      <c r="H140" s="30"/>
      <c r="I140" s="30"/>
      <c r="J140" s="30"/>
      <c r="K140" s="30"/>
      <c r="L140" s="30"/>
      <c r="M140" s="30"/>
      <c r="N140" s="30"/>
      <c r="O140" s="30"/>
      <c r="P140" s="30"/>
      <c r="Q140" s="30"/>
      <c r="R140" s="30"/>
      <c r="S140" s="30"/>
      <c r="T140" s="30"/>
      <c r="U140" s="30"/>
      <c r="V140" s="30"/>
      <c r="W140" s="30"/>
      <c r="X140" s="30"/>
      <c r="Y140" s="30"/>
    </row>
    <row r="141" spans="1:25" x14ac:dyDescent="0.25">
      <c r="A141" s="30"/>
      <c r="B141" s="41" t="s">
        <v>1038</v>
      </c>
      <c r="C141" s="41" t="str" cm="1">
        <f t="array" ref="C141">_xlfn.XLOOKUP(
  1,
  (Lists3.1_Longlist[IUD]=Lists3.1_Shortlist[[#This Row],[IUD]]) *
  (Lists3.1_Longlist[Language]=Language),
  Lists3.1_Longlist[Mat. Cat 1]
)</f>
        <v>Plastique</v>
      </c>
      <c r="D141" s="41" t="str" cm="1">
        <f t="array" ref="D141">IF(_xlfn.XLOOKUP(
  1,
  (Lists3.1_Longlist[IUD]=Lists3.1_Shortlist[[#This Row],[IUD]]) *
  (Lists3.1_Longlist[Language]=Language),
  Lists3.1_Longlist[Mat. Cat. 2]
)=0,"",_xlfn.XLOOKUP(
  1,
  (Lists3.1_Longlist[IUD]=Lists3.1_Shortlist[[#This Row],[IUD]]) *
  (Lists3.1_Longlist[Language]=Language),
  Lists3.1_Longlist[Mat. Cat. 2]
))</f>
        <v>Thermodurcissage</v>
      </c>
      <c r="E141" s="41" t="str" cm="1">
        <f t="array" ref="E141">IF(_xlfn.XLOOKUP(
  1,
  (Lists3.1_Longlist[IUD]=Lists3.1_Shortlist[[#This Row],[IUD]]) *
  (Lists3.1_Longlist[Language]=Language),
  Lists3.1_Longlist[Mat. Cat. 3]
)=0,"",_xlfn.XLOOKUP(
  1,
  (Lists3.1_Longlist[IUD]=Lists3.1_Shortlist[[#This Row],[IUD]]) *
  (Lists3.1_Longlist[Language]=Language),
  Lists3.1_Longlist[Mat. Cat. 3]
))</f>
        <v>Polyuréthane (mousse rigide)</v>
      </c>
      <c r="F141" s="32" t="s">
        <v>88</v>
      </c>
      <c r="G141" s="32" t="s">
        <v>28097</v>
      </c>
      <c r="H141" s="44"/>
      <c r="I141" s="30"/>
      <c r="J141" s="30"/>
      <c r="K141" s="30"/>
      <c r="L141" s="30"/>
      <c r="M141" s="30"/>
      <c r="N141" s="30"/>
      <c r="O141" s="30"/>
      <c r="P141" s="30"/>
      <c r="Q141" s="30"/>
      <c r="R141" s="30"/>
      <c r="S141" s="30"/>
      <c r="T141" s="30"/>
      <c r="U141" s="30"/>
      <c r="V141" s="30"/>
      <c r="W141" s="30"/>
      <c r="X141" s="30"/>
      <c r="Y141" s="30"/>
    </row>
    <row r="142" spans="1:25" x14ac:dyDescent="0.25">
      <c r="A142" s="30"/>
      <c r="B142" s="41" t="s">
        <v>1039</v>
      </c>
      <c r="C142" s="41" t="str" cm="1">
        <f t="array" ref="C142">_xlfn.XLOOKUP(
  1,
  (Lists3.1_Longlist[IUD]=Lists3.1_Shortlist[[#This Row],[IUD]]) *
  (Lists3.1_Longlist[Language]=Language),
  Lists3.1_Longlist[Mat. Cat 1]
)</f>
        <v>Production agricole</v>
      </c>
      <c r="D142" s="41" t="str" cm="1">
        <f t="array" ref="D142">IF(_xlfn.XLOOKUP(
  1,
  (Lists3.1_Longlist[IUD]=Lists3.1_Shortlist[[#This Row],[IUD]]) *
  (Lists3.1_Longlist[Language]=Language),
  Lists3.1_Longlist[Mat. Cat. 2]
)=0,"",_xlfn.XLOOKUP(
  1,
  (Lists3.1_Longlist[IUD]=Lists3.1_Shortlist[[#This Row],[IUD]]) *
  (Lists3.1_Longlist[Language]=Language),
  Lists3.1_Longlist[Mat. Cat. 2]
))</f>
        <v>Engrais minéraux</v>
      </c>
      <c r="E142" s="41" t="str" cm="1">
        <f t="array" ref="E142">IF(_xlfn.XLOOKUP(
  1,
  (Lists3.1_Longlist[IUD]=Lists3.1_Shortlist[[#This Row],[IUD]]) *
  (Lists3.1_Longlist[Language]=Language),
  Lists3.1_Longlist[Mat. Cat. 3]
)=0,"",_xlfn.XLOOKUP(
  1,
  (Lists3.1_Longlist[IUD]=Lists3.1_Shortlist[[#This Row],[IUD]]) *
  (Lists3.1_Longlist[Language]=Language),
  Lists3.1_Longlist[Mat. Cat. 3]
))</f>
        <v>Nitrate d’ammonium (N)</v>
      </c>
      <c r="F142" s="32" t="s">
        <v>88</v>
      </c>
      <c r="G142" s="32" t="s">
        <v>28098</v>
      </c>
      <c r="H142" s="30"/>
      <c r="I142" s="30"/>
      <c r="J142" s="30"/>
      <c r="K142" s="30"/>
      <c r="L142" s="30"/>
      <c r="M142" s="30"/>
      <c r="N142" s="30"/>
      <c r="O142" s="30"/>
      <c r="P142" s="30"/>
      <c r="Q142" s="30"/>
      <c r="R142" s="30"/>
      <c r="S142" s="30"/>
      <c r="T142" s="30"/>
      <c r="U142" s="30"/>
      <c r="V142" s="30"/>
      <c r="W142" s="30"/>
      <c r="X142" s="30"/>
      <c r="Y142" s="30"/>
    </row>
    <row r="143" spans="1:25" x14ac:dyDescent="0.25">
      <c r="A143" s="30"/>
      <c r="B143" s="41" t="s">
        <v>1040</v>
      </c>
      <c r="C143" s="41" t="str" cm="1">
        <f t="array" ref="C143">_xlfn.XLOOKUP(
  1,
  (Lists3.1_Longlist[IUD]=Lists3.1_Shortlist[[#This Row],[IUD]]) *
  (Lists3.1_Longlist[Language]=Language),
  Lists3.1_Longlist[Mat. Cat 1]
)</f>
        <v>Production agricole</v>
      </c>
      <c r="D143" s="41" t="str" cm="1">
        <f t="array" ref="D143">IF(_xlfn.XLOOKUP(
  1,
  (Lists3.1_Longlist[IUD]=Lists3.1_Shortlist[[#This Row],[IUD]]) *
  (Lists3.1_Longlist[Language]=Language),
  Lists3.1_Longlist[Mat. Cat. 2]
)=0,"",_xlfn.XLOOKUP(
  1,
  (Lists3.1_Longlist[IUD]=Lists3.1_Shortlist[[#This Row],[IUD]]) *
  (Lists3.1_Longlist[Language]=Language),
  Lists3.1_Longlist[Mat. Cat. 2]
))</f>
        <v>Engrais minéraux</v>
      </c>
      <c r="E143" s="41" t="str" cm="1">
        <f t="array" ref="E143">IF(_xlfn.XLOOKUP(
  1,
  (Lists3.1_Longlist[IUD]=Lists3.1_Shortlist[[#This Row],[IUD]]) *
  (Lists3.1_Longlist[Language]=Language),
  Lists3.1_Longlist[Mat. Cat. 3]
)=0,"",_xlfn.XLOOKUP(
  1,
  (Lists3.1_Longlist[IUD]=Lists3.1_Shortlist[[#This Row],[IUD]]) *
  (Lists3.1_Longlist[Language]=Language),
  Lists3.1_Longlist[Mat. Cat. 3]
))</f>
        <v>Sulfate d’ammonium (N)</v>
      </c>
      <c r="F143" s="32" t="s">
        <v>88</v>
      </c>
      <c r="G143" s="32" t="s">
        <v>28099</v>
      </c>
      <c r="H143" s="30"/>
      <c r="I143" s="30"/>
      <c r="J143" s="30"/>
      <c r="K143" s="30"/>
      <c r="L143" s="30"/>
      <c r="M143" s="30"/>
      <c r="N143" s="30"/>
      <c r="O143" s="30"/>
      <c r="P143" s="30"/>
      <c r="Q143" s="30"/>
      <c r="R143" s="30"/>
      <c r="S143" s="30"/>
      <c r="T143" s="30"/>
      <c r="U143" s="30"/>
      <c r="V143" s="30"/>
      <c r="W143" s="30"/>
      <c r="X143" s="30"/>
      <c r="Y143" s="30"/>
    </row>
    <row r="144" spans="1:25" x14ac:dyDescent="0.25">
      <c r="A144" s="30"/>
      <c r="B144" s="41" t="s">
        <v>1041</v>
      </c>
      <c r="C144" s="41" t="str" cm="1">
        <f t="array" ref="C144">_xlfn.XLOOKUP(
  1,
  (Lists3.1_Longlist[IUD]=Lists3.1_Shortlist[[#This Row],[IUD]]) *
  (Lists3.1_Longlist[Language]=Language),
  Lists3.1_Longlist[Mat. Cat 1]
)</f>
        <v>Production agricole</v>
      </c>
      <c r="D144" s="41" t="str" cm="1">
        <f t="array" ref="D144">IF(_xlfn.XLOOKUP(
  1,
  (Lists3.1_Longlist[IUD]=Lists3.1_Shortlist[[#This Row],[IUD]]) *
  (Lists3.1_Longlist[Language]=Language),
  Lists3.1_Longlist[Mat. Cat. 2]
)=0,"",_xlfn.XLOOKUP(
  1,
  (Lists3.1_Longlist[IUD]=Lists3.1_Shortlist[[#This Row],[IUD]]) *
  (Lists3.1_Longlist[Language]=Language),
  Lists3.1_Longlist[Mat. Cat. 2]
))</f>
        <v>Engrais minéraux</v>
      </c>
      <c r="E144" s="41" t="str" cm="1">
        <f t="array" ref="E144">IF(_xlfn.XLOOKUP(
  1,
  (Lists3.1_Longlist[IUD]=Lists3.1_Shortlist[[#This Row],[IUD]]) *
  (Lists3.1_Longlist[Language]=Language),
  Lists3.1_Longlist[Mat. Cat. 3]
)=0,"",_xlfn.XLOOKUP(
  1,
  (Lists3.1_Longlist[IUD]=Lists3.1_Shortlist[[#This Row],[IUD]]) *
  (Lists3.1_Longlist[Language]=Language),
  Lists3.1_Longlist[Mat. Cat. 3]
))</f>
        <v>Urée (N)</v>
      </c>
      <c r="F144" s="32" t="s">
        <v>88</v>
      </c>
      <c r="G144" s="32" t="s">
        <v>28100</v>
      </c>
      <c r="H144" s="44"/>
      <c r="I144" s="30"/>
      <c r="J144" s="30"/>
      <c r="K144" s="30"/>
      <c r="L144" s="30"/>
      <c r="M144" s="30"/>
      <c r="N144" s="30"/>
      <c r="O144" s="30"/>
      <c r="P144" s="30"/>
      <c r="Q144" s="30"/>
      <c r="R144" s="30"/>
      <c r="S144" s="30"/>
      <c r="T144" s="30"/>
      <c r="U144" s="30"/>
      <c r="V144" s="30"/>
      <c r="W144" s="30"/>
      <c r="X144" s="30"/>
      <c r="Y144" s="30"/>
    </row>
    <row r="145" spans="1:25" x14ac:dyDescent="0.25">
      <c r="A145" s="30"/>
      <c r="B145" s="41" t="s">
        <v>1042</v>
      </c>
      <c r="C145" s="41" t="str" cm="1">
        <f t="array" ref="C145">_xlfn.XLOOKUP(
  1,
  (Lists3.1_Longlist[IUD]=Lists3.1_Shortlist[[#This Row],[IUD]]) *
  (Lists3.1_Longlist[Language]=Language),
  Lists3.1_Longlist[Mat. Cat 1]
)</f>
        <v>Production agricole</v>
      </c>
      <c r="D145" s="41" t="str" cm="1">
        <f t="array" ref="D145">IF(_xlfn.XLOOKUP(
  1,
  (Lists3.1_Longlist[IUD]=Lists3.1_Shortlist[[#This Row],[IUD]]) *
  (Lists3.1_Longlist[Language]=Language),
  Lists3.1_Longlist[Mat. Cat. 2]
)=0,"",_xlfn.XLOOKUP(
  1,
  (Lists3.1_Longlist[IUD]=Lists3.1_Shortlist[[#This Row],[IUD]]) *
  (Lists3.1_Longlist[Language]=Language),
  Lists3.1_Longlist[Mat. Cat. 2]
))</f>
        <v>Engrais minéraux</v>
      </c>
      <c r="E145" s="41" t="str" cm="1">
        <f t="array" ref="E145">IF(_xlfn.XLOOKUP(
  1,
  (Lists3.1_Longlist[IUD]=Lists3.1_Shortlist[[#This Row],[IUD]]) *
  (Lists3.1_Longlist[Language]=Language),
  Lists3.1_Longlist[Mat. Cat. 3]
)=0,"",_xlfn.XLOOKUP(
  1,
  (Lists3.1_Longlist[IUD]=Lists3.1_Shortlist[[#This Row],[IUD]]) *
  (Lists3.1_Longlist[Language]=Language),
  Lists3.1_Longlist[Mat. Cat. 3]
))</f>
        <v>Phosphate monoammonique (N)</v>
      </c>
      <c r="F145" s="32" t="s">
        <v>88</v>
      </c>
      <c r="G145" s="32" t="s">
        <v>28101</v>
      </c>
      <c r="H145" s="44"/>
      <c r="I145" s="30"/>
      <c r="J145" s="30"/>
      <c r="K145" s="30"/>
      <c r="L145" s="30"/>
      <c r="M145" s="30"/>
      <c r="N145" s="30"/>
      <c r="O145" s="30"/>
      <c r="P145" s="30"/>
      <c r="Q145" s="30"/>
      <c r="R145" s="30"/>
      <c r="S145" s="30"/>
      <c r="T145" s="30"/>
      <c r="U145" s="30"/>
      <c r="V145" s="30"/>
      <c r="W145" s="30"/>
      <c r="X145" s="30"/>
      <c r="Y145" s="30"/>
    </row>
    <row r="146" spans="1:25" x14ac:dyDescent="0.25">
      <c r="A146" s="30"/>
      <c r="B146" s="41" t="s">
        <v>1043</v>
      </c>
      <c r="C146" s="41" t="str" cm="1">
        <f t="array" ref="C146">_xlfn.XLOOKUP(
  1,
  (Lists3.1_Longlist[IUD]=Lists3.1_Shortlist[[#This Row],[IUD]]) *
  (Lists3.1_Longlist[Language]=Language),
  Lists3.1_Longlist[Mat. Cat 1]
)</f>
        <v>Production agricole</v>
      </c>
      <c r="D146" s="41" t="str" cm="1">
        <f t="array" ref="D146">IF(_xlfn.XLOOKUP(
  1,
  (Lists3.1_Longlist[IUD]=Lists3.1_Shortlist[[#This Row],[IUD]]) *
  (Lists3.1_Longlist[Language]=Language),
  Lists3.1_Longlist[Mat. Cat. 2]
)=0,"",_xlfn.XLOOKUP(
  1,
  (Lists3.1_Longlist[IUD]=Lists3.1_Shortlist[[#This Row],[IUD]]) *
  (Lists3.1_Longlist[Language]=Language),
  Lists3.1_Longlist[Mat. Cat. 2]
))</f>
        <v>Engrais minéraux</v>
      </c>
      <c r="E146" s="41" t="str" cm="1">
        <f t="array" ref="E146">IF(_xlfn.XLOOKUP(
  1,
  (Lists3.1_Longlist[IUD]=Lists3.1_Shortlist[[#This Row],[IUD]]) *
  (Lists3.1_Longlist[Language]=Language),
  Lists3.1_Longlist[Mat. Cat. 3]
)=0,"",_xlfn.XLOOKUP(
  1,
  (Lists3.1_Longlist[IUD]=Lists3.1_Shortlist[[#This Row],[IUD]]) *
  (Lists3.1_Longlist[Language]=Language),
  Lists3.1_Longlist[Mat. Cat. 3]
))</f>
        <v>Phosphate diammonique (N)</v>
      </c>
      <c r="F146" s="32" t="s">
        <v>88</v>
      </c>
      <c r="G146" s="32" t="s">
        <v>28102</v>
      </c>
      <c r="H146" s="44"/>
      <c r="I146" s="30"/>
      <c r="J146" s="30"/>
      <c r="K146" s="30"/>
      <c r="L146" s="30"/>
      <c r="M146" s="30"/>
      <c r="N146" s="30"/>
      <c r="O146" s="30"/>
      <c r="P146" s="30"/>
      <c r="Q146" s="30"/>
      <c r="R146" s="30"/>
      <c r="S146" s="30"/>
      <c r="T146" s="30"/>
      <c r="U146" s="30"/>
      <c r="V146" s="30"/>
      <c r="W146" s="30"/>
      <c r="X146" s="30"/>
      <c r="Y146" s="30"/>
    </row>
    <row r="147" spans="1:25" x14ac:dyDescent="0.25">
      <c r="A147" s="30"/>
      <c r="B147" s="41" t="s">
        <v>1044</v>
      </c>
      <c r="C147" s="41" t="str" cm="1">
        <f t="array" ref="C147">_xlfn.XLOOKUP(
  1,
  (Lists3.1_Longlist[IUD]=Lists3.1_Shortlist[[#This Row],[IUD]]) *
  (Lists3.1_Longlist[Language]=Language),
  Lists3.1_Longlist[Mat. Cat 1]
)</f>
        <v>Production agricole</v>
      </c>
      <c r="D147" s="41" t="str" cm="1">
        <f t="array" ref="D147">IF(_xlfn.XLOOKUP(
  1,
  (Lists3.1_Longlist[IUD]=Lists3.1_Shortlist[[#This Row],[IUD]]) *
  (Lists3.1_Longlist[Language]=Language),
  Lists3.1_Longlist[Mat. Cat. 2]
)=0,"",_xlfn.XLOOKUP(
  1,
  (Lists3.1_Longlist[IUD]=Lists3.1_Shortlist[[#This Row],[IUD]]) *
  (Lists3.1_Longlist[Language]=Language),
  Lists3.1_Longlist[Mat. Cat. 2]
))</f>
        <v>Engrais minéraux</v>
      </c>
      <c r="E147" s="41" t="str" cm="1">
        <f t="array" ref="E147">IF(_xlfn.XLOOKUP(
  1,
  (Lists3.1_Longlist[IUD]=Lists3.1_Shortlist[[#This Row],[IUD]]) *
  (Lists3.1_Longlist[Language]=Language),
  Lists3.1_Longlist[Mat. Cat. 3]
)=0,"",_xlfn.XLOOKUP(
  1,
  (Lists3.1_Longlist[IUD]=Lists3.1_Shortlist[[#This Row],[IUD]]) *
  (Lists3.1_Longlist[Language]=Language),
  Lists3.1_Longlist[Mat. Cat. 3]
))</f>
        <v>Engrais phosphaté (P205)</v>
      </c>
      <c r="F147" s="32" t="s">
        <v>88</v>
      </c>
      <c r="G147" s="32" t="s">
        <v>28103</v>
      </c>
      <c r="H147" s="44"/>
      <c r="I147" s="30"/>
      <c r="J147" s="30"/>
      <c r="K147" s="30"/>
      <c r="L147" s="30"/>
      <c r="M147" s="30"/>
      <c r="N147" s="30"/>
      <c r="O147" s="30"/>
      <c r="P147" s="30"/>
      <c r="Q147" s="30"/>
      <c r="R147" s="30"/>
      <c r="S147" s="30"/>
      <c r="T147" s="30"/>
      <c r="U147" s="30"/>
      <c r="V147" s="30"/>
      <c r="W147" s="30"/>
      <c r="X147" s="30"/>
      <c r="Y147" s="30"/>
    </row>
    <row r="148" spans="1:25" x14ac:dyDescent="0.25">
      <c r="A148" s="30"/>
      <c r="B148" s="41" t="s">
        <v>1045</v>
      </c>
      <c r="C148" s="41" t="str" cm="1">
        <f t="array" ref="C148">_xlfn.XLOOKUP(
  1,
  (Lists3.1_Longlist[IUD]=Lists3.1_Shortlist[[#This Row],[IUD]]) *
  (Lists3.1_Longlist[Language]=Language),
  Lists3.1_Longlist[Mat. Cat 1]
)</f>
        <v>Production agricole</v>
      </c>
      <c r="D148" s="41" t="str" cm="1">
        <f t="array" ref="D148">IF(_xlfn.XLOOKUP(
  1,
  (Lists3.1_Longlist[IUD]=Lists3.1_Shortlist[[#This Row],[IUD]]) *
  (Lists3.1_Longlist[Language]=Language),
  Lists3.1_Longlist[Mat. Cat. 2]
)=0,"",_xlfn.XLOOKUP(
  1,
  (Lists3.1_Longlist[IUD]=Lists3.1_Shortlist[[#This Row],[IUD]]) *
  (Lists3.1_Longlist[Language]=Language),
  Lists3.1_Longlist[Mat. Cat. 2]
))</f>
        <v>Engrais minéraux</v>
      </c>
      <c r="E148" s="41" t="str" cm="1">
        <f t="array" ref="E148">IF(_xlfn.XLOOKUP(
  1,
  (Lists3.1_Longlist[IUD]=Lists3.1_Shortlist[[#This Row],[IUD]]) *
  (Lists3.1_Longlist[Language]=Language),
  Lists3.1_Longlist[Mat. Cat. 3]
)=0,"",_xlfn.XLOOKUP(
  1,
  (Lists3.1_Longlist[IUD]=Lists3.1_Shortlist[[#This Row],[IUD]]) *
  (Lists3.1_Longlist[Language]=Language),
  Lists3.1_Longlist[Mat. Cat. 3]
))</f>
        <v>Engrais potassique (K2O)</v>
      </c>
      <c r="F148" s="32" t="s">
        <v>88</v>
      </c>
      <c r="G148" s="32" t="s">
        <v>28104</v>
      </c>
      <c r="H148" s="30"/>
      <c r="I148" s="30"/>
      <c r="J148" s="30"/>
      <c r="K148" s="30"/>
      <c r="L148" s="30"/>
      <c r="M148" s="30"/>
      <c r="N148" s="30"/>
      <c r="O148" s="30"/>
      <c r="P148" s="30"/>
      <c r="Q148" s="30"/>
      <c r="R148" s="30"/>
      <c r="S148" s="30"/>
      <c r="T148" s="30"/>
      <c r="U148" s="30"/>
      <c r="V148" s="30"/>
      <c r="W148" s="30"/>
      <c r="X148" s="30"/>
      <c r="Y148" s="30"/>
    </row>
    <row r="149" spans="1:25" x14ac:dyDescent="0.25">
      <c r="A149" s="30"/>
      <c r="B149" s="41" t="s">
        <v>1046</v>
      </c>
      <c r="C149" s="41" t="str" cm="1">
        <f t="array" ref="C149">_xlfn.XLOOKUP(
  1,
  (Lists3.1_Longlist[IUD]=Lists3.1_Shortlist[[#This Row],[IUD]]) *
  (Lists3.1_Longlist[Language]=Language),
  Lists3.1_Longlist[Mat. Cat 1]
)</f>
        <v>Production agricole</v>
      </c>
      <c r="D149" s="41" t="str" cm="1">
        <f t="array" ref="D149">IF(_xlfn.XLOOKUP(
  1,
  (Lists3.1_Longlist[IUD]=Lists3.1_Shortlist[[#This Row],[IUD]]) *
  (Lists3.1_Longlist[Language]=Language),
  Lists3.1_Longlist[Mat. Cat. 2]
)=0,"",_xlfn.XLOOKUP(
  1,
  (Lists3.1_Longlist[IUD]=Lists3.1_Shortlist[[#This Row],[IUD]]) *
  (Lists3.1_Longlist[Language]=Language),
  Lists3.1_Longlist[Mat. Cat. 2]
))</f>
        <v>Engrais minéraux</v>
      </c>
      <c r="E149" s="41" t="str" cm="1">
        <f t="array" ref="E149">IF(_xlfn.XLOOKUP(
  1,
  (Lists3.1_Longlist[IUD]=Lists3.1_Shortlist[[#This Row],[IUD]]) *
  (Lists3.1_Longlist[Language]=Language),
  Lists3.1_Longlist[Mat. Cat. 3]
)=0,"",_xlfn.XLOOKUP(
  1,
  (Lists3.1_Longlist[IUD]=Lists3.1_Shortlist[[#This Row],[IUD]]) *
  (Lists3.1_Longlist[Language]=Language),
  Lists3.1_Longlist[Mat. Cat. 3]
))</f>
        <v>Triple superphosphate (P205)</v>
      </c>
      <c r="F149" s="32" t="s">
        <v>88</v>
      </c>
      <c r="G149" s="32" t="s">
        <v>28105</v>
      </c>
      <c r="H149" s="30"/>
      <c r="I149" s="30"/>
      <c r="J149" s="30"/>
      <c r="K149" s="30"/>
      <c r="L149" s="30"/>
      <c r="M149" s="30"/>
      <c r="N149" s="30"/>
      <c r="O149" s="30"/>
      <c r="P149" s="30"/>
      <c r="Q149" s="30"/>
      <c r="R149" s="30"/>
      <c r="S149" s="30"/>
      <c r="T149" s="30"/>
      <c r="U149" s="30"/>
      <c r="V149" s="30"/>
      <c r="W149" s="30"/>
      <c r="X149" s="30"/>
      <c r="Y149" s="30"/>
    </row>
    <row r="150" spans="1:25" x14ac:dyDescent="0.25">
      <c r="A150" s="30"/>
      <c r="B150" s="41" t="s">
        <v>1045</v>
      </c>
      <c r="C150" s="41" t="str" cm="1">
        <f t="array" ref="C150">_xlfn.XLOOKUP(
  1,
  (Lists3.1_Longlist[IUD]=Lists3.1_Shortlist[[#This Row],[IUD]]) *
  (Lists3.1_Longlist[Language]=Language),
  Lists3.1_Longlist[Mat. Cat 1]
)</f>
        <v>Production agricole</v>
      </c>
      <c r="D150" s="41" t="str" cm="1">
        <f t="array" ref="D150">IF(_xlfn.XLOOKUP(
  1,
  (Lists3.1_Longlist[IUD]=Lists3.1_Shortlist[[#This Row],[IUD]]) *
  (Lists3.1_Longlist[Language]=Language),
  Lists3.1_Longlist[Mat. Cat. 2]
)=0,"",_xlfn.XLOOKUP(
  1,
  (Lists3.1_Longlist[IUD]=Lists3.1_Shortlist[[#This Row],[IUD]]) *
  (Lists3.1_Longlist[Language]=Language),
  Lists3.1_Longlist[Mat. Cat. 2]
))</f>
        <v>Engrais minéraux</v>
      </c>
      <c r="E150" s="41" t="str" cm="1">
        <f t="array" ref="E150">IF(_xlfn.XLOOKUP(
  1,
  (Lists3.1_Longlist[IUD]=Lists3.1_Shortlist[[#This Row],[IUD]]) *
  (Lists3.1_Longlist[Language]=Language),
  Lists3.1_Longlist[Mat. Cat. 3]
)=0,"",_xlfn.XLOOKUP(
  1,
  (Lists3.1_Longlist[IUD]=Lists3.1_Shortlist[[#This Row],[IUD]]) *
  (Lists3.1_Longlist[Language]=Language),
  Lists3.1_Longlist[Mat. Cat. 3]
))</f>
        <v>Chlorure de potassium (K2O)</v>
      </c>
      <c r="F150" s="32" t="s">
        <v>88</v>
      </c>
      <c r="G150" s="32" t="s">
        <v>28106</v>
      </c>
      <c r="H150" s="30"/>
      <c r="I150" s="30"/>
      <c r="J150" s="30"/>
      <c r="K150" s="30"/>
      <c r="L150" s="30"/>
      <c r="M150" s="30"/>
      <c r="N150" s="30"/>
      <c r="O150" s="30"/>
      <c r="P150" s="30"/>
      <c r="Q150" s="30"/>
      <c r="R150" s="30"/>
      <c r="S150" s="30"/>
      <c r="T150" s="30"/>
      <c r="U150" s="30"/>
      <c r="V150" s="30"/>
      <c r="W150" s="30"/>
      <c r="X150" s="30"/>
      <c r="Y150" s="30"/>
    </row>
    <row r="151" spans="1:25" x14ac:dyDescent="0.25">
      <c r="A151" s="30"/>
      <c r="B151" s="41" t="s">
        <v>1047</v>
      </c>
      <c r="C151" s="41" t="str" cm="1">
        <f t="array" ref="C151">_xlfn.XLOOKUP(
  1,
  (Lists3.1_Longlist[IUD]=Lists3.1_Shortlist[[#This Row],[IUD]]) *
  (Lists3.1_Longlist[Language]=Language),
  Lists3.1_Longlist[Mat. Cat 1]
)</f>
        <v>Production agricole</v>
      </c>
      <c r="D151" s="41" t="str" cm="1">
        <f t="array" ref="D151">IF(_xlfn.XLOOKUP(
  1,
  (Lists3.1_Longlist[IUD]=Lists3.1_Shortlist[[#This Row],[IUD]]) *
  (Lists3.1_Longlist[Language]=Language),
  Lists3.1_Longlist[Mat. Cat. 2]
)=0,"",_xlfn.XLOOKUP(
  1,
  (Lists3.1_Longlist[IUD]=Lists3.1_Shortlist[[#This Row],[IUD]]) *
  (Lists3.1_Longlist[Language]=Language),
  Lists3.1_Longlist[Mat. Cat. 2]
))</f>
        <v>Engrais minéraux</v>
      </c>
      <c r="E151" s="41" t="str" cm="1">
        <f t="array" ref="E151">IF(_xlfn.XLOOKUP(
  1,
  (Lists3.1_Longlist[IUD]=Lists3.1_Shortlist[[#This Row],[IUD]]) *
  (Lists3.1_Longlist[Language]=Language),
  Lists3.1_Longlist[Mat. Cat. 3]
)=0,"",_xlfn.XLOOKUP(
  1,
  (Lists3.1_Longlist[IUD]=Lists3.1_Shortlist[[#This Row],[IUD]]) *
  (Lists3.1_Longlist[Language]=Language),
  Lists3.1_Longlist[Mat. Cat. 3]
))</f>
        <v>Nitrate de calcium</v>
      </c>
      <c r="F151" s="32" t="s">
        <v>88</v>
      </c>
      <c r="G151" s="32" t="s">
        <v>28107</v>
      </c>
      <c r="H151" s="30"/>
      <c r="I151" s="30"/>
      <c r="J151" s="30"/>
      <c r="K151" s="30"/>
      <c r="L151" s="30"/>
      <c r="M151" s="30"/>
      <c r="N151" s="30"/>
      <c r="O151" s="30"/>
      <c r="P151" s="30"/>
      <c r="Q151" s="30"/>
      <c r="R151" s="30"/>
      <c r="S151" s="30"/>
      <c r="T151" s="30"/>
      <c r="U151" s="30"/>
      <c r="V151" s="30"/>
      <c r="W151" s="30"/>
      <c r="X151" s="30"/>
      <c r="Y151" s="30"/>
    </row>
    <row r="152" spans="1:25" x14ac:dyDescent="0.25">
      <c r="A152" s="30"/>
      <c r="B152" s="41" t="s">
        <v>1048</v>
      </c>
      <c r="C152" s="41" t="str" cm="1">
        <f t="array" ref="C152">_xlfn.XLOOKUP(
  1,
  (Lists3.1_Longlist[IUD]=Lists3.1_Shortlist[[#This Row],[IUD]]) *
  (Lists3.1_Longlist[Language]=Language),
  Lists3.1_Longlist[Mat. Cat 1]
)</f>
        <v>Production agricole</v>
      </c>
      <c r="D152" s="41" t="str" cm="1">
        <f t="array" ref="D152">IF(_xlfn.XLOOKUP(
  1,
  (Lists3.1_Longlist[IUD]=Lists3.1_Shortlist[[#This Row],[IUD]]) *
  (Lists3.1_Longlist[Language]=Language),
  Lists3.1_Longlist[Mat. Cat. 2]
)=0,"",_xlfn.XLOOKUP(
  1,
  (Lists3.1_Longlist[IUD]=Lists3.1_Shortlist[[#This Row],[IUD]]) *
  (Lists3.1_Longlist[Language]=Language),
  Lists3.1_Longlist[Mat. Cat. 2]
))</f>
        <v>Engrais minéraux</v>
      </c>
      <c r="E152" s="41" t="str" cm="1">
        <f t="array" ref="E152">IF(_xlfn.XLOOKUP(
  1,
  (Lists3.1_Longlist[IUD]=Lists3.1_Shortlist[[#This Row],[IUD]]) *
  (Lists3.1_Longlist[Language]=Language),
  Lists3.1_Longlist[Mat. Cat. 3]
)=0,"",_xlfn.XLOOKUP(
  1,
  (Lists3.1_Longlist[IUD]=Lists3.1_Shortlist[[#This Row],[IUD]]) *
  (Lists3.1_Longlist[Language]=Language),
  Lists3.1_Longlist[Mat. Cat. 3]
))</f>
        <v>Nitrate de potassium</v>
      </c>
      <c r="F152" s="32" t="s">
        <v>88</v>
      </c>
      <c r="G152" s="32" t="s">
        <v>28108</v>
      </c>
      <c r="H152" s="30"/>
      <c r="I152" s="30"/>
      <c r="J152" s="30"/>
      <c r="K152" s="30"/>
      <c r="L152" s="30"/>
      <c r="M152" s="30"/>
      <c r="N152" s="30"/>
      <c r="O152" s="30"/>
      <c r="P152" s="30"/>
      <c r="Q152" s="30"/>
      <c r="R152" s="30"/>
      <c r="S152" s="30"/>
      <c r="T152" s="30"/>
      <c r="U152" s="30"/>
      <c r="V152" s="30"/>
      <c r="W152" s="30"/>
      <c r="X152" s="30"/>
      <c r="Y152" s="30"/>
    </row>
    <row r="153" spans="1:25" x14ac:dyDescent="0.25">
      <c r="A153" s="30"/>
      <c r="B153" s="41" t="s">
        <v>1049</v>
      </c>
      <c r="C153" s="41" t="str" cm="1">
        <f t="array" ref="C153">_xlfn.XLOOKUP(
  1,
  (Lists3.1_Longlist[IUD]=Lists3.1_Shortlist[[#This Row],[IUD]]) *
  (Lists3.1_Longlist[Language]=Language),
  Lists3.1_Longlist[Mat. Cat 1]
)</f>
        <v>Production agricole</v>
      </c>
      <c r="D153" s="41" t="str" cm="1">
        <f t="array" ref="D153">IF(_xlfn.XLOOKUP(
  1,
  (Lists3.1_Longlist[IUD]=Lists3.1_Shortlist[[#This Row],[IUD]]) *
  (Lists3.1_Longlist[Language]=Language),
  Lists3.1_Longlist[Mat. Cat. 2]
)=0,"",_xlfn.XLOOKUP(
  1,
  (Lists3.1_Longlist[IUD]=Lists3.1_Shortlist[[#This Row],[IUD]]) *
  (Lists3.1_Longlist[Language]=Language),
  Lists3.1_Longlist[Mat. Cat. 2]
))</f>
        <v>Engrais organiques</v>
      </c>
      <c r="E153" s="41" t="str" cm="1">
        <f t="array" ref="E153">IF(_xlfn.XLOOKUP(
  1,
  (Lists3.1_Longlist[IUD]=Lists3.1_Shortlist[[#This Row],[IUD]]) *
  (Lists3.1_Longlist[Language]=Language),
  Lists3.1_Longlist[Mat. Cat. 3]
)=0,"",_xlfn.XLOOKUP(
  1,
  (Lists3.1_Longlist[IUD]=Lists3.1_Shortlist[[#This Row],[IUD]]) *
  (Lists3.1_Longlist[Language]=Language),
  Lists3.1_Longlist[Mat. Cat. 3]
))</f>
        <v/>
      </c>
      <c r="F153" s="32" t="s">
        <v>88</v>
      </c>
      <c r="G153" s="32" t="s">
        <v>28109</v>
      </c>
      <c r="H153" s="30"/>
      <c r="I153" s="30"/>
      <c r="J153" s="30"/>
      <c r="K153" s="30"/>
      <c r="L153" s="30"/>
      <c r="M153" s="30"/>
      <c r="N153" s="30"/>
      <c r="O153" s="30"/>
      <c r="P153" s="30"/>
      <c r="Q153" s="30"/>
      <c r="R153" s="30"/>
      <c r="S153" s="30"/>
      <c r="T153" s="30"/>
      <c r="U153" s="30"/>
      <c r="V153" s="30"/>
      <c r="W153" s="30"/>
      <c r="X153" s="30"/>
      <c r="Y153" s="30"/>
    </row>
    <row r="154" spans="1:25" x14ac:dyDescent="0.25">
      <c r="A154" s="30"/>
      <c r="B154" s="41" t="s">
        <v>1050</v>
      </c>
      <c r="C154" s="41" t="str" cm="1">
        <f t="array" ref="C154">_xlfn.XLOOKUP(
  1,
  (Lists3.1_Longlist[IUD]=Lists3.1_Shortlist[[#This Row],[IUD]]) *
  (Lists3.1_Longlist[Language]=Language),
  Lists3.1_Longlist[Mat. Cat 1]
)</f>
        <v>Production agricole</v>
      </c>
      <c r="D154" s="41" t="str" cm="1">
        <f t="array" ref="D154">IF(_xlfn.XLOOKUP(
  1,
  (Lists3.1_Longlist[IUD]=Lists3.1_Shortlist[[#This Row],[IUD]]) *
  (Lists3.1_Longlist[Language]=Language),
  Lists3.1_Longlist[Mat. Cat. 2]
)=0,"",_xlfn.XLOOKUP(
  1,
  (Lists3.1_Longlist[IUD]=Lists3.1_Shortlist[[#This Row],[IUD]]) *
  (Lists3.1_Longlist[Language]=Language),
  Lists3.1_Longlist[Mat. Cat. 2]
))</f>
        <v>Engrais organique</v>
      </c>
      <c r="E154" s="41" t="str" cm="1">
        <f t="array" ref="E154">IF(_xlfn.XLOOKUP(
  1,
  (Lists3.1_Longlist[IUD]=Lists3.1_Shortlist[[#This Row],[IUD]]) *
  (Lists3.1_Longlist[Language]=Language),
  Lists3.1_Longlist[Mat. Cat. 3]
)=0,"",_xlfn.XLOOKUP(
  1,
  (Lists3.1_Longlist[IUD]=Lists3.1_Shortlist[[#This Row],[IUD]]) *
  (Lists3.1_Longlist[Language]=Language),
  Lists3.1_Longlist[Mat. Cat. 3]
))</f>
        <v>Compost</v>
      </c>
      <c r="F154" s="32" t="s">
        <v>88</v>
      </c>
      <c r="G154" s="32" t="s">
        <v>28110</v>
      </c>
      <c r="H154" s="44"/>
      <c r="I154" s="30"/>
      <c r="J154" s="30"/>
      <c r="K154" s="30"/>
      <c r="L154" s="30"/>
      <c r="M154" s="30"/>
      <c r="N154" s="30"/>
      <c r="O154" s="30"/>
      <c r="P154" s="30"/>
      <c r="Q154" s="30"/>
      <c r="R154" s="30"/>
      <c r="S154" s="30"/>
      <c r="T154" s="30"/>
      <c r="U154" s="30"/>
      <c r="V154" s="30"/>
      <c r="W154" s="30"/>
      <c r="X154" s="30"/>
      <c r="Y154" s="30"/>
    </row>
    <row r="155" spans="1:25" x14ac:dyDescent="0.25">
      <c r="A155" s="30"/>
      <c r="B155" s="41" t="s">
        <v>1051</v>
      </c>
      <c r="C155" s="41" t="str" cm="1">
        <f t="array" ref="C155">_xlfn.XLOOKUP(
  1,
  (Lists3.1_Longlist[IUD]=Lists3.1_Shortlist[[#This Row],[IUD]]) *
  (Lists3.1_Longlist[Language]=Language),
  Lists3.1_Longlist[Mat. Cat 1]
)</f>
        <v>Production agricole</v>
      </c>
      <c r="D155" s="41" t="str" cm="1">
        <f t="array" ref="D155">IF(_xlfn.XLOOKUP(
  1,
  (Lists3.1_Longlist[IUD]=Lists3.1_Shortlist[[#This Row],[IUD]]) *
  (Lists3.1_Longlist[Language]=Language),
  Lists3.1_Longlist[Mat. Cat. 2]
)=0,"",_xlfn.XLOOKUP(
  1,
  (Lists3.1_Longlist[IUD]=Lists3.1_Shortlist[[#This Row],[IUD]]) *
  (Lists3.1_Longlist[Language]=Language),
  Lists3.1_Longlist[Mat. Cat. 2]
))</f>
        <v>Engrais organique</v>
      </c>
      <c r="E155" s="41" t="str" cm="1">
        <f t="array" ref="E155">IF(_xlfn.XLOOKUP(
  1,
  (Lists3.1_Longlist[IUD]=Lists3.1_Shortlist[[#This Row],[IUD]]) *
  (Lists3.1_Longlist[Language]=Language),
  Lists3.1_Longlist[Mat. Cat. 3]
)=0,"",_xlfn.XLOOKUP(
  1,
  (Lists3.1_Longlist[IUD]=Lists3.1_Shortlist[[#This Row],[IUD]]) *
  (Lists3.1_Longlist[Language]=Language),
  Lists3.1_Longlist[Mat. Cat. 3]
))</f>
        <v>Fumier vert, IP-Suisse</v>
      </c>
      <c r="F155" s="32" t="s">
        <v>1052</v>
      </c>
      <c r="G155" s="32" t="s">
        <v>28111</v>
      </c>
      <c r="H155" s="30"/>
      <c r="I155" s="30"/>
      <c r="J155" s="30"/>
      <c r="K155" s="30"/>
      <c r="L155" s="30"/>
      <c r="M155" s="30"/>
      <c r="N155" s="30"/>
      <c r="O155" s="30"/>
      <c r="P155" s="30"/>
      <c r="Q155" s="30"/>
      <c r="R155" s="30"/>
      <c r="S155" s="30"/>
      <c r="T155" s="30"/>
      <c r="U155" s="30"/>
      <c r="V155" s="30"/>
      <c r="W155" s="30"/>
      <c r="X155" s="30"/>
      <c r="Y155" s="30"/>
    </row>
    <row r="156" spans="1:25" x14ac:dyDescent="0.25">
      <c r="A156" s="30"/>
      <c r="B156" s="41" t="s">
        <v>1049</v>
      </c>
      <c r="C156" s="41" t="str" cm="1">
        <f t="array" ref="C156">_xlfn.XLOOKUP(
  1,
  (Lists3.1_Longlist[IUD]=Lists3.1_Shortlist[[#This Row],[IUD]]) *
  (Lists3.1_Longlist[Language]=Language),
  Lists3.1_Longlist[Mat. Cat 1]
)</f>
        <v>Production agricole</v>
      </c>
      <c r="D156" s="41" t="str" cm="1">
        <f t="array" ref="D156">IF(_xlfn.XLOOKUP(
  1,
  (Lists3.1_Longlist[IUD]=Lists3.1_Shortlist[[#This Row],[IUD]]) *
  (Lists3.1_Longlist[Language]=Language),
  Lists3.1_Longlist[Mat. Cat. 2]
)=0,"",_xlfn.XLOOKUP(
  1,
  (Lists3.1_Longlist[IUD]=Lists3.1_Shortlist[[#This Row],[IUD]]) *
  (Lists3.1_Longlist[Language]=Language),
  Lists3.1_Longlist[Mat. Cat. 2]
))</f>
        <v>Engrais organique</v>
      </c>
      <c r="E156" s="41" t="str" cm="1">
        <f t="array" ref="E156">IF(_xlfn.XLOOKUP(
  1,
  (Lists3.1_Longlist[IUD]=Lists3.1_Shortlist[[#This Row],[IUD]]) *
  (Lists3.1_Longlist[Language]=Language),
  Lists3.1_Longlist[Mat. Cat. 3]
)=0,"",_xlfn.XLOOKUP(
  1,
  (Lists3.1_Longlist[IUD]=Lists3.1_Shortlist[[#This Row],[IUD]]) *
  (Lists3.1_Longlist[Language]=Language),
  Lists3.1_Longlist[Mat. Cat. 3]
))</f>
        <v>Farine de cornes</v>
      </c>
      <c r="F156" s="32" t="s">
        <v>88</v>
      </c>
      <c r="G156" s="32" t="s">
        <v>28112</v>
      </c>
      <c r="H156" s="30"/>
      <c r="I156" s="30"/>
      <c r="J156" s="30"/>
      <c r="K156" s="30"/>
      <c r="L156" s="30"/>
      <c r="M156" s="30"/>
      <c r="N156" s="30"/>
      <c r="O156" s="30"/>
      <c r="P156" s="30"/>
      <c r="Q156" s="30"/>
      <c r="R156" s="30"/>
      <c r="S156" s="30"/>
      <c r="T156" s="30"/>
      <c r="U156" s="30"/>
      <c r="V156" s="30"/>
      <c r="W156" s="30"/>
      <c r="X156" s="30"/>
      <c r="Y156" s="30"/>
    </row>
    <row r="157" spans="1:25" x14ac:dyDescent="0.25">
      <c r="A157" s="30"/>
      <c r="B157" s="41" t="s">
        <v>1053</v>
      </c>
      <c r="C157" s="41" t="str" cm="1">
        <f t="array" ref="C157">_xlfn.XLOOKUP(
  1,
  (Lists3.1_Longlist[IUD]=Lists3.1_Shortlist[[#This Row],[IUD]]) *
  (Lists3.1_Longlist[Language]=Language),
  Lists3.1_Longlist[Mat. Cat 1]
)</f>
        <v>Production agricole</v>
      </c>
      <c r="D157" s="41" t="str" cm="1">
        <f t="array" ref="D157">IF(_xlfn.XLOOKUP(
  1,
  (Lists3.1_Longlist[IUD]=Lists3.1_Shortlist[[#This Row],[IUD]]) *
  (Lists3.1_Longlist[Language]=Language),
  Lists3.1_Longlist[Mat. Cat. 2]
)=0,"",_xlfn.XLOOKUP(
  1,
  (Lists3.1_Longlist[IUD]=Lists3.1_Shortlist[[#This Row],[IUD]]) *
  (Lists3.1_Longlist[Language]=Language),
  Lists3.1_Longlist[Mat. Cat. 2]
))</f>
        <v>Fongicide</v>
      </c>
      <c r="E157" s="41" t="str" cm="1">
        <f t="array" ref="E157">IF(_xlfn.XLOOKUP(
  1,
  (Lists3.1_Longlist[IUD]=Lists3.1_Shortlist[[#This Row],[IUD]]) *
  (Lists3.1_Longlist[Language]=Language),
  Lists3.1_Longlist[Mat. Cat. 3]
)=0,"",_xlfn.XLOOKUP(
  1,
  (Lists3.1_Longlist[IUD]=Lists3.1_Shortlist[[#This Row],[IUD]]) *
  (Lists3.1_Longlist[Language]=Language),
  Lists3.1_Longlist[Mat. Cat. 3]
))</f>
        <v/>
      </c>
      <c r="F157" s="32" t="s">
        <v>88</v>
      </c>
      <c r="G157" s="32" t="s">
        <v>28113</v>
      </c>
      <c r="H157" s="44"/>
      <c r="I157" s="30"/>
      <c r="J157" s="30"/>
      <c r="K157" s="30"/>
      <c r="L157" s="30"/>
      <c r="M157" s="30"/>
      <c r="N157" s="30"/>
      <c r="O157" s="30"/>
      <c r="P157" s="30"/>
      <c r="Q157" s="30"/>
      <c r="R157" s="30"/>
      <c r="S157" s="30"/>
      <c r="T157" s="30"/>
      <c r="U157" s="30"/>
      <c r="V157" s="30"/>
      <c r="W157" s="30"/>
      <c r="X157" s="30"/>
      <c r="Y157" s="30"/>
    </row>
    <row r="158" spans="1:25" x14ac:dyDescent="0.25">
      <c r="A158" s="30"/>
      <c r="B158" s="41" t="s">
        <v>1054</v>
      </c>
      <c r="C158" s="41" t="str" cm="1">
        <f t="array" ref="C158">_xlfn.XLOOKUP(
  1,
  (Lists3.1_Longlist[IUD]=Lists3.1_Shortlist[[#This Row],[IUD]]) *
  (Lists3.1_Longlist[Language]=Language),
  Lists3.1_Longlist[Mat. Cat 1]
)</f>
        <v>Production agricole</v>
      </c>
      <c r="D158" s="41" t="str" cm="1">
        <f t="array" ref="D158">IF(_xlfn.XLOOKUP(
  1,
  (Lists3.1_Longlist[IUD]=Lists3.1_Shortlist[[#This Row],[IUD]]) *
  (Lists3.1_Longlist[Language]=Language),
  Lists3.1_Longlist[Mat. Cat. 2]
)=0,"",_xlfn.XLOOKUP(
  1,
  (Lists3.1_Longlist[IUD]=Lists3.1_Shortlist[[#This Row],[IUD]]) *
  (Lists3.1_Longlist[Language]=Language),
  Lists3.1_Longlist[Mat. Cat. 2]
))</f>
        <v>Fongicide</v>
      </c>
      <c r="E158" s="41" t="str" cm="1">
        <f t="array" ref="E158">IF(_xlfn.XLOOKUP(
  1,
  (Lists3.1_Longlist[IUD]=Lists3.1_Shortlist[[#This Row],[IUD]]) *
  (Lists3.1_Longlist[Language]=Language),
  Lists3.1_Longlist[Mat. Cat. 3]
)=0,"",_xlfn.XLOOKUP(
  1,
  (Lists3.1_Longlist[IUD]=Lists3.1_Shortlist[[#This Row],[IUD]]) *
  (Lists3.1_Longlist[Language]=Language),
  Lists3.1_Longlist[Mat. Cat. 3]
))</f>
        <v>Folpet</v>
      </c>
      <c r="F158" s="32" t="s">
        <v>88</v>
      </c>
      <c r="G158" s="32" t="s">
        <v>28114</v>
      </c>
      <c r="H158" s="44"/>
      <c r="I158" s="30"/>
      <c r="J158" s="30"/>
      <c r="K158" s="30"/>
      <c r="L158" s="30"/>
      <c r="M158" s="30"/>
      <c r="N158" s="30"/>
      <c r="O158" s="30"/>
      <c r="P158" s="30"/>
      <c r="Q158" s="30"/>
      <c r="R158" s="30"/>
      <c r="S158" s="30"/>
      <c r="T158" s="30"/>
      <c r="U158" s="30"/>
      <c r="V158" s="30"/>
      <c r="W158" s="30"/>
      <c r="X158" s="30"/>
      <c r="Y158" s="30"/>
    </row>
    <row r="159" spans="1:25" x14ac:dyDescent="0.25">
      <c r="A159" s="30"/>
      <c r="B159" s="41" t="s">
        <v>1055</v>
      </c>
      <c r="C159" s="41" t="str" cm="1">
        <f t="array" ref="C159">_xlfn.XLOOKUP(
  1,
  (Lists3.1_Longlist[IUD]=Lists3.1_Shortlist[[#This Row],[IUD]]) *
  (Lists3.1_Longlist[Language]=Language),
  Lists3.1_Longlist[Mat. Cat 1]
)</f>
        <v>Production agricole</v>
      </c>
      <c r="D159" s="41" t="str" cm="1">
        <f t="array" ref="D159">IF(_xlfn.XLOOKUP(
  1,
  (Lists3.1_Longlist[IUD]=Lists3.1_Shortlist[[#This Row],[IUD]]) *
  (Lists3.1_Longlist[Language]=Language),
  Lists3.1_Longlist[Mat. Cat. 2]
)=0,"",_xlfn.XLOOKUP(
  1,
  (Lists3.1_Longlist[IUD]=Lists3.1_Shortlist[[#This Row],[IUD]]) *
  (Lists3.1_Longlist[Language]=Language),
  Lists3.1_Longlist[Mat. Cat. 2]
))</f>
        <v>Fongicide</v>
      </c>
      <c r="E159" s="41" t="str" cm="1">
        <f t="array" ref="E159">IF(_xlfn.XLOOKUP(
  1,
  (Lists3.1_Longlist[IUD]=Lists3.1_Shortlist[[#This Row],[IUD]]) *
  (Lists3.1_Longlist[Language]=Language),
  Lists3.1_Longlist[Mat. Cat. 3]
)=0,"",_xlfn.XLOOKUP(
  1,
  (Lists3.1_Longlist[IUD]=Lists3.1_Shortlist[[#This Row],[IUD]]) *
  (Lists3.1_Longlist[Language]=Language),
  Lists3.1_Longlist[Mat. Cat. 3]
))</f>
        <v>Mancozeb</v>
      </c>
      <c r="F159" s="32" t="s">
        <v>88</v>
      </c>
      <c r="G159" s="32" t="s">
        <v>28115</v>
      </c>
      <c r="H159" s="44"/>
      <c r="I159" s="30"/>
      <c r="J159" s="30"/>
      <c r="K159" s="30"/>
      <c r="L159" s="30"/>
      <c r="M159" s="30"/>
      <c r="N159" s="30"/>
      <c r="O159" s="30"/>
      <c r="P159" s="30"/>
      <c r="Q159" s="30"/>
      <c r="R159" s="30"/>
      <c r="S159" s="30"/>
      <c r="T159" s="30"/>
      <c r="U159" s="30"/>
      <c r="V159" s="30"/>
      <c r="W159" s="30"/>
      <c r="X159" s="30"/>
      <c r="Y159" s="30"/>
    </row>
    <row r="160" spans="1:25" x14ac:dyDescent="0.25">
      <c r="A160" s="30"/>
      <c r="B160" s="41" t="s">
        <v>1053</v>
      </c>
      <c r="C160" s="41" t="str" cm="1">
        <f t="array" ref="C160">_xlfn.XLOOKUP(
  1,
  (Lists3.1_Longlist[IUD]=Lists3.1_Shortlist[[#This Row],[IUD]]) *
  (Lists3.1_Longlist[Language]=Language),
  Lists3.1_Longlist[Mat. Cat 1]
)</f>
        <v>Production agricole</v>
      </c>
      <c r="D160" s="41" t="str" cm="1">
        <f t="array" ref="D160">IF(_xlfn.XLOOKUP(
  1,
  (Lists3.1_Longlist[IUD]=Lists3.1_Shortlist[[#This Row],[IUD]]) *
  (Lists3.1_Longlist[Language]=Language),
  Lists3.1_Longlist[Mat. Cat. 2]
)=0,"",_xlfn.XLOOKUP(
  1,
  (Lists3.1_Longlist[IUD]=Lists3.1_Shortlist[[#This Row],[IUD]]) *
  (Lists3.1_Longlist[Language]=Language),
  Lists3.1_Longlist[Mat. Cat. 2]
))</f>
        <v>Fongicide</v>
      </c>
      <c r="E160" s="41" t="str" cm="1">
        <f t="array" ref="E160">IF(_xlfn.XLOOKUP(
  1,
  (Lists3.1_Longlist[IUD]=Lists3.1_Shortlist[[#This Row],[IUD]]) *
  (Lists3.1_Longlist[Language]=Language),
  Lists3.1_Longlist[Mat. Cat. 3]
)=0,"",_xlfn.XLOOKUP(
  1,
  (Lists3.1_Longlist[IUD]=Lists3.1_Shortlist[[#This Row],[IUD]]) *
  (Lists3.1_Longlist[Language]=Language),
  Lists3.1_Longlist[Mat. Cat. 3]
))</f>
        <v>Captan</v>
      </c>
      <c r="F160" s="32" t="s">
        <v>88</v>
      </c>
      <c r="G160" s="32" t="s">
        <v>28116</v>
      </c>
      <c r="H160" s="44"/>
      <c r="I160" s="30"/>
      <c r="J160" s="30"/>
      <c r="K160" s="30"/>
      <c r="L160" s="30"/>
      <c r="M160" s="30"/>
      <c r="N160" s="30"/>
      <c r="O160" s="30"/>
      <c r="P160" s="30"/>
      <c r="Q160" s="30"/>
      <c r="R160" s="30"/>
      <c r="S160" s="30"/>
      <c r="T160" s="30"/>
      <c r="U160" s="30"/>
      <c r="V160" s="30"/>
      <c r="W160" s="30"/>
      <c r="X160" s="30"/>
      <c r="Y160" s="30"/>
    </row>
    <row r="161" spans="1:25" x14ac:dyDescent="0.25">
      <c r="A161" s="30"/>
      <c r="B161" s="41" t="s">
        <v>1056</v>
      </c>
      <c r="C161" s="41" t="str" cm="1">
        <f t="array" ref="C161">_xlfn.XLOOKUP(
  1,
  (Lists3.1_Longlist[IUD]=Lists3.1_Shortlist[[#This Row],[IUD]]) *
  (Lists3.1_Longlist[Language]=Language),
  Lists3.1_Longlist[Mat. Cat 1]
)</f>
        <v>Production agricole</v>
      </c>
      <c r="D161" s="41" t="str" cm="1">
        <f t="array" ref="D161">IF(_xlfn.XLOOKUP(
  1,
  (Lists3.1_Longlist[IUD]=Lists3.1_Shortlist[[#This Row],[IUD]]) *
  (Lists3.1_Longlist[Language]=Language),
  Lists3.1_Longlist[Mat. Cat. 2]
)=0,"",_xlfn.XLOOKUP(
  1,
  (Lists3.1_Longlist[IUD]=Lists3.1_Shortlist[[#This Row],[IUD]]) *
  (Lists3.1_Longlist[Language]=Language),
  Lists3.1_Longlist[Mat. Cat. 2]
))</f>
        <v>Herbicide</v>
      </c>
      <c r="E161" s="41" t="str" cm="1">
        <f t="array" ref="E161">IF(_xlfn.XLOOKUP(
  1,
  (Lists3.1_Longlist[IUD]=Lists3.1_Shortlist[[#This Row],[IUD]]) *
  (Lists3.1_Longlist[Language]=Language),
  Lists3.1_Longlist[Mat. Cat. 3]
)=0,"",_xlfn.XLOOKUP(
  1,
  (Lists3.1_Longlist[IUD]=Lists3.1_Shortlist[[#This Row],[IUD]]) *
  (Lists3.1_Longlist[Language]=Language),
  Lists3.1_Longlist[Mat. Cat. 3]
))</f>
        <v/>
      </c>
      <c r="F161" s="32" t="s">
        <v>88</v>
      </c>
      <c r="G161" s="32" t="s">
        <v>28117</v>
      </c>
      <c r="H161" s="30"/>
      <c r="I161" s="30"/>
      <c r="J161" s="30"/>
      <c r="K161" s="30"/>
      <c r="L161" s="30"/>
      <c r="M161" s="30"/>
      <c r="N161" s="30"/>
      <c r="O161" s="30"/>
      <c r="P161" s="30"/>
      <c r="Q161" s="30"/>
      <c r="R161" s="30"/>
      <c r="S161" s="30"/>
      <c r="T161" s="30"/>
      <c r="U161" s="30"/>
      <c r="V161" s="30"/>
      <c r="W161" s="30"/>
      <c r="X161" s="30"/>
      <c r="Y161" s="30"/>
    </row>
    <row r="162" spans="1:25" x14ac:dyDescent="0.25">
      <c r="A162" s="30"/>
      <c r="B162" s="41" t="s">
        <v>1056</v>
      </c>
      <c r="C162" s="41" t="str" cm="1">
        <f t="array" ref="C162">_xlfn.XLOOKUP(
  1,
  (Lists3.1_Longlist[IUD]=Lists3.1_Shortlist[[#This Row],[IUD]]) *
  (Lists3.1_Longlist[Language]=Language),
  Lists3.1_Longlist[Mat. Cat 1]
)</f>
        <v>Production agricole</v>
      </c>
      <c r="D162" s="41" t="str" cm="1">
        <f t="array" ref="D162">IF(_xlfn.XLOOKUP(
  1,
  (Lists3.1_Longlist[IUD]=Lists3.1_Shortlist[[#This Row],[IUD]]) *
  (Lists3.1_Longlist[Language]=Language),
  Lists3.1_Longlist[Mat. Cat. 2]
)=0,"",_xlfn.XLOOKUP(
  1,
  (Lists3.1_Longlist[IUD]=Lists3.1_Shortlist[[#This Row],[IUD]]) *
  (Lists3.1_Longlist[Language]=Language),
  Lists3.1_Longlist[Mat. Cat. 2]
))</f>
        <v>Herbicide</v>
      </c>
      <c r="E162" s="41" t="str" cm="1">
        <f t="array" ref="E162">IF(_xlfn.XLOOKUP(
  1,
  (Lists3.1_Longlist[IUD]=Lists3.1_Shortlist[[#This Row],[IUD]]) *
  (Lists3.1_Longlist[Language]=Language),
  Lists3.1_Longlist[Mat. Cat. 3]
)=0,"",_xlfn.XLOOKUP(
  1,
  (Lists3.1_Longlist[IUD]=Lists3.1_Shortlist[[#This Row],[IUD]]) *
  (Lists3.1_Longlist[Language]=Language),
  Lists3.1_Longlist[Mat. Cat. 3]
))</f>
        <v>Glyphosate</v>
      </c>
      <c r="F162" s="32" t="s">
        <v>88</v>
      </c>
      <c r="G162" s="32" t="s">
        <v>28118</v>
      </c>
      <c r="H162" s="30"/>
      <c r="I162" s="30"/>
      <c r="J162" s="30"/>
      <c r="K162" s="30"/>
      <c r="L162" s="30"/>
      <c r="M162" s="30"/>
      <c r="N162" s="30"/>
      <c r="O162" s="30"/>
      <c r="P162" s="30"/>
      <c r="Q162" s="30"/>
      <c r="R162" s="30"/>
      <c r="S162" s="30"/>
      <c r="T162" s="30"/>
      <c r="U162" s="30"/>
      <c r="V162" s="30"/>
      <c r="W162" s="30"/>
      <c r="X162" s="30"/>
      <c r="Y162" s="30"/>
    </row>
    <row r="163" spans="1:25" x14ac:dyDescent="0.25">
      <c r="A163" s="30"/>
      <c r="B163" s="41" t="s">
        <v>1057</v>
      </c>
      <c r="C163" s="41" t="str" cm="1">
        <f t="array" ref="C163">_xlfn.XLOOKUP(
  1,
  (Lists3.1_Longlist[IUD]=Lists3.1_Shortlist[[#This Row],[IUD]]) *
  (Lists3.1_Longlist[Language]=Language),
  Lists3.1_Longlist[Mat. Cat 1]
)</f>
        <v>Production agricole</v>
      </c>
      <c r="D163" s="41" t="str" cm="1">
        <f t="array" ref="D163">IF(_xlfn.XLOOKUP(
  1,
  (Lists3.1_Longlist[IUD]=Lists3.1_Shortlist[[#This Row],[IUD]]) *
  (Lists3.1_Longlist[Language]=Language),
  Lists3.1_Longlist[Mat. Cat. 2]
)=0,"",_xlfn.XLOOKUP(
  1,
  (Lists3.1_Longlist[IUD]=Lists3.1_Shortlist[[#This Row],[IUD]]) *
  (Lists3.1_Longlist[Language]=Language),
  Lists3.1_Longlist[Mat. Cat. 2]
))</f>
        <v>Herbicide</v>
      </c>
      <c r="E163" s="41" t="str" cm="1">
        <f t="array" ref="E163">IF(_xlfn.XLOOKUP(
  1,
  (Lists3.1_Longlist[IUD]=Lists3.1_Shortlist[[#This Row],[IUD]]) *
  (Lists3.1_Longlist[Language]=Language),
  Lists3.1_Longlist[Mat. Cat. 3]
)=0,"",_xlfn.XLOOKUP(
  1,
  (Lists3.1_Longlist[IUD]=Lists3.1_Shortlist[[#This Row],[IUD]]) *
  (Lists3.1_Longlist[Language]=Language),
  Lists3.1_Longlist[Mat. Cat. 3]
))</f>
        <v>Metamitron</v>
      </c>
      <c r="F163" s="32" t="s">
        <v>88</v>
      </c>
      <c r="G163" s="32" t="s">
        <v>28119</v>
      </c>
      <c r="H163" s="30"/>
      <c r="I163" s="30"/>
      <c r="J163" s="30"/>
      <c r="K163" s="30"/>
      <c r="L163" s="30"/>
      <c r="M163" s="30"/>
      <c r="N163" s="30"/>
      <c r="O163" s="30"/>
      <c r="P163" s="30"/>
      <c r="Q163" s="30"/>
      <c r="R163" s="30"/>
      <c r="S163" s="30"/>
      <c r="T163" s="30"/>
      <c r="U163" s="30"/>
      <c r="V163" s="30"/>
      <c r="W163" s="30"/>
      <c r="X163" s="30"/>
      <c r="Y163" s="30"/>
    </row>
    <row r="164" spans="1:25" x14ac:dyDescent="0.25">
      <c r="A164" s="30"/>
      <c r="B164" s="41" t="s">
        <v>1058</v>
      </c>
      <c r="C164" s="41" t="str" cm="1">
        <f t="array" ref="C164">_xlfn.XLOOKUP(
  1,
  (Lists3.1_Longlist[IUD]=Lists3.1_Shortlist[[#This Row],[IUD]]) *
  (Lists3.1_Longlist[Language]=Language),
  Lists3.1_Longlist[Mat. Cat 1]
)</f>
        <v>Production agricole</v>
      </c>
      <c r="D164" s="41" t="str" cm="1">
        <f t="array" ref="D164">IF(_xlfn.XLOOKUP(
  1,
  (Lists3.1_Longlist[IUD]=Lists3.1_Shortlist[[#This Row],[IUD]]) *
  (Lists3.1_Longlist[Language]=Language),
  Lists3.1_Longlist[Mat. Cat. 2]
)=0,"",_xlfn.XLOOKUP(
  1,
  (Lists3.1_Longlist[IUD]=Lists3.1_Shortlist[[#This Row],[IUD]]) *
  (Lists3.1_Longlist[Language]=Language),
  Lists3.1_Longlist[Mat. Cat. 2]
))</f>
        <v>Insecticide</v>
      </c>
      <c r="E164" s="41" t="str" cm="1">
        <f t="array" ref="E164">IF(_xlfn.XLOOKUP(
  1,
  (Lists3.1_Longlist[IUD]=Lists3.1_Shortlist[[#This Row],[IUD]]) *
  (Lists3.1_Longlist[Language]=Language),
  Lists3.1_Longlist[Mat. Cat. 3]
)=0,"",_xlfn.XLOOKUP(
  1,
  (Lists3.1_Longlist[IUD]=Lists3.1_Shortlist[[#This Row],[IUD]]) *
  (Lists3.1_Longlist[Language]=Language),
  Lists3.1_Longlist[Mat. Cat. 3]
))</f>
        <v/>
      </c>
      <c r="F164" s="32" t="s">
        <v>88</v>
      </c>
      <c r="G164" s="32" t="s">
        <v>28120</v>
      </c>
      <c r="H164" s="30"/>
      <c r="I164" s="30"/>
      <c r="J164" s="30"/>
      <c r="K164" s="30"/>
      <c r="L164" s="30"/>
      <c r="M164" s="30"/>
      <c r="N164" s="30"/>
      <c r="O164" s="30"/>
      <c r="P164" s="30"/>
      <c r="Q164" s="30"/>
      <c r="R164" s="30"/>
      <c r="S164" s="30"/>
      <c r="T164" s="30"/>
      <c r="U164" s="30"/>
      <c r="V164" s="30"/>
      <c r="W164" s="30"/>
      <c r="X164" s="30"/>
      <c r="Y164" s="30"/>
    </row>
    <row r="165" spans="1:25" x14ac:dyDescent="0.25">
      <c r="A165" s="30"/>
      <c r="B165" s="41" t="s">
        <v>1059</v>
      </c>
      <c r="C165" s="41" t="str" cm="1">
        <f t="array" ref="C165">_xlfn.XLOOKUP(
  1,
  (Lists3.1_Longlist[IUD]=Lists3.1_Shortlist[[#This Row],[IUD]]) *
  (Lists3.1_Longlist[Language]=Language),
  Lists3.1_Longlist[Mat. Cat 1]
)</f>
        <v>Production agricole</v>
      </c>
      <c r="D165" s="41" t="str" cm="1">
        <f t="array" ref="D165">IF(_xlfn.XLOOKUP(
  1,
  (Lists3.1_Longlist[IUD]=Lists3.1_Shortlist[[#This Row],[IUD]]) *
  (Lists3.1_Longlist[Language]=Language),
  Lists3.1_Longlist[Mat. Cat. 2]
)=0,"",_xlfn.XLOOKUP(
  1,
  (Lists3.1_Longlist[IUD]=Lists3.1_Shortlist[[#This Row],[IUD]]) *
  (Lists3.1_Longlist[Language]=Language),
  Lists3.1_Longlist[Mat. Cat. 2]
))</f>
        <v>Alimentation animale</v>
      </c>
      <c r="E165" s="41" t="str" cm="1">
        <f t="array" ref="E165">IF(_xlfn.XLOOKUP(
  1,
  (Lists3.1_Longlist[IUD]=Lists3.1_Shortlist[[#This Row],[IUD]]) *
  (Lists3.1_Longlist[Language]=Language),
  Lists3.1_Longlist[Mat. Cat. 3]
)=0,"",_xlfn.XLOOKUP(
  1,
  (Lists3.1_Longlist[IUD]=Lists3.1_Shortlist[[#This Row],[IUD]]) *
  (Lists3.1_Longlist[Language]=Language),
  Lists3.1_Longlist[Mat. Cat. 3]
))</f>
        <v/>
      </c>
      <c r="F165" s="32" t="s">
        <v>88</v>
      </c>
      <c r="G165" s="32" t="s">
        <v>28121</v>
      </c>
      <c r="H165" s="30"/>
      <c r="I165" s="30"/>
      <c r="J165" s="30"/>
      <c r="K165" s="30"/>
      <c r="L165" s="30"/>
      <c r="M165" s="30"/>
      <c r="N165" s="30"/>
      <c r="O165" s="30"/>
      <c r="P165" s="30"/>
      <c r="Q165" s="30"/>
      <c r="R165" s="30"/>
      <c r="S165" s="30"/>
      <c r="T165" s="30"/>
      <c r="U165" s="30"/>
      <c r="V165" s="30"/>
      <c r="W165" s="30"/>
      <c r="X165" s="30"/>
      <c r="Y165" s="30"/>
    </row>
    <row r="166" spans="1:25" x14ac:dyDescent="0.25">
      <c r="A166" s="30"/>
      <c r="B166" s="41" t="s">
        <v>1060</v>
      </c>
      <c r="C166" s="41" t="str" cm="1">
        <f t="array" ref="C166">_xlfn.XLOOKUP(
  1,
  (Lists3.1_Longlist[IUD]=Lists3.1_Shortlist[[#This Row],[IUD]]) *
  (Lists3.1_Longlist[Language]=Language),
  Lists3.1_Longlist[Mat. Cat 1]
)</f>
        <v>Production agricole</v>
      </c>
      <c r="D166" s="41" t="str" cm="1">
        <f t="array" ref="D166">IF(_xlfn.XLOOKUP(
  1,
  (Lists3.1_Longlist[IUD]=Lists3.1_Shortlist[[#This Row],[IUD]]) *
  (Lists3.1_Longlist[Language]=Language),
  Lists3.1_Longlist[Mat. Cat. 2]
)=0,"",_xlfn.XLOOKUP(
  1,
  (Lists3.1_Longlist[IUD]=Lists3.1_Shortlist[[#This Row],[IUD]]) *
  (Lists3.1_Longlist[Language]=Language),
  Lists3.1_Longlist[Mat. Cat. 2]
))</f>
        <v>Alimentation animale</v>
      </c>
      <c r="E166" s="41" t="str" cm="1">
        <f t="array" ref="E166">IF(_xlfn.XLOOKUP(
  1,
  (Lists3.1_Longlist[IUD]=Lists3.1_Shortlist[[#This Row],[IUD]]) *
  (Lists3.1_Longlist[Language]=Language),
  Lists3.1_Longlist[Mat. Cat. 3]
)=0,"",_xlfn.XLOOKUP(
  1,
  (Lists3.1_Longlist[IUD]=Lists3.1_Shortlist[[#This Row],[IUD]]) *
  (Lists3.1_Longlist[Language]=Language),
  Lists3.1_Longlist[Mat. Cat. 3]
))</f>
        <v>Grains d'orge</v>
      </c>
      <c r="F166" s="32" t="s">
        <v>88</v>
      </c>
      <c r="G166" s="32" t="s">
        <v>28122</v>
      </c>
      <c r="H166" s="30"/>
      <c r="I166" s="30"/>
      <c r="J166" s="30"/>
      <c r="K166" s="30"/>
      <c r="L166" s="30"/>
      <c r="M166" s="30"/>
      <c r="N166" s="30"/>
      <c r="O166" s="30"/>
      <c r="P166" s="30"/>
      <c r="Q166" s="30"/>
      <c r="R166" s="30"/>
      <c r="S166" s="30"/>
      <c r="T166" s="30"/>
      <c r="U166" s="30"/>
      <c r="V166" s="30"/>
      <c r="W166" s="30"/>
      <c r="X166" s="30"/>
      <c r="Y166" s="30"/>
    </row>
    <row r="167" spans="1:25" x14ac:dyDescent="0.25">
      <c r="A167" s="30"/>
      <c r="B167" s="41" t="s">
        <v>1061</v>
      </c>
      <c r="C167" s="41" t="str" cm="1">
        <f t="array" ref="C167">_xlfn.XLOOKUP(
  1,
  (Lists3.1_Longlist[IUD]=Lists3.1_Shortlist[[#This Row],[IUD]]) *
  (Lists3.1_Longlist[Language]=Language),
  Lists3.1_Longlist[Mat. Cat 1]
)</f>
        <v>Production agricole</v>
      </c>
      <c r="D167" s="41" t="str" cm="1">
        <f t="array" ref="D167">IF(_xlfn.XLOOKUP(
  1,
  (Lists3.1_Longlist[IUD]=Lists3.1_Shortlist[[#This Row],[IUD]]) *
  (Lists3.1_Longlist[Language]=Language),
  Lists3.1_Longlist[Mat. Cat. 2]
)=0,"",_xlfn.XLOOKUP(
  1,
  (Lists3.1_Longlist[IUD]=Lists3.1_Shortlist[[#This Row],[IUD]]) *
  (Lists3.1_Longlist[Language]=Language),
  Lists3.1_Longlist[Mat. Cat. 2]
))</f>
        <v>Alimentation animale</v>
      </c>
      <c r="E167" s="41" t="str" cm="1">
        <f t="array" ref="E167">IF(_xlfn.XLOOKUP(
  1,
  (Lists3.1_Longlist[IUD]=Lists3.1_Shortlist[[#This Row],[IUD]]) *
  (Lists3.1_Longlist[Language]=Language),
  Lists3.1_Longlist[Mat. Cat. 3]
)=0,"",_xlfn.XLOOKUP(
  1,
  (Lists3.1_Longlist[IUD]=Lists3.1_Shortlist[[#This Row],[IUD]]) *
  (Lists3.1_Longlist[Language]=Language),
  Lists3.1_Longlist[Mat. Cat. 3]
))</f>
        <v>Grains de maïs, IP-Suisse</v>
      </c>
      <c r="F167" s="32" t="s">
        <v>88</v>
      </c>
      <c r="G167" s="32" t="s">
        <v>28123</v>
      </c>
      <c r="H167" s="30"/>
      <c r="I167" s="30"/>
      <c r="J167" s="30"/>
      <c r="K167" s="30"/>
      <c r="L167" s="30"/>
      <c r="M167" s="30"/>
      <c r="N167" s="30"/>
      <c r="O167" s="30"/>
      <c r="P167" s="30"/>
      <c r="Q167" s="30"/>
      <c r="R167" s="30"/>
      <c r="S167" s="30"/>
      <c r="T167" s="30"/>
      <c r="U167" s="30"/>
      <c r="V167" s="30"/>
      <c r="W167" s="30"/>
      <c r="X167" s="30"/>
      <c r="Y167" s="30"/>
    </row>
    <row r="168" spans="1:25" x14ac:dyDescent="0.25">
      <c r="A168" s="30"/>
      <c r="B168" s="41" t="s">
        <v>1059</v>
      </c>
      <c r="C168" s="41" t="str" cm="1">
        <f t="array" ref="C168">_xlfn.XLOOKUP(
  1,
  (Lists3.1_Longlist[IUD]=Lists3.1_Shortlist[[#This Row],[IUD]]) *
  (Lists3.1_Longlist[Language]=Language),
  Lists3.1_Longlist[Mat. Cat 1]
)</f>
        <v>Production agricole</v>
      </c>
      <c r="D168" s="41" t="str" cm="1">
        <f t="array" ref="D168">IF(_xlfn.XLOOKUP(
  1,
  (Lists3.1_Longlist[IUD]=Lists3.1_Shortlist[[#This Row],[IUD]]) *
  (Lists3.1_Longlist[Language]=Language),
  Lists3.1_Longlist[Mat. Cat. 2]
)=0,"",_xlfn.XLOOKUP(
  1,
  (Lists3.1_Longlist[IUD]=Lists3.1_Shortlist[[#This Row],[IUD]]) *
  (Lists3.1_Longlist[Language]=Language),
  Lists3.1_Longlist[Mat. Cat. 2]
))</f>
        <v>Alimentation animale</v>
      </c>
      <c r="E168" s="41" t="str" cm="1">
        <f t="array" ref="E168">IF(_xlfn.XLOOKUP(
  1,
  (Lists3.1_Longlist[IUD]=Lists3.1_Shortlist[[#This Row],[IUD]]) *
  (Lists3.1_Longlist[Language]=Language),
  Lists3.1_Longlist[Mat. Cat. 3]
)=0,"",_xlfn.XLOOKUP(
  1,
  (Lists3.1_Longlist[IUD]=Lists3.1_Shortlist[[#This Row],[IUD]]) *
  (Lists3.1_Longlist[Language]=Language),
  Lists3.1_Longlist[Mat. Cat. 3]
))</f>
        <v>Graines de soja</v>
      </c>
      <c r="F168" s="32" t="s">
        <v>88</v>
      </c>
      <c r="G168" s="32" t="s">
        <v>28124</v>
      </c>
      <c r="H168" s="30"/>
      <c r="I168" s="30"/>
      <c r="J168" s="30"/>
      <c r="K168" s="30"/>
      <c r="L168" s="30"/>
      <c r="M168" s="30"/>
      <c r="N168" s="30"/>
      <c r="O168" s="30"/>
      <c r="P168" s="30"/>
      <c r="Q168" s="30"/>
      <c r="R168" s="30"/>
      <c r="S168" s="30"/>
      <c r="T168" s="30"/>
      <c r="U168" s="30"/>
      <c r="V168" s="30"/>
      <c r="W168" s="30"/>
      <c r="X168" s="30"/>
      <c r="Y168" s="30"/>
    </row>
    <row r="169" spans="1:25" x14ac:dyDescent="0.25">
      <c r="A169" s="30"/>
      <c r="B169" s="41" t="s">
        <v>1062</v>
      </c>
      <c r="C169" s="41" t="str" cm="1">
        <f t="array" ref="C169">_xlfn.XLOOKUP(
  1,
  (Lists3.1_Longlist[IUD]=Lists3.1_Shortlist[[#This Row],[IUD]]) *
  (Lists3.1_Longlist[Language]=Language),
  Lists3.1_Longlist[Mat. Cat 1]
)</f>
        <v>Nourriture</v>
      </c>
      <c r="D169" s="41" t="str" cm="1">
        <f t="array" ref="D169">IF(_xlfn.XLOOKUP(
  1,
  (Lists3.1_Longlist[IUD]=Lists3.1_Shortlist[[#This Row],[IUD]]) *
  (Lists3.1_Longlist[Language]=Language),
  Lists3.1_Longlist[Mat. Cat. 2]
)=0,"",_xlfn.XLOOKUP(
  1,
  (Lists3.1_Longlist[IUD]=Lists3.1_Shortlist[[#This Row],[IUD]]) *
  (Lists3.1_Longlist[Language]=Language),
  Lists3.1_Longlist[Mat. Cat. 2]
))</f>
        <v>Céréales</v>
      </c>
      <c r="E169" s="41" t="str" cm="1">
        <f t="array" ref="E169">IF(_xlfn.XLOOKUP(
  1,
  (Lists3.1_Longlist[IUD]=Lists3.1_Shortlist[[#This Row],[IUD]]) *
  (Lists3.1_Longlist[Language]=Language),
  Lists3.1_Longlist[Mat. Cat. 3]
)=0,"",_xlfn.XLOOKUP(
  1,
  (Lists3.1_Longlist[IUD]=Lists3.1_Shortlist[[#This Row],[IUD]]) *
  (Lists3.1_Longlist[Language]=Language),
  Lists3.1_Longlist[Mat. Cat. 3]
))</f>
        <v/>
      </c>
      <c r="F169" s="32" t="s">
        <v>88</v>
      </c>
      <c r="G169" s="32" t="s">
        <v>28125</v>
      </c>
      <c r="H169" s="44"/>
      <c r="I169" s="30"/>
      <c r="J169" s="30"/>
      <c r="K169" s="30"/>
      <c r="L169" s="30"/>
      <c r="M169" s="30"/>
      <c r="N169" s="30"/>
      <c r="O169" s="30"/>
      <c r="P169" s="30"/>
      <c r="Q169" s="30"/>
      <c r="R169" s="30"/>
      <c r="S169" s="30"/>
      <c r="T169" s="30"/>
      <c r="U169" s="30"/>
      <c r="V169" s="30"/>
      <c r="W169" s="30"/>
      <c r="X169" s="30"/>
      <c r="Y169" s="30"/>
    </row>
    <row r="170" spans="1:25" x14ac:dyDescent="0.25">
      <c r="A170" s="30"/>
      <c r="B170" s="41" t="s">
        <v>1062</v>
      </c>
      <c r="C170" s="41" t="str" cm="1">
        <f t="array" ref="C170">_xlfn.XLOOKUP(
  1,
  (Lists3.1_Longlist[IUD]=Lists3.1_Shortlist[[#This Row],[IUD]]) *
  (Lists3.1_Longlist[Language]=Language),
  Lists3.1_Longlist[Mat. Cat 1]
)</f>
        <v>Nourriture</v>
      </c>
      <c r="D170" s="41" t="str" cm="1">
        <f t="array" ref="D170">IF(_xlfn.XLOOKUP(
  1,
  (Lists3.1_Longlist[IUD]=Lists3.1_Shortlist[[#This Row],[IUD]]) *
  (Lists3.1_Longlist[Language]=Language),
  Lists3.1_Longlist[Mat. Cat. 2]
)=0,"",_xlfn.XLOOKUP(
  1,
  (Lists3.1_Longlist[IUD]=Lists3.1_Shortlist[[#This Row],[IUD]]) *
  (Lists3.1_Longlist[Language]=Language),
  Lists3.1_Longlist[Mat. Cat. 2]
))</f>
        <v>Céréales</v>
      </c>
      <c r="E170" s="41" t="str" cm="1">
        <f t="array" ref="E170">IF(_xlfn.XLOOKUP(
  1,
  (Lists3.1_Longlist[IUD]=Lists3.1_Shortlist[[#This Row],[IUD]]) *
  (Lists3.1_Longlist[Language]=Language),
  Lists3.1_Longlist[Mat. Cat. 3]
)=0,"",_xlfn.XLOOKUP(
  1,
  (Lists3.1_Longlist[IUD]=Lists3.1_Shortlist[[#This Row],[IUD]]) *
  (Lists3.1_Longlist[Language]=Language),
  Lists3.1_Longlist[Mat. Cat. 3]
))</f>
        <v>Grains de blé, IP-Suisse</v>
      </c>
      <c r="F170" s="32" t="s">
        <v>88</v>
      </c>
      <c r="G170" s="32" t="s">
        <v>28126</v>
      </c>
      <c r="H170" s="30"/>
      <c r="I170" s="30"/>
      <c r="J170" s="30"/>
      <c r="K170" s="30"/>
      <c r="L170" s="30"/>
      <c r="M170" s="30"/>
      <c r="N170" s="30"/>
      <c r="O170" s="30"/>
      <c r="P170" s="30"/>
      <c r="Q170" s="30"/>
      <c r="R170" s="30"/>
      <c r="S170" s="30"/>
      <c r="T170" s="30"/>
      <c r="U170" s="30"/>
      <c r="V170" s="30"/>
      <c r="W170" s="30"/>
      <c r="X170" s="30"/>
      <c r="Y170" s="30"/>
    </row>
    <row r="171" spans="1:25" x14ac:dyDescent="0.25">
      <c r="A171" s="30"/>
      <c r="B171" s="41" t="s">
        <v>1063</v>
      </c>
      <c r="C171" s="41" t="str" cm="1">
        <f t="array" ref="C171">_xlfn.XLOOKUP(
  1,
  (Lists3.1_Longlist[IUD]=Lists3.1_Shortlist[[#This Row],[IUD]]) *
  (Lists3.1_Longlist[Language]=Language),
  Lists3.1_Longlist[Mat. Cat 1]
)</f>
        <v>Nourriture</v>
      </c>
      <c r="D171" s="41" t="str" cm="1">
        <f t="array" ref="D171">IF(_xlfn.XLOOKUP(
  1,
  (Lists3.1_Longlist[IUD]=Lists3.1_Shortlist[[#This Row],[IUD]]) *
  (Lists3.1_Longlist[Language]=Language),
  Lists3.1_Longlist[Mat. Cat. 2]
)=0,"",_xlfn.XLOOKUP(
  1,
  (Lists3.1_Longlist[IUD]=Lists3.1_Shortlist[[#This Row],[IUD]]) *
  (Lists3.1_Longlist[Language]=Language),
  Lists3.1_Longlist[Mat. Cat. 2]
))</f>
        <v>Légumineuses</v>
      </c>
      <c r="E171" s="41" t="str" cm="1">
        <f t="array" ref="E171">IF(_xlfn.XLOOKUP(
  1,
  (Lists3.1_Longlist[IUD]=Lists3.1_Shortlist[[#This Row],[IUD]]) *
  (Lists3.1_Longlist[Language]=Language),
  Lists3.1_Longlist[Mat. Cat. 3]
)=0,"",_xlfn.XLOOKUP(
  1,
  (Lists3.1_Longlist[IUD]=Lists3.1_Shortlist[[#This Row],[IUD]]) *
  (Lists3.1_Longlist[Language]=Language),
  Lists3.1_Longlist[Mat. Cat. 3]
))</f>
        <v/>
      </c>
      <c r="F171" s="32" t="s">
        <v>88</v>
      </c>
      <c r="G171" s="32" t="s">
        <v>28127</v>
      </c>
      <c r="H171" s="30"/>
      <c r="I171" s="30"/>
      <c r="J171" s="30"/>
      <c r="K171" s="30"/>
      <c r="L171" s="30"/>
      <c r="M171" s="30"/>
      <c r="N171" s="30"/>
      <c r="O171" s="30"/>
      <c r="P171" s="30"/>
      <c r="Q171" s="30"/>
      <c r="R171" s="30"/>
      <c r="S171" s="30"/>
      <c r="T171" s="30"/>
      <c r="U171" s="30"/>
      <c r="V171" s="30"/>
      <c r="W171" s="30"/>
      <c r="X171" s="30"/>
      <c r="Y171" s="30"/>
    </row>
    <row r="172" spans="1:25" x14ac:dyDescent="0.25">
      <c r="A172" s="30"/>
      <c r="B172" s="41" t="s">
        <v>1059</v>
      </c>
      <c r="C172" s="41" t="str" cm="1">
        <f t="array" ref="C172">_xlfn.XLOOKUP(
  1,
  (Lists3.1_Longlist[IUD]=Lists3.1_Shortlist[[#This Row],[IUD]]) *
  (Lists3.1_Longlist[Language]=Language),
  Lists3.1_Longlist[Mat. Cat 1]
)</f>
        <v>Nourriture</v>
      </c>
      <c r="D172" s="41" t="str" cm="1">
        <f t="array" ref="D172">IF(_xlfn.XLOOKUP(
  1,
  (Lists3.1_Longlist[IUD]=Lists3.1_Shortlist[[#This Row],[IUD]]) *
  (Lists3.1_Longlist[Language]=Language),
  Lists3.1_Longlist[Mat. Cat. 2]
)=0,"",_xlfn.XLOOKUP(
  1,
  (Lists3.1_Longlist[IUD]=Lists3.1_Shortlist[[#This Row],[IUD]]) *
  (Lists3.1_Longlist[Language]=Language),
  Lists3.1_Longlist[Mat. Cat. 2]
))</f>
        <v>Légumineuses</v>
      </c>
      <c r="E172" s="41" t="str" cm="1">
        <f t="array" ref="E172">IF(_xlfn.XLOOKUP(
  1,
  (Lists3.1_Longlist[IUD]=Lists3.1_Shortlist[[#This Row],[IUD]]) *
  (Lists3.1_Longlist[Language]=Language),
  Lists3.1_Longlist[Mat. Cat. 3]
)=0,"",_xlfn.XLOOKUP(
  1,
  (Lists3.1_Longlist[IUD]=Lists3.1_Shortlist[[#This Row],[IUD]]) *
  (Lists3.1_Longlist[Language]=Language),
  Lists3.1_Longlist[Mat. Cat. 3]
))</f>
        <v>Graines de soja</v>
      </c>
      <c r="F172" s="32" t="s">
        <v>88</v>
      </c>
      <c r="G172" s="32" t="s">
        <v>28128</v>
      </c>
      <c r="H172" s="44"/>
      <c r="I172" s="30"/>
      <c r="J172" s="30"/>
      <c r="K172" s="30"/>
      <c r="L172" s="30"/>
      <c r="M172" s="30"/>
      <c r="N172" s="30"/>
      <c r="O172" s="30"/>
      <c r="P172" s="30"/>
      <c r="Q172" s="30"/>
      <c r="R172" s="30"/>
      <c r="S172" s="30"/>
      <c r="T172" s="30"/>
      <c r="U172" s="30"/>
      <c r="V172" s="30"/>
      <c r="W172" s="30"/>
      <c r="X172" s="30"/>
      <c r="Y172" s="30"/>
    </row>
    <row r="173" spans="1:25" x14ac:dyDescent="0.25">
      <c r="A173" s="30"/>
      <c r="B173" s="41" t="s">
        <v>1064</v>
      </c>
      <c r="C173" s="41" t="str" cm="1">
        <f t="array" ref="C173">_xlfn.XLOOKUP(
  1,
  (Lists3.1_Longlist[IUD]=Lists3.1_Shortlist[[#This Row],[IUD]]) *
  (Lists3.1_Longlist[Language]=Language),
  Lists3.1_Longlist[Mat. Cat 1]
)</f>
        <v>Nourriture</v>
      </c>
      <c r="D173" s="41" t="str" cm="1">
        <f t="array" ref="D173">IF(_xlfn.XLOOKUP(
  1,
  (Lists3.1_Longlist[IUD]=Lists3.1_Shortlist[[#This Row],[IUD]]) *
  (Lists3.1_Longlist[Language]=Language),
  Lists3.1_Longlist[Mat. Cat. 2]
)=0,"",_xlfn.XLOOKUP(
  1,
  (Lists3.1_Longlist[IUD]=Lists3.1_Shortlist[[#This Row],[IUD]]) *
  (Lists3.1_Longlist[Language]=Language),
  Lists3.1_Longlist[Mat. Cat. 2]
))</f>
        <v>Légumineuses</v>
      </c>
      <c r="E173" s="41" t="str" cm="1">
        <f t="array" ref="E173">IF(_xlfn.XLOOKUP(
  1,
  (Lists3.1_Longlist[IUD]=Lists3.1_Shortlist[[#This Row],[IUD]]) *
  (Lists3.1_Longlist[Language]=Language),
  Lists3.1_Longlist[Mat. Cat. 3]
)=0,"",_xlfn.XLOOKUP(
  1,
  (Lists3.1_Longlist[IUD]=Lists3.1_Shortlist[[#This Row],[IUD]]) *
  (Lists3.1_Longlist[Language]=Language),
  Lists3.1_Longlist[Mat. Cat. 3]
))</f>
        <v>Haricots, IP-Suisse</v>
      </c>
      <c r="F173" s="32" t="s">
        <v>88</v>
      </c>
      <c r="G173" s="32" t="s">
        <v>28129</v>
      </c>
      <c r="H173" s="44"/>
      <c r="I173" s="30"/>
      <c r="J173" s="30"/>
      <c r="K173" s="30"/>
      <c r="L173" s="30"/>
      <c r="M173" s="30"/>
      <c r="N173" s="30"/>
      <c r="O173" s="30"/>
      <c r="P173" s="30"/>
      <c r="Q173" s="30"/>
      <c r="R173" s="30"/>
      <c r="S173" s="30"/>
      <c r="T173" s="30"/>
      <c r="U173" s="30"/>
      <c r="V173" s="30"/>
      <c r="W173" s="30"/>
      <c r="X173" s="30"/>
      <c r="Y173" s="30"/>
    </row>
    <row r="174" spans="1:25" x14ac:dyDescent="0.25">
      <c r="A174" s="30"/>
      <c r="B174" s="41" t="s">
        <v>1065</v>
      </c>
      <c r="C174" s="41" t="str" cm="1">
        <f t="array" ref="C174">_xlfn.XLOOKUP(
  1,
  (Lists3.1_Longlist[IUD]=Lists3.1_Shortlist[[#This Row],[IUD]]) *
  (Lists3.1_Longlist[Language]=Language),
  Lists3.1_Longlist[Mat. Cat 1]
)</f>
        <v>Nourriture</v>
      </c>
      <c r="D174" s="41" t="str" cm="1">
        <f t="array" ref="D174">IF(_xlfn.XLOOKUP(
  1,
  (Lists3.1_Longlist[IUD]=Lists3.1_Shortlist[[#This Row],[IUD]]) *
  (Lists3.1_Longlist[Language]=Language),
  Lists3.1_Longlist[Mat. Cat. 2]
)=0,"",_xlfn.XLOOKUP(
  1,
  (Lists3.1_Longlist[IUD]=Lists3.1_Shortlist[[#This Row],[IUD]]) *
  (Lists3.1_Longlist[Language]=Language),
  Lists3.1_Longlist[Mat. Cat. 2]
))</f>
        <v>Huiles</v>
      </c>
      <c r="E174" s="41" t="str" cm="1">
        <f t="array" ref="E174">IF(_xlfn.XLOOKUP(
  1,
  (Lists3.1_Longlist[IUD]=Lists3.1_Shortlist[[#This Row],[IUD]]) *
  (Lists3.1_Longlist[Language]=Language),
  Lists3.1_Longlist[Mat. Cat. 3]
)=0,"",_xlfn.XLOOKUP(
  1,
  (Lists3.1_Longlist[IUD]=Lists3.1_Shortlist[[#This Row],[IUD]]) *
  (Lists3.1_Longlist[Language]=Language),
  Lists3.1_Longlist[Mat. Cat. 3]
))</f>
        <v/>
      </c>
      <c r="F174" s="32" t="s">
        <v>88</v>
      </c>
      <c r="G174" s="32" t="s">
        <v>28130</v>
      </c>
      <c r="H174" s="44"/>
      <c r="I174" s="30"/>
      <c r="J174" s="30"/>
      <c r="K174" s="30"/>
      <c r="L174" s="30"/>
      <c r="M174" s="30"/>
      <c r="N174" s="30"/>
      <c r="O174" s="30"/>
      <c r="P174" s="30"/>
      <c r="Q174" s="30"/>
      <c r="R174" s="30"/>
      <c r="S174" s="30"/>
      <c r="T174" s="30"/>
      <c r="U174" s="30"/>
      <c r="V174" s="30"/>
      <c r="W174" s="30"/>
      <c r="X174" s="30"/>
      <c r="Y174" s="30"/>
    </row>
    <row r="175" spans="1:25" x14ac:dyDescent="0.25">
      <c r="A175" s="30"/>
      <c r="B175" s="41" t="s">
        <v>1066</v>
      </c>
      <c r="C175" s="41" t="str" cm="1">
        <f t="array" ref="C175">_xlfn.XLOOKUP(
  1,
  (Lists3.1_Longlist[IUD]=Lists3.1_Shortlist[[#This Row],[IUD]]) *
  (Lists3.1_Longlist[Language]=Language),
  Lists3.1_Longlist[Mat. Cat 1]
)</f>
        <v>Nourriture</v>
      </c>
      <c r="D175" s="41" t="str" cm="1">
        <f t="array" ref="D175">IF(_xlfn.XLOOKUP(
  1,
  (Lists3.1_Longlist[IUD]=Lists3.1_Shortlist[[#This Row],[IUD]]) *
  (Lists3.1_Longlist[Language]=Language),
  Lists3.1_Longlist[Mat. Cat. 2]
)=0,"",_xlfn.XLOOKUP(
  1,
  (Lists3.1_Longlist[IUD]=Lists3.1_Shortlist[[#This Row],[IUD]]) *
  (Lists3.1_Longlist[Language]=Language),
  Lists3.1_Longlist[Mat. Cat. 2]
))</f>
        <v>Huiles</v>
      </c>
      <c r="E175" s="41" t="str" cm="1">
        <f t="array" ref="E175">IF(_xlfn.XLOOKUP(
  1,
  (Lists3.1_Longlist[IUD]=Lists3.1_Shortlist[[#This Row],[IUD]]) *
  (Lists3.1_Longlist[Language]=Language),
  Lists3.1_Longlist[Mat. Cat. 3]
)=0,"",_xlfn.XLOOKUP(
  1,
  (Lists3.1_Longlist[IUD]=Lists3.1_Shortlist[[#This Row],[IUD]]) *
  (Lists3.1_Longlist[Language]=Language),
  Lists3.1_Longlist[Mat. Cat. 3]
))</f>
        <v>Huile de palme</v>
      </c>
      <c r="F175" s="32" t="s">
        <v>88</v>
      </c>
      <c r="G175" s="32" t="s">
        <v>28131</v>
      </c>
      <c r="H175" s="44"/>
      <c r="I175" s="30"/>
      <c r="J175" s="30"/>
      <c r="K175" s="30"/>
      <c r="L175" s="30"/>
      <c r="M175" s="30"/>
      <c r="N175" s="30"/>
      <c r="O175" s="30"/>
      <c r="P175" s="30"/>
      <c r="Q175" s="30"/>
      <c r="R175" s="30"/>
      <c r="S175" s="30"/>
      <c r="T175" s="30"/>
      <c r="U175" s="30"/>
      <c r="V175" s="30"/>
      <c r="W175" s="30"/>
      <c r="X175" s="30"/>
      <c r="Y175" s="30"/>
    </row>
    <row r="176" spans="1:25" x14ac:dyDescent="0.25">
      <c r="A176" s="30"/>
      <c r="B176" s="41" t="s">
        <v>1067</v>
      </c>
      <c r="C176" s="41" t="str" cm="1">
        <f t="array" ref="C176">_xlfn.XLOOKUP(
  1,
  (Lists3.1_Longlist[IUD]=Lists3.1_Shortlist[[#This Row],[IUD]]) *
  (Lists3.1_Longlist[Language]=Language),
  Lists3.1_Longlist[Mat. Cat 1]
)</f>
        <v>Nourriture</v>
      </c>
      <c r="D176" s="41" t="str" cm="1">
        <f t="array" ref="D176">IF(_xlfn.XLOOKUP(
  1,
  (Lists3.1_Longlist[IUD]=Lists3.1_Shortlist[[#This Row],[IUD]]) *
  (Lists3.1_Longlist[Language]=Language),
  Lists3.1_Longlist[Mat. Cat. 2]
)=0,"",_xlfn.XLOOKUP(
  1,
  (Lists3.1_Longlist[IUD]=Lists3.1_Shortlist[[#This Row],[IUD]]) *
  (Lists3.1_Longlist[Language]=Language),
  Lists3.1_Longlist[Mat. Cat. 2]
))</f>
        <v>Huiles</v>
      </c>
      <c r="E176" s="41" t="str" cm="1">
        <f t="array" ref="E176">IF(_xlfn.XLOOKUP(
  1,
  (Lists3.1_Longlist[IUD]=Lists3.1_Shortlist[[#This Row],[IUD]]) *
  (Lists3.1_Longlist[Language]=Language),
  Lists3.1_Longlist[Mat. Cat. 3]
)=0,"",_xlfn.XLOOKUP(
  1,
  (Lists3.1_Longlist[IUD]=Lists3.1_Shortlist[[#This Row],[IUD]]) *
  (Lists3.1_Longlist[Language]=Language),
  Lists3.1_Longlist[Mat. Cat. 3]
))</f>
        <v>Huile de soja</v>
      </c>
      <c r="F176" s="32" t="s">
        <v>88</v>
      </c>
      <c r="G176" s="32" t="s">
        <v>28132</v>
      </c>
      <c r="H176" s="30"/>
      <c r="I176" s="30"/>
      <c r="J176" s="30"/>
      <c r="K176" s="30"/>
      <c r="L176" s="30"/>
      <c r="M176" s="30"/>
      <c r="N176" s="30"/>
      <c r="O176" s="30"/>
      <c r="P176" s="30"/>
      <c r="Q176" s="30"/>
      <c r="R176" s="30"/>
      <c r="S176" s="30"/>
      <c r="T176" s="30"/>
      <c r="U176" s="30"/>
      <c r="V176" s="30"/>
      <c r="W176" s="30"/>
      <c r="X176" s="30"/>
      <c r="Y176" s="30"/>
    </row>
    <row r="177" spans="1:25" x14ac:dyDescent="0.25">
      <c r="A177" s="30"/>
      <c r="B177" s="41" t="s">
        <v>1065</v>
      </c>
      <c r="C177" s="41" t="str" cm="1">
        <f t="array" ref="C177">_xlfn.XLOOKUP(
  1,
  (Lists3.1_Longlist[IUD]=Lists3.1_Shortlist[[#This Row],[IUD]]) *
  (Lists3.1_Longlist[Language]=Language),
  Lists3.1_Longlist[Mat. Cat 1]
)</f>
        <v>Nourriture</v>
      </c>
      <c r="D177" s="41" t="str" cm="1">
        <f t="array" ref="D177">IF(_xlfn.XLOOKUP(
  1,
  (Lists3.1_Longlist[IUD]=Lists3.1_Shortlist[[#This Row],[IUD]]) *
  (Lists3.1_Longlist[Language]=Language),
  Lists3.1_Longlist[Mat. Cat. 2]
)=0,"",_xlfn.XLOOKUP(
  1,
  (Lists3.1_Longlist[IUD]=Lists3.1_Shortlist[[#This Row],[IUD]]) *
  (Lists3.1_Longlist[Language]=Language),
  Lists3.1_Longlist[Mat. Cat. 2]
))</f>
        <v>Huiles</v>
      </c>
      <c r="E177" s="41" t="str" cm="1">
        <f t="array" ref="E177">IF(_xlfn.XLOOKUP(
  1,
  (Lists3.1_Longlist[IUD]=Lists3.1_Shortlist[[#This Row],[IUD]]) *
  (Lists3.1_Longlist[Language]=Language),
  Lists3.1_Longlist[Mat. Cat. 3]
)=0,"",_xlfn.XLOOKUP(
  1,
  (Lists3.1_Longlist[IUD]=Lists3.1_Shortlist[[#This Row],[IUD]]) *
  (Lists3.1_Longlist[Language]=Language),
  Lists3.1_Longlist[Mat. Cat. 3]
))</f>
        <v>Huile de colza</v>
      </c>
      <c r="F177" s="32" t="s">
        <v>88</v>
      </c>
      <c r="G177" s="32" t="s">
        <v>28133</v>
      </c>
      <c r="H177" s="30"/>
      <c r="I177" s="30"/>
      <c r="J177" s="30"/>
      <c r="K177" s="30"/>
      <c r="L177" s="30"/>
      <c r="M177" s="30"/>
      <c r="N177" s="30"/>
      <c r="O177" s="30"/>
      <c r="P177" s="30"/>
      <c r="Q177" s="30"/>
      <c r="R177" s="30"/>
      <c r="S177" s="30"/>
      <c r="T177" s="30"/>
      <c r="U177" s="30"/>
      <c r="V177" s="30"/>
      <c r="W177" s="30"/>
      <c r="X177" s="30"/>
      <c r="Y177" s="30"/>
    </row>
    <row r="178" spans="1:25" x14ac:dyDescent="0.25">
      <c r="A178" s="30"/>
      <c r="B178" s="41" t="s">
        <v>1068</v>
      </c>
      <c r="C178" s="41" t="str" cm="1">
        <f t="array" ref="C178">_xlfn.XLOOKUP(
  1,
  (Lists3.1_Longlist[IUD]=Lists3.1_Shortlist[[#This Row],[IUD]]) *
  (Lists3.1_Longlist[Language]=Language),
  Lists3.1_Longlist[Mat. Cat 1]
)</f>
        <v>Nourriture</v>
      </c>
      <c r="D178" s="41" t="str" cm="1">
        <f t="array" ref="D178">IF(_xlfn.XLOOKUP(
  1,
  (Lists3.1_Longlist[IUD]=Lists3.1_Shortlist[[#This Row],[IUD]]) *
  (Lists3.1_Longlist[Language]=Language),
  Lists3.1_Longlist[Mat. Cat. 2]
)=0,"",_xlfn.XLOOKUP(
  1,
  (Lists3.1_Longlist[IUD]=Lists3.1_Shortlist[[#This Row],[IUD]]) *
  (Lists3.1_Longlist[Language]=Language),
  Lists3.1_Longlist[Mat. Cat. 2]
))</f>
        <v>Sucre</v>
      </c>
      <c r="E178" s="41" t="str" cm="1">
        <f t="array" ref="E178">IF(_xlfn.XLOOKUP(
  1,
  (Lists3.1_Longlist[IUD]=Lists3.1_Shortlist[[#This Row],[IUD]]) *
  (Lists3.1_Longlist[Language]=Language),
  Lists3.1_Longlist[Mat. Cat. 3]
)=0,"",_xlfn.XLOOKUP(
  1,
  (Lists3.1_Longlist[IUD]=Lists3.1_Shortlist[[#This Row],[IUD]]) *
  (Lists3.1_Longlist[Language]=Language),
  Lists3.1_Longlist[Mat. Cat. 3]
))</f>
        <v/>
      </c>
      <c r="F178" s="32" t="s">
        <v>88</v>
      </c>
      <c r="G178" s="32" t="s">
        <v>28134</v>
      </c>
      <c r="H178" s="30"/>
      <c r="I178" s="30"/>
      <c r="J178" s="30"/>
      <c r="K178" s="30"/>
      <c r="L178" s="30"/>
      <c r="M178" s="30"/>
      <c r="N178" s="30"/>
      <c r="O178" s="30"/>
      <c r="P178" s="30"/>
      <c r="Q178" s="30"/>
      <c r="R178" s="30"/>
      <c r="S178" s="30"/>
      <c r="T178" s="30"/>
      <c r="U178" s="30"/>
      <c r="V178" s="30"/>
      <c r="W178" s="30"/>
      <c r="X178" s="30"/>
      <c r="Y178" s="30"/>
    </row>
    <row r="179" spans="1:25" x14ac:dyDescent="0.25">
      <c r="A179" s="30"/>
      <c r="B179" s="41" t="s">
        <v>1069</v>
      </c>
      <c r="C179" s="41" t="str" cm="1">
        <f t="array" ref="C179">_xlfn.XLOOKUP(
  1,
  (Lists3.1_Longlist[IUD]=Lists3.1_Shortlist[[#This Row],[IUD]]) *
  (Lists3.1_Longlist[Language]=Language),
  Lists3.1_Longlist[Mat. Cat 1]
)</f>
        <v>Nourriture</v>
      </c>
      <c r="D179" s="41" t="str" cm="1">
        <f t="array" ref="D179">IF(_xlfn.XLOOKUP(
  1,
  (Lists3.1_Longlist[IUD]=Lists3.1_Shortlist[[#This Row],[IUD]]) *
  (Lists3.1_Longlist[Language]=Language),
  Lists3.1_Longlist[Mat. Cat. 2]
)=0,"",_xlfn.XLOOKUP(
  1,
  (Lists3.1_Longlist[IUD]=Lists3.1_Shortlist[[#This Row],[IUD]]) *
  (Lists3.1_Longlist[Language]=Language),
  Lists3.1_Longlist[Mat. Cat. 2]
))</f>
        <v>Sucre</v>
      </c>
      <c r="E179" s="41" t="str" cm="1">
        <f t="array" ref="E179">IF(_xlfn.XLOOKUP(
  1,
  (Lists3.1_Longlist[IUD]=Lists3.1_Shortlist[[#This Row],[IUD]]) *
  (Lists3.1_Longlist[Language]=Language),
  Lists3.1_Longlist[Mat. Cat. 3]
)=0,"",_xlfn.XLOOKUP(
  1,
  (Lists3.1_Longlist[IUD]=Lists3.1_Shortlist[[#This Row],[IUD]]) *
  (Lists3.1_Longlist[Language]=Language),
  Lists3.1_Longlist[Mat. Cat. 3]
))</f>
        <v>Sucre (issu de la canne à sucre)</v>
      </c>
      <c r="F179" s="32" t="s">
        <v>88</v>
      </c>
      <c r="G179" s="32" t="s">
        <v>28135</v>
      </c>
      <c r="H179" s="30"/>
      <c r="I179" s="30"/>
      <c r="J179" s="30"/>
      <c r="K179" s="30"/>
      <c r="L179" s="30"/>
      <c r="M179" s="30"/>
      <c r="N179" s="30"/>
      <c r="O179" s="30"/>
      <c r="P179" s="30"/>
      <c r="Q179" s="30"/>
      <c r="R179" s="30"/>
      <c r="S179" s="30"/>
      <c r="T179" s="30"/>
      <c r="U179" s="30"/>
      <c r="V179" s="30"/>
      <c r="W179" s="30"/>
      <c r="X179" s="30"/>
      <c r="Y179" s="30"/>
    </row>
    <row r="180" spans="1:25" x14ac:dyDescent="0.25">
      <c r="A180" s="30"/>
      <c r="B180" s="41" t="s">
        <v>1068</v>
      </c>
      <c r="C180" s="41" t="str" cm="1">
        <f t="array" ref="C180">_xlfn.XLOOKUP(
  1,
  (Lists3.1_Longlist[IUD]=Lists3.1_Shortlist[[#This Row],[IUD]]) *
  (Lists3.1_Longlist[Language]=Language),
  Lists3.1_Longlist[Mat. Cat 1]
)</f>
        <v>Nourriture</v>
      </c>
      <c r="D180" s="41" t="str" cm="1">
        <f t="array" ref="D180">IF(_xlfn.XLOOKUP(
  1,
  (Lists3.1_Longlist[IUD]=Lists3.1_Shortlist[[#This Row],[IUD]]) *
  (Lists3.1_Longlist[Language]=Language),
  Lists3.1_Longlist[Mat. Cat. 2]
)=0,"",_xlfn.XLOOKUP(
  1,
  (Lists3.1_Longlist[IUD]=Lists3.1_Shortlist[[#This Row],[IUD]]) *
  (Lists3.1_Longlist[Language]=Language),
  Lists3.1_Longlist[Mat. Cat. 2]
))</f>
        <v>Sucre</v>
      </c>
      <c r="E180" s="41" t="str" cm="1">
        <f t="array" ref="E180">IF(_xlfn.XLOOKUP(
  1,
  (Lists3.1_Longlist[IUD]=Lists3.1_Shortlist[[#This Row],[IUD]]) *
  (Lists3.1_Longlist[Language]=Language),
  Lists3.1_Longlist[Mat. Cat. 3]
)=0,"",_xlfn.XLOOKUP(
  1,
  (Lists3.1_Longlist[IUD]=Lists3.1_Shortlist[[#This Row],[IUD]]) *
  (Lists3.1_Longlist[Language]=Language),
  Lists3.1_Longlist[Mat. Cat. 3]
))</f>
        <v>Le sucre (issu de la betterave sucrière)</v>
      </c>
      <c r="F180" s="32" t="s">
        <v>88</v>
      </c>
      <c r="G180" s="32" t="s">
        <v>28136</v>
      </c>
      <c r="H180" s="30"/>
      <c r="I180" s="30"/>
      <c r="J180" s="30"/>
      <c r="K180" s="30"/>
      <c r="L180" s="30"/>
      <c r="M180" s="30"/>
      <c r="N180" s="30"/>
      <c r="O180" s="30"/>
      <c r="P180" s="30"/>
      <c r="Q180" s="30"/>
      <c r="R180" s="30"/>
      <c r="S180" s="30"/>
      <c r="T180" s="30"/>
      <c r="U180" s="30"/>
      <c r="V180" s="30"/>
      <c r="W180" s="30"/>
      <c r="X180" s="30"/>
      <c r="Y180" s="30"/>
    </row>
    <row r="181" spans="1:25" x14ac:dyDescent="0.25">
      <c r="A181" s="30"/>
      <c r="B181" s="41" t="s">
        <v>1070</v>
      </c>
      <c r="C181" s="41" t="str" cm="1">
        <f t="array" ref="C181">_xlfn.XLOOKUP(
  1,
  (Lists3.1_Longlist[IUD]=Lists3.1_Shortlist[[#This Row],[IUD]]) *
  (Lists3.1_Longlist[Language]=Language),
  Lists3.1_Longlist[Mat. Cat 1]
)</f>
        <v>Métaux</v>
      </c>
      <c r="D181" s="41" t="str" cm="1">
        <f t="array" ref="D181">IF(_xlfn.XLOOKUP(
  1,
  (Lists3.1_Longlist[IUD]=Lists3.1_Shortlist[[#This Row],[IUD]]) *
  (Lists3.1_Longlist[Language]=Language),
  Lists3.1_Longlist[Mat. Cat. 2]
)=0,"",_xlfn.XLOOKUP(
  1,
  (Lists3.1_Longlist[IUD]=Lists3.1_Shortlist[[#This Row],[IUD]]) *
  (Lists3.1_Longlist[Language]=Language),
  Lists3.1_Longlist[Mat. Cat. 2]
))</f>
        <v>Alliages</v>
      </c>
      <c r="E181" s="41" t="str" cm="1">
        <f t="array" ref="E181">IF(_xlfn.XLOOKUP(
  1,
  (Lists3.1_Longlist[IUD]=Lists3.1_Shortlist[[#This Row],[IUD]]) *
  (Lists3.1_Longlist[Language]=Language),
  Lists3.1_Longlist[Mat. Cat. 3]
)=0,"",_xlfn.XLOOKUP(
  1,
  (Lists3.1_Longlist[IUD]=Lists3.1_Shortlist[[#This Row],[IUD]]) *
  (Lists3.1_Longlist[Language]=Language),
  Lists3.1_Longlist[Mat. Cat. 3]
))</f>
        <v/>
      </c>
      <c r="F181" s="32" t="s">
        <v>88</v>
      </c>
      <c r="G181" s="32" t="s">
        <v>28137</v>
      </c>
      <c r="H181" s="30"/>
      <c r="I181" s="30"/>
      <c r="J181" s="30"/>
      <c r="K181" s="30"/>
      <c r="L181" s="30"/>
      <c r="M181" s="30"/>
      <c r="N181" s="30"/>
      <c r="O181" s="30"/>
      <c r="P181" s="30"/>
      <c r="Q181" s="30"/>
      <c r="R181" s="30"/>
      <c r="S181" s="30"/>
      <c r="T181" s="30"/>
      <c r="U181" s="30"/>
      <c r="V181" s="30"/>
      <c r="W181" s="30"/>
      <c r="X181" s="30"/>
      <c r="Y181" s="30"/>
    </row>
    <row r="182" spans="1:25" x14ac:dyDescent="0.25">
      <c r="A182" s="30"/>
      <c r="B182" s="41" t="s">
        <v>1071</v>
      </c>
      <c r="C182" s="41" t="str" cm="1">
        <f t="array" ref="C182">_xlfn.XLOOKUP(
  1,
  (Lists3.1_Longlist[IUD]=Lists3.1_Shortlist[[#This Row],[IUD]]) *
  (Lists3.1_Longlist[Language]=Language),
  Lists3.1_Longlist[Mat. Cat 1]
)</f>
        <v>Métaux</v>
      </c>
      <c r="D182" s="41" t="str" cm="1">
        <f t="array" ref="D182">IF(_xlfn.XLOOKUP(
  1,
  (Lists3.1_Longlist[IUD]=Lists3.1_Shortlist[[#This Row],[IUD]]) *
  (Lists3.1_Longlist[Language]=Language),
  Lists3.1_Longlist[Mat. Cat. 2]
)=0,"",_xlfn.XLOOKUP(
  1,
  (Lists3.1_Longlist[IUD]=Lists3.1_Shortlist[[#This Row],[IUD]]) *
  (Lists3.1_Longlist[Language]=Language),
  Lists3.1_Longlist[Mat. Cat. 2]
))</f>
        <v>Alliages</v>
      </c>
      <c r="E182" s="41" t="str" cm="1">
        <f t="array" ref="E182">IF(_xlfn.XLOOKUP(
  1,
  (Lists3.1_Longlist[IUD]=Lists3.1_Shortlist[[#This Row],[IUD]]) *
  (Lists3.1_Longlist[Language]=Language),
  Lists3.1_Longlist[Mat. Cat. 3]
)=0,"",_xlfn.XLOOKUP(
  1,
  (Lists3.1_Longlist[IUD]=Lists3.1_Shortlist[[#This Row],[IUD]]) *
  (Lists3.1_Longlist[Language]=Language),
  Lists3.1_Longlist[Mat. Cat. 3]
))</f>
        <v>Alliage d’aluminium</v>
      </c>
      <c r="F182" s="32" t="s">
        <v>88</v>
      </c>
      <c r="G182" s="32" t="s">
        <v>28138</v>
      </c>
      <c r="H182" s="30"/>
      <c r="I182" s="30"/>
      <c r="J182" s="30"/>
      <c r="K182" s="30"/>
      <c r="L182" s="30"/>
      <c r="M182" s="30"/>
      <c r="N182" s="30"/>
      <c r="O182" s="30"/>
      <c r="P182" s="30"/>
      <c r="Q182" s="30"/>
      <c r="R182" s="30"/>
      <c r="S182" s="30"/>
      <c r="T182" s="30"/>
      <c r="U182" s="30"/>
      <c r="V182" s="30"/>
      <c r="W182" s="30"/>
      <c r="X182" s="30"/>
      <c r="Y182" s="30"/>
    </row>
    <row r="183" spans="1:25" x14ac:dyDescent="0.25">
      <c r="A183" s="30"/>
      <c r="B183" s="41" t="s">
        <v>1070</v>
      </c>
      <c r="C183" s="41" t="str" cm="1">
        <f t="array" ref="C183">_xlfn.XLOOKUP(
  1,
  (Lists3.1_Longlist[IUD]=Lists3.1_Shortlist[[#This Row],[IUD]]) *
  (Lists3.1_Longlist[Language]=Language),
  Lists3.1_Longlist[Mat. Cat 1]
)</f>
        <v>Métaux</v>
      </c>
      <c r="D183" s="41" t="str" cm="1">
        <f t="array" ref="D183">IF(_xlfn.XLOOKUP(
  1,
  (Lists3.1_Longlist[IUD]=Lists3.1_Shortlist[[#This Row],[IUD]]) *
  (Lists3.1_Longlist[Language]=Language),
  Lists3.1_Longlist[Mat. Cat. 2]
)=0,"",_xlfn.XLOOKUP(
  1,
  (Lists3.1_Longlist[IUD]=Lists3.1_Shortlist[[#This Row],[IUD]]) *
  (Lists3.1_Longlist[Language]=Language),
  Lists3.1_Longlist[Mat. Cat. 2]
))</f>
        <v>Alliages</v>
      </c>
      <c r="E183" s="41" t="str" cm="1">
        <f t="array" ref="E183">IF(_xlfn.XLOOKUP(
  1,
  (Lists3.1_Longlist[IUD]=Lists3.1_Shortlist[[#This Row],[IUD]]) *
  (Lists3.1_Longlist[Language]=Language),
  Lists3.1_Longlist[Mat. Cat. 3]
)=0,"",_xlfn.XLOOKUP(
  1,
  (Lists3.1_Longlist[IUD]=Lists3.1_Shortlist[[#This Row],[IUD]]) *
  (Lists3.1_Longlist[Language]=Language),
  Lists3.1_Longlist[Mat. Cat. 3]
))</f>
        <v>Aluminium, alliage coulé</v>
      </c>
      <c r="F183" s="32" t="s">
        <v>88</v>
      </c>
      <c r="G183" s="32" t="s">
        <v>28139</v>
      </c>
      <c r="H183" s="30"/>
      <c r="I183" s="30"/>
      <c r="J183" s="30"/>
      <c r="K183" s="30"/>
      <c r="L183" s="30"/>
      <c r="M183" s="30"/>
      <c r="N183" s="30"/>
      <c r="O183" s="30"/>
      <c r="P183" s="30"/>
      <c r="Q183" s="30"/>
      <c r="R183" s="30"/>
      <c r="S183" s="30"/>
      <c r="T183" s="30"/>
      <c r="U183" s="30"/>
      <c r="V183" s="30"/>
      <c r="W183" s="30"/>
      <c r="X183" s="30"/>
      <c r="Y183" s="30"/>
    </row>
    <row r="184" spans="1:25" x14ac:dyDescent="0.25">
      <c r="A184" s="30"/>
      <c r="B184" s="41" t="s">
        <v>1072</v>
      </c>
      <c r="C184" s="41" t="str" cm="1">
        <f t="array" ref="C184">_xlfn.XLOOKUP(
  1,
  (Lists3.1_Longlist[IUD]=Lists3.1_Shortlist[[#This Row],[IUD]]) *
  (Lists3.1_Longlist[Language]=Language),
  Lists3.1_Longlist[Mat. Cat 1]
)</f>
        <v>Métaux</v>
      </c>
      <c r="D184" s="41" t="str" cm="1">
        <f t="array" ref="D184">IF(_xlfn.XLOOKUP(
  1,
  (Lists3.1_Longlist[IUD]=Lists3.1_Shortlist[[#This Row],[IUD]]) *
  (Lists3.1_Longlist[Language]=Language),
  Lists3.1_Longlist[Mat. Cat. 2]
)=0,"",_xlfn.XLOOKUP(
  1,
  (Lists3.1_Longlist[IUD]=Lists3.1_Shortlist[[#This Row],[IUD]]) *
  (Lists3.1_Longlist[Language]=Language),
  Lists3.1_Longlist[Mat. Cat. 2]
))</f>
        <v>Alliages</v>
      </c>
      <c r="E184" s="41" t="str" cm="1">
        <f t="array" ref="E184">IF(_xlfn.XLOOKUP(
  1,
  (Lists3.1_Longlist[IUD]=Lists3.1_Shortlist[[#This Row],[IUD]]) *
  (Lists3.1_Longlist[Language]=Language),
  Lists3.1_Longlist[Mat. Cat. 3]
)=0,"",_xlfn.XLOOKUP(
  1,
  (Lists3.1_Longlist[IUD]=Lists3.1_Shortlist[[#This Row],[IUD]]) *
  (Lists3.1_Longlist[Language]=Language),
  Lists3.1_Longlist[Mat. Cat. 3]
))</f>
        <v>Aluminium, alliage coulé (recyclage)</v>
      </c>
      <c r="F184" s="32" t="s">
        <v>88</v>
      </c>
      <c r="G184" s="32" t="s">
        <v>28140</v>
      </c>
      <c r="H184" s="44"/>
      <c r="I184" s="30"/>
      <c r="J184" s="30"/>
      <c r="K184" s="30"/>
      <c r="L184" s="30"/>
      <c r="M184" s="30"/>
      <c r="N184" s="30"/>
      <c r="O184" s="30"/>
      <c r="P184" s="30"/>
      <c r="Q184" s="30"/>
      <c r="R184" s="30"/>
      <c r="S184" s="30"/>
      <c r="T184" s="30"/>
      <c r="U184" s="30"/>
      <c r="V184" s="30"/>
      <c r="W184" s="30"/>
      <c r="X184" s="30"/>
      <c r="Y184" s="30"/>
    </row>
    <row r="185" spans="1:25" x14ac:dyDescent="0.25">
      <c r="A185" s="30"/>
      <c r="B185" s="41" t="s">
        <v>1073</v>
      </c>
      <c r="C185" s="41" t="str" cm="1">
        <f t="array" ref="C185">_xlfn.XLOOKUP(
  1,
  (Lists3.1_Longlist[IUD]=Lists3.1_Shortlist[[#This Row],[IUD]]) *
  (Lists3.1_Longlist[Language]=Language),
  Lists3.1_Longlist[Mat. Cat 1]
)</f>
        <v>Métaux</v>
      </c>
      <c r="D185" s="41" t="str" cm="1">
        <f t="array" ref="D185">IF(_xlfn.XLOOKUP(
  1,
  (Lists3.1_Longlist[IUD]=Lists3.1_Shortlist[[#This Row],[IUD]]) *
  (Lists3.1_Longlist[Language]=Language),
  Lists3.1_Longlist[Mat. Cat. 2]
)=0,"",_xlfn.XLOOKUP(
  1,
  (Lists3.1_Longlist[IUD]=Lists3.1_Shortlist[[#This Row],[IUD]]) *
  (Lists3.1_Longlist[Language]=Language),
  Lists3.1_Longlist[Mat. Cat. 2]
))</f>
        <v>Alliages</v>
      </c>
      <c r="E185" s="41" t="str" cm="1">
        <f t="array" ref="E185">IF(_xlfn.XLOOKUP(
  1,
  (Lists3.1_Longlist[IUD]=Lists3.1_Shortlist[[#This Row],[IUD]]) *
  (Lists3.1_Longlist[Language]=Language),
  Lists3.1_Longlist[Mat. Cat. 3]
)=0,"",_xlfn.XLOOKUP(
  1,
  (Lists3.1_Longlist[IUD]=Lists3.1_Shortlist[[#This Row],[IUD]]) *
  (Lists3.1_Longlist[Language]=Language),
  Lists3.1_Longlist[Mat. Cat. 3]
))</f>
        <v>Alliage fer-nickel-chrome</v>
      </c>
      <c r="F185" s="32" t="s">
        <v>88</v>
      </c>
      <c r="G185" s="32" t="s">
        <v>28141</v>
      </c>
      <c r="H185" s="30"/>
      <c r="I185" s="30"/>
      <c r="J185" s="30"/>
      <c r="K185" s="30"/>
      <c r="L185" s="30"/>
      <c r="M185" s="30"/>
      <c r="N185" s="30"/>
      <c r="O185" s="30"/>
      <c r="P185" s="30"/>
      <c r="Q185" s="30"/>
      <c r="R185" s="30"/>
      <c r="S185" s="30"/>
      <c r="T185" s="30"/>
      <c r="U185" s="30"/>
      <c r="V185" s="30"/>
      <c r="W185" s="30"/>
      <c r="X185" s="30"/>
      <c r="Y185" s="30"/>
    </row>
    <row r="186" spans="1:25" x14ac:dyDescent="0.25">
      <c r="A186" s="30"/>
      <c r="B186" s="41" t="s">
        <v>1074</v>
      </c>
      <c r="C186" s="41" t="str" cm="1">
        <f t="array" ref="C186">_xlfn.XLOOKUP(
  1,
  (Lists3.1_Longlist[IUD]=Lists3.1_Shortlist[[#This Row],[IUD]]) *
  (Lists3.1_Longlist[Language]=Language),
  Lists3.1_Longlist[Mat. Cat 1]
)</f>
        <v>Métaux</v>
      </c>
      <c r="D186" s="41" t="str" cm="1">
        <f t="array" ref="D186">IF(_xlfn.XLOOKUP(
  1,
  (Lists3.1_Longlist[IUD]=Lists3.1_Shortlist[[#This Row],[IUD]]) *
  (Lists3.1_Longlist[Language]=Language),
  Lists3.1_Longlist[Mat. Cat. 2]
)=0,"",_xlfn.XLOOKUP(
  1,
  (Lists3.1_Longlist[IUD]=Lists3.1_Shortlist[[#This Row],[IUD]]) *
  (Lists3.1_Longlist[Language]=Language),
  Lists3.1_Longlist[Mat. Cat. 2]
))</f>
        <v>Alliages</v>
      </c>
      <c r="E186" s="41" t="str" cm="1">
        <f t="array" ref="E186">IF(_xlfn.XLOOKUP(
  1,
  (Lists3.1_Longlist[IUD]=Lists3.1_Shortlist[[#This Row],[IUD]]) *
  (Lists3.1_Longlist[Language]=Language),
  Lists3.1_Longlist[Mat. Cat. 3]
)=0,"",_xlfn.XLOOKUP(
  1,
  (Lists3.1_Longlist[IUD]=Lists3.1_Shortlist[[#This Row],[IUD]]) *
  (Lists3.1_Longlist[Language]=Language),
  Lists3.1_Longlist[Mat. Cat. 3]
))</f>
        <v>Alliage de magnésium</v>
      </c>
      <c r="F186" s="32" t="s">
        <v>88</v>
      </c>
      <c r="G186" s="32" t="s">
        <v>28142</v>
      </c>
      <c r="H186" s="30"/>
      <c r="I186" s="30"/>
      <c r="J186" s="30"/>
      <c r="K186" s="30"/>
      <c r="L186" s="30"/>
      <c r="M186" s="30"/>
      <c r="N186" s="30"/>
      <c r="O186" s="30"/>
      <c r="P186" s="30"/>
      <c r="Q186" s="30"/>
      <c r="R186" s="30"/>
      <c r="S186" s="30"/>
      <c r="T186" s="30"/>
      <c r="U186" s="30"/>
      <c r="V186" s="30"/>
      <c r="W186" s="30"/>
      <c r="X186" s="30"/>
      <c r="Y186" s="30"/>
    </row>
    <row r="187" spans="1:25" x14ac:dyDescent="0.25">
      <c r="A187" s="30"/>
      <c r="B187" s="41" t="s">
        <v>1075</v>
      </c>
      <c r="C187" s="41" t="str" cm="1">
        <f t="array" ref="C187">_xlfn.XLOOKUP(
  1,
  (Lists3.1_Longlist[IUD]=Lists3.1_Shortlist[[#This Row],[IUD]]) *
  (Lists3.1_Longlist[Language]=Language),
  Lists3.1_Longlist[Mat. Cat 1]
)</f>
        <v>Métaux</v>
      </c>
      <c r="D187" s="41" t="str" cm="1">
        <f t="array" ref="D187">IF(_xlfn.XLOOKUP(
  1,
  (Lists3.1_Longlist[IUD]=Lists3.1_Shortlist[[#This Row],[IUD]]) *
  (Lists3.1_Longlist[Language]=Language),
  Lists3.1_Longlist[Mat. Cat. 2]
)=0,"",_xlfn.XLOOKUP(
  1,
  (Lists3.1_Longlist[IUD]=Lists3.1_Shortlist[[#This Row],[IUD]]) *
  (Lists3.1_Longlist[Language]=Language),
  Lists3.1_Longlist[Mat. Cat. 2]
))</f>
        <v>Alliages</v>
      </c>
      <c r="E187" s="41" t="str" cm="1">
        <f t="array" ref="E187">IF(_xlfn.XLOOKUP(
  1,
  (Lists3.1_Longlist[IUD]=Lists3.1_Shortlist[[#This Row],[IUD]]) *
  (Lists3.1_Longlist[Language]=Language),
  Lists3.1_Longlist[Mat. Cat. 3]
)=0,"",_xlfn.XLOOKUP(
  1,
  (Lists3.1_Longlist[IUD]=Lists3.1_Shortlist[[#This Row],[IUD]]) *
  (Lists3.1_Longlist[Language]=Language),
  Lists3.1_Longlist[Mat. Cat. 3]
))</f>
        <v>Ferrochrome</v>
      </c>
      <c r="F187" s="32" t="s">
        <v>88</v>
      </c>
      <c r="G187" s="32" t="s">
        <v>28143</v>
      </c>
      <c r="H187" s="44"/>
      <c r="I187" s="30"/>
      <c r="J187" s="30"/>
      <c r="K187" s="30"/>
      <c r="L187" s="30"/>
      <c r="M187" s="30"/>
      <c r="N187" s="30"/>
      <c r="O187" s="30"/>
      <c r="P187" s="30"/>
      <c r="Q187" s="30"/>
      <c r="R187" s="30"/>
      <c r="S187" s="30"/>
      <c r="T187" s="30"/>
      <c r="U187" s="30"/>
      <c r="V187" s="30"/>
      <c r="W187" s="30"/>
      <c r="X187" s="30"/>
      <c r="Y187" s="30"/>
    </row>
    <row r="188" spans="1:25" x14ac:dyDescent="0.25">
      <c r="A188" s="30"/>
      <c r="B188" s="41" t="s">
        <v>1076</v>
      </c>
      <c r="C188" s="41" t="str" cm="1">
        <f t="array" ref="C188">_xlfn.XLOOKUP(
  1,
  (Lists3.1_Longlist[IUD]=Lists3.1_Shortlist[[#This Row],[IUD]]) *
  (Lists3.1_Longlist[Language]=Language),
  Lists3.1_Longlist[Mat. Cat 1]
)</f>
        <v>Métaux</v>
      </c>
      <c r="D188" s="41" t="str" cm="1">
        <f t="array" ref="D188">IF(_xlfn.XLOOKUP(
  1,
  (Lists3.1_Longlist[IUD]=Lists3.1_Shortlist[[#This Row],[IUD]]) *
  (Lists3.1_Longlist[Language]=Language),
  Lists3.1_Longlist[Mat. Cat. 2]
)=0,"",_xlfn.XLOOKUP(
  1,
  (Lists3.1_Longlist[IUD]=Lists3.1_Shortlist[[#This Row],[IUD]]) *
  (Lists3.1_Longlist[Language]=Language),
  Lists3.1_Longlist[Mat. Cat. 2]
))</f>
        <v>Alliages</v>
      </c>
      <c r="E188" s="41" t="str" cm="1">
        <f t="array" ref="E188">IF(_xlfn.XLOOKUP(
  1,
  (Lists3.1_Longlist[IUD]=Lists3.1_Shortlist[[#This Row],[IUD]]) *
  (Lists3.1_Longlist[Language]=Language),
  Lists3.1_Longlist[Mat. Cat. 3]
)=0,"",_xlfn.XLOOKUP(
  1,
  (Lists3.1_Longlist[IUD]=Lists3.1_Shortlist[[#This Row],[IUD]]) *
  (Lists3.1_Longlist[Language]=Language),
  Lists3.1_Longlist[Mat. Cat. 3]
))</f>
        <v>Ferromanganèse</v>
      </c>
      <c r="F188" s="32" t="s">
        <v>88</v>
      </c>
      <c r="G188" s="32" t="s">
        <v>28144</v>
      </c>
      <c r="H188" s="44"/>
      <c r="I188" s="30"/>
      <c r="J188" s="30"/>
      <c r="K188" s="30"/>
      <c r="L188" s="30"/>
      <c r="M188" s="30"/>
      <c r="N188" s="30"/>
      <c r="O188" s="30"/>
      <c r="P188" s="30"/>
      <c r="Q188" s="30"/>
      <c r="R188" s="30"/>
      <c r="S188" s="30"/>
      <c r="T188" s="30"/>
      <c r="U188" s="30"/>
      <c r="V188" s="30"/>
      <c r="W188" s="30"/>
      <c r="X188" s="30"/>
      <c r="Y188" s="30"/>
    </row>
    <row r="189" spans="1:25" x14ac:dyDescent="0.25">
      <c r="A189" s="30"/>
      <c r="B189" s="41" t="s">
        <v>1077</v>
      </c>
      <c r="C189" s="41" t="str" cm="1">
        <f t="array" ref="C189">_xlfn.XLOOKUP(
  1,
  (Lists3.1_Longlist[IUD]=Lists3.1_Shortlist[[#This Row],[IUD]]) *
  (Lists3.1_Longlist[Language]=Language),
  Lists3.1_Longlist[Mat. Cat 1]
)</f>
        <v>Métaux</v>
      </c>
      <c r="D189" s="41" t="str" cm="1">
        <f t="array" ref="D189">IF(_xlfn.XLOOKUP(
  1,
  (Lists3.1_Longlist[IUD]=Lists3.1_Shortlist[[#This Row],[IUD]]) *
  (Lists3.1_Longlist[Language]=Language),
  Lists3.1_Longlist[Mat. Cat. 2]
)=0,"",_xlfn.XLOOKUP(
  1,
  (Lists3.1_Longlist[IUD]=Lists3.1_Shortlist[[#This Row],[IUD]]) *
  (Lists3.1_Longlist[Language]=Language),
  Lists3.1_Longlist[Mat. Cat. 2]
))</f>
        <v>Alliages</v>
      </c>
      <c r="E189" s="41" t="str" cm="1">
        <f t="array" ref="E189">IF(_xlfn.XLOOKUP(
  1,
  (Lists3.1_Longlist[IUD]=Lists3.1_Shortlist[[#This Row],[IUD]]) *
  (Lists3.1_Longlist[Language]=Language),
  Lists3.1_Longlist[Mat. Cat. 3]
)=0,"",_xlfn.XLOOKUP(
  1,
  (Lists3.1_Longlist[IUD]=Lists3.1_Shortlist[[#This Row],[IUD]]) *
  (Lists3.1_Longlist[Language]=Language),
  Lists3.1_Longlist[Mat. Cat. 3]
))</f>
        <v>Ferronickel</v>
      </c>
      <c r="F189" s="32" t="s">
        <v>88</v>
      </c>
      <c r="G189" s="32" t="s">
        <v>28145</v>
      </c>
      <c r="H189" s="44"/>
      <c r="I189" s="30"/>
      <c r="J189" s="30"/>
      <c r="K189" s="30"/>
      <c r="L189" s="30"/>
      <c r="M189" s="30"/>
      <c r="N189" s="30"/>
      <c r="O189" s="30"/>
      <c r="P189" s="30"/>
      <c r="Q189" s="30"/>
      <c r="R189" s="30"/>
      <c r="S189" s="30"/>
      <c r="T189" s="30"/>
      <c r="U189" s="30"/>
      <c r="V189" s="30"/>
      <c r="W189" s="30"/>
      <c r="X189" s="30"/>
      <c r="Y189" s="30"/>
    </row>
    <row r="190" spans="1:25" x14ac:dyDescent="0.25">
      <c r="A190" s="30"/>
      <c r="B190" s="41" t="s">
        <v>1078</v>
      </c>
      <c r="C190" s="41" t="str" cm="1">
        <f t="array" ref="C190">_xlfn.XLOOKUP(
  1,
  (Lists3.1_Longlist[IUD]=Lists3.1_Shortlist[[#This Row],[IUD]]) *
  (Lists3.1_Longlist[Language]=Language),
  Lists3.1_Longlist[Mat. Cat 1]
)</f>
        <v>Métaux</v>
      </c>
      <c r="D190" s="41" t="str" cm="1">
        <f t="array" ref="D190">IF(_xlfn.XLOOKUP(
  1,
  (Lists3.1_Longlist[IUD]=Lists3.1_Shortlist[[#This Row],[IUD]]) *
  (Lists3.1_Longlist[Language]=Language),
  Lists3.1_Longlist[Mat. Cat. 2]
)=0,"",_xlfn.XLOOKUP(
  1,
  (Lists3.1_Longlist[IUD]=Lists3.1_Shortlist[[#This Row],[IUD]]) *
  (Lists3.1_Longlist[Language]=Language),
  Lists3.1_Longlist[Mat. Cat. 2]
))</f>
        <v>Fer</v>
      </c>
      <c r="E190" s="41" t="str" cm="1">
        <f t="array" ref="E190">IF(_xlfn.XLOOKUP(
  1,
  (Lists3.1_Longlist[IUD]=Lists3.1_Shortlist[[#This Row],[IUD]]) *
  (Lists3.1_Longlist[Language]=Language),
  Lists3.1_Longlist[Mat. Cat. 3]
)=0,"",_xlfn.XLOOKUP(
  1,
  (Lists3.1_Longlist[IUD]=Lists3.1_Shortlist[[#This Row],[IUD]]) *
  (Lists3.1_Longlist[Language]=Language),
  Lists3.1_Longlist[Mat. Cat. 3]
))</f>
        <v/>
      </c>
      <c r="F190" s="32" t="s">
        <v>88</v>
      </c>
      <c r="G190" s="32" t="s">
        <v>28146</v>
      </c>
      <c r="H190" s="44"/>
      <c r="I190" s="30"/>
      <c r="J190" s="30"/>
      <c r="K190" s="30"/>
      <c r="L190" s="30"/>
      <c r="M190" s="30"/>
      <c r="N190" s="30"/>
      <c r="O190" s="30"/>
      <c r="P190" s="30"/>
      <c r="Q190" s="30"/>
      <c r="R190" s="30"/>
      <c r="S190" s="30"/>
      <c r="T190" s="30"/>
      <c r="U190" s="30"/>
      <c r="V190" s="30"/>
      <c r="W190" s="30"/>
      <c r="X190" s="30"/>
      <c r="Y190" s="30"/>
    </row>
    <row r="191" spans="1:25" x14ac:dyDescent="0.25">
      <c r="A191" s="30"/>
      <c r="B191" s="41" t="s">
        <v>1079</v>
      </c>
      <c r="C191" s="41" t="str" cm="1">
        <f t="array" ref="C191">_xlfn.XLOOKUP(
  1,
  (Lists3.1_Longlist[IUD]=Lists3.1_Shortlist[[#This Row],[IUD]]) *
  (Lists3.1_Longlist[Language]=Language),
  Lists3.1_Longlist[Mat. Cat 1]
)</f>
        <v>Métaux</v>
      </c>
      <c r="D191" s="41" t="str" cm="1">
        <f t="array" ref="D191">IF(_xlfn.XLOOKUP(
  1,
  (Lists3.1_Longlist[IUD]=Lists3.1_Shortlist[[#This Row],[IUD]]) *
  (Lists3.1_Longlist[Language]=Language),
  Lists3.1_Longlist[Mat. Cat. 2]
)=0,"",_xlfn.XLOOKUP(
  1,
  (Lists3.1_Longlist[IUD]=Lists3.1_Shortlist[[#This Row],[IUD]]) *
  (Lists3.1_Longlist[Language]=Language),
  Lists3.1_Longlist[Mat. Cat. 2]
))</f>
        <v>Fer</v>
      </c>
      <c r="E191" s="41" t="str" cm="1">
        <f t="array" ref="E191">IF(_xlfn.XLOOKUP(
  1,
  (Lists3.1_Longlist[IUD]=Lists3.1_Shortlist[[#This Row],[IUD]]) *
  (Lists3.1_Longlist[Language]=Language),
  Lists3.1_Longlist[Mat. Cat. 3]
)=0,"",_xlfn.XLOOKUP(
  1,
  (Lists3.1_Longlist[IUD]=Lists3.1_Shortlist[[#This Row],[IUD]]) *
  (Lists3.1_Longlist[Language]=Language),
  Lists3.1_Longlist[Mat. Cat. 3]
))</f>
        <v>Fonte</v>
      </c>
      <c r="F191" s="32" t="s">
        <v>88</v>
      </c>
      <c r="G191" s="32" t="s">
        <v>28147</v>
      </c>
      <c r="H191" s="30"/>
      <c r="I191" s="30"/>
      <c r="J191" s="30"/>
      <c r="K191" s="30"/>
      <c r="L191" s="30"/>
      <c r="M191" s="30"/>
      <c r="N191" s="30"/>
      <c r="O191" s="30"/>
      <c r="P191" s="30"/>
      <c r="Q191" s="30"/>
      <c r="R191" s="30"/>
      <c r="S191" s="30"/>
      <c r="T191" s="30"/>
      <c r="U191" s="30"/>
      <c r="V191" s="30"/>
      <c r="W191" s="30"/>
      <c r="X191" s="30"/>
      <c r="Y191" s="30"/>
    </row>
    <row r="192" spans="1:25" x14ac:dyDescent="0.25">
      <c r="A192" s="30"/>
      <c r="B192" s="41" t="s">
        <v>1080</v>
      </c>
      <c r="C192" s="41" t="str" cm="1">
        <f t="array" ref="C192">_xlfn.XLOOKUP(
  1,
  (Lists3.1_Longlist[IUD]=Lists3.1_Shortlist[[#This Row],[IUD]]) *
  (Lists3.1_Longlist[Language]=Language),
  Lists3.1_Longlist[Mat. Cat 1]
)</f>
        <v>Métaux</v>
      </c>
      <c r="D192" s="41" t="str" cm="1">
        <f t="array" ref="D192">IF(_xlfn.XLOOKUP(
  1,
  (Lists3.1_Longlist[IUD]=Lists3.1_Shortlist[[#This Row],[IUD]]) *
  (Lists3.1_Longlist[Language]=Language),
  Lists3.1_Longlist[Mat. Cat. 2]
)=0,"",_xlfn.XLOOKUP(
  1,
  (Lists3.1_Longlist[IUD]=Lists3.1_Shortlist[[#This Row],[IUD]]) *
  (Lists3.1_Longlist[Language]=Language),
  Lists3.1_Longlist[Mat. Cat. 2]
))</f>
        <v>Fer</v>
      </c>
      <c r="E192" s="41" t="str" cm="1">
        <f t="array" ref="E192">IF(_xlfn.XLOOKUP(
  1,
  (Lists3.1_Longlist[IUD]=Lists3.1_Shortlist[[#This Row],[IUD]]) *
  (Lists3.1_Longlist[Language]=Language),
  Lists3.1_Longlist[Mat. Cat. 3]
)=0,"",_xlfn.XLOOKUP(
  1,
  (Lists3.1_Longlist[IUD]=Lists3.1_Shortlist[[#This Row],[IUD]]) *
  (Lists3.1_Longlist[Language]=Language),
  Lists3.1_Longlist[Mat. Cat. 3]
))</f>
        <v>Fonte brute</v>
      </c>
      <c r="F192" s="32" t="s">
        <v>88</v>
      </c>
      <c r="G192" s="32" t="s">
        <v>28148</v>
      </c>
      <c r="H192" s="30"/>
      <c r="I192" s="30"/>
      <c r="J192" s="30"/>
      <c r="K192" s="30"/>
      <c r="L192" s="30"/>
      <c r="M192" s="30"/>
      <c r="N192" s="30"/>
      <c r="O192" s="30"/>
      <c r="P192" s="30"/>
      <c r="Q192" s="30"/>
      <c r="R192" s="30"/>
      <c r="S192" s="30"/>
      <c r="T192" s="30"/>
      <c r="U192" s="30"/>
      <c r="V192" s="30"/>
      <c r="W192" s="30"/>
      <c r="X192" s="30"/>
      <c r="Y192" s="30"/>
    </row>
    <row r="193" spans="1:25" x14ac:dyDescent="0.25">
      <c r="A193" s="30"/>
      <c r="B193" s="41" t="s">
        <v>1081</v>
      </c>
      <c r="C193" s="41" t="str" cm="1">
        <f t="array" ref="C193">_xlfn.XLOOKUP(
  1,
  (Lists3.1_Longlist[IUD]=Lists3.1_Shortlist[[#This Row],[IUD]]) *
  (Lists3.1_Longlist[Language]=Language),
  Lists3.1_Longlist[Mat. Cat 1]
)</f>
        <v>Métaux</v>
      </c>
      <c r="D193" s="41" t="str" cm="1">
        <f t="array" ref="D193">IF(_xlfn.XLOOKUP(
  1,
  (Lists3.1_Longlist[IUD]=Lists3.1_Shortlist[[#This Row],[IUD]]) *
  (Lists3.1_Longlist[Language]=Language),
  Lists3.1_Longlist[Mat. Cat. 2]
)=0,"",_xlfn.XLOOKUP(
  1,
  (Lists3.1_Longlist[IUD]=Lists3.1_Shortlist[[#This Row],[IUD]]) *
  (Lists3.1_Longlist[Language]=Language),
  Lists3.1_Longlist[Mat. Cat. 2]
))</f>
        <v>Fer</v>
      </c>
      <c r="E193" s="41" t="str" cm="1">
        <f t="array" ref="E193">IF(_xlfn.XLOOKUP(
  1,
  (Lists3.1_Longlist[IUD]=Lists3.1_Shortlist[[#This Row],[IUD]]) *
  (Lists3.1_Longlist[Language]=Language),
  Lists3.1_Longlist[Mat. Cat. 3]
)=0,"",_xlfn.XLOOKUP(
  1,
  (Lists3.1_Longlist[IUD]=Lists3.1_Shortlist[[#This Row],[IUD]]) *
  (Lists3.1_Longlist[Language]=Language),
  Lists3.1_Longlist[Mat. Cat. 3]
))</f>
        <v>Acier d’armature (primaire)</v>
      </c>
      <c r="F193" s="32" t="s">
        <v>88</v>
      </c>
      <c r="G193" s="32" t="s">
        <v>28149</v>
      </c>
      <c r="H193" s="30"/>
      <c r="I193" s="30"/>
      <c r="J193" s="30"/>
      <c r="K193" s="30"/>
      <c r="L193" s="30"/>
      <c r="M193" s="30"/>
      <c r="N193" s="30"/>
      <c r="O193" s="30"/>
      <c r="P193" s="30"/>
      <c r="Q193" s="30"/>
      <c r="R193" s="30"/>
      <c r="S193" s="30"/>
      <c r="T193" s="30"/>
      <c r="U193" s="30"/>
      <c r="V193" s="30"/>
      <c r="W193" s="30"/>
      <c r="X193" s="30"/>
      <c r="Y193" s="30"/>
    </row>
    <row r="194" spans="1:25" x14ac:dyDescent="0.25">
      <c r="A194" s="30"/>
      <c r="B194" s="41" t="s">
        <v>1082</v>
      </c>
      <c r="C194" s="41" t="str" cm="1">
        <f t="array" ref="C194">_xlfn.XLOOKUP(
  1,
  (Lists3.1_Longlist[IUD]=Lists3.1_Shortlist[[#This Row],[IUD]]) *
  (Lists3.1_Longlist[Language]=Language),
  Lists3.1_Longlist[Mat. Cat 1]
)</f>
        <v>Métaux</v>
      </c>
      <c r="D194" s="41" t="str" cm="1">
        <f t="array" ref="D194">IF(_xlfn.XLOOKUP(
  1,
  (Lists3.1_Longlist[IUD]=Lists3.1_Shortlist[[#This Row],[IUD]]) *
  (Lists3.1_Longlist[Language]=Language),
  Lists3.1_Longlist[Mat. Cat. 2]
)=0,"",_xlfn.XLOOKUP(
  1,
  (Lists3.1_Longlist[IUD]=Lists3.1_Shortlist[[#This Row],[IUD]]) *
  (Lists3.1_Longlist[Language]=Language),
  Lists3.1_Longlist[Mat. Cat. 2]
))</f>
        <v>Fer</v>
      </c>
      <c r="E194" s="41" t="str" cm="1">
        <f t="array" ref="E194">IF(_xlfn.XLOOKUP(
  1,
  (Lists3.1_Longlist[IUD]=Lists3.1_Shortlist[[#This Row],[IUD]]) *
  (Lists3.1_Longlist[Language]=Language),
  Lists3.1_Longlist[Mat. Cat. 3]
)=0,"",_xlfn.XLOOKUP(
  1,
  (Lists3.1_Longlist[IUD]=Lists3.1_Shortlist[[#This Row],[IUD]]) *
  (Lists3.1_Longlist[Language]=Language),
  Lists3.1_Longlist[Mat. Cat. 3]
))</f>
        <v>Acier d’armement EU-Mix (laminé)</v>
      </c>
      <c r="F194" s="32" t="s">
        <v>88</v>
      </c>
      <c r="G194" s="32" t="s">
        <v>28150</v>
      </c>
      <c r="H194" s="30"/>
      <c r="I194" s="30"/>
      <c r="J194" s="30"/>
      <c r="K194" s="30"/>
      <c r="L194" s="30"/>
      <c r="M194" s="30"/>
      <c r="N194" s="30"/>
      <c r="O194" s="30"/>
      <c r="P194" s="30"/>
      <c r="Q194" s="30"/>
      <c r="R194" s="30"/>
      <c r="S194" s="30"/>
      <c r="T194" s="30"/>
      <c r="U194" s="30"/>
      <c r="V194" s="30"/>
      <c r="W194" s="30"/>
      <c r="X194" s="30"/>
      <c r="Y194" s="30"/>
    </row>
    <row r="195" spans="1:25" x14ac:dyDescent="0.25">
      <c r="A195" s="30"/>
      <c r="B195" s="41" t="s">
        <v>1083</v>
      </c>
      <c r="C195" s="41" t="str" cm="1">
        <f t="array" ref="C195">_xlfn.XLOOKUP(
  1,
  (Lists3.1_Longlist[IUD]=Lists3.1_Shortlist[[#This Row],[IUD]]) *
  (Lists3.1_Longlist[Language]=Language),
  Lists3.1_Longlist[Mat. Cat 1]
)</f>
        <v>Métaux</v>
      </c>
      <c r="D195" s="41" t="str" cm="1">
        <f t="array" ref="D195">IF(_xlfn.XLOOKUP(
  1,
  (Lists3.1_Longlist[IUD]=Lists3.1_Shortlist[[#This Row],[IUD]]) *
  (Lists3.1_Longlist[Language]=Language),
  Lists3.1_Longlist[Mat. Cat. 2]
)=0,"",_xlfn.XLOOKUP(
  1,
  (Lists3.1_Longlist[IUD]=Lists3.1_Shortlist[[#This Row],[IUD]]) *
  (Lists3.1_Longlist[Language]=Language),
  Lists3.1_Longlist[Mat. Cat. 2]
))</f>
        <v>Fer</v>
      </c>
      <c r="E195" s="41" t="str" cm="1">
        <f t="array" ref="E195">IF(_xlfn.XLOOKUP(
  1,
  (Lists3.1_Longlist[IUD]=Lists3.1_Shortlist[[#This Row],[IUD]]) *
  (Lists3.1_Longlist[Language]=Language),
  Lists3.1_Longlist[Mat. Cat. 3]
)=0,"",_xlfn.XLOOKUP(
  1,
  (Lists3.1_Longlist[IUD]=Lists3.1_Shortlist[[#This Row],[IUD]]) *
  (Lists3.1_Longlist[Language]=Language),
  Lists3.1_Longlist[Mat. Cat. 3]
))</f>
        <v>Acier d’armement CH (recyclé, laminé)</v>
      </c>
      <c r="F195" s="32" t="s">
        <v>88</v>
      </c>
      <c r="G195" s="32" t="s">
        <v>28151</v>
      </c>
      <c r="H195" s="30"/>
      <c r="I195" s="30"/>
      <c r="J195" s="30"/>
      <c r="K195" s="30"/>
      <c r="L195" s="30"/>
      <c r="M195" s="30"/>
      <c r="N195" s="30"/>
      <c r="O195" s="30"/>
      <c r="P195" s="30"/>
      <c r="Q195" s="30"/>
      <c r="R195" s="30"/>
      <c r="S195" s="30"/>
      <c r="T195" s="30"/>
      <c r="U195" s="30"/>
      <c r="V195" s="30"/>
      <c r="W195" s="30"/>
      <c r="X195" s="30"/>
      <c r="Y195" s="30"/>
    </row>
    <row r="196" spans="1:25" x14ac:dyDescent="0.25">
      <c r="A196" s="30"/>
      <c r="B196" s="41" t="s">
        <v>1084</v>
      </c>
      <c r="C196" s="41" t="str" cm="1">
        <f t="array" ref="C196">_xlfn.XLOOKUP(
  1,
  (Lists3.1_Longlist[IUD]=Lists3.1_Shortlist[[#This Row],[IUD]]) *
  (Lists3.1_Longlist[Language]=Language),
  Lists3.1_Longlist[Mat. Cat 1]
)</f>
        <v>Métaux</v>
      </c>
      <c r="D196" s="41" t="str" cm="1">
        <f t="array" ref="D196">IF(_xlfn.XLOOKUP(
  1,
  (Lists3.1_Longlist[IUD]=Lists3.1_Shortlist[[#This Row],[IUD]]) *
  (Lists3.1_Longlist[Language]=Language),
  Lists3.1_Longlist[Mat. Cat. 2]
)=0,"",_xlfn.XLOOKUP(
  1,
  (Lists3.1_Longlist[IUD]=Lists3.1_Shortlist[[#This Row],[IUD]]) *
  (Lists3.1_Longlist[Language]=Language),
  Lists3.1_Longlist[Mat. Cat. 2]
))</f>
        <v>Fer</v>
      </c>
      <c r="E196" s="41" t="str" cm="1">
        <f t="array" ref="E196">IF(_xlfn.XLOOKUP(
  1,
  (Lists3.1_Longlist[IUD]=Lists3.1_Shortlist[[#This Row],[IUD]]) *
  (Lists3.1_Longlist[Language]=Language),
  Lists3.1_Longlist[Mat. Cat. 3]
)=0,"",_xlfn.XLOOKUP(
  1,
  (Lists3.1_Longlist[IUD]=Lists3.1_Shortlist[[#This Row],[IUD]]) *
  (Lists3.1_Longlist[Language]=Language),
  Lists3.1_Longlist[Mat. Cat. 3]
))</f>
        <v>Acier inoxydable</v>
      </c>
      <c r="F196" s="32" t="s">
        <v>88</v>
      </c>
      <c r="G196" s="32" t="s">
        <v>28152</v>
      </c>
      <c r="H196" s="30"/>
      <c r="I196" s="30"/>
      <c r="J196" s="30"/>
      <c r="K196" s="30"/>
      <c r="L196" s="30"/>
      <c r="M196" s="30"/>
      <c r="N196" s="30"/>
      <c r="O196" s="30"/>
      <c r="P196" s="30"/>
      <c r="Q196" s="30"/>
      <c r="R196" s="30"/>
      <c r="S196" s="30"/>
      <c r="T196" s="30"/>
      <c r="U196" s="30"/>
      <c r="V196" s="30"/>
      <c r="W196" s="30"/>
      <c r="X196" s="30"/>
      <c r="Y196" s="30"/>
    </row>
    <row r="197" spans="1:25" x14ac:dyDescent="0.25">
      <c r="A197" s="30"/>
      <c r="B197" s="41" t="s">
        <v>1085</v>
      </c>
      <c r="C197" s="41" t="str" cm="1">
        <f t="array" ref="C197">_xlfn.XLOOKUP(
  1,
  (Lists3.1_Longlist[IUD]=Lists3.1_Shortlist[[#This Row],[IUD]]) *
  (Lists3.1_Longlist[Language]=Language),
  Lists3.1_Longlist[Mat. Cat 1]
)</f>
        <v>Métaux</v>
      </c>
      <c r="D197" s="41" t="str" cm="1">
        <f t="array" ref="D197">IF(_xlfn.XLOOKUP(
  1,
  (Lists3.1_Longlist[IUD]=Lists3.1_Shortlist[[#This Row],[IUD]]) *
  (Lists3.1_Longlist[Language]=Language),
  Lists3.1_Longlist[Mat. Cat. 2]
)=0,"",_xlfn.XLOOKUP(
  1,
  (Lists3.1_Longlist[IUD]=Lists3.1_Shortlist[[#This Row],[IUD]]) *
  (Lists3.1_Longlist[Language]=Language),
  Lists3.1_Longlist[Mat. Cat. 2]
))</f>
        <v>Fer</v>
      </c>
      <c r="E197" s="41" t="str" cm="1">
        <f t="array" ref="E197">IF(_xlfn.XLOOKUP(
  1,
  (Lists3.1_Longlist[IUD]=Lists3.1_Shortlist[[#This Row],[IUD]]) *
  (Lists3.1_Longlist[Language]=Language),
  Lists3.1_Longlist[Mat. Cat. 3]
)=0,"",_xlfn.XLOOKUP(
  1,
  (Lists3.1_Longlist[IUD]=Lists3.1_Shortlist[[#This Row],[IUD]]) *
  (Lists3.1_Longlist[Language]=Language),
  Lists3.1_Longlist[Mat. Cat. 3]
))</f>
        <v>Acier inoxydable (recyclé)</v>
      </c>
      <c r="F197" s="32" t="s">
        <v>88</v>
      </c>
      <c r="G197" s="32" t="s">
        <v>28153</v>
      </c>
      <c r="H197" s="30"/>
      <c r="I197" s="30"/>
      <c r="J197" s="30"/>
      <c r="K197" s="30"/>
      <c r="L197" s="30"/>
      <c r="M197" s="30"/>
      <c r="N197" s="30"/>
      <c r="O197" s="30"/>
      <c r="P197" s="30"/>
      <c r="Q197" s="30"/>
      <c r="R197" s="30"/>
      <c r="S197" s="30"/>
      <c r="T197" s="30"/>
      <c r="U197" s="30"/>
      <c r="V197" s="30"/>
      <c r="W197" s="30"/>
      <c r="X197" s="30"/>
      <c r="Y197" s="30"/>
    </row>
    <row r="198" spans="1:25" x14ac:dyDescent="0.25">
      <c r="A198" s="30"/>
      <c r="B198" s="41" t="s">
        <v>1086</v>
      </c>
      <c r="C198" s="41" t="str" cm="1">
        <f t="array" ref="C198">_xlfn.XLOOKUP(
  1,
  (Lists3.1_Longlist[IUD]=Lists3.1_Shortlist[[#This Row],[IUD]]) *
  (Lists3.1_Longlist[Language]=Language),
  Lists3.1_Longlist[Mat. Cat 1]
)</f>
        <v>Métaux</v>
      </c>
      <c r="D198" s="41" t="str" cm="1">
        <f t="array" ref="D198">IF(_xlfn.XLOOKUP(
  1,
  (Lists3.1_Longlist[IUD]=Lists3.1_Shortlist[[#This Row],[IUD]]) *
  (Lists3.1_Longlist[Language]=Language),
  Lists3.1_Longlist[Mat. Cat. 2]
)=0,"",_xlfn.XLOOKUP(
  1,
  (Lists3.1_Longlist[IUD]=Lists3.1_Shortlist[[#This Row],[IUD]]) *
  (Lists3.1_Longlist[Language]=Language),
  Lists3.1_Longlist[Mat. Cat. 2]
))</f>
        <v>Fer</v>
      </c>
      <c r="E198" s="41" t="str" cm="1">
        <f t="array" ref="E198">IF(_xlfn.XLOOKUP(
  1,
  (Lists3.1_Longlist[IUD]=Lists3.1_Shortlist[[#This Row],[IUD]]) *
  (Lists3.1_Longlist[Language]=Language),
  Lists3.1_Longlist[Mat. Cat. 3]
)=0,"",_xlfn.XLOOKUP(
  1,
  (Lists3.1_Longlist[IUD]=Lists3.1_Shortlist[[#This Row],[IUD]]) *
  (Lists3.1_Longlist[Language]=Language),
  Lists3.1_Longlist[Mat. Cat. 3]
))</f>
        <v>Acier à faible alliage (primaire)</v>
      </c>
      <c r="F198" s="32" t="s">
        <v>88</v>
      </c>
      <c r="G198" s="32" t="s">
        <v>28154</v>
      </c>
      <c r="H198" s="30"/>
      <c r="I198" s="30"/>
      <c r="J198" s="30"/>
      <c r="K198" s="30"/>
      <c r="L198" s="30"/>
      <c r="M198" s="30"/>
      <c r="N198" s="30"/>
      <c r="O198" s="30"/>
      <c r="P198" s="30"/>
      <c r="Q198" s="30"/>
      <c r="R198" s="30"/>
      <c r="S198" s="30"/>
      <c r="T198" s="30"/>
      <c r="U198" s="30"/>
      <c r="V198" s="30"/>
      <c r="W198" s="30"/>
      <c r="X198" s="30"/>
      <c r="Y198" s="30"/>
    </row>
    <row r="199" spans="1:25" x14ac:dyDescent="0.25">
      <c r="A199" s="30"/>
      <c r="B199" s="41" t="s">
        <v>1087</v>
      </c>
      <c r="C199" s="41" t="str" cm="1">
        <f t="array" ref="C199">_xlfn.XLOOKUP(
  1,
  (Lists3.1_Longlist[IUD]=Lists3.1_Shortlist[[#This Row],[IUD]]) *
  (Lists3.1_Longlist[Language]=Language),
  Lists3.1_Longlist[Mat. Cat 1]
)</f>
        <v>Métaux</v>
      </c>
      <c r="D199" s="41" t="str" cm="1">
        <f t="array" ref="D199">IF(_xlfn.XLOOKUP(
  1,
  (Lists3.1_Longlist[IUD]=Lists3.1_Shortlist[[#This Row],[IUD]]) *
  (Lists3.1_Longlist[Language]=Language),
  Lists3.1_Longlist[Mat. Cat. 2]
)=0,"",_xlfn.XLOOKUP(
  1,
  (Lists3.1_Longlist[IUD]=Lists3.1_Shortlist[[#This Row],[IUD]]) *
  (Lists3.1_Longlist[Language]=Language),
  Lists3.1_Longlist[Mat. Cat. 2]
))</f>
        <v>Fer</v>
      </c>
      <c r="E199" s="41" t="str" cm="1">
        <f t="array" ref="E199">IF(_xlfn.XLOOKUP(
  1,
  (Lists3.1_Longlist[IUD]=Lists3.1_Shortlist[[#This Row],[IUD]]) *
  (Lists3.1_Longlist[Language]=Language),
  Lists3.1_Longlist[Mat. Cat. 3]
)=0,"",_xlfn.XLOOKUP(
  1,
  (Lists3.1_Longlist[IUD]=Lists3.1_Shortlist[[#This Row],[IUD]]) *
  (Lists3.1_Longlist[Language]=Language),
  Lists3.1_Longlist[Mat. Cat. 3]
))</f>
        <v>Acier à faible alliage (recyclé)</v>
      </c>
      <c r="F199" s="32" t="s">
        <v>88</v>
      </c>
      <c r="G199" s="32" t="s">
        <v>28155</v>
      </c>
      <c r="H199" s="44"/>
      <c r="I199" s="30"/>
      <c r="J199" s="30"/>
      <c r="K199" s="30"/>
      <c r="L199" s="30"/>
      <c r="M199" s="30"/>
      <c r="N199" s="30"/>
      <c r="O199" s="30"/>
      <c r="P199" s="30"/>
      <c r="Q199" s="30"/>
      <c r="R199" s="30"/>
      <c r="S199" s="30"/>
      <c r="T199" s="30"/>
      <c r="U199" s="30"/>
      <c r="V199" s="30"/>
      <c r="W199" s="30"/>
      <c r="X199" s="30"/>
      <c r="Y199" s="30"/>
    </row>
    <row r="200" spans="1:25" x14ac:dyDescent="0.25">
      <c r="A200" s="30"/>
      <c r="B200" s="41" t="s">
        <v>1088</v>
      </c>
      <c r="C200" s="41" t="str" cm="1">
        <f t="array" ref="C200">_xlfn.XLOOKUP(
  1,
  (Lists3.1_Longlist[IUD]=Lists3.1_Shortlist[[#This Row],[IUD]]) *
  (Lists3.1_Longlist[Language]=Language),
  Lists3.1_Longlist[Mat. Cat 1]
)</f>
        <v>Métaux</v>
      </c>
      <c r="D200" s="41" t="str" cm="1">
        <f t="array" ref="D200">IF(_xlfn.XLOOKUP(
  1,
  (Lists3.1_Longlist[IUD]=Lists3.1_Shortlist[[#This Row],[IUD]]) *
  (Lists3.1_Longlist[Language]=Language),
  Lists3.1_Longlist[Mat. Cat. 2]
)=0,"",_xlfn.XLOOKUP(
  1,
  (Lists3.1_Longlist[IUD]=Lists3.1_Shortlist[[#This Row],[IUD]]) *
  (Lists3.1_Longlist[Language]=Language),
  Lists3.1_Longlist[Mat. Cat. 2]
))</f>
        <v>Non ferreux</v>
      </c>
      <c r="E200" s="41" t="str" cm="1">
        <f t="array" ref="E200">IF(_xlfn.XLOOKUP(
  1,
  (Lists3.1_Longlist[IUD]=Lists3.1_Shortlist[[#This Row],[IUD]]) *
  (Lists3.1_Longlist[Language]=Language),
  Lists3.1_Longlist[Mat. Cat. 3]
)=0,"",_xlfn.XLOOKUP(
  1,
  (Lists3.1_Longlist[IUD]=Lists3.1_Shortlist[[#This Row],[IUD]]) *
  (Lists3.1_Longlist[Language]=Language),
  Lists3.1_Longlist[Mat. Cat. 3]
))</f>
        <v>Aluminium (primaire)</v>
      </c>
      <c r="F200" s="32" t="s">
        <v>88</v>
      </c>
      <c r="G200" s="32" t="s">
        <v>28156</v>
      </c>
      <c r="H200" s="30"/>
      <c r="I200" s="30"/>
      <c r="J200" s="30"/>
      <c r="K200" s="30"/>
      <c r="L200" s="30"/>
      <c r="M200" s="30"/>
      <c r="N200" s="30"/>
      <c r="O200" s="30"/>
      <c r="P200" s="30"/>
      <c r="Q200" s="30"/>
      <c r="R200" s="30"/>
      <c r="S200" s="30"/>
      <c r="T200" s="30"/>
      <c r="U200" s="30"/>
      <c r="V200" s="30"/>
      <c r="W200" s="30"/>
      <c r="X200" s="30"/>
      <c r="Y200" s="30"/>
    </row>
    <row r="201" spans="1:25" x14ac:dyDescent="0.25">
      <c r="A201" s="30"/>
      <c r="B201" s="41" t="s">
        <v>1072</v>
      </c>
      <c r="C201" s="41" t="str" cm="1">
        <f t="array" ref="C201">_xlfn.XLOOKUP(
  1,
  (Lists3.1_Longlist[IUD]=Lists3.1_Shortlist[[#This Row],[IUD]]) *
  (Lists3.1_Longlist[Language]=Language),
  Lists3.1_Longlist[Mat. Cat 1]
)</f>
        <v>Métaux</v>
      </c>
      <c r="D201" s="41" t="str" cm="1">
        <f t="array" ref="D201">IF(_xlfn.XLOOKUP(
  1,
  (Lists3.1_Longlist[IUD]=Lists3.1_Shortlist[[#This Row],[IUD]]) *
  (Lists3.1_Longlist[Language]=Language),
  Lists3.1_Longlist[Mat. Cat. 2]
)=0,"",_xlfn.XLOOKUP(
  1,
  (Lists3.1_Longlist[IUD]=Lists3.1_Shortlist[[#This Row],[IUD]]) *
  (Lists3.1_Longlist[Language]=Language),
  Lists3.1_Longlist[Mat. Cat. 2]
))</f>
        <v>Non ferreux</v>
      </c>
      <c r="E201" s="41" t="str" cm="1">
        <f t="array" ref="E201">IF(_xlfn.XLOOKUP(
  1,
  (Lists3.1_Longlist[IUD]=Lists3.1_Shortlist[[#This Row],[IUD]]) *
  (Lists3.1_Longlist[Language]=Language),
  Lists3.1_Longlist[Mat. Cat. 3]
)=0,"",_xlfn.XLOOKUP(
  1,
  (Lists3.1_Longlist[IUD]=Lists3.1_Shortlist[[#This Row],[IUD]]) *
  (Lists3.1_Longlist[Language]=Language),
  Lists3.1_Longlist[Mat. Cat. 3]
))</f>
        <v>Aluminium (recyclé)</v>
      </c>
      <c r="F201" s="32" t="s">
        <v>88</v>
      </c>
      <c r="G201" s="32" t="s">
        <v>28157</v>
      </c>
      <c r="H201" s="30"/>
      <c r="I201" s="30"/>
      <c r="J201" s="30"/>
      <c r="K201" s="30"/>
      <c r="L201" s="30"/>
      <c r="M201" s="30"/>
      <c r="N201" s="30"/>
      <c r="O201" s="30"/>
      <c r="P201" s="30"/>
      <c r="Q201" s="30"/>
      <c r="R201" s="30"/>
      <c r="S201" s="30"/>
      <c r="T201" s="30"/>
      <c r="U201" s="30"/>
      <c r="V201" s="30"/>
      <c r="W201" s="30"/>
      <c r="X201" s="30"/>
      <c r="Y201" s="30"/>
    </row>
    <row r="202" spans="1:25" x14ac:dyDescent="0.25">
      <c r="A202" s="30"/>
      <c r="B202" s="41" t="s">
        <v>1089</v>
      </c>
      <c r="C202" s="41" t="str" cm="1">
        <f t="array" ref="C202">_xlfn.XLOOKUP(
  1,
  (Lists3.1_Longlist[IUD]=Lists3.1_Shortlist[[#This Row],[IUD]]) *
  (Lists3.1_Longlist[Language]=Language),
  Lists3.1_Longlist[Mat. Cat 1]
)</f>
        <v>Métaux</v>
      </c>
      <c r="D202" s="41" t="str" cm="1">
        <f t="array" ref="D202">IF(_xlfn.XLOOKUP(
  1,
  (Lists3.1_Longlist[IUD]=Lists3.1_Shortlist[[#This Row],[IUD]]) *
  (Lists3.1_Longlist[Language]=Language),
  Lists3.1_Longlist[Mat. Cat. 2]
)=0,"",_xlfn.XLOOKUP(
  1,
  (Lists3.1_Longlist[IUD]=Lists3.1_Shortlist[[#This Row],[IUD]]) *
  (Lists3.1_Longlist[Language]=Language),
  Lists3.1_Longlist[Mat. Cat. 2]
))</f>
        <v>Non ferreux</v>
      </c>
      <c r="E202" s="41" t="str" cm="1">
        <f t="array" ref="E202">IF(_xlfn.XLOOKUP(
  1,
  (Lists3.1_Longlist[IUD]=Lists3.1_Shortlist[[#This Row],[IUD]]) *
  (Lists3.1_Longlist[Language]=Language),
  Lists3.1_Longlist[Mat. Cat. 3]
)=0,"",_xlfn.XLOOKUP(
  1,
  (Lists3.1_Longlist[IUD]=Lists3.1_Shortlist[[#This Row],[IUD]]) *
  (Lists3.1_Longlist[Language]=Language),
  Lists3.1_Longlist[Mat. Cat. 3]
))</f>
        <v>Antimoine</v>
      </c>
      <c r="F202" s="32" t="s">
        <v>88</v>
      </c>
      <c r="G202" s="32" t="s">
        <v>28158</v>
      </c>
      <c r="H202" s="44"/>
      <c r="I202" s="30"/>
      <c r="J202" s="30"/>
      <c r="K202" s="30"/>
      <c r="L202" s="30"/>
      <c r="M202" s="30"/>
      <c r="N202" s="30"/>
      <c r="O202" s="30"/>
      <c r="P202" s="30"/>
      <c r="Q202" s="30"/>
      <c r="R202" s="30"/>
      <c r="S202" s="30"/>
      <c r="T202" s="30"/>
      <c r="U202" s="30"/>
      <c r="V202" s="30"/>
      <c r="W202" s="30"/>
      <c r="X202" s="30"/>
      <c r="Y202" s="30"/>
    </row>
    <row r="203" spans="1:25" x14ac:dyDescent="0.25">
      <c r="A203" s="30"/>
      <c r="B203" s="41" t="s">
        <v>1090</v>
      </c>
      <c r="C203" s="41" t="str" cm="1">
        <f t="array" ref="C203">_xlfn.XLOOKUP(
  1,
  (Lists3.1_Longlist[IUD]=Lists3.1_Shortlist[[#This Row],[IUD]]) *
  (Lists3.1_Longlist[Language]=Language),
  Lists3.1_Longlist[Mat. Cat 1]
)</f>
        <v>Métaux</v>
      </c>
      <c r="D203" s="41" t="str" cm="1">
        <f t="array" ref="D203">IF(_xlfn.XLOOKUP(
  1,
  (Lists3.1_Longlist[IUD]=Lists3.1_Shortlist[[#This Row],[IUD]]) *
  (Lists3.1_Longlist[Language]=Language),
  Lists3.1_Longlist[Mat. Cat. 2]
)=0,"",_xlfn.XLOOKUP(
  1,
  (Lists3.1_Longlist[IUD]=Lists3.1_Shortlist[[#This Row],[IUD]]) *
  (Lists3.1_Longlist[Language]=Language),
  Lists3.1_Longlist[Mat. Cat. 2]
))</f>
        <v>Non ferreux</v>
      </c>
      <c r="E203" s="41" t="str" cm="1">
        <f t="array" ref="E203">IF(_xlfn.XLOOKUP(
  1,
  (Lists3.1_Longlist[IUD]=Lists3.1_Shortlist[[#This Row],[IUD]]) *
  (Lists3.1_Longlist[Language]=Language),
  Lists3.1_Longlist[Mat. Cat. 3]
)=0,"",_xlfn.XLOOKUP(
  1,
  (Lists3.1_Longlist[IUD]=Lists3.1_Shortlist[[#This Row],[IUD]]) *
  (Lists3.1_Longlist[Language]=Language),
  Lists3.1_Longlist[Mat. Cat. 3]
))</f>
        <v>Laiton</v>
      </c>
      <c r="F203" s="32" t="s">
        <v>88</v>
      </c>
      <c r="G203" s="32" t="s">
        <v>28159</v>
      </c>
      <c r="H203" s="44"/>
      <c r="I203" s="30"/>
      <c r="J203" s="30"/>
      <c r="K203" s="30"/>
      <c r="L203" s="30"/>
      <c r="M203" s="30"/>
      <c r="N203" s="30"/>
      <c r="O203" s="30"/>
      <c r="P203" s="30"/>
      <c r="Q203" s="30"/>
      <c r="R203" s="30"/>
      <c r="S203" s="30"/>
      <c r="T203" s="30"/>
      <c r="U203" s="30"/>
      <c r="V203" s="30"/>
      <c r="W203" s="30"/>
      <c r="X203" s="30"/>
      <c r="Y203" s="30"/>
    </row>
    <row r="204" spans="1:25" x14ac:dyDescent="0.25">
      <c r="A204" s="30"/>
      <c r="B204" s="41" t="s">
        <v>1091</v>
      </c>
      <c r="C204" s="41" t="str" cm="1">
        <f t="array" ref="C204">_xlfn.XLOOKUP(
  1,
  (Lists3.1_Longlist[IUD]=Lists3.1_Shortlist[[#This Row],[IUD]]) *
  (Lists3.1_Longlist[Language]=Language),
  Lists3.1_Longlist[Mat. Cat 1]
)</f>
        <v>Métaux</v>
      </c>
      <c r="D204" s="41" t="str" cm="1">
        <f t="array" ref="D204">IF(_xlfn.XLOOKUP(
  1,
  (Lists3.1_Longlist[IUD]=Lists3.1_Shortlist[[#This Row],[IUD]]) *
  (Lists3.1_Longlist[Language]=Language),
  Lists3.1_Longlist[Mat. Cat. 2]
)=0,"",_xlfn.XLOOKUP(
  1,
  (Lists3.1_Longlist[IUD]=Lists3.1_Shortlist[[#This Row],[IUD]]) *
  (Lists3.1_Longlist[Language]=Language),
  Lists3.1_Longlist[Mat. Cat. 2]
))</f>
        <v>Non ferreux</v>
      </c>
      <c r="E204" s="41" t="str" cm="1">
        <f t="array" ref="E204">IF(_xlfn.XLOOKUP(
  1,
  (Lists3.1_Longlist[IUD]=Lists3.1_Shortlist[[#This Row],[IUD]]) *
  (Lists3.1_Longlist[Language]=Language),
  Lists3.1_Longlist[Mat. Cat. 3]
)=0,"",_xlfn.XLOOKUP(
  1,
  (Lists3.1_Longlist[IUD]=Lists3.1_Shortlist[[#This Row],[IUD]]) *
  (Lists3.1_Longlist[Language]=Language),
  Lists3.1_Longlist[Mat. Cat. 3]
))</f>
        <v>Bronze</v>
      </c>
      <c r="F204" s="32" t="s">
        <v>88</v>
      </c>
      <c r="G204" s="32" t="s">
        <v>28160</v>
      </c>
      <c r="H204" s="44"/>
      <c r="I204" s="30"/>
      <c r="J204" s="30"/>
      <c r="K204" s="30"/>
      <c r="L204" s="30"/>
      <c r="M204" s="30"/>
      <c r="N204" s="30"/>
      <c r="O204" s="30"/>
      <c r="P204" s="30"/>
      <c r="Q204" s="30"/>
      <c r="R204" s="30"/>
      <c r="S204" s="30"/>
      <c r="T204" s="30"/>
      <c r="U204" s="30"/>
      <c r="V204" s="30"/>
      <c r="W204" s="30"/>
      <c r="X204" s="30"/>
      <c r="Y204" s="30"/>
    </row>
    <row r="205" spans="1:25" x14ac:dyDescent="0.25">
      <c r="A205" s="30"/>
      <c r="B205" s="41" t="s">
        <v>1092</v>
      </c>
      <c r="C205" s="41" t="str" cm="1">
        <f t="array" ref="C205">_xlfn.XLOOKUP(
  1,
  (Lists3.1_Longlist[IUD]=Lists3.1_Shortlist[[#This Row],[IUD]]) *
  (Lists3.1_Longlist[Language]=Language),
  Lists3.1_Longlist[Mat. Cat 1]
)</f>
        <v>Métaux</v>
      </c>
      <c r="D205" s="41" t="str" cm="1">
        <f t="array" ref="D205">IF(_xlfn.XLOOKUP(
  1,
  (Lists3.1_Longlist[IUD]=Lists3.1_Shortlist[[#This Row],[IUD]]) *
  (Lists3.1_Longlist[Language]=Language),
  Lists3.1_Longlist[Mat. Cat. 2]
)=0,"",_xlfn.XLOOKUP(
  1,
  (Lists3.1_Longlist[IUD]=Lists3.1_Shortlist[[#This Row],[IUD]]) *
  (Lists3.1_Longlist[Language]=Language),
  Lists3.1_Longlist[Mat. Cat. 2]
))</f>
        <v>Non ferreux</v>
      </c>
      <c r="E205" s="41" t="str" cm="1">
        <f t="array" ref="E205">IF(_xlfn.XLOOKUP(
  1,
  (Lists3.1_Longlist[IUD]=Lists3.1_Shortlist[[#This Row],[IUD]]) *
  (Lists3.1_Longlist[Language]=Language),
  Lists3.1_Longlist[Mat. Cat. 3]
)=0,"",_xlfn.XLOOKUP(
  1,
  (Lists3.1_Longlist[IUD]=Lists3.1_Shortlist[[#This Row],[IUD]]) *
  (Lists3.1_Longlist[Language]=Language),
  Lists3.1_Longlist[Mat. Cat. 3]
))</f>
        <v>Cadmium</v>
      </c>
      <c r="F205" s="32" t="s">
        <v>88</v>
      </c>
      <c r="G205" s="32" t="s">
        <v>28161</v>
      </c>
      <c r="H205" s="44"/>
      <c r="I205" s="30"/>
      <c r="J205" s="30"/>
      <c r="K205" s="30"/>
      <c r="L205" s="30"/>
      <c r="M205" s="30"/>
      <c r="N205" s="30"/>
      <c r="O205" s="30"/>
      <c r="P205" s="30"/>
      <c r="Q205" s="30"/>
      <c r="R205" s="30"/>
      <c r="S205" s="30"/>
      <c r="T205" s="30"/>
      <c r="U205" s="30"/>
      <c r="V205" s="30"/>
      <c r="W205" s="30"/>
      <c r="X205" s="30"/>
      <c r="Y205" s="30"/>
    </row>
    <row r="206" spans="1:25" x14ac:dyDescent="0.25">
      <c r="A206" s="30"/>
      <c r="B206" s="41" t="s">
        <v>1093</v>
      </c>
      <c r="C206" s="41" t="str" cm="1">
        <f t="array" ref="C206">_xlfn.XLOOKUP(
  1,
  (Lists3.1_Longlist[IUD]=Lists3.1_Shortlist[[#This Row],[IUD]]) *
  (Lists3.1_Longlist[Language]=Language),
  Lists3.1_Longlist[Mat. Cat 1]
)</f>
        <v>Métaux</v>
      </c>
      <c r="D206" s="41" t="str" cm="1">
        <f t="array" ref="D206">IF(_xlfn.XLOOKUP(
  1,
  (Lists3.1_Longlist[IUD]=Lists3.1_Shortlist[[#This Row],[IUD]]) *
  (Lists3.1_Longlist[Language]=Language),
  Lists3.1_Longlist[Mat. Cat. 2]
)=0,"",_xlfn.XLOOKUP(
  1,
  (Lists3.1_Longlist[IUD]=Lists3.1_Shortlist[[#This Row],[IUD]]) *
  (Lists3.1_Longlist[Language]=Language),
  Lists3.1_Longlist[Mat. Cat. 2]
))</f>
        <v>Non ferreux</v>
      </c>
      <c r="E206" s="41" t="str" cm="1">
        <f t="array" ref="E206">IF(_xlfn.XLOOKUP(
  1,
  (Lists3.1_Longlist[IUD]=Lists3.1_Shortlist[[#This Row],[IUD]]) *
  (Lists3.1_Longlist[Language]=Language),
  Lists3.1_Longlist[Mat. Cat. 3]
)=0,"",_xlfn.XLOOKUP(
  1,
  (Lists3.1_Longlist[IUD]=Lists3.1_Shortlist[[#This Row],[IUD]]) *
  (Lists3.1_Longlist[Language]=Language),
  Lists3.1_Longlist[Mat. Cat. 3]
))</f>
        <v>Chrome</v>
      </c>
      <c r="F206" s="32" t="s">
        <v>88</v>
      </c>
      <c r="G206" s="32" t="s">
        <v>28162</v>
      </c>
      <c r="H206" s="30"/>
      <c r="I206" s="30"/>
      <c r="J206" s="30"/>
      <c r="K206" s="30"/>
      <c r="L206" s="30"/>
      <c r="M206" s="30"/>
      <c r="N206" s="30"/>
      <c r="O206" s="30"/>
      <c r="P206" s="30"/>
      <c r="Q206" s="30"/>
      <c r="R206" s="30"/>
      <c r="S206" s="30"/>
      <c r="T206" s="30"/>
      <c r="U206" s="30"/>
      <c r="V206" s="30"/>
      <c r="W206" s="30"/>
      <c r="X206" s="30"/>
      <c r="Y206" s="30"/>
    </row>
    <row r="207" spans="1:25" x14ac:dyDescent="0.25">
      <c r="A207" s="30"/>
      <c r="B207" s="41" t="s">
        <v>1094</v>
      </c>
      <c r="C207" s="41" t="str" cm="1">
        <f t="array" ref="C207">_xlfn.XLOOKUP(
  1,
  (Lists3.1_Longlist[IUD]=Lists3.1_Shortlist[[#This Row],[IUD]]) *
  (Lists3.1_Longlist[Language]=Language),
  Lists3.1_Longlist[Mat. Cat 1]
)</f>
        <v>Métaux</v>
      </c>
      <c r="D207" s="41" t="str" cm="1">
        <f t="array" ref="D207">IF(_xlfn.XLOOKUP(
  1,
  (Lists3.1_Longlist[IUD]=Lists3.1_Shortlist[[#This Row],[IUD]]) *
  (Lists3.1_Longlist[Language]=Language),
  Lists3.1_Longlist[Mat. Cat. 2]
)=0,"",_xlfn.XLOOKUP(
  1,
  (Lists3.1_Longlist[IUD]=Lists3.1_Shortlist[[#This Row],[IUD]]) *
  (Lists3.1_Longlist[Language]=Language),
  Lists3.1_Longlist[Mat. Cat. 2]
))</f>
        <v>Non ferreux</v>
      </c>
      <c r="E207" s="41" t="str" cm="1">
        <f t="array" ref="E207">IF(_xlfn.XLOOKUP(
  1,
  (Lists3.1_Longlist[IUD]=Lists3.1_Shortlist[[#This Row],[IUD]]) *
  (Lists3.1_Longlist[Language]=Language),
  Lists3.1_Longlist[Mat. Cat. 3]
)=0,"",_xlfn.XLOOKUP(
  1,
  (Lists3.1_Longlist[IUD]=Lists3.1_Shortlist[[#This Row],[IUD]]) *
  (Lists3.1_Longlist[Language]=Language),
  Lists3.1_Longlist[Mat. Cat. 3]
))</f>
        <v>Cobalt</v>
      </c>
      <c r="F207" s="32" t="s">
        <v>88</v>
      </c>
      <c r="G207" s="32" t="s">
        <v>28163</v>
      </c>
      <c r="H207" s="30"/>
      <c r="I207" s="30"/>
      <c r="J207" s="30"/>
      <c r="K207" s="30"/>
      <c r="L207" s="30"/>
      <c r="M207" s="30"/>
      <c r="N207" s="30"/>
      <c r="O207" s="30"/>
      <c r="P207" s="30"/>
      <c r="Q207" s="30"/>
      <c r="R207" s="30"/>
      <c r="S207" s="30"/>
      <c r="T207" s="30"/>
      <c r="U207" s="30"/>
      <c r="V207" s="30"/>
      <c r="W207" s="30"/>
      <c r="X207" s="30"/>
      <c r="Y207" s="30"/>
    </row>
    <row r="208" spans="1:25" x14ac:dyDescent="0.25">
      <c r="A208" s="30"/>
      <c r="B208" s="41" t="s">
        <v>1095</v>
      </c>
      <c r="C208" s="41" t="str" cm="1">
        <f t="array" ref="C208">_xlfn.XLOOKUP(
  1,
  (Lists3.1_Longlist[IUD]=Lists3.1_Shortlist[[#This Row],[IUD]]) *
  (Lists3.1_Longlist[Language]=Language),
  Lists3.1_Longlist[Mat. Cat 1]
)</f>
        <v>Métaux</v>
      </c>
      <c r="D208" s="41" t="str" cm="1">
        <f t="array" ref="D208">IF(_xlfn.XLOOKUP(
  1,
  (Lists3.1_Longlist[IUD]=Lists3.1_Shortlist[[#This Row],[IUD]]) *
  (Lists3.1_Longlist[Language]=Language),
  Lists3.1_Longlist[Mat. Cat. 2]
)=0,"",_xlfn.XLOOKUP(
  1,
  (Lists3.1_Longlist[IUD]=Lists3.1_Shortlist[[#This Row],[IUD]]) *
  (Lists3.1_Longlist[Language]=Language),
  Lists3.1_Longlist[Mat. Cat. 2]
))</f>
        <v>Non ferreux</v>
      </c>
      <c r="E208" s="41" t="str" cm="1">
        <f t="array" ref="E208">IF(_xlfn.XLOOKUP(
  1,
  (Lists3.1_Longlist[IUD]=Lists3.1_Shortlist[[#This Row],[IUD]]) *
  (Lists3.1_Longlist[Language]=Language),
  Lists3.1_Longlist[Mat. Cat. 3]
)=0,"",_xlfn.XLOOKUP(
  1,
  (Lists3.1_Longlist[IUD]=Lists3.1_Shortlist[[#This Row],[IUD]]) *
  (Lists3.1_Longlist[Language]=Language),
  Lists3.1_Longlist[Mat. Cat. 3]
))</f>
        <v>Cuivre</v>
      </c>
      <c r="F208" s="32" t="s">
        <v>88</v>
      </c>
      <c r="G208" s="32" t="s">
        <v>28164</v>
      </c>
      <c r="H208" s="30"/>
      <c r="I208" s="30"/>
      <c r="J208" s="30"/>
      <c r="K208" s="30"/>
      <c r="L208" s="30"/>
      <c r="M208" s="30"/>
      <c r="N208" s="30"/>
      <c r="O208" s="30"/>
      <c r="P208" s="30"/>
      <c r="Q208" s="30"/>
      <c r="R208" s="30"/>
      <c r="S208" s="30"/>
      <c r="T208" s="30"/>
      <c r="U208" s="30"/>
      <c r="V208" s="30"/>
      <c r="W208" s="30"/>
      <c r="X208" s="30"/>
      <c r="Y208" s="30"/>
    </row>
    <row r="209" spans="1:25" x14ac:dyDescent="0.25">
      <c r="A209" s="30"/>
      <c r="B209" s="41" t="s">
        <v>1096</v>
      </c>
      <c r="C209" s="41" t="str" cm="1">
        <f t="array" ref="C209">_xlfn.XLOOKUP(
  1,
  (Lists3.1_Longlist[IUD]=Lists3.1_Shortlist[[#This Row],[IUD]]) *
  (Lists3.1_Longlist[Language]=Language),
  Lists3.1_Longlist[Mat. Cat 1]
)</f>
        <v>Métaux</v>
      </c>
      <c r="D209" s="41" t="str" cm="1">
        <f t="array" ref="D209">IF(_xlfn.XLOOKUP(
  1,
  (Lists3.1_Longlist[IUD]=Lists3.1_Shortlist[[#This Row],[IUD]]) *
  (Lists3.1_Longlist[Language]=Language),
  Lists3.1_Longlist[Mat. Cat. 2]
)=0,"",_xlfn.XLOOKUP(
  1,
  (Lists3.1_Longlist[IUD]=Lists3.1_Shortlist[[#This Row],[IUD]]) *
  (Lists3.1_Longlist[Language]=Language),
  Lists3.1_Longlist[Mat. Cat. 2]
))</f>
        <v>Non ferreux</v>
      </c>
      <c r="E209" s="41" t="str" cm="1">
        <f t="array" ref="E209">IF(_xlfn.XLOOKUP(
  1,
  (Lists3.1_Longlist[IUD]=Lists3.1_Shortlist[[#This Row],[IUD]]) *
  (Lists3.1_Longlist[Language]=Language),
  Lists3.1_Longlist[Mat. Cat. 3]
)=0,"",_xlfn.XLOOKUP(
  1,
  (Lists3.1_Longlist[IUD]=Lists3.1_Shortlist[[#This Row],[IUD]]) *
  (Lists3.1_Longlist[Language]=Language),
  Lists3.1_Longlist[Mat. Cat. 3]
))</f>
        <v>Gallium</v>
      </c>
      <c r="F209" s="32" t="s">
        <v>88</v>
      </c>
      <c r="G209" s="32" t="s">
        <v>28165</v>
      </c>
      <c r="H209" s="30"/>
      <c r="I209" s="30"/>
      <c r="J209" s="30"/>
      <c r="K209" s="30"/>
      <c r="L209" s="30"/>
      <c r="M209" s="30"/>
      <c r="N209" s="30"/>
      <c r="O209" s="30"/>
      <c r="P209" s="30"/>
      <c r="Q209" s="30"/>
      <c r="R209" s="30"/>
      <c r="S209" s="30"/>
      <c r="T209" s="30"/>
      <c r="U209" s="30"/>
      <c r="V209" s="30"/>
      <c r="W209" s="30"/>
      <c r="X209" s="30"/>
      <c r="Y209" s="30"/>
    </row>
    <row r="210" spans="1:25" x14ac:dyDescent="0.25">
      <c r="A210" s="30"/>
      <c r="B210" s="41" t="s">
        <v>1097</v>
      </c>
      <c r="C210" s="41" t="str" cm="1">
        <f t="array" ref="C210">_xlfn.XLOOKUP(
  1,
  (Lists3.1_Longlist[IUD]=Lists3.1_Shortlist[[#This Row],[IUD]]) *
  (Lists3.1_Longlist[Language]=Language),
  Lists3.1_Longlist[Mat. Cat 1]
)</f>
        <v>Métaux</v>
      </c>
      <c r="D210" s="41" t="str" cm="1">
        <f t="array" ref="D210">IF(_xlfn.XLOOKUP(
  1,
  (Lists3.1_Longlist[IUD]=Lists3.1_Shortlist[[#This Row],[IUD]]) *
  (Lists3.1_Longlist[Language]=Language),
  Lists3.1_Longlist[Mat. Cat. 2]
)=0,"",_xlfn.XLOOKUP(
  1,
  (Lists3.1_Longlist[IUD]=Lists3.1_Shortlist[[#This Row],[IUD]]) *
  (Lists3.1_Longlist[Language]=Language),
  Lists3.1_Longlist[Mat. Cat. 2]
))</f>
        <v>Non ferreux</v>
      </c>
      <c r="E210" s="41" t="str" cm="1">
        <f t="array" ref="E210">IF(_xlfn.XLOOKUP(
  1,
  (Lists3.1_Longlist[IUD]=Lists3.1_Shortlist[[#This Row],[IUD]]) *
  (Lists3.1_Longlist[Language]=Language),
  Lists3.1_Longlist[Mat. Cat. 3]
)=0,"",_xlfn.XLOOKUP(
  1,
  (Lists3.1_Longlist[IUD]=Lists3.1_Shortlist[[#This Row],[IUD]]) *
  (Lists3.1_Longlist[Language]=Language),
  Lists3.1_Longlist[Mat. Cat. 3]
))</f>
        <v>Or</v>
      </c>
      <c r="F210" s="32" t="s">
        <v>88</v>
      </c>
      <c r="G210" s="32" t="s">
        <v>28166</v>
      </c>
      <c r="H210" s="30"/>
      <c r="I210" s="30"/>
      <c r="J210" s="30"/>
      <c r="K210" s="30"/>
      <c r="L210" s="30"/>
      <c r="M210" s="30"/>
      <c r="N210" s="30"/>
      <c r="O210" s="30"/>
      <c r="P210" s="30"/>
      <c r="Q210" s="30"/>
      <c r="R210" s="30"/>
      <c r="S210" s="30"/>
      <c r="T210" s="30"/>
      <c r="U210" s="30"/>
      <c r="V210" s="30"/>
      <c r="W210" s="30"/>
      <c r="X210" s="30"/>
      <c r="Y210" s="30"/>
    </row>
    <row r="211" spans="1:25" x14ac:dyDescent="0.25">
      <c r="A211" s="30"/>
      <c r="B211" s="41" t="s">
        <v>1098</v>
      </c>
      <c r="C211" s="41" t="str" cm="1">
        <f t="array" ref="C211">_xlfn.XLOOKUP(
  1,
  (Lists3.1_Longlist[IUD]=Lists3.1_Shortlist[[#This Row],[IUD]]) *
  (Lists3.1_Longlist[Language]=Language),
  Lists3.1_Longlist[Mat. Cat 1]
)</f>
        <v>Métaux</v>
      </c>
      <c r="D211" s="41" t="str" cm="1">
        <f t="array" ref="D211">IF(_xlfn.XLOOKUP(
  1,
  (Lists3.1_Longlist[IUD]=Lists3.1_Shortlist[[#This Row],[IUD]]) *
  (Lists3.1_Longlist[Language]=Language),
  Lists3.1_Longlist[Mat. Cat. 2]
)=0,"",_xlfn.XLOOKUP(
  1,
  (Lists3.1_Longlist[IUD]=Lists3.1_Shortlist[[#This Row],[IUD]]) *
  (Lists3.1_Longlist[Language]=Language),
  Lists3.1_Longlist[Mat. Cat. 2]
))</f>
        <v>Non ferreux</v>
      </c>
      <c r="E211" s="41" t="str" cm="1">
        <f t="array" ref="E211">IF(_xlfn.XLOOKUP(
  1,
  (Lists3.1_Longlist[IUD]=Lists3.1_Shortlist[[#This Row],[IUD]]) *
  (Lists3.1_Longlist[Language]=Language),
  Lists3.1_Longlist[Mat. Cat. 3]
)=0,"",_xlfn.XLOOKUP(
  1,
  (Lists3.1_Longlist[IUD]=Lists3.1_Shortlist[[#This Row],[IUD]]) *
  (Lists3.1_Longlist[Language]=Language),
  Lists3.1_Longlist[Mat. Cat. 3]
))</f>
        <v>Indium</v>
      </c>
      <c r="F211" s="32" t="s">
        <v>88</v>
      </c>
      <c r="G211" s="32" t="s">
        <v>28167</v>
      </c>
      <c r="H211" s="30"/>
      <c r="I211" s="30"/>
      <c r="J211" s="30"/>
      <c r="K211" s="30"/>
      <c r="L211" s="30"/>
      <c r="M211" s="30"/>
      <c r="N211" s="30"/>
      <c r="O211" s="30"/>
      <c r="P211" s="30"/>
      <c r="Q211" s="30"/>
      <c r="R211" s="30"/>
      <c r="S211" s="30"/>
      <c r="T211" s="30"/>
      <c r="U211" s="30"/>
      <c r="V211" s="30"/>
      <c r="W211" s="30"/>
      <c r="X211" s="30"/>
      <c r="Y211" s="30"/>
    </row>
    <row r="212" spans="1:25" x14ac:dyDescent="0.25">
      <c r="A212" s="30"/>
      <c r="B212" s="41" t="s">
        <v>1099</v>
      </c>
      <c r="C212" s="41" t="str" cm="1">
        <f t="array" ref="C212">_xlfn.XLOOKUP(
  1,
  (Lists3.1_Longlist[IUD]=Lists3.1_Shortlist[[#This Row],[IUD]]) *
  (Lists3.1_Longlist[Language]=Language),
  Lists3.1_Longlist[Mat. Cat 1]
)</f>
        <v>Métaux</v>
      </c>
      <c r="D212" s="41" t="str" cm="1">
        <f t="array" ref="D212">IF(_xlfn.XLOOKUP(
  1,
  (Lists3.1_Longlist[IUD]=Lists3.1_Shortlist[[#This Row],[IUD]]) *
  (Lists3.1_Longlist[Language]=Language),
  Lists3.1_Longlist[Mat. Cat. 2]
)=0,"",_xlfn.XLOOKUP(
  1,
  (Lists3.1_Longlist[IUD]=Lists3.1_Shortlist[[#This Row],[IUD]]) *
  (Lists3.1_Longlist[Language]=Language),
  Lists3.1_Longlist[Mat. Cat. 2]
))</f>
        <v>Non ferreux</v>
      </c>
      <c r="E212" s="41" t="str" cm="1">
        <f t="array" ref="E212">IF(_xlfn.XLOOKUP(
  1,
  (Lists3.1_Longlist[IUD]=Lists3.1_Shortlist[[#This Row],[IUD]]) *
  (Lists3.1_Longlist[Language]=Language),
  Lists3.1_Longlist[Mat. Cat. 3]
)=0,"",_xlfn.XLOOKUP(
  1,
  (Lists3.1_Longlist[IUD]=Lists3.1_Shortlist[[#This Row],[IUD]]) *
  (Lists3.1_Longlist[Language]=Language),
  Lists3.1_Longlist[Mat. Cat. 3]
))</f>
        <v>Plomb</v>
      </c>
      <c r="F212" s="32" t="s">
        <v>88</v>
      </c>
      <c r="G212" s="32" t="s">
        <v>28168</v>
      </c>
      <c r="H212" s="30"/>
      <c r="I212" s="30"/>
      <c r="J212" s="30"/>
      <c r="K212" s="30"/>
      <c r="L212" s="30"/>
      <c r="M212" s="30"/>
      <c r="N212" s="30"/>
      <c r="O212" s="30"/>
      <c r="P212" s="30"/>
      <c r="Q212" s="30"/>
      <c r="R212" s="30"/>
      <c r="S212" s="30"/>
      <c r="T212" s="30"/>
      <c r="U212" s="30"/>
      <c r="V212" s="30"/>
      <c r="W212" s="30"/>
      <c r="X212" s="30"/>
      <c r="Y212" s="30"/>
    </row>
    <row r="213" spans="1:25" x14ac:dyDescent="0.25">
      <c r="A213" s="30"/>
      <c r="B213" s="41" t="s">
        <v>1100</v>
      </c>
      <c r="C213" s="41" t="str" cm="1">
        <f t="array" ref="C213">_xlfn.XLOOKUP(
  1,
  (Lists3.1_Longlist[IUD]=Lists3.1_Shortlist[[#This Row],[IUD]]) *
  (Lists3.1_Longlist[Language]=Language),
  Lists3.1_Longlist[Mat. Cat 1]
)</f>
        <v>Métaux</v>
      </c>
      <c r="D213" s="41" t="str" cm="1">
        <f t="array" ref="D213">IF(_xlfn.XLOOKUP(
  1,
  (Lists3.1_Longlist[IUD]=Lists3.1_Shortlist[[#This Row],[IUD]]) *
  (Lists3.1_Longlist[Language]=Language),
  Lists3.1_Longlist[Mat. Cat. 2]
)=0,"",_xlfn.XLOOKUP(
  1,
  (Lists3.1_Longlist[IUD]=Lists3.1_Shortlist[[#This Row],[IUD]]) *
  (Lists3.1_Longlist[Language]=Language),
  Lists3.1_Longlist[Mat. Cat. 2]
))</f>
        <v>Non ferreux</v>
      </c>
      <c r="E213" s="41" t="str" cm="1">
        <f t="array" ref="E213">IF(_xlfn.XLOOKUP(
  1,
  (Lists3.1_Longlist[IUD]=Lists3.1_Shortlist[[#This Row],[IUD]]) *
  (Lists3.1_Longlist[Language]=Language),
  Lists3.1_Longlist[Mat. Cat. 3]
)=0,"",_xlfn.XLOOKUP(
  1,
  (Lists3.1_Longlist[IUD]=Lists3.1_Shortlist[[#This Row],[IUD]]) *
  (Lists3.1_Longlist[Language]=Language),
  Lists3.1_Longlist[Mat. Cat. 3]
))</f>
        <v>Lithium</v>
      </c>
      <c r="F213" s="32" t="s">
        <v>88</v>
      </c>
      <c r="G213" s="32" t="s">
        <v>28169</v>
      </c>
      <c r="H213" s="30"/>
      <c r="I213" s="30"/>
      <c r="J213" s="30"/>
      <c r="K213" s="30"/>
      <c r="L213" s="30"/>
      <c r="M213" s="30"/>
      <c r="N213" s="30"/>
      <c r="O213" s="30"/>
      <c r="P213" s="30"/>
      <c r="Q213" s="30"/>
      <c r="R213" s="30"/>
      <c r="S213" s="30"/>
      <c r="T213" s="30"/>
      <c r="U213" s="30"/>
      <c r="V213" s="30"/>
      <c r="W213" s="30"/>
      <c r="X213" s="30"/>
      <c r="Y213" s="30"/>
    </row>
    <row r="214" spans="1:25" x14ac:dyDescent="0.25">
      <c r="A214" s="30"/>
      <c r="B214" s="41" t="s">
        <v>1101</v>
      </c>
      <c r="C214" s="41" t="str" cm="1">
        <f t="array" ref="C214">_xlfn.XLOOKUP(
  1,
  (Lists3.1_Longlist[IUD]=Lists3.1_Shortlist[[#This Row],[IUD]]) *
  (Lists3.1_Longlist[Language]=Language),
  Lists3.1_Longlist[Mat. Cat 1]
)</f>
        <v>Métaux</v>
      </c>
      <c r="D214" s="41" t="str" cm="1">
        <f t="array" ref="D214">IF(_xlfn.XLOOKUP(
  1,
  (Lists3.1_Longlist[IUD]=Lists3.1_Shortlist[[#This Row],[IUD]]) *
  (Lists3.1_Longlist[Language]=Language),
  Lists3.1_Longlist[Mat. Cat. 2]
)=0,"",_xlfn.XLOOKUP(
  1,
  (Lists3.1_Longlist[IUD]=Lists3.1_Shortlist[[#This Row],[IUD]]) *
  (Lists3.1_Longlist[Language]=Language),
  Lists3.1_Longlist[Mat. Cat. 2]
))</f>
        <v>Non ferreux</v>
      </c>
      <c r="E214" s="41" t="str" cm="1">
        <f t="array" ref="E214">IF(_xlfn.XLOOKUP(
  1,
  (Lists3.1_Longlist[IUD]=Lists3.1_Shortlist[[#This Row],[IUD]]) *
  (Lists3.1_Longlist[Language]=Language),
  Lists3.1_Longlist[Mat. Cat. 3]
)=0,"",_xlfn.XLOOKUP(
  1,
  (Lists3.1_Longlist[IUD]=Lists3.1_Shortlist[[#This Row],[IUD]]) *
  (Lists3.1_Longlist[Language]=Language),
  Lists3.1_Longlist[Mat. Cat. 3]
))</f>
        <v>Magnésium</v>
      </c>
      <c r="F214" s="32" t="s">
        <v>88</v>
      </c>
      <c r="G214" s="32" t="s">
        <v>28170</v>
      </c>
      <c r="H214" s="44"/>
      <c r="I214" s="30"/>
      <c r="J214" s="30"/>
      <c r="K214" s="30"/>
      <c r="L214" s="30"/>
      <c r="M214" s="30"/>
      <c r="N214" s="30"/>
      <c r="O214" s="30"/>
      <c r="P214" s="30"/>
      <c r="Q214" s="30"/>
      <c r="R214" s="30"/>
      <c r="S214" s="30"/>
      <c r="T214" s="30"/>
      <c r="U214" s="30"/>
      <c r="V214" s="30"/>
      <c r="W214" s="30"/>
      <c r="X214" s="30"/>
      <c r="Y214" s="30"/>
    </row>
    <row r="215" spans="1:25" x14ac:dyDescent="0.25">
      <c r="A215" s="30"/>
      <c r="B215" s="41" t="s">
        <v>1102</v>
      </c>
      <c r="C215" s="41" t="str" cm="1">
        <f t="array" ref="C215">_xlfn.XLOOKUP(
  1,
  (Lists3.1_Longlist[IUD]=Lists3.1_Shortlist[[#This Row],[IUD]]) *
  (Lists3.1_Longlist[Language]=Language),
  Lists3.1_Longlist[Mat. Cat 1]
)</f>
        <v>Métaux</v>
      </c>
      <c r="D215" s="41" t="str" cm="1">
        <f t="array" ref="D215">IF(_xlfn.XLOOKUP(
  1,
  (Lists3.1_Longlist[IUD]=Lists3.1_Shortlist[[#This Row],[IUD]]) *
  (Lists3.1_Longlist[Language]=Language),
  Lists3.1_Longlist[Mat. Cat. 2]
)=0,"",_xlfn.XLOOKUP(
  1,
  (Lists3.1_Longlist[IUD]=Lists3.1_Shortlist[[#This Row],[IUD]]) *
  (Lists3.1_Longlist[Language]=Language),
  Lists3.1_Longlist[Mat. Cat. 2]
))</f>
        <v>Non ferreux</v>
      </c>
      <c r="E215" s="41" t="str" cm="1">
        <f t="array" ref="E215">IF(_xlfn.XLOOKUP(
  1,
  (Lists3.1_Longlist[IUD]=Lists3.1_Shortlist[[#This Row],[IUD]]) *
  (Lists3.1_Longlist[Language]=Language),
  Lists3.1_Longlist[Mat. Cat. 3]
)=0,"",_xlfn.XLOOKUP(
  1,
  (Lists3.1_Longlist[IUD]=Lists3.1_Shortlist[[#This Row],[IUD]]) *
  (Lists3.1_Longlist[Language]=Language),
  Lists3.1_Longlist[Mat. Cat. 3]
))</f>
        <v>Manganèse</v>
      </c>
      <c r="F215" s="32" t="s">
        <v>88</v>
      </c>
      <c r="G215" s="32" t="s">
        <v>28171</v>
      </c>
      <c r="H215" s="30"/>
      <c r="I215" s="30"/>
      <c r="J215" s="30"/>
      <c r="K215" s="30"/>
      <c r="L215" s="30"/>
      <c r="M215" s="30"/>
      <c r="N215" s="30"/>
      <c r="O215" s="30"/>
      <c r="P215" s="30"/>
      <c r="Q215" s="30"/>
      <c r="R215" s="30"/>
      <c r="S215" s="30"/>
      <c r="T215" s="30"/>
      <c r="U215" s="30"/>
      <c r="V215" s="30"/>
      <c r="W215" s="30"/>
      <c r="X215" s="30"/>
      <c r="Y215" s="30"/>
    </row>
    <row r="216" spans="1:25" x14ac:dyDescent="0.25">
      <c r="A216" s="30"/>
      <c r="B216" s="41" t="s">
        <v>1103</v>
      </c>
      <c r="C216" s="41" t="str" cm="1">
        <f t="array" ref="C216">_xlfn.XLOOKUP(
  1,
  (Lists3.1_Longlist[IUD]=Lists3.1_Shortlist[[#This Row],[IUD]]) *
  (Lists3.1_Longlist[Language]=Language),
  Lists3.1_Longlist[Mat. Cat 1]
)</f>
        <v>Métaux</v>
      </c>
      <c r="D216" s="41" t="str" cm="1">
        <f t="array" ref="D216">IF(_xlfn.XLOOKUP(
  1,
  (Lists3.1_Longlist[IUD]=Lists3.1_Shortlist[[#This Row],[IUD]]) *
  (Lists3.1_Longlist[Language]=Language),
  Lists3.1_Longlist[Mat. Cat. 2]
)=0,"",_xlfn.XLOOKUP(
  1,
  (Lists3.1_Longlist[IUD]=Lists3.1_Shortlist[[#This Row],[IUD]]) *
  (Lists3.1_Longlist[Language]=Language),
  Lists3.1_Longlist[Mat. Cat. 2]
))</f>
        <v>Non ferreux</v>
      </c>
      <c r="E216" s="41" t="str" cm="1">
        <f t="array" ref="E216">IF(_xlfn.XLOOKUP(
  1,
  (Lists3.1_Longlist[IUD]=Lists3.1_Shortlist[[#This Row],[IUD]]) *
  (Lists3.1_Longlist[Language]=Language),
  Lists3.1_Longlist[Mat. Cat. 3]
)=0,"",_xlfn.XLOOKUP(
  1,
  (Lists3.1_Longlist[IUD]=Lists3.1_Shortlist[[#This Row],[IUD]]) *
  (Lists3.1_Longlist[Language]=Language),
  Lists3.1_Longlist[Mat. Cat. 3]
))</f>
        <v>Mercure</v>
      </c>
      <c r="F216" s="32" t="s">
        <v>88</v>
      </c>
      <c r="G216" s="32" t="s">
        <v>28172</v>
      </c>
      <c r="H216" s="30"/>
      <c r="I216" s="30"/>
      <c r="J216" s="30"/>
      <c r="K216" s="30"/>
      <c r="L216" s="30"/>
      <c r="M216" s="30"/>
      <c r="N216" s="30"/>
      <c r="O216" s="30"/>
      <c r="P216" s="30"/>
      <c r="Q216" s="30"/>
      <c r="R216" s="30"/>
      <c r="S216" s="30"/>
      <c r="T216" s="30"/>
      <c r="U216" s="30"/>
      <c r="V216" s="30"/>
      <c r="W216" s="30"/>
      <c r="X216" s="30"/>
      <c r="Y216" s="30"/>
    </row>
    <row r="217" spans="1:25" x14ac:dyDescent="0.25">
      <c r="A217" s="30"/>
      <c r="B217" s="41" t="s">
        <v>1104</v>
      </c>
      <c r="C217" s="41" t="str" cm="1">
        <f t="array" ref="C217">_xlfn.XLOOKUP(
  1,
  (Lists3.1_Longlist[IUD]=Lists3.1_Shortlist[[#This Row],[IUD]]) *
  (Lists3.1_Longlist[Language]=Language),
  Lists3.1_Longlist[Mat. Cat 1]
)</f>
        <v>Métaux</v>
      </c>
      <c r="D217" s="41" t="str" cm="1">
        <f t="array" ref="D217">IF(_xlfn.XLOOKUP(
  1,
  (Lists3.1_Longlist[IUD]=Lists3.1_Shortlist[[#This Row],[IUD]]) *
  (Lists3.1_Longlist[Language]=Language),
  Lists3.1_Longlist[Mat. Cat. 2]
)=0,"",_xlfn.XLOOKUP(
  1,
  (Lists3.1_Longlist[IUD]=Lists3.1_Shortlist[[#This Row],[IUD]]) *
  (Lists3.1_Longlist[Language]=Language),
  Lists3.1_Longlist[Mat. Cat. 2]
))</f>
        <v>Non ferreux</v>
      </c>
      <c r="E217" s="41" t="str" cm="1">
        <f t="array" ref="E217">IF(_xlfn.XLOOKUP(
  1,
  (Lists3.1_Longlist[IUD]=Lists3.1_Shortlist[[#This Row],[IUD]]) *
  (Lists3.1_Longlist[Language]=Language),
  Lists3.1_Longlist[Mat. Cat. 3]
)=0,"",_xlfn.XLOOKUP(
  1,
  (Lists3.1_Longlist[IUD]=Lists3.1_Shortlist[[#This Row],[IUD]]) *
  (Lists3.1_Longlist[Language]=Language),
  Lists3.1_Longlist[Mat. Cat. 3]
))</f>
        <v>Molybdène</v>
      </c>
      <c r="F217" s="32" t="s">
        <v>88</v>
      </c>
      <c r="G217" s="32" t="s">
        <v>28173</v>
      </c>
      <c r="H217" s="44"/>
      <c r="I217" s="30"/>
      <c r="J217" s="30"/>
      <c r="K217" s="30"/>
      <c r="L217" s="30"/>
      <c r="M217" s="30"/>
      <c r="N217" s="30"/>
      <c r="O217" s="30"/>
      <c r="P217" s="30"/>
      <c r="Q217" s="30"/>
      <c r="R217" s="30"/>
      <c r="S217" s="30"/>
      <c r="T217" s="30"/>
      <c r="U217" s="30"/>
      <c r="V217" s="30"/>
      <c r="W217" s="30"/>
      <c r="X217" s="30"/>
      <c r="Y217" s="30"/>
    </row>
    <row r="218" spans="1:25" x14ac:dyDescent="0.25">
      <c r="A218" s="30"/>
      <c r="B218" s="41" t="s">
        <v>1105</v>
      </c>
      <c r="C218" s="41" t="str" cm="1">
        <f t="array" ref="C218">_xlfn.XLOOKUP(
  1,
  (Lists3.1_Longlist[IUD]=Lists3.1_Shortlist[[#This Row],[IUD]]) *
  (Lists3.1_Longlist[Language]=Language),
  Lists3.1_Longlist[Mat. Cat 1]
)</f>
        <v>Métaux</v>
      </c>
      <c r="D218" s="41" t="str" cm="1">
        <f t="array" ref="D218">IF(_xlfn.XLOOKUP(
  1,
  (Lists3.1_Longlist[IUD]=Lists3.1_Shortlist[[#This Row],[IUD]]) *
  (Lists3.1_Longlist[Language]=Language),
  Lists3.1_Longlist[Mat. Cat. 2]
)=0,"",_xlfn.XLOOKUP(
  1,
  (Lists3.1_Longlist[IUD]=Lists3.1_Shortlist[[#This Row],[IUD]]) *
  (Lists3.1_Longlist[Language]=Language),
  Lists3.1_Longlist[Mat. Cat. 2]
))</f>
        <v>Non ferreux</v>
      </c>
      <c r="E218" s="41" t="str" cm="1">
        <f t="array" ref="E218">IF(_xlfn.XLOOKUP(
  1,
  (Lists3.1_Longlist[IUD]=Lists3.1_Shortlist[[#This Row],[IUD]]) *
  (Lists3.1_Longlist[Language]=Language),
  Lists3.1_Longlist[Mat. Cat. 3]
)=0,"",_xlfn.XLOOKUP(
  1,
  (Lists3.1_Longlist[IUD]=Lists3.1_Shortlist[[#This Row],[IUD]]) *
  (Lists3.1_Longlist[Language]=Language),
  Lists3.1_Longlist[Mat. Cat. 3]
))</f>
        <v>Nickel</v>
      </c>
      <c r="F218" s="32" t="s">
        <v>88</v>
      </c>
      <c r="G218" s="32" t="s">
        <v>28174</v>
      </c>
      <c r="H218" s="44"/>
      <c r="I218" s="30"/>
      <c r="J218" s="30"/>
      <c r="K218" s="30"/>
      <c r="L218" s="30"/>
      <c r="M218" s="30"/>
      <c r="N218" s="30"/>
      <c r="O218" s="30"/>
      <c r="P218" s="30"/>
      <c r="Q218" s="30"/>
      <c r="R218" s="30"/>
      <c r="S218" s="30"/>
      <c r="T218" s="30"/>
      <c r="U218" s="30"/>
      <c r="V218" s="30"/>
      <c r="W218" s="30"/>
      <c r="X218" s="30"/>
      <c r="Y218" s="30"/>
    </row>
    <row r="219" spans="1:25" x14ac:dyDescent="0.25">
      <c r="A219" s="30"/>
      <c r="B219" s="41" t="s">
        <v>1106</v>
      </c>
      <c r="C219" s="41" t="str" cm="1">
        <f t="array" ref="C219">_xlfn.XLOOKUP(
  1,
  (Lists3.1_Longlist[IUD]=Lists3.1_Shortlist[[#This Row],[IUD]]) *
  (Lists3.1_Longlist[Language]=Language),
  Lists3.1_Longlist[Mat. Cat 1]
)</f>
        <v>Métaux</v>
      </c>
      <c r="D219" s="41" t="str" cm="1">
        <f t="array" ref="D219">IF(_xlfn.XLOOKUP(
  1,
  (Lists3.1_Longlist[IUD]=Lists3.1_Shortlist[[#This Row],[IUD]]) *
  (Lists3.1_Longlist[Language]=Language),
  Lists3.1_Longlist[Mat. Cat. 2]
)=0,"",_xlfn.XLOOKUP(
  1,
  (Lists3.1_Longlist[IUD]=Lists3.1_Shortlist[[#This Row],[IUD]]) *
  (Lists3.1_Longlist[Language]=Language),
  Lists3.1_Longlist[Mat. Cat. 2]
))</f>
        <v>Non ferreux</v>
      </c>
      <c r="E219" s="41" t="str" cm="1">
        <f t="array" ref="E219">IF(_xlfn.XLOOKUP(
  1,
  (Lists3.1_Longlist[IUD]=Lists3.1_Shortlist[[#This Row],[IUD]]) *
  (Lists3.1_Longlist[Language]=Language),
  Lists3.1_Longlist[Mat. Cat. 3]
)=0,"",_xlfn.XLOOKUP(
  1,
  (Lists3.1_Longlist[IUD]=Lists3.1_Shortlist[[#This Row],[IUD]]) *
  (Lists3.1_Longlist[Language]=Language),
  Lists3.1_Longlist[Mat. Cat. 3]
))</f>
        <v>Palladium</v>
      </c>
      <c r="F219" s="32" t="s">
        <v>88</v>
      </c>
      <c r="G219" s="32" t="s">
        <v>28175</v>
      </c>
      <c r="H219" s="44"/>
      <c r="I219" s="30"/>
      <c r="J219" s="30"/>
      <c r="K219" s="30"/>
      <c r="L219" s="30"/>
      <c r="M219" s="30"/>
      <c r="N219" s="30"/>
      <c r="O219" s="30"/>
      <c r="P219" s="30"/>
      <c r="Q219" s="30"/>
      <c r="R219" s="30"/>
      <c r="S219" s="30"/>
      <c r="T219" s="30"/>
      <c r="U219" s="30"/>
      <c r="V219" s="30"/>
      <c r="W219" s="30"/>
      <c r="X219" s="30"/>
      <c r="Y219" s="30"/>
    </row>
    <row r="220" spans="1:25" x14ac:dyDescent="0.25">
      <c r="A220" s="30"/>
      <c r="B220" s="41" t="s">
        <v>1107</v>
      </c>
      <c r="C220" s="41" t="str" cm="1">
        <f t="array" ref="C220">_xlfn.XLOOKUP(
  1,
  (Lists3.1_Longlist[IUD]=Lists3.1_Shortlist[[#This Row],[IUD]]) *
  (Lists3.1_Longlist[Language]=Language),
  Lists3.1_Longlist[Mat. Cat 1]
)</f>
        <v>Métaux</v>
      </c>
      <c r="D220" s="41" t="str" cm="1">
        <f t="array" ref="D220">IF(_xlfn.XLOOKUP(
  1,
  (Lists3.1_Longlist[IUD]=Lists3.1_Shortlist[[#This Row],[IUD]]) *
  (Lists3.1_Longlist[Language]=Language),
  Lists3.1_Longlist[Mat. Cat. 2]
)=0,"",_xlfn.XLOOKUP(
  1,
  (Lists3.1_Longlist[IUD]=Lists3.1_Shortlist[[#This Row],[IUD]]) *
  (Lists3.1_Longlist[Language]=Language),
  Lists3.1_Longlist[Mat. Cat. 2]
))</f>
        <v>Non ferreux</v>
      </c>
      <c r="E220" s="41" t="str" cm="1">
        <f t="array" ref="E220">IF(_xlfn.XLOOKUP(
  1,
  (Lists3.1_Longlist[IUD]=Lists3.1_Shortlist[[#This Row],[IUD]]) *
  (Lists3.1_Longlist[Language]=Language),
  Lists3.1_Longlist[Mat. Cat. 3]
)=0,"",_xlfn.XLOOKUP(
  1,
  (Lists3.1_Longlist[IUD]=Lists3.1_Shortlist[[#This Row],[IUD]]) *
  (Lists3.1_Longlist[Language]=Language),
  Lists3.1_Longlist[Mat. Cat. 3]
))</f>
        <v>Platine</v>
      </c>
      <c r="F220" s="32" t="s">
        <v>88</v>
      </c>
      <c r="G220" s="32" t="s">
        <v>28176</v>
      </c>
      <c r="H220" s="44"/>
      <c r="I220" s="30"/>
      <c r="J220" s="30"/>
      <c r="K220" s="30"/>
      <c r="L220" s="30"/>
      <c r="M220" s="30"/>
      <c r="N220" s="30"/>
      <c r="O220" s="30"/>
      <c r="P220" s="30"/>
      <c r="Q220" s="30"/>
      <c r="R220" s="30"/>
      <c r="S220" s="30"/>
      <c r="T220" s="30"/>
      <c r="U220" s="30"/>
      <c r="V220" s="30"/>
      <c r="W220" s="30"/>
      <c r="X220" s="30"/>
      <c r="Y220" s="30"/>
    </row>
    <row r="221" spans="1:25" x14ac:dyDescent="0.25">
      <c r="A221" s="30"/>
      <c r="B221" s="41" t="s">
        <v>1108</v>
      </c>
      <c r="C221" s="41" t="str" cm="1">
        <f t="array" ref="C221">_xlfn.XLOOKUP(
  1,
  (Lists3.1_Longlist[IUD]=Lists3.1_Shortlist[[#This Row],[IUD]]) *
  (Lists3.1_Longlist[Language]=Language),
  Lists3.1_Longlist[Mat. Cat 1]
)</f>
        <v>Métaux</v>
      </c>
      <c r="D221" s="41" t="str" cm="1">
        <f t="array" ref="D221">IF(_xlfn.XLOOKUP(
  1,
  (Lists3.1_Longlist[IUD]=Lists3.1_Shortlist[[#This Row],[IUD]]) *
  (Lists3.1_Longlist[Language]=Language),
  Lists3.1_Longlist[Mat. Cat. 2]
)=0,"",_xlfn.XLOOKUP(
  1,
  (Lists3.1_Longlist[IUD]=Lists3.1_Shortlist[[#This Row],[IUD]]) *
  (Lists3.1_Longlist[Language]=Language),
  Lists3.1_Longlist[Mat. Cat. 2]
))</f>
        <v>Non ferreux</v>
      </c>
      <c r="E221" s="41" t="str" cm="1">
        <f t="array" ref="E221">IF(_xlfn.XLOOKUP(
  1,
  (Lists3.1_Longlist[IUD]=Lists3.1_Shortlist[[#This Row],[IUD]]) *
  (Lists3.1_Longlist[Language]=Language),
  Lists3.1_Longlist[Mat. Cat. 3]
)=0,"",_xlfn.XLOOKUP(
  1,
  (Lists3.1_Longlist[IUD]=Lists3.1_Shortlist[[#This Row],[IUD]]) *
  (Lists3.1_Longlist[Language]=Language),
  Lists3.1_Longlist[Mat. Cat. 3]
))</f>
        <v>Argent</v>
      </c>
      <c r="F221" s="32" t="s">
        <v>88</v>
      </c>
      <c r="G221" s="32" t="s">
        <v>28177</v>
      </c>
      <c r="H221" s="30"/>
      <c r="I221" s="30"/>
      <c r="J221" s="30"/>
      <c r="K221" s="30"/>
      <c r="L221" s="30"/>
      <c r="M221" s="30"/>
      <c r="N221" s="30"/>
      <c r="O221" s="30"/>
      <c r="P221" s="30"/>
      <c r="Q221" s="30"/>
      <c r="R221" s="30"/>
      <c r="S221" s="30"/>
      <c r="T221" s="30"/>
      <c r="U221" s="30"/>
      <c r="V221" s="30"/>
      <c r="W221" s="30"/>
      <c r="X221" s="30"/>
      <c r="Y221" s="30"/>
    </row>
    <row r="222" spans="1:25" x14ac:dyDescent="0.25">
      <c r="A222" s="30"/>
      <c r="B222" s="41" t="s">
        <v>1109</v>
      </c>
      <c r="C222" s="41" t="str" cm="1">
        <f t="array" ref="C222">_xlfn.XLOOKUP(
  1,
  (Lists3.1_Longlist[IUD]=Lists3.1_Shortlist[[#This Row],[IUD]]) *
  (Lists3.1_Longlist[Language]=Language),
  Lists3.1_Longlist[Mat. Cat 1]
)</f>
        <v>Métaux</v>
      </c>
      <c r="D222" s="41" t="str" cm="1">
        <f t="array" ref="D222">IF(_xlfn.XLOOKUP(
  1,
  (Lists3.1_Longlist[IUD]=Lists3.1_Shortlist[[#This Row],[IUD]]) *
  (Lists3.1_Longlist[Language]=Language),
  Lists3.1_Longlist[Mat. Cat. 2]
)=0,"",_xlfn.XLOOKUP(
  1,
  (Lists3.1_Longlist[IUD]=Lists3.1_Shortlist[[#This Row],[IUD]]) *
  (Lists3.1_Longlist[Language]=Language),
  Lists3.1_Longlist[Mat. Cat. 2]
))</f>
        <v>Non ferreux</v>
      </c>
      <c r="E222" s="41" t="str" cm="1">
        <f t="array" ref="E222">IF(_xlfn.XLOOKUP(
  1,
  (Lists3.1_Longlist[IUD]=Lists3.1_Shortlist[[#This Row],[IUD]]) *
  (Lists3.1_Longlist[Language]=Language),
  Lists3.1_Longlist[Mat. Cat. 3]
)=0,"",_xlfn.XLOOKUP(
  1,
  (Lists3.1_Longlist[IUD]=Lists3.1_Shortlist[[#This Row],[IUD]]) *
  (Lists3.1_Longlist[Language]=Language),
  Lists3.1_Longlist[Mat. Cat. 3]
))</f>
        <v>Tantale</v>
      </c>
      <c r="F222" s="32" t="s">
        <v>88</v>
      </c>
      <c r="G222" s="32" t="s">
        <v>28178</v>
      </c>
      <c r="H222" s="30"/>
      <c r="I222" s="30"/>
      <c r="J222" s="30"/>
      <c r="K222" s="30"/>
      <c r="L222" s="30"/>
      <c r="M222" s="30"/>
      <c r="N222" s="30"/>
      <c r="O222" s="30"/>
      <c r="P222" s="30"/>
      <c r="Q222" s="30"/>
      <c r="R222" s="30"/>
      <c r="S222" s="30"/>
      <c r="T222" s="30"/>
      <c r="U222" s="30"/>
      <c r="V222" s="30"/>
      <c r="W222" s="30"/>
      <c r="X222" s="30"/>
      <c r="Y222" s="30"/>
    </row>
    <row r="223" spans="1:25" x14ac:dyDescent="0.25">
      <c r="A223" s="30"/>
      <c r="B223" s="41" t="s">
        <v>1110</v>
      </c>
      <c r="C223" s="41" t="str" cm="1">
        <f t="array" ref="C223">_xlfn.XLOOKUP(
  1,
  (Lists3.1_Longlist[IUD]=Lists3.1_Shortlist[[#This Row],[IUD]]) *
  (Lists3.1_Longlist[Language]=Language),
  Lists3.1_Longlist[Mat. Cat 1]
)</f>
        <v>Métaux</v>
      </c>
      <c r="D223" s="41" t="str" cm="1">
        <f t="array" ref="D223">IF(_xlfn.XLOOKUP(
  1,
  (Lists3.1_Longlist[IUD]=Lists3.1_Shortlist[[#This Row],[IUD]]) *
  (Lists3.1_Longlist[Language]=Language),
  Lists3.1_Longlist[Mat. Cat. 2]
)=0,"",_xlfn.XLOOKUP(
  1,
  (Lists3.1_Longlist[IUD]=Lists3.1_Shortlist[[#This Row],[IUD]]) *
  (Lists3.1_Longlist[Language]=Language),
  Lists3.1_Longlist[Mat. Cat. 2]
))</f>
        <v>Non ferreux</v>
      </c>
      <c r="E223" s="41" t="str" cm="1">
        <f t="array" ref="E223">IF(_xlfn.XLOOKUP(
  1,
  (Lists3.1_Longlist[IUD]=Lists3.1_Shortlist[[#This Row],[IUD]]) *
  (Lists3.1_Longlist[Language]=Language),
  Lists3.1_Longlist[Mat. Cat. 3]
)=0,"",_xlfn.XLOOKUP(
  1,
  (Lists3.1_Longlist[IUD]=Lists3.1_Shortlist[[#This Row],[IUD]]) *
  (Lists3.1_Longlist[Language]=Language),
  Lists3.1_Longlist[Mat. Cat. 3]
))</f>
        <v>Étain</v>
      </c>
      <c r="F223" s="32" t="s">
        <v>88</v>
      </c>
      <c r="G223" s="32" t="s">
        <v>28179</v>
      </c>
      <c r="H223" s="30"/>
      <c r="I223" s="30"/>
      <c r="J223" s="30"/>
      <c r="K223" s="30"/>
      <c r="L223" s="30"/>
      <c r="M223" s="30"/>
      <c r="N223" s="30"/>
      <c r="O223" s="30"/>
      <c r="P223" s="30"/>
      <c r="Q223" s="30"/>
      <c r="R223" s="30"/>
      <c r="S223" s="30"/>
      <c r="T223" s="30"/>
      <c r="U223" s="30"/>
      <c r="V223" s="30"/>
      <c r="W223" s="30"/>
      <c r="X223" s="30"/>
      <c r="Y223" s="30"/>
    </row>
    <row r="224" spans="1:25" x14ac:dyDescent="0.25">
      <c r="A224" s="30"/>
      <c r="B224" s="41" t="s">
        <v>1111</v>
      </c>
      <c r="C224" s="41" t="str" cm="1">
        <f t="array" ref="C224">_xlfn.XLOOKUP(
  1,
  (Lists3.1_Longlist[IUD]=Lists3.1_Shortlist[[#This Row],[IUD]]) *
  (Lists3.1_Longlist[Language]=Language),
  Lists3.1_Longlist[Mat. Cat 1]
)</f>
        <v>Métaux</v>
      </c>
      <c r="D224" s="41" t="str" cm="1">
        <f t="array" ref="D224">IF(_xlfn.XLOOKUP(
  1,
  (Lists3.1_Longlist[IUD]=Lists3.1_Shortlist[[#This Row],[IUD]]) *
  (Lists3.1_Longlist[Language]=Language),
  Lists3.1_Longlist[Mat. Cat. 2]
)=0,"",_xlfn.XLOOKUP(
  1,
  (Lists3.1_Longlist[IUD]=Lists3.1_Shortlist[[#This Row],[IUD]]) *
  (Lists3.1_Longlist[Language]=Language),
  Lists3.1_Longlist[Mat. Cat. 2]
))</f>
        <v>Non ferreux</v>
      </c>
      <c r="E224" s="41" t="str" cm="1">
        <f t="array" ref="E224">IF(_xlfn.XLOOKUP(
  1,
  (Lists3.1_Longlist[IUD]=Lists3.1_Shortlist[[#This Row],[IUD]]) *
  (Lists3.1_Longlist[Language]=Language),
  Lists3.1_Longlist[Mat. Cat. 3]
)=0,"",_xlfn.XLOOKUP(
  1,
  (Lists3.1_Longlist[IUD]=Lists3.1_Shortlist[[#This Row],[IUD]]) *
  (Lists3.1_Longlist[Language]=Language),
  Lists3.1_Longlist[Mat. Cat. 3]
))</f>
        <v>Titane</v>
      </c>
      <c r="F224" s="32" t="s">
        <v>88</v>
      </c>
      <c r="G224" s="32" t="s">
        <v>28180</v>
      </c>
      <c r="H224" s="30"/>
      <c r="I224" s="30"/>
      <c r="J224" s="30"/>
      <c r="K224" s="30"/>
      <c r="L224" s="30"/>
      <c r="M224" s="30"/>
      <c r="N224" s="30"/>
      <c r="O224" s="30"/>
      <c r="P224" s="30"/>
      <c r="Q224" s="30"/>
      <c r="R224" s="30"/>
      <c r="S224" s="30"/>
      <c r="T224" s="30"/>
      <c r="U224" s="30"/>
      <c r="V224" s="30"/>
      <c r="W224" s="30"/>
      <c r="X224" s="30"/>
      <c r="Y224" s="30"/>
    </row>
    <row r="225" spans="1:25" x14ac:dyDescent="0.25">
      <c r="A225" s="30"/>
      <c r="B225" s="41" t="s">
        <v>1112</v>
      </c>
      <c r="C225" s="41" t="str" cm="1">
        <f t="array" ref="C225">_xlfn.XLOOKUP(
  1,
  (Lists3.1_Longlist[IUD]=Lists3.1_Shortlist[[#This Row],[IUD]]) *
  (Lists3.1_Longlist[Language]=Language),
  Lists3.1_Longlist[Mat. Cat 1]
)</f>
        <v>Métaux</v>
      </c>
      <c r="D225" s="41" t="str" cm="1">
        <f t="array" ref="D225">IF(_xlfn.XLOOKUP(
  1,
  (Lists3.1_Longlist[IUD]=Lists3.1_Shortlist[[#This Row],[IUD]]) *
  (Lists3.1_Longlist[Language]=Language),
  Lists3.1_Longlist[Mat. Cat. 2]
)=0,"",_xlfn.XLOOKUP(
  1,
  (Lists3.1_Longlist[IUD]=Lists3.1_Shortlist[[#This Row],[IUD]]) *
  (Lists3.1_Longlist[Language]=Language),
  Lists3.1_Longlist[Mat. Cat. 2]
))</f>
        <v>Non ferreux</v>
      </c>
      <c r="E225" s="41" t="str" cm="1">
        <f t="array" ref="E225">IF(_xlfn.XLOOKUP(
  1,
  (Lists3.1_Longlist[IUD]=Lists3.1_Shortlist[[#This Row],[IUD]]) *
  (Lists3.1_Longlist[Language]=Language),
  Lists3.1_Longlist[Mat. Cat. 3]
)=0,"",_xlfn.XLOOKUP(
  1,
  (Lists3.1_Longlist[IUD]=Lists3.1_Shortlist[[#This Row],[IUD]]) *
  (Lists3.1_Longlist[Language]=Language),
  Lists3.1_Longlist[Mat. Cat. 3]
))</f>
        <v>Zinc</v>
      </c>
      <c r="F225" s="32" t="s">
        <v>88</v>
      </c>
      <c r="G225" s="32" t="s">
        <v>28181</v>
      </c>
      <c r="H225" s="30"/>
      <c r="I225" s="30"/>
      <c r="J225" s="30"/>
      <c r="K225" s="30"/>
      <c r="L225" s="30"/>
      <c r="M225" s="30"/>
      <c r="N225" s="30"/>
      <c r="O225" s="30"/>
      <c r="P225" s="30"/>
      <c r="Q225" s="30"/>
      <c r="R225" s="30"/>
      <c r="S225" s="30"/>
      <c r="T225" s="30"/>
      <c r="U225" s="30"/>
      <c r="V225" s="30"/>
      <c r="W225" s="30"/>
      <c r="X225" s="30"/>
      <c r="Y225" s="30"/>
    </row>
    <row r="226" spans="1:25" x14ac:dyDescent="0.25">
      <c r="A226" s="30"/>
      <c r="B226" s="41" t="s">
        <v>1113</v>
      </c>
      <c r="C226" s="41" t="str" cm="1">
        <f t="array" ref="C226">_xlfn.XLOOKUP(
  1,
  (Lists3.1_Longlist[IUD]=Lists3.1_Shortlist[[#This Row],[IUD]]) *
  (Lists3.1_Longlist[Language]=Language),
  Lists3.1_Longlist[Mat. Cat 1]
)</f>
        <v>Minéraux</v>
      </c>
      <c r="D226" s="41" t="str" cm="1">
        <f t="array" ref="D226">IF(_xlfn.XLOOKUP(
  1,
  (Lists3.1_Longlist[IUD]=Lists3.1_Shortlist[[#This Row],[IUD]]) *
  (Lists3.1_Longlist[Language]=Language),
  Lists3.1_Longlist[Mat. Cat. 2]
)=0,"",_xlfn.XLOOKUP(
  1,
  (Lists3.1_Longlist[IUD]=Lists3.1_Shortlist[[#This Row],[IUD]]) *
  (Lists3.1_Longlist[Language]=Language),
  Lists3.1_Longlist[Mat. Cat. 2]
))</f>
        <v>Calcaire</v>
      </c>
      <c r="E226" s="41" t="str" cm="1">
        <f t="array" ref="E226">IF(_xlfn.XLOOKUP(
  1,
  (Lists3.1_Longlist[IUD]=Lists3.1_Shortlist[[#This Row],[IUD]]) *
  (Lists3.1_Longlist[Language]=Language),
  Lists3.1_Longlist[Mat. Cat. 3]
)=0,"",_xlfn.XLOOKUP(
  1,
  (Lists3.1_Longlist[IUD]=Lists3.1_Shortlist[[#This Row],[IUD]]) *
  (Lists3.1_Longlist[Language]=Language),
  Lists3.1_Longlist[Mat. Cat. 3]
))</f>
        <v/>
      </c>
      <c r="F226" s="32" t="s">
        <v>88</v>
      </c>
      <c r="G226" s="32" t="s">
        <v>28182</v>
      </c>
      <c r="H226" s="30"/>
      <c r="I226" s="30"/>
      <c r="J226" s="30"/>
      <c r="K226" s="30"/>
      <c r="L226" s="30"/>
      <c r="M226" s="30"/>
      <c r="N226" s="30"/>
      <c r="O226" s="30"/>
      <c r="P226" s="30"/>
      <c r="Q226" s="30"/>
      <c r="R226" s="30"/>
      <c r="S226" s="30"/>
      <c r="T226" s="30"/>
      <c r="U226" s="30"/>
      <c r="V226" s="30"/>
      <c r="W226" s="30"/>
      <c r="X226" s="30"/>
      <c r="Y226" s="30"/>
    </row>
    <row r="227" spans="1:25" x14ac:dyDescent="0.25">
      <c r="A227" s="30"/>
      <c r="B227" s="41" t="s">
        <v>1114</v>
      </c>
      <c r="C227" s="41" t="str" cm="1">
        <f t="array" ref="C227">_xlfn.XLOOKUP(
  1,
  (Lists3.1_Longlist[IUD]=Lists3.1_Shortlist[[#This Row],[IUD]]) *
  (Lists3.1_Longlist[Language]=Language),
  Lists3.1_Longlist[Mat. Cat 1]
)</f>
        <v>Minéraux</v>
      </c>
      <c r="D227" s="41" t="str" cm="1">
        <f t="array" ref="D227">IF(_xlfn.XLOOKUP(
  1,
  (Lists3.1_Longlist[IUD]=Lists3.1_Shortlist[[#This Row],[IUD]]) *
  (Lists3.1_Longlist[Language]=Language),
  Lists3.1_Longlist[Mat. Cat. 2]
)=0,"",_xlfn.XLOOKUP(
  1,
  (Lists3.1_Longlist[IUD]=Lists3.1_Shortlist[[#This Row],[IUD]]) *
  (Lists3.1_Longlist[Language]=Language),
  Lists3.1_Longlist[Mat. Cat. 2]
))</f>
        <v>Chaux</v>
      </c>
      <c r="E227" s="41" t="str" cm="1">
        <f t="array" ref="E227">IF(_xlfn.XLOOKUP(
  1,
  (Lists3.1_Longlist[IUD]=Lists3.1_Shortlist[[#This Row],[IUD]]) *
  (Lists3.1_Longlist[Language]=Language),
  Lists3.1_Longlist[Mat. Cat. 3]
)=0,"",_xlfn.XLOOKUP(
  1,
  (Lists3.1_Longlist[IUD]=Lists3.1_Shortlist[[#This Row],[IUD]]) *
  (Lists3.1_Longlist[Language]=Language),
  Lists3.1_Longlist[Mat. Cat. 3]
))</f>
        <v/>
      </c>
      <c r="F227" s="32" t="s">
        <v>88</v>
      </c>
      <c r="G227" s="32" t="s">
        <v>28183</v>
      </c>
      <c r="H227" s="30"/>
      <c r="I227" s="30"/>
      <c r="J227" s="30"/>
      <c r="K227" s="30"/>
      <c r="L227" s="30"/>
      <c r="M227" s="30"/>
      <c r="N227" s="30"/>
      <c r="O227" s="30"/>
      <c r="P227" s="30"/>
      <c r="Q227" s="30"/>
      <c r="R227" s="30"/>
      <c r="S227" s="30"/>
      <c r="T227" s="30"/>
      <c r="U227" s="30"/>
      <c r="V227" s="30"/>
      <c r="W227" s="30"/>
      <c r="X227" s="30"/>
      <c r="Y227" s="30"/>
    </row>
    <row r="228" spans="1:25" x14ac:dyDescent="0.25">
      <c r="A228" s="30"/>
      <c r="B228" s="41" t="s">
        <v>1115</v>
      </c>
      <c r="C228" s="41" t="str" cm="1">
        <f t="array" ref="C228">_xlfn.XLOOKUP(
  1,
  (Lists3.1_Longlist[IUD]=Lists3.1_Shortlist[[#This Row],[IUD]]) *
  (Lists3.1_Longlist[Language]=Language),
  Lists3.1_Longlist[Mat. Cat 1]
)</f>
        <v>Minéraux</v>
      </c>
      <c r="D228" s="41" t="str" cm="1">
        <f t="array" ref="D228">IF(_xlfn.XLOOKUP(
  1,
  (Lists3.1_Longlist[IUD]=Lists3.1_Shortlist[[#This Row],[IUD]]) *
  (Lists3.1_Longlist[Language]=Language),
  Lists3.1_Longlist[Mat. Cat. 2]
)=0,"",_xlfn.XLOOKUP(
  1,
  (Lists3.1_Longlist[IUD]=Lists3.1_Shortlist[[#This Row],[IUD]]) *
  (Lists3.1_Longlist[Language]=Language),
  Lists3.1_Longlist[Mat. Cat. 2]
))</f>
        <v>Amiante (crysotile)</v>
      </c>
      <c r="E228" s="41" t="str" cm="1">
        <f t="array" ref="E228">IF(_xlfn.XLOOKUP(
  1,
  (Lists3.1_Longlist[IUD]=Lists3.1_Shortlist[[#This Row],[IUD]]) *
  (Lists3.1_Longlist[Language]=Language),
  Lists3.1_Longlist[Mat. Cat. 3]
)=0,"",_xlfn.XLOOKUP(
  1,
  (Lists3.1_Longlist[IUD]=Lists3.1_Shortlist[[#This Row],[IUD]]) *
  (Lists3.1_Longlist[Language]=Language),
  Lists3.1_Longlist[Mat. Cat. 3]
))</f>
        <v/>
      </c>
      <c r="F228" s="32" t="s">
        <v>88</v>
      </c>
      <c r="G228" s="32" t="s">
        <v>28184</v>
      </c>
      <c r="H228" s="30"/>
      <c r="I228" s="30"/>
      <c r="J228" s="30"/>
      <c r="K228" s="30"/>
      <c r="L228" s="30"/>
      <c r="M228" s="30"/>
      <c r="N228" s="30"/>
      <c r="O228" s="30"/>
      <c r="P228" s="30"/>
      <c r="Q228" s="30"/>
      <c r="R228" s="30"/>
      <c r="S228" s="30"/>
      <c r="T228" s="30"/>
      <c r="U228" s="30"/>
      <c r="V228" s="30"/>
      <c r="W228" s="30"/>
      <c r="X228" s="30"/>
      <c r="Y228" s="30"/>
    </row>
    <row r="229" spans="1:25" x14ac:dyDescent="0.25">
      <c r="A229" s="30"/>
      <c r="B229" s="41" t="s">
        <v>1116</v>
      </c>
      <c r="C229" s="41" t="str" cm="1">
        <f t="array" ref="C229">_xlfn.XLOOKUP(
  1,
  (Lists3.1_Longlist[IUD]=Lists3.1_Shortlist[[#This Row],[IUD]]) *
  (Lists3.1_Longlist[Language]=Language),
  Lists3.1_Longlist[Mat. Cat 1]
)</f>
        <v>Minéraux</v>
      </c>
      <c r="D229" s="41" t="str" cm="1">
        <f t="array" ref="D229">IF(_xlfn.XLOOKUP(
  1,
  (Lists3.1_Longlist[IUD]=Lists3.1_Shortlist[[#This Row],[IUD]]) *
  (Lists3.1_Longlist[Language]=Language),
  Lists3.1_Longlist[Mat. Cat. 2]
)=0,"",_xlfn.XLOOKUP(
  1,
  (Lists3.1_Longlist[IUD]=Lists3.1_Shortlist[[#This Row],[IUD]]) *
  (Lists3.1_Longlist[Language]=Language),
  Lists3.1_Longlist[Mat. Cat. 2]
))</f>
        <v>Argile</v>
      </c>
      <c r="E229" s="41" t="str" cm="1">
        <f t="array" ref="E229">IF(_xlfn.XLOOKUP(
  1,
  (Lists3.1_Longlist[IUD]=Lists3.1_Shortlist[[#This Row],[IUD]]) *
  (Lists3.1_Longlist[Language]=Language),
  Lists3.1_Longlist[Mat. Cat. 3]
)=0,"",_xlfn.XLOOKUP(
  1,
  (Lists3.1_Longlist[IUD]=Lists3.1_Shortlist[[#This Row],[IUD]]) *
  (Lists3.1_Longlist[Language]=Language),
  Lists3.1_Longlist[Mat. Cat. 3]
))</f>
        <v/>
      </c>
      <c r="F229" s="32" t="s">
        <v>88</v>
      </c>
      <c r="G229" s="32" t="s">
        <v>28185</v>
      </c>
      <c r="H229" s="44"/>
      <c r="I229" s="30"/>
      <c r="J229" s="30"/>
      <c r="K229" s="30"/>
      <c r="L229" s="30"/>
      <c r="M229" s="30"/>
      <c r="N229" s="30"/>
      <c r="O229" s="30"/>
      <c r="P229" s="30"/>
      <c r="Q229" s="30"/>
      <c r="R229" s="30"/>
      <c r="S229" s="30"/>
      <c r="T229" s="30"/>
      <c r="U229" s="30"/>
      <c r="V229" s="30"/>
      <c r="W229" s="30"/>
      <c r="X229" s="30"/>
      <c r="Y229" s="30"/>
    </row>
    <row r="230" spans="1:25" x14ac:dyDescent="0.25">
      <c r="A230" s="30"/>
      <c r="B230" s="41" t="s">
        <v>1117</v>
      </c>
      <c r="C230" s="41" t="str" cm="1">
        <f t="array" ref="C230">_xlfn.XLOOKUP(
  1,
  (Lists3.1_Longlist[IUD]=Lists3.1_Shortlist[[#This Row],[IUD]]) *
  (Lists3.1_Longlist[Language]=Language),
  Lists3.1_Longlist[Mat. Cat 1]
)</f>
        <v>Minéraux</v>
      </c>
      <c r="D230" s="41" t="str" cm="1">
        <f t="array" ref="D230">IF(_xlfn.XLOOKUP(
  1,
  (Lists3.1_Longlist[IUD]=Lists3.1_Shortlist[[#This Row],[IUD]]) *
  (Lists3.1_Longlist[Language]=Language),
  Lists3.1_Longlist[Mat. Cat. 2]
)=0,"",_xlfn.XLOOKUP(
  1,
  (Lists3.1_Longlist[IUD]=Lists3.1_Shortlist[[#This Row],[IUD]]) *
  (Lists3.1_Longlist[Language]=Language),
  Lists3.1_Longlist[Mat. Cat. 2]
))</f>
        <v>Gravier</v>
      </c>
      <c r="E230" s="41" t="str" cm="1">
        <f t="array" ref="E230">IF(_xlfn.XLOOKUP(
  1,
  (Lists3.1_Longlist[IUD]=Lists3.1_Shortlist[[#This Row],[IUD]]) *
  (Lists3.1_Longlist[Language]=Language),
  Lists3.1_Longlist[Mat. Cat. 3]
)=0,"",_xlfn.XLOOKUP(
  1,
  (Lists3.1_Longlist[IUD]=Lists3.1_Shortlist[[#This Row],[IUD]]) *
  (Lists3.1_Longlist[Language]=Language),
  Lists3.1_Longlist[Mat. Cat. 3]
))</f>
        <v/>
      </c>
      <c r="F230" s="32" t="s">
        <v>88</v>
      </c>
      <c r="G230" s="32" t="s">
        <v>28186</v>
      </c>
      <c r="H230" s="30"/>
      <c r="I230" s="30"/>
      <c r="J230" s="30"/>
      <c r="K230" s="30"/>
      <c r="L230" s="30"/>
      <c r="M230" s="30"/>
      <c r="N230" s="30"/>
      <c r="O230" s="30"/>
      <c r="P230" s="30"/>
      <c r="Q230" s="30"/>
      <c r="R230" s="30"/>
      <c r="S230" s="30"/>
      <c r="T230" s="30"/>
      <c r="U230" s="30"/>
      <c r="V230" s="30"/>
      <c r="W230" s="30"/>
      <c r="X230" s="30"/>
      <c r="Y230" s="30"/>
    </row>
    <row r="231" spans="1:25" x14ac:dyDescent="0.25">
      <c r="A231" s="30"/>
      <c r="B231" s="41" t="s">
        <v>1118</v>
      </c>
      <c r="C231" s="41" t="str" cm="1">
        <f t="array" ref="C231">_xlfn.XLOOKUP(
  1,
  (Lists3.1_Longlist[IUD]=Lists3.1_Shortlist[[#This Row],[IUD]]) *
  (Lists3.1_Longlist[Language]=Language),
  Lists3.1_Longlist[Mat. Cat 1]
)</f>
        <v>Minéraux</v>
      </c>
      <c r="D231" s="41" t="str" cm="1">
        <f t="array" ref="D231">IF(_xlfn.XLOOKUP(
  1,
  (Lists3.1_Longlist[IUD]=Lists3.1_Shortlist[[#This Row],[IUD]]) *
  (Lists3.1_Longlist[Language]=Language),
  Lists3.1_Longlist[Mat. Cat. 2]
)=0,"",_xlfn.XLOOKUP(
  1,
  (Lists3.1_Longlist[IUD]=Lists3.1_Shortlist[[#This Row],[IUD]]) *
  (Lists3.1_Longlist[Language]=Language),
  Lists3.1_Longlist[Mat. Cat. 2]
))</f>
        <v>Sable</v>
      </c>
      <c r="E231" s="41" t="str" cm="1">
        <f t="array" ref="E231">IF(_xlfn.XLOOKUP(
  1,
  (Lists3.1_Longlist[IUD]=Lists3.1_Shortlist[[#This Row],[IUD]]) *
  (Lists3.1_Longlist[Language]=Language),
  Lists3.1_Longlist[Mat. Cat. 3]
)=0,"",_xlfn.XLOOKUP(
  1,
  (Lists3.1_Longlist[IUD]=Lists3.1_Shortlist[[#This Row],[IUD]]) *
  (Lists3.1_Longlist[Language]=Language),
  Lists3.1_Longlist[Mat. Cat. 3]
))</f>
        <v/>
      </c>
      <c r="F231" s="32" t="s">
        <v>88</v>
      </c>
      <c r="G231" s="32" t="s">
        <v>28187</v>
      </c>
      <c r="H231" s="30"/>
      <c r="I231" s="30"/>
      <c r="J231" s="30"/>
      <c r="K231" s="30"/>
      <c r="L231" s="30"/>
      <c r="M231" s="30"/>
      <c r="N231" s="30"/>
      <c r="O231" s="30"/>
      <c r="P231" s="30"/>
      <c r="Q231" s="30"/>
      <c r="R231" s="30"/>
      <c r="S231" s="30"/>
      <c r="T231" s="30"/>
      <c r="U231" s="30"/>
      <c r="V231" s="30"/>
      <c r="W231" s="30"/>
      <c r="X231" s="30"/>
      <c r="Y231" s="30"/>
    </row>
    <row r="232" spans="1:25" x14ac:dyDescent="0.25">
      <c r="A232" s="30"/>
      <c r="B232" s="41" t="s">
        <v>1119</v>
      </c>
      <c r="C232" s="41" t="str" cm="1">
        <f t="array" ref="C232">_xlfn.XLOOKUP(
  1,
  (Lists3.1_Longlist[IUD]=Lists3.1_Shortlist[[#This Row],[IUD]]) *
  (Lists3.1_Longlist[Language]=Language),
  Lists3.1_Longlist[Mat. Cat 1]
)</f>
        <v>Papier et carton</v>
      </c>
      <c r="D232" s="41" t="str" cm="1">
        <f t="array" ref="D232">IF(_xlfn.XLOOKUP(
  1,
  (Lists3.1_Longlist[IUD]=Lists3.1_Shortlist[[#This Row],[IUD]]) *
  (Lists3.1_Longlist[Language]=Language),
  Lists3.1_Longlist[Mat. Cat. 2]
)=0,"",_xlfn.XLOOKUP(
  1,
  (Lists3.1_Longlist[IUD]=Lists3.1_Shortlist[[#This Row],[IUD]]) *
  (Lists3.1_Longlist[Language]=Language),
  Lists3.1_Longlist[Mat. Cat. 2]
))</f>
        <v>Carton</v>
      </c>
      <c r="E232" s="41" t="str" cm="1">
        <f t="array" ref="E232">IF(_xlfn.XLOOKUP(
  1,
  (Lists3.1_Longlist[IUD]=Lists3.1_Shortlist[[#This Row],[IUD]]) *
  (Lists3.1_Longlist[Language]=Language),
  Lists3.1_Longlist[Mat. Cat. 3]
)=0,"",_xlfn.XLOOKUP(
  1,
  (Lists3.1_Longlist[IUD]=Lists3.1_Shortlist[[#This Row],[IUD]]) *
  (Lists3.1_Longlist[Language]=Language),
  Lists3.1_Longlist[Mat. Cat. 3]
))</f>
        <v/>
      </c>
      <c r="F232" s="32" t="s">
        <v>88</v>
      </c>
      <c r="G232" s="32" t="s">
        <v>28188</v>
      </c>
      <c r="H232" s="44"/>
      <c r="I232" s="30"/>
      <c r="J232" s="30"/>
      <c r="K232" s="30"/>
      <c r="L232" s="30"/>
      <c r="M232" s="30"/>
      <c r="N232" s="30"/>
      <c r="O232" s="30"/>
      <c r="P232" s="30"/>
      <c r="Q232" s="30"/>
      <c r="R232" s="30"/>
      <c r="S232" s="30"/>
      <c r="T232" s="30"/>
      <c r="U232" s="30"/>
      <c r="V232" s="30"/>
      <c r="W232" s="30"/>
      <c r="X232" s="30"/>
      <c r="Y232" s="30"/>
    </row>
    <row r="233" spans="1:25" x14ac:dyDescent="0.25">
      <c r="A233" s="30"/>
      <c r="B233" s="41" t="s">
        <v>1120</v>
      </c>
      <c r="C233" s="41" t="str" cm="1">
        <f t="array" ref="C233">_xlfn.XLOOKUP(
  1,
  (Lists3.1_Longlist[IUD]=Lists3.1_Shortlist[[#This Row],[IUD]]) *
  (Lists3.1_Longlist[Language]=Language),
  Lists3.1_Longlist[Mat. Cat 1]
)</f>
        <v>Papier et carton</v>
      </c>
      <c r="D233" s="41" t="str" cm="1">
        <f t="array" ref="D233">IF(_xlfn.XLOOKUP(
  1,
  (Lists3.1_Longlist[IUD]=Lists3.1_Shortlist[[#This Row],[IUD]]) *
  (Lists3.1_Longlist[Language]=Language),
  Lists3.1_Longlist[Mat. Cat. 2]
)=0,"",_xlfn.XLOOKUP(
  1,
  (Lists3.1_Longlist[IUD]=Lists3.1_Shortlist[[#This Row],[IUD]]) *
  (Lists3.1_Longlist[Language]=Language),
  Lists3.1_Longlist[Mat. Cat. 2]
))</f>
        <v>Carton</v>
      </c>
      <c r="E233" s="41" t="str" cm="1">
        <f t="array" ref="E233">IF(_xlfn.XLOOKUP(
  1,
  (Lists3.1_Longlist[IUD]=Lists3.1_Shortlist[[#This Row],[IUD]]) *
  (Lists3.1_Longlist[Language]=Language),
  Lists3.1_Longlist[Mat. Cat. 3]
)=0,"",_xlfn.XLOOKUP(
  1,
  (Lists3.1_Longlist[IUD]=Lists3.1_Shortlist[[#This Row],[IUD]]) *
  (Lists3.1_Longlist[Language]=Language),
  Lists3.1_Longlist[Mat. Cat. 3]
))</f>
        <v>Carton</v>
      </c>
      <c r="F233" s="32" t="s">
        <v>88</v>
      </c>
      <c r="G233" s="32" t="s">
        <v>28189</v>
      </c>
      <c r="H233" s="44"/>
      <c r="I233" s="30"/>
      <c r="J233" s="30"/>
      <c r="K233" s="30"/>
      <c r="L233" s="30"/>
      <c r="M233" s="30"/>
      <c r="N233" s="30"/>
      <c r="O233" s="30"/>
      <c r="P233" s="30"/>
      <c r="Q233" s="30"/>
      <c r="R233" s="30"/>
      <c r="S233" s="30"/>
      <c r="T233" s="30"/>
      <c r="U233" s="30"/>
      <c r="V233" s="30"/>
      <c r="W233" s="30"/>
      <c r="X233" s="30"/>
      <c r="Y233" s="30"/>
    </row>
    <row r="234" spans="1:25" x14ac:dyDescent="0.25">
      <c r="A234" s="30"/>
      <c r="B234" s="41" t="s">
        <v>1121</v>
      </c>
      <c r="C234" s="41" t="str" cm="1">
        <f t="array" ref="C234">_xlfn.XLOOKUP(
  1,
  (Lists3.1_Longlist[IUD]=Lists3.1_Shortlist[[#This Row],[IUD]]) *
  (Lists3.1_Longlist[Language]=Language),
  Lists3.1_Longlist[Mat. Cat 1]
)</f>
        <v>Papier et carton</v>
      </c>
      <c r="D234" s="41" t="str" cm="1">
        <f t="array" ref="D234">IF(_xlfn.XLOOKUP(
  1,
  (Lists3.1_Longlist[IUD]=Lists3.1_Shortlist[[#This Row],[IUD]]) *
  (Lists3.1_Longlist[Language]=Language),
  Lists3.1_Longlist[Mat. Cat. 2]
)=0,"",_xlfn.XLOOKUP(
  1,
  (Lists3.1_Longlist[IUD]=Lists3.1_Shortlist[[#This Row],[IUD]]) *
  (Lists3.1_Longlist[Language]=Language),
  Lists3.1_Longlist[Mat. Cat. 2]
))</f>
        <v>Carton</v>
      </c>
      <c r="E234" s="41" t="str" cm="1">
        <f t="array" ref="E234">IF(_xlfn.XLOOKUP(
  1,
  (Lists3.1_Longlist[IUD]=Lists3.1_Shortlist[[#This Row],[IUD]]) *
  (Lists3.1_Longlist[Language]=Language),
  Lists3.1_Longlist[Mat. Cat. 3]
)=0,"",_xlfn.XLOOKUP(
  1,
  (Lists3.1_Longlist[IUD]=Lists3.1_Shortlist[[#This Row],[IUD]]) *
  (Lists3.1_Longlist[Language]=Language),
  Lists3.1_Longlist[Mat. Cat. 3]
))</f>
        <v>Emballage carton pour liquides</v>
      </c>
      <c r="F234" s="32" t="s">
        <v>88</v>
      </c>
      <c r="G234" s="32" t="s">
        <v>28190</v>
      </c>
      <c r="H234" s="44"/>
      <c r="I234" s="30"/>
      <c r="J234" s="30"/>
      <c r="K234" s="30"/>
      <c r="L234" s="30"/>
      <c r="M234" s="30"/>
      <c r="N234" s="30"/>
      <c r="O234" s="30"/>
      <c r="P234" s="30"/>
      <c r="Q234" s="30"/>
      <c r="R234" s="30"/>
      <c r="S234" s="30"/>
      <c r="T234" s="30"/>
      <c r="U234" s="30"/>
      <c r="V234" s="30"/>
      <c r="W234" s="30"/>
      <c r="X234" s="30"/>
      <c r="Y234" s="30"/>
    </row>
    <row r="235" spans="1:25" x14ac:dyDescent="0.25">
      <c r="A235" s="30"/>
      <c r="B235" s="41" t="s">
        <v>1119</v>
      </c>
      <c r="C235" s="41" t="str" cm="1">
        <f t="array" ref="C235">_xlfn.XLOOKUP(
  1,
  (Lists3.1_Longlist[IUD]=Lists3.1_Shortlist[[#This Row],[IUD]]) *
  (Lists3.1_Longlist[Language]=Language),
  Lists3.1_Longlist[Mat. Cat 1]
)</f>
        <v>Papier et carton</v>
      </c>
      <c r="D235" s="41" t="str" cm="1">
        <f t="array" ref="D235">IF(_xlfn.XLOOKUP(
  1,
  (Lists3.1_Longlist[IUD]=Lists3.1_Shortlist[[#This Row],[IUD]]) *
  (Lists3.1_Longlist[Language]=Language),
  Lists3.1_Longlist[Mat. Cat. 2]
)=0,"",_xlfn.XLOOKUP(
  1,
  (Lists3.1_Longlist[IUD]=Lists3.1_Shortlist[[#This Row],[IUD]]) *
  (Lists3.1_Longlist[Language]=Language),
  Lists3.1_Longlist[Mat. Cat. 2]
))</f>
        <v>Carton</v>
      </c>
      <c r="E235" s="41" t="str" cm="1">
        <f t="array" ref="E235">IF(_xlfn.XLOOKUP(
  1,
  (Lists3.1_Longlist[IUD]=Lists3.1_Shortlist[[#This Row],[IUD]]) *
  (Lists3.1_Longlist[Language]=Language),
  Lists3.1_Longlist[Mat. Cat. 3]
)=0,"",_xlfn.XLOOKUP(
  1,
  (Lists3.1_Longlist[IUD]=Lists3.1_Shortlist[[#This Row],[IUD]]) *
  (Lists3.1_Longlist[Language]=Language),
  Lists3.1_Longlist[Mat. Cat. 3]
))</f>
        <v>Carton solide (blanchi)</v>
      </c>
      <c r="F235" s="32" t="s">
        <v>88</v>
      </c>
      <c r="G235" s="32" t="s">
        <v>28191</v>
      </c>
      <c r="H235" s="44"/>
      <c r="I235" s="30"/>
      <c r="J235" s="30"/>
      <c r="K235" s="30"/>
      <c r="L235" s="30"/>
      <c r="M235" s="30"/>
      <c r="N235" s="30"/>
      <c r="O235" s="30"/>
      <c r="P235" s="30"/>
      <c r="Q235" s="30"/>
      <c r="R235" s="30"/>
      <c r="S235" s="30"/>
      <c r="T235" s="30"/>
      <c r="U235" s="30"/>
      <c r="V235" s="30"/>
      <c r="W235" s="30"/>
      <c r="X235" s="30"/>
      <c r="Y235" s="30"/>
    </row>
    <row r="236" spans="1:25" x14ac:dyDescent="0.25">
      <c r="A236" s="30"/>
      <c r="B236" s="41" t="s">
        <v>1122</v>
      </c>
      <c r="C236" s="41" t="str" cm="1">
        <f t="array" ref="C236">_xlfn.XLOOKUP(
  1,
  (Lists3.1_Longlist[IUD]=Lists3.1_Shortlist[[#This Row],[IUD]]) *
  (Lists3.1_Longlist[Language]=Language),
  Lists3.1_Longlist[Mat. Cat 1]
)</f>
        <v>Papier et carton</v>
      </c>
      <c r="D236" s="41" t="str" cm="1">
        <f t="array" ref="D236">IF(_xlfn.XLOOKUP(
  1,
  (Lists3.1_Longlist[IUD]=Lists3.1_Shortlist[[#This Row],[IUD]]) *
  (Lists3.1_Longlist[Language]=Language),
  Lists3.1_Longlist[Mat. Cat. 2]
)=0,"",_xlfn.XLOOKUP(
  1,
  (Lists3.1_Longlist[IUD]=Lists3.1_Shortlist[[#This Row],[IUD]]) *
  (Lists3.1_Longlist[Language]=Language),
  Lists3.1_Longlist[Mat. Cat. 2]
))</f>
        <v>Carton</v>
      </c>
      <c r="E236" s="41" t="str" cm="1">
        <f t="array" ref="E236">IF(_xlfn.XLOOKUP(
  1,
  (Lists3.1_Longlist[IUD]=Lists3.1_Shortlist[[#This Row],[IUD]]) *
  (Lists3.1_Longlist[Language]=Language),
  Lists3.1_Longlist[Mat. Cat. 3]
)=0,"",_xlfn.XLOOKUP(
  1,
  (Lists3.1_Longlist[IUD]=Lists3.1_Shortlist[[#This Row],[IUD]]) *
  (Lists3.1_Longlist[Language]=Language),
  Lists3.1_Longlist[Mat. Cat. 3]
))</f>
        <v>Carton solide (non blanchi)</v>
      </c>
      <c r="F236" s="32" t="s">
        <v>88</v>
      </c>
      <c r="G236" s="32" t="s">
        <v>28192</v>
      </c>
      <c r="H236" s="30"/>
      <c r="I236" s="30"/>
      <c r="J236" s="30"/>
      <c r="K236" s="30"/>
      <c r="L236" s="30"/>
      <c r="M236" s="30"/>
      <c r="N236" s="30"/>
      <c r="O236" s="30"/>
      <c r="P236" s="30"/>
      <c r="Q236" s="30"/>
      <c r="R236" s="30"/>
      <c r="S236" s="30"/>
      <c r="T236" s="30"/>
      <c r="U236" s="30"/>
      <c r="V236" s="30"/>
      <c r="W236" s="30"/>
      <c r="X236" s="30"/>
      <c r="Y236" s="30"/>
    </row>
    <row r="237" spans="1:25" x14ac:dyDescent="0.25">
      <c r="A237" s="30"/>
      <c r="B237" s="41" t="s">
        <v>1123</v>
      </c>
      <c r="C237" s="41" t="str" cm="1">
        <f t="array" ref="C237">_xlfn.XLOOKUP(
  1,
  (Lists3.1_Longlist[IUD]=Lists3.1_Shortlist[[#This Row],[IUD]]) *
  (Lists3.1_Longlist[Language]=Language),
  Lists3.1_Longlist[Mat. Cat 1]
)</f>
        <v>Papier et carton</v>
      </c>
      <c r="D237" s="41" t="str" cm="1">
        <f t="array" ref="D237">IF(_xlfn.XLOOKUP(
  1,
  (Lists3.1_Longlist[IUD]=Lists3.1_Shortlist[[#This Row],[IUD]]) *
  (Lists3.1_Longlist[Language]=Language),
  Lists3.1_Longlist[Mat. Cat. 2]
)=0,"",_xlfn.XLOOKUP(
  1,
  (Lists3.1_Longlist[IUD]=Lists3.1_Shortlist[[#This Row],[IUD]]) *
  (Lists3.1_Longlist[Language]=Language),
  Lists3.1_Longlist[Mat. Cat. 2]
))</f>
        <v>Carton ondulé</v>
      </c>
      <c r="E237" s="41" t="str" cm="1">
        <f t="array" ref="E237">IF(_xlfn.XLOOKUP(
  1,
  (Lists3.1_Longlist[IUD]=Lists3.1_Shortlist[[#This Row],[IUD]]) *
  (Lists3.1_Longlist[Language]=Language),
  Lists3.1_Longlist[Mat. Cat. 3]
)=0,"",_xlfn.XLOOKUP(
  1,
  (Lists3.1_Longlist[IUD]=Lists3.1_Shortlist[[#This Row],[IUD]]) *
  (Lists3.1_Longlist[Language]=Language),
  Lists3.1_Longlist[Mat. Cat. 3]
))</f>
        <v>Fibres mixtes</v>
      </c>
      <c r="F237" s="32" t="s">
        <v>88</v>
      </c>
      <c r="G237" s="32" t="s">
        <v>28193</v>
      </c>
      <c r="H237" s="30"/>
      <c r="I237" s="30"/>
      <c r="J237" s="30"/>
      <c r="K237" s="30"/>
      <c r="L237" s="30"/>
      <c r="M237" s="30"/>
      <c r="N237" s="30"/>
      <c r="O237" s="30"/>
      <c r="P237" s="30"/>
      <c r="Q237" s="30"/>
      <c r="R237" s="30"/>
      <c r="S237" s="30"/>
      <c r="T237" s="30"/>
      <c r="U237" s="30"/>
      <c r="V237" s="30"/>
      <c r="W237" s="30"/>
      <c r="X237" s="30"/>
      <c r="Y237" s="30"/>
    </row>
    <row r="238" spans="1:25" x14ac:dyDescent="0.25">
      <c r="A238" s="30"/>
      <c r="B238" s="41" t="s">
        <v>1124</v>
      </c>
      <c r="C238" s="41" t="str" cm="1">
        <f t="array" ref="C238">_xlfn.XLOOKUP(
  1,
  (Lists3.1_Longlist[IUD]=Lists3.1_Shortlist[[#This Row],[IUD]]) *
  (Lists3.1_Longlist[Language]=Language),
  Lists3.1_Longlist[Mat. Cat 1]
)</f>
        <v>Papier et carton</v>
      </c>
      <c r="D238" s="41" t="str" cm="1">
        <f t="array" ref="D238">IF(_xlfn.XLOOKUP(
  1,
  (Lists3.1_Longlist[IUD]=Lists3.1_Shortlist[[#This Row],[IUD]]) *
  (Lists3.1_Longlist[Language]=Language),
  Lists3.1_Longlist[Mat. Cat. 2]
)=0,"",_xlfn.XLOOKUP(
  1,
  (Lists3.1_Longlist[IUD]=Lists3.1_Shortlist[[#This Row],[IUD]]) *
  (Lists3.1_Longlist[Language]=Language),
  Lists3.1_Longlist[Mat. Cat. 2]
))</f>
        <v>Carton ondulé</v>
      </c>
      <c r="E238" s="41" t="str" cm="1">
        <f t="array" ref="E238">IF(_xlfn.XLOOKUP(
  1,
  (Lists3.1_Longlist[IUD]=Lists3.1_Shortlist[[#This Row],[IUD]]) *
  (Lists3.1_Longlist[Language]=Language),
  Lists3.1_Longlist[Mat. Cat. 3]
)=0,"",_xlfn.XLOOKUP(
  1,
  (Lists3.1_Longlist[IUD]=Lists3.1_Shortlist[[#This Row],[IUD]]) *
  (Lists3.1_Longlist[Language]=Language),
  Lists3.1_Longlist[Mat. Cat. 3]
))</f>
        <v>Bande de papier ondulée</v>
      </c>
      <c r="F238" s="32" t="s">
        <v>88</v>
      </c>
      <c r="G238" s="32" t="s">
        <v>28194</v>
      </c>
      <c r="H238" s="30"/>
      <c r="I238" s="30"/>
      <c r="J238" s="30"/>
      <c r="K238" s="30"/>
      <c r="L238" s="30"/>
      <c r="M238" s="30"/>
      <c r="N238" s="30"/>
      <c r="O238" s="30"/>
      <c r="P238" s="30"/>
      <c r="Q238" s="30"/>
      <c r="R238" s="30"/>
      <c r="S238" s="30"/>
      <c r="T238" s="30"/>
      <c r="U238" s="30"/>
      <c r="V238" s="30"/>
      <c r="W238" s="30"/>
      <c r="X238" s="30"/>
      <c r="Y238" s="30"/>
    </row>
    <row r="239" spans="1:25" x14ac:dyDescent="0.25">
      <c r="A239" s="30"/>
      <c r="B239" s="41" t="s">
        <v>1125</v>
      </c>
      <c r="C239" s="41" t="str" cm="1">
        <f t="array" ref="C239">_xlfn.XLOOKUP(
  1,
  (Lists3.1_Longlist[IUD]=Lists3.1_Shortlist[[#This Row],[IUD]]) *
  (Lists3.1_Longlist[Language]=Language),
  Lists3.1_Longlist[Mat. Cat 1]
)</f>
        <v>Papier et carton</v>
      </c>
      <c r="D239" s="41" t="str" cm="1">
        <f t="array" ref="D239">IF(_xlfn.XLOOKUP(
  1,
  (Lists3.1_Longlist[IUD]=Lists3.1_Shortlist[[#This Row],[IUD]]) *
  (Lists3.1_Longlist[Language]=Language),
  Lists3.1_Longlist[Mat. Cat. 2]
)=0,"",_xlfn.XLOOKUP(
  1,
  (Lists3.1_Longlist[IUD]=Lists3.1_Shortlist[[#This Row],[IUD]]) *
  (Lists3.1_Longlist[Language]=Language),
  Lists3.1_Longlist[Mat. Cat. 2]
))</f>
        <v>Carton ondulé</v>
      </c>
      <c r="E239" s="41" t="str" cm="1">
        <f t="array" ref="E239">IF(_xlfn.XLOOKUP(
  1,
  (Lists3.1_Longlist[IUD]=Lists3.1_Shortlist[[#This Row],[IUD]]) *
  (Lists3.1_Longlist[Language]=Language),
  Lists3.1_Longlist[Mat. Cat. 3]
)=0,"",_xlfn.XLOOKUP(
  1,
  (Lists3.1_Longlist[IUD]=Lists3.1_Shortlist[[#This Row],[IUD]]) *
  (Lists3.1_Longlist[Language]=Language),
  Lists3.1_Longlist[Mat. Cat. 3]
))</f>
        <v>Bande de papier lisse</v>
      </c>
      <c r="F239" s="32" t="s">
        <v>88</v>
      </c>
      <c r="G239" s="32" t="s">
        <v>28195</v>
      </c>
      <c r="H239" s="30"/>
      <c r="I239" s="30"/>
      <c r="J239" s="30"/>
      <c r="K239" s="30"/>
      <c r="L239" s="30"/>
      <c r="M239" s="30"/>
      <c r="N239" s="30"/>
      <c r="O239" s="30"/>
      <c r="P239" s="30"/>
      <c r="Q239" s="30"/>
      <c r="R239" s="30"/>
      <c r="S239" s="30"/>
      <c r="T239" s="30"/>
      <c r="U239" s="30"/>
      <c r="V239" s="30"/>
      <c r="W239" s="30"/>
      <c r="X239" s="30"/>
      <c r="Y239" s="30"/>
    </row>
    <row r="240" spans="1:25" x14ac:dyDescent="0.25">
      <c r="A240" s="30"/>
      <c r="B240" s="41" t="s">
        <v>1126</v>
      </c>
      <c r="C240" s="41" t="str" cm="1">
        <f t="array" ref="C240">_xlfn.XLOOKUP(
  1,
  (Lists3.1_Longlist[IUD]=Lists3.1_Shortlist[[#This Row],[IUD]]) *
  (Lists3.1_Longlist[Language]=Language),
  Lists3.1_Longlist[Mat. Cat 1]
)</f>
        <v>Papier et carton</v>
      </c>
      <c r="D240" s="41" t="str" cm="1">
        <f t="array" ref="D240">IF(_xlfn.XLOOKUP(
  1,
  (Lists3.1_Longlist[IUD]=Lists3.1_Shortlist[[#This Row],[IUD]]) *
  (Lists3.1_Longlist[Language]=Language),
  Lists3.1_Longlist[Mat. Cat. 2]
)=0,"",_xlfn.XLOOKUP(
  1,
  (Lists3.1_Longlist[IUD]=Lists3.1_Shortlist[[#This Row],[IUD]]) *
  (Lists3.1_Longlist[Language]=Language),
  Lists3.1_Longlist[Mat. Cat. 2]
))</f>
        <v>Papier</v>
      </c>
      <c r="E240" s="41" t="str" cm="1">
        <f t="array" ref="E240">IF(_xlfn.XLOOKUP(
  1,
  (Lists3.1_Longlist[IUD]=Lists3.1_Shortlist[[#This Row],[IUD]]) *
  (Lists3.1_Longlist[Language]=Language),
  Lists3.1_Longlist[Mat. Cat. 3]
)=0,"",_xlfn.XLOOKUP(
  1,
  (Lists3.1_Longlist[IUD]=Lists3.1_Shortlist[[#This Row],[IUD]]) *
  (Lists3.1_Longlist[Language]=Language),
  Lists3.1_Longlist[Mat. Cat. 3]
))</f>
        <v>Papier non couché</v>
      </c>
      <c r="F240" s="32" t="s">
        <v>88</v>
      </c>
      <c r="G240" s="32" t="s">
        <v>28196</v>
      </c>
      <c r="H240" s="30"/>
      <c r="I240" s="30"/>
      <c r="J240" s="30"/>
      <c r="K240" s="30"/>
      <c r="L240" s="30"/>
      <c r="M240" s="30"/>
      <c r="N240" s="30"/>
      <c r="O240" s="30"/>
      <c r="P240" s="30"/>
      <c r="Q240" s="30"/>
      <c r="R240" s="30"/>
      <c r="S240" s="30"/>
      <c r="T240" s="30"/>
      <c r="U240" s="30"/>
      <c r="V240" s="30"/>
      <c r="W240" s="30"/>
      <c r="X240" s="30"/>
      <c r="Y240" s="30"/>
    </row>
    <row r="241" spans="1:25" x14ac:dyDescent="0.25">
      <c r="A241" s="30"/>
      <c r="B241" s="41" t="s">
        <v>1127</v>
      </c>
      <c r="C241" s="41" t="str" cm="1">
        <f t="array" ref="C241">_xlfn.XLOOKUP(
  1,
  (Lists3.1_Longlist[IUD]=Lists3.1_Shortlist[[#This Row],[IUD]]) *
  (Lists3.1_Longlist[Language]=Language),
  Lists3.1_Longlist[Mat. Cat 1]
)</f>
        <v>Papier et carton</v>
      </c>
      <c r="D241" s="41" t="str" cm="1">
        <f t="array" ref="D241">IF(_xlfn.XLOOKUP(
  1,
  (Lists3.1_Longlist[IUD]=Lists3.1_Shortlist[[#This Row],[IUD]]) *
  (Lists3.1_Longlist[Language]=Language),
  Lists3.1_Longlist[Mat. Cat. 2]
)=0,"",_xlfn.XLOOKUP(
  1,
  (Lists3.1_Longlist[IUD]=Lists3.1_Shortlist[[#This Row],[IUD]]) *
  (Lists3.1_Longlist[Language]=Language),
  Lists3.1_Longlist[Mat. Cat. 2]
))</f>
        <v>Papier</v>
      </c>
      <c r="E241" s="41" t="str" cm="1">
        <f t="array" ref="E241">IF(_xlfn.XLOOKUP(
  1,
  (Lists3.1_Longlist[IUD]=Lists3.1_Shortlist[[#This Row],[IUD]]) *
  (Lists3.1_Longlist[Language]=Language),
  Lists3.1_Longlist[Mat. Cat. 3]
)=0,"",_xlfn.XLOOKUP(
  1,
  (Lists3.1_Longlist[IUD]=Lists3.1_Shortlist[[#This Row],[IUD]]) *
  (Lists3.1_Longlist[Language]=Language),
  Lists3.1_Longlist[Mat. Cat. 3]
))</f>
        <v>Papier non couché (recyclé)</v>
      </c>
      <c r="F241" s="32" t="s">
        <v>88</v>
      </c>
      <c r="G241" s="32" t="s">
        <v>28197</v>
      </c>
      <c r="H241" s="30"/>
      <c r="I241" s="30"/>
      <c r="J241" s="30"/>
      <c r="K241" s="30"/>
      <c r="L241" s="30"/>
      <c r="M241" s="30"/>
      <c r="N241" s="30"/>
      <c r="O241" s="30"/>
      <c r="P241" s="30"/>
      <c r="Q241" s="30"/>
      <c r="R241" s="30"/>
      <c r="S241" s="30"/>
      <c r="T241" s="30"/>
      <c r="U241" s="30"/>
      <c r="V241" s="30"/>
      <c r="W241" s="30"/>
      <c r="X241" s="30"/>
      <c r="Y241" s="30"/>
    </row>
    <row r="242" spans="1:25" x14ac:dyDescent="0.25">
      <c r="A242" s="30"/>
      <c r="B242" s="41" t="s">
        <v>1128</v>
      </c>
      <c r="C242" s="41" t="str" cm="1">
        <f t="array" ref="C242">_xlfn.XLOOKUP(
  1,
  (Lists3.1_Longlist[IUD]=Lists3.1_Shortlist[[#This Row],[IUD]]) *
  (Lists3.1_Longlist[Language]=Language),
  Lists3.1_Longlist[Mat. Cat 1]
)</f>
        <v>Papier et carton</v>
      </c>
      <c r="D242" s="41" t="str" cm="1">
        <f t="array" ref="D242">IF(_xlfn.XLOOKUP(
  1,
  (Lists3.1_Longlist[IUD]=Lists3.1_Shortlist[[#This Row],[IUD]]) *
  (Lists3.1_Longlist[Language]=Language),
  Lists3.1_Longlist[Mat. Cat. 2]
)=0,"",_xlfn.XLOOKUP(
  1,
  (Lists3.1_Longlist[IUD]=Lists3.1_Shortlist[[#This Row],[IUD]]) *
  (Lists3.1_Longlist[Language]=Language),
  Lists3.1_Longlist[Mat. Cat. 2]
))</f>
        <v>Papier d’emballage</v>
      </c>
      <c r="E242" s="41" t="str" cm="1">
        <f t="array" ref="E242">IF(_xlfn.XLOOKUP(
  1,
  (Lists3.1_Longlist[IUD]=Lists3.1_Shortlist[[#This Row],[IUD]]) *
  (Lists3.1_Longlist[Language]=Language),
  Lists3.1_Longlist[Mat. Cat. 3]
)=0,"",_xlfn.XLOOKUP(
  1,
  (Lists3.1_Longlist[IUD]=Lists3.1_Shortlist[[#This Row],[IUD]]) *
  (Lists3.1_Longlist[Language]=Language),
  Lists3.1_Longlist[Mat. Cat. 3]
))</f>
        <v/>
      </c>
      <c r="F242" s="32" t="s">
        <v>88</v>
      </c>
      <c r="G242" s="32" t="s">
        <v>28198</v>
      </c>
      <c r="H242" s="30"/>
      <c r="I242" s="30"/>
      <c r="J242" s="30"/>
      <c r="K242" s="30"/>
      <c r="L242" s="30"/>
      <c r="M242" s="30"/>
      <c r="N242" s="30"/>
      <c r="O242" s="30"/>
      <c r="P242" s="30"/>
      <c r="Q242" s="30"/>
      <c r="R242" s="30"/>
      <c r="S242" s="30"/>
      <c r="T242" s="30"/>
      <c r="U242" s="30"/>
      <c r="V242" s="30"/>
      <c r="W242" s="30"/>
      <c r="X242" s="30"/>
      <c r="Y242" s="30"/>
    </row>
    <row r="243" spans="1:25" x14ac:dyDescent="0.25">
      <c r="A243" s="30"/>
      <c r="B243" s="41" t="s">
        <v>1129</v>
      </c>
      <c r="C243" s="41" t="str" cm="1">
        <f t="array" ref="C243">_xlfn.XLOOKUP(
  1,
  (Lists3.1_Longlist[IUD]=Lists3.1_Shortlist[[#This Row],[IUD]]) *
  (Lists3.1_Longlist[Language]=Language),
  Lists3.1_Longlist[Mat. Cat 1]
)</f>
        <v>Papier et carton</v>
      </c>
      <c r="D243" s="41" t="str" cm="1">
        <f t="array" ref="D243">IF(_xlfn.XLOOKUP(
  1,
  (Lists3.1_Longlist[IUD]=Lists3.1_Shortlist[[#This Row],[IUD]]) *
  (Lists3.1_Longlist[Language]=Language),
  Lists3.1_Longlist[Mat. Cat. 2]
)=0,"",_xlfn.XLOOKUP(
  1,
  (Lists3.1_Longlist[IUD]=Lists3.1_Shortlist[[#This Row],[IUD]]) *
  (Lists3.1_Longlist[Language]=Language),
  Lists3.1_Longlist[Mat. Cat. 2]
))</f>
        <v>Papier d’emballage</v>
      </c>
      <c r="E243" s="41" t="str" cm="1">
        <f t="array" ref="E243">IF(_xlfn.XLOOKUP(
  1,
  (Lists3.1_Longlist[IUD]=Lists3.1_Shortlist[[#This Row],[IUD]]) *
  (Lists3.1_Longlist[Language]=Language),
  Lists3.1_Longlist[Mat. Cat. 3]
)=0,"",_xlfn.XLOOKUP(
  1,
  (Lists3.1_Longlist[IUD]=Lists3.1_Shortlist[[#This Row],[IUD]]) *
  (Lists3.1_Longlist[Language]=Language),
  Lists3.1_Longlist[Mat. Cat. 3]
))</f>
        <v>Papier kraft (blanchi)</v>
      </c>
      <c r="F243" s="32" t="s">
        <v>88</v>
      </c>
      <c r="G243" s="32" t="s">
        <v>28199</v>
      </c>
      <c r="H243" s="30"/>
      <c r="I243" s="30"/>
      <c r="J243" s="30"/>
      <c r="K243" s="30"/>
      <c r="L243" s="30"/>
      <c r="M243" s="30"/>
      <c r="N243" s="30"/>
      <c r="O243" s="30"/>
      <c r="P243" s="30"/>
      <c r="Q243" s="30"/>
      <c r="R243" s="30"/>
      <c r="S243" s="30"/>
      <c r="T243" s="30"/>
      <c r="U243" s="30"/>
      <c r="V243" s="30"/>
      <c r="W243" s="30"/>
      <c r="X243" s="30"/>
      <c r="Y243" s="30"/>
    </row>
    <row r="244" spans="1:25" x14ac:dyDescent="0.25">
      <c r="A244" s="30"/>
      <c r="B244" s="41" t="s">
        <v>1128</v>
      </c>
      <c r="C244" s="41" t="str" cm="1">
        <f t="array" ref="C244">_xlfn.XLOOKUP(
  1,
  (Lists3.1_Longlist[IUD]=Lists3.1_Shortlist[[#This Row],[IUD]]) *
  (Lists3.1_Longlist[Language]=Language),
  Lists3.1_Longlist[Mat. Cat 1]
)</f>
        <v>Papier et carton</v>
      </c>
      <c r="D244" s="41" t="str" cm="1">
        <f t="array" ref="D244">IF(_xlfn.XLOOKUP(
  1,
  (Lists3.1_Longlist[IUD]=Lists3.1_Shortlist[[#This Row],[IUD]]) *
  (Lists3.1_Longlist[Language]=Language),
  Lists3.1_Longlist[Mat. Cat. 2]
)=0,"",_xlfn.XLOOKUP(
  1,
  (Lists3.1_Longlist[IUD]=Lists3.1_Shortlist[[#This Row],[IUD]]) *
  (Lists3.1_Longlist[Language]=Language),
  Lists3.1_Longlist[Mat. Cat. 2]
))</f>
        <v>Papier d’emballage</v>
      </c>
      <c r="E244" s="41" t="str" cm="1">
        <f t="array" ref="E244">IF(_xlfn.XLOOKUP(
  1,
  (Lists3.1_Longlist[IUD]=Lists3.1_Shortlist[[#This Row],[IUD]]) *
  (Lists3.1_Longlist[Language]=Language),
  Lists3.1_Longlist[Mat. Cat. 3]
)=0,"",_xlfn.XLOOKUP(
  1,
  (Lists3.1_Longlist[IUD]=Lists3.1_Shortlist[[#This Row],[IUD]]) *
  (Lists3.1_Longlist[Language]=Language),
  Lists3.1_Longlist[Mat. Cat. 3]
))</f>
        <v>Papier kraft (non blanchi)</v>
      </c>
      <c r="F244" s="32" t="s">
        <v>88</v>
      </c>
      <c r="G244" s="32" t="s">
        <v>28200</v>
      </c>
      <c r="H244" s="44"/>
      <c r="I244" s="30"/>
      <c r="J244" s="30"/>
      <c r="K244" s="30"/>
      <c r="L244" s="30"/>
      <c r="M244" s="30"/>
      <c r="N244" s="30"/>
      <c r="O244" s="30"/>
      <c r="P244" s="30"/>
      <c r="Q244" s="30"/>
      <c r="R244" s="30"/>
      <c r="S244" s="30"/>
      <c r="T244" s="30"/>
      <c r="U244" s="30"/>
      <c r="V244" s="30"/>
      <c r="W244" s="30"/>
      <c r="X244" s="30"/>
      <c r="Y244" s="30"/>
    </row>
    <row r="245" spans="1:25" x14ac:dyDescent="0.25">
      <c r="A245" s="30"/>
      <c r="B245" s="41" t="s">
        <v>1130</v>
      </c>
      <c r="C245" s="41" t="str" cm="1">
        <f t="array" ref="C245">_xlfn.XLOOKUP(
  1,
  (Lists3.1_Longlist[IUD]=Lists3.1_Shortlist[[#This Row],[IUD]]) *
  (Lists3.1_Longlist[Language]=Language),
  Lists3.1_Longlist[Mat. Cat 1]
)</f>
        <v>Papier et carton</v>
      </c>
      <c r="D245" s="41" t="str" cm="1">
        <f t="array" ref="D245">IF(_xlfn.XLOOKUP(
  1,
  (Lists3.1_Longlist[IUD]=Lists3.1_Shortlist[[#This Row],[IUD]]) *
  (Lists3.1_Longlist[Language]=Language),
  Lists3.1_Longlist[Mat. Cat. 2]
)=0,"",_xlfn.XLOOKUP(
  1,
  (Lists3.1_Longlist[IUD]=Lists3.1_Shortlist[[#This Row],[IUD]]) *
  (Lists3.1_Longlist[Language]=Language),
  Lists3.1_Longlist[Mat. Cat. 2]
))</f>
        <v>Pulpe</v>
      </c>
      <c r="E245" s="41" t="str" cm="1">
        <f t="array" ref="E245">IF(_xlfn.XLOOKUP(
  1,
  (Lists3.1_Longlist[IUD]=Lists3.1_Shortlist[[#This Row],[IUD]]) *
  (Lists3.1_Longlist[Language]=Language),
  Lists3.1_Longlist[Mat. Cat. 3]
)=0,"",_xlfn.XLOOKUP(
  1,
  (Lists3.1_Longlist[IUD]=Lists3.1_Shortlist[[#This Row],[IUD]]) *
  (Lists3.1_Longlist[Language]=Language),
  Lists3.1_Longlist[Mat. Cat. 3]
))</f>
        <v/>
      </c>
      <c r="F245" s="32" t="s">
        <v>88</v>
      </c>
      <c r="G245" s="32" t="s">
        <v>28201</v>
      </c>
      <c r="H245" s="30"/>
      <c r="I245" s="30"/>
      <c r="J245" s="30"/>
      <c r="K245" s="30"/>
      <c r="L245" s="30"/>
      <c r="M245" s="30"/>
      <c r="N245" s="30"/>
      <c r="O245" s="30"/>
      <c r="P245" s="30"/>
      <c r="Q245" s="30"/>
      <c r="R245" s="30"/>
      <c r="S245" s="30"/>
      <c r="T245" s="30"/>
      <c r="U245" s="30"/>
      <c r="V245" s="30"/>
      <c r="W245" s="30"/>
      <c r="X245" s="30"/>
      <c r="Y245" s="30"/>
    </row>
    <row r="246" spans="1:25" x14ac:dyDescent="0.25">
      <c r="A246" s="30"/>
      <c r="B246" s="41" t="s">
        <v>1131</v>
      </c>
      <c r="C246" s="41" t="str" cm="1">
        <f t="array" ref="C246">_xlfn.XLOOKUP(
  1,
  (Lists3.1_Longlist[IUD]=Lists3.1_Shortlist[[#This Row],[IUD]]) *
  (Lists3.1_Longlist[Language]=Language),
  Lists3.1_Longlist[Mat. Cat 1]
)</f>
        <v>Papier et carton</v>
      </c>
      <c r="D246" s="41" t="str" cm="1">
        <f t="array" ref="D246">IF(_xlfn.XLOOKUP(
  1,
  (Lists3.1_Longlist[IUD]=Lists3.1_Shortlist[[#This Row],[IUD]]) *
  (Lists3.1_Longlist[Language]=Language),
  Lists3.1_Longlist[Mat. Cat. 2]
)=0,"",_xlfn.XLOOKUP(
  1,
  (Lists3.1_Longlist[IUD]=Lists3.1_Shortlist[[#This Row],[IUD]]) *
  (Lists3.1_Longlist[Language]=Language),
  Lists3.1_Longlist[Mat. Cat. 2]
))</f>
        <v>Pulpe</v>
      </c>
      <c r="E246" s="41" t="str" cm="1">
        <f t="array" ref="E246">IF(_xlfn.XLOOKUP(
  1,
  (Lists3.1_Longlist[IUD]=Lists3.1_Shortlist[[#This Row],[IUD]]) *
  (Lists3.1_Longlist[Language]=Language),
  Lists3.1_Longlist[Mat. Cat. 3]
)=0,"",_xlfn.XLOOKUP(
  1,
  (Lists3.1_Longlist[IUD]=Lists3.1_Shortlist[[#This Row],[IUD]]) *
  (Lists3.1_Longlist[Language]=Language),
  Lists3.1_Longlist[Mat. Cat. 3]
))</f>
        <v>Pulpe de sulfate (blanchie)</v>
      </c>
      <c r="F246" s="32" t="s">
        <v>88</v>
      </c>
      <c r="G246" s="32" t="s">
        <v>28202</v>
      </c>
      <c r="H246" s="30"/>
      <c r="I246" s="30"/>
      <c r="J246" s="30"/>
      <c r="K246" s="30"/>
      <c r="L246" s="30"/>
      <c r="M246" s="30"/>
      <c r="N246" s="30"/>
      <c r="O246" s="30"/>
      <c r="P246" s="30"/>
      <c r="Q246" s="30"/>
      <c r="R246" s="30"/>
      <c r="S246" s="30"/>
      <c r="T246" s="30"/>
      <c r="U246" s="30"/>
      <c r="V246" s="30"/>
      <c r="W246" s="30"/>
      <c r="X246" s="30"/>
      <c r="Y246" s="30"/>
    </row>
    <row r="247" spans="1:25" x14ac:dyDescent="0.25">
      <c r="A247" s="30"/>
      <c r="B247" s="41" t="s">
        <v>1130</v>
      </c>
      <c r="C247" s="41" t="str" cm="1">
        <f t="array" ref="C247">_xlfn.XLOOKUP(
  1,
  (Lists3.1_Longlist[IUD]=Lists3.1_Shortlist[[#This Row],[IUD]]) *
  (Lists3.1_Longlist[Language]=Language),
  Lists3.1_Longlist[Mat. Cat 1]
)</f>
        <v>Papier et carton</v>
      </c>
      <c r="D247" s="41" t="str" cm="1">
        <f t="array" ref="D247">IF(_xlfn.XLOOKUP(
  1,
  (Lists3.1_Longlist[IUD]=Lists3.1_Shortlist[[#This Row],[IUD]]) *
  (Lists3.1_Longlist[Language]=Language),
  Lists3.1_Longlist[Mat. Cat. 2]
)=0,"",_xlfn.XLOOKUP(
  1,
  (Lists3.1_Longlist[IUD]=Lists3.1_Shortlist[[#This Row],[IUD]]) *
  (Lists3.1_Longlist[Language]=Language),
  Lists3.1_Longlist[Mat. Cat. 2]
))</f>
        <v>Pulpe</v>
      </c>
      <c r="E247" s="41" t="str" cm="1">
        <f t="array" ref="E247">IF(_xlfn.XLOOKUP(
  1,
  (Lists3.1_Longlist[IUD]=Lists3.1_Shortlist[[#This Row],[IUD]]) *
  (Lists3.1_Longlist[Language]=Language),
  Lists3.1_Longlist[Mat. Cat. 3]
)=0,"",_xlfn.XLOOKUP(
  1,
  (Lists3.1_Longlist[IUD]=Lists3.1_Shortlist[[#This Row],[IUD]]) *
  (Lists3.1_Longlist[Language]=Language),
  Lists3.1_Longlist[Mat. Cat. 3]
))</f>
        <v>Pulpe de sulfate (non blanchie)</v>
      </c>
      <c r="F247" s="32" t="s">
        <v>88</v>
      </c>
      <c r="G247" s="32" t="s">
        <v>28203</v>
      </c>
      <c r="H247" s="44"/>
      <c r="I247" s="30"/>
      <c r="J247" s="30"/>
      <c r="K247" s="30"/>
      <c r="L247" s="30"/>
      <c r="M247" s="30"/>
      <c r="N247" s="30"/>
      <c r="O247" s="30"/>
      <c r="P247" s="30"/>
      <c r="Q247" s="30"/>
      <c r="R247" s="30"/>
      <c r="S247" s="30"/>
      <c r="T247" s="30"/>
      <c r="U247" s="30"/>
      <c r="V247" s="30"/>
      <c r="W247" s="30"/>
      <c r="X247" s="30"/>
      <c r="Y247" s="30"/>
    </row>
    <row r="248" spans="1:25" x14ac:dyDescent="0.25">
      <c r="A248" s="30"/>
      <c r="B248" s="41" t="s">
        <v>1132</v>
      </c>
      <c r="C248" s="41" t="str" cm="1">
        <f t="array" ref="C248">_xlfn.XLOOKUP(
  1,
  (Lists3.1_Longlist[IUD]=Lists3.1_Shortlist[[#This Row],[IUD]]) *
  (Lists3.1_Longlist[Language]=Language),
  Lists3.1_Longlist[Mat. Cat 1]
)</f>
        <v>Textiles</v>
      </c>
      <c r="D248" s="41" t="str" cm="1">
        <f t="array" ref="D248">IF(_xlfn.XLOOKUP(
  1,
  (Lists3.1_Longlist[IUD]=Lists3.1_Shortlist[[#This Row],[IUD]]) *
  (Lists3.1_Longlist[Language]=Language),
  Lists3.1_Longlist[Mat. Cat. 2]
)=0,"",_xlfn.XLOOKUP(
  1,
  (Lists3.1_Longlist[IUD]=Lists3.1_Shortlist[[#This Row],[IUD]]) *
  (Lists3.1_Longlist[Language]=Language),
  Lists3.1_Longlist[Mat. Cat. 2]
))</f>
        <v>Textile (en coton)</v>
      </c>
      <c r="E248" s="41" t="str" cm="1">
        <f t="array" ref="E248">IF(_xlfn.XLOOKUP(
  1,
  (Lists3.1_Longlist[IUD]=Lists3.1_Shortlist[[#This Row],[IUD]]) *
  (Lists3.1_Longlist[Language]=Language),
  Lists3.1_Longlist[Mat. Cat. 3]
)=0,"",_xlfn.XLOOKUP(
  1,
  (Lists3.1_Longlist[IUD]=Lists3.1_Shortlist[[#This Row],[IUD]]) *
  (Lists3.1_Longlist[Language]=Language),
  Lists3.1_Longlist[Mat. Cat. 3]
))</f>
        <v/>
      </c>
      <c r="F248" s="32" t="s">
        <v>88</v>
      </c>
      <c r="G248" s="32" t="s">
        <v>28204</v>
      </c>
      <c r="H248" s="44"/>
      <c r="I248" s="30"/>
      <c r="J248" s="30"/>
      <c r="K248" s="30"/>
      <c r="L248" s="30"/>
      <c r="M248" s="30"/>
      <c r="N248" s="30"/>
      <c r="O248" s="30"/>
      <c r="P248" s="30"/>
      <c r="Q248" s="30"/>
      <c r="R248" s="30"/>
      <c r="S248" s="30"/>
      <c r="T248" s="30"/>
      <c r="U248" s="30"/>
      <c r="V248" s="30"/>
      <c r="W248" s="30"/>
      <c r="X248" s="30"/>
      <c r="Y248" s="30"/>
    </row>
    <row r="249" spans="1:25" x14ac:dyDescent="0.25">
      <c r="A249" s="30"/>
      <c r="B249" s="41" t="s">
        <v>1133</v>
      </c>
      <c r="C249" s="41" t="str" cm="1">
        <f t="array" ref="C249">_xlfn.XLOOKUP(
  1,
  (Lists3.1_Longlist[IUD]=Lists3.1_Shortlist[[#This Row],[IUD]]) *
  (Lists3.1_Longlist[Language]=Language),
  Lists3.1_Longlist[Mat. Cat 1]
)</f>
        <v>Textiles</v>
      </c>
      <c r="D249" s="41" t="str" cm="1">
        <f t="array" ref="D249">IF(_xlfn.XLOOKUP(
  1,
  (Lists3.1_Longlist[IUD]=Lists3.1_Shortlist[[#This Row],[IUD]]) *
  (Lists3.1_Longlist[Language]=Language),
  Lists3.1_Longlist[Mat. Cat. 2]
)=0,"",_xlfn.XLOOKUP(
  1,
  (Lists3.1_Longlist[IUD]=Lists3.1_Shortlist[[#This Row],[IUD]]) *
  (Lists3.1_Longlist[Language]=Language),
  Lists3.1_Longlist[Mat. Cat. 2]
))</f>
        <v>Textile (en jute)</v>
      </c>
      <c r="E249" s="41" t="str" cm="1">
        <f t="array" ref="E249">IF(_xlfn.XLOOKUP(
  1,
  (Lists3.1_Longlist[IUD]=Lists3.1_Shortlist[[#This Row],[IUD]]) *
  (Lists3.1_Longlist[Language]=Language),
  Lists3.1_Longlist[Mat. Cat. 3]
)=0,"",_xlfn.XLOOKUP(
  1,
  (Lists3.1_Longlist[IUD]=Lists3.1_Shortlist[[#This Row],[IUD]]) *
  (Lists3.1_Longlist[Language]=Language),
  Lists3.1_Longlist[Mat. Cat. 3]
))</f>
        <v/>
      </c>
      <c r="F249" s="32" t="s">
        <v>88</v>
      </c>
      <c r="G249" s="32" t="s">
        <v>28205</v>
      </c>
      <c r="H249" s="44"/>
      <c r="I249" s="30"/>
      <c r="J249" s="30"/>
      <c r="K249" s="30"/>
      <c r="L249" s="30"/>
      <c r="M249" s="30"/>
      <c r="N249" s="30"/>
      <c r="O249" s="30"/>
      <c r="P249" s="30"/>
      <c r="Q249" s="30"/>
      <c r="R249" s="30"/>
      <c r="S249" s="30"/>
      <c r="T249" s="30"/>
      <c r="U249" s="30"/>
      <c r="V249" s="30"/>
      <c r="W249" s="30"/>
      <c r="X249" s="30"/>
      <c r="Y249" s="30"/>
    </row>
    <row r="250" spans="1:25" x14ac:dyDescent="0.25">
      <c r="A250" s="30"/>
      <c r="B250" s="41" t="s">
        <v>1134</v>
      </c>
      <c r="C250" s="41" t="str" cm="1">
        <f t="array" ref="C250">_xlfn.XLOOKUP(
  1,
  (Lists3.1_Longlist[IUD]=Lists3.1_Shortlist[[#This Row],[IUD]]) *
  (Lists3.1_Longlist[Language]=Language),
  Lists3.1_Longlist[Mat. Cat 1]
)</f>
        <v>Textiles</v>
      </c>
      <c r="D250" s="41" t="str" cm="1">
        <f t="array" ref="D250">IF(_xlfn.XLOOKUP(
  1,
  (Lists3.1_Longlist[IUD]=Lists3.1_Shortlist[[#This Row],[IUD]]) *
  (Lists3.1_Longlist[Language]=Language),
  Lists3.1_Longlist[Mat. Cat. 2]
)=0,"",_xlfn.XLOOKUP(
  1,
  (Lists3.1_Longlist[IUD]=Lists3.1_Shortlist[[#This Row],[IUD]]) *
  (Lists3.1_Longlist[Language]=Language),
  Lists3.1_Longlist[Mat. Cat. 2]
))</f>
        <v>Fibre de viscose</v>
      </c>
      <c r="E250" s="41" t="str" cm="1">
        <f t="array" ref="E250">IF(_xlfn.XLOOKUP(
  1,
  (Lists3.1_Longlist[IUD]=Lists3.1_Shortlist[[#This Row],[IUD]]) *
  (Lists3.1_Longlist[Language]=Language),
  Lists3.1_Longlist[Mat. Cat. 3]
)=0,"",_xlfn.XLOOKUP(
  1,
  (Lists3.1_Longlist[IUD]=Lists3.1_Shortlist[[#This Row],[IUD]]) *
  (Lists3.1_Longlist[Language]=Language),
  Lists3.1_Longlist[Mat. Cat. 3]
))</f>
        <v/>
      </c>
      <c r="F250" s="32" t="s">
        <v>88</v>
      </c>
      <c r="G250" s="32" t="s">
        <v>28206</v>
      </c>
      <c r="H250" s="44"/>
      <c r="I250" s="30"/>
      <c r="J250" s="30"/>
      <c r="K250" s="30"/>
      <c r="L250" s="30"/>
      <c r="M250" s="30"/>
      <c r="N250" s="30"/>
      <c r="O250" s="30"/>
      <c r="P250" s="30"/>
      <c r="Q250" s="30"/>
      <c r="R250" s="30"/>
      <c r="S250" s="30"/>
      <c r="T250" s="30"/>
      <c r="U250" s="30"/>
      <c r="V250" s="30"/>
      <c r="W250" s="30"/>
      <c r="X250" s="30"/>
      <c r="Y250" s="30"/>
    </row>
    <row r="251" spans="1:25" x14ac:dyDescent="0.25">
      <c r="A251" s="30"/>
      <c r="B251" s="41" t="s">
        <v>1135</v>
      </c>
      <c r="C251" s="41" t="str" cm="1">
        <f t="array" ref="C251">_xlfn.XLOOKUP(
  1,
  (Lists3.1_Longlist[IUD]=Lists3.1_Shortlist[[#This Row],[IUD]]) *
  (Lists3.1_Longlist[Language]=Language),
  Lists3.1_Longlist[Mat. Cat 1]
)</f>
        <v>Eau</v>
      </c>
      <c r="D251" s="41" t="str" cm="1">
        <f t="array" ref="D251">IF(_xlfn.XLOOKUP(
  1,
  (Lists3.1_Longlist[IUD]=Lists3.1_Shortlist[[#This Row],[IUD]]) *
  (Lists3.1_Longlist[Language]=Language),
  Lists3.1_Longlist[Mat. Cat. 2]
)=0,"",_xlfn.XLOOKUP(
  1,
  (Lists3.1_Longlist[IUD]=Lists3.1_Shortlist[[#This Row],[IUD]]) *
  (Lists3.1_Longlist[Language]=Language),
  Lists3.1_Longlist[Mat. Cat. 2]
))</f>
        <v>Eau du robinet</v>
      </c>
      <c r="E251" s="41" t="str" cm="1">
        <f t="array" ref="E251">IF(_xlfn.XLOOKUP(
  1,
  (Lists3.1_Longlist[IUD]=Lists3.1_Shortlist[[#This Row],[IUD]]) *
  (Lists3.1_Longlist[Language]=Language),
  Lists3.1_Longlist[Mat. Cat. 3]
)=0,"",_xlfn.XLOOKUP(
  1,
  (Lists3.1_Longlist[IUD]=Lists3.1_Shortlist[[#This Row],[IUD]]) *
  (Lists3.1_Longlist[Language]=Language),
  Lists3.1_Longlist[Mat. Cat. 3]
))</f>
        <v/>
      </c>
      <c r="F251" s="32" t="s">
        <v>88</v>
      </c>
      <c r="G251" s="32" t="s">
        <v>28207</v>
      </c>
      <c r="H251" s="30"/>
      <c r="I251" s="30"/>
      <c r="J251" s="30"/>
      <c r="K251" s="30"/>
      <c r="L251" s="30"/>
      <c r="M251" s="30"/>
      <c r="N251" s="30"/>
      <c r="O251" s="30"/>
      <c r="P251" s="30"/>
      <c r="Q251" s="30"/>
      <c r="R251" s="30"/>
      <c r="S251" s="30"/>
      <c r="T251" s="30"/>
      <c r="U251" s="30"/>
      <c r="V251" s="30"/>
      <c r="W251" s="30"/>
      <c r="X251" s="30"/>
      <c r="Y251" s="30"/>
    </row>
    <row r="252" spans="1:25" x14ac:dyDescent="0.25">
      <c r="A252" s="30"/>
      <c r="B252" s="41" t="s">
        <v>1135</v>
      </c>
      <c r="C252" s="41" t="str" cm="1">
        <f t="array" ref="C252">_xlfn.XLOOKUP(
  1,
  (Lists3.1_Longlist[IUD]=Lists3.1_Shortlist[[#This Row],[IUD]]) *
  (Lists3.1_Longlist[Language]=Language),
  Lists3.1_Longlist[Mat. Cat 1]
)</f>
        <v>Eau</v>
      </c>
      <c r="D252" s="41" t="str" cm="1">
        <f t="array" ref="D252">IF(_xlfn.XLOOKUP(
  1,
  (Lists3.1_Longlist[IUD]=Lists3.1_Shortlist[[#This Row],[IUD]]) *
  (Lists3.1_Longlist[Language]=Language),
  Lists3.1_Longlist[Mat. Cat. 2]
)=0,"",_xlfn.XLOOKUP(
  1,
  (Lists3.1_Longlist[IUD]=Lists3.1_Shortlist[[#This Row],[IUD]]) *
  (Lists3.1_Longlist[Language]=Language),
  Lists3.1_Longlist[Mat. Cat. 2]
))</f>
        <v>Eau déionisée</v>
      </c>
      <c r="E252" s="41" t="str" cm="1">
        <f t="array" ref="E252">IF(_xlfn.XLOOKUP(
  1,
  (Lists3.1_Longlist[IUD]=Lists3.1_Shortlist[[#This Row],[IUD]]) *
  (Lists3.1_Longlist[Language]=Language),
  Lists3.1_Longlist[Mat. Cat. 3]
)=0,"",_xlfn.XLOOKUP(
  1,
  (Lists3.1_Longlist[IUD]=Lists3.1_Shortlist[[#This Row],[IUD]]) *
  (Lists3.1_Longlist[Language]=Language),
  Lists3.1_Longlist[Mat. Cat. 3]
))</f>
        <v/>
      </c>
      <c r="F252" s="32" t="s">
        <v>88</v>
      </c>
      <c r="G252" s="32" t="s">
        <v>28208</v>
      </c>
      <c r="H252" s="30"/>
      <c r="I252" s="30"/>
      <c r="J252" s="30"/>
      <c r="K252" s="30"/>
      <c r="L252" s="30"/>
      <c r="M252" s="30"/>
      <c r="N252" s="30"/>
      <c r="O252" s="30"/>
      <c r="P252" s="30"/>
      <c r="Q252" s="30"/>
      <c r="R252" s="30"/>
      <c r="S252" s="30"/>
      <c r="T252" s="30"/>
      <c r="U252" s="30"/>
      <c r="V252" s="30"/>
      <c r="W252" s="30"/>
      <c r="X252" s="30"/>
      <c r="Y252" s="30"/>
    </row>
    <row r="253" spans="1:25" x14ac:dyDescent="0.25">
      <c r="A253" s="30"/>
      <c r="B253" s="41" t="s">
        <v>19054</v>
      </c>
      <c r="C253" s="41" t="str" cm="1">
        <f t="array" ref="C253">_xlfn.XLOOKUP(
  1,
  (Lists3.1_Longlist[IUD]=Lists3.1_Shortlist[[#This Row],[IUD]]) *
  (Lists3.1_Longlist[Language]=Language),
  Lists3.1_Longlist[Mat. Cat 1]
)</f>
        <v>Refrigerants</v>
      </c>
      <c r="D253" s="41" t="str" cm="1">
        <f t="array" ref="D253">IF(_xlfn.XLOOKUP(
  1,
  (Lists3.1_Longlist[IUD]=Lists3.1_Shortlist[[#This Row],[IUD]]) *
  (Lists3.1_Longlist[Language]=Language),
  Lists3.1_Longlist[Mat. Cat. 2]
)=0,"",_xlfn.XLOOKUP(
  1,
  (Lists3.1_Longlist[IUD]=Lists3.1_Shortlist[[#This Row],[IUD]]) *
  (Lists3.1_Longlist[Language]=Language),
  Lists3.1_Longlist[Mat. Cat. 2]
))</f>
        <v>Refrigerants</v>
      </c>
      <c r="E253" s="41" t="str" cm="1">
        <f t="array" ref="E253">IF(_xlfn.XLOOKUP(
  1,
  (Lists3.1_Longlist[IUD]=Lists3.1_Shortlist[[#This Row],[IUD]]) *
  (Lists3.1_Longlist[Language]=Language),
  Lists3.1_Longlist[Mat. Cat. 3]
)=0,"",_xlfn.XLOOKUP(
  1,
  (Lists3.1_Longlist[IUD]=Lists3.1_Shortlist[[#This Row],[IUD]]) *
  (Lists3.1_Longlist[Language]=Language),
  Lists3.1_Longlist[Mat. Cat. 3]
))</f>
        <v/>
      </c>
      <c r="F253" s="32" t="s">
        <v>88</v>
      </c>
      <c r="G253" s="32" t="s">
        <v>28209</v>
      </c>
      <c r="H253" s="30"/>
      <c r="I253" s="30"/>
      <c r="J253" s="30"/>
      <c r="K253" s="30"/>
      <c r="L253" s="30"/>
      <c r="M253" s="30"/>
      <c r="N253" s="30"/>
      <c r="O253" s="30"/>
      <c r="P253" s="30"/>
      <c r="Q253" s="30"/>
      <c r="R253" s="30"/>
      <c r="S253" s="30"/>
      <c r="T253" s="30"/>
      <c r="U253" s="30"/>
      <c r="V253" s="30"/>
      <c r="W253" s="30"/>
      <c r="X253" s="30"/>
      <c r="Y253" s="30"/>
    </row>
    <row r="254" spans="1:25" x14ac:dyDescent="0.25">
      <c r="A254" s="30"/>
      <c r="B254" s="304"/>
      <c r="C254" s="304"/>
      <c r="D254" s="304"/>
      <c r="E254" s="304"/>
      <c r="F254" s="305"/>
      <c r="H254" s="30"/>
      <c r="I254" s="30"/>
      <c r="J254" s="30"/>
      <c r="K254" s="30"/>
      <c r="L254" s="30"/>
      <c r="M254" s="30"/>
      <c r="N254" s="30"/>
      <c r="O254" s="30"/>
      <c r="P254" s="30"/>
      <c r="Q254" s="30"/>
      <c r="R254" s="30"/>
      <c r="S254" s="30"/>
      <c r="T254" s="30"/>
      <c r="U254" s="30"/>
      <c r="V254" s="30"/>
      <c r="W254" s="30"/>
      <c r="X254" s="30"/>
      <c r="Y254" s="30"/>
    </row>
    <row r="255" spans="1:25" x14ac:dyDescent="0.25">
      <c r="A255" s="30"/>
      <c r="B255" s="304"/>
      <c r="C255" s="304"/>
      <c r="D255" s="304"/>
      <c r="E255" s="304"/>
      <c r="F255" s="305"/>
      <c r="H255" s="30"/>
      <c r="I255" s="30"/>
      <c r="J255" s="30"/>
      <c r="K255" s="30"/>
      <c r="L255" s="30"/>
      <c r="M255" s="30"/>
      <c r="N255" s="30"/>
      <c r="O255" s="30"/>
      <c r="P255" s="30"/>
      <c r="Q255" s="30"/>
      <c r="R255" s="30"/>
      <c r="S255" s="30"/>
      <c r="T255" s="30"/>
      <c r="U255" s="30"/>
      <c r="V255" s="30"/>
      <c r="W255" s="30"/>
      <c r="X255" s="30"/>
      <c r="Y255" s="30"/>
    </row>
    <row r="256" spans="1:25" x14ac:dyDescent="0.25">
      <c r="A256" s="30"/>
      <c r="B256" s="304"/>
      <c r="C256" s="304"/>
      <c r="D256" s="304"/>
      <c r="E256" s="304"/>
      <c r="F256" s="305"/>
      <c r="H256" s="30"/>
      <c r="I256" s="30"/>
      <c r="J256" s="30"/>
      <c r="K256" s="30"/>
      <c r="L256" s="30"/>
      <c r="M256" s="30"/>
      <c r="N256" s="30"/>
      <c r="O256" s="30"/>
      <c r="P256" s="30"/>
      <c r="Q256" s="30"/>
      <c r="R256" s="30"/>
      <c r="S256" s="30"/>
      <c r="T256" s="30"/>
      <c r="U256" s="30"/>
      <c r="V256" s="30"/>
      <c r="W256" s="30"/>
      <c r="X256" s="30"/>
      <c r="Y256" s="30"/>
    </row>
    <row r="257" spans="1:36" x14ac:dyDescent="0.25">
      <c r="A257" s="30"/>
      <c r="B257" s="30"/>
      <c r="C257" s="30"/>
      <c r="D257" s="30"/>
      <c r="E257" s="30"/>
      <c r="F257" s="30"/>
      <c r="G257" s="30"/>
      <c r="N257" s="47" t="s">
        <v>1139</v>
      </c>
      <c r="O257" s="47"/>
      <c r="P257" s="47" t="s">
        <v>88</v>
      </c>
      <c r="Q257" s="47" t="s">
        <v>1138</v>
      </c>
      <c r="R257" s="47" t="s">
        <v>1137</v>
      </c>
      <c r="S257" s="30"/>
      <c r="T257" s="30"/>
      <c r="U257" s="30"/>
      <c r="V257" s="30"/>
      <c r="W257" s="30"/>
      <c r="X257" s="30"/>
      <c r="Y257" s="30"/>
      <c r="Z257" s="30"/>
      <c r="AA257" s="30"/>
      <c r="AB257" s="30"/>
      <c r="AC257" s="30"/>
      <c r="AD257" s="30"/>
      <c r="AE257" s="30"/>
      <c r="AF257" s="30"/>
      <c r="AG257" s="30"/>
      <c r="AH257" s="30"/>
      <c r="AI257" s="30"/>
      <c r="AJ257" s="30"/>
    </row>
    <row r="258" spans="1:36" ht="21" x14ac:dyDescent="0.35">
      <c r="A258" s="30"/>
      <c r="B258" s="38" t="s">
        <v>1140</v>
      </c>
      <c r="N258" s="48"/>
      <c r="O258" s="48"/>
      <c r="P258" s="48"/>
      <c r="Q258" s="48"/>
      <c r="R258" s="48"/>
      <c r="S258" s="30"/>
      <c r="T258" s="30"/>
      <c r="U258" s="30"/>
      <c r="V258" s="30"/>
      <c r="W258" s="30"/>
      <c r="X258" s="30"/>
      <c r="Y258" s="30"/>
      <c r="Z258" s="30"/>
      <c r="AA258" s="30"/>
      <c r="AB258" s="30"/>
      <c r="AC258" s="30"/>
      <c r="AD258" s="30"/>
      <c r="AE258" s="30"/>
      <c r="AF258" s="30"/>
      <c r="AG258" s="30"/>
      <c r="AH258" s="30"/>
      <c r="AI258" s="30"/>
      <c r="AJ258" s="30"/>
    </row>
    <row r="259" spans="1:36" x14ac:dyDescent="0.25">
      <c r="A259" s="30"/>
      <c r="N259" s="48"/>
      <c r="O259" s="48"/>
      <c r="P259" s="48"/>
      <c r="Q259" s="48"/>
      <c r="R259" s="48"/>
      <c r="S259" s="30"/>
      <c r="T259" s="30"/>
      <c r="U259" s="30"/>
      <c r="V259" s="30"/>
      <c r="W259" s="30"/>
      <c r="X259" s="30"/>
      <c r="Y259" s="30"/>
      <c r="Z259" s="30"/>
      <c r="AA259" s="30"/>
      <c r="AB259" s="30"/>
      <c r="AC259" s="30"/>
      <c r="AD259" s="30"/>
      <c r="AE259" s="30"/>
      <c r="AF259" s="30"/>
      <c r="AG259" s="30"/>
      <c r="AH259" s="30"/>
      <c r="AI259" s="30"/>
      <c r="AJ259" s="30"/>
    </row>
    <row r="260" spans="1:36" x14ac:dyDescent="0.25">
      <c r="A260" s="30"/>
      <c r="B260" s="49" t="s">
        <v>869</v>
      </c>
      <c r="C260" s="49" t="s">
        <v>1141</v>
      </c>
      <c r="D260" s="49" t="s">
        <v>1142</v>
      </c>
      <c r="E260" s="49" t="s">
        <v>1143</v>
      </c>
      <c r="F260" s="50" t="s">
        <v>0</v>
      </c>
      <c r="G260" s="50" t="s">
        <v>276</v>
      </c>
      <c r="H260" s="50" t="s">
        <v>27961</v>
      </c>
      <c r="I260" s="48"/>
      <c r="J260" s="48"/>
      <c r="K260" s="48"/>
      <c r="L260" s="48"/>
      <c r="M260" s="48"/>
      <c r="N260" s="44"/>
      <c r="O260" s="30"/>
      <c r="P260" s="30"/>
      <c r="Q260" s="30"/>
      <c r="R260" s="30"/>
      <c r="S260" s="30"/>
      <c r="T260" s="30"/>
      <c r="U260" s="30"/>
      <c r="V260" s="30"/>
      <c r="W260" s="30"/>
      <c r="X260" s="30"/>
      <c r="Y260" s="30"/>
      <c r="Z260" s="30"/>
      <c r="AA260" s="30"/>
      <c r="AB260" s="30"/>
      <c r="AC260" s="30"/>
      <c r="AD260" s="30"/>
      <c r="AE260" s="30"/>
    </row>
    <row r="261" spans="1:36" x14ac:dyDescent="0.25">
      <c r="A261" s="30"/>
      <c r="B261" s="41" t="s">
        <v>874</v>
      </c>
      <c r="C261" t="s">
        <v>1144</v>
      </c>
      <c r="D261" t="s">
        <v>1145</v>
      </c>
      <c r="E261"/>
      <c r="F261" t="str">
        <f t="shared" ref="F261:F324" si="0">German</f>
        <v>Deutsch</v>
      </c>
      <c r="G261" s="32" t="s">
        <v>88</v>
      </c>
      <c r="H261" s="302" t="s">
        <v>27963</v>
      </c>
      <c r="I261" s="47"/>
      <c r="J261" s="47"/>
      <c r="K261" s="47"/>
      <c r="L261" s="30"/>
      <c r="M261" s="30"/>
      <c r="N261" s="30"/>
      <c r="O261" s="30"/>
      <c r="P261" s="30"/>
      <c r="Q261" s="30"/>
      <c r="R261" s="30"/>
      <c r="S261" s="30"/>
      <c r="T261" s="30"/>
      <c r="U261" s="30"/>
      <c r="V261" s="30"/>
      <c r="W261" s="30"/>
      <c r="X261" s="30"/>
      <c r="Y261" s="30"/>
      <c r="Z261" s="30"/>
      <c r="AA261" s="30"/>
      <c r="AB261" s="30"/>
      <c r="AC261" s="30"/>
    </row>
    <row r="262" spans="1:36" x14ac:dyDescent="0.25">
      <c r="A262" s="30"/>
      <c r="B262" s="41" t="s">
        <v>895</v>
      </c>
      <c r="C262" t="s">
        <v>1144</v>
      </c>
      <c r="D262" t="s">
        <v>1146</v>
      </c>
      <c r="E262"/>
      <c r="F262" t="str">
        <f t="shared" si="0"/>
        <v>Deutsch</v>
      </c>
      <c r="G262" s="32" t="s">
        <v>88</v>
      </c>
      <c r="H262" s="303" t="s">
        <v>27964</v>
      </c>
      <c r="I262" s="48"/>
      <c r="J262" s="48"/>
      <c r="K262" s="48"/>
      <c r="L262" s="30"/>
      <c r="M262" s="30"/>
      <c r="N262" s="30"/>
      <c r="O262" s="30"/>
      <c r="P262" s="30"/>
      <c r="Q262" s="30"/>
      <c r="R262" s="30"/>
      <c r="S262" s="30"/>
      <c r="T262" s="30"/>
      <c r="U262" s="30"/>
      <c r="V262" s="30"/>
      <c r="W262" s="30"/>
      <c r="X262" s="30"/>
      <c r="Y262" s="30"/>
      <c r="Z262" s="30"/>
      <c r="AA262" s="30"/>
      <c r="AB262" s="30"/>
      <c r="AC262" s="30"/>
    </row>
    <row r="263" spans="1:36" x14ac:dyDescent="0.25">
      <c r="A263" s="30"/>
      <c r="B263" s="41" t="s">
        <v>895</v>
      </c>
      <c r="C263" t="s">
        <v>1144</v>
      </c>
      <c r="D263" t="s">
        <v>1146</v>
      </c>
      <c r="E263" t="s">
        <v>1147</v>
      </c>
      <c r="F263" t="str">
        <f t="shared" si="0"/>
        <v>Deutsch</v>
      </c>
      <c r="G263" s="32" t="s">
        <v>88</v>
      </c>
      <c r="H263" s="303" t="s">
        <v>27965</v>
      </c>
      <c r="I263" s="48"/>
      <c r="J263" s="48"/>
      <c r="K263" s="48"/>
      <c r="L263" s="44"/>
      <c r="M263" s="30"/>
      <c r="N263" s="30"/>
      <c r="O263" s="30"/>
      <c r="P263" s="30"/>
      <c r="Q263" s="30"/>
      <c r="R263" s="30"/>
      <c r="S263" s="30"/>
      <c r="T263" s="30"/>
      <c r="U263" s="30"/>
      <c r="V263" s="30"/>
      <c r="W263" s="30"/>
      <c r="X263" s="30"/>
      <c r="Y263" s="30"/>
      <c r="Z263" s="30"/>
      <c r="AA263" s="30"/>
      <c r="AB263" s="30"/>
      <c r="AC263" s="30"/>
    </row>
    <row r="264" spans="1:36" x14ac:dyDescent="0.25">
      <c r="A264" s="30"/>
      <c r="B264" s="41" t="s">
        <v>916</v>
      </c>
      <c r="C264" t="s">
        <v>1144</v>
      </c>
      <c r="D264" t="s">
        <v>1146</v>
      </c>
      <c r="E264" t="s">
        <v>1148</v>
      </c>
      <c r="F264" t="str">
        <f t="shared" si="0"/>
        <v>Deutsch</v>
      </c>
      <c r="G264" s="32" t="s">
        <v>88</v>
      </c>
      <c r="H264" s="303" t="s">
        <v>27966</v>
      </c>
      <c r="I264" s="48"/>
      <c r="J264" s="48"/>
      <c r="K264" s="48"/>
      <c r="L264" s="44"/>
      <c r="M264" s="30"/>
      <c r="N264" s="30"/>
      <c r="O264" s="30"/>
      <c r="P264" s="30"/>
      <c r="Q264" s="30"/>
      <c r="R264" s="30"/>
      <c r="S264" s="30"/>
      <c r="T264" s="30"/>
      <c r="U264" s="30"/>
      <c r="V264" s="30"/>
      <c r="W264" s="30"/>
      <c r="X264" s="30"/>
      <c r="Y264" s="30"/>
      <c r="Z264" s="30"/>
      <c r="AA264" s="30"/>
      <c r="AB264" s="30"/>
      <c r="AC264" s="30"/>
    </row>
    <row r="265" spans="1:36" x14ac:dyDescent="0.25">
      <c r="A265" s="30"/>
      <c r="B265" s="41" t="s">
        <v>917</v>
      </c>
      <c r="C265" t="s">
        <v>1144</v>
      </c>
      <c r="D265" t="s">
        <v>1146</v>
      </c>
      <c r="E265" t="s">
        <v>1149</v>
      </c>
      <c r="F265" t="str">
        <f t="shared" si="0"/>
        <v>Deutsch</v>
      </c>
      <c r="G265" s="32" t="s">
        <v>88</v>
      </c>
      <c r="H265" s="303" t="s">
        <v>27967</v>
      </c>
      <c r="I265" s="48"/>
      <c r="J265" s="48"/>
      <c r="K265" s="48"/>
      <c r="L265" s="44"/>
      <c r="M265" s="30"/>
      <c r="N265" s="30"/>
      <c r="O265" s="30"/>
      <c r="P265" s="30"/>
      <c r="Q265" s="30"/>
      <c r="R265" s="30"/>
      <c r="S265" s="30"/>
      <c r="T265" s="30"/>
      <c r="U265" s="30"/>
      <c r="V265" s="30"/>
      <c r="W265" s="30"/>
      <c r="X265" s="30"/>
      <c r="Y265" s="30"/>
      <c r="Z265" s="30"/>
      <c r="AA265" s="30"/>
      <c r="AB265" s="30"/>
      <c r="AC265" s="30"/>
    </row>
    <row r="266" spans="1:36" x14ac:dyDescent="0.25">
      <c r="A266" s="30"/>
      <c r="B266" s="41" t="s">
        <v>918</v>
      </c>
      <c r="C266" t="s">
        <v>1144</v>
      </c>
      <c r="D266" t="s">
        <v>1150</v>
      </c>
      <c r="E266"/>
      <c r="F266" t="str">
        <f t="shared" si="0"/>
        <v>Deutsch</v>
      </c>
      <c r="G266" s="32" t="s">
        <v>563</v>
      </c>
      <c r="H266" s="303" t="s">
        <v>27968</v>
      </c>
      <c r="I266" s="48"/>
      <c r="J266" s="48"/>
      <c r="K266" s="48"/>
      <c r="L266" s="44"/>
      <c r="M266" s="30"/>
      <c r="N266" s="30"/>
      <c r="O266" s="30"/>
      <c r="P266" s="30"/>
      <c r="Q266" s="30"/>
      <c r="R266" s="30"/>
      <c r="S266" s="30"/>
      <c r="T266" s="30"/>
      <c r="U266" s="30"/>
      <c r="V266" s="30"/>
      <c r="W266" s="30"/>
      <c r="X266" s="30"/>
      <c r="Y266" s="30"/>
      <c r="Z266" s="30"/>
      <c r="AA266" s="30"/>
      <c r="AB266" s="30"/>
      <c r="AC266" s="30"/>
    </row>
    <row r="267" spans="1:36" x14ac:dyDescent="0.25">
      <c r="A267" s="30"/>
      <c r="B267" s="41" t="s">
        <v>919</v>
      </c>
      <c r="C267" t="s">
        <v>1144</v>
      </c>
      <c r="D267" t="s">
        <v>1151</v>
      </c>
      <c r="E267"/>
      <c r="F267" t="str">
        <f t="shared" si="0"/>
        <v>Deutsch</v>
      </c>
      <c r="G267" s="32" t="s">
        <v>83</v>
      </c>
      <c r="H267" s="303" t="s">
        <v>27969</v>
      </c>
      <c r="I267" s="48"/>
      <c r="J267" s="48"/>
      <c r="K267" s="48"/>
      <c r="L267" s="30"/>
      <c r="M267" s="30"/>
      <c r="N267" s="30"/>
      <c r="O267" s="30"/>
      <c r="P267" s="30"/>
      <c r="Q267" s="30"/>
      <c r="R267" s="30"/>
      <c r="S267" s="30"/>
      <c r="T267" s="30"/>
      <c r="U267" s="30"/>
      <c r="V267" s="30"/>
      <c r="W267" s="30"/>
      <c r="X267" s="30"/>
      <c r="Y267" s="30"/>
      <c r="Z267" s="30"/>
      <c r="AA267" s="30"/>
      <c r="AB267" s="30"/>
      <c r="AC267" s="30"/>
    </row>
    <row r="268" spans="1:36" x14ac:dyDescent="0.25">
      <c r="A268" s="30"/>
      <c r="B268" s="41" t="s">
        <v>919</v>
      </c>
      <c r="C268" t="s">
        <v>1144</v>
      </c>
      <c r="D268" t="s">
        <v>1151</v>
      </c>
      <c r="E268" t="s">
        <v>1152</v>
      </c>
      <c r="F268" t="str">
        <f t="shared" si="0"/>
        <v>Deutsch</v>
      </c>
      <c r="G268" s="32" t="s">
        <v>83</v>
      </c>
      <c r="H268" s="303" t="s">
        <v>27970</v>
      </c>
      <c r="I268" s="48"/>
      <c r="J268" s="48"/>
      <c r="K268" s="48"/>
      <c r="L268" s="30"/>
      <c r="M268" s="30"/>
      <c r="N268" s="30"/>
      <c r="O268" s="30"/>
      <c r="P268" s="30"/>
      <c r="Q268" s="30"/>
      <c r="R268" s="30"/>
      <c r="S268" s="30"/>
      <c r="T268" s="30"/>
      <c r="U268" s="30"/>
      <c r="V268" s="30"/>
      <c r="W268" s="30"/>
      <c r="X268" s="30"/>
      <c r="Y268" s="30"/>
      <c r="Z268" s="30"/>
      <c r="AA268" s="30"/>
      <c r="AB268" s="30"/>
      <c r="AC268" s="30"/>
    </row>
    <row r="269" spans="1:36" x14ac:dyDescent="0.25">
      <c r="A269" s="30"/>
      <c r="B269" s="41" t="s">
        <v>920</v>
      </c>
      <c r="C269" t="s">
        <v>1144</v>
      </c>
      <c r="D269" t="s">
        <v>1151</v>
      </c>
      <c r="E269" t="s">
        <v>1153</v>
      </c>
      <c r="F269" t="str">
        <f t="shared" si="0"/>
        <v>Deutsch</v>
      </c>
      <c r="G269" s="32" t="s">
        <v>83</v>
      </c>
      <c r="H269" s="303" t="s">
        <v>27971</v>
      </c>
      <c r="I269" s="48"/>
      <c r="J269" s="48"/>
      <c r="K269" s="48"/>
      <c r="L269" s="30"/>
      <c r="M269" s="30"/>
      <c r="N269" s="30"/>
      <c r="O269" s="30"/>
      <c r="P269" s="30"/>
      <c r="Q269" s="30"/>
      <c r="R269" s="30"/>
      <c r="S269" s="30"/>
      <c r="T269" s="30"/>
      <c r="U269" s="30"/>
      <c r="V269" s="30"/>
      <c r="W269" s="30"/>
      <c r="X269" s="30"/>
      <c r="Y269" s="30"/>
      <c r="Z269" s="30"/>
      <c r="AA269" s="30"/>
      <c r="AB269" s="30"/>
      <c r="AC269" s="30"/>
    </row>
    <row r="270" spans="1:36" x14ac:dyDescent="0.25">
      <c r="A270" s="30"/>
      <c r="B270" s="41" t="s">
        <v>921</v>
      </c>
      <c r="C270" t="s">
        <v>1144</v>
      </c>
      <c r="D270" t="s">
        <v>1151</v>
      </c>
      <c r="E270" t="s">
        <v>1154</v>
      </c>
      <c r="F270" t="str">
        <f t="shared" si="0"/>
        <v>Deutsch</v>
      </c>
      <c r="G270" s="32" t="s">
        <v>88</v>
      </c>
      <c r="H270" s="303" t="s">
        <v>27972</v>
      </c>
      <c r="I270" s="48"/>
      <c r="J270" s="48"/>
      <c r="K270" s="48"/>
      <c r="L270" s="30"/>
      <c r="M270" s="30"/>
      <c r="N270" s="30"/>
      <c r="O270" s="30"/>
      <c r="P270" s="30"/>
      <c r="Q270" s="30"/>
      <c r="R270" s="30"/>
      <c r="S270" s="30"/>
      <c r="T270" s="30"/>
      <c r="U270" s="30"/>
      <c r="V270" s="30"/>
      <c r="W270" s="30"/>
      <c r="X270" s="30"/>
      <c r="Y270" s="30"/>
      <c r="Z270" s="30"/>
      <c r="AA270" s="30"/>
      <c r="AB270" s="30"/>
      <c r="AC270" s="30"/>
    </row>
    <row r="271" spans="1:36" x14ac:dyDescent="0.25">
      <c r="A271" s="30"/>
      <c r="B271" s="41" t="s">
        <v>922</v>
      </c>
      <c r="C271" t="s">
        <v>1144</v>
      </c>
      <c r="D271" t="s">
        <v>1151</v>
      </c>
      <c r="E271" t="s">
        <v>1155</v>
      </c>
      <c r="F271" t="str">
        <f t="shared" si="0"/>
        <v>Deutsch</v>
      </c>
      <c r="G271" s="32" t="s">
        <v>88</v>
      </c>
      <c r="H271" s="303" t="s">
        <v>27973</v>
      </c>
      <c r="I271" s="48"/>
      <c r="J271" s="48"/>
      <c r="K271" s="48"/>
      <c r="L271" s="30"/>
      <c r="M271" s="30"/>
      <c r="N271" s="30"/>
      <c r="O271" s="30"/>
      <c r="P271" s="30"/>
      <c r="Q271" s="30"/>
      <c r="R271" s="30"/>
      <c r="S271" s="30"/>
      <c r="T271" s="30"/>
      <c r="U271" s="30"/>
      <c r="V271" s="30"/>
      <c r="W271" s="30"/>
      <c r="X271" s="30"/>
      <c r="Y271" s="30"/>
      <c r="Z271" s="30"/>
      <c r="AA271" s="30"/>
      <c r="AB271" s="30"/>
      <c r="AC271" s="30"/>
    </row>
    <row r="272" spans="1:36" x14ac:dyDescent="0.25">
      <c r="A272" s="30"/>
      <c r="B272" s="45" t="s">
        <v>923</v>
      </c>
      <c r="C272" t="s">
        <v>1144</v>
      </c>
      <c r="D272" t="s">
        <v>1156</v>
      </c>
      <c r="E272" t="s">
        <v>1157</v>
      </c>
      <c r="F272" t="str">
        <f t="shared" si="0"/>
        <v>Deutsch</v>
      </c>
      <c r="G272" s="45" t="s">
        <v>88</v>
      </c>
      <c r="H272" s="303" t="s">
        <v>27974</v>
      </c>
      <c r="I272" s="48"/>
      <c r="J272" s="48"/>
      <c r="K272" s="48"/>
      <c r="L272" s="30"/>
      <c r="M272" s="30"/>
      <c r="N272" s="30"/>
      <c r="O272" s="30"/>
      <c r="P272" s="30"/>
      <c r="Q272" s="30"/>
      <c r="R272" s="30"/>
      <c r="S272" s="30"/>
      <c r="T272" s="30"/>
      <c r="U272" s="30"/>
      <c r="V272" s="30"/>
      <c r="W272" s="30"/>
      <c r="X272" s="30"/>
      <c r="Y272" s="30"/>
      <c r="Z272" s="30"/>
      <c r="AA272" s="30"/>
      <c r="AB272" s="30"/>
      <c r="AC272" s="30"/>
    </row>
    <row r="273" spans="1:29" x14ac:dyDescent="0.25">
      <c r="A273" s="30"/>
      <c r="B273" s="32" t="s">
        <v>924</v>
      </c>
      <c r="C273" t="s">
        <v>1144</v>
      </c>
      <c r="D273" t="s">
        <v>1156</v>
      </c>
      <c r="E273" t="s">
        <v>1158</v>
      </c>
      <c r="F273" t="str">
        <f t="shared" si="0"/>
        <v>Deutsch</v>
      </c>
      <c r="G273" s="32" t="s">
        <v>88</v>
      </c>
      <c r="H273" s="303" t="s">
        <v>27975</v>
      </c>
      <c r="I273" s="48"/>
      <c r="J273" s="48"/>
      <c r="K273" s="48"/>
      <c r="L273" s="30"/>
      <c r="M273" s="30"/>
      <c r="N273" s="30"/>
      <c r="O273" s="30"/>
      <c r="P273" s="30"/>
      <c r="Q273" s="30"/>
      <c r="R273" s="30"/>
      <c r="S273" s="30"/>
      <c r="T273" s="30"/>
      <c r="U273" s="30"/>
      <c r="V273" s="30"/>
      <c r="W273" s="30"/>
      <c r="X273" s="30"/>
      <c r="Y273" s="30"/>
      <c r="Z273" s="30"/>
      <c r="AA273" s="30"/>
      <c r="AB273" s="30"/>
      <c r="AC273" s="30"/>
    </row>
    <row r="274" spans="1:29" x14ac:dyDescent="0.25">
      <c r="A274" s="30"/>
      <c r="B274" s="41" t="s">
        <v>925</v>
      </c>
      <c r="C274" t="s">
        <v>1144</v>
      </c>
      <c r="D274" t="s">
        <v>1159</v>
      </c>
      <c r="E274"/>
      <c r="F274" t="str">
        <f t="shared" si="0"/>
        <v>Deutsch</v>
      </c>
      <c r="G274" s="32" t="s">
        <v>88</v>
      </c>
      <c r="H274" s="303" t="s">
        <v>27976</v>
      </c>
      <c r="I274" s="48"/>
      <c r="J274" s="48"/>
      <c r="K274" s="48"/>
      <c r="L274" s="30"/>
      <c r="M274" s="30"/>
      <c r="N274" s="30"/>
      <c r="O274" s="30"/>
      <c r="P274" s="30"/>
      <c r="Q274" s="30"/>
      <c r="R274" s="30"/>
      <c r="S274" s="30"/>
      <c r="T274" s="30"/>
      <c r="U274" s="30"/>
      <c r="V274" s="30"/>
      <c r="W274" s="30"/>
      <c r="X274" s="30"/>
      <c r="Y274" s="30"/>
      <c r="Z274" s="30"/>
      <c r="AA274" s="30"/>
      <c r="AB274" s="30"/>
      <c r="AC274" s="30"/>
    </row>
    <row r="275" spans="1:29" x14ac:dyDescent="0.25">
      <c r="A275" s="30"/>
      <c r="B275" s="41" t="s">
        <v>926</v>
      </c>
      <c r="C275" t="s">
        <v>1144</v>
      </c>
      <c r="D275" t="s">
        <v>1160</v>
      </c>
      <c r="E275"/>
      <c r="F275" t="str">
        <f t="shared" si="0"/>
        <v>Deutsch</v>
      </c>
      <c r="G275" s="32" t="s">
        <v>88</v>
      </c>
      <c r="H275" s="302" t="s">
        <v>27977</v>
      </c>
      <c r="I275" s="47"/>
      <c r="J275" s="47"/>
      <c r="K275" s="47"/>
      <c r="L275" s="44"/>
      <c r="M275" s="30"/>
      <c r="N275" s="30"/>
      <c r="O275" s="30"/>
      <c r="P275" s="30"/>
      <c r="Q275" s="30"/>
      <c r="R275" s="30"/>
      <c r="S275" s="30"/>
      <c r="T275" s="30"/>
      <c r="U275" s="30"/>
      <c r="V275" s="30"/>
      <c r="W275" s="30"/>
      <c r="X275" s="30"/>
      <c r="Y275" s="30"/>
      <c r="Z275" s="30"/>
      <c r="AA275" s="30"/>
      <c r="AB275" s="30"/>
      <c r="AC275" s="30"/>
    </row>
    <row r="276" spans="1:29" x14ac:dyDescent="0.25">
      <c r="A276" s="30"/>
      <c r="B276" s="41" t="s">
        <v>927</v>
      </c>
      <c r="C276" t="s">
        <v>1144</v>
      </c>
      <c r="D276" t="s">
        <v>1160</v>
      </c>
      <c r="E276" t="s">
        <v>1161</v>
      </c>
      <c r="F276" t="str">
        <f t="shared" si="0"/>
        <v>Deutsch</v>
      </c>
      <c r="G276" s="32" t="s">
        <v>88</v>
      </c>
      <c r="H276" s="303" t="s">
        <v>27978</v>
      </c>
      <c r="I276" s="48"/>
      <c r="J276" s="48"/>
      <c r="K276" s="48"/>
      <c r="L276" s="30"/>
      <c r="M276" s="30"/>
      <c r="N276" s="30"/>
      <c r="O276" s="30"/>
      <c r="P276" s="30"/>
      <c r="Q276" s="30"/>
      <c r="R276" s="30"/>
      <c r="S276" s="30"/>
      <c r="T276" s="30"/>
      <c r="U276" s="30"/>
      <c r="V276" s="30"/>
      <c r="W276" s="30"/>
      <c r="X276" s="30"/>
      <c r="Y276" s="30"/>
      <c r="Z276" s="30"/>
      <c r="AA276" s="30"/>
      <c r="AB276" s="30"/>
      <c r="AC276" s="30"/>
    </row>
    <row r="277" spans="1:29" x14ac:dyDescent="0.25">
      <c r="A277" s="30"/>
      <c r="B277" s="41" t="s">
        <v>928</v>
      </c>
      <c r="C277" t="s">
        <v>1144</v>
      </c>
      <c r="D277" t="s">
        <v>1160</v>
      </c>
      <c r="E277" t="s">
        <v>1162</v>
      </c>
      <c r="F277" t="str">
        <f t="shared" si="0"/>
        <v>Deutsch</v>
      </c>
      <c r="G277" s="32" t="s">
        <v>88</v>
      </c>
      <c r="H277" s="303" t="s">
        <v>27979</v>
      </c>
      <c r="I277" s="48"/>
      <c r="J277" s="48"/>
      <c r="K277" s="48"/>
      <c r="L277" s="30"/>
      <c r="M277" s="30"/>
      <c r="N277" s="30"/>
      <c r="O277" s="30"/>
      <c r="P277" s="30"/>
      <c r="Q277" s="30"/>
      <c r="R277" s="30"/>
      <c r="S277" s="30"/>
      <c r="T277" s="30"/>
      <c r="U277" s="30"/>
      <c r="V277" s="30"/>
      <c r="W277" s="30"/>
      <c r="X277" s="30"/>
      <c r="Y277" s="30"/>
      <c r="Z277" s="30"/>
      <c r="AA277" s="30"/>
      <c r="AB277" s="30"/>
      <c r="AC277" s="30"/>
    </row>
    <row r="278" spans="1:29" x14ac:dyDescent="0.25">
      <c r="A278" s="30"/>
      <c r="B278" s="41" t="s">
        <v>929</v>
      </c>
      <c r="C278" t="s">
        <v>1144</v>
      </c>
      <c r="D278" t="s">
        <v>1160</v>
      </c>
      <c r="E278" t="s">
        <v>1163</v>
      </c>
      <c r="F278" t="str">
        <f t="shared" si="0"/>
        <v>Deutsch</v>
      </c>
      <c r="G278" s="32" t="s">
        <v>88</v>
      </c>
      <c r="H278" s="303" t="s">
        <v>27980</v>
      </c>
      <c r="I278" s="48"/>
      <c r="J278" s="48"/>
      <c r="K278" s="48"/>
      <c r="L278" s="44"/>
      <c r="M278" s="30"/>
      <c r="N278" s="30"/>
      <c r="O278" s="30"/>
      <c r="P278" s="30"/>
      <c r="Q278" s="30"/>
      <c r="R278" s="30"/>
      <c r="S278" s="30"/>
      <c r="T278" s="30"/>
      <c r="U278" s="30"/>
      <c r="V278" s="30"/>
      <c r="W278" s="30"/>
      <c r="X278" s="30"/>
      <c r="Y278" s="30"/>
      <c r="Z278" s="30"/>
      <c r="AA278" s="30"/>
      <c r="AB278" s="30"/>
      <c r="AC278" s="30"/>
    </row>
    <row r="279" spans="1:29" x14ac:dyDescent="0.25">
      <c r="A279" s="30"/>
      <c r="B279" s="41" t="s">
        <v>930</v>
      </c>
      <c r="C279" t="s">
        <v>1144</v>
      </c>
      <c r="D279" t="s">
        <v>1160</v>
      </c>
      <c r="E279" t="s">
        <v>1164</v>
      </c>
      <c r="F279" t="str">
        <f t="shared" si="0"/>
        <v>Deutsch</v>
      </c>
      <c r="G279" s="32" t="s">
        <v>88</v>
      </c>
      <c r="H279" s="303" t="s">
        <v>27981</v>
      </c>
      <c r="I279" s="48"/>
      <c r="J279" s="48"/>
      <c r="K279" s="48"/>
      <c r="L279" s="44"/>
      <c r="M279" s="30"/>
      <c r="N279" s="30"/>
      <c r="O279" s="30"/>
      <c r="P279" s="30"/>
      <c r="Q279" s="30"/>
      <c r="R279" s="30"/>
      <c r="S279" s="30"/>
      <c r="T279" s="30"/>
      <c r="U279" s="30"/>
      <c r="V279" s="30"/>
      <c r="W279" s="30"/>
      <c r="X279" s="30"/>
      <c r="Y279" s="30"/>
      <c r="Z279" s="30"/>
      <c r="AA279" s="30"/>
      <c r="AB279" s="30"/>
      <c r="AC279" s="30"/>
    </row>
    <row r="280" spans="1:29" x14ac:dyDescent="0.25">
      <c r="A280" s="30"/>
      <c r="B280" s="41" t="s">
        <v>926</v>
      </c>
      <c r="C280" t="s">
        <v>1144</v>
      </c>
      <c r="D280" t="s">
        <v>1160</v>
      </c>
      <c r="E280" t="s">
        <v>1165</v>
      </c>
      <c r="F280" t="str">
        <f t="shared" si="0"/>
        <v>Deutsch</v>
      </c>
      <c r="G280" s="32" t="s">
        <v>88</v>
      </c>
      <c r="H280" s="303" t="s">
        <v>27982</v>
      </c>
      <c r="I280" s="48"/>
      <c r="J280" s="48"/>
      <c r="K280" s="48"/>
      <c r="L280" s="44"/>
      <c r="M280" s="30"/>
      <c r="N280" s="30"/>
      <c r="O280" s="30"/>
      <c r="P280" s="30"/>
      <c r="Q280" s="30"/>
      <c r="R280" s="30"/>
      <c r="S280" s="30"/>
      <c r="T280" s="30"/>
      <c r="U280" s="30"/>
      <c r="V280" s="30"/>
      <c r="W280" s="30"/>
      <c r="X280" s="30"/>
      <c r="Y280" s="30"/>
      <c r="Z280" s="30"/>
      <c r="AA280" s="30"/>
      <c r="AB280" s="30"/>
      <c r="AC280" s="30"/>
    </row>
    <row r="281" spans="1:29" x14ac:dyDescent="0.25">
      <c r="A281" s="30"/>
      <c r="B281" s="41" t="s">
        <v>931</v>
      </c>
      <c r="C281" t="s">
        <v>1144</v>
      </c>
      <c r="D281" t="s">
        <v>1166</v>
      </c>
      <c r="E281"/>
      <c r="F281" t="str">
        <f t="shared" si="0"/>
        <v>Deutsch</v>
      </c>
      <c r="G281" s="32" t="s">
        <v>88</v>
      </c>
      <c r="H281" s="303" t="s">
        <v>27983</v>
      </c>
      <c r="I281" s="48"/>
      <c r="J281" s="48"/>
      <c r="K281" s="48"/>
      <c r="L281" s="44"/>
      <c r="M281" s="30"/>
      <c r="N281" s="30"/>
      <c r="O281" s="30"/>
      <c r="P281" s="30"/>
      <c r="Q281" s="30"/>
      <c r="R281" s="30"/>
      <c r="S281" s="30"/>
      <c r="T281" s="30"/>
      <c r="U281" s="30"/>
      <c r="V281" s="30"/>
      <c r="W281" s="30"/>
      <c r="X281" s="30"/>
      <c r="Y281" s="30"/>
      <c r="Z281" s="30"/>
      <c r="AA281" s="30"/>
      <c r="AB281" s="30"/>
      <c r="AC281" s="30"/>
    </row>
    <row r="282" spans="1:29" x14ac:dyDescent="0.25">
      <c r="A282" s="30"/>
      <c r="B282" s="41" t="s">
        <v>932</v>
      </c>
      <c r="C282" t="s">
        <v>1167</v>
      </c>
      <c r="D282" t="s">
        <v>1168</v>
      </c>
      <c r="E282"/>
      <c r="F282" t="str">
        <f t="shared" si="0"/>
        <v>Deutsch</v>
      </c>
      <c r="G282" s="32" t="s">
        <v>88</v>
      </c>
      <c r="H282" s="303" t="s">
        <v>27984</v>
      </c>
      <c r="I282" s="48"/>
      <c r="J282" s="48"/>
      <c r="K282" s="48"/>
      <c r="L282" s="30"/>
      <c r="M282" s="30"/>
      <c r="N282" s="30"/>
      <c r="O282" s="30"/>
      <c r="P282" s="30"/>
      <c r="Q282" s="30"/>
      <c r="R282" s="30"/>
      <c r="S282" s="30"/>
      <c r="T282" s="30"/>
      <c r="U282" s="30"/>
      <c r="V282" s="30"/>
      <c r="W282" s="30"/>
      <c r="X282" s="30"/>
      <c r="Y282" s="30"/>
      <c r="Z282" s="30"/>
      <c r="AA282" s="30"/>
      <c r="AB282" s="30"/>
      <c r="AC282" s="30"/>
    </row>
    <row r="283" spans="1:29" x14ac:dyDescent="0.25">
      <c r="A283" s="30"/>
      <c r="B283" s="41" t="s">
        <v>933</v>
      </c>
      <c r="C283" t="s">
        <v>1167</v>
      </c>
      <c r="D283" t="s">
        <v>1168</v>
      </c>
      <c r="E283" t="s">
        <v>27884</v>
      </c>
      <c r="F283" t="str">
        <f t="shared" si="0"/>
        <v>Deutsch</v>
      </c>
      <c r="G283" s="32" t="s">
        <v>88</v>
      </c>
      <c r="H283" s="302" t="s">
        <v>27985</v>
      </c>
      <c r="I283" s="47"/>
      <c r="J283" s="47"/>
      <c r="K283" s="47"/>
      <c r="L283" s="30"/>
      <c r="M283" s="30"/>
      <c r="N283" s="30"/>
      <c r="O283" s="30"/>
      <c r="P283" s="30"/>
      <c r="Q283" s="30"/>
      <c r="R283" s="30"/>
      <c r="S283" s="30"/>
      <c r="T283" s="30"/>
      <c r="U283" s="30"/>
      <c r="V283" s="30"/>
      <c r="W283" s="30"/>
      <c r="X283" s="30"/>
      <c r="Y283" s="30"/>
      <c r="Z283" s="30"/>
      <c r="AA283" s="30"/>
      <c r="AB283" s="30"/>
      <c r="AC283" s="30"/>
    </row>
    <row r="284" spans="1:29" x14ac:dyDescent="0.25">
      <c r="A284" s="30"/>
      <c r="B284" s="41" t="s">
        <v>934</v>
      </c>
      <c r="C284" t="s">
        <v>1167</v>
      </c>
      <c r="D284" t="s">
        <v>1168</v>
      </c>
      <c r="E284" t="s">
        <v>1169</v>
      </c>
      <c r="F284" t="str">
        <f t="shared" si="0"/>
        <v>Deutsch</v>
      </c>
      <c r="G284" s="32" t="s">
        <v>88</v>
      </c>
      <c r="H284" s="303" t="s">
        <v>27986</v>
      </c>
      <c r="I284" s="48"/>
      <c r="J284" s="48"/>
      <c r="K284" s="48"/>
      <c r="L284" s="30"/>
      <c r="M284" s="30"/>
      <c r="N284" s="30"/>
      <c r="O284" s="30"/>
      <c r="P284" s="30"/>
      <c r="Q284" s="30"/>
      <c r="R284" s="30"/>
      <c r="S284" s="30"/>
      <c r="T284" s="30"/>
      <c r="U284" s="30"/>
      <c r="V284" s="30"/>
      <c r="W284" s="30"/>
      <c r="X284" s="30"/>
      <c r="Y284" s="30"/>
      <c r="Z284" s="30"/>
      <c r="AA284" s="30"/>
      <c r="AB284" s="30"/>
      <c r="AC284" s="30"/>
    </row>
    <row r="285" spans="1:29" x14ac:dyDescent="0.25">
      <c r="A285" s="30"/>
      <c r="B285" s="41" t="s">
        <v>935</v>
      </c>
      <c r="C285" t="s">
        <v>1167</v>
      </c>
      <c r="D285" t="s">
        <v>1168</v>
      </c>
      <c r="E285" t="s">
        <v>1170</v>
      </c>
      <c r="F285" t="str">
        <f t="shared" si="0"/>
        <v>Deutsch</v>
      </c>
      <c r="G285" s="32" t="s">
        <v>88</v>
      </c>
      <c r="H285" s="303" t="s">
        <v>27987</v>
      </c>
      <c r="I285" s="48"/>
      <c r="J285" s="48"/>
      <c r="K285" s="48"/>
      <c r="L285" s="30"/>
      <c r="M285" s="30"/>
      <c r="N285" s="30"/>
      <c r="O285" s="30"/>
      <c r="P285" s="30"/>
      <c r="Q285" s="30"/>
      <c r="R285" s="30"/>
      <c r="S285" s="30"/>
      <c r="T285" s="30"/>
      <c r="U285" s="30"/>
      <c r="V285" s="30"/>
      <c r="W285" s="30"/>
      <c r="X285" s="30"/>
      <c r="Y285" s="30"/>
      <c r="Z285" s="30"/>
      <c r="AA285" s="30"/>
      <c r="AB285" s="30"/>
      <c r="AC285" s="30"/>
    </row>
    <row r="286" spans="1:29" x14ac:dyDescent="0.25">
      <c r="A286" s="30"/>
      <c r="B286" s="41" t="s">
        <v>936</v>
      </c>
      <c r="C286" t="s">
        <v>1167</v>
      </c>
      <c r="D286" t="s">
        <v>1168</v>
      </c>
      <c r="E286" t="s">
        <v>1171</v>
      </c>
      <c r="F286" t="str">
        <f t="shared" si="0"/>
        <v>Deutsch</v>
      </c>
      <c r="G286" s="32" t="s">
        <v>88</v>
      </c>
      <c r="H286" s="303" t="s">
        <v>27988</v>
      </c>
      <c r="I286" s="48"/>
      <c r="J286" s="48"/>
      <c r="K286" s="48"/>
      <c r="L286" s="30"/>
      <c r="M286" s="30"/>
      <c r="N286" s="30"/>
      <c r="O286" s="30"/>
      <c r="P286" s="30"/>
      <c r="Q286" s="30"/>
      <c r="R286" s="30"/>
      <c r="S286" s="30"/>
      <c r="T286" s="30"/>
      <c r="U286" s="30"/>
      <c r="V286" s="30"/>
      <c r="W286" s="30"/>
      <c r="X286" s="30"/>
      <c r="Y286" s="30"/>
      <c r="Z286" s="30"/>
      <c r="AA286" s="30"/>
      <c r="AB286" s="30"/>
      <c r="AC286" s="30"/>
    </row>
    <row r="287" spans="1:29" x14ac:dyDescent="0.25">
      <c r="A287" s="30"/>
      <c r="B287" s="41" t="s">
        <v>937</v>
      </c>
      <c r="C287" t="s">
        <v>1167</v>
      </c>
      <c r="D287" t="s">
        <v>1168</v>
      </c>
      <c r="E287" t="s">
        <v>1172</v>
      </c>
      <c r="F287" t="str">
        <f t="shared" si="0"/>
        <v>Deutsch</v>
      </c>
      <c r="G287" s="32" t="s">
        <v>88</v>
      </c>
      <c r="H287" s="303" t="s">
        <v>27989</v>
      </c>
      <c r="I287" s="48"/>
      <c r="J287" s="48"/>
      <c r="K287" s="48"/>
      <c r="L287" s="30"/>
      <c r="M287" s="30"/>
      <c r="N287" s="30"/>
      <c r="O287" s="30"/>
      <c r="P287" s="30"/>
      <c r="Q287" s="30"/>
      <c r="R287" s="30"/>
      <c r="S287" s="30"/>
      <c r="T287" s="30"/>
      <c r="U287" s="30"/>
      <c r="V287" s="30"/>
      <c r="W287" s="30"/>
      <c r="X287" s="30"/>
      <c r="Y287" s="30"/>
      <c r="Z287" s="30"/>
      <c r="AA287" s="30"/>
      <c r="AB287" s="30"/>
      <c r="AC287" s="30"/>
    </row>
    <row r="288" spans="1:29" x14ac:dyDescent="0.25">
      <c r="A288" s="28"/>
      <c r="B288" s="41" t="s">
        <v>938</v>
      </c>
      <c r="C288" t="s">
        <v>1167</v>
      </c>
      <c r="D288" t="s">
        <v>1168</v>
      </c>
      <c r="E288" t="s">
        <v>1173</v>
      </c>
      <c r="F288" t="str">
        <f t="shared" si="0"/>
        <v>Deutsch</v>
      </c>
      <c r="G288" s="32" t="s">
        <v>88</v>
      </c>
      <c r="H288" s="303" t="s">
        <v>27990</v>
      </c>
      <c r="I288" s="48"/>
      <c r="J288" s="48"/>
      <c r="K288" s="48"/>
      <c r="L288" s="30"/>
      <c r="M288" s="30"/>
      <c r="N288" s="30"/>
      <c r="O288" s="30"/>
      <c r="P288" s="30"/>
      <c r="Q288" s="30"/>
      <c r="R288" s="30"/>
      <c r="S288" s="30"/>
      <c r="T288" s="30"/>
      <c r="U288" s="30"/>
      <c r="V288" s="30"/>
      <c r="W288" s="30"/>
      <c r="X288" s="30"/>
      <c r="Y288" s="30"/>
      <c r="Z288" s="30"/>
      <c r="AA288" s="30"/>
      <c r="AB288" s="30"/>
      <c r="AC288" s="30"/>
    </row>
    <row r="289" spans="1:29" x14ac:dyDescent="0.25">
      <c r="A289" s="30"/>
      <c r="B289" s="41" t="s">
        <v>939</v>
      </c>
      <c r="C289" t="s">
        <v>1167</v>
      </c>
      <c r="D289" t="s">
        <v>1168</v>
      </c>
      <c r="E289" t="s">
        <v>1174</v>
      </c>
      <c r="F289" t="str">
        <f t="shared" si="0"/>
        <v>Deutsch</v>
      </c>
      <c r="G289" s="32" t="s">
        <v>88</v>
      </c>
      <c r="H289" s="303" t="s">
        <v>27991</v>
      </c>
      <c r="I289" s="48"/>
      <c r="J289" s="48"/>
      <c r="K289" s="48"/>
      <c r="L289" s="30"/>
      <c r="M289" s="30"/>
      <c r="N289" s="30"/>
      <c r="O289" s="30"/>
      <c r="P289" s="30"/>
      <c r="Q289" s="30"/>
      <c r="R289" s="30"/>
      <c r="S289" s="30"/>
      <c r="T289" s="30"/>
      <c r="U289" s="30"/>
      <c r="V289" s="30"/>
      <c r="W289" s="30"/>
      <c r="X289" s="30"/>
      <c r="Y289" s="30"/>
      <c r="Z289" s="30"/>
      <c r="AA289" s="30"/>
      <c r="AB289" s="30"/>
      <c r="AC289" s="30"/>
    </row>
    <row r="290" spans="1:29" x14ac:dyDescent="0.25">
      <c r="A290" s="30"/>
      <c r="B290" s="41" t="s">
        <v>940</v>
      </c>
      <c r="C290" t="s">
        <v>1167</v>
      </c>
      <c r="D290" t="s">
        <v>1168</v>
      </c>
      <c r="E290" t="s">
        <v>1175</v>
      </c>
      <c r="F290" t="str">
        <f t="shared" si="0"/>
        <v>Deutsch</v>
      </c>
      <c r="G290" s="32" t="s">
        <v>88</v>
      </c>
      <c r="H290" s="303" t="s">
        <v>27992</v>
      </c>
      <c r="I290" s="48"/>
      <c r="J290" s="48"/>
      <c r="K290" s="48"/>
      <c r="L290" s="30"/>
      <c r="M290" s="30"/>
      <c r="N290" s="30"/>
      <c r="O290" s="30"/>
      <c r="P290" s="30"/>
      <c r="Q290" s="30"/>
      <c r="R290" s="30"/>
      <c r="S290" s="30"/>
      <c r="T290" s="30"/>
      <c r="U290" s="30"/>
      <c r="V290" s="30"/>
      <c r="W290" s="30"/>
      <c r="X290" s="30"/>
      <c r="Y290" s="30"/>
      <c r="Z290" s="30"/>
      <c r="AA290" s="30"/>
      <c r="AB290" s="30"/>
      <c r="AC290" s="30"/>
    </row>
    <row r="291" spans="1:29" x14ac:dyDescent="0.25">
      <c r="A291" s="30"/>
      <c r="B291" s="41" t="s">
        <v>941</v>
      </c>
      <c r="C291" t="s">
        <v>1167</v>
      </c>
      <c r="D291" t="s">
        <v>1168</v>
      </c>
      <c r="E291" t="s">
        <v>1176</v>
      </c>
      <c r="F291" t="str">
        <f t="shared" si="0"/>
        <v>Deutsch</v>
      </c>
      <c r="G291" s="32" t="s">
        <v>88</v>
      </c>
      <c r="H291" s="303" t="s">
        <v>27993</v>
      </c>
      <c r="I291" s="48"/>
      <c r="J291" s="48"/>
      <c r="K291" s="48"/>
      <c r="L291" s="30"/>
      <c r="M291" s="30"/>
      <c r="N291" s="30"/>
      <c r="O291" s="30"/>
      <c r="P291" s="30"/>
      <c r="Q291" s="30"/>
      <c r="R291" s="30"/>
      <c r="S291" s="30"/>
      <c r="T291" s="30"/>
      <c r="U291" s="30"/>
      <c r="V291" s="30"/>
      <c r="W291" s="30"/>
      <c r="X291" s="30"/>
      <c r="Y291" s="30"/>
      <c r="Z291" s="30"/>
      <c r="AA291" s="30"/>
      <c r="AB291" s="30"/>
      <c r="AC291" s="30"/>
    </row>
    <row r="292" spans="1:29" x14ac:dyDescent="0.25">
      <c r="A292" s="30"/>
      <c r="B292" s="41" t="s">
        <v>942</v>
      </c>
      <c r="C292" t="s">
        <v>1167</v>
      </c>
      <c r="D292" t="s">
        <v>1168</v>
      </c>
      <c r="E292" t="s">
        <v>1177</v>
      </c>
      <c r="F292" t="str">
        <f t="shared" si="0"/>
        <v>Deutsch</v>
      </c>
      <c r="G292" s="32" t="s">
        <v>88</v>
      </c>
      <c r="H292" s="303" t="s">
        <v>27994</v>
      </c>
      <c r="I292" s="48"/>
      <c r="J292" s="48"/>
      <c r="K292" s="48"/>
      <c r="L292" s="30"/>
      <c r="M292" s="30"/>
      <c r="N292" s="30"/>
      <c r="O292" s="30"/>
      <c r="P292" s="30"/>
      <c r="Q292" s="30"/>
      <c r="R292" s="30"/>
      <c r="S292" s="30"/>
      <c r="T292" s="30"/>
      <c r="U292" s="30"/>
      <c r="V292" s="30"/>
      <c r="W292" s="30"/>
      <c r="X292" s="30"/>
      <c r="Y292" s="30"/>
      <c r="Z292" s="30"/>
      <c r="AA292" s="30"/>
      <c r="AB292" s="30"/>
      <c r="AC292" s="30"/>
    </row>
    <row r="293" spans="1:29" x14ac:dyDescent="0.25">
      <c r="A293" s="30"/>
      <c r="B293" s="41" t="s">
        <v>943</v>
      </c>
      <c r="C293" t="s">
        <v>1167</v>
      </c>
      <c r="D293" t="s">
        <v>1168</v>
      </c>
      <c r="E293" t="s">
        <v>1178</v>
      </c>
      <c r="F293" t="str">
        <f t="shared" si="0"/>
        <v>Deutsch</v>
      </c>
      <c r="G293" s="32" t="s">
        <v>88</v>
      </c>
      <c r="H293" s="303" t="s">
        <v>27995</v>
      </c>
      <c r="I293" s="48"/>
      <c r="J293" s="48"/>
      <c r="K293" s="48"/>
      <c r="L293" s="30"/>
      <c r="M293" s="30"/>
      <c r="N293" s="30"/>
      <c r="O293" s="30"/>
      <c r="P293" s="30"/>
      <c r="Q293" s="30"/>
      <c r="R293" s="30"/>
      <c r="S293" s="30"/>
      <c r="T293" s="30"/>
      <c r="U293" s="30"/>
      <c r="V293" s="30"/>
      <c r="W293" s="30"/>
      <c r="X293" s="30"/>
      <c r="Y293" s="30"/>
      <c r="Z293" s="30"/>
      <c r="AA293" s="30"/>
      <c r="AB293" s="30"/>
      <c r="AC293" s="30"/>
    </row>
    <row r="294" spans="1:29" x14ac:dyDescent="0.25">
      <c r="A294" s="30"/>
      <c r="B294" s="41" t="s">
        <v>944</v>
      </c>
      <c r="C294" t="s">
        <v>1167</v>
      </c>
      <c r="D294" t="s">
        <v>1168</v>
      </c>
      <c r="E294" t="s">
        <v>1179</v>
      </c>
      <c r="F294" t="str">
        <f t="shared" si="0"/>
        <v>Deutsch</v>
      </c>
      <c r="G294" s="32" t="s">
        <v>88</v>
      </c>
      <c r="H294" s="303" t="s">
        <v>27996</v>
      </c>
      <c r="I294" s="48"/>
      <c r="J294" s="48"/>
      <c r="K294" s="48"/>
      <c r="L294" s="30"/>
      <c r="M294" s="30"/>
      <c r="N294" s="30"/>
      <c r="O294" s="30"/>
      <c r="P294" s="30"/>
      <c r="Q294" s="30"/>
      <c r="R294" s="30"/>
      <c r="S294" s="30"/>
      <c r="T294" s="30"/>
      <c r="U294" s="30"/>
      <c r="V294" s="30"/>
      <c r="W294" s="30"/>
      <c r="X294" s="30"/>
      <c r="Y294" s="30"/>
      <c r="Z294" s="30"/>
      <c r="AA294" s="30"/>
      <c r="AB294" s="30"/>
      <c r="AC294" s="30"/>
    </row>
    <row r="295" spans="1:29" x14ac:dyDescent="0.25">
      <c r="A295" s="30"/>
      <c r="B295" s="41" t="s">
        <v>945</v>
      </c>
      <c r="C295" t="s">
        <v>1167</v>
      </c>
      <c r="D295" t="s">
        <v>1168</v>
      </c>
      <c r="E295" t="s">
        <v>1180</v>
      </c>
      <c r="F295" t="str">
        <f t="shared" si="0"/>
        <v>Deutsch</v>
      </c>
      <c r="G295" s="32" t="s">
        <v>88</v>
      </c>
      <c r="H295" s="303" t="s">
        <v>27997</v>
      </c>
      <c r="I295" s="48"/>
      <c r="J295" s="48"/>
      <c r="K295" s="48"/>
      <c r="L295" s="30"/>
      <c r="M295" s="30"/>
      <c r="N295" s="30"/>
      <c r="O295" s="30"/>
      <c r="P295" s="30"/>
      <c r="Q295" s="30"/>
      <c r="R295" s="30"/>
      <c r="S295" s="30"/>
      <c r="T295" s="30"/>
      <c r="U295" s="30"/>
      <c r="V295" s="30"/>
      <c r="W295" s="30"/>
      <c r="X295" s="30"/>
      <c r="Y295" s="30"/>
      <c r="Z295" s="30"/>
      <c r="AA295" s="30"/>
      <c r="AB295" s="30"/>
      <c r="AC295" s="30"/>
    </row>
    <row r="296" spans="1:29" x14ac:dyDescent="0.25">
      <c r="A296" s="30"/>
      <c r="B296" s="41" t="s">
        <v>932</v>
      </c>
      <c r="C296" t="s">
        <v>1167</v>
      </c>
      <c r="D296" t="s">
        <v>1181</v>
      </c>
      <c r="E296"/>
      <c r="F296" t="str">
        <f t="shared" si="0"/>
        <v>Deutsch</v>
      </c>
      <c r="G296" s="32" t="s">
        <v>88</v>
      </c>
      <c r="H296" s="303" t="s">
        <v>27998</v>
      </c>
      <c r="I296" s="48"/>
      <c r="J296" s="48"/>
      <c r="K296" s="48"/>
      <c r="L296" s="30"/>
      <c r="M296" s="30"/>
      <c r="N296" s="30"/>
      <c r="O296" s="30"/>
      <c r="P296" s="30"/>
      <c r="Q296" s="30"/>
      <c r="R296" s="30"/>
      <c r="S296" s="30"/>
      <c r="T296" s="30"/>
      <c r="U296" s="30"/>
      <c r="V296" s="30"/>
      <c r="W296" s="30"/>
      <c r="X296" s="30"/>
      <c r="Y296" s="30"/>
      <c r="Z296" s="30"/>
      <c r="AA296" s="30"/>
      <c r="AB296" s="30"/>
      <c r="AC296" s="30"/>
    </row>
    <row r="297" spans="1:29" x14ac:dyDescent="0.25">
      <c r="A297" s="30"/>
      <c r="B297" s="41" t="s">
        <v>946</v>
      </c>
      <c r="C297" t="s">
        <v>1167</v>
      </c>
      <c r="D297" t="s">
        <v>1181</v>
      </c>
      <c r="E297" t="s">
        <v>1182</v>
      </c>
      <c r="F297" t="str">
        <f t="shared" si="0"/>
        <v>Deutsch</v>
      </c>
      <c r="G297" s="32" t="s">
        <v>88</v>
      </c>
      <c r="H297" s="303" t="s">
        <v>27999</v>
      </c>
      <c r="I297" s="48"/>
      <c r="J297" s="48"/>
      <c r="K297" s="48"/>
      <c r="L297" s="30"/>
      <c r="M297" s="30"/>
      <c r="N297" s="30"/>
      <c r="O297" s="30"/>
      <c r="P297" s="30"/>
      <c r="Q297" s="30"/>
      <c r="R297" s="30"/>
      <c r="S297" s="30"/>
      <c r="T297" s="30"/>
      <c r="U297" s="30"/>
      <c r="V297" s="30"/>
      <c r="W297" s="30"/>
      <c r="X297" s="30"/>
      <c r="Y297" s="30"/>
      <c r="Z297" s="30"/>
      <c r="AA297" s="30"/>
      <c r="AB297" s="30"/>
      <c r="AC297" s="30"/>
    </row>
    <row r="298" spans="1:29" x14ac:dyDescent="0.25">
      <c r="A298" s="30"/>
      <c r="B298" s="41" t="s">
        <v>947</v>
      </c>
      <c r="C298" t="s">
        <v>1167</v>
      </c>
      <c r="D298" t="s">
        <v>1181</v>
      </c>
      <c r="E298" t="s">
        <v>1183</v>
      </c>
      <c r="F298" t="str">
        <f t="shared" si="0"/>
        <v>Deutsch</v>
      </c>
      <c r="G298" s="32" t="s">
        <v>88</v>
      </c>
      <c r="H298" s="303" t="s">
        <v>28000</v>
      </c>
      <c r="I298" s="48"/>
      <c r="J298" s="48"/>
      <c r="K298" s="48"/>
      <c r="L298" s="30"/>
      <c r="M298" s="30"/>
      <c r="N298" s="30"/>
      <c r="O298" s="30"/>
      <c r="P298" s="30"/>
      <c r="Q298" s="30"/>
      <c r="R298" s="30"/>
      <c r="S298" s="30"/>
      <c r="T298" s="30"/>
      <c r="U298" s="30"/>
      <c r="V298" s="30"/>
      <c r="W298" s="30"/>
      <c r="X298" s="30"/>
      <c r="Y298" s="30"/>
      <c r="Z298" s="30"/>
      <c r="AA298" s="30"/>
      <c r="AB298" s="30"/>
      <c r="AC298" s="30"/>
    </row>
    <row r="299" spans="1:29" x14ac:dyDescent="0.25">
      <c r="A299" s="30"/>
      <c r="B299" s="41" t="s">
        <v>948</v>
      </c>
      <c r="C299" t="s">
        <v>1167</v>
      </c>
      <c r="D299" t="s">
        <v>1181</v>
      </c>
      <c r="E299" t="s">
        <v>1184</v>
      </c>
      <c r="F299" t="str">
        <f t="shared" si="0"/>
        <v>Deutsch</v>
      </c>
      <c r="G299" s="32" t="s">
        <v>88</v>
      </c>
      <c r="H299" s="303" t="s">
        <v>28001</v>
      </c>
      <c r="I299" s="48"/>
      <c r="J299" s="48"/>
      <c r="K299" s="48"/>
      <c r="L299" s="30"/>
      <c r="M299" s="30"/>
      <c r="N299" s="30"/>
      <c r="O299" s="30"/>
      <c r="P299" s="30"/>
      <c r="Q299" s="30"/>
      <c r="R299" s="30"/>
      <c r="S299" s="30"/>
      <c r="T299" s="30"/>
      <c r="U299" s="30"/>
      <c r="V299" s="30"/>
      <c r="W299" s="30"/>
      <c r="X299" s="30"/>
      <c r="Y299" s="30"/>
      <c r="Z299" s="30"/>
      <c r="AA299" s="30"/>
      <c r="AB299" s="30"/>
      <c r="AC299" s="30"/>
    </row>
    <row r="300" spans="1:29" x14ac:dyDescent="0.25">
      <c r="A300" s="30"/>
      <c r="B300" s="41" t="s">
        <v>949</v>
      </c>
      <c r="C300" t="s">
        <v>1167</v>
      </c>
      <c r="D300" t="s">
        <v>1181</v>
      </c>
      <c r="E300" t="s">
        <v>1185</v>
      </c>
      <c r="F300" t="str">
        <f t="shared" si="0"/>
        <v>Deutsch</v>
      </c>
      <c r="G300" s="32" t="s">
        <v>88</v>
      </c>
      <c r="H300" s="303" t="s">
        <v>28002</v>
      </c>
      <c r="I300" s="48"/>
      <c r="J300" s="48"/>
      <c r="K300" s="48"/>
      <c r="L300" s="30"/>
      <c r="M300" s="30"/>
      <c r="N300" s="30"/>
      <c r="O300" s="30"/>
      <c r="P300" s="30"/>
      <c r="Q300" s="30"/>
      <c r="R300" s="30"/>
      <c r="S300" s="30"/>
      <c r="T300" s="30"/>
      <c r="U300" s="30"/>
      <c r="V300" s="30"/>
      <c r="W300" s="30"/>
      <c r="X300" s="30"/>
      <c r="Y300" s="30"/>
      <c r="Z300" s="30"/>
      <c r="AA300" s="30"/>
      <c r="AB300" s="30"/>
      <c r="AC300" s="30"/>
    </row>
    <row r="301" spans="1:29" x14ac:dyDescent="0.25">
      <c r="A301" s="30"/>
      <c r="B301" s="41" t="s">
        <v>950</v>
      </c>
      <c r="C301" t="s">
        <v>1167</v>
      </c>
      <c r="D301" t="s">
        <v>1181</v>
      </c>
      <c r="E301" t="s">
        <v>1186</v>
      </c>
      <c r="F301" t="str">
        <f t="shared" si="0"/>
        <v>Deutsch</v>
      </c>
      <c r="G301" s="32" t="s">
        <v>88</v>
      </c>
      <c r="H301" s="303" t="s">
        <v>28003</v>
      </c>
      <c r="I301" s="48"/>
      <c r="J301" s="48"/>
      <c r="K301" s="48"/>
      <c r="L301" s="30"/>
      <c r="M301" s="30"/>
      <c r="N301" s="30"/>
      <c r="O301" s="30"/>
      <c r="P301" s="30"/>
      <c r="Q301" s="30"/>
      <c r="R301" s="30"/>
      <c r="S301" s="30"/>
      <c r="T301" s="30"/>
      <c r="U301" s="30"/>
      <c r="V301" s="30"/>
      <c r="W301" s="30"/>
      <c r="X301" s="30"/>
      <c r="Y301" s="30"/>
      <c r="Z301" s="30"/>
      <c r="AA301" s="30"/>
      <c r="AB301" s="30"/>
      <c r="AC301" s="30"/>
    </row>
    <row r="302" spans="1:29" x14ac:dyDescent="0.25">
      <c r="A302" s="30"/>
      <c r="B302" s="41" t="s">
        <v>946</v>
      </c>
      <c r="C302" t="s">
        <v>1167</v>
      </c>
      <c r="D302" t="s">
        <v>1181</v>
      </c>
      <c r="E302" t="s">
        <v>1187</v>
      </c>
      <c r="F302" t="str">
        <f t="shared" si="0"/>
        <v>Deutsch</v>
      </c>
      <c r="G302" s="32" t="s">
        <v>88</v>
      </c>
      <c r="H302" s="303" t="s">
        <v>28004</v>
      </c>
      <c r="I302" s="48"/>
      <c r="J302" s="48"/>
      <c r="K302" s="48"/>
      <c r="L302" s="30"/>
      <c r="M302" s="30"/>
      <c r="N302" s="30"/>
      <c r="O302" s="30"/>
      <c r="P302" s="30"/>
      <c r="Q302" s="30"/>
      <c r="R302" s="30"/>
      <c r="S302" s="30"/>
      <c r="T302" s="30"/>
      <c r="U302" s="30"/>
      <c r="V302" s="30"/>
      <c r="W302" s="30"/>
      <c r="X302" s="30"/>
      <c r="Y302" s="30"/>
      <c r="Z302" s="30"/>
      <c r="AA302" s="30"/>
      <c r="AB302" s="30"/>
      <c r="AC302" s="30"/>
    </row>
    <row r="303" spans="1:29" x14ac:dyDescent="0.25">
      <c r="A303" s="30"/>
      <c r="B303" s="41" t="s">
        <v>951</v>
      </c>
      <c r="C303" t="s">
        <v>1167</v>
      </c>
      <c r="D303" t="s">
        <v>1181</v>
      </c>
      <c r="E303" t="s">
        <v>1188</v>
      </c>
      <c r="F303" t="str">
        <f t="shared" si="0"/>
        <v>Deutsch</v>
      </c>
      <c r="G303" s="32" t="s">
        <v>88</v>
      </c>
      <c r="H303" s="303" t="s">
        <v>28005</v>
      </c>
      <c r="I303" s="48"/>
      <c r="J303" s="48"/>
      <c r="K303" s="48"/>
      <c r="L303" s="30"/>
      <c r="M303" s="30"/>
      <c r="N303" s="30"/>
      <c r="O303" s="30"/>
      <c r="P303" s="30"/>
      <c r="Q303" s="30"/>
      <c r="R303" s="30"/>
      <c r="S303" s="30"/>
      <c r="T303" s="30"/>
      <c r="U303" s="30"/>
      <c r="V303" s="30"/>
      <c r="W303" s="30"/>
      <c r="X303" s="30"/>
      <c r="Y303" s="30"/>
      <c r="Z303" s="30"/>
      <c r="AA303" s="30"/>
      <c r="AB303" s="30"/>
      <c r="AC303" s="30"/>
    </row>
    <row r="304" spans="1:29" x14ac:dyDescent="0.25">
      <c r="A304" s="30"/>
      <c r="B304" s="41" t="s">
        <v>952</v>
      </c>
      <c r="C304" t="s">
        <v>1167</v>
      </c>
      <c r="D304" t="s">
        <v>480</v>
      </c>
      <c r="E304"/>
      <c r="F304" t="str">
        <f t="shared" si="0"/>
        <v>Deutsch</v>
      </c>
      <c r="G304" s="32" t="s">
        <v>88</v>
      </c>
      <c r="H304" s="303" t="s">
        <v>28006</v>
      </c>
      <c r="I304" s="48"/>
      <c r="J304" s="48"/>
      <c r="K304" s="48"/>
      <c r="L304" s="30"/>
      <c r="M304" s="30"/>
      <c r="N304" s="30"/>
      <c r="O304" s="30"/>
      <c r="P304" s="30"/>
      <c r="Q304" s="30"/>
      <c r="R304" s="30"/>
      <c r="S304" s="30"/>
      <c r="T304" s="30"/>
      <c r="U304" s="30"/>
      <c r="V304" s="30"/>
      <c r="W304" s="30"/>
      <c r="X304" s="30"/>
      <c r="Y304" s="30"/>
      <c r="Z304" s="30"/>
      <c r="AA304" s="30"/>
      <c r="AB304" s="30"/>
      <c r="AC304" s="30"/>
    </row>
    <row r="305" spans="1:29" x14ac:dyDescent="0.25">
      <c r="A305" s="30"/>
      <c r="B305" s="41" t="s">
        <v>953</v>
      </c>
      <c r="C305" t="s">
        <v>1167</v>
      </c>
      <c r="D305" t="s">
        <v>480</v>
      </c>
      <c r="E305" t="s">
        <v>1189</v>
      </c>
      <c r="F305" t="str">
        <f t="shared" si="0"/>
        <v>Deutsch</v>
      </c>
      <c r="G305" s="32" t="s">
        <v>88</v>
      </c>
      <c r="H305" s="303" t="s">
        <v>28007</v>
      </c>
      <c r="I305" s="48"/>
      <c r="J305" s="48"/>
      <c r="K305" s="48"/>
      <c r="L305" s="30"/>
      <c r="M305" s="30"/>
      <c r="N305" s="30"/>
      <c r="O305" s="30"/>
      <c r="P305" s="30"/>
      <c r="Q305" s="30"/>
      <c r="R305" s="30"/>
      <c r="S305" s="30"/>
      <c r="T305" s="30"/>
      <c r="U305" s="30"/>
      <c r="V305" s="30"/>
      <c r="W305" s="30"/>
      <c r="X305" s="30"/>
      <c r="Y305" s="30"/>
      <c r="Z305" s="30"/>
      <c r="AA305" s="30"/>
      <c r="AB305" s="30"/>
      <c r="AC305" s="30"/>
    </row>
    <row r="306" spans="1:29" x14ac:dyDescent="0.25">
      <c r="A306" s="30"/>
      <c r="B306" s="41" t="s">
        <v>954</v>
      </c>
      <c r="C306" t="s">
        <v>1167</v>
      </c>
      <c r="D306" t="s">
        <v>480</v>
      </c>
      <c r="E306" t="s">
        <v>1190</v>
      </c>
      <c r="F306" t="str">
        <f t="shared" si="0"/>
        <v>Deutsch</v>
      </c>
      <c r="G306" s="32" t="s">
        <v>88</v>
      </c>
      <c r="H306" s="303" t="s">
        <v>28008</v>
      </c>
      <c r="I306" s="48"/>
      <c r="J306" s="48"/>
      <c r="K306" s="48"/>
      <c r="L306" s="30"/>
      <c r="M306" s="30"/>
      <c r="N306" s="30"/>
      <c r="O306" s="30"/>
      <c r="P306" s="30"/>
      <c r="Q306" s="30"/>
      <c r="R306" s="30"/>
      <c r="S306" s="30"/>
      <c r="T306" s="30"/>
      <c r="U306" s="30"/>
      <c r="V306" s="30"/>
      <c r="W306" s="30"/>
      <c r="X306" s="30"/>
      <c r="Y306" s="30"/>
      <c r="Z306" s="30"/>
      <c r="AA306" s="30"/>
      <c r="AB306" s="30"/>
      <c r="AC306" s="30"/>
    </row>
    <row r="307" spans="1:29" x14ac:dyDescent="0.25">
      <c r="A307" s="30"/>
      <c r="B307" s="41" t="s">
        <v>955</v>
      </c>
      <c r="C307" t="s">
        <v>1167</v>
      </c>
      <c r="D307" t="s">
        <v>480</v>
      </c>
      <c r="E307" t="s">
        <v>1191</v>
      </c>
      <c r="F307" t="str">
        <f t="shared" si="0"/>
        <v>Deutsch</v>
      </c>
      <c r="G307" s="32" t="s">
        <v>88</v>
      </c>
      <c r="H307" s="303" t="s">
        <v>28009</v>
      </c>
      <c r="I307" s="48"/>
      <c r="J307" s="48"/>
      <c r="K307" s="48"/>
      <c r="L307" s="30"/>
      <c r="M307" s="30"/>
      <c r="N307" s="30"/>
      <c r="O307" s="30"/>
      <c r="P307" s="30"/>
      <c r="Q307" s="30"/>
      <c r="R307" s="30"/>
      <c r="S307" s="30"/>
      <c r="T307" s="30"/>
      <c r="U307" s="30"/>
      <c r="V307" s="30"/>
      <c r="W307" s="30"/>
      <c r="X307" s="30"/>
      <c r="Y307" s="30"/>
      <c r="Z307" s="30"/>
      <c r="AA307" s="30"/>
      <c r="AB307" s="30"/>
      <c r="AC307" s="30"/>
    </row>
    <row r="308" spans="1:29" x14ac:dyDescent="0.25">
      <c r="A308" s="30"/>
      <c r="B308" s="41" t="s">
        <v>956</v>
      </c>
      <c r="C308" t="s">
        <v>1167</v>
      </c>
      <c r="D308" t="s">
        <v>480</v>
      </c>
      <c r="E308" t="s">
        <v>1192</v>
      </c>
      <c r="F308" t="str">
        <f t="shared" si="0"/>
        <v>Deutsch</v>
      </c>
      <c r="G308" s="32" t="s">
        <v>88</v>
      </c>
      <c r="H308" s="303" t="s">
        <v>28010</v>
      </c>
      <c r="I308" s="48"/>
      <c r="J308" s="48"/>
      <c r="K308" s="48"/>
      <c r="L308" s="30"/>
      <c r="M308" s="30"/>
      <c r="N308" s="30"/>
      <c r="O308" s="30"/>
      <c r="P308" s="30"/>
      <c r="Q308" s="30"/>
      <c r="R308" s="30"/>
      <c r="S308" s="30"/>
      <c r="T308" s="30"/>
      <c r="U308" s="30"/>
      <c r="V308" s="30"/>
      <c r="W308" s="30"/>
      <c r="X308" s="30"/>
      <c r="Y308" s="30"/>
      <c r="Z308" s="30"/>
      <c r="AA308" s="30"/>
      <c r="AB308" s="30"/>
      <c r="AC308" s="30"/>
    </row>
    <row r="309" spans="1:29" x14ac:dyDescent="0.25">
      <c r="A309" s="30"/>
      <c r="B309" s="41" t="s">
        <v>952</v>
      </c>
      <c r="C309" t="s">
        <v>1167</v>
      </c>
      <c r="D309" t="s">
        <v>480</v>
      </c>
      <c r="E309" t="s">
        <v>1193</v>
      </c>
      <c r="F309" t="str">
        <f t="shared" si="0"/>
        <v>Deutsch</v>
      </c>
      <c r="G309" s="32" t="s">
        <v>88</v>
      </c>
      <c r="H309" s="303" t="s">
        <v>28011</v>
      </c>
      <c r="I309" s="48"/>
      <c r="J309" s="48"/>
      <c r="K309" s="48"/>
      <c r="L309" s="30"/>
      <c r="M309" s="30"/>
      <c r="N309" s="30"/>
      <c r="O309" s="30"/>
      <c r="P309" s="30"/>
      <c r="Q309" s="30"/>
      <c r="R309" s="30"/>
      <c r="S309" s="30"/>
      <c r="T309" s="30"/>
      <c r="U309" s="30"/>
      <c r="V309" s="30"/>
      <c r="W309" s="30"/>
      <c r="X309" s="30"/>
      <c r="Y309" s="30"/>
      <c r="Z309" s="30"/>
      <c r="AA309" s="30"/>
      <c r="AB309" s="30"/>
      <c r="AC309" s="30"/>
    </row>
    <row r="310" spans="1:29" x14ac:dyDescent="0.25">
      <c r="A310" s="30"/>
      <c r="B310" s="41" t="s">
        <v>957</v>
      </c>
      <c r="C310" t="s">
        <v>1167</v>
      </c>
      <c r="D310" t="s">
        <v>480</v>
      </c>
      <c r="E310" t="s">
        <v>1194</v>
      </c>
      <c r="F310" t="str">
        <f t="shared" si="0"/>
        <v>Deutsch</v>
      </c>
      <c r="G310" s="32" t="s">
        <v>88</v>
      </c>
      <c r="H310" s="303" t="s">
        <v>28012</v>
      </c>
      <c r="I310" s="48"/>
      <c r="J310" s="48"/>
      <c r="K310" s="48"/>
      <c r="L310" s="30"/>
      <c r="M310" s="30"/>
      <c r="N310" s="30"/>
      <c r="O310" s="30"/>
      <c r="P310" s="30"/>
      <c r="Q310" s="30"/>
      <c r="R310" s="30"/>
      <c r="S310" s="30"/>
      <c r="T310" s="30"/>
      <c r="U310" s="30"/>
      <c r="V310" s="30"/>
      <c r="W310" s="30"/>
      <c r="X310" s="30"/>
      <c r="Y310" s="30"/>
      <c r="Z310" s="30"/>
      <c r="AA310" s="30"/>
      <c r="AB310" s="30"/>
      <c r="AC310" s="30"/>
    </row>
    <row r="311" spans="1:29" x14ac:dyDescent="0.25">
      <c r="A311" s="30"/>
      <c r="B311" s="41" t="s">
        <v>958</v>
      </c>
      <c r="C311" t="s">
        <v>1167</v>
      </c>
      <c r="D311" t="s">
        <v>480</v>
      </c>
      <c r="E311" t="s">
        <v>1195</v>
      </c>
      <c r="F311" t="str">
        <f t="shared" si="0"/>
        <v>Deutsch</v>
      </c>
      <c r="G311" s="32" t="s">
        <v>88</v>
      </c>
      <c r="H311" s="303" t="s">
        <v>28013</v>
      </c>
      <c r="I311" s="48"/>
      <c r="J311" s="48"/>
      <c r="K311" s="48"/>
      <c r="L311" s="30"/>
      <c r="M311" s="30"/>
      <c r="N311" s="30"/>
      <c r="O311" s="30"/>
      <c r="P311" s="30"/>
      <c r="Q311" s="30"/>
      <c r="R311" s="30"/>
      <c r="S311" s="30"/>
      <c r="T311" s="30"/>
      <c r="U311" s="30"/>
      <c r="V311" s="30"/>
      <c r="W311" s="30"/>
      <c r="X311" s="30"/>
      <c r="Y311" s="30"/>
      <c r="Z311" s="30"/>
      <c r="AA311" s="30"/>
      <c r="AB311" s="30"/>
      <c r="AC311" s="30"/>
    </row>
    <row r="312" spans="1:29" x14ac:dyDescent="0.25">
      <c r="A312" s="30"/>
      <c r="B312" s="41" t="s">
        <v>959</v>
      </c>
      <c r="C312" t="s">
        <v>1167</v>
      </c>
      <c r="D312" t="s">
        <v>480</v>
      </c>
      <c r="E312" t="s">
        <v>1196</v>
      </c>
      <c r="F312" t="str">
        <f t="shared" si="0"/>
        <v>Deutsch</v>
      </c>
      <c r="G312" s="32" t="s">
        <v>88</v>
      </c>
      <c r="H312" s="303" t="s">
        <v>28014</v>
      </c>
      <c r="I312" s="48"/>
      <c r="J312" s="48"/>
      <c r="K312" s="48"/>
      <c r="L312" s="30"/>
      <c r="M312" s="30"/>
      <c r="N312" s="30"/>
      <c r="O312" s="30"/>
      <c r="P312" s="30"/>
      <c r="Q312" s="30"/>
      <c r="R312" s="30"/>
      <c r="S312" s="30"/>
      <c r="T312" s="30"/>
      <c r="U312" s="30"/>
      <c r="V312" s="30"/>
      <c r="W312" s="30"/>
      <c r="X312" s="30"/>
      <c r="Y312" s="30"/>
      <c r="Z312" s="30"/>
      <c r="AA312" s="30"/>
      <c r="AB312" s="30"/>
      <c r="AC312" s="30"/>
    </row>
    <row r="313" spans="1:29" x14ac:dyDescent="0.25">
      <c r="A313" s="30"/>
      <c r="B313" s="41" t="s">
        <v>960</v>
      </c>
      <c r="C313" t="s">
        <v>1167</v>
      </c>
      <c r="D313" t="s">
        <v>480</v>
      </c>
      <c r="E313" t="s">
        <v>1197</v>
      </c>
      <c r="F313" t="str">
        <f t="shared" si="0"/>
        <v>Deutsch</v>
      </c>
      <c r="G313" s="32" t="s">
        <v>88</v>
      </c>
      <c r="H313" s="303" t="s">
        <v>28015</v>
      </c>
      <c r="I313" s="48"/>
      <c r="J313" s="48"/>
      <c r="K313" s="48"/>
      <c r="L313" s="30"/>
      <c r="M313" s="30"/>
      <c r="N313" s="30"/>
      <c r="O313" s="30"/>
      <c r="P313" s="30"/>
      <c r="Q313" s="30"/>
      <c r="R313" s="30"/>
      <c r="S313" s="30"/>
      <c r="T313" s="30"/>
      <c r="U313" s="30"/>
      <c r="V313" s="30"/>
      <c r="W313" s="30"/>
      <c r="X313" s="30"/>
      <c r="Y313" s="30"/>
      <c r="Z313" s="30"/>
      <c r="AA313" s="30"/>
      <c r="AB313" s="30"/>
      <c r="AC313" s="30"/>
    </row>
    <row r="314" spans="1:29" x14ac:dyDescent="0.25">
      <c r="A314" s="30"/>
      <c r="B314" s="41" t="s">
        <v>961</v>
      </c>
      <c r="C314" t="s">
        <v>1167</v>
      </c>
      <c r="D314" t="s">
        <v>1198</v>
      </c>
      <c r="E314"/>
      <c r="F314" t="str">
        <f t="shared" si="0"/>
        <v>Deutsch</v>
      </c>
      <c r="G314" s="32" t="s">
        <v>88</v>
      </c>
      <c r="H314" s="302" t="s">
        <v>28016</v>
      </c>
      <c r="I314" s="47"/>
      <c r="J314" s="47"/>
      <c r="K314" s="47"/>
      <c r="L314" s="30"/>
      <c r="M314" s="30"/>
      <c r="N314" s="30"/>
      <c r="O314" s="30"/>
      <c r="P314" s="30"/>
      <c r="Q314" s="30"/>
      <c r="R314" s="30"/>
      <c r="S314" s="30"/>
      <c r="T314" s="30"/>
      <c r="U314" s="30"/>
      <c r="V314" s="30"/>
      <c r="W314" s="30"/>
      <c r="X314" s="30"/>
      <c r="Y314" s="30"/>
      <c r="Z314" s="30"/>
      <c r="AA314" s="30"/>
      <c r="AB314" s="30"/>
      <c r="AC314" s="30"/>
    </row>
    <row r="315" spans="1:29" x14ac:dyDescent="0.25">
      <c r="A315" s="30"/>
      <c r="B315" s="41" t="s">
        <v>962</v>
      </c>
      <c r="C315" t="s">
        <v>1167</v>
      </c>
      <c r="D315" t="s">
        <v>1198</v>
      </c>
      <c r="E315" t="s">
        <v>1199</v>
      </c>
      <c r="F315" t="str">
        <f t="shared" si="0"/>
        <v>Deutsch</v>
      </c>
      <c r="G315" s="32" t="s">
        <v>88</v>
      </c>
      <c r="H315" s="303" t="s">
        <v>28017</v>
      </c>
      <c r="I315" s="48"/>
      <c r="J315" s="48"/>
      <c r="K315" s="48"/>
      <c r="L315" s="30"/>
      <c r="M315" s="30"/>
      <c r="N315" s="30"/>
      <c r="O315" s="30"/>
      <c r="P315" s="30"/>
      <c r="Q315" s="30"/>
      <c r="R315" s="30"/>
      <c r="S315" s="30"/>
      <c r="T315" s="30"/>
      <c r="U315" s="30"/>
      <c r="V315" s="30"/>
      <c r="W315" s="30"/>
      <c r="X315" s="30"/>
      <c r="Y315" s="30"/>
      <c r="Z315" s="30"/>
      <c r="AA315" s="30"/>
      <c r="AB315" s="30"/>
      <c r="AC315" s="30"/>
    </row>
    <row r="316" spans="1:29" x14ac:dyDescent="0.25">
      <c r="A316" s="30"/>
      <c r="B316" s="41" t="s">
        <v>963</v>
      </c>
      <c r="C316" t="s">
        <v>1167</v>
      </c>
      <c r="D316" t="s">
        <v>1198</v>
      </c>
      <c r="E316" t="s">
        <v>1200</v>
      </c>
      <c r="F316" t="str">
        <f t="shared" si="0"/>
        <v>Deutsch</v>
      </c>
      <c r="G316" s="32" t="s">
        <v>88</v>
      </c>
      <c r="H316" s="303" t="s">
        <v>28018</v>
      </c>
      <c r="I316" s="48"/>
      <c r="J316" s="48"/>
      <c r="K316" s="48"/>
      <c r="L316" s="30"/>
      <c r="M316" s="30"/>
      <c r="N316" s="30"/>
      <c r="O316" s="30"/>
      <c r="P316" s="30"/>
      <c r="Q316" s="30"/>
      <c r="R316" s="30"/>
      <c r="S316" s="30"/>
      <c r="T316" s="30"/>
      <c r="U316" s="30"/>
      <c r="V316" s="30"/>
      <c r="W316" s="30"/>
      <c r="X316" s="30"/>
      <c r="Y316" s="30"/>
      <c r="Z316" s="30"/>
      <c r="AA316" s="30"/>
      <c r="AB316" s="30"/>
      <c r="AC316" s="30"/>
    </row>
    <row r="317" spans="1:29" x14ac:dyDescent="0.25">
      <c r="A317" s="30"/>
      <c r="B317" s="41" t="s">
        <v>964</v>
      </c>
      <c r="C317" t="s">
        <v>1167</v>
      </c>
      <c r="D317" t="s">
        <v>1198</v>
      </c>
      <c r="E317" t="s">
        <v>1201</v>
      </c>
      <c r="F317" t="str">
        <f t="shared" si="0"/>
        <v>Deutsch</v>
      </c>
      <c r="G317" s="32" t="s">
        <v>88</v>
      </c>
      <c r="H317" s="303" t="s">
        <v>28019</v>
      </c>
      <c r="I317" s="48"/>
      <c r="J317" s="48"/>
      <c r="K317" s="48"/>
      <c r="L317" s="30"/>
      <c r="M317" s="30"/>
      <c r="N317" s="30"/>
      <c r="O317" s="30"/>
      <c r="P317" s="30"/>
      <c r="Q317" s="30"/>
      <c r="R317" s="30"/>
      <c r="S317" s="30"/>
      <c r="T317" s="30"/>
      <c r="U317" s="30"/>
      <c r="V317" s="30"/>
      <c r="W317" s="30"/>
      <c r="X317" s="30"/>
      <c r="Y317" s="30"/>
      <c r="Z317" s="30"/>
      <c r="AA317" s="30"/>
      <c r="AB317" s="30"/>
      <c r="AC317" s="30"/>
    </row>
    <row r="318" spans="1:29" x14ac:dyDescent="0.25">
      <c r="A318" s="30"/>
      <c r="B318" s="41" t="s">
        <v>965</v>
      </c>
      <c r="C318" t="s">
        <v>1167</v>
      </c>
      <c r="D318" t="s">
        <v>1198</v>
      </c>
      <c r="E318" t="s">
        <v>1202</v>
      </c>
      <c r="F318" t="str">
        <f t="shared" si="0"/>
        <v>Deutsch</v>
      </c>
      <c r="G318" s="32" t="s">
        <v>88</v>
      </c>
      <c r="H318" s="303" t="s">
        <v>28020</v>
      </c>
      <c r="I318" s="48"/>
      <c r="J318" s="48"/>
      <c r="K318" s="48"/>
      <c r="L318" s="30"/>
      <c r="M318" s="30"/>
      <c r="N318" s="30"/>
      <c r="O318" s="30"/>
      <c r="P318" s="30"/>
      <c r="Q318" s="30"/>
      <c r="R318" s="30"/>
      <c r="S318" s="30"/>
      <c r="T318" s="30"/>
      <c r="U318" s="30"/>
      <c r="V318" s="30"/>
      <c r="W318" s="30"/>
      <c r="X318" s="30"/>
      <c r="Y318" s="30"/>
      <c r="Z318" s="30"/>
      <c r="AA318" s="30"/>
      <c r="AB318" s="30"/>
      <c r="AC318" s="30"/>
    </row>
    <row r="319" spans="1:29" x14ac:dyDescent="0.25">
      <c r="A319" s="30"/>
      <c r="B319" s="41" t="s">
        <v>966</v>
      </c>
      <c r="C319" t="s">
        <v>1167</v>
      </c>
      <c r="D319" t="s">
        <v>1198</v>
      </c>
      <c r="E319" t="s">
        <v>1203</v>
      </c>
      <c r="F319" t="str">
        <f t="shared" si="0"/>
        <v>Deutsch</v>
      </c>
      <c r="G319" s="32" t="s">
        <v>88</v>
      </c>
      <c r="H319" s="303" t="s">
        <v>28021</v>
      </c>
      <c r="I319" s="48"/>
      <c r="J319" s="48"/>
      <c r="K319" s="48"/>
      <c r="L319" s="30"/>
      <c r="M319" s="30"/>
      <c r="N319" s="30"/>
      <c r="O319" s="30"/>
      <c r="P319" s="30"/>
      <c r="Q319" s="30"/>
      <c r="R319" s="30"/>
      <c r="S319" s="30"/>
      <c r="T319" s="30"/>
      <c r="U319" s="30"/>
      <c r="V319" s="30"/>
      <c r="W319" s="30"/>
      <c r="X319" s="30"/>
      <c r="Y319" s="30"/>
      <c r="Z319" s="30"/>
      <c r="AA319" s="30"/>
      <c r="AB319" s="30"/>
      <c r="AC319" s="30"/>
    </row>
    <row r="320" spans="1:29" x14ac:dyDescent="0.25">
      <c r="A320" s="30"/>
      <c r="B320" s="41" t="s">
        <v>967</v>
      </c>
      <c r="C320" t="s">
        <v>1167</v>
      </c>
      <c r="D320" t="s">
        <v>1198</v>
      </c>
      <c r="E320" t="s">
        <v>1204</v>
      </c>
      <c r="F320" t="str">
        <f t="shared" si="0"/>
        <v>Deutsch</v>
      </c>
      <c r="G320" s="32" t="s">
        <v>88</v>
      </c>
      <c r="H320" s="302" t="s">
        <v>28022</v>
      </c>
      <c r="I320" s="47"/>
      <c r="J320" s="47"/>
      <c r="K320" s="47"/>
      <c r="L320" s="30"/>
      <c r="M320" s="30"/>
      <c r="N320" s="30"/>
      <c r="O320" s="30"/>
      <c r="P320" s="30"/>
      <c r="Q320" s="30"/>
      <c r="R320" s="30"/>
      <c r="S320" s="30"/>
      <c r="T320" s="30"/>
      <c r="U320" s="30"/>
      <c r="V320" s="30"/>
      <c r="W320" s="30"/>
      <c r="X320" s="30"/>
      <c r="Y320" s="30"/>
      <c r="Z320" s="30"/>
      <c r="AA320" s="30"/>
      <c r="AB320" s="30"/>
      <c r="AC320" s="30"/>
    </row>
    <row r="321" spans="1:29" x14ac:dyDescent="0.25">
      <c r="A321" s="30"/>
      <c r="B321" s="41" t="s">
        <v>968</v>
      </c>
      <c r="C321" t="s">
        <v>1167</v>
      </c>
      <c r="D321" t="s">
        <v>1198</v>
      </c>
      <c r="E321" t="s">
        <v>1205</v>
      </c>
      <c r="F321" t="str">
        <f t="shared" si="0"/>
        <v>Deutsch</v>
      </c>
      <c r="G321" s="32" t="s">
        <v>88</v>
      </c>
      <c r="H321" s="302" t="s">
        <v>28023</v>
      </c>
      <c r="I321" s="47"/>
      <c r="J321" s="48"/>
      <c r="K321" s="48"/>
      <c r="L321" s="30"/>
      <c r="M321" s="30"/>
      <c r="N321" s="30"/>
      <c r="O321" s="30"/>
      <c r="P321" s="30"/>
      <c r="Q321" s="30"/>
      <c r="R321" s="30"/>
      <c r="S321" s="30"/>
      <c r="T321" s="30"/>
      <c r="U321" s="30"/>
      <c r="V321" s="30"/>
      <c r="W321" s="30"/>
      <c r="X321" s="30"/>
      <c r="Y321" s="30"/>
      <c r="Z321" s="30"/>
      <c r="AA321" s="30"/>
      <c r="AB321" s="30"/>
      <c r="AC321" s="30"/>
    </row>
    <row r="322" spans="1:29" x14ac:dyDescent="0.25">
      <c r="A322" s="30"/>
      <c r="B322" s="41" t="s">
        <v>969</v>
      </c>
      <c r="C322" t="s">
        <v>1167</v>
      </c>
      <c r="D322" t="s">
        <v>1198</v>
      </c>
      <c r="E322" t="s">
        <v>1206</v>
      </c>
      <c r="F322" t="str">
        <f t="shared" si="0"/>
        <v>Deutsch</v>
      </c>
      <c r="G322" s="32" t="s">
        <v>88</v>
      </c>
      <c r="H322" s="302" t="s">
        <v>28024</v>
      </c>
      <c r="I322" s="47"/>
      <c r="J322" s="47"/>
      <c r="K322" s="47"/>
      <c r="L322" s="30"/>
      <c r="M322" s="30"/>
      <c r="N322" s="30"/>
      <c r="O322" s="30"/>
      <c r="P322" s="30"/>
      <c r="Q322" s="30"/>
      <c r="R322" s="30"/>
      <c r="S322" s="30"/>
      <c r="T322" s="30"/>
      <c r="U322" s="30"/>
      <c r="V322" s="30"/>
      <c r="W322" s="30"/>
      <c r="X322" s="30"/>
      <c r="Y322" s="30"/>
      <c r="Z322" s="30"/>
      <c r="AA322" s="30"/>
      <c r="AB322" s="30"/>
      <c r="AC322" s="30"/>
    </row>
    <row r="323" spans="1:29" x14ac:dyDescent="0.25">
      <c r="A323" s="30"/>
      <c r="B323" s="41" t="s">
        <v>970</v>
      </c>
      <c r="C323" t="s">
        <v>1167</v>
      </c>
      <c r="D323" t="s">
        <v>1198</v>
      </c>
      <c r="E323" t="s">
        <v>1207</v>
      </c>
      <c r="F323" t="str">
        <f t="shared" si="0"/>
        <v>Deutsch</v>
      </c>
      <c r="G323" s="32" t="s">
        <v>88</v>
      </c>
      <c r="H323" s="303" t="s">
        <v>28025</v>
      </c>
      <c r="I323" s="48"/>
      <c r="J323" s="48"/>
      <c r="K323" s="48"/>
      <c r="L323" s="30"/>
      <c r="M323" s="30"/>
      <c r="N323" s="30"/>
      <c r="O323" s="30"/>
      <c r="P323" s="30"/>
      <c r="Q323" s="30"/>
      <c r="R323" s="30"/>
      <c r="S323" s="30"/>
      <c r="T323" s="30"/>
      <c r="U323" s="30"/>
      <c r="V323" s="30"/>
      <c r="W323" s="30"/>
      <c r="X323" s="30"/>
      <c r="Y323" s="30"/>
      <c r="Z323" s="30"/>
      <c r="AA323" s="30"/>
      <c r="AB323" s="30"/>
      <c r="AC323" s="30"/>
    </row>
    <row r="324" spans="1:29" x14ac:dyDescent="0.25">
      <c r="A324" s="30"/>
      <c r="B324" s="41" t="s">
        <v>971</v>
      </c>
      <c r="C324" t="s">
        <v>1167</v>
      </c>
      <c r="D324" t="s">
        <v>1198</v>
      </c>
      <c r="E324" t="s">
        <v>1208</v>
      </c>
      <c r="F324" t="str">
        <f t="shared" si="0"/>
        <v>Deutsch</v>
      </c>
      <c r="G324" s="32" t="s">
        <v>88</v>
      </c>
      <c r="H324" s="303" t="s">
        <v>28026</v>
      </c>
      <c r="I324" s="48"/>
      <c r="J324" s="48"/>
      <c r="K324" s="48"/>
      <c r="L324" s="30"/>
      <c r="M324" s="30"/>
      <c r="N324" s="30"/>
      <c r="O324" s="30"/>
      <c r="P324" s="30"/>
      <c r="Q324" s="30"/>
      <c r="R324" s="30"/>
      <c r="S324" s="30"/>
      <c r="T324" s="30"/>
      <c r="U324" s="30"/>
      <c r="V324" s="30"/>
      <c r="W324" s="30"/>
      <c r="X324" s="30"/>
      <c r="Y324" s="30"/>
      <c r="Z324" s="30"/>
      <c r="AA324" s="30"/>
      <c r="AB324" s="30"/>
      <c r="AC324" s="30"/>
    </row>
    <row r="325" spans="1:29" x14ac:dyDescent="0.25">
      <c r="A325" s="30"/>
      <c r="B325" s="41" t="s">
        <v>972</v>
      </c>
      <c r="C325" t="s">
        <v>1167</v>
      </c>
      <c r="D325" t="s">
        <v>1209</v>
      </c>
      <c r="E325"/>
      <c r="F325" t="str">
        <f t="shared" ref="F325:F387" si="1">German</f>
        <v>Deutsch</v>
      </c>
      <c r="G325" s="32" t="s">
        <v>88</v>
      </c>
      <c r="H325" s="303" t="s">
        <v>28027</v>
      </c>
      <c r="I325" s="48"/>
      <c r="J325" s="48"/>
      <c r="K325" s="48"/>
      <c r="L325" s="30"/>
      <c r="M325" s="30"/>
      <c r="N325" s="30"/>
      <c r="O325" s="30"/>
      <c r="P325" s="30"/>
      <c r="Q325" s="30"/>
      <c r="R325" s="30"/>
      <c r="S325" s="30"/>
      <c r="T325" s="30"/>
      <c r="U325" s="30"/>
      <c r="V325" s="30"/>
      <c r="W325" s="30"/>
      <c r="X325" s="30"/>
      <c r="Y325" s="30"/>
      <c r="Z325" s="30"/>
      <c r="AA325" s="30"/>
      <c r="AB325" s="30"/>
      <c r="AC325" s="30"/>
    </row>
    <row r="326" spans="1:29" x14ac:dyDescent="0.25">
      <c r="A326" s="30"/>
      <c r="B326" s="41" t="s">
        <v>972</v>
      </c>
      <c r="C326" t="s">
        <v>1167</v>
      </c>
      <c r="D326" t="s">
        <v>1209</v>
      </c>
      <c r="E326" t="s">
        <v>1210</v>
      </c>
      <c r="F326" t="str">
        <f t="shared" si="1"/>
        <v>Deutsch</v>
      </c>
      <c r="G326" s="32" t="s">
        <v>88</v>
      </c>
      <c r="H326" s="303" t="s">
        <v>28028</v>
      </c>
      <c r="I326" s="48"/>
      <c r="J326" s="48"/>
      <c r="K326" s="48"/>
      <c r="L326" s="30"/>
      <c r="M326" s="30"/>
      <c r="N326" s="30"/>
      <c r="O326" s="30"/>
      <c r="P326" s="30"/>
      <c r="Q326" s="30"/>
      <c r="R326" s="30"/>
      <c r="S326" s="30"/>
      <c r="T326" s="30"/>
      <c r="U326" s="30"/>
      <c r="V326" s="30"/>
      <c r="W326" s="30"/>
      <c r="X326" s="30"/>
      <c r="Y326" s="30"/>
      <c r="Z326" s="30"/>
      <c r="AA326" s="30"/>
      <c r="AB326" s="30"/>
      <c r="AC326" s="30"/>
    </row>
    <row r="327" spans="1:29" x14ac:dyDescent="0.25">
      <c r="A327" s="30"/>
      <c r="B327" s="41" t="s">
        <v>973</v>
      </c>
      <c r="C327" t="s">
        <v>1167</v>
      </c>
      <c r="D327" t="s">
        <v>1209</v>
      </c>
      <c r="E327" t="s">
        <v>1211</v>
      </c>
      <c r="F327" t="str">
        <f t="shared" si="1"/>
        <v>Deutsch</v>
      </c>
      <c r="G327" s="32" t="s">
        <v>88</v>
      </c>
      <c r="H327" s="303" t="s">
        <v>28029</v>
      </c>
      <c r="I327" s="48"/>
      <c r="J327" s="48"/>
      <c r="K327" s="48"/>
      <c r="L327" s="30"/>
      <c r="M327" s="30"/>
      <c r="N327" s="30"/>
      <c r="O327" s="30"/>
      <c r="P327" s="30"/>
      <c r="Q327" s="30"/>
      <c r="R327" s="30"/>
      <c r="S327" s="30"/>
      <c r="T327" s="30"/>
      <c r="U327" s="30"/>
      <c r="V327" s="30"/>
      <c r="W327" s="30"/>
      <c r="X327" s="30"/>
      <c r="Y327" s="30"/>
      <c r="Z327" s="30"/>
      <c r="AA327" s="30"/>
      <c r="AB327" s="30"/>
      <c r="AC327" s="30"/>
    </row>
    <row r="328" spans="1:29" x14ac:dyDescent="0.25">
      <c r="A328" s="30"/>
      <c r="B328" s="41" t="s">
        <v>974</v>
      </c>
      <c r="C328" t="s">
        <v>1167</v>
      </c>
      <c r="D328" t="s">
        <v>1209</v>
      </c>
      <c r="E328" t="s">
        <v>1212</v>
      </c>
      <c r="F328" t="str">
        <f t="shared" si="1"/>
        <v>Deutsch</v>
      </c>
      <c r="G328" s="32" t="s">
        <v>88</v>
      </c>
      <c r="H328" s="303" t="s">
        <v>28030</v>
      </c>
      <c r="I328" s="48"/>
      <c r="J328" s="48"/>
      <c r="K328" s="48"/>
      <c r="L328" s="30"/>
      <c r="M328" s="30"/>
      <c r="N328" s="30"/>
      <c r="O328" s="30"/>
      <c r="P328" s="30"/>
      <c r="Q328" s="30"/>
      <c r="R328" s="30"/>
      <c r="S328" s="30"/>
      <c r="T328" s="30"/>
      <c r="U328" s="30"/>
      <c r="V328" s="30"/>
      <c r="W328" s="30"/>
      <c r="X328" s="30"/>
      <c r="Y328" s="30"/>
      <c r="Z328" s="30"/>
      <c r="AA328" s="30"/>
      <c r="AB328" s="30"/>
      <c r="AC328" s="30"/>
    </row>
    <row r="329" spans="1:29" x14ac:dyDescent="0.25">
      <c r="A329" s="30"/>
      <c r="B329" s="41" t="s">
        <v>975</v>
      </c>
      <c r="C329" t="s">
        <v>1167</v>
      </c>
      <c r="D329" t="s">
        <v>1209</v>
      </c>
      <c r="E329" t="s">
        <v>1213</v>
      </c>
      <c r="F329" t="str">
        <f t="shared" si="1"/>
        <v>Deutsch</v>
      </c>
      <c r="G329" s="32" t="s">
        <v>88</v>
      </c>
      <c r="H329" s="302" t="s">
        <v>28031</v>
      </c>
      <c r="I329" s="47"/>
      <c r="J329" s="47"/>
      <c r="K329" s="47"/>
      <c r="L329" s="30"/>
      <c r="M329" s="30"/>
      <c r="N329" s="30"/>
      <c r="O329" s="30"/>
      <c r="P329" s="30"/>
      <c r="Q329" s="30"/>
      <c r="R329" s="30"/>
      <c r="S329" s="30"/>
      <c r="T329" s="30"/>
      <c r="U329" s="30"/>
      <c r="V329" s="30"/>
      <c r="W329" s="30"/>
      <c r="X329" s="30"/>
      <c r="Y329" s="30"/>
      <c r="Z329" s="30"/>
      <c r="AA329" s="30"/>
      <c r="AB329" s="30"/>
      <c r="AC329" s="30"/>
    </row>
    <row r="330" spans="1:29" x14ac:dyDescent="0.25">
      <c r="A330" s="30"/>
      <c r="B330" s="41" t="s">
        <v>976</v>
      </c>
      <c r="C330" t="s">
        <v>1167</v>
      </c>
      <c r="D330" t="s">
        <v>1214</v>
      </c>
      <c r="E330"/>
      <c r="F330" t="str">
        <f t="shared" si="1"/>
        <v>Deutsch</v>
      </c>
      <c r="G330" s="32" t="s">
        <v>88</v>
      </c>
      <c r="H330" s="303" t="s">
        <v>28032</v>
      </c>
      <c r="I330" s="48"/>
      <c r="J330" s="48"/>
      <c r="K330" s="48"/>
      <c r="L330" s="30"/>
      <c r="M330" s="30"/>
      <c r="N330" s="30"/>
      <c r="O330" s="30"/>
      <c r="P330" s="30"/>
      <c r="Q330" s="30"/>
      <c r="R330" s="30"/>
      <c r="S330" s="30"/>
      <c r="T330" s="30"/>
      <c r="U330" s="30"/>
      <c r="V330" s="30"/>
      <c r="W330" s="30"/>
      <c r="X330" s="30"/>
      <c r="Y330" s="30"/>
      <c r="Z330" s="30"/>
      <c r="AA330" s="30"/>
      <c r="AB330" s="30"/>
      <c r="AC330" s="30"/>
    </row>
    <row r="331" spans="1:29" x14ac:dyDescent="0.25">
      <c r="A331" s="30"/>
      <c r="B331" s="41" t="s">
        <v>976</v>
      </c>
      <c r="C331" t="s">
        <v>1167</v>
      </c>
      <c r="D331" t="s">
        <v>1214</v>
      </c>
      <c r="E331" t="s">
        <v>1215</v>
      </c>
      <c r="F331" t="str">
        <f t="shared" si="1"/>
        <v>Deutsch</v>
      </c>
      <c r="G331" s="32" t="s">
        <v>88</v>
      </c>
      <c r="H331" s="303" t="s">
        <v>28033</v>
      </c>
      <c r="I331" s="48"/>
      <c r="J331" s="48"/>
      <c r="K331" s="48"/>
      <c r="L331" s="30"/>
      <c r="M331" s="30"/>
      <c r="N331" s="30"/>
      <c r="O331" s="30"/>
      <c r="P331" s="30"/>
      <c r="Q331" s="30"/>
      <c r="R331" s="30"/>
      <c r="S331" s="30"/>
      <c r="T331" s="30"/>
      <c r="U331" s="30"/>
      <c r="V331" s="30"/>
      <c r="W331" s="30"/>
      <c r="X331" s="30"/>
      <c r="Y331" s="30"/>
      <c r="Z331" s="30"/>
      <c r="AA331" s="30"/>
      <c r="AB331" s="30"/>
      <c r="AC331" s="30"/>
    </row>
    <row r="332" spans="1:29" x14ac:dyDescent="0.25">
      <c r="A332" s="30"/>
      <c r="B332" s="41" t="s">
        <v>977</v>
      </c>
      <c r="C332" t="s">
        <v>1167</v>
      </c>
      <c r="D332" t="s">
        <v>1214</v>
      </c>
      <c r="E332" t="s">
        <v>1216</v>
      </c>
      <c r="F332" t="str">
        <f t="shared" si="1"/>
        <v>Deutsch</v>
      </c>
      <c r="G332" s="32" t="s">
        <v>88</v>
      </c>
      <c r="H332" s="303" t="s">
        <v>28034</v>
      </c>
      <c r="I332" s="48"/>
      <c r="J332" s="48"/>
      <c r="K332" s="48"/>
      <c r="L332" s="30"/>
      <c r="M332" s="30"/>
      <c r="N332" s="30"/>
      <c r="O332" s="30"/>
      <c r="P332" s="30"/>
      <c r="Q332" s="30"/>
      <c r="R332" s="30"/>
      <c r="S332" s="30"/>
      <c r="T332" s="30"/>
      <c r="U332" s="30"/>
      <c r="V332" s="30"/>
      <c r="W332" s="30"/>
      <c r="X332" s="30"/>
      <c r="Y332" s="30"/>
      <c r="Z332" s="30"/>
      <c r="AA332" s="30"/>
      <c r="AB332" s="30"/>
      <c r="AC332" s="30"/>
    </row>
    <row r="333" spans="1:29" x14ac:dyDescent="0.25">
      <c r="A333" s="30"/>
      <c r="B333" s="41" t="s">
        <v>978</v>
      </c>
      <c r="C333" t="s">
        <v>1167</v>
      </c>
      <c r="D333" t="s">
        <v>1214</v>
      </c>
      <c r="E333" t="s">
        <v>1217</v>
      </c>
      <c r="F333" t="str">
        <f t="shared" si="1"/>
        <v>Deutsch</v>
      </c>
      <c r="G333" s="32" t="s">
        <v>88</v>
      </c>
      <c r="H333" s="302" t="s">
        <v>28035</v>
      </c>
      <c r="I333" s="47"/>
      <c r="J333" s="47"/>
      <c r="K333" s="47"/>
      <c r="L333" s="30"/>
      <c r="M333" s="30"/>
      <c r="N333" s="30"/>
      <c r="O333" s="30"/>
      <c r="P333" s="30"/>
      <c r="Q333" s="30"/>
      <c r="R333" s="30"/>
      <c r="S333" s="30"/>
      <c r="T333" s="30"/>
      <c r="U333" s="30"/>
      <c r="V333" s="30"/>
      <c r="W333" s="30"/>
      <c r="X333" s="30"/>
      <c r="Y333" s="30"/>
      <c r="Z333" s="30"/>
      <c r="AA333" s="30"/>
      <c r="AB333" s="30"/>
      <c r="AC333" s="30"/>
    </row>
    <row r="334" spans="1:29" x14ac:dyDescent="0.25">
      <c r="A334" s="30"/>
      <c r="B334" s="41" t="s">
        <v>979</v>
      </c>
      <c r="C334" t="s">
        <v>1218</v>
      </c>
      <c r="D334" t="s">
        <v>1219</v>
      </c>
      <c r="E334"/>
      <c r="F334" t="str">
        <f t="shared" si="1"/>
        <v>Deutsch</v>
      </c>
      <c r="G334" s="32" t="s">
        <v>88</v>
      </c>
      <c r="H334" s="303" t="s">
        <v>28036</v>
      </c>
      <c r="I334" s="48"/>
      <c r="J334" s="48"/>
      <c r="K334" s="48"/>
      <c r="L334" s="30"/>
      <c r="M334" s="30"/>
      <c r="N334" s="30"/>
      <c r="O334" s="30"/>
      <c r="P334" s="30"/>
      <c r="Q334" s="30"/>
      <c r="R334" s="30"/>
      <c r="S334" s="30"/>
      <c r="T334" s="30"/>
      <c r="U334" s="30"/>
      <c r="V334" s="30"/>
      <c r="W334" s="30"/>
      <c r="X334" s="30"/>
      <c r="Y334" s="30"/>
      <c r="Z334" s="30"/>
      <c r="AA334" s="30"/>
      <c r="AB334" s="30"/>
      <c r="AC334" s="30"/>
    </row>
    <row r="335" spans="1:29" x14ac:dyDescent="0.25">
      <c r="A335" s="30"/>
      <c r="B335" s="41" t="s">
        <v>980</v>
      </c>
      <c r="C335" t="s">
        <v>1218</v>
      </c>
      <c r="D335" t="s">
        <v>1220</v>
      </c>
      <c r="E335"/>
      <c r="F335" t="str">
        <f t="shared" si="1"/>
        <v>Deutsch</v>
      </c>
      <c r="G335" s="32" t="s">
        <v>88</v>
      </c>
      <c r="H335" s="303" t="s">
        <v>28037</v>
      </c>
      <c r="I335" s="48"/>
      <c r="J335" s="48"/>
      <c r="K335" s="48"/>
      <c r="L335" s="30"/>
      <c r="M335" s="30"/>
      <c r="N335" s="30"/>
      <c r="O335" s="30"/>
      <c r="P335" s="30"/>
      <c r="Q335" s="30"/>
      <c r="R335" s="30"/>
      <c r="S335" s="30"/>
      <c r="T335" s="30"/>
      <c r="U335" s="30"/>
      <c r="V335" s="30"/>
      <c r="W335" s="30"/>
      <c r="X335" s="30"/>
      <c r="Y335" s="30"/>
      <c r="Z335" s="30"/>
      <c r="AA335" s="30"/>
      <c r="AB335" s="30"/>
      <c r="AC335" s="30"/>
    </row>
    <row r="336" spans="1:29" x14ac:dyDescent="0.25">
      <c r="A336" s="30"/>
      <c r="B336" s="41" t="s">
        <v>981</v>
      </c>
      <c r="C336" t="s">
        <v>1218</v>
      </c>
      <c r="D336" t="s">
        <v>1221</v>
      </c>
      <c r="E336"/>
      <c r="F336" t="str">
        <f t="shared" si="1"/>
        <v>Deutsch</v>
      </c>
      <c r="G336" s="32" t="s">
        <v>88</v>
      </c>
      <c r="H336" s="302" t="s">
        <v>28038</v>
      </c>
      <c r="I336" s="47"/>
      <c r="J336" s="47"/>
      <c r="K336" s="47"/>
      <c r="L336" s="30"/>
      <c r="M336" s="30"/>
      <c r="N336" s="30"/>
      <c r="O336" s="30"/>
      <c r="P336" s="30"/>
      <c r="Q336" s="30"/>
      <c r="R336" s="30"/>
      <c r="S336" s="30"/>
      <c r="T336" s="30"/>
      <c r="U336" s="30"/>
      <c r="V336" s="30"/>
      <c r="W336" s="30"/>
      <c r="X336" s="30"/>
      <c r="Y336" s="30"/>
      <c r="Z336" s="30"/>
      <c r="AA336" s="30"/>
      <c r="AB336" s="30"/>
      <c r="AC336" s="30"/>
    </row>
    <row r="337" spans="1:29" x14ac:dyDescent="0.25">
      <c r="A337" s="30"/>
      <c r="B337" s="41" t="s">
        <v>982</v>
      </c>
      <c r="C337" t="s">
        <v>1222</v>
      </c>
      <c r="D337" t="s">
        <v>1223</v>
      </c>
      <c r="E337"/>
      <c r="F337" t="str">
        <f t="shared" si="1"/>
        <v>Deutsch</v>
      </c>
      <c r="G337" s="32" t="s">
        <v>88</v>
      </c>
      <c r="H337" s="303" t="s">
        <v>28039</v>
      </c>
      <c r="I337" s="48"/>
      <c r="J337" s="48"/>
      <c r="K337" s="48"/>
      <c r="L337" s="30"/>
      <c r="M337" s="30"/>
      <c r="N337" s="30"/>
      <c r="O337" s="30"/>
      <c r="P337" s="30"/>
      <c r="Q337" s="30"/>
      <c r="R337" s="30"/>
      <c r="S337" s="30"/>
      <c r="T337" s="30"/>
      <c r="U337" s="30"/>
      <c r="V337" s="30"/>
      <c r="W337" s="30"/>
      <c r="X337" s="30"/>
      <c r="Y337" s="30"/>
      <c r="Z337" s="30"/>
      <c r="AA337" s="30"/>
      <c r="AB337" s="30"/>
      <c r="AC337" s="30"/>
    </row>
    <row r="338" spans="1:29" x14ac:dyDescent="0.25">
      <c r="A338" s="30"/>
      <c r="B338" s="41" t="s">
        <v>983</v>
      </c>
      <c r="C338" t="s">
        <v>1222</v>
      </c>
      <c r="D338" t="s">
        <v>1223</v>
      </c>
      <c r="E338" t="s">
        <v>1224</v>
      </c>
      <c r="F338" t="str">
        <f t="shared" si="1"/>
        <v>Deutsch</v>
      </c>
      <c r="G338" s="32" t="s">
        <v>88</v>
      </c>
      <c r="H338" s="302" t="s">
        <v>28040</v>
      </c>
      <c r="I338" s="47"/>
      <c r="J338" s="47"/>
      <c r="K338" s="47"/>
      <c r="L338" s="30"/>
      <c r="M338" s="30"/>
      <c r="N338" s="30"/>
      <c r="O338" s="30"/>
      <c r="P338" s="30"/>
      <c r="Q338" s="30"/>
      <c r="R338" s="30"/>
      <c r="S338" s="30"/>
      <c r="T338" s="30"/>
      <c r="U338" s="30"/>
      <c r="V338" s="30"/>
      <c r="W338" s="30"/>
      <c r="X338" s="30"/>
      <c r="Y338" s="30"/>
      <c r="Z338" s="30"/>
      <c r="AA338" s="30"/>
      <c r="AB338" s="30"/>
      <c r="AC338" s="30"/>
    </row>
    <row r="339" spans="1:29" x14ac:dyDescent="0.25">
      <c r="B339" s="41" t="s">
        <v>982</v>
      </c>
      <c r="C339" t="s">
        <v>1222</v>
      </c>
      <c r="D339" t="s">
        <v>1223</v>
      </c>
      <c r="E339" t="s">
        <v>27878</v>
      </c>
      <c r="F339" t="str">
        <f t="shared" si="1"/>
        <v>Deutsch</v>
      </c>
      <c r="G339" s="32" t="s">
        <v>88</v>
      </c>
      <c r="H339" s="303" t="s">
        <v>28041</v>
      </c>
      <c r="I339" s="48"/>
      <c r="J339" s="48"/>
      <c r="K339" s="48"/>
    </row>
    <row r="340" spans="1:29" x14ac:dyDescent="0.25">
      <c r="B340" s="41" t="s">
        <v>984</v>
      </c>
      <c r="C340" t="s">
        <v>1222</v>
      </c>
      <c r="D340" t="s">
        <v>1223</v>
      </c>
      <c r="E340" t="s">
        <v>27879</v>
      </c>
      <c r="F340" t="str">
        <f t="shared" si="1"/>
        <v>Deutsch</v>
      </c>
      <c r="G340" s="32" t="s">
        <v>88</v>
      </c>
      <c r="H340" s="303" t="s">
        <v>28042</v>
      </c>
      <c r="I340" s="48"/>
      <c r="J340" s="48"/>
      <c r="K340" s="48"/>
    </row>
    <row r="341" spans="1:29" x14ac:dyDescent="0.25">
      <c r="B341" s="41" t="s">
        <v>985</v>
      </c>
      <c r="C341" t="s">
        <v>1222</v>
      </c>
      <c r="D341" t="s">
        <v>1225</v>
      </c>
      <c r="E341" t="s">
        <v>1226</v>
      </c>
      <c r="F341" t="str">
        <f t="shared" si="1"/>
        <v>Deutsch</v>
      </c>
      <c r="G341" s="32" t="s">
        <v>88</v>
      </c>
      <c r="H341" s="303" t="s">
        <v>28043</v>
      </c>
      <c r="I341" s="48"/>
      <c r="J341" s="48"/>
      <c r="K341" s="48"/>
    </row>
    <row r="342" spans="1:29" x14ac:dyDescent="0.25">
      <c r="B342" s="41" t="s">
        <v>986</v>
      </c>
      <c r="C342" t="s">
        <v>1222</v>
      </c>
      <c r="D342" t="s">
        <v>1225</v>
      </c>
      <c r="E342" t="s">
        <v>1227</v>
      </c>
      <c r="F342" t="str">
        <f t="shared" si="1"/>
        <v>Deutsch</v>
      </c>
      <c r="G342" s="32" t="s">
        <v>88</v>
      </c>
      <c r="H342" s="302" t="s">
        <v>28044</v>
      </c>
      <c r="I342" s="47"/>
      <c r="J342" s="47"/>
      <c r="K342" s="47"/>
    </row>
    <row r="343" spans="1:29" x14ac:dyDescent="0.25">
      <c r="B343" s="41" t="s">
        <v>987</v>
      </c>
      <c r="C343" t="s">
        <v>1222</v>
      </c>
      <c r="D343" t="s">
        <v>1225</v>
      </c>
      <c r="E343" t="s">
        <v>1228</v>
      </c>
      <c r="F343" t="str">
        <f t="shared" si="1"/>
        <v>Deutsch</v>
      </c>
      <c r="G343" s="32" t="s">
        <v>88</v>
      </c>
      <c r="H343" s="303" t="s">
        <v>28045</v>
      </c>
      <c r="I343" s="48"/>
      <c r="J343" s="48"/>
      <c r="K343" s="48"/>
    </row>
    <row r="344" spans="1:29" x14ac:dyDescent="0.25">
      <c r="B344" s="41" t="s">
        <v>988</v>
      </c>
      <c r="C344" t="s">
        <v>1222</v>
      </c>
      <c r="D344" t="s">
        <v>1229</v>
      </c>
      <c r="E344" t="s">
        <v>1230</v>
      </c>
      <c r="F344" t="str">
        <f t="shared" si="1"/>
        <v>Deutsch</v>
      </c>
      <c r="G344" s="32" t="s">
        <v>989</v>
      </c>
      <c r="H344" t="s">
        <v>28046</v>
      </c>
    </row>
    <row r="345" spans="1:29" x14ac:dyDescent="0.25">
      <c r="B345" s="41" t="s">
        <v>990</v>
      </c>
      <c r="C345" t="s">
        <v>1222</v>
      </c>
      <c r="D345" t="s">
        <v>1229</v>
      </c>
      <c r="E345" t="s">
        <v>1231</v>
      </c>
      <c r="F345" t="str">
        <f t="shared" si="1"/>
        <v>Deutsch</v>
      </c>
      <c r="G345" s="32" t="s">
        <v>989</v>
      </c>
      <c r="H345" t="s">
        <v>28047</v>
      </c>
    </row>
    <row r="346" spans="1:29" x14ac:dyDescent="0.25">
      <c r="B346" s="41" t="s">
        <v>991</v>
      </c>
      <c r="C346" t="s">
        <v>1222</v>
      </c>
      <c r="D346" t="s">
        <v>1229</v>
      </c>
      <c r="E346" t="s">
        <v>1232</v>
      </c>
      <c r="F346" t="str">
        <f t="shared" si="1"/>
        <v>Deutsch</v>
      </c>
      <c r="G346" s="32" t="s">
        <v>989</v>
      </c>
      <c r="H346" t="s">
        <v>28048</v>
      </c>
    </row>
    <row r="347" spans="1:29" x14ac:dyDescent="0.25">
      <c r="B347" s="41" t="s">
        <v>992</v>
      </c>
      <c r="C347" t="s">
        <v>1222</v>
      </c>
      <c r="D347" t="s">
        <v>1229</v>
      </c>
      <c r="E347" t="s">
        <v>1233</v>
      </c>
      <c r="F347" t="str">
        <f t="shared" si="1"/>
        <v>Deutsch</v>
      </c>
      <c r="G347" s="32" t="s">
        <v>989</v>
      </c>
      <c r="H347" t="s">
        <v>28049</v>
      </c>
    </row>
    <row r="348" spans="1:29" x14ac:dyDescent="0.25">
      <c r="B348" s="41" t="s">
        <v>993</v>
      </c>
      <c r="C348" t="s">
        <v>1222</v>
      </c>
      <c r="D348" t="s">
        <v>1229</v>
      </c>
      <c r="E348" t="s">
        <v>1234</v>
      </c>
      <c r="F348" t="str">
        <f t="shared" si="1"/>
        <v>Deutsch</v>
      </c>
      <c r="G348" s="32" t="s">
        <v>989</v>
      </c>
      <c r="H348" t="s">
        <v>28050</v>
      </c>
    </row>
    <row r="349" spans="1:29" x14ac:dyDescent="0.25">
      <c r="B349" s="41" t="s">
        <v>994</v>
      </c>
      <c r="C349" t="s">
        <v>1222</v>
      </c>
      <c r="D349" t="s">
        <v>1229</v>
      </c>
      <c r="E349" t="s">
        <v>1235</v>
      </c>
      <c r="F349" t="str">
        <f t="shared" si="1"/>
        <v>Deutsch</v>
      </c>
      <c r="G349" s="32" t="s">
        <v>989</v>
      </c>
      <c r="H349" t="s">
        <v>28051</v>
      </c>
    </row>
    <row r="350" spans="1:29" x14ac:dyDescent="0.25">
      <c r="B350" s="41" t="s">
        <v>995</v>
      </c>
      <c r="C350" t="s">
        <v>1222</v>
      </c>
      <c r="D350" t="s">
        <v>1229</v>
      </c>
      <c r="E350" t="s">
        <v>1236</v>
      </c>
      <c r="F350" t="str">
        <f t="shared" si="1"/>
        <v>Deutsch</v>
      </c>
      <c r="G350" s="32" t="s">
        <v>88</v>
      </c>
      <c r="H350" t="s">
        <v>28052</v>
      </c>
    </row>
    <row r="351" spans="1:29" x14ac:dyDescent="0.25">
      <c r="B351" s="41" t="s">
        <v>985</v>
      </c>
      <c r="C351" t="s">
        <v>1222</v>
      </c>
      <c r="D351" t="s">
        <v>1225</v>
      </c>
      <c r="E351"/>
      <c r="F351" t="str">
        <f t="shared" si="1"/>
        <v>Deutsch</v>
      </c>
      <c r="G351" s="32" t="s">
        <v>88</v>
      </c>
      <c r="H351" t="s">
        <v>28053</v>
      </c>
    </row>
    <row r="352" spans="1:29" x14ac:dyDescent="0.25">
      <c r="B352" s="41" t="s">
        <v>996</v>
      </c>
      <c r="C352" t="s">
        <v>1222</v>
      </c>
      <c r="D352" t="s">
        <v>1225</v>
      </c>
      <c r="E352" t="s">
        <v>1237</v>
      </c>
      <c r="F352" t="str">
        <f t="shared" si="1"/>
        <v>Deutsch</v>
      </c>
      <c r="G352" s="32" t="s">
        <v>88</v>
      </c>
      <c r="H352" t="s">
        <v>28054</v>
      </c>
    </row>
    <row r="353" spans="2:8" x14ac:dyDescent="0.25">
      <c r="B353" s="41" t="s">
        <v>997</v>
      </c>
      <c r="C353" t="s">
        <v>1222</v>
      </c>
      <c r="D353" t="s">
        <v>1225</v>
      </c>
      <c r="E353" t="s">
        <v>1238</v>
      </c>
      <c r="F353" t="str">
        <f t="shared" si="1"/>
        <v>Deutsch</v>
      </c>
      <c r="G353" s="32" t="s">
        <v>88</v>
      </c>
      <c r="H353" t="s">
        <v>28055</v>
      </c>
    </row>
    <row r="354" spans="2:8" x14ac:dyDescent="0.25">
      <c r="B354" s="41" t="s">
        <v>998</v>
      </c>
      <c r="C354" t="s">
        <v>1222</v>
      </c>
      <c r="D354" t="s">
        <v>1225</v>
      </c>
      <c r="E354" t="s">
        <v>1239</v>
      </c>
      <c r="F354" t="str">
        <f t="shared" si="1"/>
        <v>Deutsch</v>
      </c>
      <c r="G354" s="32" t="s">
        <v>88</v>
      </c>
      <c r="H354" t="s">
        <v>28056</v>
      </c>
    </row>
    <row r="355" spans="2:8" x14ac:dyDescent="0.25">
      <c r="B355" s="41" t="s">
        <v>999</v>
      </c>
      <c r="C355" t="s">
        <v>1240</v>
      </c>
      <c r="D355" t="s">
        <v>1241</v>
      </c>
      <c r="E355"/>
      <c r="F355" t="str">
        <f t="shared" si="1"/>
        <v>Deutsch</v>
      </c>
      <c r="G355" s="32" t="s">
        <v>88</v>
      </c>
      <c r="H355" t="s">
        <v>28057</v>
      </c>
    </row>
    <row r="356" spans="2:8" x14ac:dyDescent="0.25">
      <c r="B356" s="41" t="s">
        <v>1000</v>
      </c>
      <c r="C356" t="s">
        <v>1240</v>
      </c>
      <c r="D356" t="s">
        <v>1242</v>
      </c>
      <c r="E356"/>
      <c r="F356" t="str">
        <f t="shared" si="1"/>
        <v>Deutsch</v>
      </c>
      <c r="G356" s="32" t="s">
        <v>88</v>
      </c>
      <c r="H356" t="s">
        <v>28058</v>
      </c>
    </row>
    <row r="357" spans="2:8" x14ac:dyDescent="0.25">
      <c r="B357" s="41" t="s">
        <v>1001</v>
      </c>
      <c r="C357" t="s">
        <v>1243</v>
      </c>
      <c r="D357" t="s">
        <v>27952</v>
      </c>
      <c r="E357"/>
      <c r="F357" t="str">
        <f t="shared" si="1"/>
        <v>Deutsch</v>
      </c>
      <c r="G357" s="32" t="s">
        <v>88</v>
      </c>
      <c r="H357" t="s">
        <v>28059</v>
      </c>
    </row>
    <row r="358" spans="2:8" x14ac:dyDescent="0.25">
      <c r="B358" s="41" t="s">
        <v>1002</v>
      </c>
      <c r="C358" t="s">
        <v>1243</v>
      </c>
      <c r="D358" t="s">
        <v>1244</v>
      </c>
      <c r="E358"/>
      <c r="F358" t="str">
        <f t="shared" si="1"/>
        <v>Deutsch</v>
      </c>
      <c r="G358" s="32" t="s">
        <v>88</v>
      </c>
      <c r="H358" t="s">
        <v>28060</v>
      </c>
    </row>
    <row r="359" spans="2:8" x14ac:dyDescent="0.25">
      <c r="B359" s="41" t="s">
        <v>1003</v>
      </c>
      <c r="C359" t="s">
        <v>1243</v>
      </c>
      <c r="D359" t="s">
        <v>1245</v>
      </c>
      <c r="E359"/>
      <c r="F359" t="str">
        <f t="shared" si="1"/>
        <v>Deutsch</v>
      </c>
      <c r="G359" s="32" t="s">
        <v>83</v>
      </c>
      <c r="H359" t="s">
        <v>28061</v>
      </c>
    </row>
    <row r="360" spans="2:8" x14ac:dyDescent="0.25">
      <c r="B360" s="41" t="s">
        <v>1004</v>
      </c>
      <c r="C360" t="s">
        <v>1243</v>
      </c>
      <c r="D360" t="s">
        <v>1246</v>
      </c>
      <c r="E360"/>
      <c r="F360" t="str">
        <f t="shared" si="1"/>
        <v>Deutsch</v>
      </c>
      <c r="G360" s="32" t="s">
        <v>83</v>
      </c>
      <c r="H360" t="s">
        <v>28062</v>
      </c>
    </row>
    <row r="361" spans="2:8" x14ac:dyDescent="0.25">
      <c r="B361" s="41" t="s">
        <v>1005</v>
      </c>
      <c r="C361" t="s">
        <v>1243</v>
      </c>
      <c r="D361" t="s">
        <v>1247</v>
      </c>
      <c r="E361"/>
      <c r="F361" t="str">
        <f t="shared" si="1"/>
        <v>Deutsch</v>
      </c>
      <c r="G361" s="32" t="s">
        <v>83</v>
      </c>
      <c r="H361" t="s">
        <v>28063</v>
      </c>
    </row>
    <row r="362" spans="2:8" x14ac:dyDescent="0.25">
      <c r="B362" s="41" t="s">
        <v>1006</v>
      </c>
      <c r="C362" t="s">
        <v>1243</v>
      </c>
      <c r="D362" t="s">
        <v>1248</v>
      </c>
      <c r="E362"/>
      <c r="F362" t="str">
        <f t="shared" si="1"/>
        <v>Deutsch</v>
      </c>
      <c r="G362" s="32" t="s">
        <v>83</v>
      </c>
      <c r="H362" t="s">
        <v>28064</v>
      </c>
    </row>
    <row r="363" spans="2:8" x14ac:dyDescent="0.25">
      <c r="B363" s="41" t="s">
        <v>1007</v>
      </c>
      <c r="C363" t="s">
        <v>1243</v>
      </c>
      <c r="D363" t="s">
        <v>1249</v>
      </c>
      <c r="E363"/>
      <c r="F363" t="str">
        <f t="shared" si="1"/>
        <v>Deutsch</v>
      </c>
      <c r="G363" s="32" t="s">
        <v>83</v>
      </c>
      <c r="H363" t="s">
        <v>28065</v>
      </c>
    </row>
    <row r="364" spans="2:8" x14ac:dyDescent="0.25">
      <c r="B364" s="41" t="s">
        <v>1008</v>
      </c>
      <c r="C364" t="s">
        <v>1243</v>
      </c>
      <c r="D364" t="s">
        <v>1250</v>
      </c>
      <c r="E364"/>
      <c r="F364" t="str">
        <f t="shared" si="1"/>
        <v>Deutsch</v>
      </c>
      <c r="G364" s="32" t="s">
        <v>83</v>
      </c>
      <c r="H364" t="s">
        <v>28066</v>
      </c>
    </row>
    <row r="365" spans="2:8" x14ac:dyDescent="0.25">
      <c r="B365" s="41" t="s">
        <v>1009</v>
      </c>
      <c r="C365" t="s">
        <v>1251</v>
      </c>
      <c r="D365"/>
      <c r="E365"/>
      <c r="F365" t="str">
        <f t="shared" si="1"/>
        <v>Deutsch</v>
      </c>
      <c r="G365" s="32" t="s">
        <v>88</v>
      </c>
      <c r="H365" t="s">
        <v>1592</v>
      </c>
    </row>
    <row r="366" spans="2:8" x14ac:dyDescent="0.25">
      <c r="B366" s="41" t="s">
        <v>1010</v>
      </c>
      <c r="C366" t="s">
        <v>1252</v>
      </c>
      <c r="D366" t="s">
        <v>1253</v>
      </c>
      <c r="E366"/>
      <c r="F366" t="str">
        <f t="shared" si="1"/>
        <v>Deutsch</v>
      </c>
      <c r="G366" s="32" t="s">
        <v>88</v>
      </c>
      <c r="H366" t="s">
        <v>28067</v>
      </c>
    </row>
    <row r="367" spans="2:8" x14ac:dyDescent="0.25">
      <c r="B367" s="41" t="s">
        <v>1011</v>
      </c>
      <c r="C367" t="s">
        <v>1252</v>
      </c>
      <c r="D367" t="s">
        <v>1254</v>
      </c>
      <c r="E367" t="s">
        <v>1255</v>
      </c>
      <c r="F367" t="str">
        <f t="shared" si="1"/>
        <v>Deutsch</v>
      </c>
      <c r="G367" s="32" t="s">
        <v>88</v>
      </c>
      <c r="H367" t="s">
        <v>28068</v>
      </c>
    </row>
    <row r="368" spans="2:8" x14ac:dyDescent="0.25">
      <c r="B368" s="41" t="s">
        <v>1012</v>
      </c>
      <c r="C368" t="s">
        <v>1252</v>
      </c>
      <c r="D368" t="s">
        <v>1254</v>
      </c>
      <c r="E368" t="s">
        <v>1256</v>
      </c>
      <c r="F368" t="str">
        <f t="shared" si="1"/>
        <v>Deutsch</v>
      </c>
      <c r="G368" s="32" t="s">
        <v>88</v>
      </c>
      <c r="H368" t="s">
        <v>28069</v>
      </c>
    </row>
    <row r="369" spans="2:8" x14ac:dyDescent="0.25">
      <c r="B369" s="41" t="s">
        <v>1013</v>
      </c>
      <c r="C369" t="s">
        <v>1252</v>
      </c>
      <c r="D369" t="s">
        <v>1254</v>
      </c>
      <c r="E369" t="s">
        <v>1257</v>
      </c>
      <c r="F369" t="str">
        <f t="shared" si="1"/>
        <v>Deutsch</v>
      </c>
      <c r="G369" s="32" t="s">
        <v>88</v>
      </c>
      <c r="H369" t="s">
        <v>28070</v>
      </c>
    </row>
    <row r="370" spans="2:8" x14ac:dyDescent="0.25">
      <c r="B370" s="41" t="s">
        <v>1014</v>
      </c>
      <c r="C370" t="s">
        <v>1252</v>
      </c>
      <c r="D370" t="s">
        <v>1254</v>
      </c>
      <c r="E370" t="s">
        <v>1258</v>
      </c>
      <c r="F370" t="str">
        <f t="shared" si="1"/>
        <v>Deutsch</v>
      </c>
      <c r="G370" s="32" t="s">
        <v>88</v>
      </c>
      <c r="H370" t="s">
        <v>28071</v>
      </c>
    </row>
    <row r="371" spans="2:8" x14ac:dyDescent="0.25">
      <c r="B371" s="41" t="s">
        <v>1015</v>
      </c>
      <c r="C371" t="s">
        <v>1252</v>
      </c>
      <c r="D371" t="s">
        <v>1259</v>
      </c>
      <c r="E371"/>
      <c r="F371" t="str">
        <f t="shared" si="1"/>
        <v>Deutsch</v>
      </c>
      <c r="G371" s="32" t="s">
        <v>88</v>
      </c>
      <c r="H371" t="s">
        <v>28072</v>
      </c>
    </row>
    <row r="372" spans="2:8" x14ac:dyDescent="0.25">
      <c r="B372" s="41" t="s">
        <v>1016</v>
      </c>
      <c r="C372" t="s">
        <v>1252</v>
      </c>
      <c r="D372" t="s">
        <v>1259</v>
      </c>
      <c r="E372" t="s">
        <v>1260</v>
      </c>
      <c r="F372" t="str">
        <f t="shared" si="1"/>
        <v>Deutsch</v>
      </c>
      <c r="G372" s="32" t="s">
        <v>88</v>
      </c>
      <c r="H372" t="s">
        <v>28073</v>
      </c>
    </row>
    <row r="373" spans="2:8" x14ac:dyDescent="0.25">
      <c r="B373" s="41" t="s">
        <v>1017</v>
      </c>
      <c r="C373" t="s">
        <v>1252</v>
      </c>
      <c r="D373" t="s">
        <v>1259</v>
      </c>
      <c r="E373" t="s">
        <v>1261</v>
      </c>
      <c r="F373" t="str">
        <f t="shared" si="1"/>
        <v>Deutsch</v>
      </c>
      <c r="G373" s="32" t="s">
        <v>88</v>
      </c>
      <c r="H373" t="s">
        <v>28074</v>
      </c>
    </row>
    <row r="374" spans="2:8" x14ac:dyDescent="0.25">
      <c r="B374" s="41" t="s">
        <v>1018</v>
      </c>
      <c r="C374" t="s">
        <v>1252</v>
      </c>
      <c r="D374" t="s">
        <v>1259</v>
      </c>
      <c r="E374" t="s">
        <v>1262</v>
      </c>
      <c r="F374" t="str">
        <f t="shared" si="1"/>
        <v>Deutsch</v>
      </c>
      <c r="G374" s="32" t="s">
        <v>88</v>
      </c>
      <c r="H374" t="s">
        <v>28075</v>
      </c>
    </row>
    <row r="375" spans="2:8" x14ac:dyDescent="0.25">
      <c r="B375" s="41" t="s">
        <v>1019</v>
      </c>
      <c r="C375" t="s">
        <v>1252</v>
      </c>
      <c r="D375" t="s">
        <v>1259</v>
      </c>
      <c r="E375" t="s">
        <v>1263</v>
      </c>
      <c r="F375" t="str">
        <f t="shared" si="1"/>
        <v>Deutsch</v>
      </c>
      <c r="G375" s="32" t="s">
        <v>88</v>
      </c>
      <c r="H375" t="s">
        <v>28076</v>
      </c>
    </row>
    <row r="376" spans="2:8" x14ac:dyDescent="0.25">
      <c r="B376" s="41" t="s">
        <v>1020</v>
      </c>
      <c r="C376" t="s">
        <v>1252</v>
      </c>
      <c r="D376" t="s">
        <v>1259</v>
      </c>
      <c r="E376" t="s">
        <v>1264</v>
      </c>
      <c r="F376" t="str">
        <f t="shared" si="1"/>
        <v>Deutsch</v>
      </c>
      <c r="G376" s="32" t="s">
        <v>88</v>
      </c>
      <c r="H376" t="s">
        <v>28077</v>
      </c>
    </row>
    <row r="377" spans="2:8" x14ac:dyDescent="0.25">
      <c r="B377" s="41" t="s">
        <v>1021</v>
      </c>
      <c r="C377" t="s">
        <v>1252</v>
      </c>
      <c r="D377" t="s">
        <v>1259</v>
      </c>
      <c r="E377" t="s">
        <v>1265</v>
      </c>
      <c r="F377" t="str">
        <f t="shared" si="1"/>
        <v>Deutsch</v>
      </c>
      <c r="G377" s="32" t="s">
        <v>88</v>
      </c>
      <c r="H377" t="s">
        <v>28078</v>
      </c>
    </row>
    <row r="378" spans="2:8" x14ac:dyDescent="0.25">
      <c r="B378" s="41" t="s">
        <v>1022</v>
      </c>
      <c r="C378" t="s">
        <v>1252</v>
      </c>
      <c r="D378" t="s">
        <v>1259</v>
      </c>
      <c r="E378" t="s">
        <v>1266</v>
      </c>
      <c r="F378" t="str">
        <f t="shared" si="1"/>
        <v>Deutsch</v>
      </c>
      <c r="G378" s="32" t="s">
        <v>88</v>
      </c>
      <c r="H378" t="s">
        <v>28079</v>
      </c>
    </row>
    <row r="379" spans="2:8" x14ac:dyDescent="0.25">
      <c r="B379" s="41" t="s">
        <v>1015</v>
      </c>
      <c r="C379" t="s">
        <v>1252</v>
      </c>
      <c r="D379" t="s">
        <v>1259</v>
      </c>
      <c r="E379" t="s">
        <v>27958</v>
      </c>
      <c r="F379" t="str">
        <f t="shared" si="1"/>
        <v>Deutsch</v>
      </c>
      <c r="G379" s="32" t="s">
        <v>88</v>
      </c>
      <c r="H379" t="s">
        <v>28080</v>
      </c>
    </row>
    <row r="380" spans="2:8" x14ac:dyDescent="0.25">
      <c r="B380" s="41" t="s">
        <v>1023</v>
      </c>
      <c r="C380" t="s">
        <v>1252</v>
      </c>
      <c r="D380" t="s">
        <v>1259</v>
      </c>
      <c r="E380" t="s">
        <v>1267</v>
      </c>
      <c r="F380" t="str">
        <f t="shared" si="1"/>
        <v>Deutsch</v>
      </c>
      <c r="G380" s="32" t="s">
        <v>88</v>
      </c>
      <c r="H380" t="s">
        <v>28081</v>
      </c>
    </row>
    <row r="381" spans="2:8" x14ac:dyDescent="0.25">
      <c r="B381" s="41" t="s">
        <v>1024</v>
      </c>
      <c r="C381" t="s">
        <v>1252</v>
      </c>
      <c r="D381" t="s">
        <v>1259</v>
      </c>
      <c r="E381" t="s">
        <v>1268</v>
      </c>
      <c r="F381" t="str">
        <f t="shared" si="1"/>
        <v>Deutsch</v>
      </c>
      <c r="G381" s="32" t="s">
        <v>88</v>
      </c>
      <c r="H381" t="s">
        <v>28082</v>
      </c>
    </row>
    <row r="382" spans="2:8" x14ac:dyDescent="0.25">
      <c r="B382" s="41" t="s">
        <v>1025</v>
      </c>
      <c r="C382" t="s">
        <v>1252</v>
      </c>
      <c r="D382" t="s">
        <v>1259</v>
      </c>
      <c r="E382" t="s">
        <v>1269</v>
      </c>
      <c r="F382" t="str">
        <f t="shared" si="1"/>
        <v>Deutsch</v>
      </c>
      <c r="G382" s="32" t="s">
        <v>88</v>
      </c>
      <c r="H382" t="s">
        <v>28083</v>
      </c>
    </row>
    <row r="383" spans="2:8" x14ac:dyDescent="0.25">
      <c r="B383" s="41" t="s">
        <v>1026</v>
      </c>
      <c r="C383" t="s">
        <v>1252</v>
      </c>
      <c r="D383" t="s">
        <v>1259</v>
      </c>
      <c r="E383" t="s">
        <v>1270</v>
      </c>
      <c r="F383" t="str">
        <f t="shared" si="1"/>
        <v>Deutsch</v>
      </c>
      <c r="G383" s="32" t="s">
        <v>88</v>
      </c>
      <c r="H383" t="s">
        <v>28084</v>
      </c>
    </row>
    <row r="384" spans="2:8" x14ac:dyDescent="0.25">
      <c r="B384" s="41" t="s">
        <v>1027</v>
      </c>
      <c r="C384" t="s">
        <v>1252</v>
      </c>
      <c r="D384" t="s">
        <v>1259</v>
      </c>
      <c r="E384" t="s">
        <v>1271</v>
      </c>
      <c r="F384" t="str">
        <f t="shared" si="1"/>
        <v>Deutsch</v>
      </c>
      <c r="G384" s="32" t="s">
        <v>88</v>
      </c>
      <c r="H384" t="s">
        <v>28085</v>
      </c>
    </row>
    <row r="385" spans="2:8" x14ac:dyDescent="0.25">
      <c r="B385" s="41" t="s">
        <v>1028</v>
      </c>
      <c r="C385" t="s">
        <v>1252</v>
      </c>
      <c r="D385" t="s">
        <v>1259</v>
      </c>
      <c r="E385" t="s">
        <v>1272</v>
      </c>
      <c r="F385" t="str">
        <f t="shared" si="1"/>
        <v>Deutsch</v>
      </c>
      <c r="G385" s="32" t="s">
        <v>88</v>
      </c>
      <c r="H385" t="s">
        <v>28086</v>
      </c>
    </row>
    <row r="386" spans="2:8" x14ac:dyDescent="0.25">
      <c r="B386" s="41" t="s">
        <v>1029</v>
      </c>
      <c r="C386" t="s">
        <v>1252</v>
      </c>
      <c r="D386" t="s">
        <v>1259</v>
      </c>
      <c r="E386" t="s">
        <v>1273</v>
      </c>
      <c r="F386" t="str">
        <f t="shared" si="1"/>
        <v>Deutsch</v>
      </c>
      <c r="G386" s="32" t="s">
        <v>88</v>
      </c>
      <c r="H386" t="s">
        <v>28087</v>
      </c>
    </row>
    <row r="387" spans="2:8" x14ac:dyDescent="0.25">
      <c r="B387" s="41" t="s">
        <v>1030</v>
      </c>
      <c r="C387" t="s">
        <v>1252</v>
      </c>
      <c r="D387" t="s">
        <v>1259</v>
      </c>
      <c r="E387" t="s">
        <v>1274</v>
      </c>
      <c r="F387" t="str">
        <f t="shared" si="1"/>
        <v>Deutsch</v>
      </c>
      <c r="G387" s="32" t="s">
        <v>88</v>
      </c>
      <c r="H387" t="s">
        <v>28088</v>
      </c>
    </row>
    <row r="388" spans="2:8" x14ac:dyDescent="0.25">
      <c r="B388" s="41" t="s">
        <v>1031</v>
      </c>
      <c r="C388" t="s">
        <v>1252</v>
      </c>
      <c r="D388" t="s">
        <v>1259</v>
      </c>
      <c r="E388" t="s">
        <v>1275</v>
      </c>
      <c r="F388" t="str">
        <f t="shared" ref="F388:F449" si="2">German</f>
        <v>Deutsch</v>
      </c>
      <c r="G388" s="32" t="s">
        <v>88</v>
      </c>
      <c r="H388" t="s">
        <v>28089</v>
      </c>
    </row>
    <row r="389" spans="2:8" x14ac:dyDescent="0.25">
      <c r="B389" s="41" t="s">
        <v>1032</v>
      </c>
      <c r="C389" t="s">
        <v>1252</v>
      </c>
      <c r="D389" t="s">
        <v>1259</v>
      </c>
      <c r="E389" t="s">
        <v>1276</v>
      </c>
      <c r="F389" t="str">
        <f t="shared" si="2"/>
        <v>Deutsch</v>
      </c>
      <c r="G389" s="32" t="s">
        <v>88</v>
      </c>
      <c r="H389" t="s">
        <v>28090</v>
      </c>
    </row>
    <row r="390" spans="2:8" x14ac:dyDescent="0.25">
      <c r="B390" s="41" t="s">
        <v>1033</v>
      </c>
      <c r="C390" t="s">
        <v>1252</v>
      </c>
      <c r="D390" t="s">
        <v>1259</v>
      </c>
      <c r="E390" t="s">
        <v>1277</v>
      </c>
      <c r="F390" t="str">
        <f t="shared" si="2"/>
        <v>Deutsch</v>
      </c>
      <c r="G390" s="32" t="s">
        <v>88</v>
      </c>
      <c r="H390" t="s">
        <v>28091</v>
      </c>
    </row>
    <row r="391" spans="2:8" x14ac:dyDescent="0.25">
      <c r="B391" s="41" t="s">
        <v>1034</v>
      </c>
      <c r="C391" t="s">
        <v>1252</v>
      </c>
      <c r="D391" t="s">
        <v>1259</v>
      </c>
      <c r="E391" t="s">
        <v>1278</v>
      </c>
      <c r="F391" t="str">
        <f t="shared" si="2"/>
        <v>Deutsch</v>
      </c>
      <c r="G391" s="32" t="s">
        <v>88</v>
      </c>
      <c r="H391" t="s">
        <v>28092</v>
      </c>
    </row>
    <row r="392" spans="2:8" x14ac:dyDescent="0.25">
      <c r="B392" s="41" t="s">
        <v>1035</v>
      </c>
      <c r="C392" t="s">
        <v>1252</v>
      </c>
      <c r="D392" t="s">
        <v>1259</v>
      </c>
      <c r="E392" t="s">
        <v>1279</v>
      </c>
      <c r="F392" t="str">
        <f t="shared" si="2"/>
        <v>Deutsch</v>
      </c>
      <c r="G392" s="32" t="s">
        <v>88</v>
      </c>
      <c r="H392" t="s">
        <v>28093</v>
      </c>
    </row>
    <row r="393" spans="2:8" x14ac:dyDescent="0.25">
      <c r="B393" s="41" t="s">
        <v>1036</v>
      </c>
      <c r="C393" t="s">
        <v>1252</v>
      </c>
      <c r="D393" t="s">
        <v>1259</v>
      </c>
      <c r="E393" t="s">
        <v>1280</v>
      </c>
      <c r="F393" t="str">
        <f t="shared" si="2"/>
        <v>Deutsch</v>
      </c>
      <c r="G393" s="32" t="s">
        <v>88</v>
      </c>
      <c r="H393" t="s">
        <v>28094</v>
      </c>
    </row>
    <row r="394" spans="2:8" x14ac:dyDescent="0.25">
      <c r="B394" s="41" t="s">
        <v>1037</v>
      </c>
      <c r="C394" t="s">
        <v>1252</v>
      </c>
      <c r="D394" t="s">
        <v>1281</v>
      </c>
      <c r="E394"/>
      <c r="F394" t="str">
        <f t="shared" si="2"/>
        <v>Deutsch</v>
      </c>
      <c r="G394" s="32" t="s">
        <v>88</v>
      </c>
      <c r="H394" t="s">
        <v>28095</v>
      </c>
    </row>
    <row r="395" spans="2:8" x14ac:dyDescent="0.25">
      <c r="B395" s="41" t="s">
        <v>1037</v>
      </c>
      <c r="C395" t="s">
        <v>1252</v>
      </c>
      <c r="D395" t="s">
        <v>1281</v>
      </c>
      <c r="E395" t="s">
        <v>1282</v>
      </c>
      <c r="F395" t="str">
        <f t="shared" si="2"/>
        <v>Deutsch</v>
      </c>
      <c r="G395" s="32" t="s">
        <v>88</v>
      </c>
      <c r="H395" t="s">
        <v>28096</v>
      </c>
    </row>
    <row r="396" spans="2:8" x14ac:dyDescent="0.25">
      <c r="B396" s="41" t="s">
        <v>1038</v>
      </c>
      <c r="C396" t="s">
        <v>1252</v>
      </c>
      <c r="D396" t="s">
        <v>1281</v>
      </c>
      <c r="E396" t="s">
        <v>1283</v>
      </c>
      <c r="F396" t="str">
        <f t="shared" si="2"/>
        <v>Deutsch</v>
      </c>
      <c r="G396" s="32" t="s">
        <v>88</v>
      </c>
      <c r="H396" t="s">
        <v>28097</v>
      </c>
    </row>
    <row r="397" spans="2:8" x14ac:dyDescent="0.25">
      <c r="B397" s="41" t="s">
        <v>1039</v>
      </c>
      <c r="C397" t="s">
        <v>1284</v>
      </c>
      <c r="D397" t="s">
        <v>1285</v>
      </c>
      <c r="E397" t="s">
        <v>1286</v>
      </c>
      <c r="F397" t="str">
        <f t="shared" si="2"/>
        <v>Deutsch</v>
      </c>
      <c r="G397" s="32" t="s">
        <v>88</v>
      </c>
      <c r="H397" t="s">
        <v>28098</v>
      </c>
    </row>
    <row r="398" spans="2:8" x14ac:dyDescent="0.25">
      <c r="B398" s="41" t="s">
        <v>1040</v>
      </c>
      <c r="C398" t="s">
        <v>1284</v>
      </c>
      <c r="D398" t="s">
        <v>1285</v>
      </c>
      <c r="E398" t="s">
        <v>1287</v>
      </c>
      <c r="F398" t="str">
        <f t="shared" si="2"/>
        <v>Deutsch</v>
      </c>
      <c r="G398" s="32" t="s">
        <v>88</v>
      </c>
      <c r="H398" t="s">
        <v>28099</v>
      </c>
    </row>
    <row r="399" spans="2:8" x14ac:dyDescent="0.25">
      <c r="B399" s="41" t="s">
        <v>1041</v>
      </c>
      <c r="C399" t="s">
        <v>1284</v>
      </c>
      <c r="D399" t="s">
        <v>1285</v>
      </c>
      <c r="E399" t="s">
        <v>1288</v>
      </c>
      <c r="F399" t="str">
        <f t="shared" si="2"/>
        <v>Deutsch</v>
      </c>
      <c r="G399" s="32" t="s">
        <v>88</v>
      </c>
      <c r="H399" t="s">
        <v>28100</v>
      </c>
    </row>
    <row r="400" spans="2:8" x14ac:dyDescent="0.25">
      <c r="B400" s="41" t="s">
        <v>1042</v>
      </c>
      <c r="C400" t="s">
        <v>1284</v>
      </c>
      <c r="D400" t="s">
        <v>1285</v>
      </c>
      <c r="E400" t="s">
        <v>1289</v>
      </c>
      <c r="F400" t="str">
        <f t="shared" si="2"/>
        <v>Deutsch</v>
      </c>
      <c r="G400" s="32" t="s">
        <v>88</v>
      </c>
      <c r="H400" t="s">
        <v>28101</v>
      </c>
    </row>
    <row r="401" spans="2:8" x14ac:dyDescent="0.25">
      <c r="B401" s="41" t="s">
        <v>1043</v>
      </c>
      <c r="C401" t="s">
        <v>1284</v>
      </c>
      <c r="D401" t="s">
        <v>1285</v>
      </c>
      <c r="E401" t="s">
        <v>1290</v>
      </c>
      <c r="F401" t="str">
        <f t="shared" si="2"/>
        <v>Deutsch</v>
      </c>
      <c r="G401" s="32" t="s">
        <v>88</v>
      </c>
      <c r="H401" t="s">
        <v>28102</v>
      </c>
    </row>
    <row r="402" spans="2:8" x14ac:dyDescent="0.25">
      <c r="B402" s="41" t="s">
        <v>1044</v>
      </c>
      <c r="C402" t="s">
        <v>1284</v>
      </c>
      <c r="D402" t="s">
        <v>1285</v>
      </c>
      <c r="E402" t="s">
        <v>27885</v>
      </c>
      <c r="F402" t="str">
        <f t="shared" si="2"/>
        <v>Deutsch</v>
      </c>
      <c r="G402" s="32" t="s">
        <v>88</v>
      </c>
      <c r="H402" t="s">
        <v>28103</v>
      </c>
    </row>
    <row r="403" spans="2:8" x14ac:dyDescent="0.25">
      <c r="B403" s="41" t="s">
        <v>1045</v>
      </c>
      <c r="C403" t="s">
        <v>1284</v>
      </c>
      <c r="D403" t="s">
        <v>1285</v>
      </c>
      <c r="E403" t="s">
        <v>1291</v>
      </c>
      <c r="F403" t="str">
        <f t="shared" si="2"/>
        <v>Deutsch</v>
      </c>
      <c r="G403" s="32" t="s">
        <v>88</v>
      </c>
      <c r="H403" t="s">
        <v>28104</v>
      </c>
    </row>
    <row r="404" spans="2:8" x14ac:dyDescent="0.25">
      <c r="B404" s="41" t="s">
        <v>1046</v>
      </c>
      <c r="C404" t="s">
        <v>1284</v>
      </c>
      <c r="D404" t="s">
        <v>1285</v>
      </c>
      <c r="E404" t="s">
        <v>27886</v>
      </c>
      <c r="F404" t="str">
        <f t="shared" si="2"/>
        <v>Deutsch</v>
      </c>
      <c r="G404" s="32" t="s">
        <v>88</v>
      </c>
      <c r="H404" t="s">
        <v>28105</v>
      </c>
    </row>
    <row r="405" spans="2:8" x14ac:dyDescent="0.25">
      <c r="B405" s="41" t="s">
        <v>1045</v>
      </c>
      <c r="C405" t="s">
        <v>1284</v>
      </c>
      <c r="D405" t="s">
        <v>1285</v>
      </c>
      <c r="E405" t="s">
        <v>1292</v>
      </c>
      <c r="F405" t="str">
        <f t="shared" si="2"/>
        <v>Deutsch</v>
      </c>
      <c r="G405" s="32" t="s">
        <v>88</v>
      </c>
      <c r="H405" t="s">
        <v>28106</v>
      </c>
    </row>
    <row r="406" spans="2:8" x14ac:dyDescent="0.25">
      <c r="B406" s="41" t="s">
        <v>1047</v>
      </c>
      <c r="C406" t="s">
        <v>1284</v>
      </c>
      <c r="D406" t="s">
        <v>1285</v>
      </c>
      <c r="E406" t="s">
        <v>1293</v>
      </c>
      <c r="F406" t="str">
        <f t="shared" si="2"/>
        <v>Deutsch</v>
      </c>
      <c r="G406" s="32" t="s">
        <v>88</v>
      </c>
      <c r="H406" t="s">
        <v>28107</v>
      </c>
    </row>
    <row r="407" spans="2:8" x14ac:dyDescent="0.25">
      <c r="B407" s="41" t="s">
        <v>1048</v>
      </c>
      <c r="C407" t="s">
        <v>1284</v>
      </c>
      <c r="D407" t="s">
        <v>1285</v>
      </c>
      <c r="E407" t="s">
        <v>1294</v>
      </c>
      <c r="F407" t="str">
        <f t="shared" si="2"/>
        <v>Deutsch</v>
      </c>
      <c r="G407" s="32" t="s">
        <v>88</v>
      </c>
      <c r="H407" t="s">
        <v>28108</v>
      </c>
    </row>
    <row r="408" spans="2:8" x14ac:dyDescent="0.25">
      <c r="B408" s="41" t="s">
        <v>1049</v>
      </c>
      <c r="C408" t="s">
        <v>1284</v>
      </c>
      <c r="D408" t="s">
        <v>1295</v>
      </c>
      <c r="E408"/>
      <c r="F408" t="str">
        <f t="shared" si="2"/>
        <v>Deutsch</v>
      </c>
      <c r="G408" s="32" t="s">
        <v>88</v>
      </c>
      <c r="H408" t="s">
        <v>28109</v>
      </c>
    </row>
    <row r="409" spans="2:8" x14ac:dyDescent="0.25">
      <c r="B409" s="41" t="s">
        <v>1050</v>
      </c>
      <c r="C409" t="s">
        <v>1284</v>
      </c>
      <c r="D409" t="s">
        <v>1295</v>
      </c>
      <c r="E409" t="s">
        <v>1296</v>
      </c>
      <c r="F409" t="str">
        <f t="shared" si="2"/>
        <v>Deutsch</v>
      </c>
      <c r="G409" s="32" t="s">
        <v>88</v>
      </c>
      <c r="H409" t="s">
        <v>28110</v>
      </c>
    </row>
    <row r="410" spans="2:8" x14ac:dyDescent="0.25">
      <c r="B410" s="41" t="s">
        <v>1051</v>
      </c>
      <c r="C410" t="s">
        <v>1284</v>
      </c>
      <c r="D410" t="s">
        <v>1295</v>
      </c>
      <c r="E410" t="s">
        <v>28210</v>
      </c>
      <c r="F410" t="str">
        <f t="shared" si="2"/>
        <v>Deutsch</v>
      </c>
      <c r="G410" s="32" t="s">
        <v>1052</v>
      </c>
      <c r="H410" t="s">
        <v>28111</v>
      </c>
    </row>
    <row r="411" spans="2:8" x14ac:dyDescent="0.25">
      <c r="B411" s="41" t="s">
        <v>1049</v>
      </c>
      <c r="C411" t="s">
        <v>1284</v>
      </c>
      <c r="D411" t="s">
        <v>1295</v>
      </c>
      <c r="E411" t="s">
        <v>1297</v>
      </c>
      <c r="F411" t="str">
        <f t="shared" si="2"/>
        <v>Deutsch</v>
      </c>
      <c r="G411" s="32" t="s">
        <v>88</v>
      </c>
      <c r="H411" t="s">
        <v>28112</v>
      </c>
    </row>
    <row r="412" spans="2:8" x14ac:dyDescent="0.25">
      <c r="B412" s="41" t="s">
        <v>1053</v>
      </c>
      <c r="C412" t="s">
        <v>1284</v>
      </c>
      <c r="D412" t="s">
        <v>1298</v>
      </c>
      <c r="E412"/>
      <c r="F412" t="str">
        <f t="shared" si="2"/>
        <v>Deutsch</v>
      </c>
      <c r="G412" s="32" t="s">
        <v>88</v>
      </c>
      <c r="H412" t="s">
        <v>28113</v>
      </c>
    </row>
    <row r="413" spans="2:8" x14ac:dyDescent="0.25">
      <c r="B413" s="41" t="s">
        <v>1054</v>
      </c>
      <c r="C413" t="s">
        <v>1284</v>
      </c>
      <c r="D413" t="s">
        <v>1298</v>
      </c>
      <c r="E413" t="s">
        <v>1299</v>
      </c>
      <c r="F413" t="str">
        <f t="shared" si="2"/>
        <v>Deutsch</v>
      </c>
      <c r="G413" s="32" t="s">
        <v>88</v>
      </c>
      <c r="H413" t="s">
        <v>28114</v>
      </c>
    </row>
    <row r="414" spans="2:8" x14ac:dyDescent="0.25">
      <c r="B414" s="41" t="s">
        <v>1055</v>
      </c>
      <c r="C414" t="s">
        <v>1284</v>
      </c>
      <c r="D414" t="s">
        <v>1298</v>
      </c>
      <c r="E414" t="s">
        <v>1300</v>
      </c>
      <c r="F414" t="str">
        <f t="shared" si="2"/>
        <v>Deutsch</v>
      </c>
      <c r="G414" s="32" t="s">
        <v>88</v>
      </c>
      <c r="H414" t="s">
        <v>28115</v>
      </c>
    </row>
    <row r="415" spans="2:8" x14ac:dyDescent="0.25">
      <c r="B415" s="41" t="s">
        <v>1053</v>
      </c>
      <c r="C415" t="s">
        <v>1284</v>
      </c>
      <c r="D415" t="s">
        <v>1298</v>
      </c>
      <c r="E415" t="s">
        <v>1301</v>
      </c>
      <c r="F415" t="str">
        <f t="shared" si="2"/>
        <v>Deutsch</v>
      </c>
      <c r="G415" s="32" t="s">
        <v>88</v>
      </c>
      <c r="H415" t="s">
        <v>28116</v>
      </c>
    </row>
    <row r="416" spans="2:8" x14ac:dyDescent="0.25">
      <c r="B416" s="41" t="s">
        <v>1056</v>
      </c>
      <c r="C416" t="s">
        <v>1284</v>
      </c>
      <c r="D416" t="s">
        <v>1302</v>
      </c>
      <c r="E416"/>
      <c r="F416" t="str">
        <f t="shared" si="2"/>
        <v>Deutsch</v>
      </c>
      <c r="G416" s="32" t="s">
        <v>88</v>
      </c>
      <c r="H416" t="s">
        <v>28117</v>
      </c>
    </row>
    <row r="417" spans="2:8" x14ac:dyDescent="0.25">
      <c r="B417" s="41" t="s">
        <v>1056</v>
      </c>
      <c r="C417" t="s">
        <v>1284</v>
      </c>
      <c r="D417" t="s">
        <v>1302</v>
      </c>
      <c r="E417" t="s">
        <v>1303</v>
      </c>
      <c r="F417" t="str">
        <f t="shared" si="2"/>
        <v>Deutsch</v>
      </c>
      <c r="G417" s="32" t="s">
        <v>88</v>
      </c>
      <c r="H417" t="s">
        <v>28118</v>
      </c>
    </row>
    <row r="418" spans="2:8" x14ac:dyDescent="0.25">
      <c r="B418" s="41" t="s">
        <v>1057</v>
      </c>
      <c r="C418" t="s">
        <v>1284</v>
      </c>
      <c r="D418" t="s">
        <v>1302</v>
      </c>
      <c r="E418" t="s">
        <v>1304</v>
      </c>
      <c r="F418" t="str">
        <f t="shared" si="2"/>
        <v>Deutsch</v>
      </c>
      <c r="G418" s="32" t="s">
        <v>88</v>
      </c>
      <c r="H418" t="s">
        <v>28119</v>
      </c>
    </row>
    <row r="419" spans="2:8" x14ac:dyDescent="0.25">
      <c r="B419" s="41" t="s">
        <v>1058</v>
      </c>
      <c r="C419" t="s">
        <v>1284</v>
      </c>
      <c r="D419" t="s">
        <v>1305</v>
      </c>
      <c r="E419"/>
      <c r="F419" t="str">
        <f t="shared" si="2"/>
        <v>Deutsch</v>
      </c>
      <c r="G419" s="32" t="s">
        <v>88</v>
      </c>
      <c r="H419" t="s">
        <v>28120</v>
      </c>
    </row>
    <row r="420" spans="2:8" x14ac:dyDescent="0.25">
      <c r="B420" s="41" t="s">
        <v>1059</v>
      </c>
      <c r="C420" t="s">
        <v>1284</v>
      </c>
      <c r="D420" t="s">
        <v>1307</v>
      </c>
      <c r="E420"/>
      <c r="F420" t="str">
        <f t="shared" si="2"/>
        <v>Deutsch</v>
      </c>
      <c r="G420" s="32" t="s">
        <v>88</v>
      </c>
      <c r="H420" t="s">
        <v>28121</v>
      </c>
    </row>
    <row r="421" spans="2:8" x14ac:dyDescent="0.25">
      <c r="B421" s="41" t="s">
        <v>1060</v>
      </c>
      <c r="C421" t="s">
        <v>1284</v>
      </c>
      <c r="D421" t="s">
        <v>1307</v>
      </c>
      <c r="E421" t="s">
        <v>1308</v>
      </c>
      <c r="F421" t="str">
        <f t="shared" si="2"/>
        <v>Deutsch</v>
      </c>
      <c r="G421" s="32" t="s">
        <v>88</v>
      </c>
      <c r="H421" t="s">
        <v>28122</v>
      </c>
    </row>
    <row r="422" spans="2:8" x14ac:dyDescent="0.25">
      <c r="B422" s="41" t="s">
        <v>1061</v>
      </c>
      <c r="C422" t="s">
        <v>1284</v>
      </c>
      <c r="D422" t="s">
        <v>1307</v>
      </c>
      <c r="E422" t="s">
        <v>28211</v>
      </c>
      <c r="F422" t="str">
        <f t="shared" si="2"/>
        <v>Deutsch</v>
      </c>
      <c r="G422" s="32" t="s">
        <v>88</v>
      </c>
      <c r="H422" t="s">
        <v>28123</v>
      </c>
    </row>
    <row r="423" spans="2:8" x14ac:dyDescent="0.25">
      <c r="B423" s="41" t="s">
        <v>1059</v>
      </c>
      <c r="C423" t="s">
        <v>1284</v>
      </c>
      <c r="D423" t="s">
        <v>1307</v>
      </c>
      <c r="E423" t="s">
        <v>1309</v>
      </c>
      <c r="F423" t="str">
        <f t="shared" si="2"/>
        <v>Deutsch</v>
      </c>
      <c r="G423" s="32" t="s">
        <v>88</v>
      </c>
      <c r="H423" t="s">
        <v>28124</v>
      </c>
    </row>
    <row r="424" spans="2:8" x14ac:dyDescent="0.25">
      <c r="B424" s="41" t="s">
        <v>1062</v>
      </c>
      <c r="C424" t="s">
        <v>415</v>
      </c>
      <c r="D424" t="s">
        <v>1310</v>
      </c>
      <c r="E424"/>
      <c r="F424" t="str">
        <f t="shared" si="2"/>
        <v>Deutsch</v>
      </c>
      <c r="G424" s="32" t="s">
        <v>88</v>
      </c>
      <c r="H424" t="s">
        <v>28125</v>
      </c>
    </row>
    <row r="425" spans="2:8" x14ac:dyDescent="0.25">
      <c r="B425" s="41" t="s">
        <v>1062</v>
      </c>
      <c r="C425" t="s">
        <v>415</v>
      </c>
      <c r="D425" t="s">
        <v>1310</v>
      </c>
      <c r="E425" t="s">
        <v>1311</v>
      </c>
      <c r="F425" t="str">
        <f t="shared" si="2"/>
        <v>Deutsch</v>
      </c>
      <c r="G425" s="32" t="s">
        <v>88</v>
      </c>
      <c r="H425" t="s">
        <v>28126</v>
      </c>
    </row>
    <row r="426" spans="2:8" x14ac:dyDescent="0.25">
      <c r="B426" s="41" t="s">
        <v>1063</v>
      </c>
      <c r="C426" t="s">
        <v>415</v>
      </c>
      <c r="D426" t="s">
        <v>1312</v>
      </c>
      <c r="E426"/>
      <c r="F426" t="str">
        <f t="shared" si="2"/>
        <v>Deutsch</v>
      </c>
      <c r="G426" s="32" t="s">
        <v>88</v>
      </c>
      <c r="H426" t="s">
        <v>28127</v>
      </c>
    </row>
    <row r="427" spans="2:8" x14ac:dyDescent="0.25">
      <c r="B427" s="41" t="s">
        <v>1059</v>
      </c>
      <c r="C427" t="s">
        <v>415</v>
      </c>
      <c r="D427" t="s">
        <v>1312</v>
      </c>
      <c r="E427" t="s">
        <v>1309</v>
      </c>
      <c r="F427" t="str">
        <f t="shared" si="2"/>
        <v>Deutsch</v>
      </c>
      <c r="G427" s="32" t="s">
        <v>88</v>
      </c>
      <c r="H427" t="s">
        <v>28128</v>
      </c>
    </row>
    <row r="428" spans="2:8" x14ac:dyDescent="0.25">
      <c r="B428" s="41" t="s">
        <v>1064</v>
      </c>
      <c r="C428" t="s">
        <v>415</v>
      </c>
      <c r="D428" t="s">
        <v>1312</v>
      </c>
      <c r="E428" t="s">
        <v>28212</v>
      </c>
      <c r="F428" t="str">
        <f t="shared" si="2"/>
        <v>Deutsch</v>
      </c>
      <c r="G428" s="32" t="s">
        <v>88</v>
      </c>
      <c r="H428" t="s">
        <v>28129</v>
      </c>
    </row>
    <row r="429" spans="2:8" x14ac:dyDescent="0.25">
      <c r="B429" s="41" t="s">
        <v>1065</v>
      </c>
      <c r="C429" t="s">
        <v>415</v>
      </c>
      <c r="D429" t="s">
        <v>1313</v>
      </c>
      <c r="E429"/>
      <c r="F429" t="str">
        <f t="shared" si="2"/>
        <v>Deutsch</v>
      </c>
      <c r="G429" s="32" t="s">
        <v>88</v>
      </c>
      <c r="H429" t="s">
        <v>28130</v>
      </c>
    </row>
    <row r="430" spans="2:8" x14ac:dyDescent="0.25">
      <c r="B430" s="41" t="s">
        <v>1066</v>
      </c>
      <c r="C430" t="s">
        <v>415</v>
      </c>
      <c r="D430" t="s">
        <v>1313</v>
      </c>
      <c r="E430" t="s">
        <v>1314</v>
      </c>
      <c r="F430" t="str">
        <f t="shared" si="2"/>
        <v>Deutsch</v>
      </c>
      <c r="G430" s="32" t="s">
        <v>88</v>
      </c>
      <c r="H430" t="s">
        <v>28131</v>
      </c>
    </row>
    <row r="431" spans="2:8" x14ac:dyDescent="0.25">
      <c r="B431" s="41" t="s">
        <v>1067</v>
      </c>
      <c r="C431" t="s">
        <v>415</v>
      </c>
      <c r="D431" t="s">
        <v>1313</v>
      </c>
      <c r="E431" t="s">
        <v>1315</v>
      </c>
      <c r="F431" t="str">
        <f t="shared" si="2"/>
        <v>Deutsch</v>
      </c>
      <c r="G431" s="32" t="s">
        <v>88</v>
      </c>
      <c r="H431" t="s">
        <v>28132</v>
      </c>
    </row>
    <row r="432" spans="2:8" x14ac:dyDescent="0.25">
      <c r="B432" s="41" t="s">
        <v>1065</v>
      </c>
      <c r="C432" t="s">
        <v>415</v>
      </c>
      <c r="D432" t="s">
        <v>1313</v>
      </c>
      <c r="E432" t="s">
        <v>1316</v>
      </c>
      <c r="F432" t="str">
        <f t="shared" si="2"/>
        <v>Deutsch</v>
      </c>
      <c r="G432" s="32" t="s">
        <v>88</v>
      </c>
      <c r="H432" t="s">
        <v>28133</v>
      </c>
    </row>
    <row r="433" spans="2:8" x14ac:dyDescent="0.25">
      <c r="B433" s="41" t="s">
        <v>1068</v>
      </c>
      <c r="C433" t="s">
        <v>415</v>
      </c>
      <c r="D433" t="s">
        <v>1317</v>
      </c>
      <c r="E433"/>
      <c r="F433" t="str">
        <f t="shared" si="2"/>
        <v>Deutsch</v>
      </c>
      <c r="G433" s="32" t="s">
        <v>88</v>
      </c>
      <c r="H433" t="s">
        <v>28134</v>
      </c>
    </row>
    <row r="434" spans="2:8" x14ac:dyDescent="0.25">
      <c r="B434" s="41" t="s">
        <v>1069</v>
      </c>
      <c r="C434" t="s">
        <v>415</v>
      </c>
      <c r="D434" t="s">
        <v>1317</v>
      </c>
      <c r="E434" t="s">
        <v>1318</v>
      </c>
      <c r="F434" t="str">
        <f t="shared" si="2"/>
        <v>Deutsch</v>
      </c>
      <c r="G434" s="32" t="s">
        <v>88</v>
      </c>
      <c r="H434" t="s">
        <v>28135</v>
      </c>
    </row>
    <row r="435" spans="2:8" x14ac:dyDescent="0.25">
      <c r="B435" s="41" t="s">
        <v>1068</v>
      </c>
      <c r="C435" t="s">
        <v>415</v>
      </c>
      <c r="D435" t="s">
        <v>1317</v>
      </c>
      <c r="E435" t="s">
        <v>1319</v>
      </c>
      <c r="F435" t="str">
        <f t="shared" si="2"/>
        <v>Deutsch</v>
      </c>
      <c r="G435" s="32" t="s">
        <v>88</v>
      </c>
      <c r="H435" t="s">
        <v>28136</v>
      </c>
    </row>
    <row r="436" spans="2:8" x14ac:dyDescent="0.25">
      <c r="B436" s="41" t="s">
        <v>1070</v>
      </c>
      <c r="C436" t="s">
        <v>454</v>
      </c>
      <c r="D436" t="s">
        <v>1320</v>
      </c>
      <c r="E436"/>
      <c r="F436" t="str">
        <f t="shared" si="2"/>
        <v>Deutsch</v>
      </c>
      <c r="G436" s="32" t="s">
        <v>88</v>
      </c>
      <c r="H436" t="s">
        <v>28137</v>
      </c>
    </row>
    <row r="437" spans="2:8" x14ac:dyDescent="0.25">
      <c r="B437" s="41" t="s">
        <v>1071</v>
      </c>
      <c r="C437" t="s">
        <v>454</v>
      </c>
      <c r="D437" t="s">
        <v>1320</v>
      </c>
      <c r="E437" t="s">
        <v>1321</v>
      </c>
      <c r="F437" t="str">
        <f t="shared" si="2"/>
        <v>Deutsch</v>
      </c>
      <c r="G437" s="32" t="s">
        <v>88</v>
      </c>
      <c r="H437" t="s">
        <v>28138</v>
      </c>
    </row>
    <row r="438" spans="2:8" x14ac:dyDescent="0.25">
      <c r="B438" s="41" t="s">
        <v>1070</v>
      </c>
      <c r="C438" t="s">
        <v>454</v>
      </c>
      <c r="D438" t="s">
        <v>1320</v>
      </c>
      <c r="E438" t="s">
        <v>1322</v>
      </c>
      <c r="F438" t="str">
        <f t="shared" si="2"/>
        <v>Deutsch</v>
      </c>
      <c r="G438" s="32" t="s">
        <v>88</v>
      </c>
      <c r="H438" t="s">
        <v>28139</v>
      </c>
    </row>
    <row r="439" spans="2:8" x14ac:dyDescent="0.25">
      <c r="B439" s="41" t="s">
        <v>1072</v>
      </c>
      <c r="C439" t="s">
        <v>454</v>
      </c>
      <c r="D439" t="s">
        <v>1320</v>
      </c>
      <c r="E439" t="s">
        <v>28419</v>
      </c>
      <c r="F439" t="str">
        <f t="shared" si="2"/>
        <v>Deutsch</v>
      </c>
      <c r="G439" s="32" t="s">
        <v>88</v>
      </c>
      <c r="H439" t="s">
        <v>28140</v>
      </c>
    </row>
    <row r="440" spans="2:8" x14ac:dyDescent="0.25">
      <c r="B440" s="41" t="s">
        <v>1073</v>
      </c>
      <c r="C440" t="s">
        <v>454</v>
      </c>
      <c r="D440" t="s">
        <v>1320</v>
      </c>
      <c r="E440" t="s">
        <v>1323</v>
      </c>
      <c r="F440" t="str">
        <f t="shared" si="2"/>
        <v>Deutsch</v>
      </c>
      <c r="G440" s="32" t="s">
        <v>88</v>
      </c>
      <c r="H440" t="s">
        <v>28141</v>
      </c>
    </row>
    <row r="441" spans="2:8" x14ac:dyDescent="0.25">
      <c r="B441" s="41" t="s">
        <v>1074</v>
      </c>
      <c r="C441" t="s">
        <v>454</v>
      </c>
      <c r="D441" t="s">
        <v>1320</v>
      </c>
      <c r="E441" t="s">
        <v>1324</v>
      </c>
      <c r="F441" t="str">
        <f t="shared" si="2"/>
        <v>Deutsch</v>
      </c>
      <c r="G441" s="32" t="s">
        <v>88</v>
      </c>
      <c r="H441" t="s">
        <v>28142</v>
      </c>
    </row>
    <row r="442" spans="2:8" x14ac:dyDescent="0.25">
      <c r="B442" s="41" t="s">
        <v>1075</v>
      </c>
      <c r="C442" t="s">
        <v>454</v>
      </c>
      <c r="D442" t="s">
        <v>1320</v>
      </c>
      <c r="E442" t="s">
        <v>1325</v>
      </c>
      <c r="F442" t="str">
        <f t="shared" si="2"/>
        <v>Deutsch</v>
      </c>
      <c r="G442" s="32" t="s">
        <v>88</v>
      </c>
      <c r="H442" t="s">
        <v>28143</v>
      </c>
    </row>
    <row r="443" spans="2:8" x14ac:dyDescent="0.25">
      <c r="B443" s="41" t="s">
        <v>1076</v>
      </c>
      <c r="C443" t="s">
        <v>454</v>
      </c>
      <c r="D443" t="s">
        <v>1320</v>
      </c>
      <c r="E443" t="s">
        <v>1326</v>
      </c>
      <c r="F443" t="str">
        <f t="shared" si="2"/>
        <v>Deutsch</v>
      </c>
      <c r="G443" s="32" t="s">
        <v>88</v>
      </c>
      <c r="H443" t="s">
        <v>28144</v>
      </c>
    </row>
    <row r="444" spans="2:8" x14ac:dyDescent="0.25">
      <c r="B444" s="41" t="s">
        <v>1077</v>
      </c>
      <c r="C444" t="s">
        <v>454</v>
      </c>
      <c r="D444" t="s">
        <v>1320</v>
      </c>
      <c r="E444" t="s">
        <v>1327</v>
      </c>
      <c r="F444" t="str">
        <f t="shared" si="2"/>
        <v>Deutsch</v>
      </c>
      <c r="G444" s="32" t="s">
        <v>88</v>
      </c>
      <c r="H444" t="s">
        <v>28145</v>
      </c>
    </row>
    <row r="445" spans="2:8" x14ac:dyDescent="0.25">
      <c r="B445" s="41" t="s">
        <v>1078</v>
      </c>
      <c r="C445" t="s">
        <v>454</v>
      </c>
      <c r="D445" t="s">
        <v>1328</v>
      </c>
      <c r="E445"/>
      <c r="F445" t="str">
        <f t="shared" si="2"/>
        <v>Deutsch</v>
      </c>
      <c r="G445" s="32" t="s">
        <v>88</v>
      </c>
      <c r="H445" t="s">
        <v>28146</v>
      </c>
    </row>
    <row r="446" spans="2:8" x14ac:dyDescent="0.25">
      <c r="B446" s="41" t="s">
        <v>1079</v>
      </c>
      <c r="C446" t="s">
        <v>454</v>
      </c>
      <c r="D446" t="s">
        <v>1328</v>
      </c>
      <c r="E446" t="s">
        <v>1329</v>
      </c>
      <c r="F446" t="str">
        <f t="shared" si="2"/>
        <v>Deutsch</v>
      </c>
      <c r="G446" s="32" t="s">
        <v>88</v>
      </c>
      <c r="H446" t="s">
        <v>28147</v>
      </c>
    </row>
    <row r="447" spans="2:8" x14ac:dyDescent="0.25">
      <c r="B447" s="41" t="s">
        <v>1080</v>
      </c>
      <c r="C447" t="s">
        <v>454</v>
      </c>
      <c r="D447" t="s">
        <v>1328</v>
      </c>
      <c r="E447" t="s">
        <v>1330</v>
      </c>
      <c r="F447" t="str">
        <f t="shared" si="2"/>
        <v>Deutsch</v>
      </c>
      <c r="G447" s="32" t="s">
        <v>88</v>
      </c>
      <c r="H447" t="s">
        <v>28148</v>
      </c>
    </row>
    <row r="448" spans="2:8" x14ac:dyDescent="0.25">
      <c r="B448" s="41" t="s">
        <v>1081</v>
      </c>
      <c r="C448" t="s">
        <v>454</v>
      </c>
      <c r="D448" t="s">
        <v>1328</v>
      </c>
      <c r="E448" t="s">
        <v>1331</v>
      </c>
      <c r="F448" t="str">
        <f t="shared" si="2"/>
        <v>Deutsch</v>
      </c>
      <c r="G448" s="32" t="s">
        <v>88</v>
      </c>
      <c r="H448" t="s">
        <v>28149</v>
      </c>
    </row>
    <row r="449" spans="2:8" x14ac:dyDescent="0.25">
      <c r="B449" s="41" t="s">
        <v>1082</v>
      </c>
      <c r="C449" t="s">
        <v>454</v>
      </c>
      <c r="D449" t="s">
        <v>1328</v>
      </c>
      <c r="E449" t="s">
        <v>1332</v>
      </c>
      <c r="F449" t="str">
        <f t="shared" si="2"/>
        <v>Deutsch</v>
      </c>
      <c r="G449" s="32" t="s">
        <v>88</v>
      </c>
      <c r="H449" t="s">
        <v>28150</v>
      </c>
    </row>
    <row r="450" spans="2:8" x14ac:dyDescent="0.25">
      <c r="B450" s="41" t="s">
        <v>1083</v>
      </c>
      <c r="C450" t="s">
        <v>454</v>
      </c>
      <c r="D450" t="s">
        <v>1328</v>
      </c>
      <c r="E450" t="s">
        <v>27887</v>
      </c>
      <c r="F450" t="str">
        <f t="shared" ref="F450:F508" si="3">German</f>
        <v>Deutsch</v>
      </c>
      <c r="G450" s="32" t="s">
        <v>88</v>
      </c>
      <c r="H450" t="s">
        <v>28151</v>
      </c>
    </row>
    <row r="451" spans="2:8" x14ac:dyDescent="0.25">
      <c r="B451" s="41" t="s">
        <v>1084</v>
      </c>
      <c r="C451" t="s">
        <v>454</v>
      </c>
      <c r="D451" t="s">
        <v>1328</v>
      </c>
      <c r="E451" t="s">
        <v>1333</v>
      </c>
      <c r="F451" t="str">
        <f t="shared" si="3"/>
        <v>Deutsch</v>
      </c>
      <c r="G451" s="32" t="s">
        <v>88</v>
      </c>
      <c r="H451" t="s">
        <v>28152</v>
      </c>
    </row>
    <row r="452" spans="2:8" x14ac:dyDescent="0.25">
      <c r="B452" s="41" t="s">
        <v>1085</v>
      </c>
      <c r="C452" t="s">
        <v>454</v>
      </c>
      <c r="D452" t="s">
        <v>1328</v>
      </c>
      <c r="E452" t="s">
        <v>27955</v>
      </c>
      <c r="F452" t="str">
        <f t="shared" si="3"/>
        <v>Deutsch</v>
      </c>
      <c r="G452" s="32" t="s">
        <v>88</v>
      </c>
      <c r="H452" t="s">
        <v>28153</v>
      </c>
    </row>
    <row r="453" spans="2:8" x14ac:dyDescent="0.25">
      <c r="B453" s="41" t="s">
        <v>1086</v>
      </c>
      <c r="C453" t="s">
        <v>454</v>
      </c>
      <c r="D453" t="s">
        <v>1328</v>
      </c>
      <c r="E453" t="s">
        <v>1334</v>
      </c>
      <c r="F453" t="str">
        <f t="shared" si="3"/>
        <v>Deutsch</v>
      </c>
      <c r="G453" s="32" t="s">
        <v>88</v>
      </c>
      <c r="H453" t="s">
        <v>28154</v>
      </c>
    </row>
    <row r="454" spans="2:8" x14ac:dyDescent="0.25">
      <c r="B454" s="41" t="s">
        <v>1087</v>
      </c>
      <c r="C454" t="s">
        <v>454</v>
      </c>
      <c r="D454" t="s">
        <v>1328</v>
      </c>
      <c r="E454" t="s">
        <v>28420</v>
      </c>
      <c r="F454" t="str">
        <f t="shared" si="3"/>
        <v>Deutsch</v>
      </c>
      <c r="G454" s="32" t="s">
        <v>88</v>
      </c>
      <c r="H454" t="s">
        <v>28155</v>
      </c>
    </row>
    <row r="455" spans="2:8" x14ac:dyDescent="0.25">
      <c r="B455" s="41" t="s">
        <v>1088</v>
      </c>
      <c r="C455" t="s">
        <v>454</v>
      </c>
      <c r="D455" t="s">
        <v>1335</v>
      </c>
      <c r="E455" t="s">
        <v>1336</v>
      </c>
      <c r="F455" t="str">
        <f t="shared" si="3"/>
        <v>Deutsch</v>
      </c>
      <c r="G455" s="32" t="s">
        <v>88</v>
      </c>
      <c r="H455" t="s">
        <v>28156</v>
      </c>
    </row>
    <row r="456" spans="2:8" x14ac:dyDescent="0.25">
      <c r="B456" s="41" t="s">
        <v>1072</v>
      </c>
      <c r="C456" t="s">
        <v>454</v>
      </c>
      <c r="D456" t="s">
        <v>1335</v>
      </c>
      <c r="E456" t="s">
        <v>27956</v>
      </c>
      <c r="F456" t="str">
        <f t="shared" si="3"/>
        <v>Deutsch</v>
      </c>
      <c r="G456" s="32" t="s">
        <v>88</v>
      </c>
      <c r="H456" t="s">
        <v>28157</v>
      </c>
    </row>
    <row r="457" spans="2:8" x14ac:dyDescent="0.25">
      <c r="B457" s="41" t="s">
        <v>1089</v>
      </c>
      <c r="C457" t="s">
        <v>454</v>
      </c>
      <c r="D457" t="s">
        <v>1335</v>
      </c>
      <c r="E457" t="s">
        <v>1337</v>
      </c>
      <c r="F457" t="str">
        <f t="shared" si="3"/>
        <v>Deutsch</v>
      </c>
      <c r="G457" s="32" t="s">
        <v>88</v>
      </c>
      <c r="H457" t="s">
        <v>28158</v>
      </c>
    </row>
    <row r="458" spans="2:8" x14ac:dyDescent="0.25">
      <c r="B458" s="41" t="s">
        <v>1090</v>
      </c>
      <c r="C458" t="s">
        <v>454</v>
      </c>
      <c r="D458" t="s">
        <v>1335</v>
      </c>
      <c r="E458" t="s">
        <v>1338</v>
      </c>
      <c r="F458" t="str">
        <f t="shared" si="3"/>
        <v>Deutsch</v>
      </c>
      <c r="G458" s="32" t="s">
        <v>88</v>
      </c>
      <c r="H458" t="s">
        <v>28159</v>
      </c>
    </row>
    <row r="459" spans="2:8" x14ac:dyDescent="0.25">
      <c r="B459" s="41" t="s">
        <v>1091</v>
      </c>
      <c r="C459" t="s">
        <v>454</v>
      </c>
      <c r="D459" t="s">
        <v>1335</v>
      </c>
      <c r="E459" t="s">
        <v>1339</v>
      </c>
      <c r="F459" t="str">
        <f t="shared" si="3"/>
        <v>Deutsch</v>
      </c>
      <c r="G459" s="32" t="s">
        <v>88</v>
      </c>
      <c r="H459" t="s">
        <v>28160</v>
      </c>
    </row>
    <row r="460" spans="2:8" x14ac:dyDescent="0.25">
      <c r="B460" s="41" t="s">
        <v>1092</v>
      </c>
      <c r="C460" t="s">
        <v>454</v>
      </c>
      <c r="D460" t="s">
        <v>1335</v>
      </c>
      <c r="E460" t="s">
        <v>1340</v>
      </c>
      <c r="F460" t="str">
        <f t="shared" si="3"/>
        <v>Deutsch</v>
      </c>
      <c r="G460" s="32" t="s">
        <v>88</v>
      </c>
      <c r="H460" t="s">
        <v>28161</v>
      </c>
    </row>
    <row r="461" spans="2:8" x14ac:dyDescent="0.25">
      <c r="B461" s="41" t="s">
        <v>1093</v>
      </c>
      <c r="C461" t="s">
        <v>454</v>
      </c>
      <c r="D461" t="s">
        <v>1335</v>
      </c>
      <c r="E461" t="s">
        <v>1341</v>
      </c>
      <c r="F461" t="str">
        <f t="shared" si="3"/>
        <v>Deutsch</v>
      </c>
      <c r="G461" s="32" t="s">
        <v>88</v>
      </c>
      <c r="H461" t="s">
        <v>28162</v>
      </c>
    </row>
    <row r="462" spans="2:8" x14ac:dyDescent="0.25">
      <c r="B462" s="41" t="s">
        <v>1094</v>
      </c>
      <c r="C462" t="s">
        <v>454</v>
      </c>
      <c r="D462" t="s">
        <v>1335</v>
      </c>
      <c r="E462" t="s">
        <v>1342</v>
      </c>
      <c r="F462" t="str">
        <f t="shared" si="3"/>
        <v>Deutsch</v>
      </c>
      <c r="G462" s="32" t="s">
        <v>88</v>
      </c>
      <c r="H462" t="s">
        <v>28163</v>
      </c>
    </row>
    <row r="463" spans="2:8" x14ac:dyDescent="0.25">
      <c r="B463" s="41" t="s">
        <v>1095</v>
      </c>
      <c r="C463" t="s">
        <v>454</v>
      </c>
      <c r="D463" t="s">
        <v>1335</v>
      </c>
      <c r="E463" t="s">
        <v>1343</v>
      </c>
      <c r="F463" t="str">
        <f t="shared" si="3"/>
        <v>Deutsch</v>
      </c>
      <c r="G463" s="32" t="s">
        <v>88</v>
      </c>
      <c r="H463" t="s">
        <v>28164</v>
      </c>
    </row>
    <row r="464" spans="2:8" x14ac:dyDescent="0.25">
      <c r="B464" s="41" t="s">
        <v>1096</v>
      </c>
      <c r="C464" t="s">
        <v>454</v>
      </c>
      <c r="D464" t="s">
        <v>1335</v>
      </c>
      <c r="E464" t="s">
        <v>1344</v>
      </c>
      <c r="F464" t="str">
        <f t="shared" si="3"/>
        <v>Deutsch</v>
      </c>
      <c r="G464" s="32" t="s">
        <v>88</v>
      </c>
      <c r="H464" t="s">
        <v>28165</v>
      </c>
    </row>
    <row r="465" spans="2:8" x14ac:dyDescent="0.25">
      <c r="B465" s="41" t="s">
        <v>1097</v>
      </c>
      <c r="C465" t="s">
        <v>454</v>
      </c>
      <c r="D465" t="s">
        <v>1335</v>
      </c>
      <c r="E465" t="s">
        <v>1345</v>
      </c>
      <c r="F465" t="str">
        <f t="shared" si="3"/>
        <v>Deutsch</v>
      </c>
      <c r="G465" s="32" t="s">
        <v>88</v>
      </c>
      <c r="H465" t="s">
        <v>28166</v>
      </c>
    </row>
    <row r="466" spans="2:8" x14ac:dyDescent="0.25">
      <c r="B466" s="41" t="s">
        <v>1098</v>
      </c>
      <c r="C466" t="s">
        <v>454</v>
      </c>
      <c r="D466" t="s">
        <v>1335</v>
      </c>
      <c r="E466" t="s">
        <v>1346</v>
      </c>
      <c r="F466" t="str">
        <f t="shared" si="3"/>
        <v>Deutsch</v>
      </c>
      <c r="G466" s="32" t="s">
        <v>88</v>
      </c>
      <c r="H466" t="s">
        <v>28167</v>
      </c>
    </row>
    <row r="467" spans="2:8" x14ac:dyDescent="0.25">
      <c r="B467" s="41" t="s">
        <v>1099</v>
      </c>
      <c r="C467" t="s">
        <v>454</v>
      </c>
      <c r="D467" t="s">
        <v>1335</v>
      </c>
      <c r="E467" t="s">
        <v>1347</v>
      </c>
      <c r="F467" t="str">
        <f t="shared" si="3"/>
        <v>Deutsch</v>
      </c>
      <c r="G467" s="32" t="s">
        <v>88</v>
      </c>
      <c r="H467" t="s">
        <v>28168</v>
      </c>
    </row>
    <row r="468" spans="2:8" x14ac:dyDescent="0.25">
      <c r="B468" s="41" t="s">
        <v>1100</v>
      </c>
      <c r="C468" t="s">
        <v>454</v>
      </c>
      <c r="D468" t="s">
        <v>1335</v>
      </c>
      <c r="E468" t="s">
        <v>1348</v>
      </c>
      <c r="F468" t="str">
        <f t="shared" si="3"/>
        <v>Deutsch</v>
      </c>
      <c r="G468" s="32" t="s">
        <v>88</v>
      </c>
      <c r="H468" t="s">
        <v>28169</v>
      </c>
    </row>
    <row r="469" spans="2:8" x14ac:dyDescent="0.25">
      <c r="B469" s="41" t="s">
        <v>1101</v>
      </c>
      <c r="C469" t="s">
        <v>454</v>
      </c>
      <c r="D469" t="s">
        <v>1335</v>
      </c>
      <c r="E469" t="s">
        <v>1349</v>
      </c>
      <c r="F469" t="str">
        <f t="shared" si="3"/>
        <v>Deutsch</v>
      </c>
      <c r="G469" s="32" t="s">
        <v>88</v>
      </c>
      <c r="H469" t="s">
        <v>28170</v>
      </c>
    </row>
    <row r="470" spans="2:8" x14ac:dyDescent="0.25">
      <c r="B470" s="41" t="s">
        <v>1102</v>
      </c>
      <c r="C470" t="s">
        <v>454</v>
      </c>
      <c r="D470" t="s">
        <v>1335</v>
      </c>
      <c r="E470" t="s">
        <v>1350</v>
      </c>
      <c r="F470" t="str">
        <f t="shared" si="3"/>
        <v>Deutsch</v>
      </c>
      <c r="G470" s="32" t="s">
        <v>88</v>
      </c>
      <c r="H470" t="s">
        <v>28171</v>
      </c>
    </row>
    <row r="471" spans="2:8" x14ac:dyDescent="0.25">
      <c r="B471" s="41" t="s">
        <v>1103</v>
      </c>
      <c r="C471" t="s">
        <v>454</v>
      </c>
      <c r="D471" t="s">
        <v>1335</v>
      </c>
      <c r="E471" t="s">
        <v>1351</v>
      </c>
      <c r="F471" t="str">
        <f t="shared" si="3"/>
        <v>Deutsch</v>
      </c>
      <c r="G471" s="32" t="s">
        <v>88</v>
      </c>
      <c r="H471" t="s">
        <v>28172</v>
      </c>
    </row>
    <row r="472" spans="2:8" x14ac:dyDescent="0.25">
      <c r="B472" s="41" t="s">
        <v>1104</v>
      </c>
      <c r="C472" t="s">
        <v>454</v>
      </c>
      <c r="D472" t="s">
        <v>1335</v>
      </c>
      <c r="E472" t="s">
        <v>1352</v>
      </c>
      <c r="F472" t="str">
        <f t="shared" si="3"/>
        <v>Deutsch</v>
      </c>
      <c r="G472" s="32" t="s">
        <v>88</v>
      </c>
      <c r="H472" t="s">
        <v>28173</v>
      </c>
    </row>
    <row r="473" spans="2:8" x14ac:dyDescent="0.25">
      <c r="B473" s="41" t="s">
        <v>1105</v>
      </c>
      <c r="C473" t="s">
        <v>454</v>
      </c>
      <c r="D473" t="s">
        <v>1335</v>
      </c>
      <c r="E473" t="s">
        <v>1353</v>
      </c>
      <c r="F473" t="str">
        <f t="shared" si="3"/>
        <v>Deutsch</v>
      </c>
      <c r="G473" s="32" t="s">
        <v>88</v>
      </c>
      <c r="H473" t="s">
        <v>28174</v>
      </c>
    </row>
    <row r="474" spans="2:8" x14ac:dyDescent="0.25">
      <c r="B474" s="41" t="s">
        <v>1106</v>
      </c>
      <c r="C474" t="s">
        <v>454</v>
      </c>
      <c r="D474" t="s">
        <v>1335</v>
      </c>
      <c r="E474" t="s">
        <v>1354</v>
      </c>
      <c r="F474" t="str">
        <f t="shared" si="3"/>
        <v>Deutsch</v>
      </c>
      <c r="G474" s="32" t="s">
        <v>88</v>
      </c>
      <c r="H474" t="s">
        <v>28175</v>
      </c>
    </row>
    <row r="475" spans="2:8" x14ac:dyDescent="0.25">
      <c r="B475" s="41" t="s">
        <v>1107</v>
      </c>
      <c r="C475" t="s">
        <v>454</v>
      </c>
      <c r="D475" t="s">
        <v>1335</v>
      </c>
      <c r="E475" t="s">
        <v>1355</v>
      </c>
      <c r="F475" t="str">
        <f t="shared" si="3"/>
        <v>Deutsch</v>
      </c>
      <c r="G475" s="32" t="s">
        <v>88</v>
      </c>
      <c r="H475" t="s">
        <v>28176</v>
      </c>
    </row>
    <row r="476" spans="2:8" x14ac:dyDescent="0.25">
      <c r="B476" s="41" t="s">
        <v>1108</v>
      </c>
      <c r="C476" t="s">
        <v>454</v>
      </c>
      <c r="D476" t="s">
        <v>1335</v>
      </c>
      <c r="E476" t="s">
        <v>1356</v>
      </c>
      <c r="F476" t="str">
        <f t="shared" si="3"/>
        <v>Deutsch</v>
      </c>
      <c r="G476" s="32" t="s">
        <v>88</v>
      </c>
      <c r="H476" t="s">
        <v>28177</v>
      </c>
    </row>
    <row r="477" spans="2:8" x14ac:dyDescent="0.25">
      <c r="B477" s="41" t="s">
        <v>1109</v>
      </c>
      <c r="C477" t="s">
        <v>454</v>
      </c>
      <c r="D477" t="s">
        <v>1335</v>
      </c>
      <c r="E477" t="s">
        <v>1357</v>
      </c>
      <c r="F477" t="str">
        <f t="shared" si="3"/>
        <v>Deutsch</v>
      </c>
      <c r="G477" s="32" t="s">
        <v>88</v>
      </c>
      <c r="H477" t="s">
        <v>28178</v>
      </c>
    </row>
    <row r="478" spans="2:8" x14ac:dyDescent="0.25">
      <c r="B478" s="41" t="s">
        <v>1110</v>
      </c>
      <c r="C478" t="s">
        <v>454</v>
      </c>
      <c r="D478" t="s">
        <v>1335</v>
      </c>
      <c r="E478" t="s">
        <v>1358</v>
      </c>
      <c r="F478" t="str">
        <f t="shared" si="3"/>
        <v>Deutsch</v>
      </c>
      <c r="G478" s="32" t="s">
        <v>88</v>
      </c>
      <c r="H478" t="s">
        <v>28179</v>
      </c>
    </row>
    <row r="479" spans="2:8" x14ac:dyDescent="0.25">
      <c r="B479" s="41" t="s">
        <v>1111</v>
      </c>
      <c r="C479" t="s">
        <v>454</v>
      </c>
      <c r="D479" t="s">
        <v>1335</v>
      </c>
      <c r="E479" t="s">
        <v>1359</v>
      </c>
      <c r="F479" t="str">
        <f t="shared" si="3"/>
        <v>Deutsch</v>
      </c>
      <c r="G479" s="32" t="s">
        <v>88</v>
      </c>
      <c r="H479" t="s">
        <v>28180</v>
      </c>
    </row>
    <row r="480" spans="2:8" x14ac:dyDescent="0.25">
      <c r="B480" s="41" t="s">
        <v>1112</v>
      </c>
      <c r="C480" t="s">
        <v>454</v>
      </c>
      <c r="D480" t="s">
        <v>1335</v>
      </c>
      <c r="E480" t="s">
        <v>1360</v>
      </c>
      <c r="F480" t="str">
        <f t="shared" si="3"/>
        <v>Deutsch</v>
      </c>
      <c r="G480" s="32" t="s">
        <v>88</v>
      </c>
      <c r="H480" t="s">
        <v>28181</v>
      </c>
    </row>
    <row r="481" spans="2:8" x14ac:dyDescent="0.25">
      <c r="B481" s="41" t="s">
        <v>1113</v>
      </c>
      <c r="C481" t="s">
        <v>1361</v>
      </c>
      <c r="D481" t="s">
        <v>1362</v>
      </c>
      <c r="E481"/>
      <c r="F481" t="str">
        <f t="shared" si="3"/>
        <v>Deutsch</v>
      </c>
      <c r="G481" s="32" t="s">
        <v>88</v>
      </c>
      <c r="H481" t="s">
        <v>28182</v>
      </c>
    </row>
    <row r="482" spans="2:8" x14ac:dyDescent="0.25">
      <c r="B482" s="41" t="s">
        <v>1114</v>
      </c>
      <c r="C482" t="s">
        <v>1361</v>
      </c>
      <c r="D482" t="s">
        <v>1363</v>
      </c>
      <c r="E482"/>
      <c r="F482" t="str">
        <f t="shared" si="3"/>
        <v>Deutsch</v>
      </c>
      <c r="G482" s="32" t="s">
        <v>88</v>
      </c>
      <c r="H482" t="s">
        <v>28183</v>
      </c>
    </row>
    <row r="483" spans="2:8" x14ac:dyDescent="0.25">
      <c r="B483" s="41" t="s">
        <v>1115</v>
      </c>
      <c r="C483" t="s">
        <v>1361</v>
      </c>
      <c r="D483" t="s">
        <v>1364</v>
      </c>
      <c r="E483"/>
      <c r="F483" t="str">
        <f t="shared" si="3"/>
        <v>Deutsch</v>
      </c>
      <c r="G483" s="32" t="s">
        <v>88</v>
      </c>
      <c r="H483" t="s">
        <v>28184</v>
      </c>
    </row>
    <row r="484" spans="2:8" x14ac:dyDescent="0.25">
      <c r="B484" s="41" t="s">
        <v>1116</v>
      </c>
      <c r="C484" t="s">
        <v>1361</v>
      </c>
      <c r="D484" t="s">
        <v>1365</v>
      </c>
      <c r="E484"/>
      <c r="F484" t="str">
        <f t="shared" si="3"/>
        <v>Deutsch</v>
      </c>
      <c r="G484" s="32" t="s">
        <v>88</v>
      </c>
      <c r="H484" t="s">
        <v>28185</v>
      </c>
    </row>
    <row r="485" spans="2:8" x14ac:dyDescent="0.25">
      <c r="B485" s="41" t="s">
        <v>1117</v>
      </c>
      <c r="C485" t="s">
        <v>1361</v>
      </c>
      <c r="D485" t="s">
        <v>1366</v>
      </c>
      <c r="E485"/>
      <c r="F485" t="str">
        <f t="shared" si="3"/>
        <v>Deutsch</v>
      </c>
      <c r="G485" s="32" t="s">
        <v>88</v>
      </c>
      <c r="H485" t="s">
        <v>28186</v>
      </c>
    </row>
    <row r="486" spans="2:8" x14ac:dyDescent="0.25">
      <c r="B486" s="41" t="s">
        <v>1118</v>
      </c>
      <c r="C486" t="s">
        <v>1361</v>
      </c>
      <c r="D486" t="s">
        <v>1367</v>
      </c>
      <c r="E486"/>
      <c r="F486" t="str">
        <f t="shared" si="3"/>
        <v>Deutsch</v>
      </c>
      <c r="G486" s="32" t="s">
        <v>88</v>
      </c>
      <c r="H486" t="s">
        <v>28187</v>
      </c>
    </row>
    <row r="487" spans="2:8" x14ac:dyDescent="0.25">
      <c r="B487" s="41" t="s">
        <v>1119</v>
      </c>
      <c r="C487" t="s">
        <v>1368</v>
      </c>
      <c r="D487" t="s">
        <v>1369</v>
      </c>
      <c r="E487"/>
      <c r="F487" t="str">
        <f t="shared" si="3"/>
        <v>Deutsch</v>
      </c>
      <c r="G487" s="32" t="s">
        <v>88</v>
      </c>
      <c r="H487" t="s">
        <v>28188</v>
      </c>
    </row>
    <row r="488" spans="2:8" x14ac:dyDescent="0.25">
      <c r="B488" s="41" t="s">
        <v>1120</v>
      </c>
      <c r="C488" t="s">
        <v>1368</v>
      </c>
      <c r="D488" t="s">
        <v>1369</v>
      </c>
      <c r="E488" t="s">
        <v>1369</v>
      </c>
      <c r="F488" t="str">
        <f t="shared" si="3"/>
        <v>Deutsch</v>
      </c>
      <c r="G488" s="32" t="s">
        <v>88</v>
      </c>
      <c r="H488" t="s">
        <v>28189</v>
      </c>
    </row>
    <row r="489" spans="2:8" x14ac:dyDescent="0.25">
      <c r="B489" s="41" t="s">
        <v>1121</v>
      </c>
      <c r="C489" t="s">
        <v>1368</v>
      </c>
      <c r="D489" t="s">
        <v>1369</v>
      </c>
      <c r="E489" t="s">
        <v>1370</v>
      </c>
      <c r="F489" t="str">
        <f t="shared" si="3"/>
        <v>Deutsch</v>
      </c>
      <c r="G489" s="32" t="s">
        <v>88</v>
      </c>
      <c r="H489" t="s">
        <v>28190</v>
      </c>
    </row>
    <row r="490" spans="2:8" x14ac:dyDescent="0.25">
      <c r="B490" s="41" t="s">
        <v>1119</v>
      </c>
      <c r="C490" t="s">
        <v>1368</v>
      </c>
      <c r="D490" t="s">
        <v>1369</v>
      </c>
      <c r="E490" t="s">
        <v>1371</v>
      </c>
      <c r="F490" t="str">
        <f t="shared" si="3"/>
        <v>Deutsch</v>
      </c>
      <c r="G490" s="32" t="s">
        <v>88</v>
      </c>
      <c r="H490" t="s">
        <v>28191</v>
      </c>
    </row>
    <row r="491" spans="2:8" x14ac:dyDescent="0.25">
      <c r="B491" s="41" t="s">
        <v>1122</v>
      </c>
      <c r="C491" t="s">
        <v>1368</v>
      </c>
      <c r="D491" t="s">
        <v>1369</v>
      </c>
      <c r="E491" t="s">
        <v>1372</v>
      </c>
      <c r="F491" t="str">
        <f t="shared" si="3"/>
        <v>Deutsch</v>
      </c>
      <c r="G491" s="32" t="s">
        <v>88</v>
      </c>
      <c r="H491" t="s">
        <v>28192</v>
      </c>
    </row>
    <row r="492" spans="2:8" x14ac:dyDescent="0.25">
      <c r="B492" s="41" t="s">
        <v>1123</v>
      </c>
      <c r="C492" t="s">
        <v>1368</v>
      </c>
      <c r="D492" t="s">
        <v>1373</v>
      </c>
      <c r="E492" t="s">
        <v>1374</v>
      </c>
      <c r="F492" t="str">
        <f t="shared" si="3"/>
        <v>Deutsch</v>
      </c>
      <c r="G492" s="32" t="s">
        <v>88</v>
      </c>
      <c r="H492" t="s">
        <v>28193</v>
      </c>
    </row>
    <row r="493" spans="2:8" x14ac:dyDescent="0.25">
      <c r="B493" s="41" t="s">
        <v>1124</v>
      </c>
      <c r="C493" t="s">
        <v>1368</v>
      </c>
      <c r="D493" t="s">
        <v>1373</v>
      </c>
      <c r="E493" t="s">
        <v>1375</v>
      </c>
      <c r="F493" t="str">
        <f t="shared" si="3"/>
        <v>Deutsch</v>
      </c>
      <c r="G493" s="32" t="s">
        <v>88</v>
      </c>
      <c r="H493" t="s">
        <v>28194</v>
      </c>
    </row>
    <row r="494" spans="2:8" x14ac:dyDescent="0.25">
      <c r="B494" s="41" t="s">
        <v>1125</v>
      </c>
      <c r="C494" t="s">
        <v>1368</v>
      </c>
      <c r="D494" t="s">
        <v>1373</v>
      </c>
      <c r="E494" t="s">
        <v>1376</v>
      </c>
      <c r="F494" t="str">
        <f t="shared" si="3"/>
        <v>Deutsch</v>
      </c>
      <c r="G494" s="32" t="s">
        <v>88</v>
      </c>
      <c r="H494" t="s">
        <v>28195</v>
      </c>
    </row>
    <row r="495" spans="2:8" x14ac:dyDescent="0.25">
      <c r="B495" s="41" t="s">
        <v>1126</v>
      </c>
      <c r="C495" t="s">
        <v>1368</v>
      </c>
      <c r="D495" t="s">
        <v>1377</v>
      </c>
      <c r="E495" t="s">
        <v>1378</v>
      </c>
      <c r="F495" t="str">
        <f t="shared" si="3"/>
        <v>Deutsch</v>
      </c>
      <c r="G495" s="32" t="s">
        <v>88</v>
      </c>
      <c r="H495" t="s">
        <v>28196</v>
      </c>
    </row>
    <row r="496" spans="2:8" x14ac:dyDescent="0.25">
      <c r="B496" s="41" t="s">
        <v>1127</v>
      </c>
      <c r="C496" t="s">
        <v>1368</v>
      </c>
      <c r="D496" t="s">
        <v>1377</v>
      </c>
      <c r="E496" t="s">
        <v>28421</v>
      </c>
      <c r="F496" t="str">
        <f t="shared" si="3"/>
        <v>Deutsch</v>
      </c>
      <c r="G496" s="32" t="s">
        <v>88</v>
      </c>
      <c r="H496" t="s">
        <v>28197</v>
      </c>
    </row>
    <row r="497" spans="2:8" x14ac:dyDescent="0.25">
      <c r="B497" s="41" t="s">
        <v>1128</v>
      </c>
      <c r="C497" t="s">
        <v>1368</v>
      </c>
      <c r="D497" t="s">
        <v>1379</v>
      </c>
      <c r="E497"/>
      <c r="F497" t="str">
        <f t="shared" si="3"/>
        <v>Deutsch</v>
      </c>
      <c r="G497" s="32" t="s">
        <v>88</v>
      </c>
      <c r="H497" t="s">
        <v>28198</v>
      </c>
    </row>
    <row r="498" spans="2:8" x14ac:dyDescent="0.25">
      <c r="B498" s="41" t="s">
        <v>1129</v>
      </c>
      <c r="C498" t="s">
        <v>1368</v>
      </c>
      <c r="D498" t="s">
        <v>1379</v>
      </c>
      <c r="E498" t="s">
        <v>27880</v>
      </c>
      <c r="F498" t="str">
        <f t="shared" si="3"/>
        <v>Deutsch</v>
      </c>
      <c r="G498" s="32" t="s">
        <v>88</v>
      </c>
      <c r="H498" t="s">
        <v>28199</v>
      </c>
    </row>
    <row r="499" spans="2:8" x14ac:dyDescent="0.25">
      <c r="B499" s="41" t="s">
        <v>1128</v>
      </c>
      <c r="C499" t="s">
        <v>1368</v>
      </c>
      <c r="D499" t="s">
        <v>1379</v>
      </c>
      <c r="E499" t="s">
        <v>27881</v>
      </c>
      <c r="F499" t="str">
        <f t="shared" si="3"/>
        <v>Deutsch</v>
      </c>
      <c r="G499" s="32" t="s">
        <v>88</v>
      </c>
      <c r="H499" t="s">
        <v>28200</v>
      </c>
    </row>
    <row r="500" spans="2:8" x14ac:dyDescent="0.25">
      <c r="B500" s="41" t="s">
        <v>1130</v>
      </c>
      <c r="C500" t="s">
        <v>1368</v>
      </c>
      <c r="D500" t="s">
        <v>1380</v>
      </c>
      <c r="E500"/>
      <c r="F500" t="str">
        <f t="shared" si="3"/>
        <v>Deutsch</v>
      </c>
      <c r="G500" s="32" t="s">
        <v>88</v>
      </c>
      <c r="H500" t="s">
        <v>28201</v>
      </c>
    </row>
    <row r="501" spans="2:8" x14ac:dyDescent="0.25">
      <c r="B501" s="41" t="s">
        <v>1131</v>
      </c>
      <c r="C501" t="s">
        <v>1368</v>
      </c>
      <c r="D501" t="s">
        <v>1380</v>
      </c>
      <c r="E501" t="s">
        <v>27882</v>
      </c>
      <c r="F501" t="str">
        <f t="shared" si="3"/>
        <v>Deutsch</v>
      </c>
      <c r="G501" s="32" t="s">
        <v>88</v>
      </c>
      <c r="H501" t="s">
        <v>28202</v>
      </c>
    </row>
    <row r="502" spans="2:8" x14ac:dyDescent="0.25">
      <c r="B502" s="41" t="s">
        <v>1130</v>
      </c>
      <c r="C502" t="s">
        <v>1368</v>
      </c>
      <c r="D502" t="s">
        <v>1380</v>
      </c>
      <c r="E502" t="s">
        <v>27883</v>
      </c>
      <c r="F502" t="str">
        <f t="shared" si="3"/>
        <v>Deutsch</v>
      </c>
      <c r="G502" s="32" t="s">
        <v>88</v>
      </c>
      <c r="H502" t="s">
        <v>28203</v>
      </c>
    </row>
    <row r="503" spans="2:8" x14ac:dyDescent="0.25">
      <c r="B503" s="41" t="s">
        <v>1132</v>
      </c>
      <c r="C503" t="s">
        <v>432</v>
      </c>
      <c r="D503" t="s">
        <v>1381</v>
      </c>
      <c r="E503"/>
      <c r="F503" t="str">
        <f t="shared" si="3"/>
        <v>Deutsch</v>
      </c>
      <c r="G503" s="32" t="s">
        <v>88</v>
      </c>
      <c r="H503" t="s">
        <v>28204</v>
      </c>
    </row>
    <row r="504" spans="2:8" x14ac:dyDescent="0.25">
      <c r="B504" s="41" t="s">
        <v>1133</v>
      </c>
      <c r="C504" t="s">
        <v>432</v>
      </c>
      <c r="D504" t="s">
        <v>1382</v>
      </c>
      <c r="E504"/>
      <c r="F504" t="str">
        <f t="shared" si="3"/>
        <v>Deutsch</v>
      </c>
      <c r="G504" s="32" t="s">
        <v>88</v>
      </c>
      <c r="H504" t="s">
        <v>28205</v>
      </c>
    </row>
    <row r="505" spans="2:8" x14ac:dyDescent="0.25">
      <c r="B505" s="41" t="s">
        <v>1134</v>
      </c>
      <c r="C505" t="s">
        <v>432</v>
      </c>
      <c r="D505" t="s">
        <v>1383</v>
      </c>
      <c r="E505"/>
      <c r="F505" t="str">
        <f t="shared" si="3"/>
        <v>Deutsch</v>
      </c>
      <c r="G505" s="32" t="s">
        <v>88</v>
      </c>
      <c r="H505" t="s">
        <v>28206</v>
      </c>
    </row>
    <row r="506" spans="2:8" x14ac:dyDescent="0.25">
      <c r="B506" s="41" t="s">
        <v>1135</v>
      </c>
      <c r="C506" t="s">
        <v>1384</v>
      </c>
      <c r="D506" t="s">
        <v>1385</v>
      </c>
      <c r="E506"/>
      <c r="F506" t="str">
        <f t="shared" si="3"/>
        <v>Deutsch</v>
      </c>
      <c r="G506" s="32" t="s">
        <v>88</v>
      </c>
      <c r="H506" t="s">
        <v>28207</v>
      </c>
    </row>
    <row r="507" spans="2:8" x14ac:dyDescent="0.25">
      <c r="B507" s="41" t="s">
        <v>1136</v>
      </c>
      <c r="C507" t="s">
        <v>1384</v>
      </c>
      <c r="D507" t="s">
        <v>1386</v>
      </c>
      <c r="E507"/>
      <c r="F507" t="str">
        <f t="shared" si="3"/>
        <v>Deutsch</v>
      </c>
      <c r="G507" s="32" t="s">
        <v>88</v>
      </c>
      <c r="H507" t="s">
        <v>28208</v>
      </c>
    </row>
    <row r="508" spans="2:8" x14ac:dyDescent="0.25">
      <c r="B508" s="41" t="s">
        <v>19054</v>
      </c>
      <c r="C508" s="429" t="s">
        <v>2073</v>
      </c>
      <c r="D508" s="429" t="s">
        <v>2073</v>
      </c>
      <c r="E508" s="430"/>
      <c r="F508" t="str">
        <f t="shared" si="3"/>
        <v>Deutsch</v>
      </c>
      <c r="G508" s="32" t="s">
        <v>88</v>
      </c>
      <c r="H508" t="s">
        <v>28209</v>
      </c>
    </row>
    <row r="509" spans="2:8" x14ac:dyDescent="0.25">
      <c r="B509" s="429"/>
      <c r="C509" s="431" t="s">
        <v>1387</v>
      </c>
      <c r="D509" s="431" t="s">
        <v>1388</v>
      </c>
      <c r="E509" s="431" t="s">
        <v>1389</v>
      </c>
      <c r="F509"/>
      <c r="G509"/>
      <c r="H509"/>
    </row>
    <row r="510" spans="2:8" x14ac:dyDescent="0.25">
      <c r="B510" s="41" t="s">
        <v>874</v>
      </c>
      <c r="C510" s="430" t="s">
        <v>1390</v>
      </c>
      <c r="D510" s="430" t="s">
        <v>1391</v>
      </c>
      <c r="E510" s="430" t="s">
        <v>1392</v>
      </c>
      <c r="F510" t="str">
        <f t="shared" ref="F510:F573" si="4">French</f>
        <v>Français</v>
      </c>
      <c r="G510" s="32" t="s">
        <v>88</v>
      </c>
      <c r="H510" t="s">
        <v>27963</v>
      </c>
    </row>
    <row r="511" spans="2:8" x14ac:dyDescent="0.25">
      <c r="B511" s="41" t="s">
        <v>895</v>
      </c>
      <c r="C511" s="429" t="s">
        <v>1390</v>
      </c>
      <c r="D511" s="430" t="s">
        <v>1393</v>
      </c>
      <c r="E511" s="430" t="s">
        <v>1392</v>
      </c>
      <c r="F511" t="str">
        <f t="shared" si="4"/>
        <v>Français</v>
      </c>
      <c r="G511" s="32" t="s">
        <v>88</v>
      </c>
      <c r="H511" t="s">
        <v>27964</v>
      </c>
    </row>
    <row r="512" spans="2:8" x14ac:dyDescent="0.25">
      <c r="B512" s="41" t="s">
        <v>895</v>
      </c>
      <c r="C512" s="429" t="s">
        <v>1390</v>
      </c>
      <c r="D512" s="430" t="s">
        <v>1393</v>
      </c>
      <c r="E512" s="430" t="s">
        <v>1393</v>
      </c>
      <c r="F512" t="str">
        <f t="shared" si="4"/>
        <v>Français</v>
      </c>
      <c r="G512" s="32" t="s">
        <v>88</v>
      </c>
      <c r="H512" t="s">
        <v>27965</v>
      </c>
    </row>
    <row r="513" spans="2:8" x14ac:dyDescent="0.25">
      <c r="B513" s="41" t="s">
        <v>916</v>
      </c>
      <c r="C513" s="429" t="s">
        <v>1390</v>
      </c>
      <c r="D513" s="430" t="s">
        <v>1393</v>
      </c>
      <c r="E513" s="430" t="s">
        <v>1394</v>
      </c>
      <c r="F513" t="str">
        <f t="shared" si="4"/>
        <v>Français</v>
      </c>
      <c r="G513" s="32" t="s">
        <v>88</v>
      </c>
      <c r="H513" t="s">
        <v>27966</v>
      </c>
    </row>
    <row r="514" spans="2:8" x14ac:dyDescent="0.25">
      <c r="B514" s="41" t="s">
        <v>917</v>
      </c>
      <c r="C514" s="429" t="s">
        <v>1390</v>
      </c>
      <c r="D514" s="430" t="s">
        <v>1393</v>
      </c>
      <c r="E514" s="430" t="s">
        <v>1395</v>
      </c>
      <c r="F514" t="str">
        <f t="shared" si="4"/>
        <v>Français</v>
      </c>
      <c r="G514" s="32" t="s">
        <v>88</v>
      </c>
      <c r="H514" t="s">
        <v>27967</v>
      </c>
    </row>
    <row r="515" spans="2:8" x14ac:dyDescent="0.25">
      <c r="B515" s="41" t="s">
        <v>918</v>
      </c>
      <c r="C515" s="429" t="s">
        <v>1390</v>
      </c>
      <c r="D515" s="430" t="s">
        <v>1396</v>
      </c>
      <c r="E515" s="430" t="s">
        <v>1392</v>
      </c>
      <c r="F515" t="str">
        <f t="shared" si="4"/>
        <v>Français</v>
      </c>
      <c r="G515" s="32" t="s">
        <v>563</v>
      </c>
      <c r="H515" t="s">
        <v>27968</v>
      </c>
    </row>
    <row r="516" spans="2:8" x14ac:dyDescent="0.25">
      <c r="B516" s="41" t="s">
        <v>919</v>
      </c>
      <c r="C516" s="429" t="s">
        <v>1390</v>
      </c>
      <c r="D516" s="430" t="s">
        <v>1397</v>
      </c>
      <c r="E516" s="430" t="s">
        <v>1392</v>
      </c>
      <c r="F516" t="str">
        <f t="shared" si="4"/>
        <v>Français</v>
      </c>
      <c r="G516" s="32" t="s">
        <v>83</v>
      </c>
      <c r="H516" t="s">
        <v>27969</v>
      </c>
    </row>
    <row r="517" spans="2:8" x14ac:dyDescent="0.25">
      <c r="B517" s="41" t="s">
        <v>919</v>
      </c>
      <c r="C517" s="429" t="s">
        <v>1390</v>
      </c>
      <c r="D517" s="430" t="s">
        <v>1397</v>
      </c>
      <c r="E517" s="430" t="s">
        <v>1398</v>
      </c>
      <c r="F517" t="str">
        <f t="shared" si="4"/>
        <v>Français</v>
      </c>
      <c r="G517" s="32" t="s">
        <v>83</v>
      </c>
      <c r="H517" t="s">
        <v>27970</v>
      </c>
    </row>
    <row r="518" spans="2:8" x14ac:dyDescent="0.25">
      <c r="B518" s="41" t="s">
        <v>920</v>
      </c>
      <c r="C518" s="429" t="s">
        <v>1390</v>
      </c>
      <c r="D518" s="430" t="s">
        <v>1397</v>
      </c>
      <c r="E518" s="430" t="s">
        <v>1399</v>
      </c>
      <c r="F518" t="str">
        <f t="shared" si="4"/>
        <v>Français</v>
      </c>
      <c r="G518" s="32" t="s">
        <v>83</v>
      </c>
      <c r="H518" t="s">
        <v>27971</v>
      </c>
    </row>
    <row r="519" spans="2:8" x14ac:dyDescent="0.25">
      <c r="B519" s="41" t="s">
        <v>921</v>
      </c>
      <c r="C519" s="429" t="s">
        <v>1390</v>
      </c>
      <c r="D519" s="430" t="s">
        <v>1397</v>
      </c>
      <c r="E519" s="430" t="s">
        <v>1400</v>
      </c>
      <c r="F519" t="str">
        <f t="shared" si="4"/>
        <v>Français</v>
      </c>
      <c r="G519" s="32" t="s">
        <v>88</v>
      </c>
      <c r="H519" t="s">
        <v>27972</v>
      </c>
    </row>
    <row r="520" spans="2:8" x14ac:dyDescent="0.25">
      <c r="B520" s="41" t="s">
        <v>922</v>
      </c>
      <c r="C520" s="429" t="s">
        <v>1390</v>
      </c>
      <c r="D520" s="430" t="s">
        <v>1397</v>
      </c>
      <c r="E520" s="430" t="s">
        <v>1401</v>
      </c>
      <c r="F520" t="str">
        <f t="shared" si="4"/>
        <v>Français</v>
      </c>
      <c r="G520" s="32" t="s">
        <v>88</v>
      </c>
      <c r="H520" t="s">
        <v>27973</v>
      </c>
    </row>
    <row r="521" spans="2:8" x14ac:dyDescent="0.25">
      <c r="B521" s="45" t="s">
        <v>923</v>
      </c>
      <c r="C521" s="429" t="s">
        <v>1390</v>
      </c>
      <c r="D521" s="432" t="s">
        <v>27677</v>
      </c>
      <c r="E521" s="432" t="s">
        <v>1402</v>
      </c>
      <c r="F521" t="str">
        <f t="shared" si="4"/>
        <v>Français</v>
      </c>
      <c r="G521" s="45" t="s">
        <v>88</v>
      </c>
      <c r="H521" t="s">
        <v>27974</v>
      </c>
    </row>
    <row r="522" spans="2:8" x14ac:dyDescent="0.25">
      <c r="B522" s="32" t="s">
        <v>924</v>
      </c>
      <c r="C522" s="429" t="s">
        <v>1390</v>
      </c>
      <c r="D522" s="432" t="s">
        <v>27677</v>
      </c>
      <c r="E522" s="430" t="s">
        <v>1403</v>
      </c>
      <c r="F522" t="str">
        <f t="shared" si="4"/>
        <v>Français</v>
      </c>
      <c r="G522" s="32" t="s">
        <v>88</v>
      </c>
      <c r="H522" t="s">
        <v>27975</v>
      </c>
    </row>
    <row r="523" spans="2:8" x14ac:dyDescent="0.25">
      <c r="B523" s="41" t="s">
        <v>925</v>
      </c>
      <c r="C523" s="429" t="s">
        <v>1390</v>
      </c>
      <c r="D523" s="430" t="s">
        <v>27678</v>
      </c>
      <c r="E523" s="430" t="s">
        <v>1392</v>
      </c>
      <c r="F523" t="str">
        <f t="shared" si="4"/>
        <v>Français</v>
      </c>
      <c r="G523" s="32" t="s">
        <v>88</v>
      </c>
      <c r="H523" t="s">
        <v>27976</v>
      </c>
    </row>
    <row r="524" spans="2:8" x14ac:dyDescent="0.25">
      <c r="B524" s="41" t="s">
        <v>926</v>
      </c>
      <c r="C524" s="429" t="s">
        <v>1390</v>
      </c>
      <c r="D524" s="430" t="s">
        <v>1404</v>
      </c>
      <c r="E524" s="430" t="s">
        <v>1392</v>
      </c>
      <c r="F524" t="str">
        <f t="shared" si="4"/>
        <v>Français</v>
      </c>
      <c r="G524" s="32" t="s">
        <v>88</v>
      </c>
      <c r="H524" t="s">
        <v>27977</v>
      </c>
    </row>
    <row r="525" spans="2:8" x14ac:dyDescent="0.25">
      <c r="B525" s="41" t="s">
        <v>927</v>
      </c>
      <c r="C525" s="429" t="s">
        <v>1390</v>
      </c>
      <c r="D525" s="430" t="s">
        <v>1404</v>
      </c>
      <c r="E525" s="430" t="s">
        <v>1405</v>
      </c>
      <c r="F525" t="str">
        <f t="shared" si="4"/>
        <v>Français</v>
      </c>
      <c r="G525" s="32" t="s">
        <v>88</v>
      </c>
      <c r="H525" t="s">
        <v>27978</v>
      </c>
    </row>
    <row r="526" spans="2:8" x14ac:dyDescent="0.25">
      <c r="B526" s="41" t="s">
        <v>928</v>
      </c>
      <c r="C526" s="429" t="s">
        <v>1390</v>
      </c>
      <c r="D526" s="430" t="s">
        <v>1404</v>
      </c>
      <c r="E526" s="430" t="s">
        <v>1408</v>
      </c>
      <c r="F526" t="str">
        <f t="shared" si="4"/>
        <v>Français</v>
      </c>
      <c r="G526" s="32" t="s">
        <v>88</v>
      </c>
      <c r="H526" t="s">
        <v>27979</v>
      </c>
    </row>
    <row r="527" spans="2:8" x14ac:dyDescent="0.25">
      <c r="B527" s="41" t="s">
        <v>929</v>
      </c>
      <c r="C527" s="429" t="s">
        <v>1390</v>
      </c>
      <c r="D527" s="430" t="s">
        <v>1404</v>
      </c>
      <c r="E527" s="430" t="s">
        <v>1406</v>
      </c>
      <c r="F527" t="str">
        <f t="shared" si="4"/>
        <v>Français</v>
      </c>
      <c r="G527" s="32" t="s">
        <v>88</v>
      </c>
      <c r="H527" t="s">
        <v>27980</v>
      </c>
    </row>
    <row r="528" spans="2:8" x14ac:dyDescent="0.25">
      <c r="B528" s="41" t="s">
        <v>930</v>
      </c>
      <c r="C528" s="429" t="s">
        <v>1390</v>
      </c>
      <c r="D528" s="430" t="s">
        <v>1404</v>
      </c>
      <c r="E528" s="430" t="s">
        <v>1407</v>
      </c>
      <c r="F528" t="str">
        <f t="shared" si="4"/>
        <v>Français</v>
      </c>
      <c r="G528" s="32" t="s">
        <v>88</v>
      </c>
      <c r="H528" t="s">
        <v>27981</v>
      </c>
    </row>
    <row r="529" spans="2:8" x14ac:dyDescent="0.25">
      <c r="B529" s="41" t="s">
        <v>926</v>
      </c>
      <c r="C529" s="429" t="s">
        <v>1390</v>
      </c>
      <c r="D529" s="430" t="s">
        <v>1404</v>
      </c>
      <c r="E529" s="430" t="s">
        <v>1408</v>
      </c>
      <c r="F529" t="str">
        <f t="shared" si="4"/>
        <v>Français</v>
      </c>
      <c r="G529" s="32" t="s">
        <v>88</v>
      </c>
      <c r="H529" t="s">
        <v>27982</v>
      </c>
    </row>
    <row r="530" spans="2:8" x14ac:dyDescent="0.25">
      <c r="B530" s="41" t="s">
        <v>931</v>
      </c>
      <c r="C530" s="429" t="s">
        <v>1390</v>
      </c>
      <c r="D530" s="430" t="s">
        <v>1409</v>
      </c>
      <c r="E530" s="430" t="s">
        <v>1392</v>
      </c>
      <c r="F530" t="str">
        <f t="shared" si="4"/>
        <v>Français</v>
      </c>
      <c r="G530" s="32" t="s">
        <v>88</v>
      </c>
      <c r="H530" t="s">
        <v>27983</v>
      </c>
    </row>
    <row r="531" spans="2:8" x14ac:dyDescent="0.25">
      <c r="B531" s="41" t="s">
        <v>932</v>
      </c>
      <c r="C531" s="429" t="s">
        <v>1410</v>
      </c>
      <c r="D531" s="430" t="s">
        <v>1411</v>
      </c>
      <c r="E531" s="430" t="s">
        <v>1392</v>
      </c>
      <c r="F531" t="str">
        <f t="shared" si="4"/>
        <v>Français</v>
      </c>
      <c r="G531" s="32" t="s">
        <v>88</v>
      </c>
      <c r="H531" t="s">
        <v>27984</v>
      </c>
    </row>
    <row r="532" spans="2:8" x14ac:dyDescent="0.25">
      <c r="B532" s="41" t="s">
        <v>933</v>
      </c>
      <c r="C532" s="429" t="s">
        <v>1410</v>
      </c>
      <c r="D532" s="430" t="s">
        <v>1411</v>
      </c>
      <c r="E532" s="430" t="s">
        <v>1412</v>
      </c>
      <c r="F532" t="str">
        <f t="shared" si="4"/>
        <v>Français</v>
      </c>
      <c r="G532" s="32" t="s">
        <v>88</v>
      </c>
      <c r="H532" t="s">
        <v>27985</v>
      </c>
    </row>
    <row r="533" spans="2:8" x14ac:dyDescent="0.25">
      <c r="B533" s="41" t="s">
        <v>934</v>
      </c>
      <c r="C533" s="429" t="s">
        <v>1410</v>
      </c>
      <c r="D533" s="430" t="s">
        <v>1411</v>
      </c>
      <c r="E533" s="430" t="s">
        <v>27679</v>
      </c>
      <c r="F533" t="str">
        <f t="shared" si="4"/>
        <v>Français</v>
      </c>
      <c r="G533" s="32" t="s">
        <v>88</v>
      </c>
      <c r="H533" t="s">
        <v>27986</v>
      </c>
    </row>
    <row r="534" spans="2:8" x14ac:dyDescent="0.25">
      <c r="B534" s="41" t="s">
        <v>935</v>
      </c>
      <c r="C534" s="429" t="s">
        <v>1410</v>
      </c>
      <c r="D534" s="430" t="s">
        <v>1411</v>
      </c>
      <c r="E534" s="430" t="s">
        <v>1414</v>
      </c>
      <c r="F534" t="str">
        <f t="shared" si="4"/>
        <v>Français</v>
      </c>
      <c r="G534" s="32" t="s">
        <v>88</v>
      </c>
      <c r="H534" t="s">
        <v>27987</v>
      </c>
    </row>
    <row r="535" spans="2:8" x14ac:dyDescent="0.25">
      <c r="B535" s="41" t="s">
        <v>936</v>
      </c>
      <c r="C535" s="429" t="s">
        <v>1410</v>
      </c>
      <c r="D535" s="430" t="s">
        <v>1411</v>
      </c>
      <c r="E535" s="430" t="s">
        <v>27680</v>
      </c>
      <c r="F535" t="str">
        <f t="shared" si="4"/>
        <v>Français</v>
      </c>
      <c r="G535" s="32" t="s">
        <v>88</v>
      </c>
      <c r="H535" t="s">
        <v>27988</v>
      </c>
    </row>
    <row r="536" spans="2:8" x14ac:dyDescent="0.25">
      <c r="B536" s="41" t="s">
        <v>937</v>
      </c>
      <c r="C536" s="429" t="s">
        <v>1410</v>
      </c>
      <c r="D536" s="430" t="s">
        <v>1411</v>
      </c>
      <c r="E536" s="430" t="s">
        <v>27681</v>
      </c>
      <c r="F536" t="str">
        <f t="shared" si="4"/>
        <v>Français</v>
      </c>
      <c r="G536" s="32" t="s">
        <v>88</v>
      </c>
      <c r="H536" t="s">
        <v>27989</v>
      </c>
    </row>
    <row r="537" spans="2:8" x14ac:dyDescent="0.25">
      <c r="B537" s="41" t="s">
        <v>938</v>
      </c>
      <c r="C537" s="429" t="s">
        <v>1410</v>
      </c>
      <c r="D537" s="430" t="s">
        <v>1411</v>
      </c>
      <c r="E537" s="430" t="s">
        <v>1418</v>
      </c>
      <c r="F537" t="str">
        <f t="shared" si="4"/>
        <v>Français</v>
      </c>
      <c r="G537" s="32" t="s">
        <v>88</v>
      </c>
      <c r="H537" t="s">
        <v>27990</v>
      </c>
    </row>
    <row r="538" spans="2:8" x14ac:dyDescent="0.25">
      <c r="B538" s="41" t="s">
        <v>939</v>
      </c>
      <c r="C538" s="429" t="s">
        <v>1410</v>
      </c>
      <c r="D538" s="430" t="s">
        <v>1411</v>
      </c>
      <c r="E538" s="430" t="s">
        <v>1420</v>
      </c>
      <c r="F538" t="str">
        <f t="shared" si="4"/>
        <v>Français</v>
      </c>
      <c r="G538" s="32" t="s">
        <v>88</v>
      </c>
      <c r="H538" t="s">
        <v>27991</v>
      </c>
    </row>
    <row r="539" spans="2:8" x14ac:dyDescent="0.25">
      <c r="B539" s="41" t="s">
        <v>940</v>
      </c>
      <c r="C539" s="429" t="s">
        <v>1410</v>
      </c>
      <c r="D539" s="430" t="s">
        <v>1411</v>
      </c>
      <c r="E539" s="430" t="s">
        <v>1422</v>
      </c>
      <c r="F539" t="str">
        <f t="shared" si="4"/>
        <v>Français</v>
      </c>
      <c r="G539" s="32" t="s">
        <v>88</v>
      </c>
      <c r="H539" t="s">
        <v>27992</v>
      </c>
    </row>
    <row r="540" spans="2:8" x14ac:dyDescent="0.25">
      <c r="B540" s="41" t="s">
        <v>941</v>
      </c>
      <c r="C540" s="429" t="s">
        <v>1410</v>
      </c>
      <c r="D540" s="430" t="s">
        <v>1411</v>
      </c>
      <c r="E540" s="430" t="s">
        <v>27682</v>
      </c>
      <c r="F540" t="str">
        <f t="shared" si="4"/>
        <v>Français</v>
      </c>
      <c r="G540" s="32" t="s">
        <v>88</v>
      </c>
      <c r="H540" t="s">
        <v>27993</v>
      </c>
    </row>
    <row r="541" spans="2:8" x14ac:dyDescent="0.25">
      <c r="B541" s="41" t="s">
        <v>942</v>
      </c>
      <c r="C541" s="429" t="s">
        <v>1410</v>
      </c>
      <c r="D541" s="430" t="s">
        <v>1411</v>
      </c>
      <c r="E541" s="430" t="s">
        <v>1424</v>
      </c>
      <c r="F541" t="str">
        <f t="shared" si="4"/>
        <v>Français</v>
      </c>
      <c r="G541" s="32" t="s">
        <v>88</v>
      </c>
      <c r="H541" t="s">
        <v>27994</v>
      </c>
    </row>
    <row r="542" spans="2:8" x14ac:dyDescent="0.25">
      <c r="B542" s="41" t="s">
        <v>943</v>
      </c>
      <c r="C542" s="429" t="s">
        <v>1410</v>
      </c>
      <c r="D542" s="430" t="s">
        <v>1411</v>
      </c>
      <c r="E542" s="430" t="s">
        <v>1426</v>
      </c>
      <c r="F542" t="str">
        <f t="shared" si="4"/>
        <v>Français</v>
      </c>
      <c r="G542" s="32" t="s">
        <v>88</v>
      </c>
      <c r="H542" t="s">
        <v>27995</v>
      </c>
    </row>
    <row r="543" spans="2:8" x14ac:dyDescent="0.25">
      <c r="B543" s="41" t="s">
        <v>944</v>
      </c>
      <c r="C543" s="429" t="s">
        <v>1410</v>
      </c>
      <c r="D543" s="430" t="s">
        <v>1411</v>
      </c>
      <c r="E543" s="430" t="s">
        <v>1428</v>
      </c>
      <c r="F543" t="str">
        <f t="shared" si="4"/>
        <v>Français</v>
      </c>
      <c r="G543" s="32" t="s">
        <v>88</v>
      </c>
      <c r="H543" t="s">
        <v>27996</v>
      </c>
    </row>
    <row r="544" spans="2:8" x14ac:dyDescent="0.25">
      <c r="B544" s="41" t="s">
        <v>945</v>
      </c>
      <c r="C544" s="429" t="s">
        <v>1410</v>
      </c>
      <c r="D544" s="430" t="s">
        <v>1411</v>
      </c>
      <c r="E544" s="430" t="s">
        <v>1430</v>
      </c>
      <c r="F544" t="str">
        <f t="shared" si="4"/>
        <v>Français</v>
      </c>
      <c r="G544" s="32" t="s">
        <v>88</v>
      </c>
      <c r="H544" t="s">
        <v>27997</v>
      </c>
    </row>
    <row r="545" spans="2:8" x14ac:dyDescent="0.25">
      <c r="B545" s="41" t="s">
        <v>932</v>
      </c>
      <c r="C545" s="429" t="s">
        <v>1410</v>
      </c>
      <c r="D545" s="430" t="s">
        <v>1432</v>
      </c>
      <c r="E545" s="430" t="s">
        <v>1392</v>
      </c>
      <c r="F545" t="str">
        <f t="shared" si="4"/>
        <v>Français</v>
      </c>
      <c r="G545" s="32" t="s">
        <v>88</v>
      </c>
      <c r="H545" t="s">
        <v>27998</v>
      </c>
    </row>
    <row r="546" spans="2:8" x14ac:dyDescent="0.25">
      <c r="B546" s="41" t="s">
        <v>946</v>
      </c>
      <c r="C546" s="429" t="s">
        <v>1410</v>
      </c>
      <c r="D546" s="430" t="s">
        <v>1432</v>
      </c>
      <c r="E546" s="430" t="s">
        <v>1444</v>
      </c>
      <c r="F546" t="str">
        <f t="shared" si="4"/>
        <v>Français</v>
      </c>
      <c r="G546" s="32" t="s">
        <v>88</v>
      </c>
      <c r="H546" t="s">
        <v>27999</v>
      </c>
    </row>
    <row r="547" spans="2:8" x14ac:dyDescent="0.25">
      <c r="B547" s="41" t="s">
        <v>947</v>
      </c>
      <c r="C547" s="429" t="s">
        <v>1410</v>
      </c>
      <c r="D547" s="430" t="s">
        <v>1432</v>
      </c>
      <c r="E547" s="430" t="s">
        <v>1436</v>
      </c>
      <c r="F547" t="str">
        <f t="shared" si="4"/>
        <v>Français</v>
      </c>
      <c r="G547" s="32" t="s">
        <v>88</v>
      </c>
      <c r="H547" t="s">
        <v>28000</v>
      </c>
    </row>
    <row r="548" spans="2:8" x14ac:dyDescent="0.25">
      <c r="B548" s="41" t="s">
        <v>948</v>
      </c>
      <c r="C548" s="429" t="s">
        <v>1410</v>
      </c>
      <c r="D548" s="430" t="s">
        <v>1432</v>
      </c>
      <c r="E548" s="430" t="s">
        <v>1438</v>
      </c>
      <c r="F548" t="str">
        <f t="shared" si="4"/>
        <v>Français</v>
      </c>
      <c r="G548" s="32" t="s">
        <v>88</v>
      </c>
      <c r="H548" t="s">
        <v>28001</v>
      </c>
    </row>
    <row r="549" spans="2:8" x14ac:dyDescent="0.25">
      <c r="B549" s="41" t="s">
        <v>949</v>
      </c>
      <c r="C549" s="429" t="s">
        <v>1410</v>
      </c>
      <c r="D549" s="430" t="s">
        <v>1432</v>
      </c>
      <c r="E549" s="430" t="s">
        <v>1440</v>
      </c>
      <c r="F549" t="str">
        <f t="shared" si="4"/>
        <v>Français</v>
      </c>
      <c r="G549" s="32" t="s">
        <v>88</v>
      </c>
      <c r="H549" t="s">
        <v>28002</v>
      </c>
    </row>
    <row r="550" spans="2:8" x14ac:dyDescent="0.25">
      <c r="B550" s="41" t="s">
        <v>950</v>
      </c>
      <c r="C550" s="429" t="s">
        <v>1410</v>
      </c>
      <c r="D550" s="430" t="s">
        <v>1432</v>
      </c>
      <c r="E550" s="430" t="s">
        <v>1442</v>
      </c>
      <c r="F550" t="str">
        <f t="shared" si="4"/>
        <v>Français</v>
      </c>
      <c r="G550" s="32" t="s">
        <v>88</v>
      </c>
      <c r="H550" t="s">
        <v>28003</v>
      </c>
    </row>
    <row r="551" spans="2:8" x14ac:dyDescent="0.25">
      <c r="B551" s="41" t="s">
        <v>946</v>
      </c>
      <c r="C551" s="429" t="s">
        <v>1410</v>
      </c>
      <c r="D551" s="430" t="s">
        <v>1432</v>
      </c>
      <c r="E551" s="430" t="s">
        <v>1444</v>
      </c>
      <c r="F551" t="str">
        <f t="shared" si="4"/>
        <v>Français</v>
      </c>
      <c r="G551" s="32" t="s">
        <v>88</v>
      </c>
      <c r="H551" t="s">
        <v>28004</v>
      </c>
    </row>
    <row r="552" spans="2:8" x14ac:dyDescent="0.25">
      <c r="B552" s="41" t="s">
        <v>951</v>
      </c>
      <c r="C552" s="429" t="s">
        <v>1410</v>
      </c>
      <c r="D552" s="430" t="s">
        <v>1432</v>
      </c>
      <c r="E552" s="430" t="s">
        <v>1446</v>
      </c>
      <c r="F552" t="str">
        <f t="shared" si="4"/>
        <v>Français</v>
      </c>
      <c r="G552" s="32" t="s">
        <v>88</v>
      </c>
      <c r="H552" t="s">
        <v>28005</v>
      </c>
    </row>
    <row r="553" spans="2:8" x14ac:dyDescent="0.25">
      <c r="B553" s="41" t="s">
        <v>952</v>
      </c>
      <c r="C553" s="429" t="s">
        <v>1410</v>
      </c>
      <c r="D553" s="430" t="s">
        <v>481</v>
      </c>
      <c r="E553" s="430" t="s">
        <v>1392</v>
      </c>
      <c r="F553" t="str">
        <f t="shared" si="4"/>
        <v>Français</v>
      </c>
      <c r="G553" s="32" t="s">
        <v>88</v>
      </c>
      <c r="H553" t="s">
        <v>28006</v>
      </c>
    </row>
    <row r="554" spans="2:8" x14ac:dyDescent="0.25">
      <c r="B554" s="41" t="s">
        <v>953</v>
      </c>
      <c r="C554" s="429" t="s">
        <v>1410</v>
      </c>
      <c r="D554" s="430" t="s">
        <v>481</v>
      </c>
      <c r="E554" s="430" t="s">
        <v>1449</v>
      </c>
      <c r="F554" t="str">
        <f t="shared" si="4"/>
        <v>Français</v>
      </c>
      <c r="G554" s="32" t="s">
        <v>88</v>
      </c>
      <c r="H554" t="s">
        <v>28007</v>
      </c>
    </row>
    <row r="555" spans="2:8" x14ac:dyDescent="0.25">
      <c r="B555" s="41" t="s">
        <v>954</v>
      </c>
      <c r="C555" s="429" t="s">
        <v>1410</v>
      </c>
      <c r="D555" s="430" t="s">
        <v>481</v>
      </c>
      <c r="E555" s="430" t="s">
        <v>1451</v>
      </c>
      <c r="F555" t="str">
        <f t="shared" si="4"/>
        <v>Français</v>
      </c>
      <c r="G555" s="32" t="s">
        <v>88</v>
      </c>
      <c r="H555" t="s">
        <v>28008</v>
      </c>
    </row>
    <row r="556" spans="2:8" x14ac:dyDescent="0.25">
      <c r="B556" s="41" t="s">
        <v>955</v>
      </c>
      <c r="C556" s="429" t="s">
        <v>1410</v>
      </c>
      <c r="D556" s="430" t="s">
        <v>481</v>
      </c>
      <c r="E556" s="430" t="s">
        <v>1454</v>
      </c>
      <c r="F556" t="str">
        <f t="shared" si="4"/>
        <v>Français</v>
      </c>
      <c r="G556" s="32" t="s">
        <v>88</v>
      </c>
      <c r="H556" t="s">
        <v>28009</v>
      </c>
    </row>
    <row r="557" spans="2:8" x14ac:dyDescent="0.25">
      <c r="B557" s="41" t="s">
        <v>956</v>
      </c>
      <c r="C557" s="429" t="s">
        <v>1410</v>
      </c>
      <c r="D557" s="430" t="s">
        <v>481</v>
      </c>
      <c r="E557" s="430" t="s">
        <v>1456</v>
      </c>
      <c r="F557" t="str">
        <f t="shared" si="4"/>
        <v>Français</v>
      </c>
      <c r="G557" s="32" t="s">
        <v>88</v>
      </c>
      <c r="H557" t="s">
        <v>28010</v>
      </c>
    </row>
    <row r="558" spans="2:8" x14ac:dyDescent="0.25">
      <c r="B558" s="41" t="s">
        <v>952</v>
      </c>
      <c r="C558" s="429" t="s">
        <v>1410</v>
      </c>
      <c r="D558" s="430" t="s">
        <v>481</v>
      </c>
      <c r="E558" s="430" t="s">
        <v>1458</v>
      </c>
      <c r="F558" t="str">
        <f t="shared" si="4"/>
        <v>Français</v>
      </c>
      <c r="G558" s="32" t="s">
        <v>88</v>
      </c>
      <c r="H558" t="s">
        <v>28011</v>
      </c>
    </row>
    <row r="559" spans="2:8" x14ac:dyDescent="0.25">
      <c r="B559" s="41" t="s">
        <v>957</v>
      </c>
      <c r="C559" s="429" t="s">
        <v>1410</v>
      </c>
      <c r="D559" s="430" t="s">
        <v>481</v>
      </c>
      <c r="E559" s="430" t="s">
        <v>1460</v>
      </c>
      <c r="F559" t="str">
        <f t="shared" si="4"/>
        <v>Français</v>
      </c>
      <c r="G559" s="32" t="s">
        <v>88</v>
      </c>
      <c r="H559" t="s">
        <v>28012</v>
      </c>
    </row>
    <row r="560" spans="2:8" x14ac:dyDescent="0.25">
      <c r="B560" s="41" t="s">
        <v>958</v>
      </c>
      <c r="C560" s="429" t="s">
        <v>1410</v>
      </c>
      <c r="D560" s="430" t="s">
        <v>481</v>
      </c>
      <c r="E560" s="430" t="s">
        <v>27683</v>
      </c>
      <c r="F560" t="str">
        <f t="shared" si="4"/>
        <v>Français</v>
      </c>
      <c r="G560" s="32" t="s">
        <v>88</v>
      </c>
      <c r="H560" t="s">
        <v>28013</v>
      </c>
    </row>
    <row r="561" spans="2:8" x14ac:dyDescent="0.25">
      <c r="B561" s="41" t="s">
        <v>959</v>
      </c>
      <c r="C561" s="429" t="s">
        <v>1410</v>
      </c>
      <c r="D561" s="430" t="s">
        <v>481</v>
      </c>
      <c r="E561" s="430" t="s">
        <v>1463</v>
      </c>
      <c r="F561" t="str">
        <f t="shared" si="4"/>
        <v>Français</v>
      </c>
      <c r="G561" s="32" t="s">
        <v>88</v>
      </c>
      <c r="H561" t="s">
        <v>28014</v>
      </c>
    </row>
    <row r="562" spans="2:8" x14ac:dyDescent="0.25">
      <c r="B562" s="41" t="s">
        <v>960</v>
      </c>
      <c r="C562" s="429" t="s">
        <v>1410</v>
      </c>
      <c r="D562" s="430" t="s">
        <v>481</v>
      </c>
      <c r="E562" s="430" t="s">
        <v>1465</v>
      </c>
      <c r="F562" t="str">
        <f t="shared" si="4"/>
        <v>Français</v>
      </c>
      <c r="G562" s="32" t="s">
        <v>88</v>
      </c>
      <c r="H562" t="s">
        <v>28015</v>
      </c>
    </row>
    <row r="563" spans="2:8" x14ac:dyDescent="0.25">
      <c r="B563" s="41" t="s">
        <v>961</v>
      </c>
      <c r="C563" s="429" t="s">
        <v>1410</v>
      </c>
      <c r="D563" s="430" t="s">
        <v>1466</v>
      </c>
      <c r="E563" s="430" t="s">
        <v>1392</v>
      </c>
      <c r="F563" t="str">
        <f t="shared" si="4"/>
        <v>Français</v>
      </c>
      <c r="G563" s="32" t="s">
        <v>88</v>
      </c>
      <c r="H563" t="s">
        <v>28016</v>
      </c>
    </row>
    <row r="564" spans="2:8" x14ac:dyDescent="0.25">
      <c r="B564" s="41" t="s">
        <v>962</v>
      </c>
      <c r="C564" s="429" t="s">
        <v>1410</v>
      </c>
      <c r="D564" s="430" t="s">
        <v>1466</v>
      </c>
      <c r="E564" s="430" t="s">
        <v>1468</v>
      </c>
      <c r="F564" t="str">
        <f t="shared" si="4"/>
        <v>Français</v>
      </c>
      <c r="G564" s="32" t="s">
        <v>88</v>
      </c>
      <c r="H564" t="s">
        <v>28017</v>
      </c>
    </row>
    <row r="565" spans="2:8" x14ac:dyDescent="0.25">
      <c r="B565" s="41" t="s">
        <v>963</v>
      </c>
      <c r="C565" s="429" t="s">
        <v>1410</v>
      </c>
      <c r="D565" s="430" t="s">
        <v>1466</v>
      </c>
      <c r="E565" s="430" t="s">
        <v>1470</v>
      </c>
      <c r="F565" t="str">
        <f t="shared" si="4"/>
        <v>Français</v>
      </c>
      <c r="G565" s="32" t="s">
        <v>88</v>
      </c>
      <c r="H565" t="s">
        <v>28018</v>
      </c>
    </row>
    <row r="566" spans="2:8" x14ac:dyDescent="0.25">
      <c r="B566" s="41" t="s">
        <v>964</v>
      </c>
      <c r="C566" s="429" t="s">
        <v>1410</v>
      </c>
      <c r="D566" s="430" t="s">
        <v>1466</v>
      </c>
      <c r="E566" s="430" t="s">
        <v>1472</v>
      </c>
      <c r="F566" t="str">
        <f t="shared" si="4"/>
        <v>Français</v>
      </c>
      <c r="G566" s="32" t="s">
        <v>88</v>
      </c>
      <c r="H566" t="s">
        <v>28019</v>
      </c>
    </row>
    <row r="567" spans="2:8" x14ac:dyDescent="0.25">
      <c r="B567" s="41" t="s">
        <v>965</v>
      </c>
      <c r="C567" s="429" t="s">
        <v>1410</v>
      </c>
      <c r="D567" s="430" t="s">
        <v>1466</v>
      </c>
      <c r="E567" s="430" t="s">
        <v>1473</v>
      </c>
      <c r="F567" t="str">
        <f t="shared" si="4"/>
        <v>Français</v>
      </c>
      <c r="G567" s="32" t="s">
        <v>88</v>
      </c>
      <c r="H567" t="s">
        <v>28020</v>
      </c>
    </row>
    <row r="568" spans="2:8" x14ac:dyDescent="0.25">
      <c r="B568" s="41" t="s">
        <v>966</v>
      </c>
      <c r="C568" s="429" t="s">
        <v>1410</v>
      </c>
      <c r="D568" s="430" t="s">
        <v>1466</v>
      </c>
      <c r="E568" s="430" t="s">
        <v>1203</v>
      </c>
      <c r="F568" t="str">
        <f t="shared" si="4"/>
        <v>Français</v>
      </c>
      <c r="G568" s="32" t="s">
        <v>88</v>
      </c>
      <c r="H568" t="s">
        <v>28021</v>
      </c>
    </row>
    <row r="569" spans="2:8" x14ac:dyDescent="0.25">
      <c r="B569" s="41" t="s">
        <v>967</v>
      </c>
      <c r="C569" s="429" t="s">
        <v>1410</v>
      </c>
      <c r="D569" s="430" t="s">
        <v>1466</v>
      </c>
      <c r="E569" s="430" t="s">
        <v>1475</v>
      </c>
      <c r="F569" t="str">
        <f t="shared" si="4"/>
        <v>Français</v>
      </c>
      <c r="G569" s="32" t="s">
        <v>88</v>
      </c>
      <c r="H569" t="s">
        <v>28022</v>
      </c>
    </row>
    <row r="570" spans="2:8" x14ac:dyDescent="0.25">
      <c r="B570" s="41" t="s">
        <v>968</v>
      </c>
      <c r="C570" s="429" t="s">
        <v>1410</v>
      </c>
      <c r="D570" s="430" t="s">
        <v>1466</v>
      </c>
      <c r="E570" s="430" t="s">
        <v>1477</v>
      </c>
      <c r="F570" t="str">
        <f t="shared" si="4"/>
        <v>Français</v>
      </c>
      <c r="G570" s="32" t="s">
        <v>88</v>
      </c>
      <c r="H570" t="s">
        <v>28023</v>
      </c>
    </row>
    <row r="571" spans="2:8" x14ac:dyDescent="0.25">
      <c r="B571" s="41" t="s">
        <v>969</v>
      </c>
      <c r="C571" s="429" t="s">
        <v>1410</v>
      </c>
      <c r="D571" s="430" t="s">
        <v>1466</v>
      </c>
      <c r="E571" s="430" t="s">
        <v>1479</v>
      </c>
      <c r="F571" t="str">
        <f t="shared" si="4"/>
        <v>Français</v>
      </c>
      <c r="G571" s="32" t="s">
        <v>88</v>
      </c>
      <c r="H571" t="s">
        <v>28024</v>
      </c>
    </row>
    <row r="572" spans="2:8" x14ac:dyDescent="0.25">
      <c r="B572" s="41" t="s">
        <v>970</v>
      </c>
      <c r="C572" s="429" t="s">
        <v>1410</v>
      </c>
      <c r="D572" s="430" t="s">
        <v>1466</v>
      </c>
      <c r="E572" s="430" t="s">
        <v>1207</v>
      </c>
      <c r="F572" t="str">
        <f t="shared" si="4"/>
        <v>Français</v>
      </c>
      <c r="G572" s="32" t="s">
        <v>88</v>
      </c>
      <c r="H572" t="s">
        <v>28025</v>
      </c>
    </row>
    <row r="573" spans="2:8" x14ac:dyDescent="0.25">
      <c r="B573" s="41" t="s">
        <v>971</v>
      </c>
      <c r="C573" s="429" t="s">
        <v>1410</v>
      </c>
      <c r="D573" s="430" t="s">
        <v>1466</v>
      </c>
      <c r="E573" s="430" t="s">
        <v>1482</v>
      </c>
      <c r="F573" t="str">
        <f t="shared" si="4"/>
        <v>Français</v>
      </c>
      <c r="G573" s="32" t="s">
        <v>88</v>
      </c>
      <c r="H573" t="s">
        <v>28026</v>
      </c>
    </row>
    <row r="574" spans="2:8" x14ac:dyDescent="0.25">
      <c r="B574" s="41" t="s">
        <v>972</v>
      </c>
      <c r="C574" s="429" t="s">
        <v>1410</v>
      </c>
      <c r="D574" s="430" t="s">
        <v>1484</v>
      </c>
      <c r="E574" s="430" t="s">
        <v>1392</v>
      </c>
      <c r="F574" t="str">
        <f t="shared" ref="F574:F636" si="5">French</f>
        <v>Français</v>
      </c>
      <c r="G574" s="32" t="s">
        <v>88</v>
      </c>
      <c r="H574" t="s">
        <v>28027</v>
      </c>
    </row>
    <row r="575" spans="2:8" x14ac:dyDescent="0.25">
      <c r="B575" s="41" t="s">
        <v>972</v>
      </c>
      <c r="C575" s="429" t="s">
        <v>1410</v>
      </c>
      <c r="D575" s="430" t="s">
        <v>1484</v>
      </c>
      <c r="E575" s="430" t="s">
        <v>1486</v>
      </c>
      <c r="F575" t="str">
        <f t="shared" si="5"/>
        <v>Français</v>
      </c>
      <c r="G575" s="32" t="s">
        <v>88</v>
      </c>
      <c r="H575" t="s">
        <v>28028</v>
      </c>
    </row>
    <row r="576" spans="2:8" x14ac:dyDescent="0.25">
      <c r="B576" s="41" t="s">
        <v>973</v>
      </c>
      <c r="C576" s="429" t="s">
        <v>1410</v>
      </c>
      <c r="D576" s="430" t="s">
        <v>1484</v>
      </c>
      <c r="E576" s="430" t="s">
        <v>1488</v>
      </c>
      <c r="F576" t="str">
        <f t="shared" si="5"/>
        <v>Français</v>
      </c>
      <c r="G576" s="32" t="s">
        <v>88</v>
      </c>
      <c r="H576" t="s">
        <v>28029</v>
      </c>
    </row>
    <row r="577" spans="2:8" x14ac:dyDescent="0.25">
      <c r="B577" s="41" t="s">
        <v>974</v>
      </c>
      <c r="C577" s="429" t="s">
        <v>1410</v>
      </c>
      <c r="D577" s="430" t="s">
        <v>1484</v>
      </c>
      <c r="E577" s="430" t="s">
        <v>27684</v>
      </c>
      <c r="F577" t="str">
        <f t="shared" si="5"/>
        <v>Français</v>
      </c>
      <c r="G577" s="32" t="s">
        <v>88</v>
      </c>
      <c r="H577" t="s">
        <v>28030</v>
      </c>
    </row>
    <row r="578" spans="2:8" x14ac:dyDescent="0.25">
      <c r="B578" s="41" t="s">
        <v>975</v>
      </c>
      <c r="C578" s="429" t="s">
        <v>1410</v>
      </c>
      <c r="D578" s="430" t="s">
        <v>1484</v>
      </c>
      <c r="E578" s="430" t="s">
        <v>1491</v>
      </c>
      <c r="F578" t="str">
        <f t="shared" si="5"/>
        <v>Français</v>
      </c>
      <c r="G578" s="32" t="s">
        <v>88</v>
      </c>
      <c r="H578" t="s">
        <v>28031</v>
      </c>
    </row>
    <row r="579" spans="2:8" x14ac:dyDescent="0.25">
      <c r="B579" s="41" t="s">
        <v>976</v>
      </c>
      <c r="C579" s="429" t="s">
        <v>1410</v>
      </c>
      <c r="D579" s="430" t="s">
        <v>1493</v>
      </c>
      <c r="E579" s="430" t="s">
        <v>1392</v>
      </c>
      <c r="F579" t="str">
        <f t="shared" si="5"/>
        <v>Français</v>
      </c>
      <c r="G579" s="32" t="s">
        <v>88</v>
      </c>
      <c r="H579" t="s">
        <v>28032</v>
      </c>
    </row>
    <row r="580" spans="2:8" x14ac:dyDescent="0.25">
      <c r="B580" s="41" t="s">
        <v>976</v>
      </c>
      <c r="C580" s="429" t="s">
        <v>1410</v>
      </c>
      <c r="D580" s="430" t="s">
        <v>1493</v>
      </c>
      <c r="E580" s="430" t="s">
        <v>1495</v>
      </c>
      <c r="F580" t="str">
        <f t="shared" si="5"/>
        <v>Français</v>
      </c>
      <c r="G580" s="32" t="s">
        <v>88</v>
      </c>
      <c r="H580" t="s">
        <v>28033</v>
      </c>
    </row>
    <row r="581" spans="2:8" x14ac:dyDescent="0.25">
      <c r="B581" s="41" t="s">
        <v>977</v>
      </c>
      <c r="C581" s="429" t="s">
        <v>1410</v>
      </c>
      <c r="D581" s="430" t="s">
        <v>1493</v>
      </c>
      <c r="E581" s="430" t="s">
        <v>1497</v>
      </c>
      <c r="F581" t="str">
        <f t="shared" si="5"/>
        <v>Français</v>
      </c>
      <c r="G581" s="32" t="s">
        <v>88</v>
      </c>
      <c r="H581" t="s">
        <v>28034</v>
      </c>
    </row>
    <row r="582" spans="2:8" x14ac:dyDescent="0.25">
      <c r="B582" s="41" t="s">
        <v>978</v>
      </c>
      <c r="C582" s="429" t="s">
        <v>1410</v>
      </c>
      <c r="D582" s="430" t="s">
        <v>1493</v>
      </c>
      <c r="E582" s="430" t="s">
        <v>27685</v>
      </c>
      <c r="F582" t="str">
        <f t="shared" si="5"/>
        <v>Français</v>
      </c>
      <c r="G582" s="32" t="s">
        <v>88</v>
      </c>
      <c r="H582" t="s">
        <v>28035</v>
      </c>
    </row>
    <row r="583" spans="2:8" x14ac:dyDescent="0.25">
      <c r="B583" s="41" t="s">
        <v>979</v>
      </c>
      <c r="C583" s="429" t="s">
        <v>27686</v>
      </c>
      <c r="D583" s="430" t="s">
        <v>1501</v>
      </c>
      <c r="E583" s="430" t="s">
        <v>1392</v>
      </c>
      <c r="F583" t="str">
        <f t="shared" si="5"/>
        <v>Français</v>
      </c>
      <c r="G583" s="32" t="s">
        <v>88</v>
      </c>
      <c r="H583" t="s">
        <v>28036</v>
      </c>
    </row>
    <row r="584" spans="2:8" x14ac:dyDescent="0.25">
      <c r="B584" s="41" t="s">
        <v>980</v>
      </c>
      <c r="C584" s="429" t="s">
        <v>27686</v>
      </c>
      <c r="D584" s="430" t="s">
        <v>1502</v>
      </c>
      <c r="E584" s="430" t="s">
        <v>1392</v>
      </c>
      <c r="F584" t="str">
        <f t="shared" si="5"/>
        <v>Français</v>
      </c>
      <c r="G584" s="32" t="s">
        <v>88</v>
      </c>
      <c r="H584" t="s">
        <v>28037</v>
      </c>
    </row>
    <row r="585" spans="2:8" x14ac:dyDescent="0.25">
      <c r="B585" s="41" t="s">
        <v>981</v>
      </c>
      <c r="C585" s="429" t="s">
        <v>27686</v>
      </c>
      <c r="D585" s="430" t="s">
        <v>1504</v>
      </c>
      <c r="E585" s="430" t="s">
        <v>1392</v>
      </c>
      <c r="F585" t="str">
        <f t="shared" si="5"/>
        <v>Français</v>
      </c>
      <c r="G585" s="32" t="s">
        <v>88</v>
      </c>
      <c r="H585" t="s">
        <v>28038</v>
      </c>
    </row>
    <row r="586" spans="2:8" x14ac:dyDescent="0.25">
      <c r="B586" s="41" t="s">
        <v>982</v>
      </c>
      <c r="C586" s="429" t="s">
        <v>1506</v>
      </c>
      <c r="D586" s="430" t="s">
        <v>1223</v>
      </c>
      <c r="E586" s="430" t="s">
        <v>1392</v>
      </c>
      <c r="F586" t="str">
        <f t="shared" si="5"/>
        <v>Français</v>
      </c>
      <c r="G586" s="32" t="s">
        <v>88</v>
      </c>
      <c r="H586" t="s">
        <v>28039</v>
      </c>
    </row>
    <row r="587" spans="2:8" x14ac:dyDescent="0.25">
      <c r="B587" s="41" t="s">
        <v>983</v>
      </c>
      <c r="C587" s="429" t="s">
        <v>1506</v>
      </c>
      <c r="D587" s="430" t="s">
        <v>1223</v>
      </c>
      <c r="E587" s="430" t="s">
        <v>1508</v>
      </c>
      <c r="F587" t="str">
        <f t="shared" si="5"/>
        <v>Français</v>
      </c>
      <c r="G587" s="32" t="s">
        <v>88</v>
      </c>
      <c r="H587" t="s">
        <v>28040</v>
      </c>
    </row>
    <row r="588" spans="2:8" x14ac:dyDescent="0.25">
      <c r="B588" s="41" t="s">
        <v>982</v>
      </c>
      <c r="C588" s="429" t="s">
        <v>1506</v>
      </c>
      <c r="D588" s="430" t="s">
        <v>1223</v>
      </c>
      <c r="E588" s="430" t="s">
        <v>27687</v>
      </c>
      <c r="F588" t="str">
        <f t="shared" si="5"/>
        <v>Français</v>
      </c>
      <c r="G588" s="32" t="s">
        <v>88</v>
      </c>
      <c r="H588" t="s">
        <v>28041</v>
      </c>
    </row>
    <row r="589" spans="2:8" x14ac:dyDescent="0.25">
      <c r="B589" s="41" t="s">
        <v>984</v>
      </c>
      <c r="C589" s="429" t="s">
        <v>1506</v>
      </c>
      <c r="D589" s="430" t="s">
        <v>1223</v>
      </c>
      <c r="E589" s="430" t="s">
        <v>27688</v>
      </c>
      <c r="F589" t="str">
        <f t="shared" si="5"/>
        <v>Français</v>
      </c>
      <c r="G589" s="32" t="s">
        <v>88</v>
      </c>
      <c r="H589" t="s">
        <v>28042</v>
      </c>
    </row>
    <row r="590" spans="2:8" x14ac:dyDescent="0.25">
      <c r="B590" s="41" t="s">
        <v>985</v>
      </c>
      <c r="C590" s="429" t="s">
        <v>1506</v>
      </c>
      <c r="D590" s="430" t="s">
        <v>27689</v>
      </c>
      <c r="E590" s="430" t="s">
        <v>1513</v>
      </c>
      <c r="F590" t="str">
        <f t="shared" si="5"/>
        <v>Français</v>
      </c>
      <c r="G590" s="32" t="s">
        <v>88</v>
      </c>
      <c r="H590" t="s">
        <v>28043</v>
      </c>
    </row>
    <row r="591" spans="2:8" x14ac:dyDescent="0.25">
      <c r="B591" s="41" t="s">
        <v>986</v>
      </c>
      <c r="C591" s="429" t="s">
        <v>1506</v>
      </c>
      <c r="D591" s="430" t="s">
        <v>27689</v>
      </c>
      <c r="E591" s="430" t="s">
        <v>1515</v>
      </c>
      <c r="F591" t="str">
        <f t="shared" si="5"/>
        <v>Français</v>
      </c>
      <c r="G591" s="32" t="s">
        <v>88</v>
      </c>
      <c r="H591" t="s">
        <v>28044</v>
      </c>
    </row>
    <row r="592" spans="2:8" x14ac:dyDescent="0.25">
      <c r="B592" s="41" t="s">
        <v>987</v>
      </c>
      <c r="C592" s="429" t="s">
        <v>1506</v>
      </c>
      <c r="D592" s="430" t="s">
        <v>27689</v>
      </c>
      <c r="E592" s="430" t="s">
        <v>1517</v>
      </c>
      <c r="F592" t="str">
        <f t="shared" si="5"/>
        <v>Français</v>
      </c>
      <c r="G592" s="32" t="s">
        <v>88</v>
      </c>
      <c r="H592" t="s">
        <v>28045</v>
      </c>
    </row>
    <row r="593" spans="2:8" x14ac:dyDescent="0.25">
      <c r="B593" s="41" t="s">
        <v>988</v>
      </c>
      <c r="C593" s="429" t="s">
        <v>1506</v>
      </c>
      <c r="D593" s="430" t="s">
        <v>27690</v>
      </c>
      <c r="E593" s="430" t="s">
        <v>1518</v>
      </c>
      <c r="F593" t="str">
        <f t="shared" si="5"/>
        <v>Français</v>
      </c>
      <c r="G593" s="32" t="s">
        <v>989</v>
      </c>
      <c r="H593" t="s">
        <v>28046</v>
      </c>
    </row>
    <row r="594" spans="2:8" x14ac:dyDescent="0.25">
      <c r="B594" s="41" t="s">
        <v>990</v>
      </c>
      <c r="C594" s="429" t="s">
        <v>1506</v>
      </c>
      <c r="D594" s="430" t="s">
        <v>27690</v>
      </c>
      <c r="E594" s="430" t="s">
        <v>27691</v>
      </c>
      <c r="F594" t="str">
        <f t="shared" si="5"/>
        <v>Français</v>
      </c>
      <c r="G594" s="32" t="s">
        <v>989</v>
      </c>
      <c r="H594" t="s">
        <v>28047</v>
      </c>
    </row>
    <row r="595" spans="2:8" x14ac:dyDescent="0.25">
      <c r="B595" s="41" t="s">
        <v>991</v>
      </c>
      <c r="C595" s="429" t="s">
        <v>1506</v>
      </c>
      <c r="D595" s="430" t="s">
        <v>27690</v>
      </c>
      <c r="E595" s="430" t="s">
        <v>27692</v>
      </c>
      <c r="F595" t="str">
        <f t="shared" si="5"/>
        <v>Français</v>
      </c>
      <c r="G595" s="32" t="s">
        <v>989</v>
      </c>
      <c r="H595" t="s">
        <v>28048</v>
      </c>
    </row>
    <row r="596" spans="2:8" x14ac:dyDescent="0.25">
      <c r="B596" s="41" t="s">
        <v>992</v>
      </c>
      <c r="C596" s="429" t="s">
        <v>1506</v>
      </c>
      <c r="D596" s="430" t="s">
        <v>27690</v>
      </c>
      <c r="E596" s="430" t="s">
        <v>27693</v>
      </c>
      <c r="F596" t="str">
        <f t="shared" si="5"/>
        <v>Français</v>
      </c>
      <c r="G596" s="32" t="s">
        <v>989</v>
      </c>
      <c r="H596" t="s">
        <v>28049</v>
      </c>
    </row>
    <row r="597" spans="2:8" x14ac:dyDescent="0.25">
      <c r="B597" s="41" t="s">
        <v>993</v>
      </c>
      <c r="C597" s="429" t="s">
        <v>1506</v>
      </c>
      <c r="D597" s="430" t="s">
        <v>27690</v>
      </c>
      <c r="E597" s="430" t="s">
        <v>27694</v>
      </c>
      <c r="F597" t="str">
        <f t="shared" si="5"/>
        <v>Français</v>
      </c>
      <c r="G597" s="32" t="s">
        <v>989</v>
      </c>
      <c r="H597" t="s">
        <v>28050</v>
      </c>
    </row>
    <row r="598" spans="2:8" x14ac:dyDescent="0.25">
      <c r="B598" s="41" t="s">
        <v>994</v>
      </c>
      <c r="C598" s="429" t="s">
        <v>1506</v>
      </c>
      <c r="D598" s="430" t="s">
        <v>27690</v>
      </c>
      <c r="E598" s="430" t="s">
        <v>1523</v>
      </c>
      <c r="F598" t="str">
        <f t="shared" si="5"/>
        <v>Français</v>
      </c>
      <c r="G598" s="32" t="s">
        <v>989</v>
      </c>
      <c r="H598" t="s">
        <v>28051</v>
      </c>
    </row>
    <row r="599" spans="2:8" x14ac:dyDescent="0.25">
      <c r="B599" s="41" t="s">
        <v>995</v>
      </c>
      <c r="C599" s="429" t="s">
        <v>1506</v>
      </c>
      <c r="D599" s="430" t="s">
        <v>27690</v>
      </c>
      <c r="E599" s="430" t="s">
        <v>1525</v>
      </c>
      <c r="F599" t="str">
        <f t="shared" si="5"/>
        <v>Français</v>
      </c>
      <c r="G599" s="32" t="s">
        <v>88</v>
      </c>
      <c r="H599" t="s">
        <v>28052</v>
      </c>
    </row>
    <row r="600" spans="2:8" x14ac:dyDescent="0.25">
      <c r="B600" s="41" t="s">
        <v>985</v>
      </c>
      <c r="C600" s="429" t="s">
        <v>1506</v>
      </c>
      <c r="D600" s="430" t="s">
        <v>27689</v>
      </c>
      <c r="E600" s="430" t="s">
        <v>1392</v>
      </c>
      <c r="F600" t="str">
        <f t="shared" si="5"/>
        <v>Français</v>
      </c>
      <c r="G600" s="32" t="s">
        <v>88</v>
      </c>
      <c r="H600" t="s">
        <v>28053</v>
      </c>
    </row>
    <row r="601" spans="2:8" x14ac:dyDescent="0.25">
      <c r="B601" s="41" t="s">
        <v>996</v>
      </c>
      <c r="C601" s="429" t="s">
        <v>1506</v>
      </c>
      <c r="D601" s="430" t="s">
        <v>1512</v>
      </c>
      <c r="E601" s="430" t="s">
        <v>27695</v>
      </c>
      <c r="F601" t="str">
        <f t="shared" si="5"/>
        <v>Français</v>
      </c>
      <c r="G601" s="32" t="s">
        <v>88</v>
      </c>
      <c r="H601" t="s">
        <v>28054</v>
      </c>
    </row>
    <row r="602" spans="2:8" x14ac:dyDescent="0.25">
      <c r="B602" s="41" t="s">
        <v>997</v>
      </c>
      <c r="C602" s="429" t="s">
        <v>1506</v>
      </c>
      <c r="D602" s="430" t="s">
        <v>1512</v>
      </c>
      <c r="E602" s="430" t="s">
        <v>27696</v>
      </c>
      <c r="F602" t="str">
        <f t="shared" si="5"/>
        <v>Français</v>
      </c>
      <c r="G602" s="32" t="s">
        <v>88</v>
      </c>
      <c r="H602" t="s">
        <v>28055</v>
      </c>
    </row>
    <row r="603" spans="2:8" x14ac:dyDescent="0.25">
      <c r="B603" s="41" t="s">
        <v>998</v>
      </c>
      <c r="C603" s="429" t="s">
        <v>1506</v>
      </c>
      <c r="D603" s="430" t="s">
        <v>1512</v>
      </c>
      <c r="E603" s="430" t="s">
        <v>1530</v>
      </c>
      <c r="F603" t="str">
        <f t="shared" si="5"/>
        <v>Français</v>
      </c>
      <c r="G603" s="32" t="s">
        <v>88</v>
      </c>
      <c r="H603" t="s">
        <v>28056</v>
      </c>
    </row>
    <row r="604" spans="2:8" x14ac:dyDescent="0.25">
      <c r="B604" s="41" t="s">
        <v>999</v>
      </c>
      <c r="C604" s="429" t="s">
        <v>1532</v>
      </c>
      <c r="D604" s="430" t="s">
        <v>27697</v>
      </c>
      <c r="E604" s="430" t="s">
        <v>1392</v>
      </c>
      <c r="F604" t="str">
        <f t="shared" si="5"/>
        <v>Français</v>
      </c>
      <c r="G604" s="32" t="s">
        <v>88</v>
      </c>
      <c r="H604" t="s">
        <v>28057</v>
      </c>
    </row>
    <row r="605" spans="2:8" x14ac:dyDescent="0.25">
      <c r="B605" s="41" t="s">
        <v>1000</v>
      </c>
      <c r="C605" s="429" t="s">
        <v>1532</v>
      </c>
      <c r="D605" s="430" t="s">
        <v>27698</v>
      </c>
      <c r="E605" s="430" t="s">
        <v>1392</v>
      </c>
      <c r="F605" t="str">
        <f t="shared" si="5"/>
        <v>Français</v>
      </c>
      <c r="G605" s="32" t="s">
        <v>88</v>
      </c>
      <c r="H605" t="s">
        <v>28058</v>
      </c>
    </row>
    <row r="606" spans="2:8" x14ac:dyDescent="0.25">
      <c r="B606" s="41" t="s">
        <v>1001</v>
      </c>
      <c r="C606" s="429" t="s">
        <v>1535</v>
      </c>
      <c r="D606" s="430" t="s">
        <v>27953</v>
      </c>
      <c r="E606" s="430" t="s">
        <v>1392</v>
      </c>
      <c r="F606" t="str">
        <f t="shared" si="5"/>
        <v>Français</v>
      </c>
      <c r="G606" s="32" t="s">
        <v>88</v>
      </c>
      <c r="H606" t="s">
        <v>28059</v>
      </c>
    </row>
    <row r="607" spans="2:8" x14ac:dyDescent="0.25">
      <c r="B607" s="41" t="s">
        <v>1002</v>
      </c>
      <c r="C607" s="429" t="s">
        <v>1535</v>
      </c>
      <c r="D607" s="430" t="s">
        <v>1536</v>
      </c>
      <c r="E607" s="430" t="s">
        <v>1392</v>
      </c>
      <c r="F607" t="str">
        <f t="shared" si="5"/>
        <v>Français</v>
      </c>
      <c r="G607" s="32" t="s">
        <v>88</v>
      </c>
      <c r="H607" t="s">
        <v>28060</v>
      </c>
    </row>
    <row r="608" spans="2:8" x14ac:dyDescent="0.25">
      <c r="B608" s="41" t="s">
        <v>1003</v>
      </c>
      <c r="C608" s="429" t="s">
        <v>1535</v>
      </c>
      <c r="D608" s="430" t="s">
        <v>27699</v>
      </c>
      <c r="E608" s="430" t="s">
        <v>1392</v>
      </c>
      <c r="F608" t="str">
        <f t="shared" si="5"/>
        <v>Français</v>
      </c>
      <c r="G608" s="32" t="s">
        <v>83</v>
      </c>
      <c r="H608" t="s">
        <v>28061</v>
      </c>
    </row>
    <row r="609" spans="2:8" x14ac:dyDescent="0.25">
      <c r="B609" s="41" t="s">
        <v>1004</v>
      </c>
      <c r="C609" s="429" t="s">
        <v>1535</v>
      </c>
      <c r="D609" s="430" t="s">
        <v>1540</v>
      </c>
      <c r="E609" s="430" t="s">
        <v>1392</v>
      </c>
      <c r="F609" t="str">
        <f t="shared" si="5"/>
        <v>Français</v>
      </c>
      <c r="G609" s="32" t="s">
        <v>83</v>
      </c>
      <c r="H609" t="s">
        <v>28062</v>
      </c>
    </row>
    <row r="610" spans="2:8" x14ac:dyDescent="0.25">
      <c r="B610" s="41" t="s">
        <v>1005</v>
      </c>
      <c r="C610" s="429" t="s">
        <v>1535</v>
      </c>
      <c r="D610" s="430" t="s">
        <v>1542</v>
      </c>
      <c r="E610" s="430" t="s">
        <v>1392</v>
      </c>
      <c r="F610" t="str">
        <f t="shared" si="5"/>
        <v>Français</v>
      </c>
      <c r="G610" s="32" t="s">
        <v>83</v>
      </c>
      <c r="H610" t="s">
        <v>28063</v>
      </c>
    </row>
    <row r="611" spans="2:8" x14ac:dyDescent="0.25">
      <c r="B611" s="41" t="s">
        <v>1006</v>
      </c>
      <c r="C611" s="429" t="s">
        <v>1535</v>
      </c>
      <c r="D611" s="430" t="s">
        <v>1545</v>
      </c>
      <c r="E611" s="430" t="s">
        <v>1392</v>
      </c>
      <c r="F611" t="str">
        <f t="shared" si="5"/>
        <v>Français</v>
      </c>
      <c r="G611" s="32" t="s">
        <v>83</v>
      </c>
      <c r="H611" t="s">
        <v>28064</v>
      </c>
    </row>
    <row r="612" spans="2:8" x14ac:dyDescent="0.25">
      <c r="B612" s="41" t="s">
        <v>1007</v>
      </c>
      <c r="C612" s="429" t="s">
        <v>1535</v>
      </c>
      <c r="D612" s="430" t="s">
        <v>1547</v>
      </c>
      <c r="E612" s="430" t="s">
        <v>1392</v>
      </c>
      <c r="F612" t="str">
        <f t="shared" si="5"/>
        <v>Français</v>
      </c>
      <c r="G612" s="32" t="s">
        <v>83</v>
      </c>
      <c r="H612" t="s">
        <v>28065</v>
      </c>
    </row>
    <row r="613" spans="2:8" x14ac:dyDescent="0.25">
      <c r="B613" s="41" t="s">
        <v>1008</v>
      </c>
      <c r="C613" s="429" t="s">
        <v>1535</v>
      </c>
      <c r="D613" s="430" t="s">
        <v>1549</v>
      </c>
      <c r="E613" s="430" t="s">
        <v>1392</v>
      </c>
      <c r="F613" t="str">
        <f t="shared" si="5"/>
        <v>Français</v>
      </c>
      <c r="G613" s="32" t="s">
        <v>83</v>
      </c>
      <c r="H613" t="s">
        <v>28066</v>
      </c>
    </row>
    <row r="614" spans="2:8" x14ac:dyDescent="0.25">
      <c r="B614" s="41" t="s">
        <v>1009</v>
      </c>
      <c r="C614" s="429" t="s">
        <v>1551</v>
      </c>
      <c r="D614" s="430" t="s">
        <v>1392</v>
      </c>
      <c r="E614" s="430" t="s">
        <v>1392</v>
      </c>
      <c r="F614" t="str">
        <f t="shared" si="5"/>
        <v>Français</v>
      </c>
      <c r="G614" s="32" t="s">
        <v>88</v>
      </c>
      <c r="H614" t="s">
        <v>1592</v>
      </c>
    </row>
    <row r="615" spans="2:8" x14ac:dyDescent="0.25">
      <c r="B615" s="41" t="s">
        <v>1010</v>
      </c>
      <c r="C615" s="429" t="s">
        <v>1554</v>
      </c>
      <c r="D615" s="430" t="s">
        <v>27700</v>
      </c>
      <c r="E615" s="430" t="s">
        <v>1392</v>
      </c>
      <c r="F615" t="str">
        <f t="shared" si="5"/>
        <v>Français</v>
      </c>
      <c r="G615" s="32" t="s">
        <v>88</v>
      </c>
      <c r="H615" t="s">
        <v>28067</v>
      </c>
    </row>
    <row r="616" spans="2:8" x14ac:dyDescent="0.25">
      <c r="B616" s="41" t="s">
        <v>1011</v>
      </c>
      <c r="C616" s="429" t="s">
        <v>1554</v>
      </c>
      <c r="D616" s="430" t="s">
        <v>1556</v>
      </c>
      <c r="E616" s="430" t="s">
        <v>1557</v>
      </c>
      <c r="F616" t="str">
        <f t="shared" si="5"/>
        <v>Français</v>
      </c>
      <c r="G616" s="32" t="s">
        <v>88</v>
      </c>
      <c r="H616" t="s">
        <v>28068</v>
      </c>
    </row>
    <row r="617" spans="2:8" x14ac:dyDescent="0.25">
      <c r="B617" s="41" t="s">
        <v>1012</v>
      </c>
      <c r="C617" s="429" t="s">
        <v>1554</v>
      </c>
      <c r="D617" s="430" t="s">
        <v>1556</v>
      </c>
      <c r="E617" s="430" t="s">
        <v>1559</v>
      </c>
      <c r="F617" t="str">
        <f t="shared" si="5"/>
        <v>Français</v>
      </c>
      <c r="G617" s="32" t="s">
        <v>88</v>
      </c>
      <c r="H617" t="s">
        <v>28069</v>
      </c>
    </row>
    <row r="618" spans="2:8" x14ac:dyDescent="0.25">
      <c r="B618" s="41" t="s">
        <v>1013</v>
      </c>
      <c r="C618" s="429" t="s">
        <v>1554</v>
      </c>
      <c r="D618" s="430" t="s">
        <v>1556</v>
      </c>
      <c r="E618" s="430" t="s">
        <v>1562</v>
      </c>
      <c r="F618" t="str">
        <f t="shared" si="5"/>
        <v>Français</v>
      </c>
      <c r="G618" s="32" t="s">
        <v>88</v>
      </c>
      <c r="H618" t="s">
        <v>28070</v>
      </c>
    </row>
    <row r="619" spans="2:8" x14ac:dyDescent="0.25">
      <c r="B619" s="41" t="s">
        <v>1014</v>
      </c>
      <c r="C619" s="429" t="s">
        <v>1554</v>
      </c>
      <c r="D619" s="430" t="s">
        <v>1556</v>
      </c>
      <c r="E619" s="430" t="s">
        <v>1564</v>
      </c>
      <c r="F619" t="str">
        <f t="shared" si="5"/>
        <v>Français</v>
      </c>
      <c r="G619" s="32" t="s">
        <v>88</v>
      </c>
      <c r="H619" t="s">
        <v>28071</v>
      </c>
    </row>
    <row r="620" spans="2:8" x14ac:dyDescent="0.25">
      <c r="B620" s="41" t="s">
        <v>1015</v>
      </c>
      <c r="C620" s="429" t="s">
        <v>1554</v>
      </c>
      <c r="D620" s="430" t="s">
        <v>1566</v>
      </c>
      <c r="E620" s="430" t="s">
        <v>1392</v>
      </c>
      <c r="F620" t="str">
        <f t="shared" si="5"/>
        <v>Français</v>
      </c>
      <c r="G620" s="32" t="s">
        <v>88</v>
      </c>
      <c r="H620" t="s">
        <v>28072</v>
      </c>
    </row>
    <row r="621" spans="2:8" x14ac:dyDescent="0.25">
      <c r="B621" s="41" t="s">
        <v>1016</v>
      </c>
      <c r="C621" s="429" t="s">
        <v>1554</v>
      </c>
      <c r="D621" s="430" t="s">
        <v>1566</v>
      </c>
      <c r="E621" s="430" t="s">
        <v>27701</v>
      </c>
      <c r="F621" t="str">
        <f t="shared" si="5"/>
        <v>Français</v>
      </c>
      <c r="G621" s="32" t="s">
        <v>88</v>
      </c>
      <c r="H621" t="s">
        <v>28073</v>
      </c>
    </row>
    <row r="622" spans="2:8" x14ac:dyDescent="0.25">
      <c r="B622" s="41" t="s">
        <v>1017</v>
      </c>
      <c r="C622" s="429" t="s">
        <v>1554</v>
      </c>
      <c r="D622" s="430" t="s">
        <v>1566</v>
      </c>
      <c r="E622" s="430" t="s">
        <v>27702</v>
      </c>
      <c r="F622" t="str">
        <f t="shared" si="5"/>
        <v>Français</v>
      </c>
      <c r="G622" s="32" t="s">
        <v>88</v>
      </c>
      <c r="H622" t="s">
        <v>28074</v>
      </c>
    </row>
    <row r="623" spans="2:8" x14ac:dyDescent="0.25">
      <c r="B623" s="41" t="s">
        <v>1018</v>
      </c>
      <c r="C623" s="429" t="s">
        <v>1554</v>
      </c>
      <c r="D623" s="430" t="s">
        <v>1566</v>
      </c>
      <c r="E623" s="430" t="s">
        <v>1571</v>
      </c>
      <c r="F623" t="str">
        <f t="shared" si="5"/>
        <v>Français</v>
      </c>
      <c r="G623" s="32" t="s">
        <v>88</v>
      </c>
      <c r="H623" t="s">
        <v>28075</v>
      </c>
    </row>
    <row r="624" spans="2:8" x14ac:dyDescent="0.25">
      <c r="B624" s="41" t="s">
        <v>1019</v>
      </c>
      <c r="C624" s="429" t="s">
        <v>1554</v>
      </c>
      <c r="D624" s="430" t="s">
        <v>1566</v>
      </c>
      <c r="E624" s="430" t="s">
        <v>1572</v>
      </c>
      <c r="F624" t="str">
        <f t="shared" si="5"/>
        <v>Français</v>
      </c>
      <c r="G624" s="32" t="s">
        <v>88</v>
      </c>
      <c r="H624" t="s">
        <v>28076</v>
      </c>
    </row>
    <row r="625" spans="2:8" x14ac:dyDescent="0.25">
      <c r="B625" s="41" t="s">
        <v>1020</v>
      </c>
      <c r="C625" s="429" t="s">
        <v>1554</v>
      </c>
      <c r="D625" s="430" t="s">
        <v>1566</v>
      </c>
      <c r="E625" s="430" t="s">
        <v>1264</v>
      </c>
      <c r="F625" t="str">
        <f t="shared" si="5"/>
        <v>Français</v>
      </c>
      <c r="G625" s="32" t="s">
        <v>88</v>
      </c>
      <c r="H625" t="s">
        <v>28077</v>
      </c>
    </row>
    <row r="626" spans="2:8" x14ac:dyDescent="0.25">
      <c r="B626" s="41" t="s">
        <v>1021</v>
      </c>
      <c r="C626" s="429" t="s">
        <v>1554</v>
      </c>
      <c r="D626" s="430" t="s">
        <v>1566</v>
      </c>
      <c r="E626" s="430" t="s">
        <v>1574</v>
      </c>
      <c r="F626" t="str">
        <f t="shared" si="5"/>
        <v>Français</v>
      </c>
      <c r="G626" s="32" t="s">
        <v>88</v>
      </c>
      <c r="H626" t="s">
        <v>28078</v>
      </c>
    </row>
    <row r="627" spans="2:8" x14ac:dyDescent="0.25">
      <c r="B627" s="41" t="s">
        <v>1022</v>
      </c>
      <c r="C627" s="429" t="s">
        <v>1554</v>
      </c>
      <c r="D627" s="430" t="s">
        <v>1566</v>
      </c>
      <c r="E627" s="430" t="s">
        <v>1576</v>
      </c>
      <c r="F627" t="str">
        <f t="shared" si="5"/>
        <v>Français</v>
      </c>
      <c r="G627" s="32" t="s">
        <v>88</v>
      </c>
      <c r="H627" t="s">
        <v>28079</v>
      </c>
    </row>
    <row r="628" spans="2:8" x14ac:dyDescent="0.25">
      <c r="B628" s="41" t="s">
        <v>1015</v>
      </c>
      <c r="C628" s="429" t="s">
        <v>1554</v>
      </c>
      <c r="D628" s="430" t="s">
        <v>1566</v>
      </c>
      <c r="E628" s="430" t="s">
        <v>27957</v>
      </c>
      <c r="F628" t="str">
        <f t="shared" si="5"/>
        <v>Français</v>
      </c>
      <c r="G628" s="32" t="s">
        <v>88</v>
      </c>
      <c r="H628" t="s">
        <v>28080</v>
      </c>
    </row>
    <row r="629" spans="2:8" x14ac:dyDescent="0.25">
      <c r="B629" s="41" t="s">
        <v>1023</v>
      </c>
      <c r="C629" s="429" t="s">
        <v>1554</v>
      </c>
      <c r="D629" s="430" t="s">
        <v>1566</v>
      </c>
      <c r="E629" s="430" t="s">
        <v>27703</v>
      </c>
      <c r="F629" t="str">
        <f t="shared" si="5"/>
        <v>Français</v>
      </c>
      <c r="G629" s="32" t="s">
        <v>88</v>
      </c>
      <c r="H629" t="s">
        <v>28081</v>
      </c>
    </row>
    <row r="630" spans="2:8" x14ac:dyDescent="0.25">
      <c r="B630" s="41" t="s">
        <v>1024</v>
      </c>
      <c r="C630" s="429" t="s">
        <v>1554</v>
      </c>
      <c r="D630" s="430" t="s">
        <v>1566</v>
      </c>
      <c r="E630" s="430" t="s">
        <v>27704</v>
      </c>
      <c r="F630" t="str">
        <f t="shared" si="5"/>
        <v>Français</v>
      </c>
      <c r="G630" s="32" t="s">
        <v>88</v>
      </c>
      <c r="H630" t="s">
        <v>28082</v>
      </c>
    </row>
    <row r="631" spans="2:8" x14ac:dyDescent="0.25">
      <c r="B631" s="41" t="s">
        <v>1025</v>
      </c>
      <c r="C631" s="429" t="s">
        <v>1554</v>
      </c>
      <c r="D631" s="430" t="s">
        <v>1566</v>
      </c>
      <c r="E631" s="430" t="s">
        <v>27705</v>
      </c>
      <c r="F631" t="str">
        <f t="shared" si="5"/>
        <v>Français</v>
      </c>
      <c r="G631" s="32" t="s">
        <v>88</v>
      </c>
      <c r="H631" t="s">
        <v>28083</v>
      </c>
    </row>
    <row r="632" spans="2:8" x14ac:dyDescent="0.25">
      <c r="B632" s="41" t="s">
        <v>1026</v>
      </c>
      <c r="C632" s="429" t="s">
        <v>1554</v>
      </c>
      <c r="D632" s="430" t="s">
        <v>1566</v>
      </c>
      <c r="E632" s="430" t="s">
        <v>1625</v>
      </c>
      <c r="F632" t="str">
        <f t="shared" si="5"/>
        <v>Français</v>
      </c>
      <c r="G632" s="32" t="s">
        <v>88</v>
      </c>
      <c r="H632" t="s">
        <v>28084</v>
      </c>
    </row>
    <row r="633" spans="2:8" x14ac:dyDescent="0.25">
      <c r="B633" s="41" t="s">
        <v>1027</v>
      </c>
      <c r="C633" s="429" t="s">
        <v>1554</v>
      </c>
      <c r="D633" s="430" t="s">
        <v>1566</v>
      </c>
      <c r="E633" s="430" t="s">
        <v>1271</v>
      </c>
      <c r="F633" t="str">
        <f t="shared" si="5"/>
        <v>Français</v>
      </c>
      <c r="G633" s="32" t="s">
        <v>88</v>
      </c>
      <c r="H633" t="s">
        <v>28085</v>
      </c>
    </row>
    <row r="634" spans="2:8" x14ac:dyDescent="0.25">
      <c r="B634" s="41" t="s">
        <v>1028</v>
      </c>
      <c r="C634" s="429" t="s">
        <v>1554</v>
      </c>
      <c r="D634" s="430" t="s">
        <v>1566</v>
      </c>
      <c r="E634" s="430" t="s">
        <v>1588</v>
      </c>
      <c r="F634" t="str">
        <f t="shared" si="5"/>
        <v>Français</v>
      </c>
      <c r="G634" s="32" t="s">
        <v>88</v>
      </c>
      <c r="H634" t="s">
        <v>28086</v>
      </c>
    </row>
    <row r="635" spans="2:8" x14ac:dyDescent="0.25">
      <c r="B635" s="41" t="s">
        <v>1029</v>
      </c>
      <c r="C635" s="429" t="s">
        <v>1554</v>
      </c>
      <c r="D635" s="430" t="s">
        <v>1566</v>
      </c>
      <c r="E635" s="430" t="s">
        <v>27706</v>
      </c>
      <c r="F635" t="str">
        <f t="shared" si="5"/>
        <v>Français</v>
      </c>
      <c r="G635" s="32" t="s">
        <v>88</v>
      </c>
      <c r="H635" t="s">
        <v>28087</v>
      </c>
    </row>
    <row r="636" spans="2:8" x14ac:dyDescent="0.25">
      <c r="B636" s="41" t="s">
        <v>1030</v>
      </c>
      <c r="C636" s="429" t="s">
        <v>1554</v>
      </c>
      <c r="D636" s="430" t="s">
        <v>1566</v>
      </c>
      <c r="E636" s="430" t="s">
        <v>27707</v>
      </c>
      <c r="F636" t="str">
        <f t="shared" si="5"/>
        <v>Français</v>
      </c>
      <c r="G636" s="32" t="s">
        <v>88</v>
      </c>
      <c r="H636" t="s">
        <v>28088</v>
      </c>
    </row>
    <row r="637" spans="2:8" x14ac:dyDescent="0.25">
      <c r="B637" s="41" t="s">
        <v>1031</v>
      </c>
      <c r="C637" s="429" t="s">
        <v>1554</v>
      </c>
      <c r="D637" s="430" t="s">
        <v>1566</v>
      </c>
      <c r="E637" s="430" t="s">
        <v>27708</v>
      </c>
      <c r="F637" t="str">
        <f t="shared" ref="F637:F698" si="6">French</f>
        <v>Français</v>
      </c>
      <c r="G637" s="32" t="s">
        <v>88</v>
      </c>
      <c r="H637" t="s">
        <v>28089</v>
      </c>
    </row>
    <row r="638" spans="2:8" x14ac:dyDescent="0.25">
      <c r="B638" s="41" t="s">
        <v>1032</v>
      </c>
      <c r="C638" s="429" t="s">
        <v>1554</v>
      </c>
      <c r="D638" s="430" t="s">
        <v>1566</v>
      </c>
      <c r="E638" s="430" t="s">
        <v>1593</v>
      </c>
      <c r="F638" t="str">
        <f t="shared" si="6"/>
        <v>Français</v>
      </c>
      <c r="G638" s="32" t="s">
        <v>88</v>
      </c>
      <c r="H638" t="s">
        <v>28090</v>
      </c>
    </row>
    <row r="639" spans="2:8" x14ac:dyDescent="0.25">
      <c r="B639" s="41" t="s">
        <v>1033</v>
      </c>
      <c r="C639" s="429" t="s">
        <v>1554</v>
      </c>
      <c r="D639" s="430" t="s">
        <v>1566</v>
      </c>
      <c r="E639" s="430" t="s">
        <v>1277</v>
      </c>
      <c r="F639" t="str">
        <f t="shared" si="6"/>
        <v>Français</v>
      </c>
      <c r="G639" s="32" t="s">
        <v>88</v>
      </c>
      <c r="H639" t="s">
        <v>28091</v>
      </c>
    </row>
    <row r="640" spans="2:8" x14ac:dyDescent="0.25">
      <c r="B640" s="41" t="s">
        <v>1034</v>
      </c>
      <c r="C640" s="429" t="s">
        <v>1554</v>
      </c>
      <c r="D640" s="430" t="s">
        <v>1566</v>
      </c>
      <c r="E640" s="430" t="s">
        <v>27709</v>
      </c>
      <c r="F640" t="str">
        <f t="shared" si="6"/>
        <v>Français</v>
      </c>
      <c r="G640" s="32" t="s">
        <v>88</v>
      </c>
      <c r="H640" t="s">
        <v>28092</v>
      </c>
    </row>
    <row r="641" spans="2:8" x14ac:dyDescent="0.25">
      <c r="B641" s="41" t="s">
        <v>1035</v>
      </c>
      <c r="C641" s="429" t="s">
        <v>1554</v>
      </c>
      <c r="D641" s="430" t="s">
        <v>1566</v>
      </c>
      <c r="E641" s="430" t="s">
        <v>1599</v>
      </c>
      <c r="F641" t="str">
        <f t="shared" si="6"/>
        <v>Français</v>
      </c>
      <c r="G641" s="32" t="s">
        <v>88</v>
      </c>
      <c r="H641" t="s">
        <v>28093</v>
      </c>
    </row>
    <row r="642" spans="2:8" x14ac:dyDescent="0.25">
      <c r="B642" s="41" t="s">
        <v>1036</v>
      </c>
      <c r="C642" s="429" t="s">
        <v>1554</v>
      </c>
      <c r="D642" s="430" t="s">
        <v>1566</v>
      </c>
      <c r="E642" s="430" t="s">
        <v>1601</v>
      </c>
      <c r="F642" t="str">
        <f t="shared" si="6"/>
        <v>Français</v>
      </c>
      <c r="G642" s="32" t="s">
        <v>88</v>
      </c>
      <c r="H642" t="s">
        <v>28094</v>
      </c>
    </row>
    <row r="643" spans="2:8" x14ac:dyDescent="0.25">
      <c r="B643" s="41" t="s">
        <v>1037</v>
      </c>
      <c r="C643" s="429" t="s">
        <v>1554</v>
      </c>
      <c r="D643" s="430" t="s">
        <v>1603</v>
      </c>
      <c r="E643" s="430" t="s">
        <v>1392</v>
      </c>
      <c r="F643" t="str">
        <f t="shared" si="6"/>
        <v>Français</v>
      </c>
      <c r="G643" s="32" t="s">
        <v>88</v>
      </c>
      <c r="H643" t="s">
        <v>28095</v>
      </c>
    </row>
    <row r="644" spans="2:8" x14ac:dyDescent="0.25">
      <c r="B644" s="41" t="s">
        <v>1037</v>
      </c>
      <c r="C644" s="429" t="s">
        <v>1554</v>
      </c>
      <c r="D644" s="430" t="s">
        <v>1603</v>
      </c>
      <c r="E644" s="430" t="s">
        <v>1605</v>
      </c>
      <c r="F644" t="str">
        <f t="shared" si="6"/>
        <v>Français</v>
      </c>
      <c r="G644" s="32" t="s">
        <v>88</v>
      </c>
      <c r="H644" t="s">
        <v>28096</v>
      </c>
    </row>
    <row r="645" spans="2:8" x14ac:dyDescent="0.25">
      <c r="B645" s="41" t="s">
        <v>1038</v>
      </c>
      <c r="C645" s="429" t="s">
        <v>1554</v>
      </c>
      <c r="D645" s="430" t="s">
        <v>1603</v>
      </c>
      <c r="E645" s="430" t="s">
        <v>1607</v>
      </c>
      <c r="F645" t="str">
        <f t="shared" si="6"/>
        <v>Français</v>
      </c>
      <c r="G645" s="32" t="s">
        <v>88</v>
      </c>
      <c r="H645" t="s">
        <v>28097</v>
      </c>
    </row>
    <row r="646" spans="2:8" x14ac:dyDescent="0.25">
      <c r="B646" s="41" t="s">
        <v>1039</v>
      </c>
      <c r="C646" s="429" t="s">
        <v>1609</v>
      </c>
      <c r="D646" s="430" t="s">
        <v>1610</v>
      </c>
      <c r="E646" s="430" t="s">
        <v>1611</v>
      </c>
      <c r="F646" t="str">
        <f t="shared" si="6"/>
        <v>Français</v>
      </c>
      <c r="G646" s="32" t="s">
        <v>88</v>
      </c>
      <c r="H646" t="s">
        <v>28098</v>
      </c>
    </row>
    <row r="647" spans="2:8" x14ac:dyDescent="0.25">
      <c r="B647" s="41" t="s">
        <v>1040</v>
      </c>
      <c r="C647" s="429" t="s">
        <v>1609</v>
      </c>
      <c r="D647" s="430" t="s">
        <v>1610</v>
      </c>
      <c r="E647" s="430" t="s">
        <v>1613</v>
      </c>
      <c r="F647" t="str">
        <f t="shared" si="6"/>
        <v>Français</v>
      </c>
      <c r="G647" s="32" t="s">
        <v>88</v>
      </c>
      <c r="H647" t="s">
        <v>28099</v>
      </c>
    </row>
    <row r="648" spans="2:8" x14ac:dyDescent="0.25">
      <c r="B648" s="41" t="s">
        <v>1041</v>
      </c>
      <c r="C648" s="429" t="s">
        <v>1609</v>
      </c>
      <c r="D648" s="430" t="s">
        <v>1610</v>
      </c>
      <c r="E648" s="430" t="s">
        <v>1615</v>
      </c>
      <c r="F648" t="str">
        <f t="shared" si="6"/>
        <v>Français</v>
      </c>
      <c r="G648" s="32" t="s">
        <v>88</v>
      </c>
      <c r="H648" t="s">
        <v>28100</v>
      </c>
    </row>
    <row r="649" spans="2:8" x14ac:dyDescent="0.25">
      <c r="B649" s="41" t="s">
        <v>1042</v>
      </c>
      <c r="C649" s="429" t="s">
        <v>1609</v>
      </c>
      <c r="D649" s="430" t="s">
        <v>1610</v>
      </c>
      <c r="E649" s="430" t="s">
        <v>27710</v>
      </c>
      <c r="F649" t="str">
        <f t="shared" si="6"/>
        <v>Français</v>
      </c>
      <c r="G649" s="32" t="s">
        <v>88</v>
      </c>
      <c r="H649" t="s">
        <v>28101</v>
      </c>
    </row>
    <row r="650" spans="2:8" x14ac:dyDescent="0.25">
      <c r="B650" s="41" t="s">
        <v>1043</v>
      </c>
      <c r="C650" s="429" t="s">
        <v>1609</v>
      </c>
      <c r="D650" s="430" t="s">
        <v>1610</v>
      </c>
      <c r="E650" s="430" t="s">
        <v>27711</v>
      </c>
      <c r="F650" t="str">
        <f t="shared" si="6"/>
        <v>Français</v>
      </c>
      <c r="G650" s="32" t="s">
        <v>88</v>
      </c>
      <c r="H650" t="s">
        <v>28102</v>
      </c>
    </row>
    <row r="651" spans="2:8" x14ac:dyDescent="0.25">
      <c r="B651" s="41" t="s">
        <v>1044</v>
      </c>
      <c r="C651" s="429" t="s">
        <v>1609</v>
      </c>
      <c r="D651" s="430" t="s">
        <v>1610</v>
      </c>
      <c r="E651" s="430" t="s">
        <v>1617</v>
      </c>
      <c r="F651" t="str">
        <f t="shared" si="6"/>
        <v>Français</v>
      </c>
      <c r="G651" s="32" t="s">
        <v>88</v>
      </c>
      <c r="H651" t="s">
        <v>28103</v>
      </c>
    </row>
    <row r="652" spans="2:8" x14ac:dyDescent="0.25">
      <c r="B652" s="41" t="s">
        <v>1045</v>
      </c>
      <c r="C652" s="429" t="s">
        <v>1609</v>
      </c>
      <c r="D652" s="430" t="s">
        <v>1610</v>
      </c>
      <c r="E652" s="430" t="s">
        <v>1618</v>
      </c>
      <c r="F652" t="str">
        <f t="shared" si="6"/>
        <v>Français</v>
      </c>
      <c r="G652" s="32" t="s">
        <v>88</v>
      </c>
      <c r="H652" t="s">
        <v>28104</v>
      </c>
    </row>
    <row r="653" spans="2:8" x14ac:dyDescent="0.25">
      <c r="B653" s="41" t="s">
        <v>1046</v>
      </c>
      <c r="C653" s="429" t="s">
        <v>1609</v>
      </c>
      <c r="D653" s="430" t="s">
        <v>1610</v>
      </c>
      <c r="E653" s="430" t="s">
        <v>1620</v>
      </c>
      <c r="F653" t="str">
        <f t="shared" si="6"/>
        <v>Français</v>
      </c>
      <c r="G653" s="32" t="s">
        <v>88</v>
      </c>
      <c r="H653" t="s">
        <v>28105</v>
      </c>
    </row>
    <row r="654" spans="2:8" x14ac:dyDescent="0.25">
      <c r="B654" s="41" t="s">
        <v>1045</v>
      </c>
      <c r="C654" s="429" t="s">
        <v>1609</v>
      </c>
      <c r="D654" s="430" t="s">
        <v>1610</v>
      </c>
      <c r="E654" s="430" t="s">
        <v>1623</v>
      </c>
      <c r="F654" t="str">
        <f t="shared" si="6"/>
        <v>Français</v>
      </c>
      <c r="G654" s="32" t="s">
        <v>88</v>
      </c>
      <c r="H654" t="s">
        <v>28106</v>
      </c>
    </row>
    <row r="655" spans="2:8" x14ac:dyDescent="0.25">
      <c r="B655" s="41" t="s">
        <v>1047</v>
      </c>
      <c r="C655" s="429" t="s">
        <v>1609</v>
      </c>
      <c r="D655" s="430" t="s">
        <v>1610</v>
      </c>
      <c r="E655" s="430" t="s">
        <v>1626</v>
      </c>
      <c r="F655" t="str">
        <f t="shared" si="6"/>
        <v>Français</v>
      </c>
      <c r="G655" s="32" t="s">
        <v>88</v>
      </c>
      <c r="H655" t="s">
        <v>28107</v>
      </c>
    </row>
    <row r="656" spans="2:8" x14ac:dyDescent="0.25">
      <c r="B656" s="41" t="s">
        <v>1048</v>
      </c>
      <c r="C656" s="429" t="s">
        <v>1609</v>
      </c>
      <c r="D656" s="430" t="s">
        <v>1610</v>
      </c>
      <c r="E656" s="430" t="s">
        <v>1627</v>
      </c>
      <c r="F656" t="str">
        <f t="shared" si="6"/>
        <v>Français</v>
      </c>
      <c r="G656" s="32" t="s">
        <v>88</v>
      </c>
      <c r="H656" t="s">
        <v>28108</v>
      </c>
    </row>
    <row r="657" spans="2:8" x14ac:dyDescent="0.25">
      <c r="B657" s="41" t="s">
        <v>1049</v>
      </c>
      <c r="C657" s="429" t="s">
        <v>1609</v>
      </c>
      <c r="D657" s="430" t="s">
        <v>27712</v>
      </c>
      <c r="E657" s="430" t="s">
        <v>1392</v>
      </c>
      <c r="F657" t="str">
        <f t="shared" si="6"/>
        <v>Français</v>
      </c>
      <c r="G657" s="32" t="s">
        <v>88</v>
      </c>
      <c r="H657" t="s">
        <v>28109</v>
      </c>
    </row>
    <row r="658" spans="2:8" x14ac:dyDescent="0.25">
      <c r="B658" s="41" t="s">
        <v>1050</v>
      </c>
      <c r="C658" s="429" t="s">
        <v>1609</v>
      </c>
      <c r="D658" s="430" t="s">
        <v>1629</v>
      </c>
      <c r="E658" s="430" t="s">
        <v>1631</v>
      </c>
      <c r="F658" t="str">
        <f t="shared" si="6"/>
        <v>Français</v>
      </c>
      <c r="G658" s="32" t="s">
        <v>88</v>
      </c>
      <c r="H658" t="s">
        <v>28110</v>
      </c>
    </row>
    <row r="659" spans="2:8" x14ac:dyDescent="0.25">
      <c r="B659" s="41" t="s">
        <v>1051</v>
      </c>
      <c r="C659" s="429" t="s">
        <v>1609</v>
      </c>
      <c r="D659" s="430" t="s">
        <v>1629</v>
      </c>
      <c r="E659" s="430" t="s">
        <v>28213</v>
      </c>
      <c r="F659" t="str">
        <f t="shared" si="6"/>
        <v>Français</v>
      </c>
      <c r="G659" s="32" t="s">
        <v>1052</v>
      </c>
      <c r="H659" t="s">
        <v>28111</v>
      </c>
    </row>
    <row r="660" spans="2:8" x14ac:dyDescent="0.25">
      <c r="B660" s="41" t="s">
        <v>1049</v>
      </c>
      <c r="C660" s="429" t="s">
        <v>1609</v>
      </c>
      <c r="D660" s="430" t="s">
        <v>1629</v>
      </c>
      <c r="E660" s="430" t="s">
        <v>1635</v>
      </c>
      <c r="F660" t="str">
        <f t="shared" si="6"/>
        <v>Français</v>
      </c>
      <c r="G660" s="32" t="s">
        <v>88</v>
      </c>
      <c r="H660" t="s">
        <v>28112</v>
      </c>
    </row>
    <row r="661" spans="2:8" x14ac:dyDescent="0.25">
      <c r="B661" s="41" t="s">
        <v>1053</v>
      </c>
      <c r="C661" s="429" t="s">
        <v>1609</v>
      </c>
      <c r="D661" s="430" t="s">
        <v>1637</v>
      </c>
      <c r="E661" s="430" t="s">
        <v>1392</v>
      </c>
      <c r="F661" t="str">
        <f t="shared" si="6"/>
        <v>Français</v>
      </c>
      <c r="G661" s="32" t="s">
        <v>88</v>
      </c>
      <c r="H661" t="s">
        <v>28113</v>
      </c>
    </row>
    <row r="662" spans="2:8" x14ac:dyDescent="0.25">
      <c r="B662" s="41" t="s">
        <v>1054</v>
      </c>
      <c r="C662" s="429" t="s">
        <v>1609</v>
      </c>
      <c r="D662" s="430" t="s">
        <v>1637</v>
      </c>
      <c r="E662" s="430" t="s">
        <v>1299</v>
      </c>
      <c r="F662" t="str">
        <f t="shared" si="6"/>
        <v>Français</v>
      </c>
      <c r="G662" s="32" t="s">
        <v>88</v>
      </c>
      <c r="H662" t="s">
        <v>28114</v>
      </c>
    </row>
    <row r="663" spans="2:8" x14ac:dyDescent="0.25">
      <c r="B663" s="41" t="s">
        <v>1055</v>
      </c>
      <c r="C663" s="429" t="s">
        <v>1609</v>
      </c>
      <c r="D663" s="430" t="s">
        <v>1637</v>
      </c>
      <c r="E663" s="430" t="s">
        <v>1300</v>
      </c>
      <c r="F663" t="str">
        <f t="shared" si="6"/>
        <v>Français</v>
      </c>
      <c r="G663" s="32" t="s">
        <v>88</v>
      </c>
      <c r="H663" t="s">
        <v>28115</v>
      </c>
    </row>
    <row r="664" spans="2:8" x14ac:dyDescent="0.25">
      <c r="B664" s="41" t="s">
        <v>1053</v>
      </c>
      <c r="C664" s="429" t="s">
        <v>1609</v>
      </c>
      <c r="D664" s="430" t="s">
        <v>1637</v>
      </c>
      <c r="E664" s="430" t="s">
        <v>1301</v>
      </c>
      <c r="F664" t="str">
        <f t="shared" si="6"/>
        <v>Français</v>
      </c>
      <c r="G664" s="32" t="s">
        <v>88</v>
      </c>
      <c r="H664" t="s">
        <v>28116</v>
      </c>
    </row>
    <row r="665" spans="2:8" x14ac:dyDescent="0.25">
      <c r="B665" s="41" t="s">
        <v>1056</v>
      </c>
      <c r="C665" s="429" t="s">
        <v>1609</v>
      </c>
      <c r="D665" s="430" t="s">
        <v>1641</v>
      </c>
      <c r="E665" s="430" t="s">
        <v>1392</v>
      </c>
      <c r="F665" t="str">
        <f t="shared" si="6"/>
        <v>Français</v>
      </c>
      <c r="G665" s="32" t="s">
        <v>88</v>
      </c>
      <c r="H665" t="s">
        <v>28117</v>
      </c>
    </row>
    <row r="666" spans="2:8" x14ac:dyDescent="0.25">
      <c r="B666" s="41" t="s">
        <v>1056</v>
      </c>
      <c r="C666" s="429" t="s">
        <v>1609</v>
      </c>
      <c r="D666" s="430" t="s">
        <v>1641</v>
      </c>
      <c r="E666" s="430" t="s">
        <v>1643</v>
      </c>
      <c r="F666" t="str">
        <f t="shared" si="6"/>
        <v>Français</v>
      </c>
      <c r="G666" s="32" t="s">
        <v>88</v>
      </c>
      <c r="H666" t="s">
        <v>28118</v>
      </c>
    </row>
    <row r="667" spans="2:8" x14ac:dyDescent="0.25">
      <c r="B667" s="41" t="s">
        <v>1057</v>
      </c>
      <c r="C667" s="429" t="s">
        <v>1609</v>
      </c>
      <c r="D667" s="430" t="s">
        <v>1641</v>
      </c>
      <c r="E667" s="430" t="s">
        <v>1304</v>
      </c>
      <c r="F667" t="str">
        <f t="shared" si="6"/>
        <v>Français</v>
      </c>
      <c r="G667" s="32" t="s">
        <v>88</v>
      </c>
      <c r="H667" t="s">
        <v>28119</v>
      </c>
    </row>
    <row r="668" spans="2:8" x14ac:dyDescent="0.25">
      <c r="B668" s="41" t="s">
        <v>1058</v>
      </c>
      <c r="C668" s="429" t="s">
        <v>1609</v>
      </c>
      <c r="D668" s="430" t="s">
        <v>1646</v>
      </c>
      <c r="E668" s="430"/>
      <c r="F668" t="str">
        <f t="shared" si="6"/>
        <v>Français</v>
      </c>
      <c r="G668" s="32" t="s">
        <v>88</v>
      </c>
      <c r="H668" t="s">
        <v>28120</v>
      </c>
    </row>
    <row r="669" spans="2:8" x14ac:dyDescent="0.25">
      <c r="B669" s="41" t="s">
        <v>1059</v>
      </c>
      <c r="C669" s="429" t="s">
        <v>1609</v>
      </c>
      <c r="D669" s="430" t="s">
        <v>1650</v>
      </c>
      <c r="E669" s="430" t="s">
        <v>1392</v>
      </c>
      <c r="F669" t="str">
        <f t="shared" si="6"/>
        <v>Français</v>
      </c>
      <c r="G669" s="32" t="s">
        <v>88</v>
      </c>
      <c r="H669" t="s">
        <v>28121</v>
      </c>
    </row>
    <row r="670" spans="2:8" x14ac:dyDescent="0.25">
      <c r="B670" s="41" t="s">
        <v>1060</v>
      </c>
      <c r="C670" s="429" t="s">
        <v>1609</v>
      </c>
      <c r="D670" s="430" t="s">
        <v>1650</v>
      </c>
      <c r="E670" s="430" t="s">
        <v>27713</v>
      </c>
      <c r="F670" t="str">
        <f t="shared" si="6"/>
        <v>Français</v>
      </c>
      <c r="G670" s="32" t="s">
        <v>88</v>
      </c>
      <c r="H670" t="s">
        <v>28122</v>
      </c>
    </row>
    <row r="671" spans="2:8" x14ac:dyDescent="0.25">
      <c r="B671" s="41" t="s">
        <v>1061</v>
      </c>
      <c r="C671" s="429" t="s">
        <v>1609</v>
      </c>
      <c r="D671" s="430" t="s">
        <v>1650</v>
      </c>
      <c r="E671" s="430" t="s">
        <v>28214</v>
      </c>
      <c r="F671" t="str">
        <f t="shared" si="6"/>
        <v>Français</v>
      </c>
      <c r="G671" s="32" t="s">
        <v>88</v>
      </c>
      <c r="H671" t="s">
        <v>28123</v>
      </c>
    </row>
    <row r="672" spans="2:8" x14ac:dyDescent="0.25">
      <c r="B672" s="41" t="s">
        <v>1059</v>
      </c>
      <c r="C672" s="429" t="s">
        <v>1609</v>
      </c>
      <c r="D672" s="430" t="s">
        <v>1650</v>
      </c>
      <c r="E672" s="430" t="s">
        <v>27714</v>
      </c>
      <c r="F672" t="str">
        <f t="shared" si="6"/>
        <v>Français</v>
      </c>
      <c r="G672" s="32" t="s">
        <v>88</v>
      </c>
      <c r="H672" t="s">
        <v>28124</v>
      </c>
    </row>
    <row r="673" spans="2:8" x14ac:dyDescent="0.25">
      <c r="B673" s="41" t="s">
        <v>1062</v>
      </c>
      <c r="C673" s="429" t="s">
        <v>1656</v>
      </c>
      <c r="D673" s="430" t="s">
        <v>1657</v>
      </c>
      <c r="E673" s="430" t="s">
        <v>1392</v>
      </c>
      <c r="F673" t="str">
        <f t="shared" si="6"/>
        <v>Français</v>
      </c>
      <c r="G673" s="32" t="s">
        <v>88</v>
      </c>
      <c r="H673" t="s">
        <v>28125</v>
      </c>
    </row>
    <row r="674" spans="2:8" x14ac:dyDescent="0.25">
      <c r="B674" s="41" t="s">
        <v>1062</v>
      </c>
      <c r="C674" s="429" t="s">
        <v>1656</v>
      </c>
      <c r="D674" s="430" t="s">
        <v>1657</v>
      </c>
      <c r="E674" s="430" t="s">
        <v>27715</v>
      </c>
      <c r="F674" t="str">
        <f t="shared" si="6"/>
        <v>Français</v>
      </c>
      <c r="G674" s="32" t="s">
        <v>88</v>
      </c>
      <c r="H674" t="s">
        <v>28126</v>
      </c>
    </row>
    <row r="675" spans="2:8" x14ac:dyDescent="0.25">
      <c r="B675" s="41" t="s">
        <v>1063</v>
      </c>
      <c r="C675" s="429" t="s">
        <v>1656</v>
      </c>
      <c r="D675" s="430" t="s">
        <v>1660</v>
      </c>
      <c r="E675" s="430" t="s">
        <v>1392</v>
      </c>
      <c r="F675" t="str">
        <f t="shared" si="6"/>
        <v>Français</v>
      </c>
      <c r="G675" s="32" t="s">
        <v>88</v>
      </c>
      <c r="H675" t="s">
        <v>28127</v>
      </c>
    </row>
    <row r="676" spans="2:8" x14ac:dyDescent="0.25">
      <c r="B676" s="41" t="s">
        <v>1059</v>
      </c>
      <c r="C676" s="429" t="s">
        <v>1656</v>
      </c>
      <c r="D676" s="430" t="s">
        <v>1660</v>
      </c>
      <c r="E676" s="430" t="s">
        <v>27714</v>
      </c>
      <c r="F676" t="str">
        <f t="shared" si="6"/>
        <v>Français</v>
      </c>
      <c r="G676" s="32" t="s">
        <v>88</v>
      </c>
      <c r="H676" t="s">
        <v>28128</v>
      </c>
    </row>
    <row r="677" spans="2:8" x14ac:dyDescent="0.25">
      <c r="B677" s="41" t="s">
        <v>1064</v>
      </c>
      <c r="C677" s="429" t="s">
        <v>1656</v>
      </c>
      <c r="D677" s="430" t="s">
        <v>1660</v>
      </c>
      <c r="E677" s="430" t="s">
        <v>28215</v>
      </c>
      <c r="F677" t="str">
        <f t="shared" si="6"/>
        <v>Français</v>
      </c>
      <c r="G677" s="32" t="s">
        <v>88</v>
      </c>
      <c r="H677" t="s">
        <v>28129</v>
      </c>
    </row>
    <row r="678" spans="2:8" x14ac:dyDescent="0.25">
      <c r="B678" s="41" t="s">
        <v>1065</v>
      </c>
      <c r="C678" s="429" t="s">
        <v>1656</v>
      </c>
      <c r="D678" s="430" t="s">
        <v>1662</v>
      </c>
      <c r="E678" s="430" t="s">
        <v>1392</v>
      </c>
      <c r="F678" t="str">
        <f t="shared" si="6"/>
        <v>Français</v>
      </c>
      <c r="G678" s="32" t="s">
        <v>88</v>
      </c>
      <c r="H678" t="s">
        <v>28130</v>
      </c>
    </row>
    <row r="679" spans="2:8" x14ac:dyDescent="0.25">
      <c r="B679" s="41" t="s">
        <v>1066</v>
      </c>
      <c r="C679" s="429" t="s">
        <v>1656</v>
      </c>
      <c r="D679" s="430" t="s">
        <v>1662</v>
      </c>
      <c r="E679" s="430" t="s">
        <v>1663</v>
      </c>
      <c r="F679" t="str">
        <f t="shared" si="6"/>
        <v>Français</v>
      </c>
      <c r="G679" s="32" t="s">
        <v>88</v>
      </c>
      <c r="H679" t="s">
        <v>28131</v>
      </c>
    </row>
    <row r="680" spans="2:8" x14ac:dyDescent="0.25">
      <c r="B680" s="41" t="s">
        <v>1067</v>
      </c>
      <c r="C680" s="429" t="s">
        <v>1656</v>
      </c>
      <c r="D680" s="430" t="s">
        <v>1662</v>
      </c>
      <c r="E680" s="430" t="s">
        <v>1665</v>
      </c>
      <c r="F680" t="str">
        <f t="shared" si="6"/>
        <v>Français</v>
      </c>
      <c r="G680" s="32" t="s">
        <v>88</v>
      </c>
      <c r="H680" t="s">
        <v>28132</v>
      </c>
    </row>
    <row r="681" spans="2:8" x14ac:dyDescent="0.25">
      <c r="B681" s="41" t="s">
        <v>1065</v>
      </c>
      <c r="C681" s="429" t="s">
        <v>1656</v>
      </c>
      <c r="D681" s="430" t="s">
        <v>1662</v>
      </c>
      <c r="E681" s="430" t="s">
        <v>1667</v>
      </c>
      <c r="F681" t="str">
        <f t="shared" si="6"/>
        <v>Français</v>
      </c>
      <c r="G681" s="32" t="s">
        <v>88</v>
      </c>
      <c r="H681" t="s">
        <v>28133</v>
      </c>
    </row>
    <row r="682" spans="2:8" x14ac:dyDescent="0.25">
      <c r="B682" s="41" t="s">
        <v>1068</v>
      </c>
      <c r="C682" s="429" t="s">
        <v>1656</v>
      </c>
      <c r="D682" s="430" t="s">
        <v>1669</v>
      </c>
      <c r="E682" s="430" t="s">
        <v>1392</v>
      </c>
      <c r="F682" t="str">
        <f t="shared" si="6"/>
        <v>Français</v>
      </c>
      <c r="G682" s="32" t="s">
        <v>88</v>
      </c>
      <c r="H682" t="s">
        <v>28134</v>
      </c>
    </row>
    <row r="683" spans="2:8" x14ac:dyDescent="0.25">
      <c r="B683" s="41" t="s">
        <v>1069</v>
      </c>
      <c r="C683" s="429" t="s">
        <v>1656</v>
      </c>
      <c r="D683" s="430" t="s">
        <v>1669</v>
      </c>
      <c r="E683" s="430" t="s">
        <v>1671</v>
      </c>
      <c r="F683" t="str">
        <f t="shared" si="6"/>
        <v>Français</v>
      </c>
      <c r="G683" s="32" t="s">
        <v>88</v>
      </c>
      <c r="H683" t="s">
        <v>28135</v>
      </c>
    </row>
    <row r="684" spans="2:8" x14ac:dyDescent="0.25">
      <c r="B684" s="41" t="s">
        <v>1068</v>
      </c>
      <c r="C684" s="429" t="s">
        <v>1656</v>
      </c>
      <c r="D684" s="430" t="s">
        <v>1669</v>
      </c>
      <c r="E684" s="430" t="s">
        <v>1673</v>
      </c>
      <c r="F684" t="str">
        <f t="shared" si="6"/>
        <v>Français</v>
      </c>
      <c r="G684" s="32" t="s">
        <v>88</v>
      </c>
      <c r="H684" t="s">
        <v>28136</v>
      </c>
    </row>
    <row r="685" spans="2:8" x14ac:dyDescent="0.25">
      <c r="B685" s="41" t="s">
        <v>1070</v>
      </c>
      <c r="C685" s="429" t="s">
        <v>455</v>
      </c>
      <c r="D685" s="430" t="s">
        <v>1675</v>
      </c>
      <c r="E685" s="430" t="s">
        <v>1392</v>
      </c>
      <c r="F685" t="str">
        <f t="shared" si="6"/>
        <v>Français</v>
      </c>
      <c r="G685" s="32" t="s">
        <v>88</v>
      </c>
      <c r="H685" t="s">
        <v>28137</v>
      </c>
    </row>
    <row r="686" spans="2:8" x14ac:dyDescent="0.25">
      <c r="B686" s="41" t="s">
        <v>1071</v>
      </c>
      <c r="C686" s="429" t="s">
        <v>455</v>
      </c>
      <c r="D686" s="430" t="s">
        <v>1675</v>
      </c>
      <c r="E686" s="430" t="s">
        <v>1677</v>
      </c>
      <c r="F686" t="str">
        <f t="shared" si="6"/>
        <v>Français</v>
      </c>
      <c r="G686" s="32" t="s">
        <v>88</v>
      </c>
      <c r="H686" t="s">
        <v>28138</v>
      </c>
    </row>
    <row r="687" spans="2:8" x14ac:dyDescent="0.25">
      <c r="B687" s="41" t="s">
        <v>1070</v>
      </c>
      <c r="C687" s="429" t="s">
        <v>455</v>
      </c>
      <c r="D687" s="430" t="s">
        <v>1675</v>
      </c>
      <c r="E687" s="430" t="s">
        <v>27716</v>
      </c>
      <c r="F687" t="str">
        <f t="shared" si="6"/>
        <v>Français</v>
      </c>
      <c r="G687" s="32" t="s">
        <v>88</v>
      </c>
      <c r="H687" t="s">
        <v>28139</v>
      </c>
    </row>
    <row r="688" spans="2:8" x14ac:dyDescent="0.25">
      <c r="B688" s="41" t="s">
        <v>1072</v>
      </c>
      <c r="C688" s="429" t="s">
        <v>455</v>
      </c>
      <c r="D688" s="430" t="s">
        <v>1675</v>
      </c>
      <c r="E688" s="430" t="s">
        <v>27717</v>
      </c>
      <c r="F688" t="str">
        <f t="shared" si="6"/>
        <v>Français</v>
      </c>
      <c r="G688" s="32" t="s">
        <v>88</v>
      </c>
      <c r="H688" t="s">
        <v>28140</v>
      </c>
    </row>
    <row r="689" spans="2:8" x14ac:dyDescent="0.25">
      <c r="B689" s="41" t="s">
        <v>1073</v>
      </c>
      <c r="C689" s="429" t="s">
        <v>455</v>
      </c>
      <c r="D689" s="430" t="s">
        <v>1675</v>
      </c>
      <c r="E689" s="430" t="s">
        <v>27718</v>
      </c>
      <c r="F689" t="str">
        <f t="shared" si="6"/>
        <v>Français</v>
      </c>
      <c r="G689" s="32" t="s">
        <v>88</v>
      </c>
      <c r="H689" t="s">
        <v>28141</v>
      </c>
    </row>
    <row r="690" spans="2:8" x14ac:dyDescent="0.25">
      <c r="B690" s="41" t="s">
        <v>1074</v>
      </c>
      <c r="C690" s="429" t="s">
        <v>455</v>
      </c>
      <c r="D690" s="430" t="s">
        <v>1675</v>
      </c>
      <c r="E690" s="430" t="s">
        <v>1678</v>
      </c>
      <c r="F690" t="str">
        <f t="shared" si="6"/>
        <v>Français</v>
      </c>
      <c r="G690" s="32" t="s">
        <v>88</v>
      </c>
      <c r="H690" t="s">
        <v>28142</v>
      </c>
    </row>
    <row r="691" spans="2:8" x14ac:dyDescent="0.25">
      <c r="B691" s="41" t="s">
        <v>1075</v>
      </c>
      <c r="C691" s="429" t="s">
        <v>455</v>
      </c>
      <c r="D691" s="430" t="s">
        <v>1675</v>
      </c>
      <c r="E691" s="430" t="s">
        <v>1679</v>
      </c>
      <c r="F691" t="str">
        <f t="shared" si="6"/>
        <v>Français</v>
      </c>
      <c r="G691" s="32" t="s">
        <v>88</v>
      </c>
      <c r="H691" t="s">
        <v>28143</v>
      </c>
    </row>
    <row r="692" spans="2:8" x14ac:dyDescent="0.25">
      <c r="B692" s="41" t="s">
        <v>1076</v>
      </c>
      <c r="C692" s="429" t="s">
        <v>455</v>
      </c>
      <c r="D692" s="430" t="s">
        <v>1675</v>
      </c>
      <c r="E692" s="430" t="s">
        <v>1680</v>
      </c>
      <c r="F692" t="str">
        <f t="shared" si="6"/>
        <v>Français</v>
      </c>
      <c r="G692" s="32" t="s">
        <v>88</v>
      </c>
      <c r="H692" t="s">
        <v>28144</v>
      </c>
    </row>
    <row r="693" spans="2:8" x14ac:dyDescent="0.25">
      <c r="B693" s="41" t="s">
        <v>1077</v>
      </c>
      <c r="C693" s="429" t="s">
        <v>455</v>
      </c>
      <c r="D693" s="430" t="s">
        <v>1675</v>
      </c>
      <c r="E693" s="430" t="s">
        <v>1327</v>
      </c>
      <c r="F693" t="str">
        <f t="shared" si="6"/>
        <v>Français</v>
      </c>
      <c r="G693" s="32" t="s">
        <v>88</v>
      </c>
      <c r="H693" t="s">
        <v>28145</v>
      </c>
    </row>
    <row r="694" spans="2:8" x14ac:dyDescent="0.25">
      <c r="B694" s="41" t="s">
        <v>1078</v>
      </c>
      <c r="C694" s="429" t="s">
        <v>455</v>
      </c>
      <c r="D694" s="430" t="s">
        <v>1682</v>
      </c>
      <c r="E694" s="430" t="s">
        <v>1392</v>
      </c>
      <c r="F694" t="str">
        <f t="shared" si="6"/>
        <v>Français</v>
      </c>
      <c r="G694" s="32" t="s">
        <v>88</v>
      </c>
      <c r="H694" t="s">
        <v>28146</v>
      </c>
    </row>
    <row r="695" spans="2:8" x14ac:dyDescent="0.25">
      <c r="B695" s="41" t="s">
        <v>1079</v>
      </c>
      <c r="C695" s="429" t="s">
        <v>455</v>
      </c>
      <c r="D695" s="430" t="s">
        <v>1682</v>
      </c>
      <c r="E695" s="430" t="s">
        <v>1684</v>
      </c>
      <c r="F695" t="str">
        <f t="shared" si="6"/>
        <v>Français</v>
      </c>
      <c r="G695" s="32" t="s">
        <v>88</v>
      </c>
      <c r="H695" t="s">
        <v>28147</v>
      </c>
    </row>
    <row r="696" spans="2:8" x14ac:dyDescent="0.25">
      <c r="B696" s="41" t="s">
        <v>1080</v>
      </c>
      <c r="C696" s="429" t="s">
        <v>455</v>
      </c>
      <c r="D696" s="430" t="s">
        <v>1682</v>
      </c>
      <c r="E696" s="430" t="s">
        <v>1686</v>
      </c>
      <c r="F696" t="str">
        <f t="shared" si="6"/>
        <v>Français</v>
      </c>
      <c r="G696" s="32" t="s">
        <v>88</v>
      </c>
      <c r="H696" t="s">
        <v>28148</v>
      </c>
    </row>
    <row r="697" spans="2:8" x14ac:dyDescent="0.25">
      <c r="B697" s="41" t="s">
        <v>1081</v>
      </c>
      <c r="C697" s="429" t="s">
        <v>455</v>
      </c>
      <c r="D697" s="430" t="s">
        <v>1682</v>
      </c>
      <c r="E697" s="430" t="s">
        <v>1688</v>
      </c>
      <c r="F697" t="str">
        <f t="shared" si="6"/>
        <v>Français</v>
      </c>
      <c r="G697" s="32" t="s">
        <v>88</v>
      </c>
      <c r="H697" t="s">
        <v>28149</v>
      </c>
    </row>
    <row r="698" spans="2:8" x14ac:dyDescent="0.25">
      <c r="B698" s="41" t="s">
        <v>1082</v>
      </c>
      <c r="C698" s="429" t="s">
        <v>455</v>
      </c>
      <c r="D698" s="430" t="s">
        <v>1682</v>
      </c>
      <c r="E698" s="430" t="s">
        <v>1691</v>
      </c>
      <c r="F698" t="str">
        <f t="shared" si="6"/>
        <v>Français</v>
      </c>
      <c r="G698" s="32" t="s">
        <v>88</v>
      </c>
      <c r="H698" t="s">
        <v>28150</v>
      </c>
    </row>
    <row r="699" spans="2:8" x14ac:dyDescent="0.25">
      <c r="B699" s="41" t="s">
        <v>1083</v>
      </c>
      <c r="C699" s="429" t="s">
        <v>455</v>
      </c>
      <c r="D699" s="430" t="s">
        <v>1682</v>
      </c>
      <c r="E699" s="430" t="s">
        <v>27719</v>
      </c>
      <c r="F699" t="str">
        <f t="shared" ref="F699:F757" si="7">French</f>
        <v>Français</v>
      </c>
      <c r="G699" s="32" t="s">
        <v>88</v>
      </c>
      <c r="H699" t="s">
        <v>28151</v>
      </c>
    </row>
    <row r="700" spans="2:8" x14ac:dyDescent="0.25">
      <c r="B700" s="41" t="s">
        <v>1084</v>
      </c>
      <c r="C700" s="429" t="s">
        <v>455</v>
      </c>
      <c r="D700" s="430" t="s">
        <v>1682</v>
      </c>
      <c r="E700" s="430" t="s">
        <v>1694</v>
      </c>
      <c r="F700" t="str">
        <f t="shared" si="7"/>
        <v>Français</v>
      </c>
      <c r="G700" s="32" t="s">
        <v>88</v>
      </c>
      <c r="H700" t="s">
        <v>28152</v>
      </c>
    </row>
    <row r="701" spans="2:8" x14ac:dyDescent="0.25">
      <c r="B701" s="41" t="s">
        <v>1085</v>
      </c>
      <c r="C701" s="429" t="s">
        <v>455</v>
      </c>
      <c r="D701" s="430" t="s">
        <v>1682</v>
      </c>
      <c r="E701" s="430" t="s">
        <v>27720</v>
      </c>
      <c r="F701" t="str">
        <f t="shared" si="7"/>
        <v>Français</v>
      </c>
      <c r="G701" s="32" t="s">
        <v>88</v>
      </c>
      <c r="H701" t="s">
        <v>28153</v>
      </c>
    </row>
    <row r="702" spans="2:8" x14ac:dyDescent="0.25">
      <c r="B702" s="41" t="s">
        <v>1086</v>
      </c>
      <c r="C702" s="429" t="s">
        <v>455</v>
      </c>
      <c r="D702" s="430" t="s">
        <v>1682</v>
      </c>
      <c r="E702" s="430" t="s">
        <v>1696</v>
      </c>
      <c r="F702" t="str">
        <f t="shared" si="7"/>
        <v>Français</v>
      </c>
      <c r="G702" s="32" t="s">
        <v>88</v>
      </c>
      <c r="H702" t="s">
        <v>28154</v>
      </c>
    </row>
    <row r="703" spans="2:8" x14ac:dyDescent="0.25">
      <c r="B703" s="41" t="s">
        <v>1087</v>
      </c>
      <c r="C703" s="429" t="s">
        <v>455</v>
      </c>
      <c r="D703" s="430" t="s">
        <v>1682</v>
      </c>
      <c r="E703" s="430" t="s">
        <v>27721</v>
      </c>
      <c r="F703" t="str">
        <f t="shared" si="7"/>
        <v>Français</v>
      </c>
      <c r="G703" s="32" t="s">
        <v>88</v>
      </c>
      <c r="H703" t="s">
        <v>28155</v>
      </c>
    </row>
    <row r="704" spans="2:8" x14ac:dyDescent="0.25">
      <c r="B704" s="41" t="s">
        <v>1088</v>
      </c>
      <c r="C704" s="429" t="s">
        <v>455</v>
      </c>
      <c r="D704" s="430" t="s">
        <v>1699</v>
      </c>
      <c r="E704" s="430" t="s">
        <v>27722</v>
      </c>
      <c r="F704" t="str">
        <f t="shared" si="7"/>
        <v>Français</v>
      </c>
      <c r="G704" s="32" t="s">
        <v>88</v>
      </c>
      <c r="H704" t="s">
        <v>28156</v>
      </c>
    </row>
    <row r="705" spans="2:8" x14ac:dyDescent="0.25">
      <c r="B705" s="41" t="s">
        <v>1072</v>
      </c>
      <c r="C705" s="429" t="s">
        <v>455</v>
      </c>
      <c r="D705" s="430" t="s">
        <v>1699</v>
      </c>
      <c r="E705" s="430" t="s">
        <v>27723</v>
      </c>
      <c r="F705" t="str">
        <f t="shared" si="7"/>
        <v>Français</v>
      </c>
      <c r="G705" s="32" t="s">
        <v>88</v>
      </c>
      <c r="H705" t="s">
        <v>28157</v>
      </c>
    </row>
    <row r="706" spans="2:8" x14ac:dyDescent="0.25">
      <c r="B706" s="41" t="s">
        <v>1089</v>
      </c>
      <c r="C706" s="429" t="s">
        <v>455</v>
      </c>
      <c r="D706" s="430" t="s">
        <v>1699</v>
      </c>
      <c r="E706" s="430" t="s">
        <v>1702</v>
      </c>
      <c r="F706" t="str">
        <f t="shared" si="7"/>
        <v>Français</v>
      </c>
      <c r="G706" s="32" t="s">
        <v>88</v>
      </c>
      <c r="H706" t="s">
        <v>28158</v>
      </c>
    </row>
    <row r="707" spans="2:8" x14ac:dyDescent="0.25">
      <c r="B707" s="41" t="s">
        <v>1090</v>
      </c>
      <c r="C707" s="429" t="s">
        <v>455</v>
      </c>
      <c r="D707" s="430" t="s">
        <v>1699</v>
      </c>
      <c r="E707" s="430" t="s">
        <v>27724</v>
      </c>
      <c r="F707" t="str">
        <f t="shared" si="7"/>
        <v>Français</v>
      </c>
      <c r="G707" s="32" t="s">
        <v>88</v>
      </c>
      <c r="H707" t="s">
        <v>28159</v>
      </c>
    </row>
    <row r="708" spans="2:8" x14ac:dyDescent="0.25">
      <c r="B708" s="41" t="s">
        <v>1091</v>
      </c>
      <c r="C708" s="429" t="s">
        <v>455</v>
      </c>
      <c r="D708" s="430" t="s">
        <v>1699</v>
      </c>
      <c r="E708" s="430" t="s">
        <v>1339</v>
      </c>
      <c r="F708" t="str">
        <f t="shared" si="7"/>
        <v>Français</v>
      </c>
      <c r="G708" s="32" t="s">
        <v>88</v>
      </c>
      <c r="H708" t="s">
        <v>28160</v>
      </c>
    </row>
    <row r="709" spans="2:8" x14ac:dyDescent="0.25">
      <c r="B709" s="41" t="s">
        <v>1092</v>
      </c>
      <c r="C709" s="429" t="s">
        <v>455</v>
      </c>
      <c r="D709" s="430" t="s">
        <v>1699</v>
      </c>
      <c r="E709" s="430" t="s">
        <v>1340</v>
      </c>
      <c r="F709" t="str">
        <f t="shared" si="7"/>
        <v>Français</v>
      </c>
      <c r="G709" s="32" t="s">
        <v>88</v>
      </c>
      <c r="H709" t="s">
        <v>28161</v>
      </c>
    </row>
    <row r="710" spans="2:8" x14ac:dyDescent="0.25">
      <c r="B710" s="41" t="s">
        <v>1093</v>
      </c>
      <c r="C710" s="429" t="s">
        <v>455</v>
      </c>
      <c r="D710" s="430" t="s">
        <v>1699</v>
      </c>
      <c r="E710" s="430" t="s">
        <v>1708</v>
      </c>
      <c r="F710" t="str">
        <f t="shared" si="7"/>
        <v>Français</v>
      </c>
      <c r="G710" s="32" t="s">
        <v>88</v>
      </c>
      <c r="H710" t="s">
        <v>28162</v>
      </c>
    </row>
    <row r="711" spans="2:8" x14ac:dyDescent="0.25">
      <c r="B711" s="41" t="s">
        <v>1094</v>
      </c>
      <c r="C711" s="429" t="s">
        <v>455</v>
      </c>
      <c r="D711" s="430" t="s">
        <v>1699</v>
      </c>
      <c r="E711" s="430" t="s">
        <v>1710</v>
      </c>
      <c r="F711" t="str">
        <f t="shared" si="7"/>
        <v>Français</v>
      </c>
      <c r="G711" s="32" t="s">
        <v>88</v>
      </c>
      <c r="H711" t="s">
        <v>28163</v>
      </c>
    </row>
    <row r="712" spans="2:8" x14ac:dyDescent="0.25">
      <c r="B712" s="41" t="s">
        <v>1095</v>
      </c>
      <c r="C712" s="429" t="s">
        <v>455</v>
      </c>
      <c r="D712" s="430" t="s">
        <v>1699</v>
      </c>
      <c r="E712" s="430" t="s">
        <v>1712</v>
      </c>
      <c r="F712" t="str">
        <f t="shared" si="7"/>
        <v>Français</v>
      </c>
      <c r="G712" s="32" t="s">
        <v>88</v>
      </c>
      <c r="H712" t="s">
        <v>28164</v>
      </c>
    </row>
    <row r="713" spans="2:8" x14ac:dyDescent="0.25">
      <c r="B713" s="41" t="s">
        <v>1096</v>
      </c>
      <c r="C713" s="429" t="s">
        <v>455</v>
      </c>
      <c r="D713" s="430" t="s">
        <v>1699</v>
      </c>
      <c r="E713" s="430" t="s">
        <v>1344</v>
      </c>
      <c r="F713" t="str">
        <f t="shared" si="7"/>
        <v>Français</v>
      </c>
      <c r="G713" s="32" t="s">
        <v>88</v>
      </c>
      <c r="H713" t="s">
        <v>28165</v>
      </c>
    </row>
    <row r="714" spans="2:8" x14ac:dyDescent="0.25">
      <c r="B714" s="41" t="s">
        <v>1097</v>
      </c>
      <c r="C714" s="429" t="s">
        <v>455</v>
      </c>
      <c r="D714" s="430" t="s">
        <v>1699</v>
      </c>
      <c r="E714" s="430" t="s">
        <v>1715</v>
      </c>
      <c r="F714" t="str">
        <f t="shared" si="7"/>
        <v>Français</v>
      </c>
      <c r="G714" s="32" t="s">
        <v>88</v>
      </c>
      <c r="H714" t="s">
        <v>28166</v>
      </c>
    </row>
    <row r="715" spans="2:8" x14ac:dyDescent="0.25">
      <c r="B715" s="41" t="s">
        <v>1098</v>
      </c>
      <c r="C715" s="429" t="s">
        <v>455</v>
      </c>
      <c r="D715" s="430" t="s">
        <v>1699</v>
      </c>
      <c r="E715" s="430" t="s">
        <v>1346</v>
      </c>
      <c r="F715" t="str">
        <f t="shared" si="7"/>
        <v>Français</v>
      </c>
      <c r="G715" s="32" t="s">
        <v>88</v>
      </c>
      <c r="H715" t="s">
        <v>28167</v>
      </c>
    </row>
    <row r="716" spans="2:8" x14ac:dyDescent="0.25">
      <c r="B716" s="41" t="s">
        <v>1099</v>
      </c>
      <c r="C716" s="429" t="s">
        <v>455</v>
      </c>
      <c r="D716" s="430" t="s">
        <v>1699</v>
      </c>
      <c r="E716" s="430" t="s">
        <v>1718</v>
      </c>
      <c r="F716" t="str">
        <f t="shared" si="7"/>
        <v>Français</v>
      </c>
      <c r="G716" s="32" t="s">
        <v>88</v>
      </c>
      <c r="H716" t="s">
        <v>28168</v>
      </c>
    </row>
    <row r="717" spans="2:8" x14ac:dyDescent="0.25">
      <c r="B717" s="41" t="s">
        <v>1100</v>
      </c>
      <c r="C717" s="429" t="s">
        <v>455</v>
      </c>
      <c r="D717" s="430" t="s">
        <v>1699</v>
      </c>
      <c r="E717" s="430" t="s">
        <v>1348</v>
      </c>
      <c r="F717" t="str">
        <f t="shared" si="7"/>
        <v>Français</v>
      </c>
      <c r="G717" s="32" t="s">
        <v>88</v>
      </c>
      <c r="H717" t="s">
        <v>28169</v>
      </c>
    </row>
    <row r="718" spans="2:8" x14ac:dyDescent="0.25">
      <c r="B718" s="41" t="s">
        <v>1101</v>
      </c>
      <c r="C718" s="429" t="s">
        <v>455</v>
      </c>
      <c r="D718" s="430" t="s">
        <v>1699</v>
      </c>
      <c r="E718" s="430" t="s">
        <v>1720</v>
      </c>
      <c r="F718" t="str">
        <f t="shared" si="7"/>
        <v>Français</v>
      </c>
      <c r="G718" s="32" t="s">
        <v>88</v>
      </c>
      <c r="H718" t="s">
        <v>28170</v>
      </c>
    </row>
    <row r="719" spans="2:8" x14ac:dyDescent="0.25">
      <c r="B719" s="41" t="s">
        <v>1102</v>
      </c>
      <c r="C719" s="429" t="s">
        <v>455</v>
      </c>
      <c r="D719" s="430" t="s">
        <v>1699</v>
      </c>
      <c r="E719" s="430" t="s">
        <v>1722</v>
      </c>
      <c r="F719" t="str">
        <f t="shared" si="7"/>
        <v>Français</v>
      </c>
      <c r="G719" s="32" t="s">
        <v>88</v>
      </c>
      <c r="H719" t="s">
        <v>28171</v>
      </c>
    </row>
    <row r="720" spans="2:8" x14ac:dyDescent="0.25">
      <c r="B720" s="41" t="s">
        <v>1103</v>
      </c>
      <c r="C720" s="429" t="s">
        <v>455</v>
      </c>
      <c r="D720" s="430" t="s">
        <v>1699</v>
      </c>
      <c r="E720" s="430" t="s">
        <v>27725</v>
      </c>
      <c r="F720" t="str">
        <f t="shared" si="7"/>
        <v>Français</v>
      </c>
      <c r="G720" s="32" t="s">
        <v>88</v>
      </c>
      <c r="H720" t="s">
        <v>28172</v>
      </c>
    </row>
    <row r="721" spans="2:8" x14ac:dyDescent="0.25">
      <c r="B721" s="41" t="s">
        <v>1104</v>
      </c>
      <c r="C721" s="429" t="s">
        <v>455</v>
      </c>
      <c r="D721" s="430" t="s">
        <v>1699</v>
      </c>
      <c r="E721" s="430" t="s">
        <v>1725</v>
      </c>
      <c r="F721" t="str">
        <f t="shared" si="7"/>
        <v>Français</v>
      </c>
      <c r="G721" s="32" t="s">
        <v>88</v>
      </c>
      <c r="H721" t="s">
        <v>28173</v>
      </c>
    </row>
    <row r="722" spans="2:8" x14ac:dyDescent="0.25">
      <c r="B722" s="41" t="s">
        <v>1105</v>
      </c>
      <c r="C722" s="429" t="s">
        <v>455</v>
      </c>
      <c r="D722" s="430" t="s">
        <v>1699</v>
      </c>
      <c r="E722" s="430" t="s">
        <v>1353</v>
      </c>
      <c r="F722" t="str">
        <f t="shared" si="7"/>
        <v>Français</v>
      </c>
      <c r="G722" s="32" t="s">
        <v>88</v>
      </c>
      <c r="H722" t="s">
        <v>28174</v>
      </c>
    </row>
    <row r="723" spans="2:8" x14ac:dyDescent="0.25">
      <c r="B723" s="41" t="s">
        <v>1106</v>
      </c>
      <c r="C723" s="429" t="s">
        <v>455</v>
      </c>
      <c r="D723" s="430" t="s">
        <v>1699</v>
      </c>
      <c r="E723" s="430" t="s">
        <v>1354</v>
      </c>
      <c r="F723" t="str">
        <f t="shared" si="7"/>
        <v>Français</v>
      </c>
      <c r="G723" s="32" t="s">
        <v>88</v>
      </c>
      <c r="H723" t="s">
        <v>28175</v>
      </c>
    </row>
    <row r="724" spans="2:8" x14ac:dyDescent="0.25">
      <c r="B724" s="41" t="s">
        <v>1107</v>
      </c>
      <c r="C724" s="429" t="s">
        <v>455</v>
      </c>
      <c r="D724" s="430" t="s">
        <v>1699</v>
      </c>
      <c r="E724" s="430" t="s">
        <v>1729</v>
      </c>
      <c r="F724" t="str">
        <f t="shared" si="7"/>
        <v>Français</v>
      </c>
      <c r="G724" s="32" t="s">
        <v>88</v>
      </c>
      <c r="H724" t="s">
        <v>28176</v>
      </c>
    </row>
    <row r="725" spans="2:8" x14ac:dyDescent="0.25">
      <c r="B725" s="41" t="s">
        <v>1108</v>
      </c>
      <c r="C725" s="429" t="s">
        <v>455</v>
      </c>
      <c r="D725" s="430" t="s">
        <v>1699</v>
      </c>
      <c r="E725" s="430" t="s">
        <v>1731</v>
      </c>
      <c r="F725" t="str">
        <f t="shared" si="7"/>
        <v>Français</v>
      </c>
      <c r="G725" s="32" t="s">
        <v>88</v>
      </c>
      <c r="H725" t="s">
        <v>28177</v>
      </c>
    </row>
    <row r="726" spans="2:8" x14ac:dyDescent="0.25">
      <c r="B726" s="41" t="s">
        <v>1109</v>
      </c>
      <c r="C726" s="429" t="s">
        <v>455</v>
      </c>
      <c r="D726" s="430" t="s">
        <v>1699</v>
      </c>
      <c r="E726" s="430" t="s">
        <v>27726</v>
      </c>
      <c r="F726" t="str">
        <f t="shared" si="7"/>
        <v>Français</v>
      </c>
      <c r="G726" s="32" t="s">
        <v>88</v>
      </c>
      <c r="H726" t="s">
        <v>28178</v>
      </c>
    </row>
    <row r="727" spans="2:8" x14ac:dyDescent="0.25">
      <c r="B727" s="41" t="s">
        <v>1110</v>
      </c>
      <c r="C727" s="429" t="s">
        <v>455</v>
      </c>
      <c r="D727" s="430" t="s">
        <v>1699</v>
      </c>
      <c r="E727" s="430" t="s">
        <v>27727</v>
      </c>
      <c r="F727" t="str">
        <f t="shared" si="7"/>
        <v>Français</v>
      </c>
      <c r="G727" s="32" t="s">
        <v>88</v>
      </c>
      <c r="H727" t="s">
        <v>28179</v>
      </c>
    </row>
    <row r="728" spans="2:8" x14ac:dyDescent="0.25">
      <c r="B728" s="41" t="s">
        <v>1111</v>
      </c>
      <c r="C728" s="429" t="s">
        <v>455</v>
      </c>
      <c r="D728" s="430" t="s">
        <v>1699</v>
      </c>
      <c r="E728" s="430" t="s">
        <v>27728</v>
      </c>
      <c r="F728" t="str">
        <f t="shared" si="7"/>
        <v>Français</v>
      </c>
      <c r="G728" s="32" t="s">
        <v>88</v>
      </c>
      <c r="H728" t="s">
        <v>28180</v>
      </c>
    </row>
    <row r="729" spans="2:8" x14ac:dyDescent="0.25">
      <c r="B729" s="41" t="s">
        <v>1112</v>
      </c>
      <c r="C729" s="429" t="s">
        <v>455</v>
      </c>
      <c r="D729" s="430" t="s">
        <v>1699</v>
      </c>
      <c r="E729" s="430" t="s">
        <v>1739</v>
      </c>
      <c r="F729" t="str">
        <f t="shared" si="7"/>
        <v>Français</v>
      </c>
      <c r="G729" s="32" t="s">
        <v>88</v>
      </c>
      <c r="H729" t="s">
        <v>28181</v>
      </c>
    </row>
    <row r="730" spans="2:8" x14ac:dyDescent="0.25">
      <c r="B730" s="41" t="s">
        <v>1113</v>
      </c>
      <c r="C730" s="429" t="s">
        <v>1741</v>
      </c>
      <c r="D730" s="430" t="s">
        <v>1742</v>
      </c>
      <c r="E730" s="430" t="s">
        <v>1392</v>
      </c>
      <c r="F730" t="str">
        <f t="shared" si="7"/>
        <v>Français</v>
      </c>
      <c r="G730" s="32" t="s">
        <v>88</v>
      </c>
      <c r="H730" t="s">
        <v>28182</v>
      </c>
    </row>
    <row r="731" spans="2:8" x14ac:dyDescent="0.25">
      <c r="B731" s="41" t="s">
        <v>1114</v>
      </c>
      <c r="C731" s="429" t="s">
        <v>1741</v>
      </c>
      <c r="D731" s="430" t="s">
        <v>27729</v>
      </c>
      <c r="E731" s="430" t="s">
        <v>1392</v>
      </c>
      <c r="F731" t="str">
        <f t="shared" si="7"/>
        <v>Français</v>
      </c>
      <c r="G731" s="32" t="s">
        <v>88</v>
      </c>
      <c r="H731" t="s">
        <v>28183</v>
      </c>
    </row>
    <row r="732" spans="2:8" x14ac:dyDescent="0.25">
      <c r="B732" s="41" t="s">
        <v>1115</v>
      </c>
      <c r="C732" s="429" t="s">
        <v>1741</v>
      </c>
      <c r="D732" s="430" t="s">
        <v>27730</v>
      </c>
      <c r="E732" s="430" t="s">
        <v>1392</v>
      </c>
      <c r="F732" t="str">
        <f t="shared" si="7"/>
        <v>Français</v>
      </c>
      <c r="G732" s="32" t="s">
        <v>88</v>
      </c>
      <c r="H732" t="s">
        <v>28184</v>
      </c>
    </row>
    <row r="733" spans="2:8" x14ac:dyDescent="0.25">
      <c r="B733" s="41" t="s">
        <v>1116</v>
      </c>
      <c r="C733" s="429" t="s">
        <v>1741</v>
      </c>
      <c r="D733" s="430" t="s">
        <v>27731</v>
      </c>
      <c r="E733" s="430" t="s">
        <v>1392</v>
      </c>
      <c r="F733" t="str">
        <f t="shared" si="7"/>
        <v>Français</v>
      </c>
      <c r="G733" s="32" t="s">
        <v>88</v>
      </c>
      <c r="H733" t="s">
        <v>28185</v>
      </c>
    </row>
    <row r="734" spans="2:8" x14ac:dyDescent="0.25">
      <c r="B734" s="41" t="s">
        <v>1117</v>
      </c>
      <c r="C734" s="429" t="s">
        <v>1741</v>
      </c>
      <c r="D734" s="430" t="s">
        <v>1746</v>
      </c>
      <c r="E734" s="430" t="s">
        <v>1392</v>
      </c>
      <c r="F734" t="str">
        <f t="shared" si="7"/>
        <v>Français</v>
      </c>
      <c r="G734" s="32" t="s">
        <v>88</v>
      </c>
      <c r="H734" t="s">
        <v>28186</v>
      </c>
    </row>
    <row r="735" spans="2:8" x14ac:dyDescent="0.25">
      <c r="B735" s="41" t="s">
        <v>1118</v>
      </c>
      <c r="C735" s="429" t="s">
        <v>1741</v>
      </c>
      <c r="D735" s="430" t="s">
        <v>1748</v>
      </c>
      <c r="E735" s="430" t="s">
        <v>1392</v>
      </c>
      <c r="F735" t="str">
        <f t="shared" si="7"/>
        <v>Français</v>
      </c>
      <c r="G735" s="32" t="s">
        <v>88</v>
      </c>
      <c r="H735" t="s">
        <v>28187</v>
      </c>
    </row>
    <row r="736" spans="2:8" x14ac:dyDescent="0.25">
      <c r="B736" s="41" t="s">
        <v>1119</v>
      </c>
      <c r="C736" s="429" t="s">
        <v>1749</v>
      </c>
      <c r="D736" s="430" t="s">
        <v>27732</v>
      </c>
      <c r="E736" s="430" t="s">
        <v>1392</v>
      </c>
      <c r="F736" t="str">
        <f t="shared" si="7"/>
        <v>Français</v>
      </c>
      <c r="G736" s="32" t="s">
        <v>88</v>
      </c>
      <c r="H736" t="s">
        <v>28188</v>
      </c>
    </row>
    <row r="737" spans="2:8" x14ac:dyDescent="0.25">
      <c r="B737" s="41" t="s">
        <v>1120</v>
      </c>
      <c r="C737" s="429" t="s">
        <v>1749</v>
      </c>
      <c r="D737" s="430" t="s">
        <v>27732</v>
      </c>
      <c r="E737" s="430" t="s">
        <v>27732</v>
      </c>
      <c r="F737" t="str">
        <f t="shared" si="7"/>
        <v>Français</v>
      </c>
      <c r="G737" s="32" t="s">
        <v>88</v>
      </c>
      <c r="H737" t="s">
        <v>28189</v>
      </c>
    </row>
    <row r="738" spans="2:8" x14ac:dyDescent="0.25">
      <c r="B738" s="41" t="s">
        <v>1121</v>
      </c>
      <c r="C738" s="429" t="s">
        <v>1749</v>
      </c>
      <c r="D738" s="430" t="s">
        <v>27732</v>
      </c>
      <c r="E738" s="430" t="s">
        <v>27733</v>
      </c>
      <c r="F738" t="str">
        <f t="shared" si="7"/>
        <v>Français</v>
      </c>
      <c r="G738" s="32" t="s">
        <v>88</v>
      </c>
      <c r="H738" t="s">
        <v>28190</v>
      </c>
    </row>
    <row r="739" spans="2:8" x14ac:dyDescent="0.25">
      <c r="B739" s="41" t="s">
        <v>1119</v>
      </c>
      <c r="C739" s="429" t="s">
        <v>1749</v>
      </c>
      <c r="D739" s="430" t="s">
        <v>27732</v>
      </c>
      <c r="E739" s="430" t="s">
        <v>1751</v>
      </c>
      <c r="F739" t="str">
        <f t="shared" si="7"/>
        <v>Français</v>
      </c>
      <c r="G739" s="32" t="s">
        <v>88</v>
      </c>
      <c r="H739" t="s">
        <v>28191</v>
      </c>
    </row>
    <row r="740" spans="2:8" x14ac:dyDescent="0.25">
      <c r="B740" s="41" t="s">
        <v>1122</v>
      </c>
      <c r="C740" s="429" t="s">
        <v>1749</v>
      </c>
      <c r="D740" s="430" t="s">
        <v>27732</v>
      </c>
      <c r="E740" s="430" t="s">
        <v>27734</v>
      </c>
      <c r="F740" t="str">
        <f t="shared" si="7"/>
        <v>Français</v>
      </c>
      <c r="G740" s="32" t="s">
        <v>88</v>
      </c>
      <c r="H740" t="s">
        <v>28192</v>
      </c>
    </row>
    <row r="741" spans="2:8" x14ac:dyDescent="0.25">
      <c r="B741" s="41" t="s">
        <v>1123</v>
      </c>
      <c r="C741" s="429" t="s">
        <v>1749</v>
      </c>
      <c r="D741" s="430" t="s">
        <v>1753</v>
      </c>
      <c r="E741" s="430" t="s">
        <v>27735</v>
      </c>
      <c r="F741" t="str">
        <f t="shared" si="7"/>
        <v>Français</v>
      </c>
      <c r="G741" s="32" t="s">
        <v>88</v>
      </c>
      <c r="H741" t="s">
        <v>28193</v>
      </c>
    </row>
    <row r="742" spans="2:8" x14ac:dyDescent="0.25">
      <c r="B742" s="41" t="s">
        <v>1124</v>
      </c>
      <c r="C742" s="429" t="s">
        <v>1749</v>
      </c>
      <c r="D742" s="430" t="s">
        <v>1753</v>
      </c>
      <c r="E742" s="430" t="s">
        <v>27736</v>
      </c>
      <c r="F742" t="str">
        <f t="shared" si="7"/>
        <v>Français</v>
      </c>
      <c r="G742" s="32" t="s">
        <v>88</v>
      </c>
      <c r="H742" t="s">
        <v>28194</v>
      </c>
    </row>
    <row r="743" spans="2:8" x14ac:dyDescent="0.25">
      <c r="B743" s="41" t="s">
        <v>1125</v>
      </c>
      <c r="C743" s="429" t="s">
        <v>1749</v>
      </c>
      <c r="D743" s="430" t="s">
        <v>1753</v>
      </c>
      <c r="E743" s="430" t="s">
        <v>27737</v>
      </c>
      <c r="F743" t="str">
        <f t="shared" si="7"/>
        <v>Français</v>
      </c>
      <c r="G743" s="32" t="s">
        <v>88</v>
      </c>
      <c r="H743" t="s">
        <v>28195</v>
      </c>
    </row>
    <row r="744" spans="2:8" x14ac:dyDescent="0.25">
      <c r="B744" s="41" t="s">
        <v>1126</v>
      </c>
      <c r="C744" s="429" t="s">
        <v>1749</v>
      </c>
      <c r="D744" s="430" t="s">
        <v>1377</v>
      </c>
      <c r="E744" s="430" t="s">
        <v>27738</v>
      </c>
      <c r="F744" t="str">
        <f t="shared" si="7"/>
        <v>Français</v>
      </c>
      <c r="G744" s="32" t="s">
        <v>88</v>
      </c>
      <c r="H744" t="s">
        <v>28196</v>
      </c>
    </row>
    <row r="745" spans="2:8" x14ac:dyDescent="0.25">
      <c r="B745" s="41" t="s">
        <v>1127</v>
      </c>
      <c r="C745" s="429" t="s">
        <v>1749</v>
      </c>
      <c r="D745" s="430" t="s">
        <v>1377</v>
      </c>
      <c r="E745" s="430" t="s">
        <v>27739</v>
      </c>
      <c r="F745" t="str">
        <f t="shared" si="7"/>
        <v>Français</v>
      </c>
      <c r="G745" s="32" t="s">
        <v>88</v>
      </c>
      <c r="H745" t="s">
        <v>28197</v>
      </c>
    </row>
    <row r="746" spans="2:8" x14ac:dyDescent="0.25">
      <c r="B746" s="41" t="s">
        <v>1128</v>
      </c>
      <c r="C746" s="429" t="s">
        <v>1749</v>
      </c>
      <c r="D746" s="430" t="s">
        <v>1757</v>
      </c>
      <c r="E746" s="430" t="s">
        <v>1392</v>
      </c>
      <c r="F746" t="str">
        <f t="shared" si="7"/>
        <v>Français</v>
      </c>
      <c r="G746" s="32" t="s">
        <v>88</v>
      </c>
      <c r="H746" t="s">
        <v>28198</v>
      </c>
    </row>
    <row r="747" spans="2:8" x14ac:dyDescent="0.25">
      <c r="B747" s="41" t="s">
        <v>1129</v>
      </c>
      <c r="C747" s="429" t="s">
        <v>1749</v>
      </c>
      <c r="D747" s="430" t="s">
        <v>1757</v>
      </c>
      <c r="E747" s="430" t="s">
        <v>27740</v>
      </c>
      <c r="F747" t="str">
        <f t="shared" si="7"/>
        <v>Français</v>
      </c>
      <c r="G747" s="32" t="s">
        <v>88</v>
      </c>
      <c r="H747" t="s">
        <v>28199</v>
      </c>
    </row>
    <row r="748" spans="2:8" x14ac:dyDescent="0.25">
      <c r="B748" s="41" t="s">
        <v>1128</v>
      </c>
      <c r="C748" s="429" t="s">
        <v>1749</v>
      </c>
      <c r="D748" s="430" t="s">
        <v>1757</v>
      </c>
      <c r="E748" s="430" t="s">
        <v>27741</v>
      </c>
      <c r="F748" t="str">
        <f t="shared" si="7"/>
        <v>Français</v>
      </c>
      <c r="G748" s="32" t="s">
        <v>88</v>
      </c>
      <c r="H748" t="s">
        <v>28200</v>
      </c>
    </row>
    <row r="749" spans="2:8" x14ac:dyDescent="0.25">
      <c r="B749" s="41" t="s">
        <v>1130</v>
      </c>
      <c r="C749" s="429" t="s">
        <v>1749</v>
      </c>
      <c r="D749" s="430" t="s">
        <v>27742</v>
      </c>
      <c r="E749" s="430" t="s">
        <v>1392</v>
      </c>
      <c r="F749" t="str">
        <f t="shared" si="7"/>
        <v>Français</v>
      </c>
      <c r="G749" s="32" t="s">
        <v>88</v>
      </c>
      <c r="H749" t="s">
        <v>28201</v>
      </c>
    </row>
    <row r="750" spans="2:8" x14ac:dyDescent="0.25">
      <c r="B750" s="41" t="s">
        <v>1131</v>
      </c>
      <c r="C750" s="429" t="s">
        <v>1749</v>
      </c>
      <c r="D750" s="430" t="s">
        <v>27742</v>
      </c>
      <c r="E750" s="430" t="s">
        <v>27743</v>
      </c>
      <c r="F750" t="str">
        <f t="shared" si="7"/>
        <v>Français</v>
      </c>
      <c r="G750" s="32" t="s">
        <v>88</v>
      </c>
      <c r="H750" t="s">
        <v>28202</v>
      </c>
    </row>
    <row r="751" spans="2:8" x14ac:dyDescent="0.25">
      <c r="B751" s="41" t="s">
        <v>1130</v>
      </c>
      <c r="C751" s="429" t="s">
        <v>1749</v>
      </c>
      <c r="D751" s="430" t="s">
        <v>27742</v>
      </c>
      <c r="E751" s="430" t="s">
        <v>27744</v>
      </c>
      <c r="F751" t="str">
        <f t="shared" si="7"/>
        <v>Français</v>
      </c>
      <c r="G751" s="32" t="s">
        <v>88</v>
      </c>
      <c r="H751" t="s">
        <v>28203</v>
      </c>
    </row>
    <row r="752" spans="2:8" x14ac:dyDescent="0.25">
      <c r="B752" s="41" t="s">
        <v>1132</v>
      </c>
      <c r="C752" s="429" t="s">
        <v>1761</v>
      </c>
      <c r="D752" s="430" t="s">
        <v>27745</v>
      </c>
      <c r="E752" s="430" t="s">
        <v>1392</v>
      </c>
      <c r="F752" t="str">
        <f t="shared" si="7"/>
        <v>Français</v>
      </c>
      <c r="G752" s="32" t="s">
        <v>88</v>
      </c>
      <c r="H752" t="s">
        <v>28204</v>
      </c>
    </row>
    <row r="753" spans="2:8" x14ac:dyDescent="0.25">
      <c r="B753" s="41" t="s">
        <v>1133</v>
      </c>
      <c r="C753" s="429" t="s">
        <v>1761</v>
      </c>
      <c r="D753" s="430" t="s">
        <v>27746</v>
      </c>
      <c r="E753" s="430" t="s">
        <v>1392</v>
      </c>
      <c r="F753" t="str">
        <f t="shared" si="7"/>
        <v>Français</v>
      </c>
      <c r="G753" s="32" t="s">
        <v>88</v>
      </c>
      <c r="H753" t="s">
        <v>28205</v>
      </c>
    </row>
    <row r="754" spans="2:8" x14ac:dyDescent="0.25">
      <c r="B754" s="41" t="s">
        <v>1134</v>
      </c>
      <c r="C754" s="429" t="s">
        <v>1761</v>
      </c>
      <c r="D754" s="430" t="s">
        <v>1763</v>
      </c>
      <c r="E754" s="430" t="s">
        <v>1392</v>
      </c>
      <c r="F754" t="str">
        <f t="shared" si="7"/>
        <v>Français</v>
      </c>
      <c r="G754" s="32" t="s">
        <v>88</v>
      </c>
      <c r="H754" t="s">
        <v>28206</v>
      </c>
    </row>
    <row r="755" spans="2:8" x14ac:dyDescent="0.25">
      <c r="B755" s="41" t="s">
        <v>1135</v>
      </c>
      <c r="C755" s="429" t="s">
        <v>1766</v>
      </c>
      <c r="D755" s="430" t="s">
        <v>1767</v>
      </c>
      <c r="E755" s="430" t="s">
        <v>1392</v>
      </c>
      <c r="F755" t="str">
        <f t="shared" si="7"/>
        <v>Français</v>
      </c>
      <c r="G755" s="32" t="s">
        <v>88</v>
      </c>
      <c r="H755" t="s">
        <v>28207</v>
      </c>
    </row>
    <row r="756" spans="2:8" x14ac:dyDescent="0.25">
      <c r="B756" s="41" t="s">
        <v>1136</v>
      </c>
      <c r="C756" s="429" t="s">
        <v>1766</v>
      </c>
      <c r="D756" s="430" t="s">
        <v>1768</v>
      </c>
      <c r="E756" s="430" t="s">
        <v>1392</v>
      </c>
      <c r="F756" t="str">
        <f t="shared" si="7"/>
        <v>Français</v>
      </c>
      <c r="G756" s="32" t="s">
        <v>88</v>
      </c>
      <c r="H756" t="s">
        <v>28208</v>
      </c>
    </row>
    <row r="757" spans="2:8" x14ac:dyDescent="0.25">
      <c r="B757" s="41" t="s">
        <v>19054</v>
      </c>
      <c r="C757" s="429" t="s">
        <v>2073</v>
      </c>
      <c r="D757" s="429" t="s">
        <v>2073</v>
      </c>
      <c r="E757" s="430"/>
      <c r="F757" t="str">
        <f t="shared" si="7"/>
        <v>Français</v>
      </c>
      <c r="G757" s="32" t="s">
        <v>88</v>
      </c>
      <c r="H757" t="s">
        <v>28209</v>
      </c>
    </row>
    <row r="758" spans="2:8" x14ac:dyDescent="0.25">
      <c r="B758" s="429"/>
      <c r="C758" s="431" t="s">
        <v>1770</v>
      </c>
      <c r="D758" s="431" t="s">
        <v>1771</v>
      </c>
      <c r="E758" s="431" t="s">
        <v>1772</v>
      </c>
      <c r="F758"/>
      <c r="G758"/>
      <c r="H758"/>
    </row>
    <row r="759" spans="2:8" x14ac:dyDescent="0.25">
      <c r="B759" s="41" t="s">
        <v>874</v>
      </c>
      <c r="C759" s="430" t="s">
        <v>1774</v>
      </c>
      <c r="D759" s="430" t="s">
        <v>1391</v>
      </c>
      <c r="E759" s="430" t="s">
        <v>1392</v>
      </c>
      <c r="F759" t="str">
        <f t="shared" ref="F759:F822" si="8">Italian</f>
        <v>Italiano</v>
      </c>
      <c r="G759" s="32" t="s">
        <v>88</v>
      </c>
      <c r="H759" t="s">
        <v>27963</v>
      </c>
    </row>
    <row r="760" spans="2:8" x14ac:dyDescent="0.25">
      <c r="B760" s="41" t="s">
        <v>895</v>
      </c>
      <c r="C760" s="429" t="s">
        <v>1774</v>
      </c>
      <c r="D760" s="430" t="s">
        <v>1777</v>
      </c>
      <c r="E760" s="430" t="s">
        <v>1392</v>
      </c>
      <c r="F760" t="str">
        <f t="shared" si="8"/>
        <v>Italiano</v>
      </c>
      <c r="G760" s="32" t="s">
        <v>88</v>
      </c>
      <c r="H760" t="s">
        <v>27964</v>
      </c>
    </row>
    <row r="761" spans="2:8" x14ac:dyDescent="0.25">
      <c r="B761" s="41" t="s">
        <v>895</v>
      </c>
      <c r="C761" s="429" t="s">
        <v>1774</v>
      </c>
      <c r="D761" s="430" t="s">
        <v>1777</v>
      </c>
      <c r="E761" s="430" t="s">
        <v>1777</v>
      </c>
      <c r="F761" t="str">
        <f t="shared" si="8"/>
        <v>Italiano</v>
      </c>
      <c r="G761" s="32" t="s">
        <v>88</v>
      </c>
      <c r="H761" t="s">
        <v>27965</v>
      </c>
    </row>
    <row r="762" spans="2:8" x14ac:dyDescent="0.25">
      <c r="B762" s="41" t="s">
        <v>916</v>
      </c>
      <c r="C762" s="429" t="s">
        <v>1774</v>
      </c>
      <c r="D762" s="430" t="s">
        <v>1777</v>
      </c>
      <c r="E762" s="430" t="s">
        <v>1780</v>
      </c>
      <c r="F762" t="str">
        <f t="shared" si="8"/>
        <v>Italiano</v>
      </c>
      <c r="G762" s="32" t="s">
        <v>88</v>
      </c>
      <c r="H762" t="s">
        <v>27966</v>
      </c>
    </row>
    <row r="763" spans="2:8" x14ac:dyDescent="0.25">
      <c r="B763" s="41" t="s">
        <v>917</v>
      </c>
      <c r="C763" s="429" t="s">
        <v>1774</v>
      </c>
      <c r="D763" s="430" t="s">
        <v>1777</v>
      </c>
      <c r="E763" s="430" t="s">
        <v>1782</v>
      </c>
      <c r="F763" t="str">
        <f t="shared" si="8"/>
        <v>Italiano</v>
      </c>
      <c r="G763" s="32" t="s">
        <v>88</v>
      </c>
      <c r="H763" t="s">
        <v>27967</v>
      </c>
    </row>
    <row r="764" spans="2:8" x14ac:dyDescent="0.25">
      <c r="B764" s="41" t="s">
        <v>918</v>
      </c>
      <c r="C764" s="429" t="s">
        <v>1774</v>
      </c>
      <c r="D764" s="430" t="s">
        <v>1784</v>
      </c>
      <c r="E764" s="430" t="s">
        <v>1392</v>
      </c>
      <c r="F764" t="str">
        <f t="shared" si="8"/>
        <v>Italiano</v>
      </c>
      <c r="G764" s="32" t="s">
        <v>563</v>
      </c>
      <c r="H764" t="s">
        <v>27968</v>
      </c>
    </row>
    <row r="765" spans="2:8" x14ac:dyDescent="0.25">
      <c r="B765" s="41" t="s">
        <v>919</v>
      </c>
      <c r="C765" s="429" t="s">
        <v>1774</v>
      </c>
      <c r="D765" s="430" t="s">
        <v>1786</v>
      </c>
      <c r="E765" s="430" t="s">
        <v>1392</v>
      </c>
      <c r="F765" t="str">
        <f t="shared" si="8"/>
        <v>Italiano</v>
      </c>
      <c r="G765" s="32" t="s">
        <v>83</v>
      </c>
      <c r="H765" t="s">
        <v>27969</v>
      </c>
    </row>
    <row r="766" spans="2:8" x14ac:dyDescent="0.25">
      <c r="B766" s="41" t="s">
        <v>919</v>
      </c>
      <c r="C766" s="429" t="s">
        <v>1774</v>
      </c>
      <c r="D766" s="430" t="s">
        <v>1786</v>
      </c>
      <c r="E766" s="430" t="s">
        <v>1788</v>
      </c>
      <c r="F766" t="str">
        <f t="shared" si="8"/>
        <v>Italiano</v>
      </c>
      <c r="G766" s="32" t="s">
        <v>83</v>
      </c>
      <c r="H766" t="s">
        <v>27970</v>
      </c>
    </row>
    <row r="767" spans="2:8" x14ac:dyDescent="0.25">
      <c r="B767" s="41" t="s">
        <v>920</v>
      </c>
      <c r="C767" s="429" t="s">
        <v>1774</v>
      </c>
      <c r="D767" s="430" t="s">
        <v>1786</v>
      </c>
      <c r="E767" s="430" t="s">
        <v>1791</v>
      </c>
      <c r="F767" t="str">
        <f t="shared" si="8"/>
        <v>Italiano</v>
      </c>
      <c r="G767" s="32" t="s">
        <v>83</v>
      </c>
      <c r="H767" t="s">
        <v>27971</v>
      </c>
    </row>
    <row r="768" spans="2:8" x14ac:dyDescent="0.25">
      <c r="B768" s="41" t="s">
        <v>921</v>
      </c>
      <c r="C768" s="429" t="s">
        <v>1774</v>
      </c>
      <c r="D768" s="430" t="s">
        <v>1786</v>
      </c>
      <c r="E768" s="430" t="s">
        <v>1793</v>
      </c>
      <c r="F768" t="str">
        <f t="shared" si="8"/>
        <v>Italiano</v>
      </c>
      <c r="G768" s="32" t="s">
        <v>88</v>
      </c>
      <c r="H768" t="s">
        <v>27972</v>
      </c>
    </row>
    <row r="769" spans="2:8" x14ac:dyDescent="0.25">
      <c r="B769" s="41" t="s">
        <v>922</v>
      </c>
      <c r="C769" s="429" t="s">
        <v>1774</v>
      </c>
      <c r="D769" s="430" t="s">
        <v>1786</v>
      </c>
      <c r="E769" s="430" t="s">
        <v>1795</v>
      </c>
      <c r="F769" t="str">
        <f t="shared" si="8"/>
        <v>Italiano</v>
      </c>
      <c r="G769" s="32" t="s">
        <v>88</v>
      </c>
      <c r="H769" t="s">
        <v>27973</v>
      </c>
    </row>
    <row r="770" spans="2:8" x14ac:dyDescent="0.25">
      <c r="B770" s="45" t="s">
        <v>923</v>
      </c>
      <c r="C770" s="429" t="s">
        <v>1774</v>
      </c>
      <c r="D770" s="432" t="s">
        <v>1798</v>
      </c>
      <c r="E770" s="432" t="s">
        <v>1799</v>
      </c>
      <c r="F770" t="str">
        <f t="shared" si="8"/>
        <v>Italiano</v>
      </c>
      <c r="G770" s="45" t="s">
        <v>88</v>
      </c>
      <c r="H770" t="s">
        <v>27974</v>
      </c>
    </row>
    <row r="771" spans="2:8" x14ac:dyDescent="0.25">
      <c r="B771" s="32" t="s">
        <v>924</v>
      </c>
      <c r="C771" s="429" t="s">
        <v>1774</v>
      </c>
      <c r="D771" s="430" t="s">
        <v>1798</v>
      </c>
      <c r="E771" s="430" t="s">
        <v>1801</v>
      </c>
      <c r="F771" t="str">
        <f t="shared" si="8"/>
        <v>Italiano</v>
      </c>
      <c r="G771" s="32" t="s">
        <v>88</v>
      </c>
      <c r="H771" t="s">
        <v>27975</v>
      </c>
    </row>
    <row r="772" spans="2:8" x14ac:dyDescent="0.25">
      <c r="B772" s="41" t="s">
        <v>925</v>
      </c>
      <c r="C772" s="429" t="s">
        <v>1774</v>
      </c>
      <c r="D772" s="430" t="s">
        <v>1803</v>
      </c>
      <c r="E772" s="430" t="s">
        <v>1392</v>
      </c>
      <c r="F772" t="str">
        <f t="shared" si="8"/>
        <v>Italiano</v>
      </c>
      <c r="G772" s="32" t="s">
        <v>88</v>
      </c>
      <c r="H772" t="s">
        <v>27976</v>
      </c>
    </row>
    <row r="773" spans="2:8" x14ac:dyDescent="0.25">
      <c r="B773" s="41" t="s">
        <v>926</v>
      </c>
      <c r="C773" s="429" t="s">
        <v>1774</v>
      </c>
      <c r="D773" s="430" t="s">
        <v>1805</v>
      </c>
      <c r="E773" s="430" t="s">
        <v>1392</v>
      </c>
      <c r="F773" t="str">
        <f t="shared" si="8"/>
        <v>Italiano</v>
      </c>
      <c r="G773" s="32" t="s">
        <v>88</v>
      </c>
      <c r="H773" t="s">
        <v>27977</v>
      </c>
    </row>
    <row r="774" spans="2:8" x14ac:dyDescent="0.25">
      <c r="B774" s="41" t="s">
        <v>927</v>
      </c>
      <c r="C774" s="429" t="s">
        <v>1774</v>
      </c>
      <c r="D774" s="430" t="s">
        <v>1805</v>
      </c>
      <c r="E774" s="430" t="s">
        <v>1807</v>
      </c>
      <c r="F774" t="str">
        <f t="shared" si="8"/>
        <v>Italiano</v>
      </c>
      <c r="G774" s="32" t="s">
        <v>88</v>
      </c>
      <c r="H774" t="s">
        <v>27978</v>
      </c>
    </row>
    <row r="775" spans="2:8" x14ac:dyDescent="0.25">
      <c r="B775" s="41" t="s">
        <v>928</v>
      </c>
      <c r="C775" s="429" t="s">
        <v>1774</v>
      </c>
      <c r="D775" s="430" t="s">
        <v>1805</v>
      </c>
      <c r="E775" s="430" t="s">
        <v>1808</v>
      </c>
      <c r="F775" t="str">
        <f t="shared" si="8"/>
        <v>Italiano</v>
      </c>
      <c r="G775" s="32" t="s">
        <v>88</v>
      </c>
      <c r="H775" t="s">
        <v>27979</v>
      </c>
    </row>
    <row r="776" spans="2:8" x14ac:dyDescent="0.25">
      <c r="B776" s="41" t="s">
        <v>929</v>
      </c>
      <c r="C776" s="429" t="s">
        <v>1774</v>
      </c>
      <c r="D776" s="430" t="s">
        <v>1805</v>
      </c>
      <c r="E776" s="430" t="s">
        <v>1810</v>
      </c>
      <c r="F776" t="str">
        <f t="shared" si="8"/>
        <v>Italiano</v>
      </c>
      <c r="G776" s="32" t="s">
        <v>88</v>
      </c>
      <c r="H776" t="s">
        <v>27980</v>
      </c>
    </row>
    <row r="777" spans="2:8" x14ac:dyDescent="0.25">
      <c r="B777" s="41" t="s">
        <v>930</v>
      </c>
      <c r="C777" s="429" t="s">
        <v>1774</v>
      </c>
      <c r="D777" s="430" t="s">
        <v>1805</v>
      </c>
      <c r="E777" s="430" t="s">
        <v>1812</v>
      </c>
      <c r="F777" t="str">
        <f t="shared" si="8"/>
        <v>Italiano</v>
      </c>
      <c r="G777" s="32" t="s">
        <v>88</v>
      </c>
      <c r="H777" t="s">
        <v>27981</v>
      </c>
    </row>
    <row r="778" spans="2:8" x14ac:dyDescent="0.25">
      <c r="B778" s="41" t="s">
        <v>926</v>
      </c>
      <c r="C778" s="429" t="s">
        <v>1774</v>
      </c>
      <c r="D778" s="430" t="s">
        <v>1805</v>
      </c>
      <c r="E778" s="430" t="s">
        <v>1814</v>
      </c>
      <c r="F778" t="str">
        <f t="shared" si="8"/>
        <v>Italiano</v>
      </c>
      <c r="G778" s="32" t="s">
        <v>88</v>
      </c>
      <c r="H778" t="s">
        <v>27982</v>
      </c>
    </row>
    <row r="779" spans="2:8" x14ac:dyDescent="0.25">
      <c r="B779" s="41" t="s">
        <v>931</v>
      </c>
      <c r="C779" s="429" t="s">
        <v>1774</v>
      </c>
      <c r="D779" s="430" t="s">
        <v>1816</v>
      </c>
      <c r="E779" s="430" t="s">
        <v>1392</v>
      </c>
      <c r="F779" t="str">
        <f t="shared" si="8"/>
        <v>Italiano</v>
      </c>
      <c r="G779" s="32" t="s">
        <v>88</v>
      </c>
      <c r="H779" t="s">
        <v>27983</v>
      </c>
    </row>
    <row r="780" spans="2:8" x14ac:dyDescent="0.25">
      <c r="B780" s="41" t="s">
        <v>932</v>
      </c>
      <c r="C780" s="429" t="s">
        <v>1818</v>
      </c>
      <c r="D780" s="430" t="s">
        <v>1819</v>
      </c>
      <c r="E780" s="430" t="s">
        <v>1392</v>
      </c>
      <c r="F780" t="str">
        <f t="shared" si="8"/>
        <v>Italiano</v>
      </c>
      <c r="G780" s="32" t="s">
        <v>88</v>
      </c>
      <c r="H780" t="s">
        <v>27984</v>
      </c>
    </row>
    <row r="781" spans="2:8" x14ac:dyDescent="0.25">
      <c r="B781" s="41" t="s">
        <v>933</v>
      </c>
      <c r="C781" s="429" t="s">
        <v>1818</v>
      </c>
      <c r="D781" s="430" t="s">
        <v>1819</v>
      </c>
      <c r="E781" s="430" t="s">
        <v>1822</v>
      </c>
      <c r="F781" t="str">
        <f t="shared" si="8"/>
        <v>Italiano</v>
      </c>
      <c r="G781" s="32" t="s">
        <v>88</v>
      </c>
      <c r="H781" t="s">
        <v>27985</v>
      </c>
    </row>
    <row r="782" spans="2:8" x14ac:dyDescent="0.25">
      <c r="B782" s="41" t="s">
        <v>934</v>
      </c>
      <c r="C782" s="429" t="s">
        <v>1818</v>
      </c>
      <c r="D782" s="430" t="s">
        <v>1819</v>
      </c>
      <c r="E782" s="430" t="s">
        <v>1824</v>
      </c>
      <c r="F782" t="str">
        <f t="shared" si="8"/>
        <v>Italiano</v>
      </c>
      <c r="G782" s="32" t="s">
        <v>88</v>
      </c>
      <c r="H782" t="s">
        <v>27986</v>
      </c>
    </row>
    <row r="783" spans="2:8" x14ac:dyDescent="0.25">
      <c r="B783" s="41" t="s">
        <v>935</v>
      </c>
      <c r="C783" s="429" t="s">
        <v>1818</v>
      </c>
      <c r="D783" s="430" t="s">
        <v>1819</v>
      </c>
      <c r="E783" s="430" t="s">
        <v>1825</v>
      </c>
      <c r="F783" t="str">
        <f t="shared" si="8"/>
        <v>Italiano</v>
      </c>
      <c r="G783" s="32" t="s">
        <v>88</v>
      </c>
      <c r="H783" t="s">
        <v>27987</v>
      </c>
    </row>
    <row r="784" spans="2:8" x14ac:dyDescent="0.25">
      <c r="B784" s="41" t="s">
        <v>936</v>
      </c>
      <c r="C784" s="429" t="s">
        <v>1818</v>
      </c>
      <c r="D784" s="430" t="s">
        <v>1819</v>
      </c>
      <c r="E784" s="430" t="s">
        <v>1826</v>
      </c>
      <c r="F784" t="str">
        <f t="shared" si="8"/>
        <v>Italiano</v>
      </c>
      <c r="G784" s="32" t="s">
        <v>88</v>
      </c>
      <c r="H784" t="s">
        <v>27988</v>
      </c>
    </row>
    <row r="785" spans="2:8" x14ac:dyDescent="0.25">
      <c r="B785" s="41" t="s">
        <v>937</v>
      </c>
      <c r="C785" s="429" t="s">
        <v>1818</v>
      </c>
      <c r="D785" s="430" t="s">
        <v>1819</v>
      </c>
      <c r="E785" s="430" t="s">
        <v>1827</v>
      </c>
      <c r="F785" t="str">
        <f t="shared" si="8"/>
        <v>Italiano</v>
      </c>
      <c r="G785" s="32" t="s">
        <v>88</v>
      </c>
      <c r="H785" t="s">
        <v>27989</v>
      </c>
    </row>
    <row r="786" spans="2:8" x14ac:dyDescent="0.25">
      <c r="B786" s="41" t="s">
        <v>938</v>
      </c>
      <c r="C786" s="429" t="s">
        <v>1818</v>
      </c>
      <c r="D786" s="430" t="s">
        <v>1819</v>
      </c>
      <c r="E786" s="430" t="s">
        <v>1828</v>
      </c>
      <c r="F786" t="str">
        <f t="shared" si="8"/>
        <v>Italiano</v>
      </c>
      <c r="G786" s="32" t="s">
        <v>88</v>
      </c>
      <c r="H786" t="s">
        <v>27990</v>
      </c>
    </row>
    <row r="787" spans="2:8" x14ac:dyDescent="0.25">
      <c r="B787" s="41" t="s">
        <v>939</v>
      </c>
      <c r="C787" s="429" t="s">
        <v>1818</v>
      </c>
      <c r="D787" s="430" t="s">
        <v>1819</v>
      </c>
      <c r="E787" s="430" t="s">
        <v>1829</v>
      </c>
      <c r="F787" t="str">
        <f t="shared" si="8"/>
        <v>Italiano</v>
      </c>
      <c r="G787" s="32" t="s">
        <v>88</v>
      </c>
      <c r="H787" t="s">
        <v>27991</v>
      </c>
    </row>
    <row r="788" spans="2:8" x14ac:dyDescent="0.25">
      <c r="B788" s="41" t="s">
        <v>940</v>
      </c>
      <c r="C788" s="429" t="s">
        <v>1818</v>
      </c>
      <c r="D788" s="430" t="s">
        <v>1819</v>
      </c>
      <c r="E788" s="430" t="s">
        <v>1830</v>
      </c>
      <c r="F788" t="str">
        <f t="shared" si="8"/>
        <v>Italiano</v>
      </c>
      <c r="G788" s="32" t="s">
        <v>88</v>
      </c>
      <c r="H788" t="s">
        <v>27992</v>
      </c>
    </row>
    <row r="789" spans="2:8" x14ac:dyDescent="0.25">
      <c r="B789" s="41" t="s">
        <v>941</v>
      </c>
      <c r="C789" s="429" t="s">
        <v>1818</v>
      </c>
      <c r="D789" s="430" t="s">
        <v>1819</v>
      </c>
      <c r="E789" s="430" t="s">
        <v>1831</v>
      </c>
      <c r="F789" t="str">
        <f t="shared" si="8"/>
        <v>Italiano</v>
      </c>
      <c r="G789" s="32" t="s">
        <v>88</v>
      </c>
      <c r="H789" t="s">
        <v>27993</v>
      </c>
    </row>
    <row r="790" spans="2:8" x14ac:dyDescent="0.25">
      <c r="B790" s="41" t="s">
        <v>942</v>
      </c>
      <c r="C790" s="429" t="s">
        <v>1818</v>
      </c>
      <c r="D790" s="430" t="s">
        <v>1819</v>
      </c>
      <c r="E790" s="430" t="s">
        <v>1832</v>
      </c>
      <c r="F790" t="str">
        <f t="shared" si="8"/>
        <v>Italiano</v>
      </c>
      <c r="G790" s="32" t="s">
        <v>88</v>
      </c>
      <c r="H790" t="s">
        <v>27994</v>
      </c>
    </row>
    <row r="791" spans="2:8" x14ac:dyDescent="0.25">
      <c r="B791" s="41" t="s">
        <v>943</v>
      </c>
      <c r="C791" s="429" t="s">
        <v>1818</v>
      </c>
      <c r="D791" s="430" t="s">
        <v>1819</v>
      </c>
      <c r="E791" s="430" t="s">
        <v>1833</v>
      </c>
      <c r="F791" t="str">
        <f t="shared" si="8"/>
        <v>Italiano</v>
      </c>
      <c r="G791" s="32" t="s">
        <v>88</v>
      </c>
      <c r="H791" t="s">
        <v>27995</v>
      </c>
    </row>
    <row r="792" spans="2:8" x14ac:dyDescent="0.25">
      <c r="B792" s="41" t="s">
        <v>944</v>
      </c>
      <c r="C792" s="429" t="s">
        <v>1818</v>
      </c>
      <c r="D792" s="430" t="s">
        <v>1819</v>
      </c>
      <c r="E792" s="430" t="s">
        <v>1834</v>
      </c>
      <c r="F792" t="str">
        <f t="shared" si="8"/>
        <v>Italiano</v>
      </c>
      <c r="G792" s="32" t="s">
        <v>88</v>
      </c>
      <c r="H792" t="s">
        <v>27996</v>
      </c>
    </row>
    <row r="793" spans="2:8" x14ac:dyDescent="0.25">
      <c r="B793" s="41" t="s">
        <v>945</v>
      </c>
      <c r="C793" s="429" t="s">
        <v>1818</v>
      </c>
      <c r="D793" s="430" t="s">
        <v>1819</v>
      </c>
      <c r="E793" s="430" t="s">
        <v>1835</v>
      </c>
      <c r="F793" t="str">
        <f t="shared" si="8"/>
        <v>Italiano</v>
      </c>
      <c r="G793" s="32" t="s">
        <v>88</v>
      </c>
      <c r="H793" t="s">
        <v>27997</v>
      </c>
    </row>
    <row r="794" spans="2:8" x14ac:dyDescent="0.25">
      <c r="B794" s="41" t="s">
        <v>932</v>
      </c>
      <c r="C794" s="429" t="s">
        <v>1818</v>
      </c>
      <c r="D794" s="430" t="s">
        <v>1836</v>
      </c>
      <c r="E794" s="430" t="s">
        <v>1392</v>
      </c>
      <c r="F794" t="str">
        <f t="shared" si="8"/>
        <v>Italiano</v>
      </c>
      <c r="G794" s="32" t="s">
        <v>88</v>
      </c>
      <c r="H794" t="s">
        <v>27998</v>
      </c>
    </row>
    <row r="795" spans="2:8" x14ac:dyDescent="0.25">
      <c r="B795" s="41" t="s">
        <v>946</v>
      </c>
      <c r="C795" s="429" t="s">
        <v>1818</v>
      </c>
      <c r="D795" s="430" t="s">
        <v>1836</v>
      </c>
      <c r="E795" s="430" t="s">
        <v>1837</v>
      </c>
      <c r="F795" t="str">
        <f t="shared" si="8"/>
        <v>Italiano</v>
      </c>
      <c r="G795" s="32" t="s">
        <v>88</v>
      </c>
      <c r="H795" t="s">
        <v>27999</v>
      </c>
    </row>
    <row r="796" spans="2:8" x14ac:dyDescent="0.25">
      <c r="B796" s="41" t="s">
        <v>947</v>
      </c>
      <c r="C796" s="429" t="s">
        <v>1818</v>
      </c>
      <c r="D796" s="430" t="s">
        <v>1836</v>
      </c>
      <c r="E796" s="430" t="s">
        <v>1838</v>
      </c>
      <c r="F796" t="str">
        <f t="shared" si="8"/>
        <v>Italiano</v>
      </c>
      <c r="G796" s="32" t="s">
        <v>88</v>
      </c>
      <c r="H796" t="s">
        <v>28000</v>
      </c>
    </row>
    <row r="797" spans="2:8" x14ac:dyDescent="0.25">
      <c r="B797" s="41" t="s">
        <v>948</v>
      </c>
      <c r="C797" s="429" t="s">
        <v>1818</v>
      </c>
      <c r="D797" s="430" t="s">
        <v>1836</v>
      </c>
      <c r="E797" s="430" t="s">
        <v>1839</v>
      </c>
      <c r="F797" t="str">
        <f t="shared" si="8"/>
        <v>Italiano</v>
      </c>
      <c r="G797" s="32" t="s">
        <v>88</v>
      </c>
      <c r="H797" t="s">
        <v>28001</v>
      </c>
    </row>
    <row r="798" spans="2:8" x14ac:dyDescent="0.25">
      <c r="B798" s="41" t="s">
        <v>949</v>
      </c>
      <c r="C798" s="429" t="s">
        <v>1818</v>
      </c>
      <c r="D798" s="430" t="s">
        <v>1836</v>
      </c>
      <c r="E798" s="430" t="s">
        <v>1840</v>
      </c>
      <c r="F798" t="str">
        <f t="shared" si="8"/>
        <v>Italiano</v>
      </c>
      <c r="G798" s="32" t="s">
        <v>88</v>
      </c>
      <c r="H798" t="s">
        <v>28002</v>
      </c>
    </row>
    <row r="799" spans="2:8" x14ac:dyDescent="0.25">
      <c r="B799" s="41" t="s">
        <v>950</v>
      </c>
      <c r="C799" s="429" t="s">
        <v>1818</v>
      </c>
      <c r="D799" s="430" t="s">
        <v>1836</v>
      </c>
      <c r="E799" s="430" t="s">
        <v>1841</v>
      </c>
      <c r="F799" t="str">
        <f t="shared" si="8"/>
        <v>Italiano</v>
      </c>
      <c r="G799" s="32" t="s">
        <v>88</v>
      </c>
      <c r="H799" t="s">
        <v>28003</v>
      </c>
    </row>
    <row r="800" spans="2:8" x14ac:dyDescent="0.25">
      <c r="B800" s="41" t="s">
        <v>946</v>
      </c>
      <c r="C800" s="429" t="s">
        <v>1818</v>
      </c>
      <c r="D800" s="430" t="s">
        <v>1836</v>
      </c>
      <c r="E800" s="430" t="s">
        <v>1842</v>
      </c>
      <c r="F800" t="str">
        <f t="shared" si="8"/>
        <v>Italiano</v>
      </c>
      <c r="G800" s="32" t="s">
        <v>88</v>
      </c>
      <c r="H800" t="s">
        <v>28004</v>
      </c>
    </row>
    <row r="801" spans="2:8" x14ac:dyDescent="0.25">
      <c r="B801" s="41" t="s">
        <v>951</v>
      </c>
      <c r="C801" s="429" t="s">
        <v>1818</v>
      </c>
      <c r="D801" s="430" t="s">
        <v>1836</v>
      </c>
      <c r="E801" s="430" t="s">
        <v>1843</v>
      </c>
      <c r="F801" t="str">
        <f t="shared" si="8"/>
        <v>Italiano</v>
      </c>
      <c r="G801" s="32" t="s">
        <v>88</v>
      </c>
      <c r="H801" t="s">
        <v>28005</v>
      </c>
    </row>
    <row r="802" spans="2:8" x14ac:dyDescent="0.25">
      <c r="B802" s="41" t="s">
        <v>952</v>
      </c>
      <c r="C802" s="429" t="s">
        <v>1818</v>
      </c>
      <c r="D802" s="430" t="s">
        <v>480</v>
      </c>
      <c r="E802" s="430" t="s">
        <v>1392</v>
      </c>
      <c r="F802" t="str">
        <f t="shared" si="8"/>
        <v>Italiano</v>
      </c>
      <c r="G802" s="32" t="s">
        <v>88</v>
      </c>
      <c r="H802" t="s">
        <v>28006</v>
      </c>
    </row>
    <row r="803" spans="2:8" x14ac:dyDescent="0.25">
      <c r="B803" s="41" t="s">
        <v>953</v>
      </c>
      <c r="C803" s="429" t="s">
        <v>1818</v>
      </c>
      <c r="D803" s="430" t="s">
        <v>480</v>
      </c>
      <c r="E803" s="430" t="s">
        <v>1844</v>
      </c>
      <c r="F803" t="str">
        <f t="shared" si="8"/>
        <v>Italiano</v>
      </c>
      <c r="G803" s="32" t="s">
        <v>88</v>
      </c>
      <c r="H803" t="s">
        <v>28007</v>
      </c>
    </row>
    <row r="804" spans="2:8" x14ac:dyDescent="0.25">
      <c r="B804" s="41" t="s">
        <v>954</v>
      </c>
      <c r="C804" s="429" t="s">
        <v>1818</v>
      </c>
      <c r="D804" s="430" t="s">
        <v>480</v>
      </c>
      <c r="E804" s="430" t="s">
        <v>1845</v>
      </c>
      <c r="F804" t="str">
        <f t="shared" si="8"/>
        <v>Italiano</v>
      </c>
      <c r="G804" s="32" t="s">
        <v>88</v>
      </c>
      <c r="H804" t="s">
        <v>28008</v>
      </c>
    </row>
    <row r="805" spans="2:8" x14ac:dyDescent="0.25">
      <c r="B805" s="41" t="s">
        <v>955</v>
      </c>
      <c r="C805" s="429" t="s">
        <v>1818</v>
      </c>
      <c r="D805" s="430" t="s">
        <v>480</v>
      </c>
      <c r="E805" s="430" t="s">
        <v>1846</v>
      </c>
      <c r="F805" t="str">
        <f t="shared" si="8"/>
        <v>Italiano</v>
      </c>
      <c r="G805" s="32" t="s">
        <v>88</v>
      </c>
      <c r="H805" t="s">
        <v>28009</v>
      </c>
    </row>
    <row r="806" spans="2:8" x14ac:dyDescent="0.25">
      <c r="B806" s="41" t="s">
        <v>956</v>
      </c>
      <c r="C806" s="429" t="s">
        <v>1818</v>
      </c>
      <c r="D806" s="430" t="s">
        <v>480</v>
      </c>
      <c r="E806" s="430" t="s">
        <v>1847</v>
      </c>
      <c r="F806" t="str">
        <f t="shared" si="8"/>
        <v>Italiano</v>
      </c>
      <c r="G806" s="32" t="s">
        <v>88</v>
      </c>
      <c r="H806" t="s">
        <v>28010</v>
      </c>
    </row>
    <row r="807" spans="2:8" x14ac:dyDescent="0.25">
      <c r="B807" s="41" t="s">
        <v>952</v>
      </c>
      <c r="C807" s="429" t="s">
        <v>1818</v>
      </c>
      <c r="D807" s="430" t="s">
        <v>480</v>
      </c>
      <c r="E807" s="430" t="s">
        <v>1848</v>
      </c>
      <c r="F807" t="str">
        <f t="shared" si="8"/>
        <v>Italiano</v>
      </c>
      <c r="G807" s="32" t="s">
        <v>88</v>
      </c>
      <c r="H807" t="s">
        <v>28011</v>
      </c>
    </row>
    <row r="808" spans="2:8" x14ac:dyDescent="0.25">
      <c r="B808" s="41" t="s">
        <v>957</v>
      </c>
      <c r="C808" s="429" t="s">
        <v>1818</v>
      </c>
      <c r="D808" s="430" t="s">
        <v>480</v>
      </c>
      <c r="E808" s="430" t="s">
        <v>1849</v>
      </c>
      <c r="F808" t="str">
        <f t="shared" si="8"/>
        <v>Italiano</v>
      </c>
      <c r="G808" s="32" t="s">
        <v>88</v>
      </c>
      <c r="H808" t="s">
        <v>28012</v>
      </c>
    </row>
    <row r="809" spans="2:8" x14ac:dyDescent="0.25">
      <c r="B809" s="41" t="s">
        <v>958</v>
      </c>
      <c r="C809" s="429" t="s">
        <v>1818</v>
      </c>
      <c r="D809" s="430" t="s">
        <v>480</v>
      </c>
      <c r="E809" s="430" t="s">
        <v>1850</v>
      </c>
      <c r="F809" t="str">
        <f t="shared" si="8"/>
        <v>Italiano</v>
      </c>
      <c r="G809" s="32" t="s">
        <v>88</v>
      </c>
      <c r="H809" t="s">
        <v>28013</v>
      </c>
    </row>
    <row r="810" spans="2:8" x14ac:dyDescent="0.25">
      <c r="B810" s="41" t="s">
        <v>959</v>
      </c>
      <c r="C810" s="429" t="s">
        <v>1818</v>
      </c>
      <c r="D810" s="430" t="s">
        <v>480</v>
      </c>
      <c r="E810" s="430" t="s">
        <v>1851</v>
      </c>
      <c r="F810" t="str">
        <f t="shared" si="8"/>
        <v>Italiano</v>
      </c>
      <c r="G810" s="32" t="s">
        <v>88</v>
      </c>
      <c r="H810" t="s">
        <v>28014</v>
      </c>
    </row>
    <row r="811" spans="2:8" x14ac:dyDescent="0.25">
      <c r="B811" s="41" t="s">
        <v>960</v>
      </c>
      <c r="C811" s="429" t="s">
        <v>1818</v>
      </c>
      <c r="D811" s="430" t="s">
        <v>480</v>
      </c>
      <c r="E811" s="430" t="s">
        <v>1852</v>
      </c>
      <c r="F811" t="str">
        <f t="shared" si="8"/>
        <v>Italiano</v>
      </c>
      <c r="G811" s="32" t="s">
        <v>88</v>
      </c>
      <c r="H811" t="s">
        <v>28015</v>
      </c>
    </row>
    <row r="812" spans="2:8" x14ac:dyDescent="0.25">
      <c r="B812" s="41" t="s">
        <v>961</v>
      </c>
      <c r="C812" s="429" t="s">
        <v>1818</v>
      </c>
      <c r="D812" s="430" t="s">
        <v>1853</v>
      </c>
      <c r="E812" s="430" t="s">
        <v>1392</v>
      </c>
      <c r="F812" t="str">
        <f t="shared" si="8"/>
        <v>Italiano</v>
      </c>
      <c r="G812" s="32" t="s">
        <v>88</v>
      </c>
      <c r="H812" t="s">
        <v>28016</v>
      </c>
    </row>
    <row r="813" spans="2:8" x14ac:dyDescent="0.25">
      <c r="B813" s="41" t="s">
        <v>962</v>
      </c>
      <c r="C813" s="429" t="s">
        <v>1818</v>
      </c>
      <c r="D813" s="430" t="s">
        <v>1853</v>
      </c>
      <c r="E813" s="430" t="s">
        <v>1854</v>
      </c>
      <c r="F813" t="str">
        <f t="shared" si="8"/>
        <v>Italiano</v>
      </c>
      <c r="G813" s="32" t="s">
        <v>88</v>
      </c>
      <c r="H813" t="s">
        <v>28017</v>
      </c>
    </row>
    <row r="814" spans="2:8" x14ac:dyDescent="0.25">
      <c r="B814" s="41" t="s">
        <v>963</v>
      </c>
      <c r="C814" s="429" t="s">
        <v>1818</v>
      </c>
      <c r="D814" s="430" t="s">
        <v>1853</v>
      </c>
      <c r="E814" s="430" t="s">
        <v>1511</v>
      </c>
      <c r="F814" t="str">
        <f t="shared" si="8"/>
        <v>Italiano</v>
      </c>
      <c r="G814" s="32" t="s">
        <v>88</v>
      </c>
      <c r="H814" t="s">
        <v>28018</v>
      </c>
    </row>
    <row r="815" spans="2:8" x14ac:dyDescent="0.25">
      <c r="B815" s="41" t="s">
        <v>964</v>
      </c>
      <c r="C815" s="429" t="s">
        <v>1818</v>
      </c>
      <c r="D815" s="430" t="s">
        <v>1853</v>
      </c>
      <c r="E815" s="430" t="s">
        <v>1855</v>
      </c>
      <c r="F815" t="str">
        <f t="shared" si="8"/>
        <v>Italiano</v>
      </c>
      <c r="G815" s="32" t="s">
        <v>88</v>
      </c>
      <c r="H815" t="s">
        <v>28019</v>
      </c>
    </row>
    <row r="816" spans="2:8" x14ac:dyDescent="0.25">
      <c r="B816" s="41" t="s">
        <v>965</v>
      </c>
      <c r="C816" s="429" t="s">
        <v>1818</v>
      </c>
      <c r="D816" s="430" t="s">
        <v>1853</v>
      </c>
      <c r="E816" s="430" t="s">
        <v>1856</v>
      </c>
      <c r="F816" t="str">
        <f t="shared" si="8"/>
        <v>Italiano</v>
      </c>
      <c r="G816" s="32" t="s">
        <v>88</v>
      </c>
      <c r="H816" t="s">
        <v>28020</v>
      </c>
    </row>
    <row r="817" spans="2:8" x14ac:dyDescent="0.25">
      <c r="B817" s="41" t="s">
        <v>966</v>
      </c>
      <c r="C817" s="429" t="s">
        <v>1818</v>
      </c>
      <c r="D817" s="430" t="s">
        <v>1853</v>
      </c>
      <c r="E817" s="430" t="s">
        <v>1857</v>
      </c>
      <c r="F817" t="str">
        <f t="shared" si="8"/>
        <v>Italiano</v>
      </c>
      <c r="G817" s="32" t="s">
        <v>88</v>
      </c>
      <c r="H817" t="s">
        <v>28021</v>
      </c>
    </row>
    <row r="818" spans="2:8" x14ac:dyDescent="0.25">
      <c r="B818" s="41" t="s">
        <v>967</v>
      </c>
      <c r="C818" s="429" t="s">
        <v>1818</v>
      </c>
      <c r="D818" s="430" t="s">
        <v>1853</v>
      </c>
      <c r="E818" s="430" t="s">
        <v>1858</v>
      </c>
      <c r="F818" t="str">
        <f t="shared" si="8"/>
        <v>Italiano</v>
      </c>
      <c r="G818" s="32" t="s">
        <v>88</v>
      </c>
      <c r="H818" t="s">
        <v>28022</v>
      </c>
    </row>
    <row r="819" spans="2:8" x14ac:dyDescent="0.25">
      <c r="B819" s="41" t="s">
        <v>968</v>
      </c>
      <c r="C819" s="429" t="s">
        <v>1818</v>
      </c>
      <c r="D819" s="430" t="s">
        <v>1853</v>
      </c>
      <c r="E819" s="430" t="s">
        <v>1859</v>
      </c>
      <c r="F819" t="str">
        <f t="shared" si="8"/>
        <v>Italiano</v>
      </c>
      <c r="G819" s="32" t="s">
        <v>88</v>
      </c>
      <c r="H819" t="s">
        <v>28023</v>
      </c>
    </row>
    <row r="820" spans="2:8" x14ac:dyDescent="0.25">
      <c r="B820" s="41" t="s">
        <v>969</v>
      </c>
      <c r="C820" s="429" t="s">
        <v>1818</v>
      </c>
      <c r="D820" s="430" t="s">
        <v>1853</v>
      </c>
      <c r="E820" s="430" t="s">
        <v>1860</v>
      </c>
      <c r="F820" t="str">
        <f t="shared" si="8"/>
        <v>Italiano</v>
      </c>
      <c r="G820" s="32" t="s">
        <v>88</v>
      </c>
      <c r="H820" t="s">
        <v>28024</v>
      </c>
    </row>
    <row r="821" spans="2:8" x14ac:dyDescent="0.25">
      <c r="B821" s="41" t="s">
        <v>970</v>
      </c>
      <c r="C821" s="429" t="s">
        <v>1818</v>
      </c>
      <c r="D821" s="430" t="s">
        <v>1853</v>
      </c>
      <c r="E821" s="430" t="s">
        <v>1861</v>
      </c>
      <c r="F821" t="str">
        <f t="shared" si="8"/>
        <v>Italiano</v>
      </c>
      <c r="G821" s="32" t="s">
        <v>88</v>
      </c>
      <c r="H821" t="s">
        <v>28025</v>
      </c>
    </row>
    <row r="822" spans="2:8" x14ac:dyDescent="0.25">
      <c r="B822" s="41" t="s">
        <v>971</v>
      </c>
      <c r="C822" s="429" t="s">
        <v>1818</v>
      </c>
      <c r="D822" s="430" t="s">
        <v>1853</v>
      </c>
      <c r="E822" s="430" t="s">
        <v>1522</v>
      </c>
      <c r="F822" t="str">
        <f t="shared" si="8"/>
        <v>Italiano</v>
      </c>
      <c r="G822" s="32" t="s">
        <v>88</v>
      </c>
      <c r="H822" t="s">
        <v>28026</v>
      </c>
    </row>
    <row r="823" spans="2:8" x14ac:dyDescent="0.25">
      <c r="B823" s="41" t="s">
        <v>972</v>
      </c>
      <c r="C823" s="429" t="s">
        <v>1818</v>
      </c>
      <c r="D823" s="430" t="s">
        <v>1862</v>
      </c>
      <c r="E823" s="430" t="s">
        <v>1392</v>
      </c>
      <c r="F823" t="str">
        <f t="shared" ref="F823:F885" si="9">Italian</f>
        <v>Italiano</v>
      </c>
      <c r="G823" s="32" t="s">
        <v>88</v>
      </c>
      <c r="H823" t="s">
        <v>28027</v>
      </c>
    </row>
    <row r="824" spans="2:8" x14ac:dyDescent="0.25">
      <c r="B824" s="41" t="s">
        <v>972</v>
      </c>
      <c r="C824" s="429" t="s">
        <v>1818</v>
      </c>
      <c r="D824" s="430" t="s">
        <v>1862</v>
      </c>
      <c r="E824" s="430" t="s">
        <v>1863</v>
      </c>
      <c r="F824" t="str">
        <f t="shared" si="9"/>
        <v>Italiano</v>
      </c>
      <c r="G824" s="32" t="s">
        <v>88</v>
      </c>
      <c r="H824" t="s">
        <v>28028</v>
      </c>
    </row>
    <row r="825" spans="2:8" x14ac:dyDescent="0.25">
      <c r="B825" s="41" t="s">
        <v>973</v>
      </c>
      <c r="C825" s="429" t="s">
        <v>1818</v>
      </c>
      <c r="D825" s="430" t="s">
        <v>1862</v>
      </c>
      <c r="E825" s="430" t="s">
        <v>1864</v>
      </c>
      <c r="F825" t="str">
        <f t="shared" si="9"/>
        <v>Italiano</v>
      </c>
      <c r="G825" s="32" t="s">
        <v>88</v>
      </c>
      <c r="H825" t="s">
        <v>28029</v>
      </c>
    </row>
    <row r="826" spans="2:8" x14ac:dyDescent="0.25">
      <c r="B826" s="41" t="s">
        <v>974</v>
      </c>
      <c r="C826" s="429" t="s">
        <v>1818</v>
      </c>
      <c r="D826" s="430" t="s">
        <v>1862</v>
      </c>
      <c r="E826" s="430" t="s">
        <v>1865</v>
      </c>
      <c r="F826" t="str">
        <f t="shared" si="9"/>
        <v>Italiano</v>
      </c>
      <c r="G826" s="32" t="s">
        <v>88</v>
      </c>
      <c r="H826" t="s">
        <v>28030</v>
      </c>
    </row>
    <row r="827" spans="2:8" x14ac:dyDescent="0.25">
      <c r="B827" s="41" t="s">
        <v>975</v>
      </c>
      <c r="C827" s="429" t="s">
        <v>1818</v>
      </c>
      <c r="D827" s="430" t="s">
        <v>1862</v>
      </c>
      <c r="E827" s="430" t="s">
        <v>1866</v>
      </c>
      <c r="F827" t="str">
        <f t="shared" si="9"/>
        <v>Italiano</v>
      </c>
      <c r="G827" s="32" t="s">
        <v>88</v>
      </c>
      <c r="H827" t="s">
        <v>28031</v>
      </c>
    </row>
    <row r="828" spans="2:8" x14ac:dyDescent="0.25">
      <c r="B828" s="41" t="s">
        <v>976</v>
      </c>
      <c r="C828" s="429" t="s">
        <v>1818</v>
      </c>
      <c r="D828" s="430" t="s">
        <v>1867</v>
      </c>
      <c r="E828" s="430" t="s">
        <v>1392</v>
      </c>
      <c r="F828" t="str">
        <f t="shared" si="9"/>
        <v>Italiano</v>
      </c>
      <c r="G828" s="32" t="s">
        <v>88</v>
      </c>
      <c r="H828" t="s">
        <v>28032</v>
      </c>
    </row>
    <row r="829" spans="2:8" x14ac:dyDescent="0.25">
      <c r="B829" s="41" t="s">
        <v>976</v>
      </c>
      <c r="C829" s="429" t="s">
        <v>1818</v>
      </c>
      <c r="D829" s="430" t="s">
        <v>1867</v>
      </c>
      <c r="E829" s="430" t="s">
        <v>1868</v>
      </c>
      <c r="F829" t="str">
        <f t="shared" si="9"/>
        <v>Italiano</v>
      </c>
      <c r="G829" s="32" t="s">
        <v>88</v>
      </c>
      <c r="H829" t="s">
        <v>28033</v>
      </c>
    </row>
    <row r="830" spans="2:8" x14ac:dyDescent="0.25">
      <c r="B830" s="41" t="s">
        <v>977</v>
      </c>
      <c r="C830" s="429" t="s">
        <v>1818</v>
      </c>
      <c r="D830" s="430" t="s">
        <v>1867</v>
      </c>
      <c r="E830" s="430" t="s">
        <v>1869</v>
      </c>
      <c r="F830" t="str">
        <f t="shared" si="9"/>
        <v>Italiano</v>
      </c>
      <c r="G830" s="32" t="s">
        <v>88</v>
      </c>
      <c r="H830" t="s">
        <v>28034</v>
      </c>
    </row>
    <row r="831" spans="2:8" x14ac:dyDescent="0.25">
      <c r="B831" s="41" t="s">
        <v>978</v>
      </c>
      <c r="C831" s="429" t="s">
        <v>1818</v>
      </c>
      <c r="D831" s="430" t="s">
        <v>1867</v>
      </c>
      <c r="E831" s="430" t="s">
        <v>1499</v>
      </c>
      <c r="F831" t="str">
        <f t="shared" si="9"/>
        <v>Italiano</v>
      </c>
      <c r="G831" s="32" t="s">
        <v>88</v>
      </c>
      <c r="H831" t="s">
        <v>28035</v>
      </c>
    </row>
    <row r="832" spans="2:8" x14ac:dyDescent="0.25">
      <c r="B832" s="41" t="s">
        <v>979</v>
      </c>
      <c r="C832" s="429" t="s">
        <v>1870</v>
      </c>
      <c r="D832" s="430" t="s">
        <v>1871</v>
      </c>
      <c r="E832" s="430" t="s">
        <v>1392</v>
      </c>
      <c r="F832" t="str">
        <f t="shared" si="9"/>
        <v>Italiano</v>
      </c>
      <c r="G832" s="32" t="s">
        <v>88</v>
      </c>
      <c r="H832" t="s">
        <v>28036</v>
      </c>
    </row>
    <row r="833" spans="2:8" x14ac:dyDescent="0.25">
      <c r="B833" s="41" t="s">
        <v>980</v>
      </c>
      <c r="C833" s="429" t="s">
        <v>1870</v>
      </c>
      <c r="D833" s="430" t="s">
        <v>1872</v>
      </c>
      <c r="E833" s="430" t="s">
        <v>1392</v>
      </c>
      <c r="F833" t="str">
        <f t="shared" si="9"/>
        <v>Italiano</v>
      </c>
      <c r="G833" s="32" t="s">
        <v>88</v>
      </c>
      <c r="H833" t="s">
        <v>28037</v>
      </c>
    </row>
    <row r="834" spans="2:8" x14ac:dyDescent="0.25">
      <c r="B834" s="41" t="s">
        <v>981</v>
      </c>
      <c r="C834" s="429" t="s">
        <v>1870</v>
      </c>
      <c r="D834" s="430" t="s">
        <v>1873</v>
      </c>
      <c r="E834" s="430" t="s">
        <v>1392</v>
      </c>
      <c r="F834" t="str">
        <f t="shared" si="9"/>
        <v>Italiano</v>
      </c>
      <c r="G834" s="32" t="s">
        <v>88</v>
      </c>
      <c r="H834" t="s">
        <v>28038</v>
      </c>
    </row>
    <row r="835" spans="2:8" x14ac:dyDescent="0.25">
      <c r="B835" s="41" t="s">
        <v>982</v>
      </c>
      <c r="C835" s="429" t="s">
        <v>1874</v>
      </c>
      <c r="D835" s="430" t="s">
        <v>1875</v>
      </c>
      <c r="E835" s="430" t="s">
        <v>1392</v>
      </c>
      <c r="F835" t="str">
        <f t="shared" si="9"/>
        <v>Italiano</v>
      </c>
      <c r="G835" s="32" t="s">
        <v>88</v>
      </c>
      <c r="H835" t="s">
        <v>28039</v>
      </c>
    </row>
    <row r="836" spans="2:8" x14ac:dyDescent="0.25">
      <c r="B836" s="41" t="s">
        <v>983</v>
      </c>
      <c r="C836" s="429" t="s">
        <v>1874</v>
      </c>
      <c r="D836" s="430" t="s">
        <v>1875</v>
      </c>
      <c r="E836" s="430" t="s">
        <v>1876</v>
      </c>
      <c r="F836" t="str">
        <f t="shared" si="9"/>
        <v>Italiano</v>
      </c>
      <c r="G836" s="32" t="s">
        <v>88</v>
      </c>
      <c r="H836" t="s">
        <v>28040</v>
      </c>
    </row>
    <row r="837" spans="2:8" x14ac:dyDescent="0.25">
      <c r="B837" s="41" t="s">
        <v>982</v>
      </c>
      <c r="C837" s="429" t="s">
        <v>1874</v>
      </c>
      <c r="D837" s="430" t="s">
        <v>1875</v>
      </c>
      <c r="E837" s="430" t="s">
        <v>27747</v>
      </c>
      <c r="F837" t="str">
        <f t="shared" si="9"/>
        <v>Italiano</v>
      </c>
      <c r="G837" s="32" t="s">
        <v>88</v>
      </c>
      <c r="H837" t="s">
        <v>28041</v>
      </c>
    </row>
    <row r="838" spans="2:8" x14ac:dyDescent="0.25">
      <c r="B838" s="41" t="s">
        <v>984</v>
      </c>
      <c r="C838" s="429" t="s">
        <v>1874</v>
      </c>
      <c r="D838" s="430" t="s">
        <v>1875</v>
      </c>
      <c r="E838" s="430" t="s">
        <v>27748</v>
      </c>
      <c r="F838" t="str">
        <f t="shared" si="9"/>
        <v>Italiano</v>
      </c>
      <c r="G838" s="32" t="s">
        <v>88</v>
      </c>
      <c r="H838" t="s">
        <v>28042</v>
      </c>
    </row>
    <row r="839" spans="2:8" x14ac:dyDescent="0.25">
      <c r="B839" s="41" t="s">
        <v>985</v>
      </c>
      <c r="C839" s="429" t="s">
        <v>1874</v>
      </c>
      <c r="D839" s="430" t="s">
        <v>1877</v>
      </c>
      <c r="E839" s="430" t="s">
        <v>1878</v>
      </c>
      <c r="F839" t="str">
        <f t="shared" si="9"/>
        <v>Italiano</v>
      </c>
      <c r="G839" s="32" t="s">
        <v>88</v>
      </c>
      <c r="H839" t="s">
        <v>28043</v>
      </c>
    </row>
    <row r="840" spans="2:8" x14ac:dyDescent="0.25">
      <c r="B840" s="41" t="s">
        <v>986</v>
      </c>
      <c r="C840" s="429" t="s">
        <v>1874</v>
      </c>
      <c r="D840" s="430" t="s">
        <v>1877</v>
      </c>
      <c r="E840" s="430" t="s">
        <v>1879</v>
      </c>
      <c r="F840" t="str">
        <f t="shared" si="9"/>
        <v>Italiano</v>
      </c>
      <c r="G840" s="32" t="s">
        <v>88</v>
      </c>
      <c r="H840" t="s">
        <v>28044</v>
      </c>
    </row>
    <row r="841" spans="2:8" x14ac:dyDescent="0.25">
      <c r="B841" s="41" t="s">
        <v>987</v>
      </c>
      <c r="C841" s="429" t="s">
        <v>1874</v>
      </c>
      <c r="D841" s="430" t="s">
        <v>1877</v>
      </c>
      <c r="E841" s="430" t="s">
        <v>1880</v>
      </c>
      <c r="F841" t="str">
        <f t="shared" si="9"/>
        <v>Italiano</v>
      </c>
      <c r="G841" s="32" t="s">
        <v>88</v>
      </c>
      <c r="H841" t="s">
        <v>28045</v>
      </c>
    </row>
    <row r="842" spans="2:8" x14ac:dyDescent="0.25">
      <c r="B842" s="41" t="s">
        <v>988</v>
      </c>
      <c r="C842" s="429" t="s">
        <v>1874</v>
      </c>
      <c r="D842" s="430" t="s">
        <v>1881</v>
      </c>
      <c r="E842" s="430" t="s">
        <v>1230</v>
      </c>
      <c r="F842" t="str">
        <f t="shared" si="9"/>
        <v>Italiano</v>
      </c>
      <c r="G842" s="32" t="s">
        <v>989</v>
      </c>
      <c r="H842" t="s">
        <v>28046</v>
      </c>
    </row>
    <row r="843" spans="2:8" x14ac:dyDescent="0.25">
      <c r="B843" s="41" t="s">
        <v>990</v>
      </c>
      <c r="C843" s="429" t="s">
        <v>1874</v>
      </c>
      <c r="D843" s="430" t="s">
        <v>1881</v>
      </c>
      <c r="E843" s="430" t="s">
        <v>1882</v>
      </c>
      <c r="F843" t="str">
        <f t="shared" si="9"/>
        <v>Italiano</v>
      </c>
      <c r="G843" s="32" t="s">
        <v>989</v>
      </c>
      <c r="H843" t="s">
        <v>28047</v>
      </c>
    </row>
    <row r="844" spans="2:8" x14ac:dyDescent="0.25">
      <c r="B844" s="41" t="s">
        <v>991</v>
      </c>
      <c r="C844" s="429" t="s">
        <v>1874</v>
      </c>
      <c r="D844" s="430" t="s">
        <v>1881</v>
      </c>
      <c r="E844" s="430" t="s">
        <v>1883</v>
      </c>
      <c r="F844" t="str">
        <f t="shared" si="9"/>
        <v>Italiano</v>
      </c>
      <c r="G844" s="32" t="s">
        <v>989</v>
      </c>
      <c r="H844" t="s">
        <v>28048</v>
      </c>
    </row>
    <row r="845" spans="2:8" x14ac:dyDescent="0.25">
      <c r="B845" s="41" t="s">
        <v>992</v>
      </c>
      <c r="C845" s="429" t="s">
        <v>1874</v>
      </c>
      <c r="D845" s="430" t="s">
        <v>1881</v>
      </c>
      <c r="E845" s="430" t="s">
        <v>1884</v>
      </c>
      <c r="F845" t="str">
        <f t="shared" si="9"/>
        <v>Italiano</v>
      </c>
      <c r="G845" s="32" t="s">
        <v>989</v>
      </c>
      <c r="H845" t="s">
        <v>28049</v>
      </c>
    </row>
    <row r="846" spans="2:8" x14ac:dyDescent="0.25">
      <c r="B846" s="41" t="s">
        <v>993</v>
      </c>
      <c r="C846" s="429" t="s">
        <v>1874</v>
      </c>
      <c r="D846" s="430" t="s">
        <v>1881</v>
      </c>
      <c r="E846" s="430" t="s">
        <v>1885</v>
      </c>
      <c r="F846" t="str">
        <f t="shared" si="9"/>
        <v>Italiano</v>
      </c>
      <c r="G846" s="32" t="s">
        <v>989</v>
      </c>
      <c r="H846" t="s">
        <v>28050</v>
      </c>
    </row>
    <row r="847" spans="2:8" x14ac:dyDescent="0.25">
      <c r="B847" s="41" t="s">
        <v>994</v>
      </c>
      <c r="C847" s="429" t="s">
        <v>1874</v>
      </c>
      <c r="D847" s="430" t="s">
        <v>1881</v>
      </c>
      <c r="E847" s="430" t="s">
        <v>1886</v>
      </c>
      <c r="F847" t="str">
        <f t="shared" si="9"/>
        <v>Italiano</v>
      </c>
      <c r="G847" s="32" t="s">
        <v>989</v>
      </c>
      <c r="H847" t="s">
        <v>28051</v>
      </c>
    </row>
    <row r="848" spans="2:8" x14ac:dyDescent="0.25">
      <c r="B848" s="41" t="s">
        <v>995</v>
      </c>
      <c r="C848" s="429" t="s">
        <v>1874</v>
      </c>
      <c r="D848" s="430" t="s">
        <v>1881</v>
      </c>
      <c r="E848" s="430" t="s">
        <v>1887</v>
      </c>
      <c r="F848" t="str">
        <f t="shared" si="9"/>
        <v>Italiano</v>
      </c>
      <c r="G848" s="32" t="s">
        <v>88</v>
      </c>
      <c r="H848" t="s">
        <v>28052</v>
      </c>
    </row>
    <row r="849" spans="2:8" x14ac:dyDescent="0.25">
      <c r="B849" s="41" t="s">
        <v>985</v>
      </c>
      <c r="C849" s="429" t="s">
        <v>1874</v>
      </c>
      <c r="D849" s="430" t="s">
        <v>1877</v>
      </c>
      <c r="E849" s="430" t="s">
        <v>1392</v>
      </c>
      <c r="F849" t="str">
        <f t="shared" si="9"/>
        <v>Italiano</v>
      </c>
      <c r="G849" s="32" t="s">
        <v>88</v>
      </c>
      <c r="H849" t="s">
        <v>28053</v>
      </c>
    </row>
    <row r="850" spans="2:8" x14ac:dyDescent="0.25">
      <c r="B850" s="41" t="s">
        <v>996</v>
      </c>
      <c r="C850" s="429" t="s">
        <v>1874</v>
      </c>
      <c r="D850" s="430" t="s">
        <v>1877</v>
      </c>
      <c r="E850" s="430" t="s">
        <v>1888</v>
      </c>
      <c r="F850" t="str">
        <f t="shared" si="9"/>
        <v>Italiano</v>
      </c>
      <c r="G850" s="32" t="s">
        <v>88</v>
      </c>
      <c r="H850" t="s">
        <v>28054</v>
      </c>
    </row>
    <row r="851" spans="2:8" x14ac:dyDescent="0.25">
      <c r="B851" s="41" t="s">
        <v>997</v>
      </c>
      <c r="C851" s="429" t="s">
        <v>1874</v>
      </c>
      <c r="D851" s="430" t="s">
        <v>1877</v>
      </c>
      <c r="E851" s="430" t="s">
        <v>1889</v>
      </c>
      <c r="F851" t="str">
        <f t="shared" si="9"/>
        <v>Italiano</v>
      </c>
      <c r="G851" s="32" t="s">
        <v>88</v>
      </c>
      <c r="H851" t="s">
        <v>28055</v>
      </c>
    </row>
    <row r="852" spans="2:8" x14ac:dyDescent="0.25">
      <c r="B852" s="41" t="s">
        <v>998</v>
      </c>
      <c r="C852" s="429" t="s">
        <v>1874</v>
      </c>
      <c r="D852" s="430" t="s">
        <v>1877</v>
      </c>
      <c r="E852" s="430" t="s">
        <v>1890</v>
      </c>
      <c r="F852" t="str">
        <f t="shared" si="9"/>
        <v>Italiano</v>
      </c>
      <c r="G852" s="32" t="s">
        <v>88</v>
      </c>
      <c r="H852" t="s">
        <v>28056</v>
      </c>
    </row>
    <row r="853" spans="2:8" x14ac:dyDescent="0.25">
      <c r="B853" s="41" t="s">
        <v>999</v>
      </c>
      <c r="C853" s="429" t="s">
        <v>1891</v>
      </c>
      <c r="D853" s="430" t="s">
        <v>1892</v>
      </c>
      <c r="E853" s="430" t="s">
        <v>1392</v>
      </c>
      <c r="F853" t="str">
        <f t="shared" si="9"/>
        <v>Italiano</v>
      </c>
      <c r="G853" s="32" t="s">
        <v>88</v>
      </c>
      <c r="H853" t="s">
        <v>28057</v>
      </c>
    </row>
    <row r="854" spans="2:8" x14ac:dyDescent="0.25">
      <c r="B854" s="41" t="s">
        <v>1000</v>
      </c>
      <c r="C854" s="429" t="s">
        <v>1891</v>
      </c>
      <c r="D854" s="430" t="s">
        <v>1893</v>
      </c>
      <c r="E854" s="430" t="s">
        <v>1392</v>
      </c>
      <c r="F854" t="str">
        <f t="shared" si="9"/>
        <v>Italiano</v>
      </c>
      <c r="G854" s="32" t="s">
        <v>88</v>
      </c>
      <c r="H854" t="s">
        <v>28058</v>
      </c>
    </row>
    <row r="855" spans="2:8" x14ac:dyDescent="0.25">
      <c r="B855" s="41" t="s">
        <v>1001</v>
      </c>
      <c r="C855" s="429" t="s">
        <v>1894</v>
      </c>
      <c r="D855" s="430" t="s">
        <v>27954</v>
      </c>
      <c r="E855" s="430" t="s">
        <v>1392</v>
      </c>
      <c r="F855" t="str">
        <f t="shared" si="9"/>
        <v>Italiano</v>
      </c>
      <c r="G855" s="32" t="s">
        <v>88</v>
      </c>
      <c r="H855" t="s">
        <v>28059</v>
      </c>
    </row>
    <row r="856" spans="2:8" x14ac:dyDescent="0.25">
      <c r="B856" s="41" t="s">
        <v>1002</v>
      </c>
      <c r="C856" s="429" t="s">
        <v>1894</v>
      </c>
      <c r="D856" s="430" t="s">
        <v>1895</v>
      </c>
      <c r="E856" s="430" t="s">
        <v>1392</v>
      </c>
      <c r="F856" t="str">
        <f t="shared" si="9"/>
        <v>Italiano</v>
      </c>
      <c r="G856" s="32" t="s">
        <v>88</v>
      </c>
      <c r="H856" t="s">
        <v>28060</v>
      </c>
    </row>
    <row r="857" spans="2:8" x14ac:dyDescent="0.25">
      <c r="B857" s="41" t="s">
        <v>1003</v>
      </c>
      <c r="C857" s="429" t="s">
        <v>1894</v>
      </c>
      <c r="D857" s="430" t="s">
        <v>1896</v>
      </c>
      <c r="E857" s="430" t="s">
        <v>1392</v>
      </c>
      <c r="F857" t="str">
        <f t="shared" si="9"/>
        <v>Italiano</v>
      </c>
      <c r="G857" s="32" t="s">
        <v>83</v>
      </c>
      <c r="H857" t="s">
        <v>28061</v>
      </c>
    </row>
    <row r="858" spans="2:8" x14ac:dyDescent="0.25">
      <c r="B858" s="41" t="s">
        <v>1004</v>
      </c>
      <c r="C858" s="429" t="s">
        <v>1894</v>
      </c>
      <c r="D858" s="430" t="s">
        <v>1897</v>
      </c>
      <c r="E858" s="430" t="s">
        <v>1392</v>
      </c>
      <c r="F858" t="str">
        <f t="shared" si="9"/>
        <v>Italiano</v>
      </c>
      <c r="G858" s="32" t="s">
        <v>83</v>
      </c>
      <c r="H858" t="s">
        <v>28062</v>
      </c>
    </row>
    <row r="859" spans="2:8" x14ac:dyDescent="0.25">
      <c r="B859" s="41" t="s">
        <v>1005</v>
      </c>
      <c r="C859" s="429" t="s">
        <v>1894</v>
      </c>
      <c r="D859" s="430" t="s">
        <v>1898</v>
      </c>
      <c r="E859" s="430" t="s">
        <v>1392</v>
      </c>
      <c r="F859" t="str">
        <f t="shared" si="9"/>
        <v>Italiano</v>
      </c>
      <c r="G859" s="32" t="s">
        <v>83</v>
      </c>
      <c r="H859" t="s">
        <v>28063</v>
      </c>
    </row>
    <row r="860" spans="2:8" x14ac:dyDescent="0.25">
      <c r="B860" s="41" t="s">
        <v>1006</v>
      </c>
      <c r="C860" s="429" t="s">
        <v>1894</v>
      </c>
      <c r="D860" s="430" t="s">
        <v>1899</v>
      </c>
      <c r="E860" s="430" t="s">
        <v>1392</v>
      </c>
      <c r="F860" t="str">
        <f t="shared" si="9"/>
        <v>Italiano</v>
      </c>
      <c r="G860" s="32" t="s">
        <v>83</v>
      </c>
      <c r="H860" t="s">
        <v>28064</v>
      </c>
    </row>
    <row r="861" spans="2:8" x14ac:dyDescent="0.25">
      <c r="B861" s="41" t="s">
        <v>1007</v>
      </c>
      <c r="C861" s="429" t="s">
        <v>1894</v>
      </c>
      <c r="D861" s="430" t="s">
        <v>1900</v>
      </c>
      <c r="E861" s="430" t="s">
        <v>1392</v>
      </c>
      <c r="F861" t="str">
        <f t="shared" si="9"/>
        <v>Italiano</v>
      </c>
      <c r="G861" s="32" t="s">
        <v>83</v>
      </c>
      <c r="H861" t="s">
        <v>28065</v>
      </c>
    </row>
    <row r="862" spans="2:8" x14ac:dyDescent="0.25">
      <c r="B862" s="41" t="s">
        <v>1008</v>
      </c>
      <c r="C862" s="429" t="s">
        <v>1894</v>
      </c>
      <c r="D862" s="430" t="s">
        <v>1901</v>
      </c>
      <c r="E862" s="430" t="s">
        <v>1392</v>
      </c>
      <c r="F862" t="str">
        <f t="shared" si="9"/>
        <v>Italiano</v>
      </c>
      <c r="G862" s="32" t="s">
        <v>83</v>
      </c>
      <c r="H862" t="s">
        <v>28066</v>
      </c>
    </row>
    <row r="863" spans="2:8" x14ac:dyDescent="0.25">
      <c r="B863" s="41" t="s">
        <v>1009</v>
      </c>
      <c r="C863" s="429" t="s">
        <v>1902</v>
      </c>
      <c r="D863" s="430" t="s">
        <v>1392</v>
      </c>
      <c r="E863" s="430" t="s">
        <v>1392</v>
      </c>
      <c r="F863" t="str">
        <f t="shared" si="9"/>
        <v>Italiano</v>
      </c>
      <c r="G863" s="32" t="s">
        <v>88</v>
      </c>
      <c r="H863" t="s">
        <v>1592</v>
      </c>
    </row>
    <row r="864" spans="2:8" x14ac:dyDescent="0.25">
      <c r="B864" s="41" t="s">
        <v>1010</v>
      </c>
      <c r="C864" s="429" t="s">
        <v>1903</v>
      </c>
      <c r="D864" s="430" t="s">
        <v>1904</v>
      </c>
      <c r="E864" s="430" t="s">
        <v>1392</v>
      </c>
      <c r="F864" t="str">
        <f t="shared" si="9"/>
        <v>Italiano</v>
      </c>
      <c r="G864" s="32" t="s">
        <v>88</v>
      </c>
      <c r="H864" t="s">
        <v>28067</v>
      </c>
    </row>
    <row r="865" spans="2:8" x14ac:dyDescent="0.25">
      <c r="B865" s="41" t="s">
        <v>1011</v>
      </c>
      <c r="C865" s="429" t="s">
        <v>1903</v>
      </c>
      <c r="D865" s="430" t="s">
        <v>1905</v>
      </c>
      <c r="E865" s="430" t="s">
        <v>1906</v>
      </c>
      <c r="F865" t="str">
        <f t="shared" si="9"/>
        <v>Italiano</v>
      </c>
      <c r="G865" s="32" t="s">
        <v>88</v>
      </c>
      <c r="H865" t="s">
        <v>28068</v>
      </c>
    </row>
    <row r="866" spans="2:8" x14ac:dyDescent="0.25">
      <c r="B866" s="41" t="s">
        <v>1012</v>
      </c>
      <c r="C866" s="429" t="s">
        <v>1903</v>
      </c>
      <c r="D866" s="430" t="s">
        <v>1905</v>
      </c>
      <c r="E866" s="430" t="s">
        <v>1907</v>
      </c>
      <c r="F866" t="str">
        <f t="shared" si="9"/>
        <v>Italiano</v>
      </c>
      <c r="G866" s="32" t="s">
        <v>88</v>
      </c>
      <c r="H866" t="s">
        <v>28069</v>
      </c>
    </row>
    <row r="867" spans="2:8" x14ac:dyDescent="0.25">
      <c r="B867" s="41" t="s">
        <v>1013</v>
      </c>
      <c r="C867" s="429" t="s">
        <v>1903</v>
      </c>
      <c r="D867" s="430" t="s">
        <v>1905</v>
      </c>
      <c r="E867" s="430" t="s">
        <v>1908</v>
      </c>
      <c r="F867" t="str">
        <f t="shared" si="9"/>
        <v>Italiano</v>
      </c>
      <c r="G867" s="32" t="s">
        <v>88</v>
      </c>
      <c r="H867" t="s">
        <v>28070</v>
      </c>
    </row>
    <row r="868" spans="2:8" x14ac:dyDescent="0.25">
      <c r="B868" s="41" t="s">
        <v>1014</v>
      </c>
      <c r="C868" s="429" t="s">
        <v>1903</v>
      </c>
      <c r="D868" s="430" t="s">
        <v>1905</v>
      </c>
      <c r="E868" s="430" t="s">
        <v>1909</v>
      </c>
      <c r="F868" t="str">
        <f t="shared" si="9"/>
        <v>Italiano</v>
      </c>
      <c r="G868" s="32" t="s">
        <v>88</v>
      </c>
      <c r="H868" t="s">
        <v>28071</v>
      </c>
    </row>
    <row r="869" spans="2:8" x14ac:dyDescent="0.25">
      <c r="B869" s="41" t="s">
        <v>1015</v>
      </c>
      <c r="C869" s="429" t="s">
        <v>1903</v>
      </c>
      <c r="D869" s="430" t="s">
        <v>1910</v>
      </c>
      <c r="E869" s="430" t="s">
        <v>1392</v>
      </c>
      <c r="F869" t="str">
        <f t="shared" si="9"/>
        <v>Italiano</v>
      </c>
      <c r="G869" s="32" t="s">
        <v>88</v>
      </c>
      <c r="H869" t="s">
        <v>28072</v>
      </c>
    </row>
    <row r="870" spans="2:8" x14ac:dyDescent="0.25">
      <c r="B870" s="41" t="s">
        <v>1016</v>
      </c>
      <c r="C870" s="429" t="s">
        <v>1903</v>
      </c>
      <c r="D870" s="430" t="s">
        <v>1910</v>
      </c>
      <c r="E870" s="430" t="s">
        <v>1911</v>
      </c>
      <c r="F870" t="str">
        <f t="shared" si="9"/>
        <v>Italiano</v>
      </c>
      <c r="G870" s="32" t="s">
        <v>88</v>
      </c>
      <c r="H870" t="s">
        <v>28073</v>
      </c>
    </row>
    <row r="871" spans="2:8" x14ac:dyDescent="0.25">
      <c r="B871" s="41" t="s">
        <v>1017</v>
      </c>
      <c r="C871" s="429" t="s">
        <v>1903</v>
      </c>
      <c r="D871" s="430" t="s">
        <v>1910</v>
      </c>
      <c r="E871" s="430" t="s">
        <v>1912</v>
      </c>
      <c r="F871" t="str">
        <f t="shared" si="9"/>
        <v>Italiano</v>
      </c>
      <c r="G871" s="32" t="s">
        <v>88</v>
      </c>
      <c r="H871" t="s">
        <v>28074</v>
      </c>
    </row>
    <row r="872" spans="2:8" x14ac:dyDescent="0.25">
      <c r="B872" s="41" t="s">
        <v>1018</v>
      </c>
      <c r="C872" s="429" t="s">
        <v>1903</v>
      </c>
      <c r="D872" s="430" t="s">
        <v>1910</v>
      </c>
      <c r="E872" s="430" t="s">
        <v>1913</v>
      </c>
      <c r="F872" t="str">
        <f t="shared" si="9"/>
        <v>Italiano</v>
      </c>
      <c r="G872" s="32" t="s">
        <v>88</v>
      </c>
      <c r="H872" t="s">
        <v>28075</v>
      </c>
    </row>
    <row r="873" spans="2:8" x14ac:dyDescent="0.25">
      <c r="B873" s="41" t="s">
        <v>1019</v>
      </c>
      <c r="C873" s="429" t="s">
        <v>1903</v>
      </c>
      <c r="D873" s="430" t="s">
        <v>1910</v>
      </c>
      <c r="E873" s="430" t="s">
        <v>1914</v>
      </c>
      <c r="F873" t="str">
        <f t="shared" si="9"/>
        <v>Italiano</v>
      </c>
      <c r="G873" s="32" t="s">
        <v>88</v>
      </c>
      <c r="H873" t="s">
        <v>28076</v>
      </c>
    </row>
    <row r="874" spans="2:8" x14ac:dyDescent="0.25">
      <c r="B874" s="41" t="s">
        <v>1020</v>
      </c>
      <c r="C874" s="429" t="s">
        <v>1903</v>
      </c>
      <c r="D874" s="430" t="s">
        <v>1910</v>
      </c>
      <c r="E874" s="430" t="s">
        <v>1264</v>
      </c>
      <c r="F874" t="str">
        <f t="shared" si="9"/>
        <v>Italiano</v>
      </c>
      <c r="G874" s="32" t="s">
        <v>88</v>
      </c>
      <c r="H874" t="s">
        <v>28077</v>
      </c>
    </row>
    <row r="875" spans="2:8" x14ac:dyDescent="0.25">
      <c r="B875" s="41" t="s">
        <v>1021</v>
      </c>
      <c r="C875" s="429" t="s">
        <v>1903</v>
      </c>
      <c r="D875" s="430" t="s">
        <v>1910</v>
      </c>
      <c r="E875" s="430" t="s">
        <v>1915</v>
      </c>
      <c r="F875" t="str">
        <f t="shared" si="9"/>
        <v>Italiano</v>
      </c>
      <c r="G875" s="32" t="s">
        <v>88</v>
      </c>
      <c r="H875" t="s">
        <v>28078</v>
      </c>
    </row>
    <row r="876" spans="2:8" x14ac:dyDescent="0.25">
      <c r="B876" s="41" t="s">
        <v>1022</v>
      </c>
      <c r="C876" s="429" t="s">
        <v>1903</v>
      </c>
      <c r="D876" s="430" t="s">
        <v>1910</v>
      </c>
      <c r="E876" s="430" t="s">
        <v>1916</v>
      </c>
      <c r="F876" t="str">
        <f t="shared" si="9"/>
        <v>Italiano</v>
      </c>
      <c r="G876" s="32" t="s">
        <v>88</v>
      </c>
      <c r="H876" t="s">
        <v>28079</v>
      </c>
    </row>
    <row r="877" spans="2:8" x14ac:dyDescent="0.25">
      <c r="B877" s="41" t="s">
        <v>1015</v>
      </c>
      <c r="C877" s="429" t="s">
        <v>1903</v>
      </c>
      <c r="D877" s="430" t="s">
        <v>1910</v>
      </c>
      <c r="E877" s="430" t="s">
        <v>27959</v>
      </c>
      <c r="F877" t="str">
        <f t="shared" si="9"/>
        <v>Italiano</v>
      </c>
      <c r="G877" s="32" t="s">
        <v>88</v>
      </c>
      <c r="H877" t="s">
        <v>28080</v>
      </c>
    </row>
    <row r="878" spans="2:8" x14ac:dyDescent="0.25">
      <c r="B878" s="41" t="s">
        <v>1023</v>
      </c>
      <c r="C878" s="429" t="s">
        <v>1903</v>
      </c>
      <c r="D878" s="430" t="s">
        <v>1910</v>
      </c>
      <c r="E878" s="430" t="s">
        <v>1917</v>
      </c>
      <c r="F878" t="str">
        <f t="shared" si="9"/>
        <v>Italiano</v>
      </c>
      <c r="G878" s="32" t="s">
        <v>88</v>
      </c>
      <c r="H878" t="s">
        <v>28081</v>
      </c>
    </row>
    <row r="879" spans="2:8" x14ac:dyDescent="0.25">
      <c r="B879" s="41" t="s">
        <v>1024</v>
      </c>
      <c r="C879" s="429" t="s">
        <v>1903</v>
      </c>
      <c r="D879" s="430" t="s">
        <v>1910</v>
      </c>
      <c r="E879" s="430" t="s">
        <v>1918</v>
      </c>
      <c r="F879" t="str">
        <f t="shared" si="9"/>
        <v>Italiano</v>
      </c>
      <c r="G879" s="32" t="s">
        <v>88</v>
      </c>
      <c r="H879" t="s">
        <v>28082</v>
      </c>
    </row>
    <row r="880" spans="2:8" x14ac:dyDescent="0.25">
      <c r="B880" s="41" t="s">
        <v>1025</v>
      </c>
      <c r="C880" s="429" t="s">
        <v>1903</v>
      </c>
      <c r="D880" s="430" t="s">
        <v>1910</v>
      </c>
      <c r="E880" s="430" t="s">
        <v>1919</v>
      </c>
      <c r="F880" t="str">
        <f t="shared" si="9"/>
        <v>Italiano</v>
      </c>
      <c r="G880" s="32" t="s">
        <v>88</v>
      </c>
      <c r="H880" t="s">
        <v>28083</v>
      </c>
    </row>
    <row r="881" spans="2:8" x14ac:dyDescent="0.25">
      <c r="B881" s="41" t="s">
        <v>1026</v>
      </c>
      <c r="C881" s="429" t="s">
        <v>1903</v>
      </c>
      <c r="D881" s="430" t="s">
        <v>1910</v>
      </c>
      <c r="E881" s="430" t="s">
        <v>1920</v>
      </c>
      <c r="F881" t="str">
        <f t="shared" si="9"/>
        <v>Italiano</v>
      </c>
      <c r="G881" s="32" t="s">
        <v>88</v>
      </c>
      <c r="H881" t="s">
        <v>28084</v>
      </c>
    </row>
    <row r="882" spans="2:8" x14ac:dyDescent="0.25">
      <c r="B882" s="41" t="s">
        <v>1027</v>
      </c>
      <c r="C882" s="429" t="s">
        <v>1903</v>
      </c>
      <c r="D882" s="430" t="s">
        <v>1910</v>
      </c>
      <c r="E882" s="430" t="s">
        <v>1921</v>
      </c>
      <c r="F882" t="str">
        <f t="shared" si="9"/>
        <v>Italiano</v>
      </c>
      <c r="G882" s="32" t="s">
        <v>88</v>
      </c>
      <c r="H882" t="s">
        <v>28085</v>
      </c>
    </row>
    <row r="883" spans="2:8" x14ac:dyDescent="0.25">
      <c r="B883" s="41" t="s">
        <v>1028</v>
      </c>
      <c r="C883" s="429" t="s">
        <v>1903</v>
      </c>
      <c r="D883" s="430" t="s">
        <v>1910</v>
      </c>
      <c r="E883" s="430" t="s">
        <v>1922</v>
      </c>
      <c r="F883" t="str">
        <f t="shared" si="9"/>
        <v>Italiano</v>
      </c>
      <c r="G883" s="32" t="s">
        <v>88</v>
      </c>
      <c r="H883" t="s">
        <v>28086</v>
      </c>
    </row>
    <row r="884" spans="2:8" x14ac:dyDescent="0.25">
      <c r="B884" s="41" t="s">
        <v>1029</v>
      </c>
      <c r="C884" s="429" t="s">
        <v>1903</v>
      </c>
      <c r="D884" s="430" t="s">
        <v>1910</v>
      </c>
      <c r="E884" s="430" t="s">
        <v>1923</v>
      </c>
      <c r="F884" t="str">
        <f t="shared" si="9"/>
        <v>Italiano</v>
      </c>
      <c r="G884" s="32" t="s">
        <v>88</v>
      </c>
      <c r="H884" t="s">
        <v>28087</v>
      </c>
    </row>
    <row r="885" spans="2:8" x14ac:dyDescent="0.25">
      <c r="B885" s="41" t="s">
        <v>1030</v>
      </c>
      <c r="C885" s="429" t="s">
        <v>1903</v>
      </c>
      <c r="D885" s="430" t="s">
        <v>1910</v>
      </c>
      <c r="E885" s="430" t="s">
        <v>1924</v>
      </c>
      <c r="F885" t="str">
        <f t="shared" si="9"/>
        <v>Italiano</v>
      </c>
      <c r="G885" s="32" t="s">
        <v>88</v>
      </c>
      <c r="H885" t="s">
        <v>28088</v>
      </c>
    </row>
    <row r="886" spans="2:8" x14ac:dyDescent="0.25">
      <c r="B886" s="41" t="s">
        <v>1031</v>
      </c>
      <c r="C886" s="429" t="s">
        <v>1903</v>
      </c>
      <c r="D886" s="430" t="s">
        <v>1910</v>
      </c>
      <c r="E886" s="430" t="s">
        <v>1925</v>
      </c>
      <c r="F886" t="str">
        <f t="shared" ref="F886:F947" si="10">Italian</f>
        <v>Italiano</v>
      </c>
      <c r="G886" s="32" t="s">
        <v>88</v>
      </c>
      <c r="H886" t="s">
        <v>28089</v>
      </c>
    </row>
    <row r="887" spans="2:8" x14ac:dyDescent="0.25">
      <c r="B887" s="41" t="s">
        <v>1032</v>
      </c>
      <c r="C887" s="429" t="s">
        <v>1903</v>
      </c>
      <c r="D887" s="430" t="s">
        <v>1910</v>
      </c>
      <c r="E887" s="430" t="s">
        <v>1926</v>
      </c>
      <c r="F887" t="str">
        <f t="shared" si="10"/>
        <v>Italiano</v>
      </c>
      <c r="G887" s="32" t="s">
        <v>88</v>
      </c>
      <c r="H887" t="s">
        <v>28090</v>
      </c>
    </row>
    <row r="888" spans="2:8" x14ac:dyDescent="0.25">
      <c r="B888" s="41" t="s">
        <v>1033</v>
      </c>
      <c r="C888" s="429" t="s">
        <v>1903</v>
      </c>
      <c r="D888" s="430" t="s">
        <v>1910</v>
      </c>
      <c r="E888" s="430" t="s">
        <v>1277</v>
      </c>
      <c r="F888" t="str">
        <f t="shared" si="10"/>
        <v>Italiano</v>
      </c>
      <c r="G888" s="32" t="s">
        <v>88</v>
      </c>
      <c r="H888" t="s">
        <v>28091</v>
      </c>
    </row>
    <row r="889" spans="2:8" x14ac:dyDescent="0.25">
      <c r="B889" s="41" t="s">
        <v>1034</v>
      </c>
      <c r="C889" s="429" t="s">
        <v>1903</v>
      </c>
      <c r="D889" s="430" t="s">
        <v>1910</v>
      </c>
      <c r="E889" s="430" t="s">
        <v>1927</v>
      </c>
      <c r="F889" t="str">
        <f t="shared" si="10"/>
        <v>Italiano</v>
      </c>
      <c r="G889" s="32" t="s">
        <v>88</v>
      </c>
      <c r="H889" t="s">
        <v>28092</v>
      </c>
    </row>
    <row r="890" spans="2:8" x14ac:dyDescent="0.25">
      <c r="B890" s="41" t="s">
        <v>1035</v>
      </c>
      <c r="C890" s="429" t="s">
        <v>1903</v>
      </c>
      <c r="D890" s="430" t="s">
        <v>1910</v>
      </c>
      <c r="E890" s="430" t="s">
        <v>1928</v>
      </c>
      <c r="F890" t="str">
        <f t="shared" si="10"/>
        <v>Italiano</v>
      </c>
      <c r="G890" s="32" t="s">
        <v>88</v>
      </c>
      <c r="H890" t="s">
        <v>28093</v>
      </c>
    </row>
    <row r="891" spans="2:8" x14ac:dyDescent="0.25">
      <c r="B891" s="41" t="s">
        <v>1036</v>
      </c>
      <c r="C891" s="429" t="s">
        <v>1903</v>
      </c>
      <c r="D891" s="430" t="s">
        <v>1910</v>
      </c>
      <c r="E891" s="430" t="s">
        <v>1929</v>
      </c>
      <c r="F891" t="str">
        <f t="shared" si="10"/>
        <v>Italiano</v>
      </c>
      <c r="G891" s="32" t="s">
        <v>88</v>
      </c>
      <c r="H891" t="s">
        <v>28094</v>
      </c>
    </row>
    <row r="892" spans="2:8" x14ac:dyDescent="0.25">
      <c r="B892" s="41" t="s">
        <v>1037</v>
      </c>
      <c r="C892" s="429" t="s">
        <v>1903</v>
      </c>
      <c r="D892" s="430" t="s">
        <v>1930</v>
      </c>
      <c r="E892" s="430" t="s">
        <v>1392</v>
      </c>
      <c r="F892" t="str">
        <f t="shared" si="10"/>
        <v>Italiano</v>
      </c>
      <c r="G892" s="32" t="s">
        <v>88</v>
      </c>
      <c r="H892" t="s">
        <v>28095</v>
      </c>
    </row>
    <row r="893" spans="2:8" x14ac:dyDescent="0.25">
      <c r="B893" s="41" t="s">
        <v>1037</v>
      </c>
      <c r="C893" s="429" t="s">
        <v>1903</v>
      </c>
      <c r="D893" s="430" t="s">
        <v>1930</v>
      </c>
      <c r="E893" s="430" t="s">
        <v>1931</v>
      </c>
      <c r="F893" t="str">
        <f t="shared" si="10"/>
        <v>Italiano</v>
      </c>
      <c r="G893" s="32" t="s">
        <v>88</v>
      </c>
      <c r="H893" t="s">
        <v>28096</v>
      </c>
    </row>
    <row r="894" spans="2:8" x14ac:dyDescent="0.25">
      <c r="B894" s="41" t="s">
        <v>1038</v>
      </c>
      <c r="C894" s="429" t="s">
        <v>1903</v>
      </c>
      <c r="D894" s="430" t="s">
        <v>1930</v>
      </c>
      <c r="E894" s="430" t="s">
        <v>1932</v>
      </c>
      <c r="F894" t="str">
        <f t="shared" si="10"/>
        <v>Italiano</v>
      </c>
      <c r="G894" s="32" t="s">
        <v>88</v>
      </c>
      <c r="H894" t="s">
        <v>28097</v>
      </c>
    </row>
    <row r="895" spans="2:8" x14ac:dyDescent="0.25">
      <c r="B895" s="41" t="s">
        <v>1039</v>
      </c>
      <c r="C895" s="429" t="s">
        <v>1933</v>
      </c>
      <c r="D895" s="430" t="s">
        <v>1934</v>
      </c>
      <c r="E895" s="430" t="s">
        <v>1935</v>
      </c>
      <c r="F895" t="str">
        <f t="shared" si="10"/>
        <v>Italiano</v>
      </c>
      <c r="G895" s="32" t="s">
        <v>88</v>
      </c>
      <c r="H895" t="s">
        <v>28098</v>
      </c>
    </row>
    <row r="896" spans="2:8" x14ac:dyDescent="0.25">
      <c r="B896" s="41" t="s">
        <v>1040</v>
      </c>
      <c r="C896" s="429" t="s">
        <v>1933</v>
      </c>
      <c r="D896" s="430" t="s">
        <v>1934</v>
      </c>
      <c r="E896" s="430" t="s">
        <v>1936</v>
      </c>
      <c r="F896" t="str">
        <f t="shared" si="10"/>
        <v>Italiano</v>
      </c>
      <c r="G896" s="32" t="s">
        <v>88</v>
      </c>
      <c r="H896" t="s">
        <v>28099</v>
      </c>
    </row>
    <row r="897" spans="2:8" x14ac:dyDescent="0.25">
      <c r="B897" s="41" t="s">
        <v>1041</v>
      </c>
      <c r="C897" s="429" t="s">
        <v>1933</v>
      </c>
      <c r="D897" s="430" t="s">
        <v>1934</v>
      </c>
      <c r="E897" s="430" t="s">
        <v>1653</v>
      </c>
      <c r="F897" t="str">
        <f t="shared" si="10"/>
        <v>Italiano</v>
      </c>
      <c r="G897" s="32" t="s">
        <v>88</v>
      </c>
      <c r="H897" t="s">
        <v>28100</v>
      </c>
    </row>
    <row r="898" spans="2:8" x14ac:dyDescent="0.25">
      <c r="B898" s="41" t="s">
        <v>1042</v>
      </c>
      <c r="C898" s="429" t="s">
        <v>1933</v>
      </c>
      <c r="D898" s="430" t="s">
        <v>1934</v>
      </c>
      <c r="E898" s="430" t="s">
        <v>1937</v>
      </c>
      <c r="F898" t="str">
        <f t="shared" si="10"/>
        <v>Italiano</v>
      </c>
      <c r="G898" s="32" t="s">
        <v>88</v>
      </c>
      <c r="H898" t="s">
        <v>28101</v>
      </c>
    </row>
    <row r="899" spans="2:8" x14ac:dyDescent="0.25">
      <c r="B899" s="41" t="s">
        <v>1043</v>
      </c>
      <c r="C899" s="429" t="s">
        <v>1933</v>
      </c>
      <c r="D899" s="430" t="s">
        <v>1934</v>
      </c>
      <c r="E899" s="430" t="s">
        <v>1938</v>
      </c>
      <c r="F899" t="str">
        <f t="shared" si="10"/>
        <v>Italiano</v>
      </c>
      <c r="G899" s="32" t="s">
        <v>88</v>
      </c>
      <c r="H899" t="s">
        <v>28102</v>
      </c>
    </row>
    <row r="900" spans="2:8" x14ac:dyDescent="0.25">
      <c r="B900" s="41" t="s">
        <v>1044</v>
      </c>
      <c r="C900" s="429" t="s">
        <v>1933</v>
      </c>
      <c r="D900" s="430" t="s">
        <v>1934</v>
      </c>
      <c r="E900" s="430" t="s">
        <v>1939</v>
      </c>
      <c r="F900" t="str">
        <f t="shared" si="10"/>
        <v>Italiano</v>
      </c>
      <c r="G900" s="32" t="s">
        <v>88</v>
      </c>
      <c r="H900" t="s">
        <v>28103</v>
      </c>
    </row>
    <row r="901" spans="2:8" x14ac:dyDescent="0.25">
      <c r="B901" s="41" t="s">
        <v>1045</v>
      </c>
      <c r="C901" s="429" t="s">
        <v>1933</v>
      </c>
      <c r="D901" s="430" t="s">
        <v>1934</v>
      </c>
      <c r="E901" s="430" t="s">
        <v>1940</v>
      </c>
      <c r="F901" t="str">
        <f t="shared" si="10"/>
        <v>Italiano</v>
      </c>
      <c r="G901" s="32" t="s">
        <v>88</v>
      </c>
      <c r="H901" t="s">
        <v>28104</v>
      </c>
    </row>
    <row r="902" spans="2:8" x14ac:dyDescent="0.25">
      <c r="B902" s="41" t="s">
        <v>1046</v>
      </c>
      <c r="C902" s="429" t="s">
        <v>1933</v>
      </c>
      <c r="D902" s="430" t="s">
        <v>1934</v>
      </c>
      <c r="E902" s="430" t="s">
        <v>1941</v>
      </c>
      <c r="F902" t="str">
        <f t="shared" si="10"/>
        <v>Italiano</v>
      </c>
      <c r="G902" s="32" t="s">
        <v>88</v>
      </c>
      <c r="H902" t="s">
        <v>28105</v>
      </c>
    </row>
    <row r="903" spans="2:8" x14ac:dyDescent="0.25">
      <c r="B903" s="41" t="s">
        <v>1045</v>
      </c>
      <c r="C903" s="429" t="s">
        <v>1933</v>
      </c>
      <c r="D903" s="430" t="s">
        <v>1934</v>
      </c>
      <c r="E903" s="430" t="s">
        <v>1942</v>
      </c>
      <c r="F903" t="str">
        <f t="shared" si="10"/>
        <v>Italiano</v>
      </c>
      <c r="G903" s="32" t="s">
        <v>88</v>
      </c>
      <c r="H903" t="s">
        <v>28106</v>
      </c>
    </row>
    <row r="904" spans="2:8" x14ac:dyDescent="0.25">
      <c r="B904" s="41" t="s">
        <v>1047</v>
      </c>
      <c r="C904" s="429" t="s">
        <v>1933</v>
      </c>
      <c r="D904" s="430" t="s">
        <v>1934</v>
      </c>
      <c r="E904" s="430" t="s">
        <v>1943</v>
      </c>
      <c r="F904" t="str">
        <f t="shared" si="10"/>
        <v>Italiano</v>
      </c>
      <c r="G904" s="32" t="s">
        <v>88</v>
      </c>
      <c r="H904" t="s">
        <v>28107</v>
      </c>
    </row>
    <row r="905" spans="2:8" x14ac:dyDescent="0.25">
      <c r="B905" s="41" t="s">
        <v>1048</v>
      </c>
      <c r="C905" s="429" t="s">
        <v>1933</v>
      </c>
      <c r="D905" s="430" t="s">
        <v>1934</v>
      </c>
      <c r="E905" s="430" t="s">
        <v>1944</v>
      </c>
      <c r="F905" t="str">
        <f t="shared" si="10"/>
        <v>Italiano</v>
      </c>
      <c r="G905" s="32" t="s">
        <v>88</v>
      </c>
      <c r="H905" t="s">
        <v>28108</v>
      </c>
    </row>
    <row r="906" spans="2:8" x14ac:dyDescent="0.25">
      <c r="B906" s="41" t="s">
        <v>1049</v>
      </c>
      <c r="C906" s="429" t="s">
        <v>1933</v>
      </c>
      <c r="D906" s="430" t="s">
        <v>1945</v>
      </c>
      <c r="E906" s="430" t="s">
        <v>1392</v>
      </c>
      <c r="F906" t="str">
        <f t="shared" si="10"/>
        <v>Italiano</v>
      </c>
      <c r="G906" s="32" t="s">
        <v>88</v>
      </c>
      <c r="H906" t="s">
        <v>28109</v>
      </c>
    </row>
    <row r="907" spans="2:8" x14ac:dyDescent="0.25">
      <c r="B907" s="41" t="s">
        <v>1050</v>
      </c>
      <c r="C907" s="429" t="s">
        <v>1933</v>
      </c>
      <c r="D907" s="430" t="s">
        <v>1945</v>
      </c>
      <c r="E907" s="430" t="s">
        <v>1631</v>
      </c>
      <c r="F907" t="str">
        <f t="shared" si="10"/>
        <v>Italiano</v>
      </c>
      <c r="G907" s="32" t="s">
        <v>88</v>
      </c>
      <c r="H907" t="s">
        <v>28110</v>
      </c>
    </row>
    <row r="908" spans="2:8" x14ac:dyDescent="0.25">
      <c r="B908" s="41" t="s">
        <v>1051</v>
      </c>
      <c r="C908" s="429" t="s">
        <v>1933</v>
      </c>
      <c r="D908" s="430" t="s">
        <v>1945</v>
      </c>
      <c r="E908" s="430" t="s">
        <v>28216</v>
      </c>
      <c r="F908" t="str">
        <f t="shared" si="10"/>
        <v>Italiano</v>
      </c>
      <c r="G908" s="32" t="s">
        <v>1052</v>
      </c>
      <c r="H908" t="s">
        <v>28111</v>
      </c>
    </row>
    <row r="909" spans="2:8" x14ac:dyDescent="0.25">
      <c r="B909" s="41" t="s">
        <v>1049</v>
      </c>
      <c r="C909" s="429" t="s">
        <v>1933</v>
      </c>
      <c r="D909" s="430" t="s">
        <v>1945</v>
      </c>
      <c r="E909" s="430" t="s">
        <v>1946</v>
      </c>
      <c r="F909" t="str">
        <f t="shared" si="10"/>
        <v>Italiano</v>
      </c>
      <c r="G909" s="32" t="s">
        <v>88</v>
      </c>
      <c r="H909" t="s">
        <v>28112</v>
      </c>
    </row>
    <row r="910" spans="2:8" x14ac:dyDescent="0.25">
      <c r="B910" s="41" t="s">
        <v>1053</v>
      </c>
      <c r="C910" s="429" t="s">
        <v>1933</v>
      </c>
      <c r="D910" s="430" t="s">
        <v>1947</v>
      </c>
      <c r="E910" s="430" t="s">
        <v>1392</v>
      </c>
      <c r="F910" t="str">
        <f t="shared" si="10"/>
        <v>Italiano</v>
      </c>
      <c r="G910" s="32" t="s">
        <v>88</v>
      </c>
      <c r="H910" t="s">
        <v>28113</v>
      </c>
    </row>
    <row r="911" spans="2:8" x14ac:dyDescent="0.25">
      <c r="B911" s="41" t="s">
        <v>1054</v>
      </c>
      <c r="C911" s="429" t="s">
        <v>1933</v>
      </c>
      <c r="D911" s="430" t="s">
        <v>1947</v>
      </c>
      <c r="E911" s="430" t="s">
        <v>1299</v>
      </c>
      <c r="F911" t="str">
        <f t="shared" si="10"/>
        <v>Italiano</v>
      </c>
      <c r="G911" s="32" t="s">
        <v>88</v>
      </c>
      <c r="H911" t="s">
        <v>28114</v>
      </c>
    </row>
    <row r="912" spans="2:8" x14ac:dyDescent="0.25">
      <c r="B912" s="41" t="s">
        <v>1055</v>
      </c>
      <c r="C912" s="429" t="s">
        <v>1933</v>
      </c>
      <c r="D912" s="430" t="s">
        <v>1947</v>
      </c>
      <c r="E912" s="430" t="s">
        <v>1300</v>
      </c>
      <c r="F912" t="str">
        <f t="shared" si="10"/>
        <v>Italiano</v>
      </c>
      <c r="G912" s="32" t="s">
        <v>88</v>
      </c>
      <c r="H912" t="s">
        <v>28115</v>
      </c>
    </row>
    <row r="913" spans="2:8" x14ac:dyDescent="0.25">
      <c r="B913" s="41" t="s">
        <v>1053</v>
      </c>
      <c r="C913" s="429" t="s">
        <v>1933</v>
      </c>
      <c r="D913" s="430" t="s">
        <v>1947</v>
      </c>
      <c r="E913" s="430" t="s">
        <v>1301</v>
      </c>
      <c r="F913" t="str">
        <f t="shared" si="10"/>
        <v>Italiano</v>
      </c>
      <c r="G913" s="32" t="s">
        <v>88</v>
      </c>
      <c r="H913" t="s">
        <v>28116</v>
      </c>
    </row>
    <row r="914" spans="2:8" x14ac:dyDescent="0.25">
      <c r="B914" s="41" t="s">
        <v>1056</v>
      </c>
      <c r="C914" s="429" t="s">
        <v>1933</v>
      </c>
      <c r="D914" s="430" t="s">
        <v>1948</v>
      </c>
      <c r="E914" s="430" t="s">
        <v>1392</v>
      </c>
      <c r="F914" t="str">
        <f t="shared" si="10"/>
        <v>Italiano</v>
      </c>
      <c r="G914" s="32" t="s">
        <v>88</v>
      </c>
      <c r="H914" t="s">
        <v>28117</v>
      </c>
    </row>
    <row r="915" spans="2:8" x14ac:dyDescent="0.25">
      <c r="B915" s="41" t="s">
        <v>1056</v>
      </c>
      <c r="C915" s="429" t="s">
        <v>1933</v>
      </c>
      <c r="D915" s="430" t="s">
        <v>1948</v>
      </c>
      <c r="E915" s="430" t="s">
        <v>1949</v>
      </c>
      <c r="F915" t="str">
        <f t="shared" si="10"/>
        <v>Italiano</v>
      </c>
      <c r="G915" s="32" t="s">
        <v>88</v>
      </c>
      <c r="H915" t="s">
        <v>28118</v>
      </c>
    </row>
    <row r="916" spans="2:8" x14ac:dyDescent="0.25">
      <c r="B916" s="41" t="s">
        <v>1057</v>
      </c>
      <c r="C916" s="429" t="s">
        <v>1933</v>
      </c>
      <c r="D916" s="430" t="s">
        <v>1948</v>
      </c>
      <c r="E916" s="430" t="s">
        <v>1304</v>
      </c>
      <c r="F916" t="str">
        <f t="shared" si="10"/>
        <v>Italiano</v>
      </c>
      <c r="G916" s="32" t="s">
        <v>88</v>
      </c>
      <c r="H916" t="s">
        <v>28119</v>
      </c>
    </row>
    <row r="917" spans="2:8" x14ac:dyDescent="0.25">
      <c r="B917" s="41" t="s">
        <v>1058</v>
      </c>
      <c r="C917" s="429" t="s">
        <v>1933</v>
      </c>
      <c r="D917" s="430" t="s">
        <v>1950</v>
      </c>
      <c r="E917" s="430" t="s">
        <v>1392</v>
      </c>
      <c r="F917" t="str">
        <f t="shared" si="10"/>
        <v>Italiano</v>
      </c>
      <c r="G917" s="32" t="s">
        <v>88</v>
      </c>
      <c r="H917" t="s">
        <v>28120</v>
      </c>
    </row>
    <row r="918" spans="2:8" x14ac:dyDescent="0.25">
      <c r="B918" s="41" t="s">
        <v>1059</v>
      </c>
      <c r="C918" s="429" t="s">
        <v>1933</v>
      </c>
      <c r="D918" s="430" t="s">
        <v>1951</v>
      </c>
      <c r="E918" s="430" t="s">
        <v>1392</v>
      </c>
      <c r="F918" t="str">
        <f t="shared" si="10"/>
        <v>Italiano</v>
      </c>
      <c r="G918" s="32" t="s">
        <v>88</v>
      </c>
      <c r="H918" t="s">
        <v>28121</v>
      </c>
    </row>
    <row r="919" spans="2:8" x14ac:dyDescent="0.25">
      <c r="B919" s="41" t="s">
        <v>1060</v>
      </c>
      <c r="C919" s="429" t="s">
        <v>1933</v>
      </c>
      <c r="D919" s="430" t="s">
        <v>1951</v>
      </c>
      <c r="E919" s="430" t="s">
        <v>1652</v>
      </c>
      <c r="F919" t="str">
        <f t="shared" si="10"/>
        <v>Italiano</v>
      </c>
      <c r="G919" s="32" t="s">
        <v>88</v>
      </c>
      <c r="H919" t="s">
        <v>28122</v>
      </c>
    </row>
    <row r="920" spans="2:8" x14ac:dyDescent="0.25">
      <c r="B920" s="41" t="s">
        <v>1061</v>
      </c>
      <c r="C920" s="429" t="s">
        <v>1933</v>
      </c>
      <c r="D920" s="430" t="s">
        <v>1951</v>
      </c>
      <c r="E920" s="430" t="s">
        <v>27960</v>
      </c>
      <c r="F920" t="str">
        <f t="shared" si="10"/>
        <v>Italiano</v>
      </c>
      <c r="G920" s="32" t="s">
        <v>88</v>
      </c>
      <c r="H920" t="s">
        <v>28123</v>
      </c>
    </row>
    <row r="921" spans="2:8" x14ac:dyDescent="0.25">
      <c r="B921" s="41" t="s">
        <v>1059</v>
      </c>
      <c r="C921" s="429" t="s">
        <v>1933</v>
      </c>
      <c r="D921" s="430" t="s">
        <v>1951</v>
      </c>
      <c r="E921" s="430" t="s">
        <v>1952</v>
      </c>
      <c r="F921" t="str">
        <f t="shared" si="10"/>
        <v>Italiano</v>
      </c>
      <c r="G921" s="32" t="s">
        <v>88</v>
      </c>
      <c r="H921" t="s">
        <v>28124</v>
      </c>
    </row>
    <row r="922" spans="2:8" x14ac:dyDescent="0.25">
      <c r="B922" s="41" t="s">
        <v>1062</v>
      </c>
      <c r="C922" s="429" t="s">
        <v>1953</v>
      </c>
      <c r="D922" s="430" t="s">
        <v>1954</v>
      </c>
      <c r="E922" s="430" t="s">
        <v>1392</v>
      </c>
      <c r="F922" t="str">
        <f t="shared" si="10"/>
        <v>Italiano</v>
      </c>
      <c r="G922" s="32" t="s">
        <v>88</v>
      </c>
      <c r="H922" t="s">
        <v>28125</v>
      </c>
    </row>
    <row r="923" spans="2:8" x14ac:dyDescent="0.25">
      <c r="B923" s="41" t="s">
        <v>1062</v>
      </c>
      <c r="C923" s="429" t="s">
        <v>1953</v>
      </c>
      <c r="D923" s="430" t="s">
        <v>1954</v>
      </c>
      <c r="E923" s="430" t="s">
        <v>28218</v>
      </c>
      <c r="F923" t="str">
        <f t="shared" si="10"/>
        <v>Italiano</v>
      </c>
      <c r="G923" s="32" t="s">
        <v>88</v>
      </c>
      <c r="H923" t="s">
        <v>28126</v>
      </c>
    </row>
    <row r="924" spans="2:8" x14ac:dyDescent="0.25">
      <c r="B924" s="41" t="s">
        <v>1063</v>
      </c>
      <c r="C924" s="429" t="s">
        <v>1953</v>
      </c>
      <c r="D924" s="430" t="s">
        <v>1955</v>
      </c>
      <c r="E924" s="430" t="s">
        <v>1392</v>
      </c>
      <c r="F924" t="str">
        <f t="shared" si="10"/>
        <v>Italiano</v>
      </c>
      <c r="G924" s="32" t="s">
        <v>88</v>
      </c>
      <c r="H924" t="s">
        <v>28127</v>
      </c>
    </row>
    <row r="925" spans="2:8" x14ac:dyDescent="0.25">
      <c r="B925" s="41" t="s">
        <v>1059</v>
      </c>
      <c r="C925" s="429" t="s">
        <v>1953</v>
      </c>
      <c r="D925" s="430" t="s">
        <v>1955</v>
      </c>
      <c r="E925" s="430" t="s">
        <v>1952</v>
      </c>
      <c r="F925" t="str">
        <f t="shared" si="10"/>
        <v>Italiano</v>
      </c>
      <c r="G925" s="32" t="s">
        <v>88</v>
      </c>
      <c r="H925" t="s">
        <v>28128</v>
      </c>
    </row>
    <row r="926" spans="2:8" x14ac:dyDescent="0.25">
      <c r="B926" s="41" t="s">
        <v>1064</v>
      </c>
      <c r="C926" s="429" t="s">
        <v>1953</v>
      </c>
      <c r="D926" s="430" t="s">
        <v>1955</v>
      </c>
      <c r="E926" s="430" t="s">
        <v>28217</v>
      </c>
      <c r="F926" t="str">
        <f t="shared" si="10"/>
        <v>Italiano</v>
      </c>
      <c r="G926" s="32" t="s">
        <v>88</v>
      </c>
      <c r="H926" t="s">
        <v>28129</v>
      </c>
    </row>
    <row r="927" spans="2:8" x14ac:dyDescent="0.25">
      <c r="B927" s="41" t="s">
        <v>1065</v>
      </c>
      <c r="C927" s="429" t="s">
        <v>1953</v>
      </c>
      <c r="D927" s="430" t="s">
        <v>1956</v>
      </c>
      <c r="E927" s="430" t="s">
        <v>1392</v>
      </c>
      <c r="F927" t="str">
        <f t="shared" si="10"/>
        <v>Italiano</v>
      </c>
      <c r="G927" s="32" t="s">
        <v>88</v>
      </c>
      <c r="H927" t="s">
        <v>28130</v>
      </c>
    </row>
    <row r="928" spans="2:8" x14ac:dyDescent="0.25">
      <c r="B928" s="41" t="s">
        <v>1066</v>
      </c>
      <c r="C928" s="429" t="s">
        <v>1953</v>
      </c>
      <c r="D928" s="430" t="s">
        <v>1956</v>
      </c>
      <c r="E928" s="430" t="s">
        <v>1957</v>
      </c>
      <c r="F928" t="str">
        <f t="shared" si="10"/>
        <v>Italiano</v>
      </c>
      <c r="G928" s="32" t="s">
        <v>88</v>
      </c>
      <c r="H928" t="s">
        <v>28131</v>
      </c>
    </row>
    <row r="929" spans="2:8" x14ac:dyDescent="0.25">
      <c r="B929" s="41" t="s">
        <v>1067</v>
      </c>
      <c r="C929" s="429" t="s">
        <v>1953</v>
      </c>
      <c r="D929" s="430" t="s">
        <v>1956</v>
      </c>
      <c r="E929" s="430" t="s">
        <v>1958</v>
      </c>
      <c r="F929" t="str">
        <f t="shared" si="10"/>
        <v>Italiano</v>
      </c>
      <c r="G929" s="32" t="s">
        <v>88</v>
      </c>
      <c r="H929" t="s">
        <v>28132</v>
      </c>
    </row>
    <row r="930" spans="2:8" x14ac:dyDescent="0.25">
      <c r="B930" s="41" t="s">
        <v>1065</v>
      </c>
      <c r="C930" s="429" t="s">
        <v>1953</v>
      </c>
      <c r="D930" s="430" t="s">
        <v>1956</v>
      </c>
      <c r="E930" s="430" t="s">
        <v>1959</v>
      </c>
      <c r="F930" t="str">
        <f t="shared" si="10"/>
        <v>Italiano</v>
      </c>
      <c r="G930" s="32" t="s">
        <v>88</v>
      </c>
      <c r="H930" t="s">
        <v>28133</v>
      </c>
    </row>
    <row r="931" spans="2:8" x14ac:dyDescent="0.25">
      <c r="B931" s="41" t="s">
        <v>1068</v>
      </c>
      <c r="C931" s="429" t="s">
        <v>1953</v>
      </c>
      <c r="D931" s="430" t="s">
        <v>1960</v>
      </c>
      <c r="E931" s="430" t="s">
        <v>1392</v>
      </c>
      <c r="F931" t="str">
        <f t="shared" si="10"/>
        <v>Italiano</v>
      </c>
      <c r="G931" s="32" t="s">
        <v>88</v>
      </c>
      <c r="H931" t="s">
        <v>28134</v>
      </c>
    </row>
    <row r="932" spans="2:8" x14ac:dyDescent="0.25">
      <c r="B932" s="41" t="s">
        <v>1069</v>
      </c>
      <c r="C932" s="429" t="s">
        <v>1953</v>
      </c>
      <c r="D932" s="430" t="s">
        <v>1960</v>
      </c>
      <c r="E932" s="430" t="s">
        <v>1961</v>
      </c>
      <c r="F932" t="str">
        <f t="shared" si="10"/>
        <v>Italiano</v>
      </c>
      <c r="G932" s="32" t="s">
        <v>88</v>
      </c>
      <c r="H932" t="s">
        <v>28135</v>
      </c>
    </row>
    <row r="933" spans="2:8" x14ac:dyDescent="0.25">
      <c r="B933" s="41" t="s">
        <v>1068</v>
      </c>
      <c r="C933" s="429" t="s">
        <v>1953</v>
      </c>
      <c r="D933" s="430" t="s">
        <v>1960</v>
      </c>
      <c r="E933" s="430" t="s">
        <v>1962</v>
      </c>
      <c r="F933" t="str">
        <f t="shared" si="10"/>
        <v>Italiano</v>
      </c>
      <c r="G933" s="32" t="s">
        <v>88</v>
      </c>
      <c r="H933" t="s">
        <v>28136</v>
      </c>
    </row>
    <row r="934" spans="2:8" x14ac:dyDescent="0.25">
      <c r="B934" s="41" t="s">
        <v>1070</v>
      </c>
      <c r="C934" s="429" t="s">
        <v>456</v>
      </c>
      <c r="D934" s="430" t="s">
        <v>1963</v>
      </c>
      <c r="E934" s="430" t="s">
        <v>1392</v>
      </c>
      <c r="F934" t="str">
        <f t="shared" si="10"/>
        <v>Italiano</v>
      </c>
      <c r="G934" s="32" t="s">
        <v>88</v>
      </c>
      <c r="H934" t="s">
        <v>28137</v>
      </c>
    </row>
    <row r="935" spans="2:8" x14ac:dyDescent="0.25">
      <c r="B935" s="41" t="s">
        <v>1071</v>
      </c>
      <c r="C935" s="429" t="s">
        <v>456</v>
      </c>
      <c r="D935" s="430" t="s">
        <v>1963</v>
      </c>
      <c r="E935" s="430" t="s">
        <v>1964</v>
      </c>
      <c r="F935" t="str">
        <f t="shared" si="10"/>
        <v>Italiano</v>
      </c>
      <c r="G935" s="32" t="s">
        <v>88</v>
      </c>
      <c r="H935" t="s">
        <v>28138</v>
      </c>
    </row>
    <row r="936" spans="2:8" x14ac:dyDescent="0.25">
      <c r="B936" s="41" t="s">
        <v>1070</v>
      </c>
      <c r="C936" s="429" t="s">
        <v>456</v>
      </c>
      <c r="D936" s="430" t="s">
        <v>1963</v>
      </c>
      <c r="E936" s="430" t="s">
        <v>1965</v>
      </c>
      <c r="F936" t="str">
        <f t="shared" si="10"/>
        <v>Italiano</v>
      </c>
      <c r="G936" s="32" t="s">
        <v>88</v>
      </c>
      <c r="H936" t="s">
        <v>28139</v>
      </c>
    </row>
    <row r="937" spans="2:8" x14ac:dyDescent="0.25">
      <c r="B937" s="41" t="s">
        <v>1072</v>
      </c>
      <c r="C937" s="429" t="s">
        <v>456</v>
      </c>
      <c r="D937" s="430" t="s">
        <v>1963</v>
      </c>
      <c r="E937" s="430" t="s">
        <v>1966</v>
      </c>
      <c r="F937" t="str">
        <f t="shared" si="10"/>
        <v>Italiano</v>
      </c>
      <c r="G937" s="32" t="s">
        <v>88</v>
      </c>
      <c r="H937" t="s">
        <v>28140</v>
      </c>
    </row>
    <row r="938" spans="2:8" x14ac:dyDescent="0.25">
      <c r="B938" s="41" t="s">
        <v>1073</v>
      </c>
      <c r="C938" s="429" t="s">
        <v>456</v>
      </c>
      <c r="D938" s="430" t="s">
        <v>1963</v>
      </c>
      <c r="E938" s="430" t="s">
        <v>1967</v>
      </c>
      <c r="F938" t="str">
        <f t="shared" si="10"/>
        <v>Italiano</v>
      </c>
      <c r="G938" s="32" t="s">
        <v>88</v>
      </c>
      <c r="H938" t="s">
        <v>28141</v>
      </c>
    </row>
    <row r="939" spans="2:8" x14ac:dyDescent="0.25">
      <c r="B939" s="41" t="s">
        <v>1074</v>
      </c>
      <c r="C939" s="429" t="s">
        <v>456</v>
      </c>
      <c r="D939" s="430" t="s">
        <v>1963</v>
      </c>
      <c r="E939" s="430" t="s">
        <v>1968</v>
      </c>
      <c r="F939" t="str">
        <f t="shared" si="10"/>
        <v>Italiano</v>
      </c>
      <c r="G939" s="32" t="s">
        <v>88</v>
      </c>
      <c r="H939" t="s">
        <v>28142</v>
      </c>
    </row>
    <row r="940" spans="2:8" x14ac:dyDescent="0.25">
      <c r="B940" s="41" t="s">
        <v>1075</v>
      </c>
      <c r="C940" s="429" t="s">
        <v>456</v>
      </c>
      <c r="D940" s="430" t="s">
        <v>1963</v>
      </c>
      <c r="E940" s="430" t="s">
        <v>1969</v>
      </c>
      <c r="F940" t="str">
        <f t="shared" si="10"/>
        <v>Italiano</v>
      </c>
      <c r="G940" s="32" t="s">
        <v>88</v>
      </c>
      <c r="H940" t="s">
        <v>28143</v>
      </c>
    </row>
    <row r="941" spans="2:8" x14ac:dyDescent="0.25">
      <c r="B941" s="41" t="s">
        <v>1076</v>
      </c>
      <c r="C941" s="429" t="s">
        <v>456</v>
      </c>
      <c r="D941" s="430" t="s">
        <v>1963</v>
      </c>
      <c r="E941" s="430" t="s">
        <v>1719</v>
      </c>
      <c r="F941" t="str">
        <f t="shared" si="10"/>
        <v>Italiano</v>
      </c>
      <c r="G941" s="32" t="s">
        <v>88</v>
      </c>
      <c r="H941" t="s">
        <v>28144</v>
      </c>
    </row>
    <row r="942" spans="2:8" x14ac:dyDescent="0.25">
      <c r="B942" s="41" t="s">
        <v>1077</v>
      </c>
      <c r="C942" s="429" t="s">
        <v>456</v>
      </c>
      <c r="D942" s="430" t="s">
        <v>1963</v>
      </c>
      <c r="E942" s="430" t="s">
        <v>1970</v>
      </c>
      <c r="F942" t="str">
        <f t="shared" si="10"/>
        <v>Italiano</v>
      </c>
      <c r="G942" s="32" t="s">
        <v>88</v>
      </c>
      <c r="H942" t="s">
        <v>28145</v>
      </c>
    </row>
    <row r="943" spans="2:8" x14ac:dyDescent="0.25">
      <c r="B943" s="41" t="s">
        <v>1078</v>
      </c>
      <c r="C943" s="429" t="s">
        <v>456</v>
      </c>
      <c r="D943" s="430" t="s">
        <v>1721</v>
      </c>
      <c r="E943" s="430" t="s">
        <v>1392</v>
      </c>
      <c r="F943" t="str">
        <f t="shared" si="10"/>
        <v>Italiano</v>
      </c>
      <c r="G943" s="32" t="s">
        <v>88</v>
      </c>
      <c r="H943" t="s">
        <v>28146</v>
      </c>
    </row>
    <row r="944" spans="2:8" x14ac:dyDescent="0.25">
      <c r="B944" s="41" t="s">
        <v>1079</v>
      </c>
      <c r="C944" s="429" t="s">
        <v>456</v>
      </c>
      <c r="D944" s="430" t="s">
        <v>1721</v>
      </c>
      <c r="E944" s="430" t="s">
        <v>1971</v>
      </c>
      <c r="F944" t="str">
        <f t="shared" si="10"/>
        <v>Italiano</v>
      </c>
      <c r="G944" s="32" t="s">
        <v>88</v>
      </c>
      <c r="H944" t="s">
        <v>28147</v>
      </c>
    </row>
    <row r="945" spans="2:8" x14ac:dyDescent="0.25">
      <c r="B945" s="41" t="s">
        <v>1080</v>
      </c>
      <c r="C945" s="429" t="s">
        <v>456</v>
      </c>
      <c r="D945" s="430" t="s">
        <v>1721</v>
      </c>
      <c r="E945" s="430" t="s">
        <v>1971</v>
      </c>
      <c r="F945" t="str">
        <f t="shared" si="10"/>
        <v>Italiano</v>
      </c>
      <c r="G945" s="32" t="s">
        <v>88</v>
      </c>
      <c r="H945" t="s">
        <v>28148</v>
      </c>
    </row>
    <row r="946" spans="2:8" x14ac:dyDescent="0.25">
      <c r="B946" s="41" t="s">
        <v>1081</v>
      </c>
      <c r="C946" s="429" t="s">
        <v>456</v>
      </c>
      <c r="D946" s="430" t="s">
        <v>1721</v>
      </c>
      <c r="E946" s="430" t="s">
        <v>1972</v>
      </c>
      <c r="F946" t="str">
        <f t="shared" si="10"/>
        <v>Italiano</v>
      </c>
      <c r="G946" s="32" t="s">
        <v>88</v>
      </c>
      <c r="H946" t="s">
        <v>28149</v>
      </c>
    </row>
    <row r="947" spans="2:8" x14ac:dyDescent="0.25">
      <c r="B947" s="41" t="s">
        <v>1082</v>
      </c>
      <c r="C947" s="429" t="s">
        <v>456</v>
      </c>
      <c r="D947" s="430" t="s">
        <v>1721</v>
      </c>
      <c r="E947" s="430" t="s">
        <v>1973</v>
      </c>
      <c r="F947" t="str">
        <f t="shared" si="10"/>
        <v>Italiano</v>
      </c>
      <c r="G947" s="32" t="s">
        <v>88</v>
      </c>
      <c r="H947" t="s">
        <v>28150</v>
      </c>
    </row>
    <row r="948" spans="2:8" x14ac:dyDescent="0.25">
      <c r="B948" s="41" t="s">
        <v>1083</v>
      </c>
      <c r="C948" s="429" t="s">
        <v>456</v>
      </c>
      <c r="D948" s="430" t="s">
        <v>1721</v>
      </c>
      <c r="E948" s="430" t="s">
        <v>1974</v>
      </c>
      <c r="F948" t="str">
        <f t="shared" ref="F948:F1006" si="11">Italian</f>
        <v>Italiano</v>
      </c>
      <c r="G948" s="32" t="s">
        <v>88</v>
      </c>
      <c r="H948" t="s">
        <v>28151</v>
      </c>
    </row>
    <row r="949" spans="2:8" x14ac:dyDescent="0.25">
      <c r="B949" s="41" t="s">
        <v>1084</v>
      </c>
      <c r="C949" s="429" t="s">
        <v>456</v>
      </c>
      <c r="D949" s="430" t="s">
        <v>1721</v>
      </c>
      <c r="E949" s="430" t="s">
        <v>1975</v>
      </c>
      <c r="F949" t="str">
        <f t="shared" si="11"/>
        <v>Italiano</v>
      </c>
      <c r="G949" s="32" t="s">
        <v>88</v>
      </c>
      <c r="H949" t="s">
        <v>28152</v>
      </c>
    </row>
    <row r="950" spans="2:8" x14ac:dyDescent="0.25">
      <c r="B950" s="41" t="s">
        <v>1085</v>
      </c>
      <c r="C950" s="429" t="s">
        <v>456</v>
      </c>
      <c r="D950" s="430" t="s">
        <v>1721</v>
      </c>
      <c r="E950" s="430" t="s">
        <v>1976</v>
      </c>
      <c r="F950" t="str">
        <f t="shared" si="11"/>
        <v>Italiano</v>
      </c>
      <c r="G950" s="32" t="s">
        <v>88</v>
      </c>
      <c r="H950" t="s">
        <v>28153</v>
      </c>
    </row>
    <row r="951" spans="2:8" x14ac:dyDescent="0.25">
      <c r="B951" s="41" t="s">
        <v>1086</v>
      </c>
      <c r="C951" s="429" t="s">
        <v>456</v>
      </c>
      <c r="D951" s="430" t="s">
        <v>1721</v>
      </c>
      <c r="E951" s="430" t="s">
        <v>1977</v>
      </c>
      <c r="F951" t="str">
        <f t="shared" si="11"/>
        <v>Italiano</v>
      </c>
      <c r="G951" s="32" t="s">
        <v>88</v>
      </c>
      <c r="H951" t="s">
        <v>28154</v>
      </c>
    </row>
    <row r="952" spans="2:8" x14ac:dyDescent="0.25">
      <c r="B952" s="41" t="s">
        <v>1087</v>
      </c>
      <c r="C952" s="429" t="s">
        <v>456</v>
      </c>
      <c r="D952" s="430" t="s">
        <v>1721</v>
      </c>
      <c r="E952" s="430" t="s">
        <v>1978</v>
      </c>
      <c r="F952" t="str">
        <f t="shared" si="11"/>
        <v>Italiano</v>
      </c>
      <c r="G952" s="32" t="s">
        <v>88</v>
      </c>
      <c r="H952" t="s">
        <v>28155</v>
      </c>
    </row>
    <row r="953" spans="2:8" x14ac:dyDescent="0.25">
      <c r="B953" s="41" t="s">
        <v>1088</v>
      </c>
      <c r="C953" s="429" t="s">
        <v>456</v>
      </c>
      <c r="D953" s="430" t="s">
        <v>1979</v>
      </c>
      <c r="E953" s="430" t="s">
        <v>1981</v>
      </c>
      <c r="F953" t="str">
        <f t="shared" si="11"/>
        <v>Italiano</v>
      </c>
      <c r="G953" s="32" t="s">
        <v>88</v>
      </c>
      <c r="H953" t="s">
        <v>28156</v>
      </c>
    </row>
    <row r="954" spans="2:8" x14ac:dyDescent="0.25">
      <c r="B954" s="41" t="s">
        <v>1072</v>
      </c>
      <c r="C954" s="429" t="s">
        <v>456</v>
      </c>
      <c r="D954" s="430" t="s">
        <v>1979</v>
      </c>
      <c r="E954" s="430" t="s">
        <v>1980</v>
      </c>
      <c r="F954" t="str">
        <f t="shared" si="11"/>
        <v>Italiano</v>
      </c>
      <c r="G954" s="32" t="s">
        <v>88</v>
      </c>
      <c r="H954" t="s">
        <v>28157</v>
      </c>
    </row>
    <row r="955" spans="2:8" x14ac:dyDescent="0.25">
      <c r="B955" s="41" t="s">
        <v>1089</v>
      </c>
      <c r="C955" s="429" t="s">
        <v>456</v>
      </c>
      <c r="D955" s="430" t="s">
        <v>1979</v>
      </c>
      <c r="E955" s="430" t="s">
        <v>1982</v>
      </c>
      <c r="F955" t="str">
        <f t="shared" si="11"/>
        <v>Italiano</v>
      </c>
      <c r="G955" s="32" t="s">
        <v>88</v>
      </c>
      <c r="H955" t="s">
        <v>28158</v>
      </c>
    </row>
    <row r="956" spans="2:8" x14ac:dyDescent="0.25">
      <c r="B956" s="41" t="s">
        <v>1090</v>
      </c>
      <c r="C956" s="429" t="s">
        <v>456</v>
      </c>
      <c r="D956" s="430" t="s">
        <v>1979</v>
      </c>
      <c r="E956" s="430" t="s">
        <v>1983</v>
      </c>
      <c r="F956" t="str">
        <f t="shared" si="11"/>
        <v>Italiano</v>
      </c>
      <c r="G956" s="32" t="s">
        <v>88</v>
      </c>
      <c r="H956" t="s">
        <v>28159</v>
      </c>
    </row>
    <row r="957" spans="2:8" x14ac:dyDescent="0.25">
      <c r="B957" s="41" t="s">
        <v>1091</v>
      </c>
      <c r="C957" s="429" t="s">
        <v>456</v>
      </c>
      <c r="D957" s="430" t="s">
        <v>1979</v>
      </c>
      <c r="E957" s="430" t="s">
        <v>1984</v>
      </c>
      <c r="F957" t="str">
        <f t="shared" si="11"/>
        <v>Italiano</v>
      </c>
      <c r="G957" s="32" t="s">
        <v>88</v>
      </c>
      <c r="H957" t="s">
        <v>28160</v>
      </c>
    </row>
    <row r="958" spans="2:8" x14ac:dyDescent="0.25">
      <c r="B958" s="41" t="s">
        <v>1092</v>
      </c>
      <c r="C958" s="429" t="s">
        <v>456</v>
      </c>
      <c r="D958" s="430" t="s">
        <v>1979</v>
      </c>
      <c r="E958" s="430" t="s">
        <v>1985</v>
      </c>
      <c r="F958" t="str">
        <f t="shared" si="11"/>
        <v>Italiano</v>
      </c>
      <c r="G958" s="32" t="s">
        <v>88</v>
      </c>
      <c r="H958" t="s">
        <v>28161</v>
      </c>
    </row>
    <row r="959" spans="2:8" x14ac:dyDescent="0.25">
      <c r="B959" s="41" t="s">
        <v>1093</v>
      </c>
      <c r="C959" s="429" t="s">
        <v>456</v>
      </c>
      <c r="D959" s="430" t="s">
        <v>1979</v>
      </c>
      <c r="E959" s="430" t="s">
        <v>1708</v>
      </c>
      <c r="F959" t="str">
        <f t="shared" si="11"/>
        <v>Italiano</v>
      </c>
      <c r="G959" s="32" t="s">
        <v>88</v>
      </c>
      <c r="H959" t="s">
        <v>28162</v>
      </c>
    </row>
    <row r="960" spans="2:8" x14ac:dyDescent="0.25">
      <c r="B960" s="41" t="s">
        <v>1094</v>
      </c>
      <c r="C960" s="429" t="s">
        <v>456</v>
      </c>
      <c r="D960" s="430" t="s">
        <v>1979</v>
      </c>
      <c r="E960" s="430" t="s">
        <v>1986</v>
      </c>
      <c r="F960" t="str">
        <f t="shared" si="11"/>
        <v>Italiano</v>
      </c>
      <c r="G960" s="32" t="s">
        <v>88</v>
      </c>
      <c r="H960" t="s">
        <v>28163</v>
      </c>
    </row>
    <row r="961" spans="2:8" x14ac:dyDescent="0.25">
      <c r="B961" s="41" t="s">
        <v>1095</v>
      </c>
      <c r="C961" s="429" t="s">
        <v>456</v>
      </c>
      <c r="D961" s="430" t="s">
        <v>1979</v>
      </c>
      <c r="E961" s="430" t="s">
        <v>1987</v>
      </c>
      <c r="F961" t="str">
        <f t="shared" si="11"/>
        <v>Italiano</v>
      </c>
      <c r="G961" s="32" t="s">
        <v>88</v>
      </c>
      <c r="H961" t="s">
        <v>28164</v>
      </c>
    </row>
    <row r="962" spans="2:8" x14ac:dyDescent="0.25">
      <c r="B962" s="41" t="s">
        <v>1096</v>
      </c>
      <c r="C962" s="429" t="s">
        <v>456</v>
      </c>
      <c r="D962" s="430" t="s">
        <v>1979</v>
      </c>
      <c r="E962" s="430" t="s">
        <v>1988</v>
      </c>
      <c r="F962" t="str">
        <f t="shared" si="11"/>
        <v>Italiano</v>
      </c>
      <c r="G962" s="32" t="s">
        <v>88</v>
      </c>
      <c r="H962" t="s">
        <v>28165</v>
      </c>
    </row>
    <row r="963" spans="2:8" x14ac:dyDescent="0.25">
      <c r="B963" s="41" t="s">
        <v>1097</v>
      </c>
      <c r="C963" s="429" t="s">
        <v>456</v>
      </c>
      <c r="D963" s="430" t="s">
        <v>1979</v>
      </c>
      <c r="E963" s="430" t="s">
        <v>1989</v>
      </c>
      <c r="F963" t="str">
        <f t="shared" si="11"/>
        <v>Italiano</v>
      </c>
      <c r="G963" s="32" t="s">
        <v>88</v>
      </c>
      <c r="H963" t="s">
        <v>28166</v>
      </c>
    </row>
    <row r="964" spans="2:8" x14ac:dyDescent="0.25">
      <c r="B964" s="41" t="s">
        <v>1098</v>
      </c>
      <c r="C964" s="429" t="s">
        <v>456</v>
      </c>
      <c r="D964" s="430" t="s">
        <v>1979</v>
      </c>
      <c r="E964" s="430" t="s">
        <v>1990</v>
      </c>
      <c r="F964" t="str">
        <f t="shared" si="11"/>
        <v>Italiano</v>
      </c>
      <c r="G964" s="32" t="s">
        <v>88</v>
      </c>
      <c r="H964" t="s">
        <v>28167</v>
      </c>
    </row>
    <row r="965" spans="2:8" x14ac:dyDescent="0.25">
      <c r="B965" s="41" t="s">
        <v>1099</v>
      </c>
      <c r="C965" s="429" t="s">
        <v>456</v>
      </c>
      <c r="D965" s="430" t="s">
        <v>1979</v>
      </c>
      <c r="E965" s="430" t="s">
        <v>1991</v>
      </c>
      <c r="F965" t="str">
        <f t="shared" si="11"/>
        <v>Italiano</v>
      </c>
      <c r="G965" s="32" t="s">
        <v>88</v>
      </c>
      <c r="H965" t="s">
        <v>28168</v>
      </c>
    </row>
    <row r="966" spans="2:8" x14ac:dyDescent="0.25">
      <c r="B966" s="41" t="s">
        <v>1100</v>
      </c>
      <c r="C966" s="429" t="s">
        <v>456</v>
      </c>
      <c r="D966" s="430" t="s">
        <v>1979</v>
      </c>
      <c r="E966" s="430" t="s">
        <v>1992</v>
      </c>
      <c r="F966" t="str">
        <f t="shared" si="11"/>
        <v>Italiano</v>
      </c>
      <c r="G966" s="32" t="s">
        <v>88</v>
      </c>
      <c r="H966" t="s">
        <v>28169</v>
      </c>
    </row>
    <row r="967" spans="2:8" x14ac:dyDescent="0.25">
      <c r="B967" s="41" t="s">
        <v>1101</v>
      </c>
      <c r="C967" s="429" t="s">
        <v>456</v>
      </c>
      <c r="D967" s="430" t="s">
        <v>1979</v>
      </c>
      <c r="E967" s="430" t="s">
        <v>1993</v>
      </c>
      <c r="F967" t="str">
        <f t="shared" si="11"/>
        <v>Italiano</v>
      </c>
      <c r="G967" s="32" t="s">
        <v>88</v>
      </c>
      <c r="H967" t="s">
        <v>28170</v>
      </c>
    </row>
    <row r="968" spans="2:8" x14ac:dyDescent="0.25">
      <c r="B968" s="41" t="s">
        <v>1102</v>
      </c>
      <c r="C968" s="429" t="s">
        <v>456</v>
      </c>
      <c r="D968" s="430" t="s">
        <v>1979</v>
      </c>
      <c r="E968" s="430" t="s">
        <v>1754</v>
      </c>
      <c r="F968" t="str">
        <f t="shared" si="11"/>
        <v>Italiano</v>
      </c>
      <c r="G968" s="32" t="s">
        <v>88</v>
      </c>
      <c r="H968" t="s">
        <v>28171</v>
      </c>
    </row>
    <row r="969" spans="2:8" x14ac:dyDescent="0.25">
      <c r="B969" s="41" t="s">
        <v>1103</v>
      </c>
      <c r="C969" s="429" t="s">
        <v>456</v>
      </c>
      <c r="D969" s="430" t="s">
        <v>1979</v>
      </c>
      <c r="E969" s="430" t="s">
        <v>1351</v>
      </c>
      <c r="F969" t="str">
        <f t="shared" si="11"/>
        <v>Italiano</v>
      </c>
      <c r="G969" s="32" t="s">
        <v>88</v>
      </c>
      <c r="H969" t="s">
        <v>28172</v>
      </c>
    </row>
    <row r="970" spans="2:8" x14ac:dyDescent="0.25">
      <c r="B970" s="41" t="s">
        <v>1104</v>
      </c>
      <c r="C970" s="429" t="s">
        <v>456</v>
      </c>
      <c r="D970" s="430" t="s">
        <v>1979</v>
      </c>
      <c r="E970" s="430" t="s">
        <v>1994</v>
      </c>
      <c r="F970" t="str">
        <f t="shared" si="11"/>
        <v>Italiano</v>
      </c>
      <c r="G970" s="32" t="s">
        <v>88</v>
      </c>
      <c r="H970" t="s">
        <v>28173</v>
      </c>
    </row>
    <row r="971" spans="2:8" x14ac:dyDescent="0.25">
      <c r="B971" s="41" t="s">
        <v>1105</v>
      </c>
      <c r="C971" s="429" t="s">
        <v>456</v>
      </c>
      <c r="D971" s="430" t="s">
        <v>1979</v>
      </c>
      <c r="E971" s="430" t="s">
        <v>1353</v>
      </c>
      <c r="F971" t="str">
        <f t="shared" si="11"/>
        <v>Italiano</v>
      </c>
      <c r="G971" s="32" t="s">
        <v>88</v>
      </c>
      <c r="H971" t="s">
        <v>28174</v>
      </c>
    </row>
    <row r="972" spans="2:8" x14ac:dyDescent="0.25">
      <c r="B972" s="41" t="s">
        <v>1106</v>
      </c>
      <c r="C972" s="429" t="s">
        <v>456</v>
      </c>
      <c r="D972" s="430" t="s">
        <v>1979</v>
      </c>
      <c r="E972" s="430" t="s">
        <v>1995</v>
      </c>
      <c r="F972" t="str">
        <f t="shared" si="11"/>
        <v>Italiano</v>
      </c>
      <c r="G972" s="32" t="s">
        <v>88</v>
      </c>
      <c r="H972" t="s">
        <v>28175</v>
      </c>
    </row>
    <row r="973" spans="2:8" x14ac:dyDescent="0.25">
      <c r="B973" s="41" t="s">
        <v>1107</v>
      </c>
      <c r="C973" s="429" t="s">
        <v>456</v>
      </c>
      <c r="D973" s="430" t="s">
        <v>1979</v>
      </c>
      <c r="E973" s="430" t="s">
        <v>1996</v>
      </c>
      <c r="F973" t="str">
        <f t="shared" si="11"/>
        <v>Italiano</v>
      </c>
      <c r="G973" s="32" t="s">
        <v>88</v>
      </c>
      <c r="H973" t="s">
        <v>28176</v>
      </c>
    </row>
    <row r="974" spans="2:8" x14ac:dyDescent="0.25">
      <c r="B974" s="41" t="s">
        <v>1108</v>
      </c>
      <c r="C974" s="429" t="s">
        <v>456</v>
      </c>
      <c r="D974" s="430" t="s">
        <v>1979</v>
      </c>
      <c r="E974" s="430" t="s">
        <v>1997</v>
      </c>
      <c r="F974" t="str">
        <f t="shared" si="11"/>
        <v>Italiano</v>
      </c>
      <c r="G974" s="32" t="s">
        <v>88</v>
      </c>
      <c r="H974" t="s">
        <v>28177</v>
      </c>
    </row>
    <row r="975" spans="2:8" x14ac:dyDescent="0.25">
      <c r="B975" s="41" t="s">
        <v>1109</v>
      </c>
      <c r="C975" s="429" t="s">
        <v>456</v>
      </c>
      <c r="D975" s="430" t="s">
        <v>1979</v>
      </c>
      <c r="E975" s="430" t="s">
        <v>1998</v>
      </c>
      <c r="F975" t="str">
        <f t="shared" si="11"/>
        <v>Italiano</v>
      </c>
      <c r="G975" s="32" t="s">
        <v>88</v>
      </c>
      <c r="H975" t="s">
        <v>28178</v>
      </c>
    </row>
    <row r="976" spans="2:8" x14ac:dyDescent="0.25">
      <c r="B976" s="41" t="s">
        <v>1110</v>
      </c>
      <c r="C976" s="429" t="s">
        <v>456</v>
      </c>
      <c r="D976" s="430" t="s">
        <v>1979</v>
      </c>
      <c r="E976" s="430" t="s">
        <v>1999</v>
      </c>
      <c r="F976" t="str">
        <f t="shared" si="11"/>
        <v>Italiano</v>
      </c>
      <c r="G976" s="32" t="s">
        <v>88</v>
      </c>
      <c r="H976" t="s">
        <v>28179</v>
      </c>
    </row>
    <row r="977" spans="2:8" x14ac:dyDescent="0.25">
      <c r="B977" s="41" t="s">
        <v>1111</v>
      </c>
      <c r="C977" s="429" t="s">
        <v>456</v>
      </c>
      <c r="D977" s="430" t="s">
        <v>1979</v>
      </c>
      <c r="E977" s="430" t="s">
        <v>2000</v>
      </c>
      <c r="F977" t="str">
        <f t="shared" si="11"/>
        <v>Italiano</v>
      </c>
      <c r="G977" s="32" t="s">
        <v>88</v>
      </c>
      <c r="H977" t="s">
        <v>28180</v>
      </c>
    </row>
    <row r="978" spans="2:8" x14ac:dyDescent="0.25">
      <c r="B978" s="41" t="s">
        <v>1112</v>
      </c>
      <c r="C978" s="429" t="s">
        <v>456</v>
      </c>
      <c r="D978" s="430" t="s">
        <v>1979</v>
      </c>
      <c r="E978" s="430" t="s">
        <v>2001</v>
      </c>
      <c r="F978" t="str">
        <f t="shared" si="11"/>
        <v>Italiano</v>
      </c>
      <c r="G978" s="32" t="s">
        <v>88</v>
      </c>
      <c r="H978" t="s">
        <v>28181</v>
      </c>
    </row>
    <row r="979" spans="2:8" x14ac:dyDescent="0.25">
      <c r="B979" s="41" t="s">
        <v>1113</v>
      </c>
      <c r="C979" s="429" t="s">
        <v>2002</v>
      </c>
      <c r="D979" s="430" t="s">
        <v>2003</v>
      </c>
      <c r="E979" s="430" t="s">
        <v>1392</v>
      </c>
      <c r="F979" t="str">
        <f t="shared" si="11"/>
        <v>Italiano</v>
      </c>
      <c r="G979" s="32" t="s">
        <v>88</v>
      </c>
      <c r="H979" t="s">
        <v>28182</v>
      </c>
    </row>
    <row r="980" spans="2:8" x14ac:dyDescent="0.25">
      <c r="B980" s="41" t="s">
        <v>1114</v>
      </c>
      <c r="C980" s="429" t="s">
        <v>2002</v>
      </c>
      <c r="D980" s="430" t="s">
        <v>2004</v>
      </c>
      <c r="E980" s="430" t="s">
        <v>1392</v>
      </c>
      <c r="F980" t="str">
        <f t="shared" si="11"/>
        <v>Italiano</v>
      </c>
      <c r="G980" s="32" t="s">
        <v>88</v>
      </c>
      <c r="H980" t="s">
        <v>28183</v>
      </c>
    </row>
    <row r="981" spans="2:8" x14ac:dyDescent="0.25">
      <c r="B981" s="41" t="s">
        <v>1115</v>
      </c>
      <c r="C981" s="429" t="s">
        <v>2002</v>
      </c>
      <c r="D981" s="430" t="s">
        <v>2005</v>
      </c>
      <c r="E981" s="430" t="s">
        <v>1392</v>
      </c>
      <c r="F981" t="str">
        <f t="shared" si="11"/>
        <v>Italiano</v>
      </c>
      <c r="G981" s="32" t="s">
        <v>88</v>
      </c>
      <c r="H981" t="s">
        <v>28184</v>
      </c>
    </row>
    <row r="982" spans="2:8" x14ac:dyDescent="0.25">
      <c r="B982" s="41" t="s">
        <v>1116</v>
      </c>
      <c r="C982" s="429" t="s">
        <v>2002</v>
      </c>
      <c r="D982" s="430" t="s">
        <v>2006</v>
      </c>
      <c r="E982" s="430" t="s">
        <v>1392</v>
      </c>
      <c r="F982" t="str">
        <f t="shared" si="11"/>
        <v>Italiano</v>
      </c>
      <c r="G982" s="32" t="s">
        <v>88</v>
      </c>
      <c r="H982" t="s">
        <v>28185</v>
      </c>
    </row>
    <row r="983" spans="2:8" x14ac:dyDescent="0.25">
      <c r="B983" s="41" t="s">
        <v>1117</v>
      </c>
      <c r="C983" s="429" t="s">
        <v>2002</v>
      </c>
      <c r="D983" s="430" t="s">
        <v>2007</v>
      </c>
      <c r="E983" s="430" t="s">
        <v>1392</v>
      </c>
      <c r="F983" t="str">
        <f t="shared" si="11"/>
        <v>Italiano</v>
      </c>
      <c r="G983" s="32" t="s">
        <v>88</v>
      </c>
      <c r="H983" t="s">
        <v>28186</v>
      </c>
    </row>
    <row r="984" spans="2:8" x14ac:dyDescent="0.25">
      <c r="B984" s="41" t="s">
        <v>1118</v>
      </c>
      <c r="C984" s="429" t="s">
        <v>2002</v>
      </c>
      <c r="D984" s="430" t="s">
        <v>2008</v>
      </c>
      <c r="E984" s="430" t="s">
        <v>1392</v>
      </c>
      <c r="F984" t="str">
        <f t="shared" si="11"/>
        <v>Italiano</v>
      </c>
      <c r="G984" s="32" t="s">
        <v>88</v>
      </c>
      <c r="H984" t="s">
        <v>28187</v>
      </c>
    </row>
    <row r="985" spans="2:8" x14ac:dyDescent="0.25">
      <c r="B985" s="41" t="s">
        <v>1119</v>
      </c>
      <c r="C985" s="429" t="s">
        <v>2009</v>
      </c>
      <c r="D985" s="430" t="s">
        <v>27754</v>
      </c>
      <c r="E985" s="430" t="s">
        <v>1392</v>
      </c>
      <c r="F985" t="str">
        <f t="shared" si="11"/>
        <v>Italiano</v>
      </c>
      <c r="G985" s="32" t="s">
        <v>88</v>
      </c>
      <c r="H985" t="s">
        <v>28188</v>
      </c>
    </row>
    <row r="986" spans="2:8" x14ac:dyDescent="0.25">
      <c r="B986" s="41" t="s">
        <v>1120</v>
      </c>
      <c r="C986" s="429" t="s">
        <v>2009</v>
      </c>
      <c r="D986" s="430" t="s">
        <v>2010</v>
      </c>
      <c r="E986" s="430" t="s">
        <v>2010</v>
      </c>
      <c r="F986" t="str">
        <f t="shared" si="11"/>
        <v>Italiano</v>
      </c>
      <c r="G986" s="32" t="s">
        <v>88</v>
      </c>
      <c r="H986" t="s">
        <v>28189</v>
      </c>
    </row>
    <row r="987" spans="2:8" x14ac:dyDescent="0.25">
      <c r="B987" s="41" t="s">
        <v>1121</v>
      </c>
      <c r="C987" s="429" t="s">
        <v>2009</v>
      </c>
      <c r="D987" s="430" t="s">
        <v>2010</v>
      </c>
      <c r="E987" s="430" t="s">
        <v>2011</v>
      </c>
      <c r="F987" t="str">
        <f t="shared" si="11"/>
        <v>Italiano</v>
      </c>
      <c r="G987" s="32" t="s">
        <v>88</v>
      </c>
      <c r="H987" t="s">
        <v>28190</v>
      </c>
    </row>
    <row r="988" spans="2:8" x14ac:dyDescent="0.25">
      <c r="B988" s="41" t="s">
        <v>1119</v>
      </c>
      <c r="C988" s="429" t="s">
        <v>2009</v>
      </c>
      <c r="D988" s="430" t="s">
        <v>2010</v>
      </c>
      <c r="E988" s="430" t="s">
        <v>2012</v>
      </c>
      <c r="F988" t="str">
        <f t="shared" si="11"/>
        <v>Italiano</v>
      </c>
      <c r="G988" s="32" t="s">
        <v>88</v>
      </c>
      <c r="H988" t="s">
        <v>28191</v>
      </c>
    </row>
    <row r="989" spans="2:8" x14ac:dyDescent="0.25">
      <c r="B989" s="41" t="s">
        <v>1122</v>
      </c>
      <c r="C989" s="429" t="s">
        <v>2009</v>
      </c>
      <c r="D989" s="430" t="s">
        <v>2010</v>
      </c>
      <c r="E989" s="430" t="s">
        <v>2013</v>
      </c>
      <c r="F989" t="str">
        <f t="shared" si="11"/>
        <v>Italiano</v>
      </c>
      <c r="G989" s="32" t="s">
        <v>88</v>
      </c>
      <c r="H989" t="s">
        <v>28192</v>
      </c>
    </row>
    <row r="990" spans="2:8" x14ac:dyDescent="0.25">
      <c r="B990" s="41" t="s">
        <v>1123</v>
      </c>
      <c r="C990" s="429" t="s">
        <v>2009</v>
      </c>
      <c r="D990" s="430" t="s">
        <v>2014</v>
      </c>
      <c r="E990" s="430" t="s">
        <v>2015</v>
      </c>
      <c r="F990" t="str">
        <f t="shared" si="11"/>
        <v>Italiano</v>
      </c>
      <c r="G990" s="32" t="s">
        <v>88</v>
      </c>
      <c r="H990" t="s">
        <v>28193</v>
      </c>
    </row>
    <row r="991" spans="2:8" x14ac:dyDescent="0.25">
      <c r="B991" s="41" t="s">
        <v>1124</v>
      </c>
      <c r="C991" s="429" t="s">
        <v>2009</v>
      </c>
      <c r="D991" s="430" t="s">
        <v>2014</v>
      </c>
      <c r="E991" s="430" t="s">
        <v>2016</v>
      </c>
      <c r="F991" t="str">
        <f t="shared" si="11"/>
        <v>Italiano</v>
      </c>
      <c r="G991" s="32" t="s">
        <v>88</v>
      </c>
      <c r="H991" t="s">
        <v>28194</v>
      </c>
    </row>
    <row r="992" spans="2:8" x14ac:dyDescent="0.25">
      <c r="B992" s="41" t="s">
        <v>1125</v>
      </c>
      <c r="C992" s="429" t="s">
        <v>2009</v>
      </c>
      <c r="D992" s="430" t="s">
        <v>2014</v>
      </c>
      <c r="E992" s="430" t="s">
        <v>2017</v>
      </c>
      <c r="F992" t="str">
        <f t="shared" si="11"/>
        <v>Italiano</v>
      </c>
      <c r="G992" s="32" t="s">
        <v>88</v>
      </c>
      <c r="H992" t="s">
        <v>28195</v>
      </c>
    </row>
    <row r="993" spans="2:8" x14ac:dyDescent="0.25">
      <c r="B993" s="41" t="s">
        <v>1126</v>
      </c>
      <c r="C993" s="429" t="s">
        <v>2009</v>
      </c>
      <c r="D993" s="430" t="s">
        <v>2018</v>
      </c>
      <c r="E993" s="430" t="s">
        <v>2019</v>
      </c>
      <c r="F993" t="str">
        <f t="shared" si="11"/>
        <v>Italiano</v>
      </c>
      <c r="G993" s="32" t="s">
        <v>88</v>
      </c>
      <c r="H993" t="s">
        <v>28196</v>
      </c>
    </row>
    <row r="994" spans="2:8" x14ac:dyDescent="0.25">
      <c r="B994" s="41" t="s">
        <v>1127</v>
      </c>
      <c r="C994" s="429" t="s">
        <v>2009</v>
      </c>
      <c r="D994" s="430" t="s">
        <v>2018</v>
      </c>
      <c r="E994" s="430" t="s">
        <v>2020</v>
      </c>
      <c r="F994" t="str">
        <f t="shared" si="11"/>
        <v>Italiano</v>
      </c>
      <c r="G994" s="32" t="s">
        <v>88</v>
      </c>
      <c r="H994" t="s">
        <v>28197</v>
      </c>
    </row>
    <row r="995" spans="2:8" x14ac:dyDescent="0.25">
      <c r="B995" s="41" t="s">
        <v>1128</v>
      </c>
      <c r="C995" s="429" t="s">
        <v>2009</v>
      </c>
      <c r="D995" s="430" t="s">
        <v>2021</v>
      </c>
      <c r="E995" s="430" t="s">
        <v>1392</v>
      </c>
      <c r="F995" t="str">
        <f t="shared" si="11"/>
        <v>Italiano</v>
      </c>
      <c r="G995" s="32" t="s">
        <v>88</v>
      </c>
      <c r="H995" t="s">
        <v>28198</v>
      </c>
    </row>
    <row r="996" spans="2:8" x14ac:dyDescent="0.25">
      <c r="B996" s="41" t="s">
        <v>1129</v>
      </c>
      <c r="C996" s="429" t="s">
        <v>2009</v>
      </c>
      <c r="D996" s="430" t="s">
        <v>2021</v>
      </c>
      <c r="E996" s="430" t="s">
        <v>27749</v>
      </c>
      <c r="F996" t="str">
        <f t="shared" si="11"/>
        <v>Italiano</v>
      </c>
      <c r="G996" s="32" t="s">
        <v>88</v>
      </c>
      <c r="H996" t="s">
        <v>28199</v>
      </c>
    </row>
    <row r="997" spans="2:8" x14ac:dyDescent="0.25">
      <c r="B997" s="41" t="s">
        <v>1128</v>
      </c>
      <c r="C997" s="429" t="s">
        <v>2009</v>
      </c>
      <c r="D997" s="430" t="s">
        <v>2021</v>
      </c>
      <c r="E997" s="430" t="s">
        <v>27750</v>
      </c>
      <c r="F997" t="str">
        <f t="shared" si="11"/>
        <v>Italiano</v>
      </c>
      <c r="G997" s="32" t="s">
        <v>88</v>
      </c>
      <c r="H997" t="s">
        <v>28200</v>
      </c>
    </row>
    <row r="998" spans="2:8" x14ac:dyDescent="0.25">
      <c r="B998" s="41" t="s">
        <v>1130</v>
      </c>
      <c r="C998" s="429" t="s">
        <v>2009</v>
      </c>
      <c r="D998" s="430" t="s">
        <v>27751</v>
      </c>
      <c r="E998" s="430" t="s">
        <v>1392</v>
      </c>
      <c r="F998" t="str">
        <f t="shared" si="11"/>
        <v>Italiano</v>
      </c>
      <c r="G998" s="32" t="s">
        <v>88</v>
      </c>
      <c r="H998" t="s">
        <v>28201</v>
      </c>
    </row>
    <row r="999" spans="2:8" x14ac:dyDescent="0.25">
      <c r="B999" s="41" t="s">
        <v>1131</v>
      </c>
      <c r="C999" s="429" t="s">
        <v>2009</v>
      </c>
      <c r="D999" s="430" t="s">
        <v>27751</v>
      </c>
      <c r="E999" s="430" t="s">
        <v>27752</v>
      </c>
      <c r="F999" t="str">
        <f t="shared" si="11"/>
        <v>Italiano</v>
      </c>
      <c r="G999" s="32" t="s">
        <v>88</v>
      </c>
      <c r="H999" t="s">
        <v>28202</v>
      </c>
    </row>
    <row r="1000" spans="2:8" x14ac:dyDescent="0.25">
      <c r="B1000" s="41" t="s">
        <v>1130</v>
      </c>
      <c r="C1000" s="429" t="s">
        <v>2009</v>
      </c>
      <c r="D1000" s="430" t="s">
        <v>27751</v>
      </c>
      <c r="E1000" s="430" t="s">
        <v>27753</v>
      </c>
      <c r="F1000" t="str">
        <f t="shared" si="11"/>
        <v>Italiano</v>
      </c>
      <c r="G1000" s="32" t="s">
        <v>88</v>
      </c>
      <c r="H1000" t="s">
        <v>28203</v>
      </c>
    </row>
    <row r="1001" spans="2:8" x14ac:dyDescent="0.25">
      <c r="B1001" s="41" t="s">
        <v>1132</v>
      </c>
      <c r="C1001" s="429" t="s">
        <v>2022</v>
      </c>
      <c r="D1001" s="430" t="s">
        <v>2023</v>
      </c>
      <c r="E1001" s="430" t="s">
        <v>1392</v>
      </c>
      <c r="F1001" t="str">
        <f t="shared" si="11"/>
        <v>Italiano</v>
      </c>
      <c r="G1001" s="32" t="s">
        <v>88</v>
      </c>
      <c r="H1001" t="s">
        <v>28204</v>
      </c>
    </row>
    <row r="1002" spans="2:8" x14ac:dyDescent="0.25">
      <c r="B1002" s="41" t="s">
        <v>1133</v>
      </c>
      <c r="C1002" s="429" t="s">
        <v>2022</v>
      </c>
      <c r="D1002" s="430" t="s">
        <v>2024</v>
      </c>
      <c r="E1002" s="430" t="s">
        <v>1392</v>
      </c>
      <c r="F1002" t="str">
        <f t="shared" si="11"/>
        <v>Italiano</v>
      </c>
      <c r="G1002" s="32" t="s">
        <v>88</v>
      </c>
      <c r="H1002" t="s">
        <v>28205</v>
      </c>
    </row>
    <row r="1003" spans="2:8" x14ac:dyDescent="0.25">
      <c r="B1003" s="41" t="s">
        <v>1134</v>
      </c>
      <c r="C1003" s="429" t="s">
        <v>2022</v>
      </c>
      <c r="D1003" s="430" t="s">
        <v>2025</v>
      </c>
      <c r="E1003" s="430" t="s">
        <v>1392</v>
      </c>
      <c r="F1003" t="str">
        <f t="shared" si="11"/>
        <v>Italiano</v>
      </c>
      <c r="G1003" s="32" t="s">
        <v>88</v>
      </c>
      <c r="H1003" t="s">
        <v>28206</v>
      </c>
    </row>
    <row r="1004" spans="2:8" x14ac:dyDescent="0.25">
      <c r="B1004" s="41" t="s">
        <v>1135</v>
      </c>
      <c r="C1004" s="429" t="s">
        <v>2026</v>
      </c>
      <c r="D1004" s="430" t="s">
        <v>2027</v>
      </c>
      <c r="E1004" s="430" t="s">
        <v>1392</v>
      </c>
      <c r="F1004" t="str">
        <f t="shared" si="11"/>
        <v>Italiano</v>
      </c>
      <c r="G1004" s="32" t="s">
        <v>88</v>
      </c>
      <c r="H1004" t="s">
        <v>28207</v>
      </c>
    </row>
    <row r="1005" spans="2:8" x14ac:dyDescent="0.25">
      <c r="B1005" s="41" t="s">
        <v>1136</v>
      </c>
      <c r="C1005" s="433" t="s">
        <v>2026</v>
      </c>
      <c r="D1005" s="434" t="s">
        <v>2028</v>
      </c>
      <c r="E1005" s="434" t="s">
        <v>1392</v>
      </c>
      <c r="F1005" t="str">
        <f t="shared" si="11"/>
        <v>Italiano</v>
      </c>
      <c r="G1005" s="32" t="s">
        <v>88</v>
      </c>
      <c r="H1005" t="s">
        <v>28208</v>
      </c>
    </row>
    <row r="1006" spans="2:8" x14ac:dyDescent="0.25">
      <c r="B1006" s="433" t="s">
        <v>19054</v>
      </c>
      <c r="C1006" s="433" t="s">
        <v>28597</v>
      </c>
      <c r="D1006" s="433" t="s">
        <v>28597</v>
      </c>
      <c r="E1006" s="434" t="s">
        <v>1392</v>
      </c>
      <c r="F1006" t="str">
        <f t="shared" si="11"/>
        <v>Italiano</v>
      </c>
      <c r="G1006" s="32" t="s">
        <v>88</v>
      </c>
      <c r="H1006" t="s">
        <v>28209</v>
      </c>
    </row>
    <row r="1023" spans="2:11" x14ac:dyDescent="0.25">
      <c r="B1023" s="51" t="s">
        <v>1413</v>
      </c>
      <c r="F1023" s="28"/>
      <c r="G1023" s="28"/>
      <c r="H1023" s="28"/>
      <c r="I1023" s="28"/>
      <c r="J1023" s="28"/>
      <c r="K1023" s="28"/>
    </row>
    <row r="1024" spans="2:11" x14ac:dyDescent="0.25">
      <c r="B1024" s="42" t="s">
        <v>1390</v>
      </c>
      <c r="C1024" s="42" t="s">
        <v>1415</v>
      </c>
      <c r="D1024" s="42"/>
      <c r="E1024" s="36" t="str">
        <f>B1024&amp;C1024&amp;D1024</f>
        <v>ConstructionBitumen compound</v>
      </c>
      <c r="F1024" s="48"/>
      <c r="G1024" s="48"/>
      <c r="H1024" s="48"/>
      <c r="I1024" s="48"/>
      <c r="J1024" s="48"/>
      <c r="K1024" s="48"/>
    </row>
    <row r="1025" spans="2:11" x14ac:dyDescent="0.25">
      <c r="B1025" s="42" t="s">
        <v>1390</v>
      </c>
      <c r="C1025" s="42" t="s">
        <v>1416</v>
      </c>
      <c r="D1025" s="42"/>
      <c r="E1025" s="36" t="str">
        <f t="shared" ref="E1025:E1088" si="12">B1025&amp;C1025&amp;D1025</f>
        <v>ConstructionBricks</v>
      </c>
      <c r="F1025" s="47"/>
      <c r="G1025" s="47"/>
      <c r="H1025" s="47"/>
      <c r="I1025" s="47"/>
      <c r="J1025" s="47"/>
      <c r="K1025" s="47"/>
    </row>
    <row r="1026" spans="2:11" x14ac:dyDescent="0.25">
      <c r="B1026" s="42" t="s">
        <v>1390</v>
      </c>
      <c r="C1026" s="42" t="s">
        <v>1416</v>
      </c>
      <c r="D1026" s="42" t="s">
        <v>1417</v>
      </c>
      <c r="E1026" s="36" t="str">
        <f t="shared" si="12"/>
        <v>ConstructionBricksClay brick</v>
      </c>
      <c r="F1026" s="48"/>
      <c r="G1026" s="48"/>
      <c r="H1026" s="48"/>
      <c r="I1026" s="48"/>
      <c r="J1026" s="48"/>
      <c r="K1026" s="48"/>
    </row>
    <row r="1027" spans="2:11" x14ac:dyDescent="0.25">
      <c r="B1027" s="42" t="s">
        <v>1390</v>
      </c>
      <c r="C1027" s="42" t="s">
        <v>1416</v>
      </c>
      <c r="D1027" s="42" t="s">
        <v>1419</v>
      </c>
      <c r="E1027" s="36" t="str">
        <f t="shared" si="12"/>
        <v>ConstructionBricksSand-lime brick</v>
      </c>
      <c r="F1027" s="47"/>
      <c r="G1027" s="47"/>
      <c r="H1027" s="47"/>
      <c r="I1027" s="47"/>
      <c r="J1027" s="47"/>
      <c r="K1027" s="47"/>
    </row>
    <row r="1028" spans="2:11" x14ac:dyDescent="0.25">
      <c r="B1028" s="42" t="s">
        <v>1390</v>
      </c>
      <c r="C1028" s="42" t="s">
        <v>1416</v>
      </c>
      <c r="D1028" s="42" t="s">
        <v>1421</v>
      </c>
      <c r="E1028" s="36" t="str">
        <f t="shared" si="12"/>
        <v>ConstructionBricksClay brick (light)</v>
      </c>
      <c r="F1028" s="48"/>
      <c r="G1028" s="48"/>
      <c r="H1028" s="48"/>
      <c r="I1028" s="48"/>
      <c r="J1028" s="48"/>
      <c r="K1028" s="48"/>
    </row>
    <row r="1029" spans="2:11" x14ac:dyDescent="0.25">
      <c r="B1029" s="42" t="s">
        <v>1390</v>
      </c>
      <c r="C1029" s="42" t="s">
        <v>1423</v>
      </c>
      <c r="D1029" s="42"/>
      <c r="E1029" s="36" t="str">
        <f t="shared" si="12"/>
        <v>ConstructionCladding</v>
      </c>
      <c r="F1029" s="48"/>
      <c r="G1029" s="48"/>
      <c r="H1029" s="48"/>
      <c r="I1029" s="48"/>
      <c r="J1029" s="48"/>
      <c r="K1029" s="48"/>
    </row>
    <row r="1030" spans="2:11" x14ac:dyDescent="0.25">
      <c r="B1030" s="42" t="s">
        <v>1390</v>
      </c>
      <c r="C1030" s="42" t="s">
        <v>1151</v>
      </c>
      <c r="D1030" s="42"/>
      <c r="E1030" s="36" t="str">
        <f t="shared" si="12"/>
        <v>ConstructionBeton</v>
      </c>
      <c r="F1030" s="48"/>
      <c r="G1030" s="48"/>
      <c r="H1030" s="48"/>
      <c r="I1030" s="48"/>
      <c r="J1030" s="48"/>
      <c r="K1030" s="48"/>
    </row>
    <row r="1031" spans="2:11" x14ac:dyDescent="0.25">
      <c r="B1031" s="42" t="s">
        <v>1390</v>
      </c>
      <c r="C1031" s="42" t="s">
        <v>1151</v>
      </c>
      <c r="D1031" s="42" t="s">
        <v>1425</v>
      </c>
      <c r="E1031" s="36" t="str">
        <f t="shared" si="12"/>
        <v>ConstructionBetonConcrete (normal)</v>
      </c>
      <c r="F1031" s="48"/>
      <c r="G1031" s="48"/>
      <c r="H1031" s="48"/>
      <c r="I1031" s="48"/>
      <c r="J1031" s="48"/>
      <c r="K1031" s="48"/>
    </row>
    <row r="1032" spans="2:11" x14ac:dyDescent="0.25">
      <c r="B1032" s="42" t="s">
        <v>1390</v>
      </c>
      <c r="C1032" s="42" t="s">
        <v>1151</v>
      </c>
      <c r="D1032" s="42" t="s">
        <v>1427</v>
      </c>
      <c r="E1032" s="36" t="str">
        <f t="shared" si="12"/>
        <v>ConstructionBetonConcrete (lean)</v>
      </c>
      <c r="F1032" s="47"/>
      <c r="G1032" s="47"/>
      <c r="H1032" s="47"/>
      <c r="I1032" s="47"/>
      <c r="J1032" s="47"/>
      <c r="K1032" s="47"/>
    </row>
    <row r="1033" spans="2:11" x14ac:dyDescent="0.25">
      <c r="B1033" s="42" t="s">
        <v>1390</v>
      </c>
      <c r="C1033" s="42" t="s">
        <v>1151</v>
      </c>
      <c r="D1033" s="42" t="s">
        <v>1429</v>
      </c>
      <c r="E1033" s="36" t="str">
        <f t="shared" si="12"/>
        <v>ConstructionBetonConcrete, expanded clay (lightweight)</v>
      </c>
      <c r="F1033" s="48"/>
      <c r="G1033" s="48"/>
      <c r="H1033" s="48"/>
      <c r="I1033" s="48"/>
      <c r="J1033" s="48"/>
      <c r="K1033" s="48"/>
    </row>
    <row r="1034" spans="2:11" x14ac:dyDescent="0.25">
      <c r="B1034" s="42" t="s">
        <v>1390</v>
      </c>
      <c r="C1034" s="42" t="s">
        <v>1151</v>
      </c>
      <c r="D1034" s="42" t="s">
        <v>1431</v>
      </c>
      <c r="E1034" s="36" t="str">
        <f t="shared" si="12"/>
        <v>ConstructionBetonConcrete, polystyrene integrated (lightweight)</v>
      </c>
      <c r="F1034" s="48"/>
      <c r="G1034" s="48"/>
      <c r="H1034" s="48"/>
      <c r="I1034" s="48"/>
      <c r="J1034" s="48"/>
      <c r="K1034" s="48"/>
    </row>
    <row r="1035" spans="2:11" x14ac:dyDescent="0.25">
      <c r="B1035" s="42" t="s">
        <v>1390</v>
      </c>
      <c r="C1035" s="42" t="s">
        <v>1433</v>
      </c>
      <c r="D1035" s="42" t="s">
        <v>1434</v>
      </c>
      <c r="E1035" s="36" t="str">
        <f t="shared" si="12"/>
        <v>ConstructionCoveringsAcrylic filler</v>
      </c>
      <c r="F1035" s="48"/>
      <c r="G1035" s="48"/>
      <c r="H1035" s="48"/>
      <c r="I1035" s="48"/>
      <c r="J1035" s="48"/>
      <c r="K1035" s="48"/>
    </row>
    <row r="1036" spans="2:11" x14ac:dyDescent="0.25">
      <c r="B1036" s="42" t="s">
        <v>1390</v>
      </c>
      <c r="C1036" s="42" t="s">
        <v>1433</v>
      </c>
      <c r="D1036" s="42" t="s">
        <v>1435</v>
      </c>
      <c r="E1036" s="36" t="str">
        <f t="shared" si="12"/>
        <v>ConstructionCoveringsClay plaster</v>
      </c>
      <c r="F1036" s="48"/>
      <c r="G1036" s="48"/>
      <c r="H1036" s="48"/>
      <c r="I1036" s="48"/>
      <c r="J1036" s="48"/>
      <c r="K1036" s="48"/>
    </row>
    <row r="1037" spans="2:11" x14ac:dyDescent="0.25">
      <c r="B1037" s="42" t="s">
        <v>1390</v>
      </c>
      <c r="C1037" s="42" t="s">
        <v>1437</v>
      </c>
      <c r="D1037" s="42"/>
      <c r="E1037" s="36" t="str">
        <f t="shared" si="12"/>
        <v>ConstructionPaint (acryl)</v>
      </c>
      <c r="F1037" s="47"/>
      <c r="G1037" s="47"/>
      <c r="H1037" s="47"/>
      <c r="I1037" s="47"/>
      <c r="J1037" s="47"/>
      <c r="K1037" s="47"/>
    </row>
    <row r="1038" spans="2:11" x14ac:dyDescent="0.25">
      <c r="B1038" s="42" t="s">
        <v>1390</v>
      </c>
      <c r="C1038" s="42" t="s">
        <v>1439</v>
      </c>
      <c r="D1038" s="42"/>
      <c r="E1038" s="36" t="str">
        <f t="shared" si="12"/>
        <v>ConstructionInsulation</v>
      </c>
      <c r="F1038" s="48"/>
      <c r="G1038" s="48"/>
      <c r="H1038" s="48"/>
      <c r="I1038" s="48"/>
      <c r="J1038" s="48"/>
      <c r="K1038" s="48"/>
    </row>
    <row r="1039" spans="2:11" x14ac:dyDescent="0.25">
      <c r="B1039" s="42" t="s">
        <v>1390</v>
      </c>
      <c r="C1039" s="42" t="s">
        <v>1439</v>
      </c>
      <c r="D1039" s="42" t="s">
        <v>1441</v>
      </c>
      <c r="E1039" s="36" t="str">
        <f t="shared" si="12"/>
        <v>ConstructionInsulationCellulose fibre</v>
      </c>
      <c r="F1039" s="48"/>
      <c r="G1039" s="48"/>
      <c r="H1039" s="48"/>
      <c r="I1039" s="48"/>
      <c r="J1039" s="48"/>
      <c r="K1039" s="48"/>
    </row>
    <row r="1040" spans="2:11" x14ac:dyDescent="0.25">
      <c r="B1040" s="42" t="s">
        <v>1390</v>
      </c>
      <c r="C1040" s="42" t="s">
        <v>1439</v>
      </c>
      <c r="D1040" s="42" t="s">
        <v>1443</v>
      </c>
      <c r="E1040" s="36" t="str">
        <f t="shared" si="12"/>
        <v>ConstructionInsulationFoam glass</v>
      </c>
      <c r="F1040" s="48"/>
      <c r="G1040" s="48"/>
      <c r="H1040" s="48"/>
      <c r="I1040" s="48"/>
      <c r="J1040" s="48"/>
      <c r="K1040" s="48"/>
    </row>
    <row r="1041" spans="2:11" x14ac:dyDescent="0.25">
      <c r="B1041" s="42" t="s">
        <v>1390</v>
      </c>
      <c r="C1041" s="42" t="s">
        <v>1439</v>
      </c>
      <c r="D1041" s="42" t="s">
        <v>1445</v>
      </c>
      <c r="E1041" s="36" t="str">
        <f t="shared" si="12"/>
        <v>ConstructionInsulationPolystyrene foam</v>
      </c>
      <c r="F1041" s="48"/>
      <c r="G1041" s="48"/>
      <c r="H1041" s="48"/>
      <c r="I1041" s="48"/>
      <c r="J1041" s="48"/>
      <c r="K1041" s="48"/>
    </row>
    <row r="1042" spans="2:11" x14ac:dyDescent="0.25">
      <c r="B1042" s="42" t="s">
        <v>1390</v>
      </c>
      <c r="C1042" s="42" t="s">
        <v>1439</v>
      </c>
      <c r="D1042" s="42" t="s">
        <v>1447</v>
      </c>
      <c r="E1042" s="36" t="str">
        <f t="shared" si="12"/>
        <v>ConstructionInsulationStone wool</v>
      </c>
      <c r="F1042" s="48"/>
      <c r="G1042" s="48"/>
      <c r="H1042" s="48"/>
      <c r="I1042" s="48"/>
      <c r="J1042" s="48"/>
      <c r="K1042" s="48"/>
    </row>
    <row r="1043" spans="2:11" x14ac:dyDescent="0.25">
      <c r="B1043" s="42" t="s">
        <v>1390</v>
      </c>
      <c r="C1043" s="42" t="s">
        <v>1439</v>
      </c>
      <c r="D1043" s="42" t="s">
        <v>1448</v>
      </c>
      <c r="E1043" s="36" t="str">
        <f t="shared" si="12"/>
        <v>ConstructionInsulationGlass wool</v>
      </c>
      <c r="F1043" s="48"/>
      <c r="G1043" s="48"/>
      <c r="H1043" s="48"/>
      <c r="I1043" s="48"/>
      <c r="J1043" s="48"/>
      <c r="K1043" s="48"/>
    </row>
    <row r="1044" spans="2:11" x14ac:dyDescent="0.25">
      <c r="B1044" s="42" t="s">
        <v>1390</v>
      </c>
      <c r="C1044" s="42" t="s">
        <v>1450</v>
      </c>
      <c r="D1044" s="42"/>
      <c r="E1044" s="36" t="str">
        <f t="shared" si="12"/>
        <v>ConstructionNatural stone</v>
      </c>
      <c r="F1044" s="48"/>
      <c r="G1044" s="48"/>
      <c r="H1044" s="48"/>
      <c r="I1044" s="48"/>
      <c r="J1044" s="48"/>
      <c r="K1044" s="48"/>
    </row>
    <row r="1045" spans="2:11" x14ac:dyDescent="0.25">
      <c r="B1045" s="43" t="s">
        <v>1452</v>
      </c>
      <c r="C1045" s="42" t="s">
        <v>1453</v>
      </c>
      <c r="D1045" s="42"/>
      <c r="E1045" s="36" t="str">
        <f t="shared" si="12"/>
        <v>ChemicalsInorganic chemicals</v>
      </c>
      <c r="F1045" s="47"/>
      <c r="G1045" s="47"/>
      <c r="H1045" s="47"/>
      <c r="I1045" s="47"/>
      <c r="J1045" s="47"/>
      <c r="K1045" s="47"/>
    </row>
    <row r="1046" spans="2:11" x14ac:dyDescent="0.25">
      <c r="B1046" s="43" t="s">
        <v>1452</v>
      </c>
      <c r="C1046" s="42" t="s">
        <v>1453</v>
      </c>
      <c r="D1046" s="42" t="s">
        <v>1455</v>
      </c>
      <c r="E1046" s="36" t="str">
        <f t="shared" si="12"/>
        <v>ChemicalsInorganic chemicalsPhosphate rock (P2O5)</v>
      </c>
      <c r="F1046" s="48"/>
      <c r="G1046" s="48"/>
      <c r="H1046" s="48"/>
      <c r="I1046" s="48"/>
      <c r="J1046" s="48"/>
      <c r="K1046" s="48"/>
    </row>
    <row r="1047" spans="2:11" x14ac:dyDescent="0.25">
      <c r="B1047" s="43" t="s">
        <v>1452</v>
      </c>
      <c r="C1047" s="42" t="s">
        <v>1453</v>
      </c>
      <c r="D1047" s="42" t="s">
        <v>1457</v>
      </c>
      <c r="E1047" s="36" t="str">
        <f t="shared" si="12"/>
        <v>ChemicalsInorganic chemicalsSodium Hydroxide</v>
      </c>
      <c r="F1047" s="48"/>
      <c r="G1047" s="48"/>
      <c r="H1047" s="48"/>
      <c r="I1047" s="48"/>
      <c r="J1047" s="48"/>
      <c r="K1047" s="48"/>
    </row>
    <row r="1048" spans="2:11" x14ac:dyDescent="0.25">
      <c r="B1048" s="43" t="s">
        <v>1452</v>
      </c>
      <c r="C1048" s="42" t="s">
        <v>1453</v>
      </c>
      <c r="D1048" s="42" t="s">
        <v>1459</v>
      </c>
      <c r="E1048" s="36" t="str">
        <f t="shared" si="12"/>
        <v>ChemicalsInorganic chemicalsAluminium Hydroxide</v>
      </c>
      <c r="F1048" s="48"/>
      <c r="G1048" s="48"/>
      <c r="H1048" s="47"/>
      <c r="I1048" s="47"/>
      <c r="J1048" s="48"/>
      <c r="K1048" s="48"/>
    </row>
    <row r="1049" spans="2:11" x14ac:dyDescent="0.25">
      <c r="B1049" s="43" t="s">
        <v>1452</v>
      </c>
      <c r="C1049" s="42" t="s">
        <v>1453</v>
      </c>
      <c r="D1049" s="42" t="s">
        <v>1461</v>
      </c>
      <c r="E1049" s="36" t="str">
        <f t="shared" si="12"/>
        <v>ChemicalsInorganic chemicalsAluminium Oxide</v>
      </c>
      <c r="F1049" s="48"/>
      <c r="G1049" s="48"/>
      <c r="H1049" s="48"/>
      <c r="I1049" s="48"/>
      <c r="J1049" s="48"/>
      <c r="K1049" s="48"/>
    </row>
    <row r="1050" spans="2:11" x14ac:dyDescent="0.25">
      <c r="B1050" s="43" t="s">
        <v>1452</v>
      </c>
      <c r="C1050" s="42" t="s">
        <v>1453</v>
      </c>
      <c r="D1050" s="42" t="s">
        <v>1462</v>
      </c>
      <c r="E1050" s="36" t="str">
        <f t="shared" si="12"/>
        <v>ChemicalsInorganic chemicalsAmmonia (liquid)</v>
      </c>
      <c r="F1050" s="48"/>
      <c r="G1050" s="48"/>
      <c r="H1050" s="48"/>
      <c r="I1050" s="48"/>
      <c r="J1050" s="48"/>
      <c r="K1050" s="48"/>
    </row>
    <row r="1051" spans="2:11" x14ac:dyDescent="0.25">
      <c r="B1051" s="43" t="s">
        <v>1452</v>
      </c>
      <c r="C1051" s="42" t="s">
        <v>1453</v>
      </c>
      <c r="D1051" s="42" t="s">
        <v>1464</v>
      </c>
      <c r="E1051" s="36" t="str">
        <f t="shared" si="12"/>
        <v>ChemicalsInorganic chemicalsCalcium Chloride</v>
      </c>
      <c r="F1051" s="48"/>
      <c r="G1051" s="48"/>
      <c r="H1051" s="48"/>
      <c r="I1051" s="48"/>
      <c r="J1051" s="48"/>
      <c r="K1051" s="48"/>
    </row>
    <row r="1052" spans="2:11" x14ac:dyDescent="0.25">
      <c r="B1052" s="43" t="s">
        <v>1452</v>
      </c>
      <c r="C1052" s="42" t="s">
        <v>1453</v>
      </c>
      <c r="D1052" s="42" t="s">
        <v>1420</v>
      </c>
      <c r="E1052" s="36" t="str">
        <f t="shared" si="12"/>
        <v>ChemicalsInorganic chemicalsGraphite</v>
      </c>
      <c r="F1052" s="48"/>
      <c r="G1052" s="48"/>
      <c r="H1052" s="48"/>
      <c r="I1052" s="48"/>
      <c r="J1052" s="48"/>
      <c r="K1052" s="48"/>
    </row>
    <row r="1053" spans="2:11" x14ac:dyDescent="0.25">
      <c r="B1053" s="43" t="s">
        <v>1452</v>
      </c>
      <c r="C1053" s="42" t="s">
        <v>1453</v>
      </c>
      <c r="D1053" s="42" t="s">
        <v>1467</v>
      </c>
      <c r="E1053" s="36" t="str">
        <f t="shared" si="12"/>
        <v>ChemicalsInorganic chemicalsHydrogen peroxide</v>
      </c>
      <c r="F1053" s="48"/>
      <c r="G1053" s="48"/>
      <c r="H1053" s="48"/>
      <c r="I1053" s="48"/>
      <c r="J1053" s="48"/>
      <c r="K1053" s="48"/>
    </row>
    <row r="1054" spans="2:11" x14ac:dyDescent="0.25">
      <c r="B1054" s="43" t="s">
        <v>1452</v>
      </c>
      <c r="C1054" s="42" t="s">
        <v>1453</v>
      </c>
      <c r="D1054" s="42" t="s">
        <v>1469</v>
      </c>
      <c r="E1054" s="36" t="str">
        <f t="shared" si="12"/>
        <v>ChemicalsInorganic chemicalsSilica Sand</v>
      </c>
      <c r="F1054" s="48"/>
      <c r="G1054" s="48"/>
      <c r="H1054" s="48"/>
      <c r="I1054" s="48"/>
      <c r="J1054" s="48"/>
      <c r="K1054" s="48"/>
    </row>
    <row r="1055" spans="2:11" x14ac:dyDescent="0.25">
      <c r="B1055" s="43" t="s">
        <v>1452</v>
      </c>
      <c r="C1055" s="42" t="s">
        <v>1453</v>
      </c>
      <c r="D1055" s="42" t="s">
        <v>1471</v>
      </c>
      <c r="E1055" s="36" t="str">
        <f t="shared" si="12"/>
        <v>ChemicalsInorganic chemicalsSodium Hypochlorite</v>
      </c>
      <c r="F1055" s="48"/>
      <c r="G1055" s="48"/>
      <c r="H1055" s="48"/>
      <c r="I1055" s="48"/>
      <c r="J1055" s="48"/>
      <c r="K1055" s="48"/>
    </row>
    <row r="1056" spans="2:11" x14ac:dyDescent="0.25">
      <c r="B1056" s="43" t="s">
        <v>1452</v>
      </c>
      <c r="C1056" s="42" t="s">
        <v>1453</v>
      </c>
      <c r="D1056" s="42" t="s">
        <v>1426</v>
      </c>
      <c r="E1056" s="36" t="str">
        <f t="shared" si="12"/>
        <v>ChemicalsInorganic chemicalsSulfite</v>
      </c>
      <c r="F1056" s="48"/>
      <c r="G1056" s="48"/>
      <c r="H1056" s="48"/>
      <c r="I1056" s="48"/>
      <c r="J1056" s="48"/>
      <c r="K1056" s="48"/>
    </row>
    <row r="1057" spans="2:11" x14ac:dyDescent="0.25">
      <c r="B1057" s="43" t="s">
        <v>1452</v>
      </c>
      <c r="C1057" s="42" t="s">
        <v>1453</v>
      </c>
      <c r="D1057" s="42" t="s">
        <v>1428</v>
      </c>
      <c r="E1057" s="36" t="str">
        <f t="shared" si="12"/>
        <v>ChemicalsInorganic chemicalsSoufre</v>
      </c>
      <c r="F1057" s="48"/>
      <c r="G1057" s="48"/>
      <c r="H1057" s="48"/>
      <c r="I1057" s="48"/>
      <c r="J1057" s="48"/>
      <c r="K1057" s="48"/>
    </row>
    <row r="1058" spans="2:11" x14ac:dyDescent="0.25">
      <c r="B1058" s="43" t="s">
        <v>1452</v>
      </c>
      <c r="C1058" s="42" t="s">
        <v>1453</v>
      </c>
      <c r="D1058" s="42" t="s">
        <v>1474</v>
      </c>
      <c r="E1058" s="36" t="str">
        <f t="shared" si="12"/>
        <v>ChemicalsInorganic chemicalsTitanium dioxide</v>
      </c>
      <c r="F1058" s="48"/>
      <c r="G1058" s="48"/>
      <c r="H1058" s="48"/>
      <c r="I1058" s="48"/>
      <c r="J1058" s="48"/>
      <c r="K1058" s="48"/>
    </row>
    <row r="1059" spans="2:11" x14ac:dyDescent="0.25">
      <c r="B1059" s="43" t="s">
        <v>1452</v>
      </c>
      <c r="C1059" s="42" t="s">
        <v>1476</v>
      </c>
      <c r="D1059" s="42"/>
      <c r="E1059" s="36" t="str">
        <f t="shared" si="12"/>
        <v>ChemicalsAcids, inorganic</v>
      </c>
      <c r="F1059" s="48"/>
      <c r="G1059" s="48"/>
      <c r="H1059" s="48"/>
      <c r="I1059" s="48"/>
      <c r="J1059" s="48"/>
      <c r="K1059" s="48"/>
    </row>
    <row r="1060" spans="2:11" x14ac:dyDescent="0.25">
      <c r="B1060" s="43" t="s">
        <v>1452</v>
      </c>
      <c r="C1060" s="42" t="s">
        <v>1476</v>
      </c>
      <c r="D1060" s="42" t="s">
        <v>1478</v>
      </c>
      <c r="E1060" s="36" t="str">
        <f t="shared" si="12"/>
        <v>ChemicalsAcids, inorganicSulfamic acid</v>
      </c>
      <c r="F1060" s="48"/>
      <c r="G1060" s="48"/>
      <c r="H1060" s="48"/>
      <c r="I1060" s="48"/>
      <c r="J1060" s="48"/>
      <c r="K1060" s="48"/>
    </row>
    <row r="1061" spans="2:11" x14ac:dyDescent="0.25">
      <c r="B1061" s="43" t="s">
        <v>1452</v>
      </c>
      <c r="C1061" s="42" t="s">
        <v>1476</v>
      </c>
      <c r="D1061" s="42" t="s">
        <v>1480</v>
      </c>
      <c r="E1061" s="36" t="str">
        <f t="shared" si="12"/>
        <v>ChemicalsAcids, inorganicPhosphoric acid (fertiliser grade)</v>
      </c>
      <c r="F1061" s="48"/>
      <c r="G1061" s="48"/>
      <c r="H1061" s="48"/>
      <c r="I1061" s="48"/>
      <c r="J1061" s="48"/>
      <c r="K1061" s="48"/>
    </row>
    <row r="1062" spans="2:11" x14ac:dyDescent="0.25">
      <c r="B1062" s="43" t="s">
        <v>1452</v>
      </c>
      <c r="C1062" s="42" t="s">
        <v>1476</v>
      </c>
      <c r="D1062" s="42" t="s">
        <v>1481</v>
      </c>
      <c r="E1062" s="36" t="str">
        <f t="shared" si="12"/>
        <v>ChemicalsAcids, inorganicPhosphoric acid (industrial grade)</v>
      </c>
      <c r="F1062" s="48"/>
      <c r="G1062" s="48"/>
      <c r="H1062" s="48"/>
      <c r="I1062" s="48"/>
      <c r="J1062" s="48"/>
      <c r="K1062" s="48"/>
    </row>
    <row r="1063" spans="2:11" x14ac:dyDescent="0.25">
      <c r="B1063" s="43" t="s">
        <v>1452</v>
      </c>
      <c r="C1063" s="42" t="s">
        <v>1476</v>
      </c>
      <c r="D1063" s="42" t="s">
        <v>1483</v>
      </c>
      <c r="E1063" s="36" t="str">
        <f t="shared" si="12"/>
        <v>ChemicalsAcids, inorganicHydrochloric acid</v>
      </c>
      <c r="F1063" s="48"/>
      <c r="G1063" s="48"/>
      <c r="H1063" s="48"/>
      <c r="I1063" s="48"/>
      <c r="J1063" s="48"/>
      <c r="K1063" s="48"/>
    </row>
    <row r="1064" spans="2:11" x14ac:dyDescent="0.25">
      <c r="B1064" s="43" t="s">
        <v>1452</v>
      </c>
      <c r="C1064" s="42" t="s">
        <v>1476</v>
      </c>
      <c r="D1064" s="42" t="s">
        <v>1485</v>
      </c>
      <c r="E1064" s="36" t="str">
        <f t="shared" si="12"/>
        <v>ChemicalsAcids, inorganicNitric acid</v>
      </c>
      <c r="F1064" s="48"/>
      <c r="G1064" s="48"/>
      <c r="H1064" s="48"/>
      <c r="I1064" s="48"/>
      <c r="J1064" s="48"/>
      <c r="K1064" s="48"/>
    </row>
    <row r="1065" spans="2:11" x14ac:dyDescent="0.25">
      <c r="B1065" s="43" t="s">
        <v>1452</v>
      </c>
      <c r="C1065" s="42" t="s">
        <v>1476</v>
      </c>
      <c r="D1065" s="42" t="s">
        <v>1487</v>
      </c>
      <c r="E1065" s="36" t="str">
        <f t="shared" si="12"/>
        <v>ChemicalsAcids, inorganicSulfuric acid</v>
      </c>
      <c r="F1065" s="48"/>
      <c r="G1065" s="48"/>
      <c r="H1065" s="48"/>
      <c r="I1065" s="48"/>
      <c r="J1065" s="48"/>
      <c r="K1065" s="48"/>
    </row>
    <row r="1066" spans="2:11" x14ac:dyDescent="0.25">
      <c r="B1066" s="43" t="s">
        <v>1452</v>
      </c>
      <c r="C1066" s="42" t="s">
        <v>1476</v>
      </c>
      <c r="D1066" s="42" t="s">
        <v>1489</v>
      </c>
      <c r="E1066" s="36" t="str">
        <f t="shared" si="12"/>
        <v>ChemicalsAcids, inorganicFluosilicic acid</v>
      </c>
      <c r="F1066" s="48"/>
      <c r="G1066" s="48"/>
      <c r="H1066" s="48"/>
      <c r="I1066" s="48"/>
      <c r="J1066" s="48"/>
      <c r="K1066" s="48"/>
    </row>
    <row r="1067" spans="2:11" x14ac:dyDescent="0.25">
      <c r="B1067" s="43" t="s">
        <v>1452</v>
      </c>
      <c r="C1067" s="42" t="s">
        <v>1490</v>
      </c>
      <c r="D1067" s="42"/>
      <c r="E1067" s="36" t="str">
        <f t="shared" si="12"/>
        <v>ChemicalsGases</v>
      </c>
      <c r="F1067" s="48"/>
      <c r="G1067" s="48"/>
      <c r="H1067" s="48"/>
      <c r="I1067" s="48"/>
      <c r="J1067" s="48"/>
      <c r="K1067" s="48"/>
    </row>
    <row r="1068" spans="2:11" x14ac:dyDescent="0.25">
      <c r="B1068" s="43" t="s">
        <v>1452</v>
      </c>
      <c r="C1068" s="42" t="s">
        <v>1490</v>
      </c>
      <c r="D1068" s="42" t="s">
        <v>1492</v>
      </c>
      <c r="E1068" s="36" t="str">
        <f t="shared" si="12"/>
        <v>ChemicalsGasesArgon (liquid)</v>
      </c>
      <c r="F1068" s="47"/>
      <c r="G1068" s="47"/>
      <c r="H1068" s="47"/>
      <c r="I1068" s="47"/>
      <c r="J1068" s="47"/>
      <c r="K1068" s="47"/>
    </row>
    <row r="1069" spans="2:11" x14ac:dyDescent="0.25">
      <c r="B1069" s="43" t="s">
        <v>1452</v>
      </c>
      <c r="C1069" s="42" t="s">
        <v>1490</v>
      </c>
      <c r="D1069" s="42" t="s">
        <v>1494</v>
      </c>
      <c r="E1069" s="36" t="str">
        <f t="shared" si="12"/>
        <v>ChemicalsGasesHydrogen (liquid)</v>
      </c>
      <c r="F1069" s="48"/>
      <c r="G1069" s="48"/>
      <c r="H1069" s="48"/>
      <c r="I1069" s="48"/>
      <c r="J1069" s="48"/>
      <c r="K1069" s="48"/>
    </row>
    <row r="1070" spans="2:11" x14ac:dyDescent="0.25">
      <c r="B1070" s="43" t="s">
        <v>1452</v>
      </c>
      <c r="C1070" s="42" t="s">
        <v>1490</v>
      </c>
      <c r="D1070" s="42" t="s">
        <v>1496</v>
      </c>
      <c r="E1070" s="36" t="str">
        <f t="shared" si="12"/>
        <v>ChemicalsGasesOzone (liquid)</v>
      </c>
      <c r="F1070" s="48"/>
      <c r="G1070" s="48"/>
      <c r="H1070" s="48"/>
      <c r="I1070" s="48"/>
      <c r="J1070" s="48"/>
      <c r="K1070" s="48"/>
    </row>
    <row r="1071" spans="2:11" x14ac:dyDescent="0.25">
      <c r="B1071" s="43" t="s">
        <v>1452</v>
      </c>
      <c r="C1071" s="42" t="s">
        <v>1490</v>
      </c>
      <c r="D1071" s="42" t="s">
        <v>1498</v>
      </c>
      <c r="E1071" s="36" t="str">
        <f t="shared" si="12"/>
        <v>ChemicalsGasesOxygen (liquid)</v>
      </c>
      <c r="F1071" s="48"/>
      <c r="G1071" s="48"/>
      <c r="H1071" s="48"/>
      <c r="I1071" s="48"/>
      <c r="J1071" s="48"/>
      <c r="K1071" s="48"/>
    </row>
    <row r="1072" spans="2:11" x14ac:dyDescent="0.25">
      <c r="B1072" s="43" t="s">
        <v>1452</v>
      </c>
      <c r="C1072" s="42" t="s">
        <v>1490</v>
      </c>
      <c r="D1072" s="42" t="s">
        <v>1500</v>
      </c>
      <c r="E1072" s="36" t="str">
        <f t="shared" si="12"/>
        <v>ChemicalsGasesCarbon dioxide (liquid)</v>
      </c>
      <c r="F1072" s="48"/>
      <c r="G1072" s="48"/>
      <c r="H1072" s="48"/>
      <c r="I1072" s="48"/>
      <c r="J1072" s="48"/>
      <c r="K1072" s="48"/>
    </row>
    <row r="1073" spans="2:11" x14ac:dyDescent="0.25">
      <c r="B1073" s="43" t="s">
        <v>1452</v>
      </c>
      <c r="C1073" s="42" t="s">
        <v>1490</v>
      </c>
      <c r="D1073" s="42" t="s">
        <v>1194</v>
      </c>
      <c r="E1073" s="36" t="str">
        <f t="shared" si="12"/>
        <v>ChemicalsGasesHelium</v>
      </c>
      <c r="F1073" s="48"/>
      <c r="G1073" s="48"/>
      <c r="H1073" s="48"/>
      <c r="I1073" s="48"/>
      <c r="J1073" s="48"/>
      <c r="K1073" s="48"/>
    </row>
    <row r="1074" spans="2:11" x14ac:dyDescent="0.25">
      <c r="B1074" s="43" t="s">
        <v>1452</v>
      </c>
      <c r="C1074" s="42" t="s">
        <v>1490</v>
      </c>
      <c r="D1074" s="42" t="s">
        <v>1503</v>
      </c>
      <c r="E1074" s="36" t="str">
        <f t="shared" si="12"/>
        <v>ChemicalsGasesHydrogen sulfide</v>
      </c>
      <c r="F1074" s="48"/>
      <c r="G1074" s="48"/>
      <c r="H1074" s="48"/>
      <c r="I1074" s="48"/>
      <c r="J1074" s="48"/>
      <c r="K1074" s="48"/>
    </row>
    <row r="1075" spans="2:11" x14ac:dyDescent="0.25">
      <c r="B1075" s="43" t="s">
        <v>1452</v>
      </c>
      <c r="C1075" s="42" t="s">
        <v>1490</v>
      </c>
      <c r="D1075" s="42" t="s">
        <v>1505</v>
      </c>
      <c r="E1075" s="36" t="str">
        <f t="shared" si="12"/>
        <v>ChemicalsGasesNitrogen (liquid)</v>
      </c>
      <c r="F1075" s="47"/>
      <c r="G1075" s="47"/>
      <c r="H1075" s="47"/>
      <c r="I1075" s="47"/>
      <c r="J1075" s="47"/>
      <c r="K1075" s="47"/>
    </row>
    <row r="1076" spans="2:11" x14ac:dyDescent="0.25">
      <c r="B1076" s="43" t="s">
        <v>1452</v>
      </c>
      <c r="C1076" s="42" t="s">
        <v>1490</v>
      </c>
      <c r="D1076" s="42" t="s">
        <v>1507</v>
      </c>
      <c r="E1076" s="36" t="str">
        <f t="shared" si="12"/>
        <v>ChemicalsGasesSulfur dioxide (liquid)</v>
      </c>
      <c r="F1076" s="48"/>
      <c r="G1076" s="48"/>
      <c r="H1076" s="48"/>
      <c r="I1076" s="48"/>
      <c r="J1076" s="48"/>
      <c r="K1076" s="48"/>
    </row>
    <row r="1077" spans="2:11" x14ac:dyDescent="0.25">
      <c r="B1077" s="43" t="s">
        <v>1452</v>
      </c>
      <c r="C1077" s="42" t="s">
        <v>1509</v>
      </c>
      <c r="D1077" s="42"/>
      <c r="E1077" s="36" t="str">
        <f t="shared" si="12"/>
        <v>ChemicalsChemical, organic</v>
      </c>
      <c r="F1077" s="48"/>
      <c r="G1077" s="48"/>
      <c r="H1077" s="48"/>
      <c r="I1077" s="48"/>
      <c r="J1077" s="48"/>
      <c r="K1077" s="48"/>
    </row>
    <row r="1078" spans="2:11" x14ac:dyDescent="0.25">
      <c r="B1078" s="43" t="s">
        <v>1452</v>
      </c>
      <c r="C1078" s="42" t="s">
        <v>1509</v>
      </c>
      <c r="D1078" s="42" t="s">
        <v>1510</v>
      </c>
      <c r="E1078" s="36" t="str">
        <f t="shared" si="12"/>
        <v>ChemicalsChemical, organicAcetone (liquid)</v>
      </c>
      <c r="F1078" s="48"/>
      <c r="G1078" s="48"/>
      <c r="H1078" s="48"/>
      <c r="I1078" s="48"/>
      <c r="J1078" s="48"/>
      <c r="K1078" s="48"/>
    </row>
    <row r="1079" spans="2:11" x14ac:dyDescent="0.25">
      <c r="B1079" s="43" t="s">
        <v>1452</v>
      </c>
      <c r="C1079" s="42" t="s">
        <v>1509</v>
      </c>
      <c r="D1079" s="42" t="s">
        <v>1511</v>
      </c>
      <c r="E1079" s="36" t="str">
        <f t="shared" si="12"/>
        <v>ChemicalsChemical, organicBenzene</v>
      </c>
      <c r="F1079" s="48"/>
      <c r="G1079" s="48"/>
      <c r="H1079" s="48"/>
      <c r="I1079" s="48"/>
      <c r="J1079" s="48"/>
      <c r="K1079" s="48"/>
    </row>
    <row r="1080" spans="2:11" x14ac:dyDescent="0.25">
      <c r="B1080" s="43" t="s">
        <v>1452</v>
      </c>
      <c r="C1080" s="42" t="s">
        <v>1509</v>
      </c>
      <c r="D1080" s="42" t="s">
        <v>1514</v>
      </c>
      <c r="E1080" s="36" t="str">
        <f t="shared" si="12"/>
        <v>ChemicalsChemical, organicButane</v>
      </c>
      <c r="F1080" s="48"/>
      <c r="G1080" s="48"/>
      <c r="H1080" s="48"/>
      <c r="I1080" s="48"/>
      <c r="J1080" s="48"/>
      <c r="K1080" s="48"/>
    </row>
    <row r="1081" spans="2:11" x14ac:dyDescent="0.25">
      <c r="B1081" s="43" t="s">
        <v>1452</v>
      </c>
      <c r="C1081" s="42" t="s">
        <v>1509</v>
      </c>
      <c r="D1081" s="42" t="s">
        <v>1516</v>
      </c>
      <c r="E1081" s="36" t="str">
        <f t="shared" si="12"/>
        <v>ChemicalsChemical, organicEpoxy resin</v>
      </c>
      <c r="F1081" s="48"/>
      <c r="G1081" s="48"/>
      <c r="H1081" s="47"/>
      <c r="I1081" s="47"/>
      <c r="J1081" s="48"/>
      <c r="K1081" s="48"/>
    </row>
    <row r="1082" spans="2:11" x14ac:dyDescent="0.25">
      <c r="B1082" s="43" t="s">
        <v>1452</v>
      </c>
      <c r="C1082" s="42" t="s">
        <v>1509</v>
      </c>
      <c r="D1082" s="42" t="s">
        <v>1203</v>
      </c>
      <c r="E1082" s="36" t="str">
        <f t="shared" si="12"/>
        <v>ChemicalsChemical, organicIsopropanol</v>
      </c>
      <c r="F1082" s="48"/>
      <c r="G1082" s="48"/>
      <c r="H1082" s="48"/>
      <c r="I1082" s="48"/>
      <c r="J1082" s="48"/>
      <c r="K1082" s="48"/>
    </row>
    <row r="1083" spans="2:11" x14ac:dyDescent="0.25">
      <c r="B1083" s="43" t="s">
        <v>1452</v>
      </c>
      <c r="C1083" s="42" t="s">
        <v>1509</v>
      </c>
      <c r="D1083" s="42" t="s">
        <v>1519</v>
      </c>
      <c r="E1083" s="36" t="str">
        <f t="shared" si="12"/>
        <v>ChemicalsChemical, organicPhenolic resin</v>
      </c>
      <c r="F1083" s="48"/>
      <c r="G1083" s="48"/>
      <c r="H1083" s="48"/>
      <c r="I1083" s="48"/>
      <c r="J1083" s="48"/>
      <c r="K1083" s="48"/>
    </row>
    <row r="1084" spans="2:11" x14ac:dyDescent="0.25">
      <c r="B1084" s="43" t="s">
        <v>1452</v>
      </c>
      <c r="C1084" s="42" t="s">
        <v>1509</v>
      </c>
      <c r="D1084" s="42" t="s">
        <v>1520</v>
      </c>
      <c r="E1084" s="36" t="str">
        <f t="shared" si="12"/>
        <v>ChemicalsChemical, organicPropylene glycol (liquid)</v>
      </c>
      <c r="F1084" s="48"/>
      <c r="G1084" s="48"/>
      <c r="H1084" s="48"/>
      <c r="I1084" s="48"/>
      <c r="J1084" s="48"/>
      <c r="K1084" s="48"/>
    </row>
    <row r="1085" spans="2:11" x14ac:dyDescent="0.25">
      <c r="B1085" s="43" t="s">
        <v>1452</v>
      </c>
      <c r="C1085" s="42" t="s">
        <v>1509</v>
      </c>
      <c r="D1085" s="42" t="s">
        <v>1521</v>
      </c>
      <c r="E1085" s="36" t="str">
        <f t="shared" si="12"/>
        <v>ChemicalsChemical, organicToluene (liquid)</v>
      </c>
      <c r="F1085" s="48"/>
      <c r="G1085" s="48"/>
      <c r="H1085" s="48"/>
      <c r="I1085" s="48"/>
      <c r="J1085" s="48"/>
      <c r="K1085" s="48"/>
    </row>
    <row r="1086" spans="2:11" x14ac:dyDescent="0.25">
      <c r="B1086" s="43" t="s">
        <v>1452</v>
      </c>
      <c r="C1086" s="42" t="s">
        <v>1509</v>
      </c>
      <c r="D1086" s="42" t="s">
        <v>1207</v>
      </c>
      <c r="E1086" s="36" t="str">
        <f t="shared" si="12"/>
        <v>ChemicalsChemical, organicWhite spirit</v>
      </c>
      <c r="F1086" s="48"/>
      <c r="G1086" s="48"/>
      <c r="H1086" s="48"/>
      <c r="I1086" s="48"/>
      <c r="J1086" s="48"/>
      <c r="K1086" s="48"/>
    </row>
    <row r="1087" spans="2:11" x14ac:dyDescent="0.25">
      <c r="B1087" s="43" t="s">
        <v>1452</v>
      </c>
      <c r="C1087" s="42" t="s">
        <v>1509</v>
      </c>
      <c r="D1087" s="42" t="s">
        <v>1522</v>
      </c>
      <c r="E1087" s="36" t="str">
        <f t="shared" si="12"/>
        <v>ChemicalsChemical, organicXylene</v>
      </c>
      <c r="F1087" s="48"/>
      <c r="G1087" s="48"/>
      <c r="H1087" s="48"/>
      <c r="I1087" s="48"/>
      <c r="J1087" s="48"/>
      <c r="K1087" s="48"/>
    </row>
    <row r="1088" spans="2:11" x14ac:dyDescent="0.25">
      <c r="B1088" s="43" t="s">
        <v>1452</v>
      </c>
      <c r="C1088" s="42" t="s">
        <v>1524</v>
      </c>
      <c r="D1088" s="42"/>
      <c r="E1088" s="36" t="str">
        <f t="shared" si="12"/>
        <v>ChemicalsAcids, organic</v>
      </c>
      <c r="F1088" s="48"/>
      <c r="G1088" s="48"/>
      <c r="H1088" s="48"/>
      <c r="I1088" s="48"/>
      <c r="J1088" s="48"/>
      <c r="K1088" s="48"/>
    </row>
    <row r="1089" spans="2:11" x14ac:dyDescent="0.25">
      <c r="B1089" s="43" t="s">
        <v>1452</v>
      </c>
      <c r="C1089" s="42" t="s">
        <v>1524</v>
      </c>
      <c r="D1089" s="42" t="s">
        <v>1526</v>
      </c>
      <c r="E1089" s="36" t="str">
        <f t="shared" ref="E1089:E1151" si="13">B1089&amp;C1089&amp;D1089</f>
        <v>ChemicalsAcids, organicAcetic acid</v>
      </c>
      <c r="F1089" s="48"/>
      <c r="G1089" s="48"/>
      <c r="H1089" s="48"/>
      <c r="I1089" s="48"/>
      <c r="J1089" s="48"/>
      <c r="K1089" s="48"/>
    </row>
    <row r="1090" spans="2:11" x14ac:dyDescent="0.25">
      <c r="B1090" s="43" t="s">
        <v>1452</v>
      </c>
      <c r="C1090" s="42" t="s">
        <v>1524</v>
      </c>
      <c r="D1090" s="42" t="s">
        <v>1527</v>
      </c>
      <c r="E1090" s="36" t="str">
        <f t="shared" si="13"/>
        <v>ChemicalsAcids, organicAcrylic acid</v>
      </c>
      <c r="F1090" s="48"/>
      <c r="G1090" s="48"/>
      <c r="H1090" s="48"/>
      <c r="I1090" s="48"/>
      <c r="J1090" s="48"/>
      <c r="K1090" s="48"/>
    </row>
    <row r="1091" spans="2:11" x14ac:dyDescent="0.25">
      <c r="B1091" s="43" t="s">
        <v>1452</v>
      </c>
      <c r="C1091" s="42" t="s">
        <v>1524</v>
      </c>
      <c r="D1091" s="42" t="s">
        <v>1528</v>
      </c>
      <c r="E1091" s="36" t="str">
        <f t="shared" si="13"/>
        <v>ChemicalsAcids, organicBenzoic acid</v>
      </c>
      <c r="F1091" s="48"/>
      <c r="G1091" s="48"/>
      <c r="H1091" s="48"/>
      <c r="I1091" s="48"/>
      <c r="J1091" s="48"/>
      <c r="K1091" s="48"/>
    </row>
    <row r="1092" spans="2:11" x14ac:dyDescent="0.25">
      <c r="B1092" s="43" t="s">
        <v>1452</v>
      </c>
      <c r="C1092" s="42" t="s">
        <v>1524</v>
      </c>
      <c r="D1092" s="42" t="s">
        <v>1529</v>
      </c>
      <c r="E1092" s="36" t="str">
        <f t="shared" si="13"/>
        <v>ChemicalsAcids, organicFormic acid</v>
      </c>
      <c r="F1092" s="48"/>
      <c r="G1092" s="48"/>
      <c r="H1092" s="48"/>
      <c r="I1092" s="48"/>
      <c r="J1092" s="48"/>
      <c r="K1092" s="48"/>
    </row>
    <row r="1093" spans="2:11" x14ac:dyDescent="0.25">
      <c r="B1093" s="43" t="s">
        <v>1452</v>
      </c>
      <c r="C1093" s="42" t="s">
        <v>1531</v>
      </c>
      <c r="D1093" s="42"/>
      <c r="E1093" s="36" t="str">
        <f t="shared" si="13"/>
        <v>ChemicalsWashing agents</v>
      </c>
      <c r="F1093" s="47"/>
      <c r="G1093" s="47"/>
      <c r="H1093" s="47"/>
      <c r="I1093" s="47"/>
      <c r="J1093" s="47"/>
      <c r="K1093" s="47"/>
    </row>
    <row r="1094" spans="2:11" x14ac:dyDescent="0.25">
      <c r="B1094" s="43" t="s">
        <v>1452</v>
      </c>
      <c r="C1094" s="42" t="s">
        <v>1531</v>
      </c>
      <c r="D1094" s="42" t="s">
        <v>1533</v>
      </c>
      <c r="E1094" s="36" t="str">
        <f t="shared" si="13"/>
        <v>ChemicalsWashing agentsEthoxylated alcohol</v>
      </c>
      <c r="F1094" s="48"/>
      <c r="G1094" s="48"/>
      <c r="H1094" s="48"/>
      <c r="I1094" s="48"/>
      <c r="J1094" s="48"/>
      <c r="K1094" s="48"/>
    </row>
    <row r="1095" spans="2:11" x14ac:dyDescent="0.25">
      <c r="B1095" s="43" t="s">
        <v>1452</v>
      </c>
      <c r="C1095" s="42" t="s">
        <v>1531</v>
      </c>
      <c r="D1095" s="42" t="s">
        <v>1534</v>
      </c>
      <c r="E1095" s="36" t="str">
        <f t="shared" si="13"/>
        <v>ChemicalsWashing agentsFatty alcohol sulfate</v>
      </c>
      <c r="F1095" s="48"/>
      <c r="G1095" s="48"/>
      <c r="H1095" s="48"/>
      <c r="I1095" s="48"/>
      <c r="J1095" s="48"/>
      <c r="K1095" s="48"/>
    </row>
    <row r="1096" spans="2:11" x14ac:dyDescent="0.25">
      <c r="B1096" s="43" t="s">
        <v>1452</v>
      </c>
      <c r="C1096" s="42" t="s">
        <v>1531</v>
      </c>
      <c r="D1096" s="42" t="s">
        <v>1499</v>
      </c>
      <c r="E1096" s="36" t="str">
        <f t="shared" si="13"/>
        <v>ChemicalsWashing agentsSoap</v>
      </c>
      <c r="F1096" s="48"/>
      <c r="G1096" s="48"/>
      <c r="H1096" s="48"/>
      <c r="I1096" s="48"/>
      <c r="J1096" s="48"/>
      <c r="K1096" s="48"/>
    </row>
    <row r="1097" spans="2:11" x14ac:dyDescent="0.25">
      <c r="B1097" s="43" t="s">
        <v>1537</v>
      </c>
      <c r="C1097" s="42" t="s">
        <v>1538</v>
      </c>
      <c r="D1097" s="42"/>
      <c r="E1097" s="36" t="str">
        <f t="shared" si="13"/>
        <v>OthersAdhesive</v>
      </c>
      <c r="F1097" s="48"/>
      <c r="G1097" s="48"/>
      <c r="H1097" s="48"/>
      <c r="I1097" s="48"/>
      <c r="J1097" s="48"/>
      <c r="K1097" s="48"/>
    </row>
    <row r="1098" spans="2:11" x14ac:dyDescent="0.25">
      <c r="B1098" s="43" t="s">
        <v>1537</v>
      </c>
      <c r="C1098" s="42" t="s">
        <v>1539</v>
      </c>
      <c r="D1098" s="42"/>
      <c r="E1098" s="36" t="str">
        <f t="shared" si="13"/>
        <v>OthersLubricating oil</v>
      </c>
      <c r="F1098" s="48"/>
      <c r="G1098" s="48"/>
      <c r="H1098" s="48"/>
      <c r="I1098" s="48"/>
      <c r="J1098" s="48"/>
      <c r="K1098" s="48"/>
    </row>
    <row r="1099" spans="2:11" x14ac:dyDescent="0.25">
      <c r="B1099" s="43" t="s">
        <v>1537</v>
      </c>
      <c r="C1099" s="42" t="s">
        <v>1541</v>
      </c>
      <c r="D1099" s="42"/>
      <c r="E1099" s="36" t="str">
        <f t="shared" si="13"/>
        <v>OthersSilicone product</v>
      </c>
      <c r="F1099" s="47"/>
      <c r="G1099" s="47"/>
      <c r="H1099" s="47"/>
      <c r="I1099" s="47"/>
      <c r="J1099" s="47"/>
      <c r="K1099" s="47"/>
    </row>
    <row r="1100" spans="2:11" x14ac:dyDescent="0.25">
      <c r="B1100" s="43" t="s">
        <v>1543</v>
      </c>
      <c r="C1100" s="42" t="s">
        <v>1544</v>
      </c>
      <c r="D1100" s="42"/>
      <c r="E1100" s="36" t="str">
        <f t="shared" si="13"/>
        <v>ElectronicsBattery</v>
      </c>
      <c r="F1100" s="48"/>
      <c r="G1100" s="48"/>
      <c r="H1100" s="48"/>
      <c r="I1100" s="48"/>
      <c r="J1100" s="48"/>
      <c r="K1100" s="48"/>
    </row>
    <row r="1101" spans="2:11" x14ac:dyDescent="0.25">
      <c r="B1101" s="43" t="s">
        <v>1543</v>
      </c>
      <c r="C1101" s="42" t="s">
        <v>1544</v>
      </c>
      <c r="D1101" s="42" t="s">
        <v>1546</v>
      </c>
      <c r="E1101" s="36" t="str">
        <f t="shared" si="13"/>
        <v>ElectronicsBatteryBattery cell, LFP</v>
      </c>
      <c r="F1101" s="48"/>
      <c r="G1101" s="48"/>
      <c r="H1101" s="48"/>
      <c r="I1101" s="48"/>
      <c r="J1101" s="48"/>
      <c r="K1101" s="48"/>
    </row>
    <row r="1102" spans="2:11" x14ac:dyDescent="0.25">
      <c r="B1102" s="43" t="s">
        <v>1543</v>
      </c>
      <c r="C1102" s="42" t="s">
        <v>1544</v>
      </c>
      <c r="D1102" s="42" t="s">
        <v>1548</v>
      </c>
      <c r="E1102" s="36" t="str">
        <f t="shared" si="13"/>
        <v>ElectronicsBatteryBattery cell, Li-ion (rechargeable)</v>
      </c>
      <c r="F1102" s="48"/>
      <c r="G1102" s="48"/>
      <c r="H1102" s="48"/>
      <c r="I1102" s="48"/>
      <c r="J1102" s="48"/>
      <c r="K1102" s="48"/>
    </row>
    <row r="1103" spans="2:11" x14ac:dyDescent="0.25">
      <c r="B1103" s="43" t="s">
        <v>1543</v>
      </c>
      <c r="C1103" s="42" t="s">
        <v>1544</v>
      </c>
      <c r="D1103" s="42" t="s">
        <v>1550</v>
      </c>
      <c r="E1103" s="36" t="str">
        <f t="shared" si="13"/>
        <v>ElectronicsBatteryBattery cell, NMC-111</v>
      </c>
      <c r="F1103" s="47"/>
      <c r="G1103" s="47"/>
      <c r="H1103" s="47"/>
      <c r="I1103" s="47"/>
      <c r="J1103" s="47"/>
      <c r="K1103" s="47"/>
    </row>
    <row r="1104" spans="2:11" x14ac:dyDescent="0.25">
      <c r="B1104" s="43" t="s">
        <v>1543</v>
      </c>
      <c r="C1104" s="42" t="s">
        <v>1552</v>
      </c>
      <c r="D1104" s="42" t="s">
        <v>1553</v>
      </c>
      <c r="E1104" s="36" t="str">
        <f t="shared" si="13"/>
        <v>ElectronicsComponentPrinting ink, offset (without solvent)</v>
      </c>
      <c r="F1104" s="47"/>
      <c r="G1104" s="47"/>
      <c r="H1104" s="47"/>
      <c r="I1104" s="47"/>
      <c r="J1104" s="47"/>
      <c r="K1104" s="47"/>
    </row>
    <row r="1105" spans="2:11" x14ac:dyDescent="0.25">
      <c r="B1105" s="43" t="s">
        <v>1543</v>
      </c>
      <c r="C1105" s="42" t="s">
        <v>1552</v>
      </c>
      <c r="D1105" s="42" t="s">
        <v>1555</v>
      </c>
      <c r="E1105" s="36" t="str">
        <f t="shared" si="13"/>
        <v>ElectronicsComponentPrinting ink, rotogravure (without solvent)</v>
      </c>
      <c r="F1105" s="47"/>
      <c r="G1105" s="47"/>
      <c r="H1105" s="47"/>
      <c r="I1105" s="47"/>
      <c r="J1105" s="47"/>
      <c r="K1105" s="47"/>
    </row>
    <row r="1106" spans="2:11" x14ac:dyDescent="0.25">
      <c r="B1106" s="43" t="s">
        <v>1543</v>
      </c>
      <c r="C1106" s="42" t="s">
        <v>1552</v>
      </c>
      <c r="D1106" s="42" t="s">
        <v>1558</v>
      </c>
      <c r="E1106" s="36" t="str">
        <f t="shared" si="13"/>
        <v>ElectronicsComponentToner, colour (powder)</v>
      </c>
      <c r="F1106" s="48"/>
      <c r="G1106" s="48"/>
      <c r="H1106" s="48"/>
      <c r="I1106" s="48"/>
      <c r="J1106" s="48"/>
      <c r="K1106" s="48"/>
    </row>
    <row r="1107" spans="2:11" x14ac:dyDescent="0.25">
      <c r="B1107" s="43" t="s">
        <v>1543</v>
      </c>
      <c r="C1107" s="42" t="s">
        <v>1560</v>
      </c>
      <c r="D1107" s="42" t="s">
        <v>1561</v>
      </c>
      <c r="E1107" s="36" t="str">
        <f t="shared" si="13"/>
        <v>ElectronicsDevicesComputer, laptop</v>
      </c>
      <c r="F1107" s="48"/>
      <c r="G1107" s="48"/>
      <c r="H1107" s="48"/>
      <c r="I1107" s="48"/>
      <c r="J1107" s="48"/>
      <c r="K1107" s="48"/>
    </row>
    <row r="1108" spans="2:11" x14ac:dyDescent="0.25">
      <c r="B1108" s="43" t="s">
        <v>1543</v>
      </c>
      <c r="C1108" s="42" t="s">
        <v>1560</v>
      </c>
      <c r="D1108" s="42" t="s">
        <v>1563</v>
      </c>
      <c r="E1108" s="36" t="str">
        <f t="shared" si="13"/>
        <v>ElectronicsDevicesPrinter</v>
      </c>
      <c r="F1108" s="48"/>
      <c r="G1108" s="48"/>
      <c r="H1108" s="48"/>
      <c r="I1108" s="48"/>
      <c r="J1108" s="48"/>
      <c r="K1108" s="48"/>
    </row>
    <row r="1109" spans="2:11" x14ac:dyDescent="0.25">
      <c r="B1109" s="43" t="s">
        <v>1543</v>
      </c>
      <c r="C1109" s="42" t="s">
        <v>1560</v>
      </c>
      <c r="D1109" s="42" t="s">
        <v>1565</v>
      </c>
      <c r="E1109" s="36" t="str">
        <f t="shared" si="13"/>
        <v>ElectronicsDevicesRouter, internet</v>
      </c>
      <c r="F1109" s="47"/>
      <c r="G1109" s="47"/>
      <c r="H1109" s="47"/>
      <c r="I1109" s="47"/>
      <c r="J1109" s="47"/>
      <c r="K1109" s="47"/>
    </row>
    <row r="1110" spans="2:11" x14ac:dyDescent="0.25">
      <c r="B1110" s="43" t="s">
        <v>1543</v>
      </c>
      <c r="C1110" s="42" t="s">
        <v>1560</v>
      </c>
      <c r="D1110" s="42" t="s">
        <v>1567</v>
      </c>
      <c r="E1110" s="36" t="str">
        <f t="shared" si="13"/>
        <v>ElectronicsDevicesDesktop computer / Server (whitout screen)</v>
      </c>
      <c r="F1110" s="48"/>
      <c r="G1110" s="48"/>
      <c r="H1110" s="48"/>
      <c r="I1110" s="48"/>
      <c r="J1110" s="48"/>
      <c r="K1110" s="48"/>
    </row>
    <row r="1111" spans="2:11" x14ac:dyDescent="0.25">
      <c r="B1111" s="43" t="s">
        <v>1543</v>
      </c>
      <c r="C1111" s="42" t="s">
        <v>1560</v>
      </c>
      <c r="D1111" s="42" t="s">
        <v>1568</v>
      </c>
      <c r="E1111" s="36" t="str">
        <f t="shared" si="13"/>
        <v>ElectronicsDevicesLED-Screen 23 Zoll</v>
      </c>
      <c r="F1111" s="48"/>
      <c r="G1111" s="48"/>
      <c r="H1111" s="48"/>
      <c r="I1111" s="48"/>
      <c r="J1111" s="48"/>
      <c r="K1111" s="48"/>
    </row>
    <row r="1112" spans="2:11" x14ac:dyDescent="0.25">
      <c r="B1112" s="43" t="s">
        <v>1543</v>
      </c>
      <c r="C1112" s="42" t="s">
        <v>1560</v>
      </c>
      <c r="D1112" s="42" t="s">
        <v>1570</v>
      </c>
      <c r="E1112" s="36" t="str">
        <f t="shared" si="13"/>
        <v>ElectronicsDevicesOLED-Screen 43 Zoll</v>
      </c>
      <c r="F1112" s="48"/>
      <c r="G1112" s="48"/>
      <c r="H1112" s="48"/>
      <c r="I1112" s="48"/>
      <c r="J1112" s="48"/>
      <c r="K1112" s="48"/>
    </row>
    <row r="1113" spans="2:11" x14ac:dyDescent="0.25">
      <c r="B1113" s="43" t="s">
        <v>1543</v>
      </c>
      <c r="C1113" s="42" t="s">
        <v>1560</v>
      </c>
      <c r="D1113" s="42" t="s">
        <v>995</v>
      </c>
      <c r="E1113" s="36" t="str">
        <f t="shared" si="13"/>
        <v>ElectronicsDevicesLCD module, at plant {GLO}</v>
      </c>
      <c r="F1113" s="47"/>
      <c r="G1113" s="47"/>
      <c r="H1113" s="47"/>
      <c r="I1113" s="47"/>
      <c r="J1113" s="47"/>
      <c r="K1113" s="47"/>
    </row>
    <row r="1114" spans="2:11" x14ac:dyDescent="0.25">
      <c r="B1114" s="43" t="s">
        <v>1543</v>
      </c>
      <c r="C1114" s="42" t="s">
        <v>1552</v>
      </c>
      <c r="D1114" s="42"/>
      <c r="E1114" s="36" t="str">
        <f t="shared" si="13"/>
        <v>ElectronicsComponent</v>
      </c>
      <c r="F1114" s="48"/>
      <c r="G1114" s="48"/>
      <c r="H1114" s="48"/>
      <c r="I1114" s="48"/>
      <c r="J1114" s="48"/>
      <c r="K1114" s="48"/>
    </row>
    <row r="1115" spans="2:11" x14ac:dyDescent="0.25">
      <c r="B1115" s="43" t="s">
        <v>1543</v>
      </c>
      <c r="C1115" s="42" t="s">
        <v>1552</v>
      </c>
      <c r="D1115" s="42" t="s">
        <v>1573</v>
      </c>
      <c r="E1115" s="36" t="str">
        <f t="shared" si="13"/>
        <v>ElectronicsComponentElectronic component (active)</v>
      </c>
      <c r="F1115" s="48"/>
      <c r="G1115" s="48"/>
      <c r="H1115" s="48"/>
      <c r="I1115" s="48"/>
      <c r="J1115" s="48"/>
      <c r="K1115" s="48"/>
    </row>
    <row r="1116" spans="2:11" x14ac:dyDescent="0.25">
      <c r="B1116" s="43" t="s">
        <v>1543</v>
      </c>
      <c r="C1116" s="42" t="s">
        <v>1552</v>
      </c>
      <c r="D1116" s="42" t="s">
        <v>1575</v>
      </c>
      <c r="E1116" s="36" t="str">
        <f t="shared" si="13"/>
        <v>ElectronicsComponentElectronic component (passive)</v>
      </c>
      <c r="F1116" s="48"/>
      <c r="G1116" s="48"/>
      <c r="H1116" s="48"/>
      <c r="I1116" s="48"/>
      <c r="J1116" s="48"/>
      <c r="K1116" s="48"/>
    </row>
    <row r="1117" spans="2:11" x14ac:dyDescent="0.25">
      <c r="B1117" s="43" t="s">
        <v>1543</v>
      </c>
      <c r="C1117" s="42" t="s">
        <v>1552</v>
      </c>
      <c r="D1117" s="42" t="s">
        <v>1577</v>
      </c>
      <c r="E1117" s="36" t="str">
        <f t="shared" si="13"/>
        <v>ElectronicsComponentPrinted wiring board</v>
      </c>
      <c r="F1117" s="48"/>
      <c r="G1117" s="48"/>
      <c r="H1117" s="48"/>
      <c r="I1117" s="48"/>
      <c r="J1117" s="48"/>
      <c r="K1117" s="48"/>
    </row>
    <row r="1118" spans="2:11" x14ac:dyDescent="0.25">
      <c r="B1118" s="43" t="s">
        <v>1578</v>
      </c>
      <c r="C1118" s="42" t="s">
        <v>1579</v>
      </c>
      <c r="D1118" s="42"/>
      <c r="E1118" s="36" t="str">
        <f t="shared" si="13"/>
        <v>GlassFlat glass (coated)</v>
      </c>
      <c r="F1118" s="48"/>
      <c r="G1118" s="48"/>
      <c r="H1118" s="48"/>
      <c r="I1118" s="48"/>
      <c r="J1118" s="48"/>
      <c r="K1118" s="48"/>
    </row>
    <row r="1119" spans="2:11" x14ac:dyDescent="0.25">
      <c r="B1119" s="43" t="s">
        <v>1578</v>
      </c>
      <c r="C1119" s="42" t="s">
        <v>1581</v>
      </c>
      <c r="D1119" s="42"/>
      <c r="E1119" s="36" t="str">
        <f t="shared" si="13"/>
        <v>GlassPackaging glass</v>
      </c>
      <c r="F1119" s="48"/>
      <c r="G1119" s="48"/>
      <c r="H1119" s="48"/>
      <c r="I1119" s="48"/>
      <c r="J1119" s="48"/>
      <c r="K1119" s="48"/>
    </row>
    <row r="1120" spans="2:11" x14ac:dyDescent="0.25">
      <c r="B1120" s="43" t="s">
        <v>1582</v>
      </c>
      <c r="C1120" s="42" t="s">
        <v>1583</v>
      </c>
      <c r="D1120" s="42"/>
      <c r="E1120" s="36" t="str">
        <f t="shared" si="13"/>
        <v>WoodWood chips CH (dry)</v>
      </c>
      <c r="F1120" s="48"/>
      <c r="G1120" s="48"/>
      <c r="H1120" s="48"/>
      <c r="I1120" s="48"/>
      <c r="J1120" s="48"/>
      <c r="K1120" s="48"/>
    </row>
    <row r="1121" spans="2:11" x14ac:dyDescent="0.25">
      <c r="B1121" s="43" t="s">
        <v>1582</v>
      </c>
      <c r="C1121" s="42" t="s">
        <v>1584</v>
      </c>
      <c r="D1121" s="42"/>
      <c r="E1121" s="36" t="str">
        <f t="shared" si="13"/>
        <v>WoodCork</v>
      </c>
      <c r="F1121" s="48"/>
      <c r="G1121" s="48"/>
      <c r="H1121" s="48"/>
      <c r="I1121" s="48"/>
      <c r="J1121" s="48"/>
      <c r="K1121" s="48"/>
    </row>
    <row r="1122" spans="2:11" x14ac:dyDescent="0.25">
      <c r="B1122" s="43" t="s">
        <v>1582</v>
      </c>
      <c r="C1122" s="42" t="s">
        <v>1585</v>
      </c>
      <c r="D1122" s="42"/>
      <c r="E1122" s="36" t="str">
        <f t="shared" si="13"/>
        <v>WoodFireboard</v>
      </c>
      <c r="F1122" s="48"/>
      <c r="G1122" s="48"/>
      <c r="H1122" s="48"/>
      <c r="I1122" s="48"/>
      <c r="J1122" s="48"/>
      <c r="K1122" s="48"/>
    </row>
    <row r="1123" spans="2:11" x14ac:dyDescent="0.25">
      <c r="B1123" s="43" t="s">
        <v>1582</v>
      </c>
      <c r="C1123" s="42" t="s">
        <v>1586</v>
      </c>
      <c r="D1123" s="42"/>
      <c r="E1123" s="36" t="str">
        <f t="shared" si="13"/>
        <v>WoodGlued laminated timber</v>
      </c>
      <c r="F1123" s="48"/>
      <c r="G1123" s="48"/>
      <c r="H1123" s="48"/>
      <c r="I1123" s="48"/>
      <c r="J1123" s="48"/>
      <c r="K1123" s="48"/>
    </row>
    <row r="1124" spans="2:11" x14ac:dyDescent="0.25">
      <c r="B1124" s="43" t="s">
        <v>1582</v>
      </c>
      <c r="C1124" s="42" t="s">
        <v>1587</v>
      </c>
      <c r="D1124" s="42"/>
      <c r="E1124" s="36" t="str">
        <f t="shared" si="13"/>
        <v>WoodSawnwood (hard)</v>
      </c>
      <c r="F1124" s="48"/>
      <c r="G1124" s="48"/>
      <c r="H1124" s="48"/>
      <c r="I1124" s="48"/>
      <c r="J1124" s="48"/>
      <c r="K1124" s="48"/>
    </row>
    <row r="1125" spans="2:11" x14ac:dyDescent="0.25">
      <c r="B1125" s="43" t="s">
        <v>1582</v>
      </c>
      <c r="C1125" s="42" t="s">
        <v>1589</v>
      </c>
      <c r="D1125" s="42"/>
      <c r="E1125" s="36" t="str">
        <f t="shared" si="13"/>
        <v>WoodSawnwood (soft)</v>
      </c>
      <c r="F1125" s="48"/>
      <c r="G1125" s="48"/>
      <c r="H1125" s="48"/>
      <c r="I1125" s="48"/>
      <c r="J1125" s="48"/>
      <c r="K1125" s="48"/>
    </row>
    <row r="1126" spans="2:11" x14ac:dyDescent="0.25">
      <c r="B1126" s="43" t="s">
        <v>1582</v>
      </c>
      <c r="C1126" s="42" t="s">
        <v>1590</v>
      </c>
      <c r="D1126" s="42"/>
      <c r="E1126" s="36" t="str">
        <f t="shared" si="13"/>
        <v>WoodPlywood (indoor use)</v>
      </c>
      <c r="F1126" s="48"/>
      <c r="G1126" s="48"/>
      <c r="H1126" s="48"/>
      <c r="I1126" s="48"/>
      <c r="J1126" s="48"/>
      <c r="K1126" s="48"/>
    </row>
    <row r="1127" spans="2:11" x14ac:dyDescent="0.25">
      <c r="B1127" s="43" t="s">
        <v>1582</v>
      </c>
      <c r="C1127" s="42" t="s">
        <v>1591</v>
      </c>
      <c r="D1127" s="42"/>
      <c r="E1127" s="36" t="str">
        <f t="shared" si="13"/>
        <v>WoodPlywood (outdoor use)</v>
      </c>
      <c r="F1127" s="48"/>
      <c r="G1127" s="48"/>
      <c r="H1127" s="48"/>
      <c r="I1127" s="48"/>
      <c r="J1127" s="48"/>
      <c r="K1127" s="48"/>
    </row>
    <row r="1128" spans="2:11" x14ac:dyDescent="0.25">
      <c r="B1128" s="43" t="s">
        <v>1592</v>
      </c>
      <c r="C1128" s="42"/>
      <c r="D1128" s="42"/>
      <c r="E1128" s="36" t="str">
        <f t="shared" si="13"/>
        <v>Ceramics</v>
      </c>
      <c r="F1128" s="47"/>
      <c r="G1128" s="47"/>
      <c r="H1128" s="47"/>
      <c r="I1128" s="47"/>
      <c r="J1128" s="47"/>
      <c r="K1128" s="47"/>
    </row>
    <row r="1129" spans="2:11" x14ac:dyDescent="0.25">
      <c r="B1129" s="43" t="s">
        <v>1594</v>
      </c>
      <c r="C1129" s="42" t="s">
        <v>1595</v>
      </c>
      <c r="D1129" s="42"/>
      <c r="E1129" s="36" t="str">
        <f t="shared" si="13"/>
        <v>PlasticsBiopolymers</v>
      </c>
      <c r="F1129" s="48"/>
      <c r="G1129" s="48"/>
      <c r="H1129" s="48"/>
      <c r="I1129" s="48"/>
      <c r="J1129" s="48"/>
      <c r="K1129" s="48"/>
    </row>
    <row r="1130" spans="2:11" x14ac:dyDescent="0.25">
      <c r="B1130" s="43" t="s">
        <v>1594</v>
      </c>
      <c r="C1130" s="42" t="s">
        <v>1596</v>
      </c>
      <c r="D1130" s="42" t="s">
        <v>1597</v>
      </c>
      <c r="E1130" s="36" t="str">
        <f t="shared" si="13"/>
        <v>PlasticsRubbersAcrylonitrile butadiene styrene (ABS)</v>
      </c>
      <c r="F1130" s="48"/>
      <c r="G1130" s="48"/>
      <c r="H1130" s="48"/>
      <c r="I1130" s="48"/>
      <c r="J1130" s="48"/>
      <c r="K1130" s="48"/>
    </row>
    <row r="1131" spans="2:11" x14ac:dyDescent="0.25">
      <c r="B1131" s="43" t="s">
        <v>1594</v>
      </c>
      <c r="C1131" s="42" t="s">
        <v>1596</v>
      </c>
      <c r="D1131" s="42" t="s">
        <v>1598</v>
      </c>
      <c r="E1131" s="36" t="str">
        <f t="shared" si="13"/>
        <v>PlasticsRubbersPolybutadiene</v>
      </c>
      <c r="F1131" s="47"/>
      <c r="G1131" s="47"/>
      <c r="H1131" s="47"/>
      <c r="I1131" s="47"/>
      <c r="J1131" s="47"/>
      <c r="K1131" s="47"/>
    </row>
    <row r="1132" spans="2:11" x14ac:dyDescent="0.25">
      <c r="B1132" s="43" t="s">
        <v>1594</v>
      </c>
      <c r="C1132" s="42" t="s">
        <v>1596</v>
      </c>
      <c r="D1132" s="42" t="s">
        <v>1600</v>
      </c>
      <c r="E1132" s="36" t="str">
        <f t="shared" si="13"/>
        <v>PlasticsRubbersStyrene acrylonitrile</v>
      </c>
      <c r="F1132" s="48"/>
      <c r="G1132" s="48"/>
      <c r="H1132" s="48"/>
      <c r="I1132" s="48"/>
      <c r="J1132" s="48"/>
      <c r="K1132" s="48"/>
    </row>
    <row r="1133" spans="2:11" x14ac:dyDescent="0.25">
      <c r="B1133" s="43" t="s">
        <v>1594</v>
      </c>
      <c r="C1133" s="42" t="s">
        <v>1596</v>
      </c>
      <c r="D1133" s="42" t="s">
        <v>1602</v>
      </c>
      <c r="E1133" s="36" t="str">
        <f t="shared" si="13"/>
        <v>PlasticsRubbersSynthetic rubber</v>
      </c>
      <c r="F1133" s="48"/>
      <c r="G1133" s="48"/>
      <c r="H1133" s="48"/>
      <c r="I1133" s="48"/>
      <c r="J1133" s="48"/>
      <c r="K1133" s="48"/>
    </row>
    <row r="1134" spans="2:11" x14ac:dyDescent="0.25">
      <c r="B1134" s="43" t="s">
        <v>1594</v>
      </c>
      <c r="C1134" s="42" t="s">
        <v>1604</v>
      </c>
      <c r="D1134" s="42"/>
      <c r="E1134" s="36" t="str">
        <f t="shared" si="13"/>
        <v>PlasticsThermoplastics</v>
      </c>
      <c r="F1134" s="48"/>
      <c r="G1134" s="48"/>
      <c r="H1134" s="48"/>
      <c r="I1134" s="48"/>
      <c r="J1134" s="48"/>
      <c r="K1134" s="48"/>
    </row>
    <row r="1135" spans="2:11" x14ac:dyDescent="0.25">
      <c r="B1135" s="43" t="s">
        <v>1594</v>
      </c>
      <c r="C1135" s="42" t="s">
        <v>1604</v>
      </c>
      <c r="D1135" s="42" t="s">
        <v>1606</v>
      </c>
      <c r="E1135" s="36" t="str">
        <f t="shared" si="13"/>
        <v>PlasticsThermoplasticsEthylene Vynil Acetate</v>
      </c>
      <c r="F1135" s="52"/>
      <c r="G1135" s="52"/>
      <c r="H1135" s="52"/>
      <c r="I1135" s="52"/>
      <c r="J1135" s="52"/>
      <c r="K1135" s="52"/>
    </row>
    <row r="1136" spans="2:11" x14ac:dyDescent="0.25">
      <c r="B1136" s="43" t="s">
        <v>1594</v>
      </c>
      <c r="C1136" s="42" t="s">
        <v>1604</v>
      </c>
      <c r="D1136" s="42" t="s">
        <v>1608</v>
      </c>
      <c r="E1136" s="36" t="str">
        <f t="shared" si="13"/>
        <v>PlasticsThermoplasticsEthylene Vynil Acetate (foil)</v>
      </c>
      <c r="F1136" s="52"/>
      <c r="G1136" s="52"/>
      <c r="H1136" s="52"/>
      <c r="I1136" s="52"/>
      <c r="J1136" s="52"/>
      <c r="K1136" s="52"/>
    </row>
    <row r="1137" spans="2:11" x14ac:dyDescent="0.25">
      <c r="B1137" s="43" t="s">
        <v>1594</v>
      </c>
      <c r="C1137" s="42" t="s">
        <v>1604</v>
      </c>
      <c r="D1137" s="42" t="s">
        <v>1612</v>
      </c>
      <c r="E1137" s="36" t="str">
        <f t="shared" si="13"/>
        <v>PlasticsThermoplasticsGlass fibre, reinforced polyamide</v>
      </c>
      <c r="F1137" s="52"/>
      <c r="G1137" s="52"/>
      <c r="H1137" s="52"/>
      <c r="I1137" s="52"/>
      <c r="J1137" s="52"/>
      <c r="K1137" s="52"/>
    </row>
    <row r="1138" spans="2:11" x14ac:dyDescent="0.25">
      <c r="B1138" s="43" t="s">
        <v>1594</v>
      </c>
      <c r="C1138" s="42" t="s">
        <v>1604</v>
      </c>
      <c r="D1138" s="42" t="s">
        <v>1614</v>
      </c>
      <c r="E1138" s="36" t="str">
        <f t="shared" si="13"/>
        <v>PlasticsThermoplasticsFleece, polyethylene</v>
      </c>
      <c r="F1138" s="52"/>
      <c r="G1138" s="52"/>
      <c r="H1138" s="52"/>
      <c r="I1138" s="52"/>
      <c r="J1138" s="52"/>
      <c r="K1138" s="52"/>
    </row>
    <row r="1139" spans="2:11" x14ac:dyDescent="0.25">
      <c r="B1139" s="43" t="s">
        <v>1594</v>
      </c>
      <c r="C1139" s="42" t="s">
        <v>1604</v>
      </c>
      <c r="D1139" s="42" t="s">
        <v>1264</v>
      </c>
      <c r="E1139" s="36" t="str">
        <f t="shared" si="13"/>
        <v>PlasticsThermoplasticsNylon 6</v>
      </c>
      <c r="F1139" s="47"/>
      <c r="G1139" s="47"/>
      <c r="H1139" s="47"/>
      <c r="I1139" s="47"/>
      <c r="J1139" s="47"/>
      <c r="K1139" s="47"/>
    </row>
    <row r="1140" spans="2:11" x14ac:dyDescent="0.25">
      <c r="B1140" s="43" t="s">
        <v>1594</v>
      </c>
      <c r="C1140" s="42" t="s">
        <v>1604</v>
      </c>
      <c r="D1140" s="42" t="s">
        <v>1616</v>
      </c>
      <c r="E1140" s="36" t="str">
        <f t="shared" si="13"/>
        <v>PlasticsThermoplasticsPackaging film</v>
      </c>
      <c r="F1140" s="52"/>
      <c r="G1140" s="52"/>
      <c r="H1140" s="48"/>
      <c r="I1140" s="48"/>
      <c r="J1140" s="52"/>
      <c r="K1140" s="52"/>
    </row>
    <row r="1141" spans="2:11" x14ac:dyDescent="0.25">
      <c r="B1141" s="43" t="s">
        <v>1594</v>
      </c>
      <c r="C1141" s="42" t="s">
        <v>1604</v>
      </c>
      <c r="D1141" s="42" t="s">
        <v>1576</v>
      </c>
      <c r="E1141" s="36" t="str">
        <f t="shared" si="13"/>
        <v>PlasticsThermoplasticsPolycarbonate</v>
      </c>
      <c r="F1141" s="47"/>
      <c r="G1141" s="47"/>
      <c r="H1141" s="47"/>
      <c r="I1141" s="47"/>
      <c r="J1141" s="47"/>
      <c r="K1141" s="47"/>
    </row>
    <row r="1142" spans="2:11" x14ac:dyDescent="0.25">
      <c r="B1142" s="43" t="s">
        <v>1594</v>
      </c>
      <c r="C1142" s="42" t="s">
        <v>1604</v>
      </c>
      <c r="D1142" s="42" t="s">
        <v>1619</v>
      </c>
      <c r="E1142" s="36" t="str">
        <f t="shared" si="13"/>
        <v>PlasticsThermoplasticsPET (granulate)</v>
      </c>
      <c r="F1142" s="48"/>
      <c r="G1142" s="48"/>
      <c r="H1142" s="48"/>
      <c r="I1142" s="48"/>
      <c r="J1142" s="48"/>
      <c r="K1142" s="48"/>
    </row>
    <row r="1143" spans="2:11" x14ac:dyDescent="0.25">
      <c r="B1143" s="43" t="s">
        <v>1594</v>
      </c>
      <c r="C1143" s="42" t="s">
        <v>1604</v>
      </c>
      <c r="D1143" s="42" t="s">
        <v>1621</v>
      </c>
      <c r="E1143" s="36" t="str">
        <f t="shared" si="13"/>
        <v>PlasticsThermoplasticsHDPE (granulate)</v>
      </c>
      <c r="F1143" s="48"/>
      <c r="G1143" s="48"/>
      <c r="H1143" s="48"/>
      <c r="I1143" s="48"/>
      <c r="J1143" s="48"/>
      <c r="K1143" s="48"/>
    </row>
    <row r="1144" spans="2:11" x14ac:dyDescent="0.25">
      <c r="B1144" s="43" t="s">
        <v>1594</v>
      </c>
      <c r="C1144" s="42" t="s">
        <v>1604</v>
      </c>
      <c r="D1144" s="42" t="s">
        <v>1622</v>
      </c>
      <c r="E1144" s="36" t="str">
        <f t="shared" si="13"/>
        <v>PlasticsThermoplasticsLDPE (granulate)</v>
      </c>
      <c r="F1144" s="47"/>
      <c r="G1144" s="47"/>
      <c r="H1144" s="47"/>
      <c r="I1144" s="47"/>
      <c r="J1144" s="47"/>
      <c r="K1144" s="47"/>
    </row>
    <row r="1145" spans="2:11" x14ac:dyDescent="0.25">
      <c r="B1145" s="43" t="s">
        <v>1594</v>
      </c>
      <c r="C1145" s="42" t="s">
        <v>1604</v>
      </c>
      <c r="D1145" s="42" t="s">
        <v>1624</v>
      </c>
      <c r="E1145" s="36" t="str">
        <f t="shared" si="13"/>
        <v>PlasticsThermoplasticsPMMA (granulate)</v>
      </c>
      <c r="F1145" s="48"/>
      <c r="G1145" s="48"/>
      <c r="H1145" s="48"/>
      <c r="I1145" s="48"/>
      <c r="J1145" s="48"/>
      <c r="K1145" s="48"/>
    </row>
    <row r="1146" spans="2:11" x14ac:dyDescent="0.25">
      <c r="B1146" s="43" t="s">
        <v>1594</v>
      </c>
      <c r="C1146" s="42" t="s">
        <v>1604</v>
      </c>
      <c r="D1146" s="42" t="s">
        <v>1625</v>
      </c>
      <c r="E1146" s="36" t="str">
        <f t="shared" si="13"/>
        <v>PlasticsThermoplasticsPMMA (feuilles)</v>
      </c>
      <c r="F1146" s="47"/>
      <c r="G1146" s="47"/>
      <c r="H1146" s="47"/>
      <c r="I1146" s="47"/>
      <c r="J1146" s="47"/>
      <c r="K1146" s="47"/>
    </row>
    <row r="1147" spans="2:11" x14ac:dyDescent="0.25">
      <c r="B1147" s="43" t="s">
        <v>1594</v>
      </c>
      <c r="C1147" s="42" t="s">
        <v>1604</v>
      </c>
      <c r="D1147" s="42" t="s">
        <v>1271</v>
      </c>
      <c r="E1147" s="36" t="str">
        <f t="shared" si="13"/>
        <v>PlasticsThermoplasticsPolyester</v>
      </c>
      <c r="F1147" s="48"/>
      <c r="G1147" s="48"/>
      <c r="H1147" s="48"/>
      <c r="I1147" s="48"/>
      <c r="J1147" s="48"/>
      <c r="K1147" s="48"/>
    </row>
    <row r="1148" spans="2:11" x14ac:dyDescent="0.25">
      <c r="B1148" s="43" t="s">
        <v>1594</v>
      </c>
      <c r="C1148" s="42" t="s">
        <v>1604</v>
      </c>
      <c r="D1148" s="42" t="s">
        <v>1628</v>
      </c>
      <c r="E1148" s="36" t="str">
        <f t="shared" si="13"/>
        <v>PlasticsThermoplasticsPolyphenylene sulfide</v>
      </c>
      <c r="F1148" s="48"/>
      <c r="G1148" s="48"/>
      <c r="H1148" s="48"/>
      <c r="I1148" s="48"/>
      <c r="J1148" s="48"/>
      <c r="K1148" s="48"/>
    </row>
    <row r="1149" spans="2:11" x14ac:dyDescent="0.25">
      <c r="B1149" s="43" t="s">
        <v>1594</v>
      </c>
      <c r="C1149" s="42" t="s">
        <v>1604</v>
      </c>
      <c r="D1149" s="42" t="s">
        <v>1630</v>
      </c>
      <c r="E1149" s="36" t="str">
        <f t="shared" si="13"/>
        <v>PlasticsThermoplasticsPP (granulate)</v>
      </c>
      <c r="F1149" s="48"/>
      <c r="G1149" s="48"/>
      <c r="H1149" s="48"/>
      <c r="I1149" s="48"/>
      <c r="J1149" s="48"/>
      <c r="K1149" s="48"/>
    </row>
    <row r="1150" spans="2:11" x14ac:dyDescent="0.25">
      <c r="B1150" s="43" t="s">
        <v>1594</v>
      </c>
      <c r="C1150" s="42" t="s">
        <v>1604</v>
      </c>
      <c r="D1150" s="42" t="s">
        <v>1632</v>
      </c>
      <c r="E1150" s="36" t="str">
        <f t="shared" si="13"/>
        <v>PlasticsThermoplasticsPS (general purpose)</v>
      </c>
      <c r="F1150" s="48"/>
      <c r="G1150" s="48"/>
      <c r="H1150" s="48"/>
      <c r="I1150" s="48"/>
      <c r="J1150" s="48"/>
      <c r="K1150" s="48"/>
    </row>
    <row r="1151" spans="2:11" x14ac:dyDescent="0.25">
      <c r="B1151" s="43" t="s">
        <v>1594</v>
      </c>
      <c r="C1151" s="42" t="s">
        <v>1604</v>
      </c>
      <c r="D1151" s="42" t="s">
        <v>1634</v>
      </c>
      <c r="E1151" s="36" t="str">
        <f t="shared" si="13"/>
        <v>PlasticsThermoplasticsPS, expandable</v>
      </c>
      <c r="F1151" s="48"/>
      <c r="G1151" s="48"/>
      <c r="H1151" s="48"/>
      <c r="I1151" s="48"/>
      <c r="J1151" s="48"/>
      <c r="K1151" s="48"/>
    </row>
    <row r="1152" spans="2:11" x14ac:dyDescent="0.25">
      <c r="B1152" s="43" t="s">
        <v>1594</v>
      </c>
      <c r="C1152" s="42" t="s">
        <v>1604</v>
      </c>
      <c r="D1152" s="42" t="s">
        <v>1636</v>
      </c>
      <c r="E1152" s="36" t="str">
        <f t="shared" ref="E1152:E1213" si="14">B1152&amp;C1152&amp;D1152</f>
        <v>PlasticsThermoplasticsPS, extruded</v>
      </c>
      <c r="F1152" s="48"/>
      <c r="G1152" s="48"/>
      <c r="H1152" s="48"/>
      <c r="I1152" s="48"/>
      <c r="J1152" s="48"/>
      <c r="K1152" s="48"/>
    </row>
    <row r="1153" spans="2:11" x14ac:dyDescent="0.25">
      <c r="B1153" s="43" t="s">
        <v>1594</v>
      </c>
      <c r="C1153" s="42" t="s">
        <v>1604</v>
      </c>
      <c r="D1153" s="42" t="s">
        <v>1277</v>
      </c>
      <c r="E1153" s="36" t="str">
        <f t="shared" si="14"/>
        <v>PlasticsThermoplasticsPVC</v>
      </c>
      <c r="F1153" s="48"/>
      <c r="G1153" s="48"/>
      <c r="H1153" s="48"/>
      <c r="I1153" s="48"/>
      <c r="J1153" s="48"/>
      <c r="K1153" s="48"/>
    </row>
    <row r="1154" spans="2:11" x14ac:dyDescent="0.25">
      <c r="B1154" s="43" t="s">
        <v>1594</v>
      </c>
      <c r="C1154" s="42" t="s">
        <v>1604</v>
      </c>
      <c r="D1154" s="42" t="s">
        <v>1638</v>
      </c>
      <c r="E1154" s="36" t="str">
        <f t="shared" si="14"/>
        <v>PlasticsThermoplasticsPolyvinylidenchloride</v>
      </c>
      <c r="F1154" s="48"/>
      <c r="G1154" s="48"/>
      <c r="H1154" s="48"/>
      <c r="I1154" s="48"/>
      <c r="J1154" s="48"/>
      <c r="K1154" s="48"/>
    </row>
    <row r="1155" spans="2:11" x14ac:dyDescent="0.25">
      <c r="B1155" s="43" t="s">
        <v>1594</v>
      </c>
      <c r="C1155" s="42" t="s">
        <v>1604</v>
      </c>
      <c r="D1155" s="42" t="s">
        <v>1639</v>
      </c>
      <c r="E1155" s="36" t="str">
        <f t="shared" si="14"/>
        <v>PlasticsThermoplasticsPolyvinylfluoride, film</v>
      </c>
      <c r="F1155" s="48"/>
      <c r="G1155" s="48"/>
      <c r="H1155" s="48"/>
      <c r="I1155" s="48"/>
      <c r="J1155" s="48"/>
      <c r="K1155" s="48"/>
    </row>
    <row r="1156" spans="2:11" x14ac:dyDescent="0.25">
      <c r="B1156" s="43" t="s">
        <v>1594</v>
      </c>
      <c r="C1156" s="42" t="s">
        <v>1604</v>
      </c>
      <c r="D1156" s="42" t="s">
        <v>1640</v>
      </c>
      <c r="E1156" s="36" t="str">
        <f t="shared" si="14"/>
        <v>PlasticsThermoplasticsTetrafluoroethylene</v>
      </c>
      <c r="F1156" s="48"/>
      <c r="G1156" s="48"/>
      <c r="H1156" s="48"/>
      <c r="I1156" s="48"/>
      <c r="J1156" s="48"/>
      <c r="K1156" s="48"/>
    </row>
    <row r="1157" spans="2:11" x14ac:dyDescent="0.25">
      <c r="B1157" s="43" t="s">
        <v>1594</v>
      </c>
      <c r="C1157" s="42" t="s">
        <v>1642</v>
      </c>
      <c r="D1157" s="42"/>
      <c r="E1157" s="36" t="str">
        <f t="shared" si="14"/>
        <v>PlasticsThermosets</v>
      </c>
      <c r="F1157" s="48"/>
      <c r="G1157" s="48"/>
      <c r="H1157" s="48"/>
      <c r="I1157" s="48"/>
      <c r="J1157" s="48"/>
      <c r="K1157" s="48"/>
    </row>
    <row r="1158" spans="2:11" x14ac:dyDescent="0.25">
      <c r="B1158" s="43" t="s">
        <v>1594</v>
      </c>
      <c r="C1158" s="42" t="s">
        <v>1642</v>
      </c>
      <c r="D1158" s="42" t="s">
        <v>1644</v>
      </c>
      <c r="E1158" s="36" t="str">
        <f t="shared" si="14"/>
        <v>PlasticsThermosetsPolyurethane (flexible foam)</v>
      </c>
      <c r="F1158" s="48"/>
      <c r="G1158" s="48"/>
      <c r="H1158" s="48"/>
      <c r="I1158" s="48"/>
      <c r="J1158" s="48"/>
      <c r="K1158" s="48"/>
    </row>
    <row r="1159" spans="2:11" x14ac:dyDescent="0.25">
      <c r="B1159" s="43" t="s">
        <v>1594</v>
      </c>
      <c r="C1159" s="42" t="s">
        <v>1642</v>
      </c>
      <c r="D1159" s="42" t="s">
        <v>1645</v>
      </c>
      <c r="E1159" s="36" t="str">
        <f t="shared" si="14"/>
        <v>PlasticsThermosetsPolyurethane (rigid foam)</v>
      </c>
      <c r="F1159" s="48"/>
      <c r="G1159" s="48"/>
      <c r="H1159" s="48"/>
      <c r="I1159" s="48"/>
      <c r="J1159" s="48"/>
      <c r="K1159" s="48"/>
    </row>
    <row r="1160" spans="2:11" x14ac:dyDescent="0.25">
      <c r="B1160" s="43" t="s">
        <v>1647</v>
      </c>
      <c r="C1160" s="42" t="s">
        <v>1648</v>
      </c>
      <c r="D1160" s="42" t="s">
        <v>1649</v>
      </c>
      <c r="E1160" s="36" t="str">
        <f t="shared" si="14"/>
        <v>Agricultural productionFertilisers inorganicAmmonium nitrate (N)</v>
      </c>
      <c r="F1160" s="48"/>
      <c r="G1160" s="48"/>
      <c r="H1160" s="48"/>
      <c r="I1160" s="48"/>
      <c r="J1160" s="48"/>
      <c r="K1160" s="48"/>
    </row>
    <row r="1161" spans="2:11" x14ac:dyDescent="0.25">
      <c r="B1161" s="43" t="s">
        <v>1647</v>
      </c>
      <c r="C1161" s="42" t="s">
        <v>1648</v>
      </c>
      <c r="D1161" s="42" t="s">
        <v>1651</v>
      </c>
      <c r="E1161" s="36" t="str">
        <f t="shared" si="14"/>
        <v>Agricultural productionFertilisers inorganicAmmonium sulfate  (N)</v>
      </c>
      <c r="F1161" s="48"/>
      <c r="G1161" s="48"/>
      <c r="H1161" s="48"/>
      <c r="I1161" s="48"/>
      <c r="J1161" s="48"/>
      <c r="K1161" s="48"/>
    </row>
    <row r="1162" spans="2:11" x14ac:dyDescent="0.25">
      <c r="B1162" s="43" t="s">
        <v>1647</v>
      </c>
      <c r="C1162" s="42" t="s">
        <v>1648</v>
      </c>
      <c r="D1162" s="42" t="s">
        <v>1653</v>
      </c>
      <c r="E1162" s="36" t="str">
        <f t="shared" si="14"/>
        <v>Agricultural productionFertilisers inorganicUrea (N)</v>
      </c>
      <c r="F1162" s="47"/>
      <c r="G1162" s="47"/>
      <c r="H1162" s="47"/>
      <c r="I1162" s="47"/>
      <c r="J1162" s="47"/>
      <c r="K1162" s="47"/>
    </row>
    <row r="1163" spans="2:11" x14ac:dyDescent="0.25">
      <c r="B1163" s="43" t="s">
        <v>1647</v>
      </c>
      <c r="C1163" s="42" t="s">
        <v>1648</v>
      </c>
      <c r="D1163" s="42" t="s">
        <v>1654</v>
      </c>
      <c r="E1163" s="36" t="str">
        <f t="shared" si="14"/>
        <v>Agricultural productionFertilisers inorganicMonoammonium phosphate (N)</v>
      </c>
      <c r="F1163" s="48"/>
      <c r="G1163" s="48"/>
      <c r="H1163" s="48"/>
      <c r="I1163" s="48"/>
      <c r="J1163" s="48"/>
      <c r="K1163" s="48"/>
    </row>
    <row r="1164" spans="2:11" x14ac:dyDescent="0.25">
      <c r="B1164" s="43" t="s">
        <v>1647</v>
      </c>
      <c r="C1164" s="42" t="s">
        <v>1648</v>
      </c>
      <c r="D1164" s="42" t="s">
        <v>1655</v>
      </c>
      <c r="E1164" s="36" t="str">
        <f t="shared" si="14"/>
        <v>Agricultural productionFertilisers inorganicDiammonium phosphate (N)</v>
      </c>
      <c r="F1164" s="48"/>
      <c r="G1164" s="48"/>
      <c r="H1164" s="48"/>
      <c r="I1164" s="48"/>
      <c r="J1164" s="48"/>
      <c r="K1164" s="48"/>
    </row>
    <row r="1165" spans="2:11" x14ac:dyDescent="0.25">
      <c r="B1165" s="43" t="s">
        <v>1647</v>
      </c>
      <c r="C1165" s="42" t="s">
        <v>1648</v>
      </c>
      <c r="D1165" s="42" t="s">
        <v>1658</v>
      </c>
      <c r="E1165" s="36" t="str">
        <f t="shared" si="14"/>
        <v>Agricultural productionFertilisers inorganicPhosphate fertiliser (P205)</v>
      </c>
      <c r="F1165" s="48"/>
      <c r="G1165" s="48"/>
      <c r="H1165" s="48"/>
      <c r="I1165" s="48"/>
      <c r="J1165" s="48"/>
      <c r="K1165" s="48"/>
    </row>
    <row r="1166" spans="2:11" x14ac:dyDescent="0.25">
      <c r="B1166" s="43" t="s">
        <v>1647</v>
      </c>
      <c r="C1166" s="42" t="s">
        <v>1648</v>
      </c>
      <c r="D1166" s="42" t="s">
        <v>1659</v>
      </c>
      <c r="E1166" s="36" t="str">
        <f t="shared" si="14"/>
        <v>Agricultural productionFertilisers inorganicPotassium fertiliser (K2O)</v>
      </c>
      <c r="F1166" s="48"/>
      <c r="G1166" s="48"/>
      <c r="H1166" s="48"/>
      <c r="I1166" s="48"/>
      <c r="J1166" s="48"/>
      <c r="K1166" s="48"/>
    </row>
    <row r="1167" spans="2:11" x14ac:dyDescent="0.25">
      <c r="B1167" s="43" t="s">
        <v>1647</v>
      </c>
      <c r="C1167" s="42" t="s">
        <v>1648</v>
      </c>
      <c r="D1167" s="42" t="s">
        <v>1620</v>
      </c>
      <c r="E1167" s="36" t="str">
        <f t="shared" si="14"/>
        <v>Agricultural productionFertilisers inorganicTriple superphosphate (P205)</v>
      </c>
      <c r="F1167" s="48"/>
      <c r="G1167" s="48"/>
      <c r="H1167" s="48"/>
      <c r="I1167" s="48"/>
      <c r="J1167" s="48"/>
      <c r="K1167" s="48"/>
    </row>
    <row r="1168" spans="2:11" x14ac:dyDescent="0.25">
      <c r="B1168" s="43" t="s">
        <v>1647</v>
      </c>
      <c r="C1168" s="42" t="s">
        <v>1648</v>
      </c>
      <c r="D1168" s="42" t="s">
        <v>1661</v>
      </c>
      <c r="E1168" s="36" t="str">
        <f t="shared" si="14"/>
        <v>Agricultural productionFertilisers inorganicPotassium chloride (K2O)</v>
      </c>
      <c r="F1168" s="48"/>
      <c r="G1168" s="48"/>
      <c r="H1168" s="48"/>
      <c r="I1168" s="48"/>
      <c r="J1168" s="48"/>
      <c r="K1168" s="48"/>
    </row>
    <row r="1169" spans="2:11" x14ac:dyDescent="0.25">
      <c r="B1169" s="43" t="s">
        <v>1647</v>
      </c>
      <c r="C1169" s="42" t="s">
        <v>1648</v>
      </c>
      <c r="D1169" s="42" t="s">
        <v>1664</v>
      </c>
      <c r="E1169" s="36" t="str">
        <f t="shared" si="14"/>
        <v>Agricultural productionFertilisers inorganicCalcium nitrate</v>
      </c>
      <c r="F1169" s="48"/>
      <c r="G1169" s="48"/>
      <c r="H1169" s="48"/>
      <c r="I1169" s="48"/>
      <c r="J1169" s="48"/>
      <c r="K1169" s="48"/>
    </row>
    <row r="1170" spans="2:11" x14ac:dyDescent="0.25">
      <c r="B1170" s="43" t="s">
        <v>1647</v>
      </c>
      <c r="C1170" s="42" t="s">
        <v>1648</v>
      </c>
      <c r="D1170" s="42" t="s">
        <v>1666</v>
      </c>
      <c r="E1170" s="36" t="str">
        <f t="shared" si="14"/>
        <v>Agricultural productionFertilisers inorganicPotassium nitrate</v>
      </c>
      <c r="F1170" s="48"/>
      <c r="G1170" s="48"/>
      <c r="H1170" s="48"/>
      <c r="I1170" s="48"/>
      <c r="J1170" s="48"/>
      <c r="K1170" s="48"/>
    </row>
    <row r="1171" spans="2:11" x14ac:dyDescent="0.25">
      <c r="B1171" s="43" t="s">
        <v>1647</v>
      </c>
      <c r="C1171" s="42" t="s">
        <v>1668</v>
      </c>
      <c r="D1171" s="42"/>
      <c r="E1171" s="36" t="str">
        <f t="shared" si="14"/>
        <v>Agricultural productionFertlisers organic</v>
      </c>
      <c r="F1171" s="48"/>
      <c r="G1171" s="48"/>
      <c r="H1171" s="48"/>
      <c r="I1171" s="48"/>
      <c r="J1171" s="48"/>
      <c r="K1171" s="48"/>
    </row>
    <row r="1172" spans="2:11" x14ac:dyDescent="0.25">
      <c r="B1172" s="43" t="s">
        <v>1647</v>
      </c>
      <c r="C1172" s="42" t="s">
        <v>1668</v>
      </c>
      <c r="D1172" s="42" t="s">
        <v>1631</v>
      </c>
      <c r="E1172" s="36" t="str">
        <f t="shared" si="14"/>
        <v>Agricultural productionFertlisers organicCompost</v>
      </c>
      <c r="F1172" s="48"/>
      <c r="G1172" s="48"/>
      <c r="H1172" s="48"/>
      <c r="I1172" s="48"/>
      <c r="J1172" s="48"/>
      <c r="K1172" s="48"/>
    </row>
    <row r="1173" spans="2:11" x14ac:dyDescent="0.25">
      <c r="B1173" s="43" t="s">
        <v>1647</v>
      </c>
      <c r="C1173" s="42" t="s">
        <v>1668</v>
      </c>
      <c r="D1173" s="42" t="s">
        <v>1672</v>
      </c>
      <c r="E1173" s="36" t="str">
        <f t="shared" si="14"/>
        <v>Agricultural productionFertlisers organicGreen manure</v>
      </c>
      <c r="F1173" s="48"/>
      <c r="G1173" s="48"/>
      <c r="H1173" s="48"/>
      <c r="I1173" s="48"/>
      <c r="J1173" s="48"/>
      <c r="K1173" s="48"/>
    </row>
    <row r="1174" spans="2:11" x14ac:dyDescent="0.25">
      <c r="B1174" s="43" t="s">
        <v>1647</v>
      </c>
      <c r="C1174" s="42" t="s">
        <v>1668</v>
      </c>
      <c r="D1174" s="42" t="s">
        <v>1674</v>
      </c>
      <c r="E1174" s="36" t="str">
        <f t="shared" si="14"/>
        <v>Agricultural productionFertlisers organicHorn meal</v>
      </c>
      <c r="F1174" s="48"/>
      <c r="G1174" s="48"/>
      <c r="H1174" s="48"/>
      <c r="I1174" s="48"/>
      <c r="J1174" s="48"/>
      <c r="K1174" s="48"/>
    </row>
    <row r="1175" spans="2:11" x14ac:dyDescent="0.25">
      <c r="B1175" s="43" t="s">
        <v>1647</v>
      </c>
      <c r="C1175" s="42" t="s">
        <v>1676</v>
      </c>
      <c r="D1175" s="42"/>
      <c r="E1175" s="36" t="str">
        <f t="shared" si="14"/>
        <v>Agricultural productionFungicides</v>
      </c>
      <c r="F1175" s="48"/>
      <c r="G1175" s="48"/>
      <c r="H1175" s="48"/>
      <c r="I1175" s="48"/>
      <c r="J1175" s="48"/>
      <c r="K1175" s="48"/>
    </row>
    <row r="1176" spans="2:11" x14ac:dyDescent="0.25">
      <c r="B1176" s="43" t="s">
        <v>1647</v>
      </c>
      <c r="C1176" s="42" t="s">
        <v>1676</v>
      </c>
      <c r="D1176" s="42" t="s">
        <v>1299</v>
      </c>
      <c r="E1176" s="36" t="str">
        <f t="shared" si="14"/>
        <v>Agricultural productionFungicidesFolpet</v>
      </c>
      <c r="F1176" s="48"/>
      <c r="G1176" s="48"/>
      <c r="H1176" s="48"/>
      <c r="I1176" s="48"/>
      <c r="J1176" s="48"/>
      <c r="K1176" s="48"/>
    </row>
    <row r="1177" spans="2:11" x14ac:dyDescent="0.25">
      <c r="B1177" s="43" t="s">
        <v>1647</v>
      </c>
      <c r="C1177" s="42" t="s">
        <v>1676</v>
      </c>
      <c r="D1177" s="42" t="s">
        <v>1300</v>
      </c>
      <c r="E1177" s="36" t="str">
        <f t="shared" si="14"/>
        <v>Agricultural productionFungicidesMancozeb</v>
      </c>
      <c r="F1177" s="47"/>
      <c r="G1177" s="47"/>
      <c r="H1177" s="47"/>
      <c r="I1177" s="47"/>
      <c r="J1177" s="47"/>
      <c r="K1177" s="47"/>
    </row>
    <row r="1178" spans="2:11" x14ac:dyDescent="0.25">
      <c r="B1178" s="43" t="s">
        <v>1647</v>
      </c>
      <c r="C1178" s="42" t="s">
        <v>1676</v>
      </c>
      <c r="D1178" s="42" t="s">
        <v>1301</v>
      </c>
      <c r="E1178" s="36" t="str">
        <f t="shared" si="14"/>
        <v>Agricultural productionFungicidesCaptan</v>
      </c>
      <c r="F1178" s="48"/>
      <c r="G1178" s="48"/>
      <c r="H1178" s="48"/>
      <c r="I1178" s="48"/>
      <c r="J1178" s="48"/>
      <c r="K1178" s="48"/>
    </row>
    <row r="1179" spans="2:11" x14ac:dyDescent="0.25">
      <c r="B1179" s="43" t="s">
        <v>1647</v>
      </c>
      <c r="C1179" s="42" t="s">
        <v>1641</v>
      </c>
      <c r="D1179" s="42"/>
      <c r="E1179" s="36" t="str">
        <f t="shared" si="14"/>
        <v>Agricultural productionHerbicide</v>
      </c>
      <c r="F1179" s="48"/>
      <c r="G1179" s="48"/>
      <c r="H1179" s="48"/>
      <c r="I1179" s="48"/>
      <c r="J1179" s="48"/>
      <c r="K1179" s="48"/>
    </row>
    <row r="1180" spans="2:11" x14ac:dyDescent="0.25">
      <c r="B1180" s="43" t="s">
        <v>1647</v>
      </c>
      <c r="C1180" s="42" t="s">
        <v>1641</v>
      </c>
      <c r="D1180" s="42" t="s">
        <v>1643</v>
      </c>
      <c r="E1180" s="36" t="str">
        <f t="shared" si="14"/>
        <v>Agricultural productionHerbicideGlyphosate</v>
      </c>
      <c r="F1180" s="48"/>
      <c r="G1180" s="48"/>
      <c r="H1180" s="48"/>
      <c r="I1180" s="48"/>
      <c r="J1180" s="48"/>
      <c r="K1180" s="48"/>
    </row>
    <row r="1181" spans="2:11" x14ac:dyDescent="0.25">
      <c r="B1181" s="43" t="s">
        <v>1647</v>
      </c>
      <c r="C1181" s="42" t="s">
        <v>1641</v>
      </c>
      <c r="D1181" s="42" t="s">
        <v>1304</v>
      </c>
      <c r="E1181" s="36" t="str">
        <f t="shared" si="14"/>
        <v>Agricultural productionHerbicideMetamitron</v>
      </c>
      <c r="F1181" s="48"/>
      <c r="G1181" s="48"/>
      <c r="H1181" s="48"/>
      <c r="I1181" s="48"/>
      <c r="J1181" s="48"/>
      <c r="K1181" s="48"/>
    </row>
    <row r="1182" spans="2:11" x14ac:dyDescent="0.25">
      <c r="B1182" s="43" t="s">
        <v>1647</v>
      </c>
      <c r="C1182" s="42" t="s">
        <v>1646</v>
      </c>
      <c r="D1182" s="42" t="s">
        <v>1306</v>
      </c>
      <c r="E1182" s="36" t="str">
        <f t="shared" si="14"/>
        <v>Agricultural productionInsecticideKaolin</v>
      </c>
      <c r="F1182" s="48"/>
      <c r="G1182" s="48"/>
      <c r="H1182" s="52"/>
      <c r="I1182" s="52"/>
      <c r="J1182" s="48"/>
      <c r="K1182" s="48"/>
    </row>
    <row r="1183" spans="2:11" x14ac:dyDescent="0.25">
      <c r="B1183" s="43" t="s">
        <v>1647</v>
      </c>
      <c r="C1183" s="42" t="s">
        <v>1681</v>
      </c>
      <c r="D1183" s="42"/>
      <c r="E1183" s="36" t="str">
        <f t="shared" si="14"/>
        <v>Agricultural productionAnimal feed</v>
      </c>
      <c r="F1183" s="48"/>
      <c r="G1183" s="48"/>
      <c r="H1183" s="48"/>
      <c r="I1183" s="48"/>
      <c r="J1183" s="48"/>
      <c r="K1183" s="48"/>
    </row>
    <row r="1184" spans="2:11" x14ac:dyDescent="0.25">
      <c r="B1184" s="43" t="s">
        <v>1647</v>
      </c>
      <c r="C1184" s="42" t="s">
        <v>1681</v>
      </c>
      <c r="D1184" s="42" t="s">
        <v>1683</v>
      </c>
      <c r="E1184" s="36" t="str">
        <f t="shared" si="14"/>
        <v>Agricultural productionAnimal feedBarley grain</v>
      </c>
      <c r="F1184" s="48"/>
      <c r="G1184" s="48"/>
      <c r="H1184" s="52"/>
      <c r="I1184" s="52"/>
      <c r="J1184" s="48"/>
      <c r="K1184" s="48"/>
    </row>
    <row r="1185" spans="2:11" x14ac:dyDescent="0.25">
      <c r="B1185" s="43" t="s">
        <v>1647</v>
      </c>
      <c r="C1185" s="42" t="s">
        <v>1681</v>
      </c>
      <c r="D1185" s="42" t="s">
        <v>1685</v>
      </c>
      <c r="E1185" s="36" t="str">
        <f t="shared" si="14"/>
        <v>Agricultural productionAnimal feedMaize grain</v>
      </c>
      <c r="F1185" s="48"/>
      <c r="G1185" s="48"/>
      <c r="H1185" s="48"/>
      <c r="I1185" s="48"/>
      <c r="J1185" s="48"/>
      <c r="K1185" s="48"/>
    </row>
    <row r="1186" spans="2:11" x14ac:dyDescent="0.25">
      <c r="B1186" s="43" t="s">
        <v>1647</v>
      </c>
      <c r="C1186" s="42" t="s">
        <v>1681</v>
      </c>
      <c r="D1186" s="42" t="s">
        <v>1687</v>
      </c>
      <c r="E1186" s="36" t="str">
        <f t="shared" si="14"/>
        <v>Agricultural productionAnimal feedSoybean</v>
      </c>
      <c r="F1186" s="48"/>
      <c r="G1186" s="48"/>
      <c r="H1186" s="52"/>
      <c r="I1186" s="52"/>
      <c r="J1186" s="48"/>
      <c r="K1186" s="48"/>
    </row>
    <row r="1187" spans="2:11" x14ac:dyDescent="0.25">
      <c r="B1187" s="43" t="s">
        <v>1689</v>
      </c>
      <c r="C1187" s="42" t="s">
        <v>1690</v>
      </c>
      <c r="D1187" s="42"/>
      <c r="E1187" s="36" t="str">
        <f t="shared" si="14"/>
        <v>FoodCereals</v>
      </c>
      <c r="F1187" s="48"/>
      <c r="G1187" s="48"/>
      <c r="H1187" s="48"/>
      <c r="I1187" s="48"/>
      <c r="J1187" s="48"/>
      <c r="K1187" s="48"/>
    </row>
    <row r="1188" spans="2:11" x14ac:dyDescent="0.25">
      <c r="B1188" s="43" t="s">
        <v>1689</v>
      </c>
      <c r="C1188" s="42" t="s">
        <v>1690</v>
      </c>
      <c r="D1188" s="42" t="s">
        <v>1692</v>
      </c>
      <c r="E1188" s="36" t="str">
        <f t="shared" si="14"/>
        <v>FoodCerealsWheat grain, Swiss production</v>
      </c>
      <c r="F1188" s="48"/>
      <c r="G1188" s="48"/>
      <c r="H1188" s="52"/>
      <c r="I1188" s="52"/>
      <c r="J1188" s="48"/>
      <c r="K1188" s="48"/>
    </row>
    <row r="1189" spans="2:11" x14ac:dyDescent="0.25">
      <c r="B1189" s="43" t="s">
        <v>1689</v>
      </c>
      <c r="C1189" s="42" t="s">
        <v>1693</v>
      </c>
      <c r="D1189" s="42"/>
      <c r="E1189" s="36" t="str">
        <f t="shared" si="14"/>
        <v>FoodLegumes</v>
      </c>
      <c r="F1189" s="48"/>
      <c r="G1189" s="48"/>
      <c r="H1189" s="48"/>
      <c r="I1189" s="48"/>
      <c r="J1189" s="48"/>
      <c r="K1189" s="48"/>
    </row>
    <row r="1190" spans="2:11" x14ac:dyDescent="0.25">
      <c r="B1190" s="43" t="s">
        <v>1689</v>
      </c>
      <c r="C1190" s="42" t="s">
        <v>1693</v>
      </c>
      <c r="D1190" s="42" t="s">
        <v>1687</v>
      </c>
      <c r="E1190" s="36" t="str">
        <f t="shared" si="14"/>
        <v>FoodLegumesSoybean</v>
      </c>
      <c r="F1190" s="48"/>
      <c r="G1190" s="48"/>
      <c r="H1190" s="52"/>
      <c r="I1190" s="52"/>
      <c r="J1190" s="48"/>
      <c r="K1190" s="48"/>
    </row>
    <row r="1191" spans="2:11" x14ac:dyDescent="0.25">
      <c r="B1191" s="43" t="s">
        <v>1689</v>
      </c>
      <c r="C1191" s="42" t="s">
        <v>1693</v>
      </c>
      <c r="D1191" s="42" t="s">
        <v>1695</v>
      </c>
      <c r="E1191" s="36" t="str">
        <f t="shared" si="14"/>
        <v>FoodLegumesFava bean`</v>
      </c>
      <c r="F1191" s="48"/>
      <c r="G1191" s="48"/>
      <c r="H1191" s="48"/>
      <c r="I1191" s="48"/>
      <c r="J1191" s="48"/>
      <c r="K1191" s="48"/>
    </row>
    <row r="1192" spans="2:11" x14ac:dyDescent="0.25">
      <c r="B1192" s="43" t="s">
        <v>1689</v>
      </c>
      <c r="C1192" s="42" t="s">
        <v>1697</v>
      </c>
      <c r="D1192" s="42"/>
      <c r="E1192" s="36" t="str">
        <f t="shared" si="14"/>
        <v>FoodPlant oils</v>
      </c>
      <c r="F1192" s="48"/>
      <c r="G1192" s="48"/>
      <c r="H1192" s="52"/>
      <c r="I1192" s="52"/>
      <c r="J1192" s="48"/>
      <c r="K1192" s="48"/>
    </row>
    <row r="1193" spans="2:11" x14ac:dyDescent="0.25">
      <c r="B1193" s="43" t="s">
        <v>1689</v>
      </c>
      <c r="C1193" s="42" t="s">
        <v>1697</v>
      </c>
      <c r="D1193" s="42" t="s">
        <v>1698</v>
      </c>
      <c r="E1193" s="36" t="str">
        <f t="shared" si="14"/>
        <v>FoodPlant oilsPalm oil</v>
      </c>
      <c r="F1193" s="48"/>
      <c r="G1193" s="48"/>
      <c r="H1193" s="48"/>
      <c r="I1193" s="48"/>
      <c r="J1193" s="48"/>
      <c r="K1193" s="48"/>
    </row>
    <row r="1194" spans="2:11" x14ac:dyDescent="0.25">
      <c r="B1194" s="43" t="s">
        <v>1689</v>
      </c>
      <c r="C1194" s="42" t="s">
        <v>1697</v>
      </c>
      <c r="D1194" s="42" t="s">
        <v>1700</v>
      </c>
      <c r="E1194" s="36" t="str">
        <f t="shared" si="14"/>
        <v>FoodPlant oilsSoybean oil</v>
      </c>
      <c r="F1194" s="48"/>
      <c r="G1194" s="48"/>
      <c r="H1194" s="52"/>
      <c r="I1194" s="52"/>
      <c r="J1194" s="48"/>
      <c r="K1194" s="48"/>
    </row>
    <row r="1195" spans="2:11" x14ac:dyDescent="0.25">
      <c r="B1195" s="43" t="s">
        <v>1689</v>
      </c>
      <c r="C1195" s="42" t="s">
        <v>1697</v>
      </c>
      <c r="D1195" s="42" t="s">
        <v>1701</v>
      </c>
      <c r="E1195" s="36" t="str">
        <f t="shared" si="14"/>
        <v>FoodPlant oilsRapeseed oil</v>
      </c>
      <c r="F1195" s="48"/>
      <c r="G1195" s="48"/>
      <c r="H1195" s="48"/>
      <c r="I1195" s="48"/>
      <c r="J1195" s="48"/>
      <c r="K1195" s="48"/>
    </row>
    <row r="1196" spans="2:11" x14ac:dyDescent="0.25">
      <c r="B1196" s="43" t="s">
        <v>1689</v>
      </c>
      <c r="C1196" s="42" t="s">
        <v>1703</v>
      </c>
      <c r="D1196" s="42"/>
      <c r="E1196" s="36" t="str">
        <f t="shared" si="14"/>
        <v>FoodSugar</v>
      </c>
      <c r="F1196" s="48"/>
      <c r="G1196" s="48"/>
      <c r="H1196" s="52"/>
      <c r="I1196" s="52"/>
      <c r="J1196" s="48"/>
      <c r="K1196" s="48"/>
    </row>
    <row r="1197" spans="2:11" x14ac:dyDescent="0.25">
      <c r="B1197" s="43" t="s">
        <v>1689</v>
      </c>
      <c r="C1197" s="42" t="s">
        <v>1703</v>
      </c>
      <c r="D1197" s="42" t="s">
        <v>1704</v>
      </c>
      <c r="E1197" s="36" t="str">
        <f t="shared" si="14"/>
        <v>FoodSugarSugar (from sugarcane)</v>
      </c>
      <c r="F1197" s="48"/>
      <c r="G1197" s="48"/>
      <c r="H1197" s="48"/>
      <c r="I1197" s="48"/>
      <c r="J1197" s="48"/>
      <c r="K1197" s="48"/>
    </row>
    <row r="1198" spans="2:11" x14ac:dyDescent="0.25">
      <c r="B1198" s="43" t="s">
        <v>1689</v>
      </c>
      <c r="C1198" s="42" t="s">
        <v>1703</v>
      </c>
      <c r="D1198" s="42" t="s">
        <v>1705</v>
      </c>
      <c r="E1198" s="36" t="str">
        <f t="shared" si="14"/>
        <v>FoodSugarSugar (from sugarbeet)</v>
      </c>
      <c r="F1198" s="48"/>
      <c r="G1198" s="48"/>
      <c r="H1198" s="52"/>
      <c r="I1198" s="52"/>
      <c r="J1198" s="48"/>
      <c r="K1198" s="48"/>
    </row>
    <row r="1199" spans="2:11" x14ac:dyDescent="0.25">
      <c r="B1199" s="42" t="s">
        <v>1706</v>
      </c>
      <c r="C1199" s="42" t="s">
        <v>1707</v>
      </c>
      <c r="D1199" s="42"/>
      <c r="E1199" s="36" t="str">
        <f t="shared" si="14"/>
        <v>MetalsAlloys</v>
      </c>
      <c r="F1199" s="48"/>
      <c r="G1199" s="48"/>
      <c r="H1199" s="48"/>
      <c r="I1199" s="48"/>
      <c r="J1199" s="48"/>
      <c r="K1199" s="48"/>
    </row>
    <row r="1200" spans="2:11" x14ac:dyDescent="0.25">
      <c r="B1200" s="42" t="s">
        <v>1706</v>
      </c>
      <c r="C1200" s="42" t="s">
        <v>1707</v>
      </c>
      <c r="D1200" s="42" t="s">
        <v>1709</v>
      </c>
      <c r="E1200" s="36" t="str">
        <f t="shared" si="14"/>
        <v>MetalsAlloysAlluminium alloy</v>
      </c>
      <c r="F1200" s="48"/>
      <c r="G1200" s="48"/>
      <c r="H1200" s="52"/>
      <c r="I1200" s="52"/>
      <c r="J1200" s="48"/>
      <c r="K1200" s="48"/>
    </row>
    <row r="1201" spans="2:11" x14ac:dyDescent="0.25">
      <c r="B1201" s="42" t="s">
        <v>1706</v>
      </c>
      <c r="C1201" s="42" t="s">
        <v>1707</v>
      </c>
      <c r="D1201" s="42" t="s">
        <v>1711</v>
      </c>
      <c r="E1201" s="36" t="str">
        <f t="shared" si="14"/>
        <v>MetalsAlloysAlluminium cast alloy, ingot</v>
      </c>
      <c r="F1201" s="47"/>
      <c r="G1201" s="47"/>
      <c r="H1201" s="47"/>
      <c r="I1201" s="47"/>
      <c r="J1201" s="47"/>
      <c r="K1201" s="47"/>
    </row>
    <row r="1202" spans="2:11" x14ac:dyDescent="0.25">
      <c r="B1202" s="42" t="s">
        <v>1706</v>
      </c>
      <c r="C1202" s="42" t="s">
        <v>1707</v>
      </c>
      <c r="D1202" s="42" t="s">
        <v>1713</v>
      </c>
      <c r="E1202" s="36" t="str">
        <f t="shared" si="14"/>
        <v>MetalsAlloysAluminium cast alloy (recycled)</v>
      </c>
      <c r="F1202" s="47"/>
      <c r="G1202" s="47"/>
      <c r="H1202" s="53"/>
      <c r="I1202" s="53"/>
      <c r="J1202" s="47"/>
      <c r="K1202" s="47"/>
    </row>
    <row r="1203" spans="2:11" x14ac:dyDescent="0.25">
      <c r="B1203" s="42" t="s">
        <v>1706</v>
      </c>
      <c r="C1203" s="42" t="s">
        <v>1707</v>
      </c>
      <c r="D1203" s="42" t="s">
        <v>1714</v>
      </c>
      <c r="E1203" s="36" t="str">
        <f t="shared" si="14"/>
        <v>MetalsAlloysIron-Nickel-Chromium alloy</v>
      </c>
      <c r="F1203" s="48"/>
      <c r="G1203" s="48"/>
      <c r="H1203" s="48"/>
      <c r="I1203" s="48"/>
      <c r="J1203" s="48"/>
      <c r="K1203" s="48"/>
    </row>
    <row r="1204" spans="2:11" x14ac:dyDescent="0.25">
      <c r="B1204" s="42" t="s">
        <v>1706</v>
      </c>
      <c r="C1204" s="42" t="s">
        <v>1707</v>
      </c>
      <c r="D1204" s="42" t="s">
        <v>1716</v>
      </c>
      <c r="E1204" s="36" t="str">
        <f t="shared" si="14"/>
        <v>MetalsAlloysMagnesium alloy</v>
      </c>
      <c r="F1204" s="48"/>
      <c r="G1204" s="48"/>
      <c r="H1204" s="52"/>
      <c r="I1204" s="52"/>
      <c r="J1204" s="48"/>
      <c r="K1204" s="48"/>
    </row>
    <row r="1205" spans="2:11" x14ac:dyDescent="0.25">
      <c r="B1205" s="42" t="s">
        <v>1706</v>
      </c>
      <c r="C1205" s="42" t="s">
        <v>1707</v>
      </c>
      <c r="D1205" s="42" t="s">
        <v>1717</v>
      </c>
      <c r="E1205" s="36" t="str">
        <f t="shared" si="14"/>
        <v>MetalsAlloysFerrochromium</v>
      </c>
      <c r="F1205" s="48"/>
      <c r="G1205" s="48"/>
      <c r="H1205" s="48"/>
      <c r="I1205" s="48"/>
      <c r="J1205" s="48"/>
      <c r="K1205" s="48"/>
    </row>
    <row r="1206" spans="2:11" x14ac:dyDescent="0.25">
      <c r="B1206" s="42" t="s">
        <v>1706</v>
      </c>
      <c r="C1206" s="42" t="s">
        <v>1707</v>
      </c>
      <c r="D1206" s="42" t="s">
        <v>1719</v>
      </c>
      <c r="E1206" s="36" t="str">
        <f t="shared" si="14"/>
        <v>MetalsAlloysFerromanganese</v>
      </c>
      <c r="F1206" s="48"/>
      <c r="G1206" s="48"/>
      <c r="H1206" s="52"/>
      <c r="I1206" s="52"/>
      <c r="J1206" s="48"/>
      <c r="K1206" s="48"/>
    </row>
    <row r="1207" spans="2:11" x14ac:dyDescent="0.25">
      <c r="B1207" s="42" t="s">
        <v>1706</v>
      </c>
      <c r="C1207" s="42" t="s">
        <v>1707</v>
      </c>
      <c r="D1207" s="42" t="s">
        <v>1327</v>
      </c>
      <c r="E1207" s="36" t="str">
        <f t="shared" si="14"/>
        <v>MetalsAlloysFerronickel</v>
      </c>
      <c r="F1207" s="48"/>
      <c r="G1207" s="48"/>
      <c r="H1207" s="48"/>
      <c r="I1207" s="48"/>
      <c r="J1207" s="48"/>
      <c r="K1207" s="48"/>
    </row>
    <row r="1208" spans="2:11" x14ac:dyDescent="0.25">
      <c r="B1208" s="42" t="s">
        <v>1706</v>
      </c>
      <c r="C1208" s="42" t="s">
        <v>1721</v>
      </c>
      <c r="D1208" s="42"/>
      <c r="E1208" s="36" t="str">
        <f t="shared" si="14"/>
        <v>MetalsFerro</v>
      </c>
      <c r="F1208" s="48"/>
      <c r="G1208" s="48"/>
      <c r="H1208" s="52"/>
      <c r="I1208" s="52"/>
      <c r="J1208" s="48"/>
      <c r="K1208" s="48"/>
    </row>
    <row r="1209" spans="2:11" x14ac:dyDescent="0.25">
      <c r="B1209" s="42" t="s">
        <v>1706</v>
      </c>
      <c r="C1209" s="42" t="s">
        <v>1721</v>
      </c>
      <c r="D1209" s="42" t="s">
        <v>1723</v>
      </c>
      <c r="E1209" s="36" t="str">
        <f t="shared" si="14"/>
        <v>MetalsFerroCast iron</v>
      </c>
      <c r="F1209" s="48"/>
      <c r="G1209" s="48"/>
      <c r="H1209" s="48"/>
      <c r="I1209" s="48"/>
      <c r="J1209" s="48"/>
      <c r="K1209" s="48"/>
    </row>
    <row r="1210" spans="2:11" x14ac:dyDescent="0.25">
      <c r="B1210" s="42" t="s">
        <v>1706</v>
      </c>
      <c r="C1210" s="42" t="s">
        <v>1721</v>
      </c>
      <c r="D1210" s="42" t="s">
        <v>1724</v>
      </c>
      <c r="E1210" s="36" t="str">
        <f t="shared" si="14"/>
        <v>MetalsFerroPig Iron</v>
      </c>
      <c r="F1210" s="48"/>
      <c r="G1210" s="48"/>
      <c r="H1210" s="48"/>
      <c r="I1210" s="48"/>
      <c r="J1210" s="48"/>
      <c r="K1210" s="48"/>
    </row>
    <row r="1211" spans="2:11" x14ac:dyDescent="0.25">
      <c r="B1211" s="42" t="s">
        <v>1706</v>
      </c>
      <c r="C1211" s="42" t="s">
        <v>1721</v>
      </c>
      <c r="D1211" s="42" t="s">
        <v>1726</v>
      </c>
      <c r="E1211" s="36" t="str">
        <f t="shared" si="14"/>
        <v>MetalsFerroReinforcing steel CH-Mix</v>
      </c>
      <c r="F1211" s="48"/>
      <c r="G1211" s="48"/>
      <c r="H1211" s="48"/>
      <c r="I1211" s="48"/>
      <c r="J1211" s="48"/>
      <c r="K1211" s="48"/>
    </row>
    <row r="1212" spans="2:11" x14ac:dyDescent="0.25">
      <c r="B1212" s="42" t="s">
        <v>1706</v>
      </c>
      <c r="C1212" s="42" t="s">
        <v>1721</v>
      </c>
      <c r="D1212" s="42" t="s">
        <v>1727</v>
      </c>
      <c r="E1212" s="36" t="str">
        <f t="shared" si="14"/>
        <v>MetalsFerroReinforcing steel EU-Mix (hot rolled)</v>
      </c>
      <c r="F1212" s="47"/>
      <c r="G1212" s="47"/>
      <c r="H1212" s="47"/>
      <c r="I1212" s="47"/>
      <c r="J1212" s="47"/>
      <c r="K1212" s="47"/>
    </row>
    <row r="1213" spans="2:11" x14ac:dyDescent="0.25">
      <c r="B1213" s="42" t="s">
        <v>1706</v>
      </c>
      <c r="C1213" s="42" t="s">
        <v>1721</v>
      </c>
      <c r="D1213" s="42" t="s">
        <v>1728</v>
      </c>
      <c r="E1213" s="36" t="str">
        <f t="shared" si="14"/>
        <v>MetalsFerroReinforcing steel CH (100% RC; hot rolled)</v>
      </c>
      <c r="F1213" s="48"/>
      <c r="G1213" s="48"/>
      <c r="H1213" s="48"/>
      <c r="I1213" s="48"/>
      <c r="J1213" s="48"/>
      <c r="K1213" s="48"/>
    </row>
    <row r="1214" spans="2:11" x14ac:dyDescent="0.25">
      <c r="B1214" s="42" t="s">
        <v>1706</v>
      </c>
      <c r="C1214" s="42" t="s">
        <v>1721</v>
      </c>
      <c r="D1214" s="42" t="s">
        <v>1730</v>
      </c>
      <c r="E1214" s="36" t="str">
        <f t="shared" ref="E1214:E1271" si="15">B1214&amp;C1214&amp;D1214</f>
        <v>MetalsFerroChromium steel 18/8 EU-Mix</v>
      </c>
      <c r="F1214" s="48"/>
      <c r="G1214" s="48"/>
      <c r="H1214" s="48"/>
      <c r="I1214" s="48"/>
      <c r="J1214" s="48"/>
      <c r="K1214" s="48"/>
    </row>
    <row r="1215" spans="2:11" x14ac:dyDescent="0.25">
      <c r="B1215" s="42" t="s">
        <v>1706</v>
      </c>
      <c r="C1215" s="42" t="s">
        <v>1721</v>
      </c>
      <c r="D1215" s="42" t="s">
        <v>1732</v>
      </c>
      <c r="E1215" s="36" t="str">
        <f t="shared" si="15"/>
        <v>MetalsFerroChromium steel 18/8 CH-Recycling 37%</v>
      </c>
      <c r="F1215" s="48"/>
      <c r="G1215" s="48"/>
      <c r="H1215" s="48"/>
      <c r="I1215" s="48"/>
      <c r="J1215" s="48"/>
      <c r="K1215" s="48"/>
    </row>
    <row r="1216" spans="2:11" x14ac:dyDescent="0.25">
      <c r="B1216" s="42" t="s">
        <v>1706</v>
      </c>
      <c r="C1216" s="42" t="s">
        <v>1721</v>
      </c>
      <c r="D1216" s="42" t="s">
        <v>1734</v>
      </c>
      <c r="E1216" s="36" t="str">
        <f t="shared" si="15"/>
        <v>MetalsFerroLow-alloyed steel EU-Mix</v>
      </c>
      <c r="F1216" s="48"/>
      <c r="G1216" s="48"/>
      <c r="H1216" s="48"/>
      <c r="I1216" s="48"/>
      <c r="J1216" s="48"/>
      <c r="K1216" s="48"/>
    </row>
    <row r="1217" spans="2:11" x14ac:dyDescent="0.25">
      <c r="B1217" s="42" t="s">
        <v>1706</v>
      </c>
      <c r="C1217" s="42" t="s">
        <v>1721</v>
      </c>
      <c r="D1217" s="42" t="s">
        <v>1736</v>
      </c>
      <c r="E1217" s="36" t="str">
        <f t="shared" si="15"/>
        <v>MetalsFerroLow-alloyed steel CH-Recycling</v>
      </c>
      <c r="F1217" s="48"/>
      <c r="G1217" s="48"/>
      <c r="H1217" s="48"/>
      <c r="I1217" s="48"/>
      <c r="J1217" s="48"/>
      <c r="K1217" s="48"/>
    </row>
    <row r="1218" spans="2:11" x14ac:dyDescent="0.25">
      <c r="B1218" s="42" t="s">
        <v>1706</v>
      </c>
      <c r="C1218" s="42" t="s">
        <v>1737</v>
      </c>
      <c r="D1218" s="42" t="s">
        <v>1738</v>
      </c>
      <c r="E1218" s="36" t="str">
        <f t="shared" si="15"/>
        <v>MetalsNon ferroAluminium (primär)</v>
      </c>
      <c r="F1218" s="47"/>
      <c r="G1218" s="47"/>
      <c r="H1218" s="47"/>
      <c r="I1218" s="47"/>
      <c r="J1218" s="47"/>
      <c r="K1218" s="47"/>
    </row>
    <row r="1219" spans="2:11" x14ac:dyDescent="0.25">
      <c r="B1219" s="42" t="s">
        <v>1706</v>
      </c>
      <c r="C1219" s="42" t="s">
        <v>1737</v>
      </c>
      <c r="D1219" s="42" t="s">
        <v>1740</v>
      </c>
      <c r="E1219" s="36" t="str">
        <f t="shared" si="15"/>
        <v>MetalsNon ferroAluminium (recycled)</v>
      </c>
      <c r="F1219" s="48"/>
      <c r="G1219" s="48"/>
      <c r="H1219" s="48"/>
      <c r="I1219" s="48"/>
      <c r="J1219" s="48"/>
      <c r="K1219" s="48"/>
    </row>
    <row r="1220" spans="2:11" x14ac:dyDescent="0.25">
      <c r="B1220" s="42" t="s">
        <v>1706</v>
      </c>
      <c r="C1220" s="42" t="s">
        <v>1737</v>
      </c>
      <c r="D1220" s="42" t="s">
        <v>1743</v>
      </c>
      <c r="E1220" s="36" t="str">
        <f t="shared" si="15"/>
        <v>MetalsNon ferroAntimony</v>
      </c>
      <c r="F1220" s="47"/>
      <c r="G1220" s="47"/>
      <c r="H1220" s="47"/>
      <c r="I1220" s="47"/>
      <c r="J1220" s="47"/>
      <c r="K1220" s="47"/>
    </row>
    <row r="1221" spans="2:11" x14ac:dyDescent="0.25">
      <c r="B1221" s="42" t="s">
        <v>1706</v>
      </c>
      <c r="C1221" s="42" t="s">
        <v>1737</v>
      </c>
      <c r="D1221" s="42" t="s">
        <v>1745</v>
      </c>
      <c r="E1221" s="36" t="str">
        <f t="shared" si="15"/>
        <v>MetalsNon ferroBrass</v>
      </c>
      <c r="F1221" s="48"/>
      <c r="G1221" s="48"/>
      <c r="H1221" s="48"/>
      <c r="I1221" s="48"/>
      <c r="J1221" s="48"/>
      <c r="K1221" s="48"/>
    </row>
    <row r="1222" spans="2:11" x14ac:dyDescent="0.25">
      <c r="B1222" s="42" t="s">
        <v>1706</v>
      </c>
      <c r="C1222" s="42" t="s">
        <v>1737</v>
      </c>
      <c r="D1222" s="42" t="s">
        <v>1339</v>
      </c>
      <c r="E1222" s="36" t="str">
        <f t="shared" si="15"/>
        <v>MetalsNon ferroBronze</v>
      </c>
      <c r="F1222" s="48"/>
      <c r="G1222" s="48"/>
      <c r="H1222" s="48"/>
      <c r="I1222" s="48"/>
      <c r="J1222" s="48"/>
      <c r="K1222" s="48"/>
    </row>
    <row r="1223" spans="2:11" x14ac:dyDescent="0.25">
      <c r="B1223" s="42" t="s">
        <v>1706</v>
      </c>
      <c r="C1223" s="42" t="s">
        <v>1737</v>
      </c>
      <c r="D1223" s="42" t="s">
        <v>1340</v>
      </c>
      <c r="E1223" s="36" t="str">
        <f t="shared" si="15"/>
        <v>MetalsNon ferroCadmium</v>
      </c>
      <c r="F1223" s="48"/>
      <c r="G1223" s="48"/>
      <c r="H1223" s="48"/>
      <c r="I1223" s="48"/>
      <c r="J1223" s="48"/>
      <c r="K1223" s="48"/>
    </row>
    <row r="1224" spans="2:11" x14ac:dyDescent="0.25">
      <c r="B1224" s="42" t="s">
        <v>1706</v>
      </c>
      <c r="C1224" s="42" t="s">
        <v>1737</v>
      </c>
      <c r="D1224" s="42" t="s">
        <v>1747</v>
      </c>
      <c r="E1224" s="36" t="str">
        <f t="shared" si="15"/>
        <v>MetalsNon ferroChromium</v>
      </c>
      <c r="F1224" s="48"/>
      <c r="G1224" s="48"/>
      <c r="H1224" s="48"/>
      <c r="I1224" s="48"/>
      <c r="J1224" s="48"/>
      <c r="K1224" s="48"/>
    </row>
    <row r="1225" spans="2:11" x14ac:dyDescent="0.25">
      <c r="B1225" s="42" t="s">
        <v>1706</v>
      </c>
      <c r="C1225" s="42" t="s">
        <v>1737</v>
      </c>
      <c r="D1225" s="42" t="s">
        <v>1710</v>
      </c>
      <c r="E1225" s="36" t="str">
        <f t="shared" si="15"/>
        <v>MetalsNon ferroCobalt</v>
      </c>
      <c r="F1225" s="48"/>
      <c r="G1225" s="48"/>
      <c r="H1225" s="48"/>
      <c r="I1225" s="48"/>
      <c r="J1225" s="48"/>
      <c r="K1225" s="48"/>
    </row>
    <row r="1226" spans="2:11" x14ac:dyDescent="0.25">
      <c r="B1226" s="42" t="s">
        <v>1706</v>
      </c>
      <c r="C1226" s="42" t="s">
        <v>1737</v>
      </c>
      <c r="D1226" s="42" t="s">
        <v>1750</v>
      </c>
      <c r="E1226" s="36" t="str">
        <f t="shared" si="15"/>
        <v>MetalsNon ferroCopper</v>
      </c>
      <c r="F1226" s="48"/>
      <c r="G1226" s="48"/>
      <c r="H1226" s="48"/>
      <c r="I1226" s="48"/>
      <c r="J1226" s="48"/>
      <c r="K1226" s="48"/>
    </row>
    <row r="1227" spans="2:11" x14ac:dyDescent="0.25">
      <c r="B1227" s="42" t="s">
        <v>1706</v>
      </c>
      <c r="C1227" s="42" t="s">
        <v>1737</v>
      </c>
      <c r="D1227" s="42" t="s">
        <v>1344</v>
      </c>
      <c r="E1227" s="36" t="str">
        <f t="shared" si="15"/>
        <v>MetalsNon ferroGallium</v>
      </c>
      <c r="F1227" s="48"/>
      <c r="G1227" s="48"/>
      <c r="H1227" s="48"/>
      <c r="I1227" s="48"/>
      <c r="J1227" s="48"/>
      <c r="K1227" s="48"/>
    </row>
    <row r="1228" spans="2:11" x14ac:dyDescent="0.25">
      <c r="B1228" s="42" t="s">
        <v>1706</v>
      </c>
      <c r="C1228" s="42" t="s">
        <v>1737</v>
      </c>
      <c r="D1228" s="42" t="s">
        <v>1345</v>
      </c>
      <c r="E1228" s="36" t="str">
        <f t="shared" si="15"/>
        <v>MetalsNon ferroGold</v>
      </c>
      <c r="F1228" s="47"/>
      <c r="G1228" s="47"/>
      <c r="H1228" s="47"/>
      <c r="I1228" s="47"/>
      <c r="J1228" s="47"/>
      <c r="K1228" s="47"/>
    </row>
    <row r="1229" spans="2:11" x14ac:dyDescent="0.25">
      <c r="B1229" s="42" t="s">
        <v>1706</v>
      </c>
      <c r="C1229" s="42" t="s">
        <v>1737</v>
      </c>
      <c r="D1229" s="42" t="s">
        <v>1346</v>
      </c>
      <c r="E1229" s="36" t="str">
        <f t="shared" si="15"/>
        <v>MetalsNon ferroIndium</v>
      </c>
      <c r="F1229" s="48"/>
      <c r="G1229" s="48"/>
      <c r="H1229" s="48"/>
      <c r="I1229" s="48"/>
      <c r="J1229" s="48"/>
      <c r="K1229" s="48"/>
    </row>
    <row r="1230" spans="2:11" x14ac:dyDescent="0.25">
      <c r="B1230" s="42" t="s">
        <v>1706</v>
      </c>
      <c r="C1230" s="42" t="s">
        <v>1737</v>
      </c>
      <c r="D1230" s="42" t="s">
        <v>1752</v>
      </c>
      <c r="E1230" s="36" t="str">
        <f t="shared" si="15"/>
        <v>MetalsNon ferroLead</v>
      </c>
      <c r="F1230" s="48"/>
      <c r="G1230" s="48"/>
      <c r="H1230" s="48"/>
      <c r="I1230" s="48"/>
      <c r="J1230" s="48"/>
      <c r="K1230" s="48"/>
    </row>
    <row r="1231" spans="2:11" x14ac:dyDescent="0.25">
      <c r="B1231" s="42" t="s">
        <v>1706</v>
      </c>
      <c r="C1231" s="42" t="s">
        <v>1737</v>
      </c>
      <c r="D1231" s="42" t="s">
        <v>1348</v>
      </c>
      <c r="E1231" s="36" t="str">
        <f t="shared" si="15"/>
        <v>MetalsNon ferroLithium</v>
      </c>
      <c r="F1231" s="47"/>
      <c r="G1231" s="47"/>
      <c r="H1231" s="48"/>
      <c r="I1231" s="48"/>
      <c r="J1231" s="47"/>
      <c r="K1231" s="47"/>
    </row>
    <row r="1232" spans="2:11" x14ac:dyDescent="0.25">
      <c r="B1232" s="42" t="s">
        <v>1706</v>
      </c>
      <c r="C1232" s="42" t="s">
        <v>1737</v>
      </c>
      <c r="D1232" s="42" t="s">
        <v>1349</v>
      </c>
      <c r="E1232" s="36" t="str">
        <f t="shared" si="15"/>
        <v>MetalsNon ferroMagnesium</v>
      </c>
      <c r="F1232" s="47"/>
      <c r="G1232" s="47"/>
      <c r="H1232" s="47"/>
      <c r="I1232" s="47"/>
      <c r="J1232" s="47"/>
      <c r="K1232" s="47"/>
    </row>
    <row r="1233" spans="2:11" x14ac:dyDescent="0.25">
      <c r="B1233" s="42" t="s">
        <v>1706</v>
      </c>
      <c r="C1233" s="42" t="s">
        <v>1737</v>
      </c>
      <c r="D1233" s="42" t="s">
        <v>1754</v>
      </c>
      <c r="E1233" s="36" t="str">
        <f t="shared" si="15"/>
        <v>MetalsNon ferroManganese</v>
      </c>
      <c r="F1233" s="47"/>
      <c r="G1233" s="47"/>
      <c r="H1233" s="47"/>
      <c r="I1233" s="47"/>
      <c r="J1233" s="47"/>
      <c r="K1233" s="47"/>
    </row>
    <row r="1234" spans="2:11" x14ac:dyDescent="0.25">
      <c r="B1234" s="42" t="s">
        <v>1706</v>
      </c>
      <c r="C1234" s="42" t="s">
        <v>1737</v>
      </c>
      <c r="D1234" s="42" t="s">
        <v>1755</v>
      </c>
      <c r="E1234" s="36" t="str">
        <f t="shared" si="15"/>
        <v>MetalsNon ferroMecury</v>
      </c>
      <c r="F1234" s="47"/>
      <c r="G1234" s="47"/>
      <c r="H1234" s="47"/>
      <c r="I1234" s="47"/>
      <c r="J1234" s="47"/>
      <c r="K1234" s="47"/>
    </row>
    <row r="1235" spans="2:11" x14ac:dyDescent="0.25">
      <c r="B1235" s="42" t="s">
        <v>1706</v>
      </c>
      <c r="C1235" s="42" t="s">
        <v>1737</v>
      </c>
      <c r="D1235" s="42" t="s">
        <v>1756</v>
      </c>
      <c r="E1235" s="36" t="str">
        <f t="shared" si="15"/>
        <v>MetalsNon ferroMolybdenum</v>
      </c>
      <c r="F1235" s="47"/>
      <c r="G1235" s="47"/>
      <c r="H1235" s="47"/>
      <c r="I1235" s="47"/>
      <c r="J1235" s="47"/>
      <c r="K1235" s="47"/>
    </row>
    <row r="1236" spans="2:11" x14ac:dyDescent="0.25">
      <c r="B1236" s="42" t="s">
        <v>1706</v>
      </c>
      <c r="C1236" s="42" t="s">
        <v>1737</v>
      </c>
      <c r="D1236" s="42" t="s">
        <v>1353</v>
      </c>
      <c r="E1236" s="36" t="str">
        <f t="shared" si="15"/>
        <v>MetalsNon ferroNickel</v>
      </c>
      <c r="F1236" s="47"/>
      <c r="G1236" s="47"/>
      <c r="H1236" s="47"/>
      <c r="I1236" s="47"/>
      <c r="J1236" s="47"/>
      <c r="K1236" s="47"/>
    </row>
    <row r="1237" spans="2:11" x14ac:dyDescent="0.25">
      <c r="B1237" s="42" t="s">
        <v>1706</v>
      </c>
      <c r="C1237" s="42" t="s">
        <v>1737</v>
      </c>
      <c r="D1237" s="42" t="s">
        <v>1354</v>
      </c>
      <c r="E1237" s="36" t="str">
        <f t="shared" si="15"/>
        <v>MetalsNon ferroPalladium</v>
      </c>
      <c r="F1237" s="47"/>
      <c r="G1237" s="47"/>
      <c r="H1237" s="47"/>
      <c r="I1237" s="47"/>
      <c r="J1237" s="47"/>
      <c r="K1237" s="47"/>
    </row>
    <row r="1238" spans="2:11" x14ac:dyDescent="0.25">
      <c r="B1238" s="42" t="s">
        <v>1706</v>
      </c>
      <c r="C1238" s="42" t="s">
        <v>1737</v>
      </c>
      <c r="D1238" s="42" t="s">
        <v>1758</v>
      </c>
      <c r="E1238" s="36" t="str">
        <f t="shared" si="15"/>
        <v>MetalsNon ferroPlatinum</v>
      </c>
      <c r="F1238" s="47"/>
      <c r="G1238" s="47"/>
      <c r="H1238" s="47"/>
      <c r="I1238" s="47"/>
      <c r="J1238" s="47"/>
      <c r="K1238" s="47"/>
    </row>
    <row r="1239" spans="2:11" x14ac:dyDescent="0.25">
      <c r="B1239" s="42" t="s">
        <v>1706</v>
      </c>
      <c r="C1239" s="42" t="s">
        <v>1737</v>
      </c>
      <c r="D1239" s="42" t="s">
        <v>1760</v>
      </c>
      <c r="E1239" s="36" t="str">
        <f t="shared" si="15"/>
        <v>MetalsNon ferroSilver</v>
      </c>
      <c r="F1239" s="47"/>
      <c r="G1239" s="47"/>
      <c r="H1239" s="47"/>
      <c r="I1239" s="47"/>
      <c r="J1239" s="47"/>
      <c r="K1239" s="47"/>
    </row>
    <row r="1240" spans="2:11" x14ac:dyDescent="0.25">
      <c r="B1240" s="42" t="s">
        <v>1706</v>
      </c>
      <c r="C1240" s="42" t="s">
        <v>1737</v>
      </c>
      <c r="D1240" s="42" t="s">
        <v>1733</v>
      </c>
      <c r="E1240" s="36" t="str">
        <f t="shared" si="15"/>
        <v>MetalsNon ferroTantalum</v>
      </c>
      <c r="F1240" s="48"/>
      <c r="G1240" s="48"/>
      <c r="H1240" s="48"/>
      <c r="I1240" s="48"/>
      <c r="J1240" s="48"/>
      <c r="K1240" s="48"/>
    </row>
    <row r="1241" spans="2:11" x14ac:dyDescent="0.25">
      <c r="B1241" s="42" t="s">
        <v>1706</v>
      </c>
      <c r="C1241" s="42" t="s">
        <v>1737</v>
      </c>
      <c r="D1241" s="42" t="s">
        <v>1735</v>
      </c>
      <c r="E1241" s="36" t="str">
        <f t="shared" si="15"/>
        <v>MetalsNon ferroTin</v>
      </c>
      <c r="F1241" s="48"/>
      <c r="G1241" s="48"/>
      <c r="H1241" s="48"/>
      <c r="I1241" s="48"/>
      <c r="J1241" s="48"/>
      <c r="K1241" s="48"/>
    </row>
    <row r="1242" spans="2:11" x14ac:dyDescent="0.25">
      <c r="B1242" s="42" t="s">
        <v>1706</v>
      </c>
      <c r="C1242" s="42" t="s">
        <v>1737</v>
      </c>
      <c r="D1242" s="42" t="s">
        <v>1762</v>
      </c>
      <c r="E1242" s="36" t="str">
        <f t="shared" si="15"/>
        <v>MetalsNon ferroTitanium zinc plate</v>
      </c>
      <c r="F1242" s="48"/>
      <c r="G1242" s="48"/>
      <c r="H1242" s="48"/>
      <c r="I1242" s="48"/>
      <c r="J1242" s="48"/>
      <c r="K1242" s="48"/>
    </row>
    <row r="1243" spans="2:11" x14ac:dyDescent="0.25">
      <c r="B1243" s="42" t="s">
        <v>1706</v>
      </c>
      <c r="C1243" s="42" t="s">
        <v>1737</v>
      </c>
      <c r="D1243" s="42" t="s">
        <v>1739</v>
      </c>
      <c r="E1243" s="36" t="str">
        <f t="shared" si="15"/>
        <v>MetalsNon ferroZinc</v>
      </c>
      <c r="F1243" s="47"/>
      <c r="G1243" s="47"/>
      <c r="H1243" s="47"/>
      <c r="I1243" s="47"/>
      <c r="J1243" s="47"/>
      <c r="K1243" s="47"/>
    </row>
    <row r="1244" spans="2:11" x14ac:dyDescent="0.25">
      <c r="B1244" s="43" t="s">
        <v>1764</v>
      </c>
      <c r="C1244" s="42" t="s">
        <v>1765</v>
      </c>
      <c r="D1244" s="42"/>
      <c r="E1244" s="36" t="str">
        <f t="shared" si="15"/>
        <v>MineralsLimestone</v>
      </c>
      <c r="F1244" s="48"/>
      <c r="G1244" s="48"/>
      <c r="H1244" s="48"/>
      <c r="I1244" s="48"/>
      <c r="J1244" s="48"/>
      <c r="K1244" s="48"/>
    </row>
    <row r="1245" spans="2:11" x14ac:dyDescent="0.25">
      <c r="B1245" s="43" t="s">
        <v>1764</v>
      </c>
      <c r="C1245" s="42" t="s">
        <v>1744</v>
      </c>
      <c r="D1245" s="42"/>
      <c r="E1245" s="36" t="str">
        <f t="shared" si="15"/>
        <v>MineralsLime</v>
      </c>
      <c r="F1245" s="48"/>
      <c r="G1245" s="48"/>
      <c r="H1245" s="48"/>
      <c r="I1245" s="48"/>
      <c r="J1245" s="48"/>
      <c r="K1245" s="48"/>
    </row>
    <row r="1246" spans="2:11" x14ac:dyDescent="0.25">
      <c r="B1246" s="43" t="s">
        <v>1764</v>
      </c>
      <c r="C1246" s="42" t="s">
        <v>1769</v>
      </c>
      <c r="D1246" s="42"/>
      <c r="E1246" s="36" t="str">
        <f t="shared" si="15"/>
        <v>MineralsAsbestos (crysolite)</v>
      </c>
      <c r="F1246" s="48"/>
      <c r="G1246" s="48"/>
      <c r="H1246" s="48"/>
      <c r="I1246" s="48"/>
      <c r="J1246" s="48"/>
      <c r="K1246" s="48"/>
    </row>
    <row r="1247" spans="2:11" x14ac:dyDescent="0.25">
      <c r="B1247" s="43" t="s">
        <v>1764</v>
      </c>
      <c r="C1247" s="42" t="s">
        <v>1773</v>
      </c>
      <c r="D1247" s="42"/>
      <c r="E1247" s="36" t="str">
        <f t="shared" si="15"/>
        <v>MineralsClay</v>
      </c>
      <c r="F1247" s="48"/>
      <c r="G1247" s="48"/>
      <c r="H1247" s="48"/>
      <c r="I1247" s="48"/>
      <c r="J1247" s="48"/>
      <c r="K1247" s="48"/>
    </row>
    <row r="1248" spans="2:11" x14ac:dyDescent="0.25">
      <c r="B1248" s="43" t="s">
        <v>1764</v>
      </c>
      <c r="C1248" s="42" t="s">
        <v>1776</v>
      </c>
      <c r="D1248" s="42"/>
      <c r="E1248" s="36" t="str">
        <f t="shared" si="15"/>
        <v>MineralsGravel</v>
      </c>
      <c r="F1248" s="48"/>
      <c r="G1248" s="48"/>
      <c r="H1248" s="48"/>
      <c r="I1248" s="48"/>
      <c r="J1248" s="48"/>
      <c r="K1248" s="48"/>
    </row>
    <row r="1249" spans="2:11" x14ac:dyDescent="0.25">
      <c r="B1249" s="43" t="s">
        <v>1764</v>
      </c>
      <c r="C1249" s="42" t="s">
        <v>1367</v>
      </c>
      <c r="D1249" s="42"/>
      <c r="E1249" s="36" t="str">
        <f t="shared" si="15"/>
        <v>MineralsSand</v>
      </c>
      <c r="F1249" s="47"/>
      <c r="G1249" s="47"/>
      <c r="H1249" s="47"/>
      <c r="I1249" s="47"/>
      <c r="J1249" s="47"/>
      <c r="K1249" s="47"/>
    </row>
    <row r="1250" spans="2:11" x14ac:dyDescent="0.25">
      <c r="B1250" s="43" t="s">
        <v>1778</v>
      </c>
      <c r="C1250" s="42" t="s">
        <v>1779</v>
      </c>
      <c r="D1250" s="42"/>
      <c r="E1250" s="36" t="str">
        <f t="shared" si="15"/>
        <v>Paper &amp; BoardBoard</v>
      </c>
      <c r="F1250" s="48"/>
      <c r="G1250" s="48"/>
      <c r="H1250" s="48"/>
      <c r="I1250" s="48"/>
      <c r="J1250" s="48"/>
      <c r="K1250" s="48"/>
    </row>
    <row r="1251" spans="2:11" x14ac:dyDescent="0.25">
      <c r="B1251" s="43" t="s">
        <v>1778</v>
      </c>
      <c r="C1251" s="42" t="s">
        <v>1779</v>
      </c>
      <c r="D1251" s="42" t="s">
        <v>1781</v>
      </c>
      <c r="E1251" s="36" t="str">
        <f t="shared" si="15"/>
        <v>Paper &amp; BoardBoardCore board</v>
      </c>
      <c r="F1251" s="48"/>
      <c r="G1251" s="48"/>
      <c r="H1251" s="48"/>
      <c r="I1251" s="48"/>
      <c r="J1251" s="48"/>
      <c r="K1251" s="48"/>
    </row>
    <row r="1252" spans="2:11" x14ac:dyDescent="0.25">
      <c r="B1252" s="43" t="s">
        <v>1778</v>
      </c>
      <c r="C1252" s="42" t="s">
        <v>1779</v>
      </c>
      <c r="D1252" s="42" t="s">
        <v>1783</v>
      </c>
      <c r="E1252" s="36" t="str">
        <f t="shared" si="15"/>
        <v>Paper &amp; BoardBoardLiquid packaging board</v>
      </c>
      <c r="F1252" s="48"/>
      <c r="G1252" s="48"/>
      <c r="H1252" s="48"/>
      <c r="I1252" s="48"/>
      <c r="J1252" s="48"/>
      <c r="K1252" s="48"/>
    </row>
    <row r="1253" spans="2:11" x14ac:dyDescent="0.25">
      <c r="B1253" s="43" t="s">
        <v>1778</v>
      </c>
      <c r="C1253" s="42" t="s">
        <v>1779</v>
      </c>
      <c r="D1253" s="42" t="s">
        <v>1785</v>
      </c>
      <c r="E1253" s="36" t="str">
        <f t="shared" si="15"/>
        <v>Paper &amp; BoardBoardSolid bleached board</v>
      </c>
      <c r="F1253" s="47"/>
      <c r="G1253" s="47"/>
      <c r="H1253" s="47"/>
      <c r="I1253" s="47"/>
      <c r="J1253" s="47"/>
      <c r="K1253" s="47"/>
    </row>
    <row r="1254" spans="2:11" x14ac:dyDescent="0.25">
      <c r="B1254" s="43" t="s">
        <v>1778</v>
      </c>
      <c r="C1254" s="42" t="s">
        <v>1779</v>
      </c>
      <c r="D1254" s="42" t="s">
        <v>1787</v>
      </c>
      <c r="E1254" s="36" t="str">
        <f t="shared" si="15"/>
        <v>Paper &amp; BoardBoardSolid unbleached board</v>
      </c>
      <c r="F1254" s="48"/>
      <c r="G1254" s="48"/>
      <c r="H1254" s="48"/>
      <c r="I1254" s="48"/>
      <c r="J1254" s="48"/>
      <c r="K1254" s="48"/>
    </row>
    <row r="1255" spans="2:11" x14ac:dyDescent="0.25">
      <c r="B1255" s="43" t="s">
        <v>1778</v>
      </c>
      <c r="C1255" s="42" t="s">
        <v>1789</v>
      </c>
      <c r="D1255" s="42" t="s">
        <v>1790</v>
      </c>
      <c r="E1255" s="36" t="str">
        <f t="shared" si="15"/>
        <v>Paper &amp; BoardCorrugated board boxContainerboard, mixed fibre</v>
      </c>
      <c r="F1255" s="48"/>
      <c r="G1255" s="48"/>
      <c r="H1255" s="48"/>
      <c r="I1255" s="48"/>
      <c r="J1255" s="48"/>
      <c r="K1255" s="48"/>
    </row>
    <row r="1256" spans="2:11" x14ac:dyDescent="0.25">
      <c r="B1256" s="43" t="s">
        <v>1778</v>
      </c>
      <c r="C1256" s="42" t="s">
        <v>1789</v>
      </c>
      <c r="D1256" s="42" t="s">
        <v>1792</v>
      </c>
      <c r="E1256" s="36" t="str">
        <f t="shared" si="15"/>
        <v>Paper &amp; BoardCorrugated board boxContainerboard, fluting medium</v>
      </c>
      <c r="F1256" s="47"/>
      <c r="G1256" s="47"/>
      <c r="H1256" s="47"/>
      <c r="I1256" s="47"/>
      <c r="J1256" s="47"/>
      <c r="K1256" s="47"/>
    </row>
    <row r="1257" spans="2:11" x14ac:dyDescent="0.25">
      <c r="B1257" s="43" t="s">
        <v>1778</v>
      </c>
      <c r="C1257" s="42" t="s">
        <v>1789</v>
      </c>
      <c r="D1257" s="42" t="s">
        <v>1794</v>
      </c>
      <c r="E1257" s="36" t="str">
        <f t="shared" si="15"/>
        <v>Paper &amp; BoardCorrugated board boxContainerboard, linerboard</v>
      </c>
      <c r="F1257" s="48"/>
      <c r="G1257" s="48"/>
      <c r="H1257" s="48"/>
      <c r="I1257" s="48"/>
      <c r="J1257" s="48"/>
      <c r="K1257" s="48"/>
    </row>
    <row r="1258" spans="2:11" x14ac:dyDescent="0.25">
      <c r="B1258" s="43" t="s">
        <v>1778</v>
      </c>
      <c r="C1258" s="42" t="s">
        <v>1796</v>
      </c>
      <c r="D1258" s="42" t="s">
        <v>1797</v>
      </c>
      <c r="E1258" s="36" t="str">
        <f t="shared" si="15"/>
        <v>Paper &amp; BoardPaperUncoated paper</v>
      </c>
      <c r="F1258" s="48"/>
      <c r="G1258" s="48"/>
      <c r="H1258" s="48"/>
      <c r="I1258" s="48"/>
      <c r="J1258" s="48"/>
      <c r="K1258" s="48"/>
    </row>
    <row r="1259" spans="2:11" x14ac:dyDescent="0.25">
      <c r="B1259" s="43" t="s">
        <v>1778</v>
      </c>
      <c r="C1259" s="42" t="s">
        <v>1796</v>
      </c>
      <c r="D1259" s="42" t="s">
        <v>1800</v>
      </c>
      <c r="E1259" s="36" t="str">
        <f t="shared" si="15"/>
        <v>Paper &amp; BoardPaperUncoated paper (recycling)</v>
      </c>
      <c r="F1259" s="48"/>
      <c r="G1259" s="48"/>
      <c r="H1259" s="48"/>
      <c r="I1259" s="48"/>
      <c r="J1259" s="48"/>
      <c r="K1259" s="48"/>
    </row>
    <row r="1260" spans="2:11" x14ac:dyDescent="0.25">
      <c r="B1260" s="43" t="s">
        <v>1778</v>
      </c>
      <c r="C1260" s="42" t="s">
        <v>1802</v>
      </c>
      <c r="D1260" s="42"/>
      <c r="E1260" s="36" t="str">
        <f t="shared" si="15"/>
        <v>Paper &amp; BoardPackaging paper</v>
      </c>
      <c r="F1260" s="48"/>
      <c r="G1260" s="48"/>
      <c r="H1260" s="48"/>
      <c r="I1260" s="48"/>
      <c r="J1260" s="48"/>
      <c r="K1260" s="48"/>
    </row>
    <row r="1261" spans="2:11" x14ac:dyDescent="0.25">
      <c r="B1261" s="43" t="s">
        <v>1778</v>
      </c>
      <c r="C1261" s="42" t="s">
        <v>1802</v>
      </c>
      <c r="D1261" s="42" t="s">
        <v>1804</v>
      </c>
      <c r="E1261" s="36" t="str">
        <f t="shared" si="15"/>
        <v>Paper &amp; BoardPackaging paperKraft paper (bleached)</v>
      </c>
      <c r="F1261" s="47"/>
      <c r="G1261" s="47"/>
      <c r="H1261" s="47"/>
      <c r="I1261" s="47"/>
      <c r="J1261" s="47"/>
      <c r="K1261" s="47"/>
    </row>
    <row r="1262" spans="2:11" x14ac:dyDescent="0.25">
      <c r="B1262" s="43" t="s">
        <v>1778</v>
      </c>
      <c r="C1262" s="42" t="s">
        <v>1802</v>
      </c>
      <c r="D1262" s="42" t="s">
        <v>1806</v>
      </c>
      <c r="E1262" s="36" t="str">
        <f t="shared" si="15"/>
        <v>Paper &amp; BoardPackaging paperKraft paper (unbleached)</v>
      </c>
      <c r="F1262" s="48"/>
      <c r="G1262" s="48"/>
      <c r="H1262" s="48"/>
      <c r="I1262" s="48"/>
      <c r="J1262" s="48"/>
      <c r="K1262" s="48"/>
    </row>
    <row r="1263" spans="2:11" x14ac:dyDescent="0.25">
      <c r="B1263" s="43" t="s">
        <v>1778</v>
      </c>
      <c r="C1263" s="42" t="s">
        <v>1759</v>
      </c>
      <c r="D1263" s="43"/>
      <c r="E1263" s="36" t="str">
        <f t="shared" si="15"/>
        <v>Paper &amp; BoardPulp</v>
      </c>
      <c r="F1263" s="47"/>
      <c r="G1263" s="47"/>
      <c r="H1263" s="47"/>
      <c r="I1263" s="47"/>
      <c r="J1263" s="47"/>
      <c r="K1263" s="47"/>
    </row>
    <row r="1264" spans="2:11" x14ac:dyDescent="0.25">
      <c r="B1264" s="43" t="s">
        <v>1778</v>
      </c>
      <c r="C1264" s="42" t="s">
        <v>1759</v>
      </c>
      <c r="D1264" s="42" t="s">
        <v>1809</v>
      </c>
      <c r="E1264" s="36" t="str">
        <f t="shared" si="15"/>
        <v>Paper &amp; BoardPulpsulfate pulp (bleached)</v>
      </c>
      <c r="F1264" s="48"/>
      <c r="G1264" s="48"/>
      <c r="H1264" s="48"/>
      <c r="I1264" s="48"/>
      <c r="J1264" s="48"/>
      <c r="K1264" s="48"/>
    </row>
    <row r="1265" spans="2:11" x14ac:dyDescent="0.25">
      <c r="B1265" s="43" t="s">
        <v>1778</v>
      </c>
      <c r="C1265" s="42" t="s">
        <v>1759</v>
      </c>
      <c r="D1265" s="42" t="s">
        <v>1811</v>
      </c>
      <c r="E1265" s="36" t="str">
        <f t="shared" si="15"/>
        <v>Paper &amp; BoardPulpsulfate pulp (unbleached)</v>
      </c>
      <c r="F1265" s="48"/>
      <c r="G1265" s="48"/>
      <c r="H1265" s="48"/>
      <c r="I1265" s="48"/>
      <c r="J1265" s="48"/>
      <c r="K1265" s="48"/>
    </row>
    <row r="1266" spans="2:11" x14ac:dyDescent="0.25">
      <c r="B1266" s="43" t="s">
        <v>1761</v>
      </c>
      <c r="C1266" s="42" t="s">
        <v>1813</v>
      </c>
      <c r="D1266" s="42"/>
      <c r="E1266" s="36" t="str">
        <f t="shared" si="15"/>
        <v>TextilesTextile (cotton based)</v>
      </c>
      <c r="F1266" s="48"/>
      <c r="G1266" s="48"/>
      <c r="H1266" s="48"/>
      <c r="I1266" s="48"/>
      <c r="J1266" s="48"/>
      <c r="K1266" s="48"/>
    </row>
    <row r="1267" spans="2:11" x14ac:dyDescent="0.25">
      <c r="B1267" s="43" t="s">
        <v>1761</v>
      </c>
      <c r="C1267" s="42" t="s">
        <v>1815</v>
      </c>
      <c r="D1267" s="42"/>
      <c r="E1267" s="36" t="str">
        <f t="shared" si="15"/>
        <v>TextilesTextile (jute based)</v>
      </c>
      <c r="F1267" s="47"/>
      <c r="G1267" s="47"/>
      <c r="H1267" s="47"/>
      <c r="I1267" s="47"/>
      <c r="J1267" s="47"/>
      <c r="K1267" s="47"/>
    </row>
    <row r="1268" spans="2:11" x14ac:dyDescent="0.25">
      <c r="B1268" s="43" t="s">
        <v>1761</v>
      </c>
      <c r="C1268" s="42" t="s">
        <v>1817</v>
      </c>
      <c r="D1268" s="42"/>
      <c r="E1268" s="36" t="str">
        <f t="shared" si="15"/>
        <v>TextilesViscose fibre</v>
      </c>
      <c r="F1268" s="48"/>
      <c r="G1268" s="48"/>
      <c r="H1268" s="48"/>
      <c r="I1268" s="48"/>
      <c r="J1268" s="48"/>
      <c r="K1268" s="48"/>
    </row>
    <row r="1269" spans="2:11" x14ac:dyDescent="0.25">
      <c r="B1269" s="43" t="s">
        <v>1820</v>
      </c>
      <c r="C1269" s="42" t="s">
        <v>1821</v>
      </c>
      <c r="D1269" s="42"/>
      <c r="E1269" s="36" t="str">
        <f t="shared" si="15"/>
        <v>WaterTap water</v>
      </c>
      <c r="F1269" s="47"/>
      <c r="G1269" s="47"/>
      <c r="H1269" s="47"/>
      <c r="I1269" s="47"/>
      <c r="J1269" s="47"/>
      <c r="K1269" s="47"/>
    </row>
    <row r="1270" spans="2:11" x14ac:dyDescent="0.25">
      <c r="B1270" s="43" t="s">
        <v>1820</v>
      </c>
      <c r="C1270" s="42" t="s">
        <v>1823</v>
      </c>
      <c r="D1270" s="42"/>
      <c r="E1270" s="36" t="str">
        <f t="shared" si="15"/>
        <v>WaterDionised water</v>
      </c>
      <c r="F1270" s="47"/>
      <c r="G1270" s="47"/>
      <c r="H1270" s="47"/>
      <c r="I1270" s="47"/>
      <c r="J1270" s="47"/>
      <c r="K1270" s="47"/>
    </row>
    <row r="1271" spans="2:11" x14ac:dyDescent="0.25">
      <c r="B1271" s="36" t="s">
        <v>27962</v>
      </c>
      <c r="C1271" s="36" t="s">
        <v>27962</v>
      </c>
      <c r="E1271" s="36" t="str">
        <f t="shared" si="15"/>
        <v>RefrigerantRefrigerant</v>
      </c>
    </row>
  </sheetData>
  <phoneticPr fontId="64" type="noConversion"/>
  <pageMargins left="0.7" right="0.7" top="0.78740157499999996" bottom="0.78740157499999996"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A244DEEC2E49498A753A14F1258AE1" ma:contentTypeVersion="2" ma:contentTypeDescription="Crée un document." ma:contentTypeScope="" ma:versionID="d1ae9ce92237fff2a7c00d38ee4a5198">
  <xsd:schema xmlns:xsd="http://www.w3.org/2001/XMLSchema" xmlns:xs="http://www.w3.org/2001/XMLSchema" xmlns:p="http://schemas.microsoft.com/office/2006/metadata/properties" xmlns:ns2="312fd326-7b44-42ac-b7d0-d5b68cc79c5e" targetNamespace="http://schemas.microsoft.com/office/2006/metadata/properties" ma:root="true" ma:fieldsID="2f81058df315a411f37d96b829fb105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830FB1-000A-4867-A08B-11995E572E96}">
  <ds:schemaRefs>
    <ds:schemaRef ds:uri="http://schemas.microsoft.com/sharepoint/v3/contenttype/forms"/>
  </ds:schemaRefs>
</ds:datastoreItem>
</file>

<file path=customXml/itemProps2.xml><?xml version="1.0" encoding="utf-8"?>
<ds:datastoreItem xmlns:ds="http://schemas.openxmlformats.org/officeDocument/2006/customXml" ds:itemID="{660E195F-ADE5-4EFF-83EF-0516EDF2F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AD833D-4750-4B6C-97E7-EA55D351ECA5}">
  <ds:schemaRefs>
    <ds:schemaRef ds:uri="http://schemas.microsoft.com/office/infopath/2007/PartnerControls"/>
    <ds:schemaRef ds:uri="http://www.w3.org/XML/1998/namespace"/>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312fd326-7b44-42ac-b7d0-d5b68cc79c5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666</vt:i4>
      </vt:variant>
    </vt:vector>
  </HeadingPairs>
  <TitlesOfParts>
    <vt:vector size="677" baseType="lpstr">
      <vt:lpstr>0 General Info</vt:lpstr>
      <vt:lpstr>1 General Inputs </vt:lpstr>
      <vt:lpstr>2 Data Inputs</vt:lpstr>
      <vt:lpstr>3 Calculation</vt:lpstr>
      <vt:lpstr>4 Dashboard</vt:lpstr>
      <vt:lpstr>5 BG Data</vt:lpstr>
      <vt:lpstr>Dashboard Leased Assets</vt:lpstr>
      <vt:lpstr>Lists</vt:lpstr>
      <vt:lpstr>Lists 3.1 Product Based</vt:lpstr>
      <vt:lpstr>Lists 3.2 Capital Goods</vt:lpstr>
      <vt:lpstr>Translation</vt:lpstr>
      <vt:lpstr>Calc_2_Electricity_Location</vt:lpstr>
      <vt:lpstr>Calc_2_Electricity_Location_biog</vt:lpstr>
      <vt:lpstr>Calc_2_Electricity_Location_UBP</vt:lpstr>
      <vt:lpstr>Calc_2_Electricity_Market</vt:lpstr>
      <vt:lpstr>Calc_2_Electricity_Market_biog</vt:lpstr>
      <vt:lpstr>Calc_2_Electricity_Market_UBP</vt:lpstr>
      <vt:lpstr>Calc_2_elFleet_Location</vt:lpstr>
      <vt:lpstr>Calc_2_elFleet_Location_biog</vt:lpstr>
      <vt:lpstr>Calc_2_elFleet_Location_UBP</vt:lpstr>
      <vt:lpstr>Calc_2_elFleet_Market</vt:lpstr>
      <vt:lpstr>Calc_2_elFleet_Market_biog</vt:lpstr>
      <vt:lpstr>Calc_2_elFleet_Market_UBP</vt:lpstr>
      <vt:lpstr>Calc_3.3_Electricity_Location</vt:lpstr>
      <vt:lpstr>Calc_3.3_Electricity_Location_biog</vt:lpstr>
      <vt:lpstr>Calc_3.3_Electricity_Location_UBP</vt:lpstr>
      <vt:lpstr>Calc_3.3_Electricity_Market</vt:lpstr>
      <vt:lpstr>Calc_3.3_Electricity_Market_biog</vt:lpstr>
      <vt:lpstr>Calc_3.3_Electricity_Market_UBP</vt:lpstr>
      <vt:lpstr>Calc_3.3_elFleet_Location</vt:lpstr>
      <vt:lpstr>Calc_3.3_elFleet_Location_biog</vt:lpstr>
      <vt:lpstr>Calc_3.3_elFleet_Location_UBP</vt:lpstr>
      <vt:lpstr>Calc_3.3_elFleet_Market</vt:lpstr>
      <vt:lpstr>Calc_3.3_elFleet_Market_biog</vt:lpstr>
      <vt:lpstr>Calc_3.3_elFleet_Market_UBP</vt:lpstr>
      <vt:lpstr>Calc_Electricity_Direct</vt:lpstr>
      <vt:lpstr>Calc_Gem_elFlotte</vt:lpstr>
      <vt:lpstr>Calc_Gem_elFlotte_biog</vt:lpstr>
      <vt:lpstr>Calc_Gem_elFlotte_indr</vt:lpstr>
      <vt:lpstr>Calc_Gem_elFlotte_indr_biog</vt:lpstr>
      <vt:lpstr>Calc_Gem_elFlotte_indr_UBP</vt:lpstr>
      <vt:lpstr>Calc_Gem_elFlotte_UBP</vt:lpstr>
      <vt:lpstr>Calc_Gem_FernDampf</vt:lpstr>
      <vt:lpstr>Calc_Gem_FernDampf_biog</vt:lpstr>
      <vt:lpstr>Calc_Gem_FernDampf_indr</vt:lpstr>
      <vt:lpstr>Calc_Gem_FernDampf_indr_biog</vt:lpstr>
      <vt:lpstr>Calc_Gem_FernDampf_indr_UBP</vt:lpstr>
      <vt:lpstr>Calc_Gem_FernDampf_UBP</vt:lpstr>
      <vt:lpstr>Calc_Gem_Flotte1</vt:lpstr>
      <vt:lpstr>Calc_Gem_Flotte1_biog</vt:lpstr>
      <vt:lpstr>Calc_Gem_Flotte1_indr</vt:lpstr>
      <vt:lpstr>Calc_Gem_Flotte1_indr_biog</vt:lpstr>
      <vt:lpstr>Calc_Gem_Flotte1_indr_UBP</vt:lpstr>
      <vt:lpstr>Calc_Gem_Flotte1_UBP</vt:lpstr>
      <vt:lpstr>Calc_Gem_Flotte2</vt:lpstr>
      <vt:lpstr>Calc_Gem_Flotte2_biog</vt:lpstr>
      <vt:lpstr>Calc_Gem_Flotte2_indr</vt:lpstr>
      <vt:lpstr>Calc_Gem_Flotte2_indr_biog</vt:lpstr>
      <vt:lpstr>Calc_Gem_Flotte2_indr_UBP</vt:lpstr>
      <vt:lpstr>Calc_Gem_Flotte2_UBP</vt:lpstr>
      <vt:lpstr>Calc_Gem_StatVerb</vt:lpstr>
      <vt:lpstr>Calc_Gem_StatVerb_biog</vt:lpstr>
      <vt:lpstr>Calc_Gem_StatVerb_indr</vt:lpstr>
      <vt:lpstr>Calc_Gem_StatVerb_indr_biog</vt:lpstr>
      <vt:lpstr>Calc_Gem_StatVerb_indr_UBP</vt:lpstr>
      <vt:lpstr>Calc_Gem_StatVerb_UBP</vt:lpstr>
      <vt:lpstr>Calc_Gem_Strom1</vt:lpstr>
      <vt:lpstr>Calc_Gem_Strom1_biog</vt:lpstr>
      <vt:lpstr>Calc_Gem_Strom1_indr</vt:lpstr>
      <vt:lpstr>Calc_Gem_Strom1_indr_biog</vt:lpstr>
      <vt:lpstr>Calc_Gem_Strom1_indr_UBP</vt:lpstr>
      <vt:lpstr>Calc_Gem_Strom1_UBP</vt:lpstr>
      <vt:lpstr>Calc_Gem_Strom2</vt:lpstr>
      <vt:lpstr>Calc_Gem_Strom2_biog</vt:lpstr>
      <vt:lpstr>Calc_Gem_Strom2_indr</vt:lpstr>
      <vt:lpstr>Calc_Gem_Strom2_indr_biog</vt:lpstr>
      <vt:lpstr>Calc_Gem_Strom2_indr_UBP</vt:lpstr>
      <vt:lpstr>Calc_Gem_Strom2_UBP</vt:lpstr>
      <vt:lpstr>Calc_Hyperlink_Lessee</vt:lpstr>
      <vt:lpstr>Calc_Hyperlink_Lessor</vt:lpstr>
      <vt:lpstr>Calc_Hyperlink_S1</vt:lpstr>
      <vt:lpstr>Calc_Hyperlink_S2</vt:lpstr>
      <vt:lpstr>Calc_Hyperlink_S3</vt:lpstr>
      <vt:lpstr>Calc_Lessee_Electricity_Direct_Location</vt:lpstr>
      <vt:lpstr>Calc_Lessee_Electricity_Direct_Location_biog</vt:lpstr>
      <vt:lpstr>Calc_Lessee_Electricity_Direct_Location_UBP</vt:lpstr>
      <vt:lpstr>Calc_Lessee_Electricity_Indirect_Location</vt:lpstr>
      <vt:lpstr>Calc_Lessee_Electricity_Indirect_Location_biog</vt:lpstr>
      <vt:lpstr>Calc_Lessee_Electricity_Indirect_Location_UBP</vt:lpstr>
      <vt:lpstr>Calc_Lessee_elFleet_Direct_Location</vt:lpstr>
      <vt:lpstr>Calc_Lessee_elFleet_Direct_Location_biog</vt:lpstr>
      <vt:lpstr>Calc_Lessee_elFleet_Direct_Location_UBP</vt:lpstr>
      <vt:lpstr>Calc_Lessee_elFleet_Indirect_Location</vt:lpstr>
      <vt:lpstr>Calc_Lessee_elFleet_Indirect_Location_biog</vt:lpstr>
      <vt:lpstr>Calc_Lessee_elFleet_Indirect_Location_UBP</vt:lpstr>
      <vt:lpstr>Calc_Lessor_Electricity_Direct_Location</vt:lpstr>
      <vt:lpstr>Calc_Lessor_Electricity_Direct_Location_biog</vt:lpstr>
      <vt:lpstr>Calc_Lessor_Electricity_Direct_Location_UBP</vt:lpstr>
      <vt:lpstr>Calc_Lessor_Electricity_Indirect_Location</vt:lpstr>
      <vt:lpstr>Calc_Lessor_Electricity_Indirect_Location_biog</vt:lpstr>
      <vt:lpstr>Calc_Lessor_Electricity_Indirect_Location_UBP</vt:lpstr>
      <vt:lpstr>Calc_Lessor_elFleet_Direct_Location</vt:lpstr>
      <vt:lpstr>Calc_Lessor_elFleet_Direct_Location_biog</vt:lpstr>
      <vt:lpstr>Calc_Lessor_elFleet_Direct_Location_UBP</vt:lpstr>
      <vt:lpstr>Calc_Lessor_elFleet_Indirect_Location</vt:lpstr>
      <vt:lpstr>Calc_Lessor_elFleet_Indirect_Location_biog</vt:lpstr>
      <vt:lpstr>Calc_Lessor_elFleet_Indirect_Location_UBP</vt:lpstr>
      <vt:lpstr>Calc_Ver_elFlotte</vt:lpstr>
      <vt:lpstr>Calc_Ver_elFlotte_biog</vt:lpstr>
      <vt:lpstr>Calc_Ver_elFlotte_indr</vt:lpstr>
      <vt:lpstr>Calc_Ver_elFlotte_indr_biog</vt:lpstr>
      <vt:lpstr>Calc_Ver_elFlotte_indr_UBP</vt:lpstr>
      <vt:lpstr>Calc_Ver_elFlotte_UBP</vt:lpstr>
      <vt:lpstr>Calc_Ver_FernDampf</vt:lpstr>
      <vt:lpstr>Calc_Ver_FernDampf_biog</vt:lpstr>
      <vt:lpstr>Calc_Ver_FernDampf_indr</vt:lpstr>
      <vt:lpstr>Calc_Ver_FernDampf_indr_biog</vt:lpstr>
      <vt:lpstr>Calc_Ver_FernDampf_indr_UBP</vt:lpstr>
      <vt:lpstr>Calc_Ver_FernDampf_UBP</vt:lpstr>
      <vt:lpstr>Calc_Ver_Flotte1</vt:lpstr>
      <vt:lpstr>Calc_Ver_Flotte1_biog</vt:lpstr>
      <vt:lpstr>Calc_Ver_Flotte1_indr</vt:lpstr>
      <vt:lpstr>Calc_Ver_Flotte1_indr_biog</vt:lpstr>
      <vt:lpstr>Calc_Ver_Flotte1_indr_UBP</vt:lpstr>
      <vt:lpstr>Calc_Ver_Flotte1_UBP</vt:lpstr>
      <vt:lpstr>Calc_Ver_Flotte2</vt:lpstr>
      <vt:lpstr>Calc_Ver_Flotte2_biog</vt:lpstr>
      <vt:lpstr>Calc_Ver_Flotte2_indr</vt:lpstr>
      <vt:lpstr>Calc_Ver_Flotte2_indr_biog</vt:lpstr>
      <vt:lpstr>Calc_Ver_Flotte2_indr_UBP</vt:lpstr>
      <vt:lpstr>Calc_Ver_Flotte2_UBP</vt:lpstr>
      <vt:lpstr>Calc_Ver_StatVerb</vt:lpstr>
      <vt:lpstr>Calc_Ver_StatVerb_biog</vt:lpstr>
      <vt:lpstr>Calc_Ver_StatVerb_indr</vt:lpstr>
      <vt:lpstr>Calc_Ver_StatVerb_indr_biog</vt:lpstr>
      <vt:lpstr>Calc_Ver_StatVerb_indr_UBP</vt:lpstr>
      <vt:lpstr>Calc_Ver_StatVerb_UBP</vt:lpstr>
      <vt:lpstr>Calc_Ver_Strom1</vt:lpstr>
      <vt:lpstr>Calc_Ver_Strom1_biog</vt:lpstr>
      <vt:lpstr>Calc_Ver_Strom1_indr</vt:lpstr>
      <vt:lpstr>Calc_Ver_Strom1_indr_biog</vt:lpstr>
      <vt:lpstr>Calc_Ver_Strom1_indr_UBP</vt:lpstr>
      <vt:lpstr>Calc_Ver_Strom1_UBP</vt:lpstr>
      <vt:lpstr>Calc_Ver_Strom2</vt:lpstr>
      <vt:lpstr>Calc_Ver_Strom2_biog</vt:lpstr>
      <vt:lpstr>Calc_Ver_Strom2_indr</vt:lpstr>
      <vt:lpstr>Calc_Ver_Strom2_indr_biog</vt:lpstr>
      <vt:lpstr>Calc_Ver_Strom2_indr_UBP</vt:lpstr>
      <vt:lpstr>Calc_Ver_Strom2_UBP</vt:lpstr>
      <vt:lpstr>DatInp_Hyperlink_10Transport</vt:lpstr>
      <vt:lpstr>DatInp_Hyperlink_11Waste</vt:lpstr>
      <vt:lpstr>DatInp_Hyperlink_12SoldProducts</vt:lpstr>
      <vt:lpstr>DatInp_Hyperlink_13Franchise</vt:lpstr>
      <vt:lpstr>DatInp_Hyperlink_14Investments</vt:lpstr>
      <vt:lpstr>DatInp_Hyperlink_3Stationary</vt:lpstr>
      <vt:lpstr>DatInp_Hyperlink_4Process</vt:lpstr>
      <vt:lpstr>DatInp_Hyperlink_5Fugitive</vt:lpstr>
      <vt:lpstr>DatInp_Hyperlink_6Fleet</vt:lpstr>
      <vt:lpstr>DatInp_Hyperlink_7Electricity</vt:lpstr>
      <vt:lpstr>DatInp_Hyperlink_8PurchasedGoods</vt:lpstr>
      <vt:lpstr>DatInp_Hyperlink_9CapitalGoods</vt:lpstr>
      <vt:lpstr>DatInp_PurchasedGoods_ProductBased_Line1_MatKat1</vt:lpstr>
      <vt:lpstr>DatInp_PurchasedGoods_ProductBased_Line1_MatKat2</vt:lpstr>
      <vt:lpstr>DatInp_PurchasedGoods_ProductBased_Line1_MatKat3</vt:lpstr>
      <vt:lpstr>DatInp_PurchasedGoods_ProductBased_Line10_MatKat1</vt:lpstr>
      <vt:lpstr>DatInp_PurchasedGoods_ProductBased_Line10_MatKat2</vt:lpstr>
      <vt:lpstr>DatInp_PurchasedGoods_ProductBased_Line10_MatKat3</vt:lpstr>
      <vt:lpstr>DatInp_PurchasedGoods_ProductBased_Line11_MatKat1</vt:lpstr>
      <vt:lpstr>DatInp_PurchasedGoods_ProductBased_Line11_MatKat2</vt:lpstr>
      <vt:lpstr>DatInp_PurchasedGoods_ProductBased_Line11_MatKat3</vt:lpstr>
      <vt:lpstr>DatInp_PurchasedGoods_ProductBased_Line12_MatKat1</vt:lpstr>
      <vt:lpstr>DatInp_PurchasedGoods_ProductBased_Line12_MatKat2</vt:lpstr>
      <vt:lpstr>DatInp_PurchasedGoods_ProductBased_Line12_MatKat3</vt:lpstr>
      <vt:lpstr>DatInp_PurchasedGoods_ProductBased_Line13_MatKat1</vt:lpstr>
      <vt:lpstr>DatInp_PurchasedGoods_ProductBased_Line13_MatKat2</vt:lpstr>
      <vt:lpstr>DatInp_PurchasedGoods_ProductBased_Line13_MatKat3</vt:lpstr>
      <vt:lpstr>DatInp_PurchasedGoods_ProductBased_Line14_MatKat1</vt:lpstr>
      <vt:lpstr>DatInp_PurchasedGoods_ProductBased_Line14_MatKat2</vt:lpstr>
      <vt:lpstr>DatInp_PurchasedGoods_ProductBased_Line14_MatKat3</vt:lpstr>
      <vt:lpstr>DatInp_PurchasedGoods_ProductBased_Line15_MatKat1</vt:lpstr>
      <vt:lpstr>DatInp_PurchasedGoods_ProductBased_Line15_MatKat2</vt:lpstr>
      <vt:lpstr>DatInp_PurchasedGoods_ProductBased_Line15_MatKat3</vt:lpstr>
      <vt:lpstr>DatInp_PurchasedGoods_ProductBased_Line16_MatKat1</vt:lpstr>
      <vt:lpstr>DatInp_PurchasedGoods_ProductBased_Line16_MatKat2</vt:lpstr>
      <vt:lpstr>DatInp_PurchasedGoods_ProductBased_Line16_MatKat3</vt:lpstr>
      <vt:lpstr>DatInp_PurchasedGoods_ProductBased_Line17_MatKat1</vt:lpstr>
      <vt:lpstr>DatInp_PurchasedGoods_ProductBased_Line17_MatKat2</vt:lpstr>
      <vt:lpstr>DatInp_PurchasedGoods_ProductBased_Line17_MatKat3</vt:lpstr>
      <vt:lpstr>DatInp_PurchasedGoods_ProductBased_Line18_MatKat1</vt:lpstr>
      <vt:lpstr>DatInp_PurchasedGoods_ProductBased_Line18_MatKat2</vt:lpstr>
      <vt:lpstr>DatInp_PurchasedGoods_ProductBased_Line18_MatKat3</vt:lpstr>
      <vt:lpstr>DatInp_PurchasedGoods_ProductBased_Line19_MatKat1</vt:lpstr>
      <vt:lpstr>DatInp_PurchasedGoods_ProductBased_Line19_MatKat2</vt:lpstr>
      <vt:lpstr>DatInp_PurchasedGoods_ProductBased_Line19_MatKat3</vt:lpstr>
      <vt:lpstr>DatInp_PurchasedGoods_ProductBased_Line2_MatKat1</vt:lpstr>
      <vt:lpstr>DatInp_PurchasedGoods_ProductBased_Line2_MatKat2</vt:lpstr>
      <vt:lpstr>DatInp_PurchasedGoods_ProductBased_Line2_MatKat3</vt:lpstr>
      <vt:lpstr>DatInp_PurchasedGoods_ProductBased_Line20_MatKat1</vt:lpstr>
      <vt:lpstr>DatInp_PurchasedGoods_ProductBased_Line20_MatKat2</vt:lpstr>
      <vt:lpstr>DatInp_PurchasedGoods_ProductBased_Line20_MatKat3</vt:lpstr>
      <vt:lpstr>DatInp_PurchasedGoods_ProductBased_Line3_MatKat1</vt:lpstr>
      <vt:lpstr>DatInp_PurchasedGoods_ProductBased_Line3_MatKat2</vt:lpstr>
      <vt:lpstr>DatInp_PurchasedGoods_ProductBased_Line3_MatKat3</vt:lpstr>
      <vt:lpstr>DatInp_PurchasedGoods_ProductBased_Line4_MatKat1</vt:lpstr>
      <vt:lpstr>DatInp_PurchasedGoods_ProductBased_Line4_MatKat2</vt:lpstr>
      <vt:lpstr>DatInp_PurchasedGoods_ProductBased_Line4_MatKat3</vt:lpstr>
      <vt:lpstr>DatInp_PurchasedGoods_ProductBased_Line5_MatKat1</vt:lpstr>
      <vt:lpstr>DatInp_PurchasedGoods_ProductBased_Line5_MatKat2</vt:lpstr>
      <vt:lpstr>DatInp_PurchasedGoods_ProductBased_Line5_MatKat3</vt:lpstr>
      <vt:lpstr>DatInp_PurchasedGoods_ProductBased_Line6_MatKat1</vt:lpstr>
      <vt:lpstr>DatInp_PurchasedGoods_ProductBased_Line6_MatKat2</vt:lpstr>
      <vt:lpstr>DatInp_PurchasedGoods_ProductBased_Line6_MatKat3</vt:lpstr>
      <vt:lpstr>DatInp_PurchasedGoods_ProductBased_Line7_MatKat1</vt:lpstr>
      <vt:lpstr>DatInp_PurchasedGoods_ProductBased_Line7_MatKat2</vt:lpstr>
      <vt:lpstr>DatInp_PurchasedGoods_ProductBased_Line7_MatKat3</vt:lpstr>
      <vt:lpstr>DatInp_PurchasedGoods_ProductBased_Line8_MatKat1</vt:lpstr>
      <vt:lpstr>DatInp_PurchasedGoods_ProductBased_Line8_MatKat2</vt:lpstr>
      <vt:lpstr>DatInp_PurchasedGoods_ProductBased_Line8_MatKat3</vt:lpstr>
      <vt:lpstr>DatInp_PurchasedGoods_ProductBased_Line9_MatKat1</vt:lpstr>
      <vt:lpstr>DatInp_PurchasedGoods_ProductBased_Line9_MatKat2</vt:lpstr>
      <vt:lpstr>DatInp_PurchasedGoods_ProductBased_Line9_MatKat3</vt:lpstr>
      <vt:lpstr>Description</vt:lpstr>
      <vt:lpstr>French</vt:lpstr>
      <vt:lpstr>GenInp_A1_ConsolAppr</vt:lpstr>
      <vt:lpstr>GenInp_A2_LeaseType</vt:lpstr>
      <vt:lpstr>GenInp_B1_Scope3</vt:lpstr>
      <vt:lpstr>GenInp_C1_Energy</vt:lpstr>
      <vt:lpstr>GenInp_C11_Energy_Lessee</vt:lpstr>
      <vt:lpstr>GenInp_C12_Energy_Lessor</vt:lpstr>
      <vt:lpstr>GenInp_C2_ProcessEm</vt:lpstr>
      <vt:lpstr>GenInp_C3_Fugitive</vt:lpstr>
      <vt:lpstr>GenInp_C4_Mobile</vt:lpstr>
      <vt:lpstr>GenInp_C41_Mobile_Lessee</vt:lpstr>
      <vt:lpstr>GenInp_C42_Mobile_Lessor</vt:lpstr>
      <vt:lpstr>GenInp_ConsolAppr</vt:lpstr>
      <vt:lpstr>GenInp_D1_S3.2</vt:lpstr>
      <vt:lpstr>GenInp_D2_S3.6</vt:lpstr>
      <vt:lpstr>GenInp_D3_S3.7</vt:lpstr>
      <vt:lpstr>GenInp_D4_SoldP</vt:lpstr>
      <vt:lpstr>GenInp_D5_Processing</vt:lpstr>
      <vt:lpstr>GenInp_D5_SoldP_Processing</vt:lpstr>
      <vt:lpstr>GenInp_D6_SoldP_Use</vt:lpstr>
      <vt:lpstr>GenInp_D7_Franchise</vt:lpstr>
      <vt:lpstr>GenInp_D8_Investments</vt:lpstr>
      <vt:lpstr>GenInp_E1</vt:lpstr>
      <vt:lpstr>GenInp_Hyperlink_LeaseType</vt:lpstr>
      <vt:lpstr>GenInp_HyperlinkA</vt:lpstr>
      <vt:lpstr>GenInp_HyperlinkB</vt:lpstr>
      <vt:lpstr>GenInp_HyperlinkC</vt:lpstr>
      <vt:lpstr>GenInp_HyperlinkD</vt:lpstr>
      <vt:lpstr>GenInp_HyperlinkE</vt:lpstr>
      <vt:lpstr>GenInp_LeaseType</vt:lpstr>
      <vt:lpstr>GenInp_titA</vt:lpstr>
      <vt:lpstr>GenInp_titB</vt:lpstr>
      <vt:lpstr>GenInp_titC1</vt:lpstr>
      <vt:lpstr>GenInp_titC2</vt:lpstr>
      <vt:lpstr>GenInp_titD</vt:lpstr>
      <vt:lpstr>GenInp_titE</vt:lpstr>
      <vt:lpstr>German</vt:lpstr>
      <vt:lpstr>graph_count</vt:lpstr>
      <vt:lpstr>Italian</vt:lpstr>
      <vt:lpstr>Language</vt:lpstr>
      <vt:lpstr>n0Info_1Structure</vt:lpstr>
      <vt:lpstr>n0Info_1Structure_Text1</vt:lpstr>
      <vt:lpstr>n0Info_1Structure_Text10</vt:lpstr>
      <vt:lpstr>n0Info_1Structure_Text11</vt:lpstr>
      <vt:lpstr>n0Info_1Structure_Text2</vt:lpstr>
      <vt:lpstr>n0Info_1Structure_Text3</vt:lpstr>
      <vt:lpstr>n0Info_1Structure_Text4</vt:lpstr>
      <vt:lpstr>n0Info_1Structure_Text5</vt:lpstr>
      <vt:lpstr>n0Info_1Structure_Text6</vt:lpstr>
      <vt:lpstr>n0Info_1Structure_Text7</vt:lpstr>
      <vt:lpstr>n0Info_1Structure_Text8</vt:lpstr>
      <vt:lpstr>n0Info_1Structure_Text9</vt:lpstr>
      <vt:lpstr>n0Info_2FurtherInfo</vt:lpstr>
      <vt:lpstr>n0Info_2FurtherInfo_Text1</vt:lpstr>
      <vt:lpstr>n0Info_2FurtherInfo_Text11</vt:lpstr>
      <vt:lpstr>n0Info_2FurtherInfo_Text12</vt:lpstr>
      <vt:lpstr>n0Info_2FurtherInfo_Text13</vt:lpstr>
      <vt:lpstr>n0Info_2FurtherInfo_Text14</vt:lpstr>
      <vt:lpstr>n0Info_2FurtherInfo_Text2</vt:lpstr>
      <vt:lpstr>n0Info_2FurtherInfo_Text3</vt:lpstr>
      <vt:lpstr>n0Info_2FurtherInfo_Text4</vt:lpstr>
      <vt:lpstr>n0Info_2FurtherInfo_Text5</vt:lpstr>
      <vt:lpstr>n0Info_2FurtherInfo_Text6</vt:lpstr>
      <vt:lpstr>n0Info_2FurtherInfo_Text7</vt:lpstr>
      <vt:lpstr>n0Info_2FurtherInfo_Text8</vt:lpstr>
      <vt:lpstr>n0Info_2FurtherInfo_Text9</vt:lpstr>
      <vt:lpstr>n0Info_3Contact</vt:lpstr>
      <vt:lpstr>n0Info_3Contact_Text1</vt:lpstr>
      <vt:lpstr>n0Info_3Contact_Text2</vt:lpstr>
      <vt:lpstr>n0Info_3Contact_Text3</vt:lpstr>
      <vt:lpstr>n0Info_header1</vt:lpstr>
      <vt:lpstr>n0Info_header2</vt:lpstr>
      <vt:lpstr>n0Info_subtitle</vt:lpstr>
      <vt:lpstr>n0Info_Text1</vt:lpstr>
      <vt:lpstr>n0Info_title1</vt:lpstr>
      <vt:lpstr>n0Info_title2</vt:lpstr>
      <vt:lpstr>n1Inputs</vt:lpstr>
      <vt:lpstr>n1Inputs_1Instruction</vt:lpstr>
      <vt:lpstr>n1Inputs_1Instruction_Text1</vt:lpstr>
      <vt:lpstr>n1Inputs_1Instruction_Text2</vt:lpstr>
      <vt:lpstr>n1Inputs_1Instruction_Text3</vt:lpstr>
      <vt:lpstr>n1Inputs_2Info</vt:lpstr>
      <vt:lpstr>n1Inputs_2Info_Text1</vt:lpstr>
      <vt:lpstr>n1Inputs_2Info_Text2</vt:lpstr>
      <vt:lpstr>n1Inputs_2Info_Text3</vt:lpstr>
      <vt:lpstr>n1Inputs_3Index</vt:lpstr>
      <vt:lpstr>n1Inputs_4AConsolidation</vt:lpstr>
      <vt:lpstr>n1Inputs_4AConsolidation_Text1</vt:lpstr>
      <vt:lpstr>n1Inputs_5BScopes</vt:lpstr>
      <vt:lpstr>n1Inputs_5BScopes_Text1</vt:lpstr>
      <vt:lpstr>n1Inputs_5BScopes_Text2</vt:lpstr>
      <vt:lpstr>n1Inputs_6CDirectEmissions</vt:lpstr>
      <vt:lpstr>n1Inputs_6CDirectEmissions_Text1</vt:lpstr>
      <vt:lpstr>n1Inputs_6CDirectEmissions_Text101</vt:lpstr>
      <vt:lpstr>n1Inputs_6CDirectEmissions_Text102</vt:lpstr>
      <vt:lpstr>n1Inputs_6CDirectEmissions_Text2</vt:lpstr>
      <vt:lpstr>n1Inputs_6CDirectEmissions_Text3</vt:lpstr>
      <vt:lpstr>n1Inputs_6CDirectEmissions_Text4</vt:lpstr>
      <vt:lpstr>n1Inputs_6CDirectEmissions_Text401</vt:lpstr>
      <vt:lpstr>n1Inputs_6CDirectEmissions_Text402</vt:lpstr>
      <vt:lpstr>n1Inputs_7DIndirectEmissions</vt:lpstr>
      <vt:lpstr>n1Inputs_7DIndirectEmissions_Text1</vt:lpstr>
      <vt:lpstr>n1Inputs_7DIndirectEmissions_Text2</vt:lpstr>
      <vt:lpstr>n1Inputs_7DIndirectEmissions_Text3</vt:lpstr>
      <vt:lpstr>n1Inputs_7DIndirectEmissions_Text4</vt:lpstr>
      <vt:lpstr>n1Inputs_7DIndirectEmissions_Text5</vt:lpstr>
      <vt:lpstr>n1Inputs_7DIndirectEmissions_Text6</vt:lpstr>
      <vt:lpstr>n1Inputs_7DIndirectEmissions_Text7</vt:lpstr>
      <vt:lpstr>n1Inputs_7DIndirectEmissions_Text8</vt:lpstr>
      <vt:lpstr>n1Inputs_8EUBP</vt:lpstr>
      <vt:lpstr>n1Inputs_8EUBP_Text1</vt:lpstr>
      <vt:lpstr>n1Inputs_Text1</vt:lpstr>
      <vt:lpstr>n20nfo_2FurtherInfo_Text10</vt:lpstr>
      <vt:lpstr>n2Data</vt:lpstr>
      <vt:lpstr>n2Data_0General_Text1</vt:lpstr>
      <vt:lpstr>n2Data_0General_Text2</vt:lpstr>
      <vt:lpstr>n2Data_0General_Text3</vt:lpstr>
      <vt:lpstr>n2Data_0General_Text4_Input</vt:lpstr>
      <vt:lpstr>n2Data_0General_Text5_Unit</vt:lpstr>
      <vt:lpstr>n2Data_10Transport</vt:lpstr>
      <vt:lpstr>n2Data_10Transport_1Bussinesstrip</vt:lpstr>
      <vt:lpstr>n2Data_10Transport_1Bussinesstrip_Text1</vt:lpstr>
      <vt:lpstr>n2Data_10Transport_1Bussinesstrip_Text1.1</vt:lpstr>
      <vt:lpstr>n2Data_10Transport_1Bussinesstrip_Text2</vt:lpstr>
      <vt:lpstr>n2Data_10Transport_1Bussinesstrip_Text3</vt:lpstr>
      <vt:lpstr>n2Data_10Transport_1Bussinesstrip_Text4</vt:lpstr>
      <vt:lpstr>n2Data_10Transport_1Bussinesstrip_Text4.1</vt:lpstr>
      <vt:lpstr>n2Data_10Transport_1Bussinesstrip_Text4.2</vt:lpstr>
      <vt:lpstr>n2Data_10Transport_1Bussinesstrip_Text4.3</vt:lpstr>
      <vt:lpstr>n2Data_10Transport_1Bussinesstrip_Text4.4</vt:lpstr>
      <vt:lpstr>n2Data_10Transport_1Bussinesstrip_Text5</vt:lpstr>
      <vt:lpstr>n2Data_10Transport_1Bussinesstrip_Text6</vt:lpstr>
      <vt:lpstr>n2Data_10Transport_1Bussinesstrip_Text7</vt:lpstr>
      <vt:lpstr>n2Data_10Transport_2Commuting</vt:lpstr>
      <vt:lpstr>n2Data_10Transport_2Commuting_Text1</vt:lpstr>
      <vt:lpstr>n2Data_10Transport_2Commuting_Text10</vt:lpstr>
      <vt:lpstr>n2Data_10Transport_2Commuting_Text11</vt:lpstr>
      <vt:lpstr>n2Data_10Transport_2Commuting_Text2</vt:lpstr>
      <vt:lpstr>n2Data_10Transport_2Commuting_Text3</vt:lpstr>
      <vt:lpstr>n2Data_10Transport_2Commuting_Text4a</vt:lpstr>
      <vt:lpstr>n2Data_10Transport_2Commuting_Text4b</vt:lpstr>
      <vt:lpstr>n2Data_10Transport_2Commuting_Text5</vt:lpstr>
      <vt:lpstr>n2Data_10Transport_2Commuting_Text6</vt:lpstr>
      <vt:lpstr>n2Data_10Transport_2Commuting_Text7</vt:lpstr>
      <vt:lpstr>n2Data_10Transport_2Commuting_Text8</vt:lpstr>
      <vt:lpstr>n2Data_10Transport_2Commuting_Text9</vt:lpstr>
      <vt:lpstr>n2Data_10Transport_3Upstream</vt:lpstr>
      <vt:lpstr>n2Data_10Transport_3Upstream_Text1</vt:lpstr>
      <vt:lpstr>n2Data_10Transport_3Upstream_Text101</vt:lpstr>
      <vt:lpstr>n2Data_10Transport_3Upstream_Text2</vt:lpstr>
      <vt:lpstr>n2Data_10Transport_3Upstream_Text3</vt:lpstr>
      <vt:lpstr>n2Data_10Transport_3Upstream_Text4</vt:lpstr>
      <vt:lpstr>n2Data_10Transport_3Upstream_Text5</vt:lpstr>
      <vt:lpstr>n2Data_10Transport_3Upstream_Text6</vt:lpstr>
      <vt:lpstr>n2Data_10Transport_4Downstream</vt:lpstr>
      <vt:lpstr>n2Data_10Transport_4Downstream_Text1</vt:lpstr>
      <vt:lpstr>n2Data_10Transport_4Downstream_Text101</vt:lpstr>
      <vt:lpstr>n2Data_10Transport_4Downstream_Text2</vt:lpstr>
      <vt:lpstr>n2Data_10Transport_4Downstream_Text3</vt:lpstr>
      <vt:lpstr>n2Data_10Transport_4Downstream_Text4</vt:lpstr>
      <vt:lpstr>n2Data_10Transport_4Downstream_Text5</vt:lpstr>
      <vt:lpstr>n2Data_10Transport_4Downstream_Text6</vt:lpstr>
      <vt:lpstr>n2Data_11Waste</vt:lpstr>
      <vt:lpstr>n2Data_11Waste_Text1</vt:lpstr>
      <vt:lpstr>n2Data_11Waste_Text10</vt:lpstr>
      <vt:lpstr>n2Data_11Waste_Text101</vt:lpstr>
      <vt:lpstr>n2Data_11Waste_Text11</vt:lpstr>
      <vt:lpstr>n2Data_11Waste_Text12</vt:lpstr>
      <vt:lpstr>n2Data_11Waste_Text13</vt:lpstr>
      <vt:lpstr>n2Data_11Waste_Text14</vt:lpstr>
      <vt:lpstr>n2Data_11Waste_Text2</vt:lpstr>
      <vt:lpstr>n2Data_11Waste_Text3</vt:lpstr>
      <vt:lpstr>n2Data_11Waste_Text4</vt:lpstr>
      <vt:lpstr>n2Data_11Waste_Text5</vt:lpstr>
      <vt:lpstr>n2Data_11Waste_Text6</vt:lpstr>
      <vt:lpstr>n2Data_11Waste_Text7</vt:lpstr>
      <vt:lpstr>n2Data_11Waste_Text8</vt:lpstr>
      <vt:lpstr>n2Data_11Waste_Text9</vt:lpstr>
      <vt:lpstr>n2Data_12SoldProducts</vt:lpstr>
      <vt:lpstr>n2Data_12SoldProducts_1Processing</vt:lpstr>
      <vt:lpstr>n2Data_12SoldProducts_1Processing_Text1</vt:lpstr>
      <vt:lpstr>n2Data_12SoldProducts_1Processing_Text101</vt:lpstr>
      <vt:lpstr>n2Data_12SoldProducts_1Processing_Text2</vt:lpstr>
      <vt:lpstr>n2Data_12SoldProducts_1Processing_Text3</vt:lpstr>
      <vt:lpstr>n2Data_12SoldProducts_1Processing_Text4</vt:lpstr>
      <vt:lpstr>n2Data_12SoldProducts_1Processing_Text5</vt:lpstr>
      <vt:lpstr>n2Data_12SoldProducts_2Use</vt:lpstr>
      <vt:lpstr>n2Data_12SoldProducts_2Use_Text1</vt:lpstr>
      <vt:lpstr>n2Data_12SoldProducts_2Use_Text2</vt:lpstr>
      <vt:lpstr>n2Data_12SoldProducts_2Use_Text3</vt:lpstr>
      <vt:lpstr>n2Data_12SoldProducts_2Use_Text4</vt:lpstr>
      <vt:lpstr>n2Data_12SoldProducts_2Use_Text5</vt:lpstr>
      <vt:lpstr>n2Data_12SoldProducts_3EndOfLife</vt:lpstr>
      <vt:lpstr>n2Data_12SoldProducts_3EndOfLife_Text1</vt:lpstr>
      <vt:lpstr>n2Data_12SoldProducts_3EndOfLife_Text10</vt:lpstr>
      <vt:lpstr>n2Data_12SoldProducts_3EndOfLife_Text101</vt:lpstr>
      <vt:lpstr>n2Data_12SoldProducts_3EndOfLife_Text11</vt:lpstr>
      <vt:lpstr>n2Data_12SoldProducts_3EndOfLife_Text12</vt:lpstr>
      <vt:lpstr>n2Data_12SoldProducts_3EndOfLife_Text13</vt:lpstr>
      <vt:lpstr>n2Data_12SoldProducts_3EndOfLife_Text14</vt:lpstr>
      <vt:lpstr>n2Data_12SoldProducts_3EndOfLife_Text2</vt:lpstr>
      <vt:lpstr>n2Data_12SoldProducts_3EndOfLife_Text3</vt:lpstr>
      <vt:lpstr>n2Data_12SoldProducts_3EndOfLife_Text4</vt:lpstr>
      <vt:lpstr>n2Data_12SoldProducts_3EndOfLife_Text5</vt:lpstr>
      <vt:lpstr>n2Data_12SoldProducts_3EndOfLife_Text6</vt:lpstr>
      <vt:lpstr>n2Data_12SoldProducts_3EndOfLife_Text7</vt:lpstr>
      <vt:lpstr>n2Data_12SoldProducts_3EndOfLife_Text8</vt:lpstr>
      <vt:lpstr>n2Data_12SoldProducts_3EndOfLife_Text9</vt:lpstr>
      <vt:lpstr>n2Data_13Franchise</vt:lpstr>
      <vt:lpstr>n2Data_13Franchise_Text1</vt:lpstr>
      <vt:lpstr>n2Data_13Franchise_Text101</vt:lpstr>
      <vt:lpstr>n2Data_13Franchise_Text2</vt:lpstr>
      <vt:lpstr>n2Data_14Investments</vt:lpstr>
      <vt:lpstr>n2Data_14Investments_Text1</vt:lpstr>
      <vt:lpstr>n2Data_14Investments_Text101</vt:lpstr>
      <vt:lpstr>n2Data_14Investments_Text2</vt:lpstr>
      <vt:lpstr>n2Data_14Investments_Text3</vt:lpstr>
      <vt:lpstr>n2Data_14Investments_Text4a</vt:lpstr>
      <vt:lpstr>n2Data_14Investments_Text4c</vt:lpstr>
      <vt:lpstr>n2Data_14nvestments_Text4b</vt:lpstr>
      <vt:lpstr>n2Data_1Instruction</vt:lpstr>
      <vt:lpstr>n2Data_1Instruction_Text1</vt:lpstr>
      <vt:lpstr>n2Data_1Instruction_Text2</vt:lpstr>
      <vt:lpstr>n2Data_1Instruction_Text3</vt:lpstr>
      <vt:lpstr>n2Data_1Instruction_Text4</vt:lpstr>
      <vt:lpstr>n2Data_1Instruction_Text5</vt:lpstr>
      <vt:lpstr>n2Data_1Instruction_Text6</vt:lpstr>
      <vt:lpstr>n2Data_2Index</vt:lpstr>
      <vt:lpstr>n2Data_3StationalryComb</vt:lpstr>
      <vt:lpstr>n2Data_3Stationary_1Owned</vt:lpstr>
      <vt:lpstr>n2Data_3Stationary_1Owned_Text1</vt:lpstr>
      <vt:lpstr>n2Data_3Stationary_1Owned_Text2</vt:lpstr>
      <vt:lpstr>n2Data_3Stationary_1Owned_Text3</vt:lpstr>
      <vt:lpstr>n2Data_3Stationary_1Owned_Text6</vt:lpstr>
      <vt:lpstr>n2Data_3Stationary_2OwnedDistrict</vt:lpstr>
      <vt:lpstr>n2Data_3Stationary_2OwnedDistrict_Text1</vt:lpstr>
      <vt:lpstr>n2Data_3Stationary_2OwnedDistrict_Text2</vt:lpstr>
      <vt:lpstr>n2Data_3Stationary_2OwnedDistrict_Text6</vt:lpstr>
      <vt:lpstr>n2Data_3Stationary_3Lessee</vt:lpstr>
      <vt:lpstr>n2Data_3Stationary_3Lessee_Text1</vt:lpstr>
      <vt:lpstr>n2Data_3Stationary_3Lessee_Text2</vt:lpstr>
      <vt:lpstr>n2Data_3Stationary_3Lessee_Text3</vt:lpstr>
      <vt:lpstr>n2Data_3Stationary_3Lessee_Text6</vt:lpstr>
      <vt:lpstr>n2Data_3Stationary_4LesseeDistrict</vt:lpstr>
      <vt:lpstr>n2Data_3Stationary_4LesseeDistrict_Text1</vt:lpstr>
      <vt:lpstr>n2Data_3Stationary_4LesseeDistrict_Text2</vt:lpstr>
      <vt:lpstr>n2Data_3Stationary_4LesseeDistrict_Text6</vt:lpstr>
      <vt:lpstr>n2Data_3Stationary_5Lessor</vt:lpstr>
      <vt:lpstr>n2Data_3Stationary_5Lessor_Text1</vt:lpstr>
      <vt:lpstr>n2Data_3Stationary_5Lessor_Text2</vt:lpstr>
      <vt:lpstr>n2Data_3Stationary_5Lessor_Text3</vt:lpstr>
      <vt:lpstr>n2Data_3Stationary_5Lessor_Text6</vt:lpstr>
      <vt:lpstr>n2Data_3Stationary_6LessorDistrict</vt:lpstr>
      <vt:lpstr>n2Data_3Stationary_6LessorDistrict_Text1</vt:lpstr>
      <vt:lpstr>n2Data_3Stationary_6LessorDistrict_Text2</vt:lpstr>
      <vt:lpstr>n2Data_3Stationary_6LessorDistrict_Text6</vt:lpstr>
      <vt:lpstr>n2Data_4Processes</vt:lpstr>
      <vt:lpstr>n2Data_4Processes_1directGHGE</vt:lpstr>
      <vt:lpstr>n2Data_4Processes_1directGHGE_Text1</vt:lpstr>
      <vt:lpstr>n2Data_4Processes_1directGHGE_Text2</vt:lpstr>
      <vt:lpstr>n2Data_4Processes_1directGHGE_Text3</vt:lpstr>
      <vt:lpstr>n2Data_4Processes_1directGHGE_Text4</vt:lpstr>
      <vt:lpstr>n2Data_4Processes_1directGHGE_Text5</vt:lpstr>
      <vt:lpstr>n2Data_4Processes_1directGHGE_Text6</vt:lpstr>
      <vt:lpstr>n2Data_4Processes_1directGHGE_Text7</vt:lpstr>
      <vt:lpstr>n2Data_4Processes_1directGHGE_Text8</vt:lpstr>
      <vt:lpstr>n2Data_4Processes_1directGHGE_Text9</vt:lpstr>
      <vt:lpstr>n2Data_5Fugitive</vt:lpstr>
      <vt:lpstr>n2Data_5Fugitive_1directGHGE</vt:lpstr>
      <vt:lpstr>n2Data_5Fugitive_1directGHGE_Text1</vt:lpstr>
      <vt:lpstr>n2Data_5Fugitive_1directGHGE_Text2</vt:lpstr>
      <vt:lpstr>n2Data_5Fugitive_1directGHGE_Text3</vt:lpstr>
      <vt:lpstr>n2Data_6Fleet</vt:lpstr>
      <vt:lpstr>n2Data_6Fleet_1Owend</vt:lpstr>
      <vt:lpstr>n2Data_6Fleet_1Owend_Text1</vt:lpstr>
      <vt:lpstr>n2Data_6Fleet_1Owend_Text2</vt:lpstr>
      <vt:lpstr>n2Data_6Fleet_1Owend_Text3</vt:lpstr>
      <vt:lpstr>n2Data_6Fleet_1Owend_Text4</vt:lpstr>
      <vt:lpstr>n2Data_6Fleet_1Owend_Text5</vt:lpstr>
      <vt:lpstr>n2Data_6Fleet_1Owend_Text6</vt:lpstr>
      <vt:lpstr>n2Data_6Fleet_1Owend_Text7a</vt:lpstr>
      <vt:lpstr>n2Data_6Fleet_1Owend_Text7b</vt:lpstr>
      <vt:lpstr>n2Data_6Fleet_1Owend_Text7c</vt:lpstr>
      <vt:lpstr>n2Data_6Fleet_1Owend_Text7d</vt:lpstr>
      <vt:lpstr>n2Data_6Fleet_1Owend_Text7e</vt:lpstr>
      <vt:lpstr>n2Data_6Fleet_2Lessee</vt:lpstr>
      <vt:lpstr>n2Data_6Fleet_2Lessee_Text1</vt:lpstr>
      <vt:lpstr>n2Data_6Fleet_2Lessee_Text2</vt:lpstr>
      <vt:lpstr>n2Data_6Fleet_2Lessee_Text3</vt:lpstr>
      <vt:lpstr>n2Data_6Fleet_2Lessee_Text4</vt:lpstr>
      <vt:lpstr>n2Data_6Fleet_2Lessee_Text5</vt:lpstr>
      <vt:lpstr>n2Data_6Fleet_2Lessee_Text6</vt:lpstr>
      <vt:lpstr>n2Data_6Fleet_2Lessee_Text7a</vt:lpstr>
      <vt:lpstr>n2Data_6Fleet_2Lessee_Text7b</vt:lpstr>
      <vt:lpstr>n2Data_6Fleet_2Lessee_Text7c</vt:lpstr>
      <vt:lpstr>n2Data_6Fleet_2Lessee_Text7d</vt:lpstr>
      <vt:lpstr>n2Data_6Fleet_2Lessee_Text7e</vt:lpstr>
      <vt:lpstr>n2Data_6Fleet_3Lessor</vt:lpstr>
      <vt:lpstr>n2Data_6Fleet_3Lessor_Text1</vt:lpstr>
      <vt:lpstr>n2Data_6Fleet_3Lessor_Text2</vt:lpstr>
      <vt:lpstr>n2Data_6Fleet_3Lessor_Text3</vt:lpstr>
      <vt:lpstr>n2Data_6Fleet_3Lessor_Text4</vt:lpstr>
      <vt:lpstr>n2Data_6Fleet_3Lessor_Text5</vt:lpstr>
      <vt:lpstr>n2Data_6Fleet_3Lessor_Text6</vt:lpstr>
      <vt:lpstr>n2Data_6Fleet_3Lessor_Text7a</vt:lpstr>
      <vt:lpstr>n2Data_6Fleet_3Lessor_Text7b</vt:lpstr>
      <vt:lpstr>n2Data_6Fleet_3Lessor_Text7c</vt:lpstr>
      <vt:lpstr>n2Data_6Fleet_3Lessor_Text7d</vt:lpstr>
      <vt:lpstr>n2Data_6Fleet_3Lessor_Text7e</vt:lpstr>
      <vt:lpstr>n2Data_7Electricity</vt:lpstr>
      <vt:lpstr>n2Data_7Electricity_1Owend</vt:lpstr>
      <vt:lpstr>n2Data_7Electricity_1Owend_Text1</vt:lpstr>
      <vt:lpstr>n2Data_7Electricity_1Owend_Text2</vt:lpstr>
      <vt:lpstr>n2Data_7Electricity_1Owend_Text3</vt:lpstr>
      <vt:lpstr>n2Data_7Electricity_1Owend_Text4a</vt:lpstr>
      <vt:lpstr>n2Data_7Electricity_1Owend_Text4b</vt:lpstr>
      <vt:lpstr>n2Data_7Electricity_1Owend_Text4c</vt:lpstr>
      <vt:lpstr>n2Data_7Electricity_1Owend_Text5</vt:lpstr>
      <vt:lpstr>n2Data_7Electricity_1Owend_Text6</vt:lpstr>
      <vt:lpstr>n2Data_7Electricity_2Lessee</vt:lpstr>
      <vt:lpstr>n2Data_7Electricity_2Lessee_Text1</vt:lpstr>
      <vt:lpstr>n2Data_7Electricity_2Lessee_Text2</vt:lpstr>
      <vt:lpstr>n2Data_7Electricity_2Lessee_Text3</vt:lpstr>
      <vt:lpstr>n2Data_7Electricity_2Lessee_Text4a</vt:lpstr>
      <vt:lpstr>n2Data_7Electricity_2Lessee_Text4b</vt:lpstr>
      <vt:lpstr>n2Data_7Electricity_2Lessee_Text4c</vt:lpstr>
      <vt:lpstr>n2Data_7Electricity_2Lessee_Text5</vt:lpstr>
      <vt:lpstr>n2Data_7Electricity_2Lessee_Text6</vt:lpstr>
      <vt:lpstr>n2Data_7Electricity_3Lessor</vt:lpstr>
      <vt:lpstr>n2Data_7Electricity_3Lessor_Text1</vt:lpstr>
      <vt:lpstr>n2Data_7Electricity_3Lessor_Text2</vt:lpstr>
      <vt:lpstr>n2Data_7Electricity_3Lessor_Text3</vt:lpstr>
      <vt:lpstr>n2Data_7Electricity_3Lessor_Text4a</vt:lpstr>
      <vt:lpstr>n2Data_7Electricity_3Lessor_Text4b</vt:lpstr>
      <vt:lpstr>n2Data_7Electricity_3Lessor_Text4c</vt:lpstr>
      <vt:lpstr>n2Data_7Electricity_3Lessor_Text5</vt:lpstr>
      <vt:lpstr>n2Data_7Electricity_3Lessor_Text6</vt:lpstr>
      <vt:lpstr>n2Data_8PurchasedGoods</vt:lpstr>
      <vt:lpstr>n2Data_8PurchasedGoods_1Quantity</vt:lpstr>
      <vt:lpstr>n2Data_8PurchasedGoods_1Quantity_Text1</vt:lpstr>
      <vt:lpstr>n2Data_8PurchasedGoods_1Quantity_Text2</vt:lpstr>
      <vt:lpstr>n2Data_8PurchasedGoods_1Quantity_Text3a</vt:lpstr>
      <vt:lpstr>n2Data_8PurchasedGoods_1Quantity_Text3b</vt:lpstr>
      <vt:lpstr>n2Data_8PurchasedGoods_1Quantity_Text3c</vt:lpstr>
      <vt:lpstr>n2Data_8PurchasedGoods_1Spend</vt:lpstr>
      <vt:lpstr>n2Data_8PurchasedGoods_1Spend_Text1</vt:lpstr>
      <vt:lpstr>n2Data_8PurchasedGoods_1Spend_Text2</vt:lpstr>
      <vt:lpstr>n2Data_8PurchasedGoods_1Spend_Text3</vt:lpstr>
      <vt:lpstr>n2Data_9CapitalGoods</vt:lpstr>
      <vt:lpstr>n2Data_9CapitalGoods_Text1</vt:lpstr>
      <vt:lpstr>n2Data_9CapitalGoods_Text2</vt:lpstr>
      <vt:lpstr>n2Data_9CapitalGoods_Text3</vt:lpstr>
      <vt:lpstr>n2Data_9CapitalGoods_Text4a</vt:lpstr>
      <vt:lpstr>n2Data_9CapitalGoods_Text4b</vt:lpstr>
      <vt:lpstr>n2Data_Text1</vt:lpstr>
      <vt:lpstr>n3Calculation</vt:lpstr>
      <vt:lpstr>n3Calculation_10_S3.1_SpendBased</vt:lpstr>
      <vt:lpstr>n3Calculation_11_S3.1_ProductBased</vt:lpstr>
      <vt:lpstr>n3Calculation_12_S3.2_CapitalGoods</vt:lpstr>
      <vt:lpstr>n3Calculation_13_S3.3_StationaryCombustion</vt:lpstr>
      <vt:lpstr>n3Calculation_14_S3.3_District</vt:lpstr>
      <vt:lpstr>n3Calculation_15.1_S3.3_ElectricityMarket</vt:lpstr>
      <vt:lpstr>n3Calculation_15.2_S3.3_ElectricityLocation</vt:lpstr>
      <vt:lpstr>n3Calculation_16_S3.3_FossilFleet</vt:lpstr>
      <vt:lpstr>n3Calculation_17.1_S3.3_elFleetMarket</vt:lpstr>
      <vt:lpstr>n3Calculation_17.2_S3.3_elFleetLocation</vt:lpstr>
      <vt:lpstr>n3Calculation_18_S3.4_UpstreamTransport</vt:lpstr>
      <vt:lpstr>n3Calculation_19_S3.5_Waste</vt:lpstr>
      <vt:lpstr>n3Calculation_1Instruction</vt:lpstr>
      <vt:lpstr>n3Calculation_1Instruction_Text1</vt:lpstr>
      <vt:lpstr>n3Calculation_20_S3.6_BusinessTravel</vt:lpstr>
      <vt:lpstr>n3Calculation_21_S3.7_EmployeeCommuting</vt:lpstr>
      <vt:lpstr>n3Calculation_22_S3.9_DownstreanTransport</vt:lpstr>
      <vt:lpstr>n3Calculation_23_S3.10_Processing</vt:lpstr>
      <vt:lpstr>n3Calculation_24_S3.11_Use</vt:lpstr>
      <vt:lpstr>n3Calculation_25_S3.12_EndOFLife</vt:lpstr>
      <vt:lpstr>n3Calculation_26_S3.14_Franchises</vt:lpstr>
      <vt:lpstr>n3Calculation_27_S3.15_Investments</vt:lpstr>
      <vt:lpstr>n3Calculation_28Upstream_StationaryDirect</vt:lpstr>
      <vt:lpstr>n3Calculation_29Upstream_StationaryIndirect</vt:lpstr>
      <vt:lpstr>n3Calculation_2Index</vt:lpstr>
      <vt:lpstr>n3Calculation_30Upstream_DistrictDirect</vt:lpstr>
      <vt:lpstr>n3Calculation_31Upstream_DistrictIndirect</vt:lpstr>
      <vt:lpstr>n3Calculation_32.1Upstream_ElectricityDirectMarket</vt:lpstr>
      <vt:lpstr>n3Calculation_32.2Upstream_ElectricityDirectLocation</vt:lpstr>
      <vt:lpstr>n3Calculation_33.1Upstream_ElectricityIndirectMarket</vt:lpstr>
      <vt:lpstr>n3Calculation_33.2Upstream_ElectricityIndirectLocation</vt:lpstr>
      <vt:lpstr>n3Calculation_34Upstream_MobileCombustionDirect</vt:lpstr>
      <vt:lpstr>n3Calculation_35Upstream_MobileCombustionIndirect</vt:lpstr>
      <vt:lpstr>n3Calculation_36.1Upstream_elFleetDirectMarket</vt:lpstr>
      <vt:lpstr>n3Calculation_36.2Upstream_elFleetDirectLocation</vt:lpstr>
      <vt:lpstr>n3Calculation_37.1Upstream_elFleetIndirectMarket</vt:lpstr>
      <vt:lpstr>n3Calculation_37.2Upstream_elFleetIndirectLocation</vt:lpstr>
      <vt:lpstr>n3Calculation_38Downstream_StationaryDirect</vt:lpstr>
      <vt:lpstr>n3Calculation_39Downstream_StationaryIndirect</vt:lpstr>
      <vt:lpstr>n3Calculation_3S1_StationaryCombustion</vt:lpstr>
      <vt:lpstr>n3Calculation_40Downstream_DistrictDirect</vt:lpstr>
      <vt:lpstr>n3Calculation_41Downstream_DistrictIndirect</vt:lpstr>
      <vt:lpstr>n3Calculation_42.1Downstream_ElectricityDirectMarket</vt:lpstr>
      <vt:lpstr>n3Calculation_42.2Downstream_ElectricityDirectLocation</vt:lpstr>
      <vt:lpstr>n3Calculation_43.1Downstream_ElectricityIndirectMarket</vt:lpstr>
      <vt:lpstr>n3Calculation_43.2Downstream_ElectricityIndirectLocation</vt:lpstr>
      <vt:lpstr>n3Calculation_44Downstream_MobileCombustionDirect</vt:lpstr>
      <vt:lpstr>n3Calculation_45Downstream_MobileCombustionIndirect</vt:lpstr>
      <vt:lpstr>n3Calculation_46.1Downstream_elFleetDirectMarket</vt:lpstr>
      <vt:lpstr>n3Calculation_46.2Downstream_elFleetDirectLoation</vt:lpstr>
      <vt:lpstr>n3Calculation_47.1Downstream_elFleetIndirectMarket</vt:lpstr>
      <vt:lpstr>n3Calculation_47.2Downstream_elFleetIndirectLocation</vt:lpstr>
      <vt:lpstr>n3Calculation_4S1_FugitiveEmissions</vt:lpstr>
      <vt:lpstr>n3Calculation_5S1_MobileCombustion</vt:lpstr>
      <vt:lpstr>n3Calculation_6S1_ProcessEmissions</vt:lpstr>
      <vt:lpstr>n3Calculation_7.1_S2_ElectricityMarket</vt:lpstr>
      <vt:lpstr>n3Calculation_7.2_S2_ElectricityLocation</vt:lpstr>
      <vt:lpstr>n3Calculation_8S2_District</vt:lpstr>
      <vt:lpstr>n3Calculation_9.1_S2_FleetMarket</vt:lpstr>
      <vt:lpstr>n3Calculation_9.2_S2_FleetLocation</vt:lpstr>
      <vt:lpstr>n3Calculation_Text1</vt:lpstr>
      <vt:lpstr>n4Dashboard</vt:lpstr>
      <vt:lpstr>n4Dashboard_1Instruction</vt:lpstr>
      <vt:lpstr>n4Dashboard_1Instruction_Text1</vt:lpstr>
      <vt:lpstr>n4Dashboard_2TotalEmissions</vt:lpstr>
      <vt:lpstr>n4Dashboard_2TotalEmissions_location</vt:lpstr>
      <vt:lpstr>n4Dashboard_2TotalEmissions_market</vt:lpstr>
      <vt:lpstr>n4Dashboard_2TotalEmissions_metric1</vt:lpstr>
      <vt:lpstr>n4Dashboard_2TotalEmissions_metric2</vt:lpstr>
      <vt:lpstr>n4Dashboard_2TotalEmissions_metric3</vt:lpstr>
      <vt:lpstr>n4Dashboard_2TotalEmissions_Text1</vt:lpstr>
      <vt:lpstr>n4Dashboard_2TotalEmissions_Text10</vt:lpstr>
      <vt:lpstr>n4Dashboard_2TotalEmissions_Text11</vt:lpstr>
      <vt:lpstr>n4Dashboard_2TotalEmissions_Text12</vt:lpstr>
      <vt:lpstr>n4Dashboard_2TotalEmissions_Text13</vt:lpstr>
      <vt:lpstr>n4Dashboard_2TotalEmissions_Text14</vt:lpstr>
      <vt:lpstr>n4Dashboard_2TotalEmissions_Text15</vt:lpstr>
      <vt:lpstr>n4Dashboard_2TotalEmissions_Text16</vt:lpstr>
      <vt:lpstr>n4Dashboard_2TotalEmissions_Text17</vt:lpstr>
      <vt:lpstr>n4Dashboard_2TotalEmissions_Text18</vt:lpstr>
      <vt:lpstr>n4Dashboard_2TotalEmissions_Text19</vt:lpstr>
      <vt:lpstr>n4Dashboard_2TotalEmissions_Text2</vt:lpstr>
      <vt:lpstr>n4Dashboard_2TotalEmissions_Text20</vt:lpstr>
      <vt:lpstr>n4Dashboard_2TotalEmissions_Text21</vt:lpstr>
      <vt:lpstr>n4Dashboard_2TotalEmissions_Text22</vt:lpstr>
      <vt:lpstr>n4Dashboard_2TotalEmissions_Text3</vt:lpstr>
      <vt:lpstr>n4Dashboard_2TotalEmissions_Text4</vt:lpstr>
      <vt:lpstr>n4Dashboard_2TotalEmissions_Text5</vt:lpstr>
      <vt:lpstr>n4Dashboard_2TotalEmissions_Text6</vt:lpstr>
      <vt:lpstr>n4Dashboard_2TotalEmissions_Text7</vt:lpstr>
      <vt:lpstr>n4Dashboard_2TotalEmissions_Text8</vt:lpstr>
      <vt:lpstr>n4Dashboard_2TotalEmissions_Text9</vt:lpstr>
      <vt:lpstr>n4Dashboard_3Graphs</vt:lpstr>
      <vt:lpstr>n4Dashboard_3Graphs_Text1</vt:lpstr>
      <vt:lpstr>n4Dashboard_3Graphs_Text2</vt:lpstr>
      <vt:lpstr>n4Dashboard_3Graphs_Text3</vt:lpstr>
      <vt:lpstr>n4Dashboard_3Graphs_Text4</vt:lpstr>
      <vt:lpstr>n4Dashboard_3Graphs_Text5</vt:lpstr>
      <vt:lpstr>n4Dashboard_Text1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Schriber, Lucien</dc:creator>
  <cp:lastModifiedBy>Manche Marine BAFU</cp:lastModifiedBy>
  <cp:lastPrinted>2026-02-26T22:13:06Z</cp:lastPrinted>
  <dcterms:created xsi:type="dcterms:W3CDTF">2015-06-05T18:19:34Z</dcterms:created>
  <dcterms:modified xsi:type="dcterms:W3CDTF">2026-09-10T13:31:39Z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2026-02-27T12:25:19Z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b78b4179-fe00-4a57-82ad-581f3c38bc3a</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y fmtid="{D5CDD505-2E9C-101B-9397-08002B2CF9AE}" pid="10" name="ContentTypeId">
    <vt:lpwstr>0x010100E1A244DEEC2E49498A753A14F1258AE1</vt:lpwstr>
  </property>
</Properties>
</file>